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3.xml"/>
  <Override ContentType="application/vnd.openxmlformats-officedocument.spreadsheetml.worksheet+xml" PartName="/xl/worksheets/sheet58.xml"/>
  <Override ContentType="application/vnd.openxmlformats-officedocument.spreadsheetml.worksheet+xml" PartName="/xl/worksheets/sheet83.xml"/>
  <Override ContentType="application/vnd.openxmlformats-officedocument.spreadsheetml.worksheet+xml" PartName="/xl/worksheets/sheet91.xml"/>
  <Override ContentType="application/vnd.openxmlformats-officedocument.spreadsheetml.worksheet+xml" PartName="/xl/worksheets/sheet66.xml"/>
  <Override ContentType="application/vnd.openxmlformats-officedocument.spreadsheetml.worksheet+xml" PartName="/xl/worksheets/sheet15.xml"/>
  <Override ContentType="application/vnd.openxmlformats-officedocument.spreadsheetml.worksheet+xml" PartName="/xl/worksheets/sheet40.xml"/>
  <Override ContentType="application/vnd.openxmlformats-officedocument.spreadsheetml.worksheet+xml" PartName="/xl/worksheets/sheet32.xml"/>
  <Override ContentType="application/vnd.openxmlformats-officedocument.spreadsheetml.worksheet+xml" PartName="/xl/worksheets/sheet6.xml"/>
  <Override ContentType="application/vnd.openxmlformats-officedocument.spreadsheetml.worksheet+xml" PartName="/xl/worksheets/sheet75.xml"/>
  <Override ContentType="application/vnd.openxmlformats-officedocument.spreadsheetml.worksheet+xml" PartName="/xl/worksheets/sheet49.xml"/>
  <Override ContentType="application/vnd.openxmlformats-officedocument.spreadsheetml.worksheet+xml" PartName="/xl/worksheets/sheet16.xml"/>
  <Override ContentType="application/vnd.openxmlformats-officedocument.spreadsheetml.worksheet+xml" PartName="/xl/worksheets/sheet41.xml"/>
  <Override ContentType="application/vnd.openxmlformats-officedocument.spreadsheetml.worksheet+xml" PartName="/xl/worksheets/sheet90.xml"/>
  <Override ContentType="application/vnd.openxmlformats-officedocument.spreadsheetml.worksheet+xml" PartName="/xl/worksheets/sheet5.xml"/>
  <Override ContentType="application/vnd.openxmlformats-officedocument.spreadsheetml.worksheet+xml" PartName="/xl/worksheets/sheet59.xml"/>
  <Override ContentType="application/vnd.openxmlformats-officedocument.spreadsheetml.worksheet+xml" PartName="/xl/worksheets/sheet84.xml"/>
  <Override ContentType="application/vnd.openxmlformats-officedocument.spreadsheetml.worksheet+xml" PartName="/xl/worksheets/sheet67.xml"/>
  <Override ContentType="application/vnd.openxmlformats-officedocument.spreadsheetml.worksheet+xml" PartName="/xl/worksheets/sheet81.xml"/>
  <Override ContentType="application/vnd.openxmlformats-officedocument.spreadsheetml.worksheet+xml" PartName="/xl/worksheets/sheet50.xml"/>
  <Override ContentType="application/vnd.openxmlformats-officedocument.spreadsheetml.worksheet+xml" PartName="/xl/worksheets/sheet24.xml"/>
  <Override ContentType="application/vnd.openxmlformats-officedocument.spreadsheetml.worksheet+xml" PartName="/xl/worksheets/sheet85.xml"/>
  <Override ContentType="application/vnd.openxmlformats-officedocument.spreadsheetml.worksheet+xml" PartName="/xl/worksheets/sheet33.xml"/>
  <Override ContentType="application/vnd.openxmlformats-officedocument.spreadsheetml.worksheet+xml" PartName="/xl/worksheets/sheet76.xml"/>
  <Override ContentType="application/vnd.openxmlformats-officedocument.spreadsheetml.worksheet+xml" PartName="/xl/worksheets/sheet72.xml"/>
  <Override ContentType="application/vnd.openxmlformats-officedocument.spreadsheetml.worksheet+xml" PartName="/xl/worksheets/sheet39.xml"/>
  <Override ContentType="application/vnd.openxmlformats-officedocument.spreadsheetml.worksheet+xml" PartName="/xl/worksheets/sheet12.xml"/>
  <Override ContentType="application/vnd.openxmlformats-officedocument.spreadsheetml.worksheet+xml" PartName="/xl/worksheets/sheet42.xml"/>
  <Override ContentType="application/vnd.openxmlformats-officedocument.spreadsheetml.worksheet+xml" PartName="/xl/worksheets/sheet55.xml"/>
  <Override ContentType="application/vnd.openxmlformats-officedocument.spreadsheetml.worksheet+xml" PartName="/xl/worksheets/sheet69.xml"/>
  <Override ContentType="application/vnd.openxmlformats-officedocument.spreadsheetml.worksheet+xml" PartName="/xl/worksheets/sheet80.xml"/>
  <Override ContentType="application/vnd.openxmlformats-officedocument.spreadsheetml.worksheet+xml" PartName="/xl/worksheets/sheet56.xml"/>
  <Override ContentType="application/vnd.openxmlformats-officedocument.spreadsheetml.worksheet+xml" PartName="/xl/worksheets/sheet68.xml"/>
  <Override ContentType="application/vnd.openxmlformats-officedocument.spreadsheetml.worksheet+xml" PartName="/xl/worksheets/sheet86.xml"/>
  <Override ContentType="application/vnd.openxmlformats-officedocument.spreadsheetml.worksheet+xml" PartName="/xl/worksheets/sheet38.xml"/>
  <Override ContentType="application/vnd.openxmlformats-officedocument.spreadsheetml.worksheet+xml" PartName="/xl/worksheets/sheet25.xml"/>
  <Override ContentType="application/vnd.openxmlformats-officedocument.spreadsheetml.worksheet+xml" PartName="/xl/worksheets/sheet73.xml"/>
  <Override ContentType="application/vnd.openxmlformats-officedocument.spreadsheetml.worksheet+xml" PartName="/xl/worksheets/sheet8.xml"/>
  <Override ContentType="application/vnd.openxmlformats-officedocument.spreadsheetml.worksheet+xml" PartName="/xl/worksheets/sheet60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57.xml"/>
  <Override ContentType="application/vnd.openxmlformats-officedocument.spreadsheetml.worksheet+xml" PartName="/xl/worksheets/sheet92.xml"/>
  <Override ContentType="application/vnd.openxmlformats-officedocument.spreadsheetml.worksheet+xml" PartName="/xl/worksheets/sheet14.xml"/>
  <Override ContentType="application/vnd.openxmlformats-officedocument.spreadsheetml.worksheet+xml" PartName="/xl/worksheets/sheet44.xml"/>
  <Override ContentType="application/vnd.openxmlformats-officedocument.spreadsheetml.worksheet+xml" PartName="/xl/worksheets/sheet13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61.xml"/>
  <Override ContentType="application/vnd.openxmlformats-officedocument.spreadsheetml.worksheet+xml" PartName="/xl/worksheets/sheet87.xml"/>
  <Override ContentType="application/vnd.openxmlformats-officedocument.spreadsheetml.worksheet+xml" PartName="/xl/worksheets/sheet7.xml"/>
  <Override ContentType="application/vnd.openxmlformats-officedocument.spreadsheetml.worksheet+xml" PartName="/xl/worksheets/sheet74.xml"/>
  <Override ContentType="application/vnd.openxmlformats-officedocument.spreadsheetml.worksheet+xml" PartName="/xl/worksheets/sheet28.xml"/>
  <Override ContentType="application/vnd.openxmlformats-officedocument.spreadsheetml.worksheet+xml" PartName="/xl/worksheets/sheet5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9.xml"/>
  <Override ContentType="application/vnd.openxmlformats-officedocument.spreadsheetml.worksheet+xml" PartName="/xl/worksheets/sheet62.xml"/>
  <Override ContentType="application/vnd.openxmlformats-officedocument.spreadsheetml.worksheet+xml" PartName="/xl/worksheets/sheet2.xml"/>
  <Override ContentType="application/vnd.openxmlformats-officedocument.spreadsheetml.worksheet+xml" PartName="/xl/worksheets/sheet45.xml"/>
  <Override ContentType="application/vnd.openxmlformats-officedocument.spreadsheetml.worksheet+xml" PartName="/xl/worksheets/sheet79.xml"/>
  <Override ContentType="application/vnd.openxmlformats-officedocument.spreadsheetml.worksheet+xml" PartName="/xl/worksheets/sheet36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46.xml"/>
  <Override ContentType="application/vnd.openxmlformats-officedocument.spreadsheetml.worksheet+xml" PartName="/xl/worksheets/sheet71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54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63.xml"/>
  <Override ContentType="application/vnd.openxmlformats-officedocument.spreadsheetml.worksheet+xml" PartName="/xl/worksheets/sheet9.xml"/>
  <Override ContentType="application/vnd.openxmlformats-officedocument.spreadsheetml.worksheet+xml" PartName="/xl/worksheets/sheet77.xml"/>
  <Override ContentType="application/vnd.openxmlformats-officedocument.spreadsheetml.worksheet+xml" PartName="/xl/worksheets/sheet47.xml"/>
  <Override ContentType="application/vnd.openxmlformats-officedocument.spreadsheetml.worksheet+xml" PartName="/xl/worksheets/sheet4.xml"/>
  <Override ContentType="application/vnd.openxmlformats-officedocument.spreadsheetml.worksheet+xml" PartName="/xl/worksheets/sheet64.xml"/>
  <Override ContentType="application/vnd.openxmlformats-officedocument.spreadsheetml.worksheet+xml" PartName="/xl/worksheets/sheet17.xml"/>
  <Override ContentType="application/vnd.openxmlformats-officedocument.spreadsheetml.worksheet+xml" PartName="/xl/worksheets/sheet51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65.xml"/>
  <Override ContentType="application/vnd.openxmlformats-officedocument.spreadsheetml.worksheet+xml" PartName="/xl/worksheets/sheet78.xml"/>
  <Override ContentType="application/vnd.openxmlformats-officedocument.spreadsheetml.worksheet+xml" PartName="/xl/worksheets/sheet52.xml"/>
  <Override ContentType="application/vnd.openxmlformats-officedocument.spreadsheetml.worksheet+xml" PartName="/xl/worksheets/sheet82.xml"/>
  <Override ContentType="application/vnd.openxmlformats-officedocument.spreadsheetml.worksheet+xml" PartName="/xl/worksheets/sheet18.xml"/>
  <Override ContentType="application/vnd.openxmlformats-officedocument.spreadsheetml.worksheet+xml" PartName="/xl/worksheets/sheet70.xml"/>
  <Override ContentType="application/vnd.openxmlformats-officedocument.spreadsheetml.worksheet+xml" PartName="/xl/worksheets/sheet3.xml"/>
  <Override ContentType="application/vnd.openxmlformats-officedocument.spreadsheetml.worksheet+xml" PartName="/xl/worksheets/sheet48.xml"/>
  <Override ContentType="application/vnd.openxmlformats-officedocument.spreadsheetml.worksheet+xml" PartName="/xl/worksheets/sheet22.xml"/>
  <Override ContentType="application/vnd.openxmlformats-officedocument.spreadsheetml.worksheet+xml" PartName="/xl/worksheets/sheet35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9.xml"/>
  <Override ContentType="application/vnd.openxmlformats-officedocument.drawing+xml" PartName="/xl/drawings/drawing64.xml"/>
  <Override ContentType="application/vnd.openxmlformats-officedocument.drawing+xml" PartName="/xl/drawings/drawing56.xml"/>
  <Override ContentType="application/vnd.openxmlformats-officedocument.drawing+xml" PartName="/xl/drawings/drawing81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73.xml"/>
  <Override ContentType="application/vnd.openxmlformats-officedocument.drawing+xml" PartName="/xl/drawings/drawing30.xml"/>
  <Override ContentType="application/vnd.openxmlformats-officedocument.drawing+xml" PartName="/xl/drawings/drawing47.xml"/>
  <Override ContentType="application/vnd.openxmlformats-officedocument.drawing+xml" PartName="/xl/drawings/drawing21.xml"/>
  <Override ContentType="application/vnd.openxmlformats-officedocument.drawing+xml" PartName="/xl/drawings/drawing57.xml"/>
  <Override ContentType="application/vnd.openxmlformats-officedocument.drawing+xml" PartName="/xl/drawings/drawing82.xml"/>
  <Override ContentType="application/vnd.openxmlformats-officedocument.drawing+xml" PartName="/xl/drawings/drawing65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48.xml"/>
  <Override ContentType="application/vnd.openxmlformats-officedocument.drawing+xml" PartName="/xl/drawings/drawing2.xml"/>
  <Override ContentType="application/vnd.openxmlformats-officedocument.drawing+xml" PartName="/xl/drawings/drawing31.xml"/>
  <Override ContentType="application/vnd.openxmlformats-officedocument.drawing+xml" PartName="/xl/drawings/drawing91.xml"/>
  <Override ContentType="application/vnd.openxmlformats-officedocument.drawing+xml" PartName="/xl/drawings/drawing22.xml"/>
  <Override ContentType="application/vnd.openxmlformats-officedocument.drawing+xml" PartName="/xl/drawings/drawing74.xml"/>
  <Override ContentType="application/vnd.openxmlformats-officedocument.drawing+xml" PartName="/xl/drawings/drawing10.xml"/>
  <Override ContentType="application/vnd.openxmlformats-officedocument.drawing+xml" PartName="/xl/drawings/drawing83.xml"/>
  <Override ContentType="application/vnd.openxmlformats-officedocument.drawing+xml" PartName="/xl/drawings/drawing70.xml"/>
  <Override ContentType="application/vnd.openxmlformats-officedocument.drawing+xml" PartName="/xl/drawings/drawing53.xml"/>
  <Override ContentType="application/vnd.openxmlformats-officedocument.drawing+xml" PartName="/xl/drawings/drawing6.xml"/>
  <Override ContentType="application/vnd.openxmlformats-officedocument.drawing+xml" PartName="/xl/drawings/drawing40.xml"/>
  <Override ContentType="application/vnd.openxmlformats-officedocument.drawing+xml" PartName="/xl/drawings/drawing36.xml"/>
  <Override ContentType="application/vnd.openxmlformats-officedocument.drawing+xml" PartName="/xl/drawings/drawing66.xml"/>
  <Override ContentType="application/vnd.openxmlformats-officedocument.drawing+xml" PartName="/xl/drawings/drawing79.xml"/>
  <Override ContentType="application/vnd.openxmlformats-officedocument.drawing+xml" PartName="/xl/drawings/drawing84.xml"/>
  <Override ContentType="application/vnd.openxmlformats-officedocument.drawing+xml" PartName="/xl/drawings/drawing23.xml"/>
  <Override ContentType="application/vnd.openxmlformats-officedocument.drawing+xml" PartName="/xl/drawings/drawing49.xml"/>
  <Override ContentType="application/vnd.openxmlformats-officedocument.drawing+xml" PartName="/xl/drawings/drawing38.xml"/>
  <Override ContentType="application/vnd.openxmlformats-officedocument.drawing+xml" PartName="/xl/drawings/drawing71.xml"/>
  <Override ContentType="application/vnd.openxmlformats-officedocument.drawing+xml" PartName="/xl/drawings/drawing19.xml"/>
  <Override ContentType="application/vnd.openxmlformats-officedocument.drawing+xml" PartName="/xl/drawings/drawing41.xml"/>
  <Override ContentType="application/vnd.openxmlformats-officedocument.drawing+xml" PartName="/xl/drawings/drawing68.xml"/>
  <Override ContentType="application/vnd.openxmlformats-officedocument.drawing+xml" PartName="/xl/drawings/drawing90.xml"/>
  <Override ContentType="application/vnd.openxmlformats-officedocument.drawing+xml" PartName="/xl/drawings/drawing5.xml"/>
  <Override ContentType="application/vnd.openxmlformats-officedocument.drawing+xml" PartName="/xl/drawings/drawing54.xml"/>
  <Override ContentType="application/vnd.openxmlformats-officedocument.drawing+xml" PartName="/xl/drawings/drawing55.xml"/>
  <Override ContentType="application/vnd.openxmlformats-officedocument.drawing+xml" PartName="/xl/drawings/drawing24.xml"/>
  <Override ContentType="application/vnd.openxmlformats-officedocument.drawing+xml" PartName="/xl/drawings/drawing85.xml"/>
  <Override ContentType="application/vnd.openxmlformats-officedocument.drawing+xml" PartName="/xl/drawings/drawing42.xml"/>
  <Override ContentType="application/vnd.openxmlformats-officedocument.drawing+xml" PartName="/xl/drawings/drawing67.xml"/>
  <Override ContentType="application/vnd.openxmlformats-officedocument.drawing+xml" PartName="/xl/drawings/drawing11.xml"/>
  <Override ContentType="application/vnd.openxmlformats-officedocument.drawing+xml" PartName="/xl/drawings/drawing37.xml"/>
  <Override ContentType="application/vnd.openxmlformats-officedocument.drawing+xml" PartName="/xl/drawings/drawing72.xml"/>
  <Override ContentType="application/vnd.openxmlformats-officedocument.drawing+xml" PartName="/xl/drawings/drawing26.xml"/>
  <Override ContentType="application/vnd.openxmlformats-officedocument.drawing+xml" PartName="/xl/drawings/drawing51.xml"/>
  <Override ContentType="application/vnd.openxmlformats-officedocument.drawing+xml" PartName="/xl/drawings/drawing9.xml"/>
  <Override ContentType="application/vnd.openxmlformats-officedocument.drawing+xml" PartName="/xl/drawings/drawing69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25.xml"/>
  <Override ContentType="application/vnd.openxmlformats-officedocument.drawing+xml" PartName="/xl/drawings/drawing77.xml"/>
  <Override ContentType="application/vnd.openxmlformats-officedocument.drawing+xml" PartName="/xl/drawings/drawing86.xml"/>
  <Override ContentType="application/vnd.openxmlformats-officedocument.drawing+xml" PartName="/xl/drawings/drawing34.xml"/>
  <Override ContentType="application/vnd.openxmlformats-officedocument.drawing+xml" PartName="/xl/drawings/drawing60.xml"/>
  <Override ContentType="application/vnd.openxmlformats-officedocument.drawing+xml" PartName="/xl/drawings/drawing27.xml"/>
  <Override ContentType="application/vnd.openxmlformats-officedocument.drawing+xml" PartName="/xl/drawings/drawing52.xml"/>
  <Override ContentType="application/vnd.openxmlformats-officedocument.drawing+xml" PartName="/xl/drawings/drawing44.xml"/>
  <Override ContentType="application/vnd.openxmlformats-officedocument.drawing+xml" PartName="/xl/drawings/drawing61.xml"/>
  <Override ContentType="application/vnd.openxmlformats-officedocument.drawing+xml" PartName="/xl/drawings/drawing7.xml"/>
  <Override ContentType="application/vnd.openxmlformats-officedocument.drawing+xml" PartName="/xl/drawings/drawing18.xml"/>
  <Override ContentType="application/vnd.openxmlformats-officedocument.drawing+xml" PartName="/xl/drawings/drawing78.xml"/>
  <Override ContentType="application/vnd.openxmlformats-officedocument.drawing+xml" PartName="/xl/drawings/drawing87.xml"/>
  <Override ContentType="application/vnd.openxmlformats-officedocument.drawing+xml" PartName="/xl/drawings/drawing35.xml"/>
  <Override ContentType="application/vnd.openxmlformats-officedocument.drawing+xml" PartName="/xl/drawings/drawing58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92.xml"/>
  <Override ContentType="application/vnd.openxmlformats-officedocument.drawing+xml" PartName="/xl/drawings/drawing32.xml"/>
  <Override ContentType="application/vnd.openxmlformats-officedocument.drawing+xml" PartName="/xl/drawings/drawing62.xml"/>
  <Override ContentType="application/vnd.openxmlformats-officedocument.drawing+xml" PartName="/xl/drawings/drawing75.xml"/>
  <Override ContentType="application/vnd.openxmlformats-officedocument.drawing+xml" PartName="/xl/drawings/drawing88.xml"/>
  <Override ContentType="application/vnd.openxmlformats-officedocument.drawing+xml" PartName="/xl/drawings/drawing33.xml"/>
  <Override ContentType="application/vnd.openxmlformats-officedocument.drawing+xml" PartName="/xl/drawings/drawing76.xml"/>
  <Override ContentType="application/vnd.openxmlformats-officedocument.drawing+xml" PartName="/xl/drawings/drawing46.xml"/>
  <Override ContentType="application/vnd.openxmlformats-officedocument.drawing+xml" PartName="/xl/drawings/drawing6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29.xml"/>
  <Override ContentType="application/vnd.openxmlformats-officedocument.drawing+xml" PartName="/xl/drawings/drawing80.xml"/>
  <Override ContentType="application/vnd.openxmlformats-officedocument.drawing+xml" PartName="/xl/drawings/drawing50.xml"/>
  <Override ContentType="application/vnd.openxmlformats-officedocument.drawing+xml" PartName="/xl/drawings/drawing59.xml"/>
  <Override ContentType="application/vnd.openxmlformats-officedocument.drawing+xml" PartName="/xl/drawings/drawing20.xml"/>
  <Override ContentType="application/vnd.openxmlformats-officedocument.drawing+xml" PartName="/xl/drawings/drawing89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spreadsheetml.comments+xml" PartName="/xl/comments3.xml"/>
  <Override ContentType="application/vnd.openxmlformats-officedocument.spreadsheetml.comments+xml" PartName="/xl/comments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ustom Coupons" sheetId="1" r:id="rId4"/>
    <sheet state="visible" name="Al Matar" sheetId="2" r:id="rId5"/>
    <sheet state="visible" name="6th Street" sheetId="3" r:id="rId6"/>
    <sheet state="visible" name="Adidas" sheetId="4" r:id="rId7"/>
    <sheet state="visible" name="Adidas Links" sheetId="5" r:id="rId8"/>
    <sheet state="visible" name="AloKozay" sheetId="6" r:id="rId9"/>
    <sheet state="visible" name="Al Dakheel Oud" sheetId="7" r:id="rId10"/>
    <sheet state="visible" name="American Eagle" sheetId="8" r:id="rId11"/>
    <sheet state="visible" name="Amazon" sheetId="9" r:id="rId12"/>
    <sheet state="visible" name="AirAlo" sheetId="10" r:id="rId13"/>
    <sheet state="visible" name="AirAlo Links" sheetId="11" r:id="rId14"/>
    <sheet state="visible" name="Bloomingdales" sheetId="12" r:id="rId15"/>
    <sheet state="visible" name="Bath &amp; Body Works" sheetId="13" r:id="rId16"/>
    <sheet state="hidden" name="Babies &amp; more" sheetId="14" r:id="rId17"/>
    <sheet state="hidden" name="Brands For Less" sheetId="15" r:id="rId18"/>
    <sheet state="visible" name="Baytonia" sheetId="16" r:id="rId19"/>
    <sheet state="visible" name="Beluar" sheetId="17" r:id="rId20"/>
    <sheet state="hidden" name="Boots" sheetId="18" r:id="rId21"/>
    <sheet state="visible" name="Cicabelle" sheetId="19" r:id="rId22"/>
    <sheet state="visible" name="Cartlow" sheetId="20" r:id="rId23"/>
    <sheet state="visible" name="Deraah" sheetId="21" r:id="rId24"/>
    <sheet state="visible" name="Dabdoob" sheetId="22" r:id="rId25"/>
    <sheet state="visible" name="Dr Nutrition" sheetId="23" r:id="rId26"/>
    <sheet state="hidden" name="Dr M" sheetId="24" r:id="rId27"/>
    <sheet state="visible" name="DailyMeals" sheetId="25" r:id="rId28"/>
    <sheet state="hidden" name="Doos App" sheetId="26" r:id="rId29"/>
    <sheet state="visible" name="Eyewa" sheetId="27" r:id="rId30"/>
    <sheet state="visible" name="Farfetch" sheetId="28" r:id="rId31"/>
    <sheet state="visible" name="FNP" sheetId="29" r:id="rId32"/>
    <sheet state="visible" name="Footlocker" sheetId="30" r:id="rId33"/>
    <sheet state="visible" name="Gap" sheetId="31" r:id="rId34"/>
    <sheet state="visible" name="Go Sport" sheetId="32" r:id="rId35"/>
    <sheet state="visible" name="GRASSE PERFUME" sheetId="33" r:id="rId36"/>
    <sheet state="visible" name="Golden Scent" sheetId="34" r:id="rId37"/>
    <sheet state="visible" name="H&amp;M" sheetId="35" r:id="rId38"/>
    <sheet state="hidden" name="Homebox" sheetId="36" r:id="rId39"/>
    <sheet state="visible" name="Homzmart" sheetId="37" r:id="rId40"/>
    <sheet state="visible" name="IGP" sheetId="38" r:id="rId41"/>
    <sheet state="hidden" name="Jacquemus" sheetId="39" r:id="rId42"/>
    <sheet state="visible" name="Jeeny Ksa" sheetId="40" r:id="rId43"/>
    <sheet state="visible" name="Jeeny Jo" sheetId="41" r:id="rId44"/>
    <sheet state="visible" name="KADI Boutique" sheetId="42" r:id="rId45"/>
    <sheet state="visible" name="KenzWoman" sheetId="43" r:id="rId46"/>
    <sheet state="visible" name="Levelshoes" sheetId="44" r:id="rId47"/>
    <sheet state="visible" name="Magrabi" sheetId="45" r:id="rId48"/>
    <sheet state="visible" name="Mamas&amp;Papas" sheetId="46" r:id="rId49"/>
    <sheet state="hidden" name="KicksCrew" sheetId="47" r:id="rId50"/>
    <sheet state="hidden" name="Ibrahim Alqurahsi" sheetId="48" r:id="rId51"/>
    <sheet state="hidden" name="Max Fashion" sheetId="49" r:id="rId52"/>
    <sheet state="hidden" name="Marks&amp;Spencer" sheetId="50" r:id="rId53"/>
    <sheet state="visible" name="MetroBrazil" sheetId="51" r:id="rId54"/>
    <sheet state="visible" name="Mothercare" sheetId="52" r:id="rId55"/>
    <sheet state="hidden" name="Mr.Mandoob" sheetId="53" r:id="rId56"/>
    <sheet state="visible" name="Mumzworld" sheetId="54" r:id="rId57"/>
    <sheet state="visible" name="MyProtein" sheetId="55" r:id="rId58"/>
    <sheet state="visible" name="Namshi" sheetId="56" r:id="rId59"/>
    <sheet state="hidden" name="Nabataty" sheetId="57" r:id="rId60"/>
    <sheet state="visible" name="New Balance" sheetId="58" r:id="rId61"/>
    <sheet state="hidden" name="NiceOne" sheetId="59" r:id="rId62"/>
    <sheet state="visible" name="Noon GCC" sheetId="60" r:id="rId63"/>
    <sheet state="visible" name="Noon Egypt" sheetId="61" r:id="rId64"/>
    <sheet state="visible" name="NowNow" sheetId="62" r:id="rId65"/>
    <sheet state="visible" name="Noon EG" sheetId="63" r:id="rId66"/>
    <sheet state="hidden" name="Noon Minutes" sheetId="64" r:id="rId67"/>
    <sheet state="visible" name="Osma" sheetId="65" r:id="rId68"/>
    <sheet state="visible" name="Sheet224" sheetId="66" r:id="rId69"/>
    <sheet state="visible" name="Pottery Barn" sheetId="67" r:id="rId70"/>
    <sheet state="visible" name="Pottery Barn Kids" sheetId="68" r:id="rId71"/>
    <sheet state="visible" name="Rasees" sheetId="69" r:id="rId72"/>
    <sheet state="visible" name="Reef Perfumes" sheetId="70" r:id="rId73"/>
    <sheet state="visible" name="Riva Fashion" sheetId="71" r:id="rId74"/>
    <sheet state="visible" name="Styli" sheetId="72" r:id="rId75"/>
    <sheet state="hidden" name="Noon Food" sheetId="73" r:id="rId76"/>
    <sheet state="hidden" name="Noon NowNow" sheetId="74" r:id="rId77"/>
    <sheet state="hidden" name="Sivvi" sheetId="75" r:id="rId78"/>
    <sheet state="visible" name="Sun &amp; Sands" sheetId="76" r:id="rId79"/>
    <sheet state="visible" name="StoreUs" sheetId="77" r:id="rId80"/>
    <sheet state="visible" name="ToYou" sheetId="78" r:id="rId81"/>
    <sheet state="visible" name="Temu" sheetId="79" r:id="rId82"/>
    <sheet state="visible" name="Trendyol" sheetId="80" r:id="rId83"/>
    <sheet state="hidden" name="SquatWolf" sheetId="81" r:id="rId84"/>
    <sheet state="hidden" name="Tamanna" sheetId="82" r:id="rId85"/>
    <sheet state="hidden" name="Tamata" sheetId="83" r:id="rId86"/>
    <sheet state="visible" name="The deal outlet" sheetId="84" r:id="rId87"/>
    <sheet state="visible" name="The Body Shop West KSA &amp; UAE" sheetId="85" r:id="rId88"/>
    <sheet state="visible" name="Under Armour" sheetId="86" r:id="rId89"/>
    <sheet state="visible" name="Wondergifts" sheetId="87" r:id="rId90"/>
    <sheet state="visible" name="Waya" sheetId="88" r:id="rId91"/>
    <sheet state="visible" name="WestELM" sheetId="89" r:id="rId92"/>
    <sheet state="visible" name="Whites" sheetId="90" r:id="rId93"/>
    <sheet state="visible" name="VogaCloset" sheetId="91" r:id="rId94"/>
    <sheet state="visible" name="Victoria Secret" sheetId="92" r:id="rId95"/>
  </sheets>
  <definedNames>
    <definedName hidden="1" localSheetId="53" name="_xlnm._FilterDatabase">Mumzworld!$A$1:$H$666</definedName>
    <definedName hidden="1" localSheetId="59" name="_xlnm._FilterDatabase">'Noon GCC'!$A$1:$I$2321</definedName>
    <definedName hidden="1" localSheetId="64" name="_xlnm._FilterDatabase">Osma!$A$1:$G$108</definedName>
    <definedName hidden="1" localSheetId="69" name="_xlnm._FilterDatabase">'Reef Perfumes'!$A$1:$F$183</definedName>
    <definedName hidden="1" localSheetId="39" name="Z_9968795E_3BFB_485F_960E_5F37103E47A5_.wvu.FilterData">'Jeeny Ksa'!$A$1:$B$255</definedName>
    <definedName hidden="1" localSheetId="58" name="Z_9968795E_3BFB_485F_960E_5F37103E47A5_.wvu.FilterData">NiceOne!$I$1:$O$1958</definedName>
    <definedName hidden="1" localSheetId="59" name="Z_9968795E_3BFB_485F_960E_5F37103E47A5_.wvu.FilterData">'Noon GCC'!$A$1:$B$2321</definedName>
    <definedName hidden="1" localSheetId="62" name="Z_9968795E_3BFB_485F_960E_5F37103E47A5_.wvu.FilterData">'Noon EG'!$A$1:$G$5340</definedName>
    <definedName hidden="1" localSheetId="70" name="Z_9968795E_3BFB_485F_960E_5F37103E47A5_.wvu.FilterData">'Riva Fashion'!$A$1:$D$2014</definedName>
    <definedName hidden="1" localSheetId="74" name="Z_9968795E_3BFB_485F_960E_5F37103E47A5_.wvu.FilterData">Sivvi!$B$1:$B$842</definedName>
    <definedName hidden="1" localSheetId="81" name="Z_9968795E_3BFB_485F_960E_5F37103E47A5_.wvu.FilterData">Tamanna!$A$1:$E$162</definedName>
    <definedName hidden="1" localSheetId="90" name="Z_9968795E_3BFB_485F_960E_5F37103E47A5_.wvu.FilterData">VogaCloset!$A$1:$B$285</definedName>
    <definedName hidden="1" localSheetId="81" name="Z_38469B80_41CE_4C78_901C_399911F3D876_.wvu.FilterData">Tamanna!$A$1:$E$162</definedName>
    <definedName hidden="1" localSheetId="81" name="Z_2127C99F_47BB_493F_AC06_345618C0D030_.wvu.FilterData">Tamanna!$A$1:$E$162</definedName>
    <definedName hidden="1" localSheetId="58" name="Z_4BC5D1F8_6AB7_4253_A826_9AFBB6ED2B05_.wvu.FilterData">NiceOne!$I$1:$O$1958</definedName>
    <definedName hidden="1" localSheetId="62" name="Z_4BC5D1F8_6AB7_4253_A826_9AFBB6ED2B05_.wvu.FilterData">'Noon EG'!$A$1:$D$973</definedName>
    <definedName hidden="1" localSheetId="81" name="Z_4BC5D1F8_6AB7_4253_A826_9AFBB6ED2B05_.wvu.FilterData">Tamanna!$A$1:$E$162</definedName>
    <definedName hidden="1" localSheetId="90" name="Z_4BC5D1F8_6AB7_4253_A826_9AFBB6ED2B05_.wvu.FilterData">VogaCloset!$A$1:$D$457</definedName>
  </definedNames>
  <calcPr/>
  <customWorkbookViews>
    <customWorkbookView activeSheetId="0" maximized="1" windowHeight="0" windowWidth="0" guid="{38469B80-41CE-4C78-901C-399911F3D876}" name="Filter 4"/>
    <customWorkbookView activeSheetId="0" maximized="1" windowHeight="0" windowWidth="0" guid="{4BC5D1F8-6AB7-4253-A826-9AFBB6ED2B05}" name="Filter 2"/>
    <customWorkbookView activeSheetId="0" maximized="1" windowHeight="0" windowWidth="0" guid="{2127C99F-47BB-493F-AC06-345618C0D030}" name="Filter 3"/>
    <customWorkbookView activeSheetId="0" maximized="1" windowHeight="0" windowWidth="0" guid="{9968795E-3BFB-485F-960E-5F37103E47A5}" name="Filter 1"/>
  </customWorkbookViews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A27">
      <text>
        <t xml:space="preserve">@Yasmen.haitham@digizag.com
_Assigned to Yasmen.haitham@digizag.com_
	-Yousef waleed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B1496">
      <text>
        <t xml:space="preserve">@sally.dababneh@digizag.com
_Assigned to sally.dababneh@digizag.com_
	-Yousef waleed</t>
      </text>
    </comment>
  </commentList>
</comments>
</file>

<file path=xl/comments3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B9">
      <text>
        <t xml:space="preserve">@Yasmen.haitham@digizag.com
_Assigned to Yasmen.haitham@digizag.com_
	-Abanoub Sabry
@raji@digizag.com Please we need to get codes for Temu for these ID's
_Reassigned to raji@digizag.com_
	-Abanoub Sabry
_Marked as done_
	-Ahmad Ayyoub
_Re-opened_
Hello @ahmad@digizag.com I can't find the codes in the aff coupons sheet
	-Abanoub Sabry</t>
      </text>
    </comment>
  </commentList>
</comments>
</file>

<file path=xl/sharedStrings.xml><?xml version="1.0" encoding="utf-8"?>
<sst xmlns="http://schemas.openxmlformats.org/spreadsheetml/2006/main" count="67463" uniqueCount="21537">
  <si>
    <t>Affiliate</t>
  </si>
  <si>
    <t>ID</t>
  </si>
  <si>
    <t>Coupon</t>
  </si>
  <si>
    <t>These Coupons will be requested evertime we onboard a new campaign</t>
  </si>
  <si>
    <t xml:space="preserve"> Almowafir</t>
  </si>
  <si>
    <t>ALM</t>
  </si>
  <si>
    <t>Al coupon</t>
  </si>
  <si>
    <t>ALC</t>
  </si>
  <si>
    <t>Amr Mohamed</t>
  </si>
  <si>
    <t>WFRLY</t>
  </si>
  <si>
    <t>Codekhasm</t>
  </si>
  <si>
    <t>CK</t>
  </si>
  <si>
    <t>codopon</t>
  </si>
  <si>
    <t>DON</t>
  </si>
  <si>
    <t>Coupon5sm</t>
  </si>
  <si>
    <t>5sm</t>
  </si>
  <si>
    <t>Couponwafy</t>
  </si>
  <si>
    <t>WAFY</t>
  </si>
  <si>
    <t>WAF</t>
  </si>
  <si>
    <t>Eksmly</t>
  </si>
  <si>
    <t>NNN</t>
  </si>
  <si>
    <t>QQQ</t>
  </si>
  <si>
    <t>EverySaving</t>
  </si>
  <si>
    <t>EV</t>
  </si>
  <si>
    <t>Golden</t>
  </si>
  <si>
    <t>GC</t>
  </si>
  <si>
    <t>Haron Ali</t>
  </si>
  <si>
    <t>HA</t>
  </si>
  <si>
    <t>ibrahim</t>
  </si>
  <si>
    <t>BAH</t>
  </si>
  <si>
    <t>Marwan</t>
  </si>
  <si>
    <t>MRW</t>
  </si>
  <si>
    <t>Qasimah</t>
  </si>
  <si>
    <t>QS</t>
  </si>
  <si>
    <t>QA</t>
  </si>
  <si>
    <t>SAAS</t>
  </si>
  <si>
    <t>Sahseh</t>
  </si>
  <si>
    <t>Sah</t>
  </si>
  <si>
    <t>Waffarly</t>
  </si>
  <si>
    <t>WFR</t>
  </si>
  <si>
    <t>Walaplus</t>
  </si>
  <si>
    <t>Wala2025</t>
  </si>
  <si>
    <t>Bcare</t>
  </si>
  <si>
    <t>URPAY</t>
  </si>
  <si>
    <t>Code</t>
  </si>
  <si>
    <t>ALM1</t>
  </si>
  <si>
    <t>ACLP</t>
  </si>
  <si>
    <t>ALC is not availibe</t>
  </si>
  <si>
    <t>CK1</t>
  </si>
  <si>
    <t>WAFY1</t>
  </si>
  <si>
    <t>WAF1</t>
  </si>
  <si>
    <t>SAHS1</t>
  </si>
  <si>
    <t>SAH is not availibe</t>
  </si>
  <si>
    <t>BB1</t>
  </si>
  <si>
    <t>B1 is not availible</t>
  </si>
  <si>
    <t>PAY</t>
  </si>
  <si>
    <t>RR1</t>
  </si>
  <si>
    <t>RR2</t>
  </si>
  <si>
    <t>RR3</t>
  </si>
  <si>
    <t>RR4</t>
  </si>
  <si>
    <t>RR5</t>
  </si>
  <si>
    <t>RR6</t>
  </si>
  <si>
    <t>RR7</t>
  </si>
  <si>
    <t>RR8</t>
  </si>
  <si>
    <t>RR9</t>
  </si>
  <si>
    <t>R10</t>
  </si>
  <si>
    <t>R11</t>
  </si>
  <si>
    <t>R12</t>
  </si>
  <si>
    <t>R13</t>
  </si>
  <si>
    <t>R14</t>
  </si>
  <si>
    <t>R15</t>
  </si>
  <si>
    <t>R16</t>
  </si>
  <si>
    <t>R17</t>
  </si>
  <si>
    <t>R18</t>
  </si>
  <si>
    <t>R19</t>
  </si>
  <si>
    <t>R20</t>
  </si>
  <si>
    <t>R21</t>
  </si>
  <si>
    <t>R22</t>
  </si>
  <si>
    <t>R23</t>
  </si>
  <si>
    <t>R24</t>
  </si>
  <si>
    <t>R25</t>
  </si>
  <si>
    <t>R26</t>
  </si>
  <si>
    <t>R27</t>
  </si>
  <si>
    <t>R28</t>
  </si>
  <si>
    <t>R29</t>
  </si>
  <si>
    <t>R30</t>
  </si>
  <si>
    <t>R31</t>
  </si>
  <si>
    <t>R32</t>
  </si>
  <si>
    <t>R33</t>
  </si>
  <si>
    <t>R34</t>
  </si>
  <si>
    <t>R35</t>
  </si>
  <si>
    <t>R36</t>
  </si>
  <si>
    <t>R37</t>
  </si>
  <si>
    <t>R38</t>
  </si>
  <si>
    <t>R39</t>
  </si>
  <si>
    <t>R40</t>
  </si>
  <si>
    <t>R41</t>
  </si>
  <si>
    <t>R42</t>
  </si>
  <si>
    <t>R43</t>
  </si>
  <si>
    <t>R44</t>
  </si>
  <si>
    <t>R45</t>
  </si>
  <si>
    <t>R46</t>
  </si>
  <si>
    <t>R47</t>
  </si>
  <si>
    <t>R48</t>
  </si>
  <si>
    <t>R49</t>
  </si>
  <si>
    <t>R50</t>
  </si>
  <si>
    <t>Custom Coupons</t>
  </si>
  <si>
    <t>CKk10</t>
  </si>
  <si>
    <t>5sm11</t>
  </si>
  <si>
    <t>WAFY9</t>
  </si>
  <si>
    <t>WALA2025</t>
  </si>
  <si>
    <t>GC11</t>
  </si>
  <si>
    <t>WAF20</t>
  </si>
  <si>
    <t>ALMW1</t>
  </si>
  <si>
    <t>Sahs1</t>
  </si>
  <si>
    <t>ALC9</t>
  </si>
  <si>
    <t>QA99</t>
  </si>
  <si>
    <t xml:space="preserve">SSS </t>
  </si>
  <si>
    <t>BAH9</t>
  </si>
  <si>
    <t>EXM1</t>
  </si>
  <si>
    <t>EXM2</t>
  </si>
  <si>
    <t>EXM3</t>
  </si>
  <si>
    <t>EXM4</t>
  </si>
  <si>
    <t>EXM5</t>
  </si>
  <si>
    <t>EXM6</t>
  </si>
  <si>
    <t>EXM7</t>
  </si>
  <si>
    <t>EXM8</t>
  </si>
  <si>
    <t>EXM9</t>
  </si>
  <si>
    <t>EXM10</t>
  </si>
  <si>
    <t>EXM11</t>
  </si>
  <si>
    <t>EXM12</t>
  </si>
  <si>
    <t>EXM13</t>
  </si>
  <si>
    <t>EMM1</t>
  </si>
  <si>
    <t>EMM2</t>
  </si>
  <si>
    <t>EMM3</t>
  </si>
  <si>
    <t>EMM4</t>
  </si>
  <si>
    <t>EMM5</t>
  </si>
  <si>
    <t>EMM6</t>
  </si>
  <si>
    <t>SMS1</t>
  </si>
  <si>
    <t>SMS2</t>
  </si>
  <si>
    <t>SMS3</t>
  </si>
  <si>
    <t>SMS4</t>
  </si>
  <si>
    <t>SMS5</t>
  </si>
  <si>
    <t>SMS6</t>
  </si>
  <si>
    <t>CBP1</t>
  </si>
  <si>
    <t>CBP2</t>
  </si>
  <si>
    <t>CBP3</t>
  </si>
  <si>
    <t>CBP4</t>
  </si>
  <si>
    <t>CBP5</t>
  </si>
  <si>
    <t>CBP6</t>
  </si>
  <si>
    <t>CBP7</t>
  </si>
  <si>
    <t>NA1</t>
  </si>
  <si>
    <t>NA2</t>
  </si>
  <si>
    <t>NA3</t>
  </si>
  <si>
    <t>NA4</t>
  </si>
  <si>
    <t>NA5</t>
  </si>
  <si>
    <t>NA6</t>
  </si>
  <si>
    <t>NA7</t>
  </si>
  <si>
    <t>NA8</t>
  </si>
  <si>
    <t>NA9</t>
  </si>
  <si>
    <t>NA10</t>
  </si>
  <si>
    <t>NA11</t>
  </si>
  <si>
    <t>SM1</t>
  </si>
  <si>
    <t>SM2</t>
  </si>
  <si>
    <t>SM3</t>
  </si>
  <si>
    <t>SM4</t>
  </si>
  <si>
    <t>SM5</t>
  </si>
  <si>
    <t>SM6</t>
  </si>
  <si>
    <t>SM7</t>
  </si>
  <si>
    <t>SM8</t>
  </si>
  <si>
    <t>SM9</t>
  </si>
  <si>
    <t>SM10</t>
  </si>
  <si>
    <t>SM11</t>
  </si>
  <si>
    <t>SM12</t>
  </si>
  <si>
    <t>SM13</t>
  </si>
  <si>
    <t>AP1</t>
  </si>
  <si>
    <t>AP2</t>
  </si>
  <si>
    <t>AP3</t>
  </si>
  <si>
    <t>AP4</t>
  </si>
  <si>
    <t>AP5</t>
  </si>
  <si>
    <t>AP6</t>
  </si>
  <si>
    <t>AP7</t>
  </si>
  <si>
    <t xml:space="preserve"> </t>
  </si>
  <si>
    <t>AP8</t>
  </si>
  <si>
    <t>AP9</t>
  </si>
  <si>
    <t>AP10</t>
  </si>
  <si>
    <t>AP11</t>
  </si>
  <si>
    <t>CW1</t>
  </si>
  <si>
    <t>CW2</t>
  </si>
  <si>
    <t>CW3</t>
  </si>
  <si>
    <t>CW4</t>
  </si>
  <si>
    <t>CW5</t>
  </si>
  <si>
    <t>CW6</t>
  </si>
  <si>
    <t>CW7</t>
  </si>
  <si>
    <t>CW8</t>
  </si>
  <si>
    <t>CW9</t>
  </si>
  <si>
    <t>CW10</t>
  </si>
  <si>
    <t>CW11</t>
  </si>
  <si>
    <t>CW12</t>
  </si>
  <si>
    <t>CW13</t>
  </si>
  <si>
    <t>CW14</t>
  </si>
  <si>
    <t>CW15</t>
  </si>
  <si>
    <t>GS1</t>
  </si>
  <si>
    <t>GS2</t>
  </si>
  <si>
    <t>GS3</t>
  </si>
  <si>
    <t>GS4</t>
  </si>
  <si>
    <t>RP1</t>
  </si>
  <si>
    <t>influencer</t>
  </si>
  <si>
    <t>RP2</t>
  </si>
  <si>
    <t>RP3</t>
  </si>
  <si>
    <t>RP4</t>
  </si>
  <si>
    <t>RP5</t>
  </si>
  <si>
    <t>RP6</t>
  </si>
  <si>
    <t>RP7</t>
  </si>
  <si>
    <t>RP8</t>
  </si>
  <si>
    <t>RP9</t>
  </si>
  <si>
    <t>RP10</t>
  </si>
  <si>
    <t>RP11</t>
  </si>
  <si>
    <t>DWW7</t>
  </si>
  <si>
    <t xml:space="preserve">Habibi </t>
  </si>
  <si>
    <t>bcare</t>
  </si>
  <si>
    <t>DH1</t>
  </si>
  <si>
    <t>DH2</t>
  </si>
  <si>
    <t>DH3</t>
  </si>
  <si>
    <t>DH4</t>
  </si>
  <si>
    <t>DH5</t>
  </si>
  <si>
    <t>DH6</t>
  </si>
  <si>
    <t>DH7</t>
  </si>
  <si>
    <t>DH8</t>
  </si>
  <si>
    <t>DH9</t>
  </si>
  <si>
    <t>DH10</t>
  </si>
  <si>
    <t>DH11</t>
  </si>
  <si>
    <t>DH12</t>
  </si>
  <si>
    <t>DH13</t>
  </si>
  <si>
    <t>DH14</t>
  </si>
  <si>
    <t>DH15</t>
  </si>
  <si>
    <t>DH16</t>
  </si>
  <si>
    <t>DH17</t>
  </si>
  <si>
    <t>DH18</t>
  </si>
  <si>
    <t>DH19</t>
  </si>
  <si>
    <t>DH20</t>
  </si>
  <si>
    <t>DH21</t>
  </si>
  <si>
    <t>DH22</t>
  </si>
  <si>
    <t>DH23</t>
  </si>
  <si>
    <t>DH24</t>
  </si>
  <si>
    <t>DH25</t>
  </si>
  <si>
    <t>Discount</t>
  </si>
  <si>
    <t>Offer ID</t>
  </si>
  <si>
    <t>new customer payout</t>
  </si>
  <si>
    <t>old customer payout</t>
  </si>
  <si>
    <t>type</t>
  </si>
  <si>
    <t>end date</t>
  </si>
  <si>
    <t xml:space="preserve">recycled 11/dec/2024 , sales since sep </t>
  </si>
  <si>
    <t>RAN160</t>
  </si>
  <si>
    <t>percentage</t>
  </si>
  <si>
    <t>RAN161</t>
  </si>
  <si>
    <t>RAN162</t>
  </si>
  <si>
    <t>RAN163</t>
  </si>
  <si>
    <t>RAN164</t>
  </si>
  <si>
    <t>RAN165</t>
  </si>
  <si>
    <t>RAN166</t>
  </si>
  <si>
    <t>RAN167</t>
  </si>
  <si>
    <t>RAN168</t>
  </si>
  <si>
    <t>RAN151</t>
  </si>
  <si>
    <t>RAN152</t>
  </si>
  <si>
    <t>RAN153</t>
  </si>
  <si>
    <t>RAN154</t>
  </si>
  <si>
    <t>RAN159</t>
  </si>
  <si>
    <t>RAN220</t>
  </si>
  <si>
    <t>RAN221</t>
  </si>
  <si>
    <t>RAN222</t>
  </si>
  <si>
    <t>RAN223</t>
  </si>
  <si>
    <t>RAN224</t>
  </si>
  <si>
    <t>RAN225</t>
  </si>
  <si>
    <t>RAN226</t>
  </si>
  <si>
    <t>RAN227</t>
  </si>
  <si>
    <t>RAN228</t>
  </si>
  <si>
    <t>RAN229</t>
  </si>
  <si>
    <t>RAN230</t>
  </si>
  <si>
    <t>RAN231</t>
  </si>
  <si>
    <t>RAN232</t>
  </si>
  <si>
    <t>RAN233</t>
  </si>
  <si>
    <t>RAN234</t>
  </si>
  <si>
    <t>RAN169</t>
  </si>
  <si>
    <t>RAN6</t>
  </si>
  <si>
    <t>15% UAE Only</t>
  </si>
  <si>
    <t>RAN7</t>
  </si>
  <si>
    <t>RAN8</t>
  </si>
  <si>
    <t>RAN9</t>
  </si>
  <si>
    <t>RAN10</t>
  </si>
  <si>
    <t>Links</t>
  </si>
  <si>
    <t>https://click.linksynergy.com/deeplink?id=fFKr9m2PBw4&amp;mid=50702&amp;murl=https%3A%2F%2Fwww.adidas.ae%2F&amp;u1=14560</t>
  </si>
  <si>
    <t>https://click.linksynergy.com/deeplink?id=fFKr9m2PBw4&amp;mid=52993&amp;murl=https%3A%2F%2Fwww.adidas.sa%2Fen&amp;u1=14465</t>
  </si>
  <si>
    <t>https://click.linksynergy.com/deeplink?id=fFKr9m2PBw4&amp;mid=50702&amp;murl=https%3A%2F%2Fwww.adidas.ae%2F&amp;u1=14465</t>
  </si>
  <si>
    <t xml:space="preserve"> Discount</t>
  </si>
  <si>
    <t>Coupon Codes
10% discount flat</t>
  </si>
  <si>
    <t>10% 25 aed Cap</t>
  </si>
  <si>
    <t>5SM1</t>
  </si>
  <si>
    <t>ALC1</t>
  </si>
  <si>
    <t>AD1</t>
  </si>
  <si>
    <t>AD2</t>
  </si>
  <si>
    <t>AD3</t>
  </si>
  <si>
    <t>AD4</t>
  </si>
  <si>
    <t>AD5</t>
  </si>
  <si>
    <t>AD6</t>
  </si>
  <si>
    <t>AD7</t>
  </si>
  <si>
    <t>AD8</t>
  </si>
  <si>
    <t>AD9</t>
  </si>
  <si>
    <t>AD10</t>
  </si>
  <si>
    <t>AD11</t>
  </si>
  <si>
    <t>AD12</t>
  </si>
  <si>
    <t>AD13</t>
  </si>
  <si>
    <t>AD14</t>
  </si>
  <si>
    <t>AD15</t>
  </si>
  <si>
    <t>AD16</t>
  </si>
  <si>
    <t>AD17</t>
  </si>
  <si>
    <t>AD18</t>
  </si>
  <si>
    <t>AD19</t>
  </si>
  <si>
    <t>AD20</t>
  </si>
  <si>
    <t>AD21</t>
  </si>
  <si>
    <t>AD22</t>
  </si>
  <si>
    <t>AD23</t>
  </si>
  <si>
    <t>AD24</t>
  </si>
  <si>
    <t>AD25</t>
  </si>
  <si>
    <t>AD26</t>
  </si>
  <si>
    <t>AD27</t>
  </si>
  <si>
    <t>AD28</t>
  </si>
  <si>
    <t>AD29</t>
  </si>
  <si>
    <t>AD30</t>
  </si>
  <si>
    <t>AD31</t>
  </si>
  <si>
    <t>AD32</t>
  </si>
  <si>
    <t>AD33</t>
  </si>
  <si>
    <t>AD34</t>
  </si>
  <si>
    <t>AD35</t>
  </si>
  <si>
    <t>AD36</t>
  </si>
  <si>
    <t>AD37</t>
  </si>
  <si>
    <t>AD38</t>
  </si>
  <si>
    <t>AD39</t>
  </si>
  <si>
    <t>AD40</t>
  </si>
  <si>
    <t>AD41</t>
  </si>
  <si>
    <t>AD42</t>
  </si>
  <si>
    <t>AD43</t>
  </si>
  <si>
    <t>AD44</t>
  </si>
  <si>
    <t>AD45</t>
  </si>
  <si>
    <t>AD46</t>
  </si>
  <si>
    <t>AD47</t>
  </si>
  <si>
    <t>AD48</t>
  </si>
  <si>
    <t>AD49</t>
  </si>
  <si>
    <t>AD50</t>
  </si>
  <si>
    <t>AD51</t>
  </si>
  <si>
    <t>AD52</t>
  </si>
  <si>
    <t>AD53</t>
  </si>
  <si>
    <t>AD54</t>
  </si>
  <si>
    <t>AD55</t>
  </si>
  <si>
    <t>AD56</t>
  </si>
  <si>
    <t>AD57</t>
  </si>
  <si>
    <t>AD58</t>
  </si>
  <si>
    <t>AD59</t>
  </si>
  <si>
    <t>AD60</t>
  </si>
  <si>
    <t>AD61</t>
  </si>
  <si>
    <t>AD62</t>
  </si>
  <si>
    <t>AD63</t>
  </si>
  <si>
    <t>AD64</t>
  </si>
  <si>
    <t>AD65</t>
  </si>
  <si>
    <t>AD66</t>
  </si>
  <si>
    <t>AD67</t>
  </si>
  <si>
    <t>AD68</t>
  </si>
  <si>
    <t>AD69</t>
  </si>
  <si>
    <t>AD70</t>
  </si>
  <si>
    <t>AD71</t>
  </si>
  <si>
    <t>AD72</t>
  </si>
  <si>
    <t>AD73</t>
  </si>
  <si>
    <t>AD74</t>
  </si>
  <si>
    <t>AD75</t>
  </si>
  <si>
    <t>AD76</t>
  </si>
  <si>
    <t>AD77</t>
  </si>
  <si>
    <t>AD78</t>
  </si>
  <si>
    <t>AD79</t>
  </si>
  <si>
    <t>AD80</t>
  </si>
  <si>
    <t>AD81</t>
  </si>
  <si>
    <t>AD82</t>
  </si>
  <si>
    <t>AD83</t>
  </si>
  <si>
    <t>AD84</t>
  </si>
  <si>
    <t>AD85</t>
  </si>
  <si>
    <t>AD86</t>
  </si>
  <si>
    <t>AD87</t>
  </si>
  <si>
    <t>AD88</t>
  </si>
  <si>
    <t>AD89</t>
  </si>
  <si>
    <t>AD90</t>
  </si>
  <si>
    <t>AD91</t>
  </si>
  <si>
    <t>AD92</t>
  </si>
  <si>
    <t>AD93</t>
  </si>
  <si>
    <t>AD94</t>
  </si>
  <si>
    <t>AD95</t>
  </si>
  <si>
    <t>N1</t>
  </si>
  <si>
    <t>new customer 20% 20 aed Cap</t>
  </si>
  <si>
    <t>N2</t>
  </si>
  <si>
    <t>N3</t>
  </si>
  <si>
    <t>N4</t>
  </si>
  <si>
    <t>N5</t>
  </si>
  <si>
    <t>N6</t>
  </si>
  <si>
    <t>N7</t>
  </si>
  <si>
    <t>N8</t>
  </si>
  <si>
    <t>N9</t>
  </si>
  <si>
    <t>N10</t>
  </si>
  <si>
    <t>N11</t>
  </si>
  <si>
    <t>N12</t>
  </si>
  <si>
    <t>N13</t>
  </si>
  <si>
    <t>N14</t>
  </si>
  <si>
    <t>N15</t>
  </si>
  <si>
    <t>N16</t>
  </si>
  <si>
    <t>N17</t>
  </si>
  <si>
    <t>N18</t>
  </si>
  <si>
    <t>N19</t>
  </si>
  <si>
    <t>N20</t>
  </si>
  <si>
    <t>N21</t>
  </si>
  <si>
    <t>N22</t>
  </si>
  <si>
    <t>N23</t>
  </si>
  <si>
    <t>N24</t>
  </si>
  <si>
    <t>N25</t>
  </si>
  <si>
    <t>N26</t>
  </si>
  <si>
    <t>N27</t>
  </si>
  <si>
    <t>N28</t>
  </si>
  <si>
    <t>N29</t>
  </si>
  <si>
    <t>N30</t>
  </si>
  <si>
    <t>N31</t>
  </si>
  <si>
    <t>N32</t>
  </si>
  <si>
    <t>N33</t>
  </si>
  <si>
    <t>N34</t>
  </si>
  <si>
    <t>N35</t>
  </si>
  <si>
    <t>N36</t>
  </si>
  <si>
    <t>N37</t>
  </si>
  <si>
    <t>N38</t>
  </si>
  <si>
    <t>N39</t>
  </si>
  <si>
    <t>N40</t>
  </si>
  <si>
    <t>N41</t>
  </si>
  <si>
    <t>N42</t>
  </si>
  <si>
    <t>N43</t>
  </si>
  <si>
    <t>N44</t>
  </si>
  <si>
    <t>N45</t>
  </si>
  <si>
    <t>N46</t>
  </si>
  <si>
    <t>N47</t>
  </si>
  <si>
    <t>N48</t>
  </si>
  <si>
    <t>N49</t>
  </si>
  <si>
    <t>N50</t>
  </si>
  <si>
    <t>N51</t>
  </si>
  <si>
    <t>N52</t>
  </si>
  <si>
    <t>N53</t>
  </si>
  <si>
    <t>N54</t>
  </si>
  <si>
    <t>N55</t>
  </si>
  <si>
    <t>N56</t>
  </si>
  <si>
    <t>N57</t>
  </si>
  <si>
    <t>N58</t>
  </si>
  <si>
    <t>N59</t>
  </si>
  <si>
    <t>N60</t>
  </si>
  <si>
    <t>N61</t>
  </si>
  <si>
    <t>N62</t>
  </si>
  <si>
    <t>N63</t>
  </si>
  <si>
    <t>N64</t>
  </si>
  <si>
    <t>N65</t>
  </si>
  <si>
    <t>N66</t>
  </si>
  <si>
    <t>N67</t>
  </si>
  <si>
    <t>N68</t>
  </si>
  <si>
    <t>N69</t>
  </si>
  <si>
    <t>N70</t>
  </si>
  <si>
    <t>N71</t>
  </si>
  <si>
    <t>N72</t>
  </si>
  <si>
    <t>N73</t>
  </si>
  <si>
    <t>N74</t>
  </si>
  <si>
    <t>N75</t>
  </si>
  <si>
    <t>N76</t>
  </si>
  <si>
    <t>N77</t>
  </si>
  <si>
    <t>N78</t>
  </si>
  <si>
    <t>N79</t>
  </si>
  <si>
    <t>N80</t>
  </si>
  <si>
    <t>N81</t>
  </si>
  <si>
    <t>N82</t>
  </si>
  <si>
    <t>N83</t>
  </si>
  <si>
    <t>N84</t>
  </si>
  <si>
    <t>N85</t>
  </si>
  <si>
    <t>N86</t>
  </si>
  <si>
    <t>N91</t>
  </si>
  <si>
    <t>N92</t>
  </si>
  <si>
    <t>N93</t>
  </si>
  <si>
    <t>N94</t>
  </si>
  <si>
    <t>N95</t>
  </si>
  <si>
    <t>N96</t>
  </si>
  <si>
    <t>N97</t>
  </si>
  <si>
    <t>N98</t>
  </si>
  <si>
    <t>N99</t>
  </si>
  <si>
    <t>N100</t>
  </si>
  <si>
    <t>AD96</t>
  </si>
  <si>
    <t>AD97</t>
  </si>
  <si>
    <t>AD98</t>
  </si>
  <si>
    <t>New customer 20% discount codes</t>
  </si>
  <si>
    <t>N87</t>
  </si>
  <si>
    <t>N88</t>
  </si>
  <si>
    <t>N89</t>
  </si>
  <si>
    <t>N90</t>
  </si>
  <si>
    <t>5%
Not applicable on tax and delivery</t>
  </si>
  <si>
    <t>ALC2</t>
  </si>
  <si>
    <t>WFRLY1</t>
  </si>
  <si>
    <t>5sm2</t>
  </si>
  <si>
    <t>URPAY1</t>
  </si>
  <si>
    <t>RR10</t>
  </si>
  <si>
    <t>RR11</t>
  </si>
  <si>
    <t>RR12</t>
  </si>
  <si>
    <t>RR13</t>
  </si>
  <si>
    <t>RR14</t>
  </si>
  <si>
    <t>RR15</t>
  </si>
  <si>
    <t>RR16</t>
  </si>
  <si>
    <t>RR17</t>
  </si>
  <si>
    <t>RR18</t>
  </si>
  <si>
    <t>RR19</t>
  </si>
  <si>
    <t>RR20</t>
  </si>
  <si>
    <t>RR21</t>
  </si>
  <si>
    <t>RR22</t>
  </si>
  <si>
    <t>RR23</t>
  </si>
  <si>
    <t>RR24</t>
  </si>
  <si>
    <t>RR25</t>
  </si>
  <si>
    <t>RR26</t>
  </si>
  <si>
    <t>RR27</t>
  </si>
  <si>
    <t>RR28</t>
  </si>
  <si>
    <t>RR29</t>
  </si>
  <si>
    <t>RR30</t>
  </si>
  <si>
    <t>RR31</t>
  </si>
  <si>
    <t>RR32</t>
  </si>
  <si>
    <t>RR33</t>
  </si>
  <si>
    <t>RR34</t>
  </si>
  <si>
    <t>RR35</t>
  </si>
  <si>
    <t>RR36</t>
  </si>
  <si>
    <t>RR37</t>
  </si>
  <si>
    <t>RR38</t>
  </si>
  <si>
    <t>RR39</t>
  </si>
  <si>
    <t>RR40</t>
  </si>
  <si>
    <t>RR41</t>
  </si>
  <si>
    <t>RR42</t>
  </si>
  <si>
    <t>RR43</t>
  </si>
  <si>
    <t>RR44</t>
  </si>
  <si>
    <t>RR45</t>
  </si>
  <si>
    <t>RR46</t>
  </si>
  <si>
    <t>RR47</t>
  </si>
  <si>
    <t>RR48</t>
  </si>
  <si>
    <t>RR49</t>
  </si>
  <si>
    <t>RR50</t>
  </si>
  <si>
    <t>RR51</t>
  </si>
  <si>
    <t>RR52</t>
  </si>
  <si>
    <t>RR53</t>
  </si>
  <si>
    <t>RR54</t>
  </si>
  <si>
    <t>RR55</t>
  </si>
  <si>
    <t>RR56</t>
  </si>
  <si>
    <t>RR57</t>
  </si>
  <si>
    <t>RR58</t>
  </si>
  <si>
    <t>RR59</t>
  </si>
  <si>
    <t>RR60</t>
  </si>
  <si>
    <t>RR61</t>
  </si>
  <si>
    <t>RR62</t>
  </si>
  <si>
    <t>RR63</t>
  </si>
  <si>
    <t>RR64</t>
  </si>
  <si>
    <t>RR65</t>
  </si>
  <si>
    <t>RR66</t>
  </si>
  <si>
    <t>RR67</t>
  </si>
  <si>
    <t>RR68</t>
  </si>
  <si>
    <t>RR69</t>
  </si>
  <si>
    <t>RR70</t>
  </si>
  <si>
    <t>RR71</t>
  </si>
  <si>
    <t>RR72</t>
  </si>
  <si>
    <t>RR73</t>
  </si>
  <si>
    <t>RR74</t>
  </si>
  <si>
    <t>RR75</t>
  </si>
  <si>
    <t>RR76</t>
  </si>
  <si>
    <t>RR77</t>
  </si>
  <si>
    <t>RR78</t>
  </si>
  <si>
    <t>RR79</t>
  </si>
  <si>
    <t>RR80</t>
  </si>
  <si>
    <t>RR81</t>
  </si>
  <si>
    <t>RR82</t>
  </si>
  <si>
    <t>RR83</t>
  </si>
  <si>
    <t>RR84</t>
  </si>
  <si>
    <t>RR85</t>
  </si>
  <si>
    <t>RR86</t>
  </si>
  <si>
    <t>RR87</t>
  </si>
  <si>
    <t>RR88</t>
  </si>
  <si>
    <t>RR89</t>
  </si>
  <si>
    <t>RR90</t>
  </si>
  <si>
    <t>RR91</t>
  </si>
  <si>
    <t>RR92</t>
  </si>
  <si>
    <t>RR93</t>
  </si>
  <si>
    <t>RR94</t>
  </si>
  <si>
    <t>RR95</t>
  </si>
  <si>
    <t>RR96</t>
  </si>
  <si>
    <t>RR97</t>
  </si>
  <si>
    <t>RR98</t>
  </si>
  <si>
    <t>RR99</t>
  </si>
  <si>
    <t>RR100</t>
  </si>
  <si>
    <t>codes</t>
  </si>
  <si>
    <t>VGXI</t>
  </si>
  <si>
    <t>VPJD</t>
  </si>
  <si>
    <t>VAHW</t>
  </si>
  <si>
    <t>V8M6</t>
  </si>
  <si>
    <t>VNMB</t>
  </si>
  <si>
    <t>VWHE</t>
  </si>
  <si>
    <t>VLG6</t>
  </si>
  <si>
    <t>V0OI</t>
  </si>
  <si>
    <t>V8Z9</t>
  </si>
  <si>
    <t>VUJP</t>
  </si>
  <si>
    <t>V9H4</t>
  </si>
  <si>
    <t>V5PO</t>
  </si>
  <si>
    <t>VA44</t>
  </si>
  <si>
    <t>VTQF</t>
  </si>
  <si>
    <t>VRZV</t>
  </si>
  <si>
    <t>V2G8</t>
  </si>
  <si>
    <t>VYPF</t>
  </si>
  <si>
    <t>V5ZE</t>
  </si>
  <si>
    <t>V684</t>
  </si>
  <si>
    <t>VGM4</t>
  </si>
  <si>
    <t>V4L1</t>
  </si>
  <si>
    <t>VNTW</t>
  </si>
  <si>
    <t>V2MU</t>
  </si>
  <si>
    <t>V5TS</t>
  </si>
  <si>
    <t>VT5O</t>
  </si>
  <si>
    <t>V2NL</t>
  </si>
  <si>
    <t>VD0W</t>
  </si>
  <si>
    <t>VZBA</t>
  </si>
  <si>
    <t>VSKO</t>
  </si>
  <si>
    <t>VKU4</t>
  </si>
  <si>
    <t>VIW8</t>
  </si>
  <si>
    <t>V0LG</t>
  </si>
  <si>
    <t>VU3I</t>
  </si>
  <si>
    <t>V55U</t>
  </si>
  <si>
    <t>VPL8</t>
  </si>
  <si>
    <t>V7MA</t>
  </si>
  <si>
    <t>VBPM</t>
  </si>
  <si>
    <t>V0VA</t>
  </si>
  <si>
    <t>VZG7</t>
  </si>
  <si>
    <t>VR2B</t>
  </si>
  <si>
    <t>VGDW</t>
  </si>
  <si>
    <t>VL0C</t>
  </si>
  <si>
    <t>VO3Q</t>
  </si>
  <si>
    <t>V0K0</t>
  </si>
  <si>
    <t>V9WU</t>
  </si>
  <si>
    <t>VW3K</t>
  </si>
  <si>
    <t>VWXS</t>
  </si>
  <si>
    <t>VXYT</t>
  </si>
  <si>
    <t>VYSB</t>
  </si>
  <si>
    <t>VMXQ</t>
  </si>
  <si>
    <t>V56U</t>
  </si>
  <si>
    <t>VOTA</t>
  </si>
  <si>
    <t>VW8A</t>
  </si>
  <si>
    <t>V27X</t>
  </si>
  <si>
    <t>VM25</t>
  </si>
  <si>
    <t>VN4Z</t>
  </si>
  <si>
    <t>VWJ1</t>
  </si>
  <si>
    <t>VXQP</t>
  </si>
  <si>
    <t>VULL</t>
  </si>
  <si>
    <t>VYII</t>
  </si>
  <si>
    <t>VKRP</t>
  </si>
  <si>
    <t>V9IB</t>
  </si>
  <si>
    <t>V14J</t>
  </si>
  <si>
    <t>VC6T</t>
  </si>
  <si>
    <t>VI9R</t>
  </si>
  <si>
    <t>V0J0</t>
  </si>
  <si>
    <t>VV23</t>
  </si>
  <si>
    <t>VU67</t>
  </si>
  <si>
    <t>V8T4</t>
  </si>
  <si>
    <t>VIQP</t>
  </si>
  <si>
    <t>VSZU</t>
  </si>
  <si>
    <t>VF7L</t>
  </si>
  <si>
    <t>VPDI</t>
  </si>
  <si>
    <t>VR6M</t>
  </si>
  <si>
    <t>V0ED</t>
  </si>
  <si>
    <t>V7YZ</t>
  </si>
  <si>
    <t>V56H</t>
  </si>
  <si>
    <t>V099</t>
  </si>
  <si>
    <t>VIOT</t>
  </si>
  <si>
    <t>VTBT</t>
  </si>
  <si>
    <t>VKKM</t>
  </si>
  <si>
    <t>VB3T</t>
  </si>
  <si>
    <t>VR1L</t>
  </si>
  <si>
    <t>V5D7</t>
  </si>
  <si>
    <t>V6PM</t>
  </si>
  <si>
    <t>VUHS</t>
  </si>
  <si>
    <t>V8SP</t>
  </si>
  <si>
    <t>VAWE</t>
  </si>
  <si>
    <t>V8YK</t>
  </si>
  <si>
    <t>V10R</t>
  </si>
  <si>
    <t>V0Q0</t>
  </si>
  <si>
    <t>VMTW</t>
  </si>
  <si>
    <t>VQ2U</t>
  </si>
  <si>
    <t>VZ70</t>
  </si>
  <si>
    <t>V496</t>
  </si>
  <si>
    <t>VUYH</t>
  </si>
  <si>
    <t>V0I6</t>
  </si>
  <si>
    <t>VOTL</t>
  </si>
  <si>
    <t>VT0C</t>
  </si>
  <si>
    <t>VEB9</t>
  </si>
  <si>
    <t>VF1X</t>
  </si>
  <si>
    <t>VSO3</t>
  </si>
  <si>
    <t>V4NK</t>
  </si>
  <si>
    <t>VEWK</t>
  </si>
  <si>
    <t>VTEV</t>
  </si>
  <si>
    <t>VU7F</t>
  </si>
  <si>
    <t>V196</t>
  </si>
  <si>
    <t>VT66</t>
  </si>
  <si>
    <t>VNE8</t>
  </si>
  <si>
    <t>V2K0</t>
  </si>
  <si>
    <t>V4C4</t>
  </si>
  <si>
    <t>VZTX</t>
  </si>
  <si>
    <t>VK9S</t>
  </si>
  <si>
    <t>V1W6</t>
  </si>
  <si>
    <t>VCNT</t>
  </si>
  <si>
    <t>VZZJ</t>
  </si>
  <si>
    <t>VPJN</t>
  </si>
  <si>
    <t>VE7P</t>
  </si>
  <si>
    <t>V6KS</t>
  </si>
  <si>
    <t>V3YI</t>
  </si>
  <si>
    <t>VM1A</t>
  </si>
  <si>
    <t>VS6F</t>
  </si>
  <si>
    <t>V8GU</t>
  </si>
  <si>
    <t>VOR0</t>
  </si>
  <si>
    <t>VLVA</t>
  </si>
  <si>
    <t>V4ZN</t>
  </si>
  <si>
    <t>VE5R</t>
  </si>
  <si>
    <t>V5QU</t>
  </si>
  <si>
    <t>VUI8</t>
  </si>
  <si>
    <t>VZHG</t>
  </si>
  <si>
    <t>VK11</t>
  </si>
  <si>
    <t>VKQA</t>
  </si>
  <si>
    <t>VXLH</t>
  </si>
  <si>
    <t>V8VF</t>
  </si>
  <si>
    <t>VB1S</t>
  </si>
  <si>
    <t>VMUC</t>
  </si>
  <si>
    <t>VT44</t>
  </si>
  <si>
    <t>V19E</t>
  </si>
  <si>
    <t>VDQH</t>
  </si>
  <si>
    <t>VQPW</t>
  </si>
  <si>
    <t>VV90</t>
  </si>
  <si>
    <t>VKEC</t>
  </si>
  <si>
    <t>VZ3F</t>
  </si>
  <si>
    <t>VDBL</t>
  </si>
  <si>
    <t>VOP8</t>
  </si>
  <si>
    <t>VVJJ</t>
  </si>
  <si>
    <t>VQKI</t>
  </si>
  <si>
    <t>VBZK</t>
  </si>
  <si>
    <t>V3HE</t>
  </si>
  <si>
    <t>VDA0</t>
  </si>
  <si>
    <t>VHC1</t>
  </si>
  <si>
    <t>VKQG</t>
  </si>
  <si>
    <t>VSKF</t>
  </si>
  <si>
    <t>VZWD</t>
  </si>
  <si>
    <t>V6L8</t>
  </si>
  <si>
    <t>VHCU</t>
  </si>
  <si>
    <t>VG56</t>
  </si>
  <si>
    <t>VQ7A</t>
  </si>
  <si>
    <t>VFWU</t>
  </si>
  <si>
    <t>VSLR</t>
  </si>
  <si>
    <t>VFJZ</t>
  </si>
  <si>
    <t>V1QY</t>
  </si>
  <si>
    <t>VX3T</t>
  </si>
  <si>
    <t>VRJ7</t>
  </si>
  <si>
    <t>VXPZ</t>
  </si>
  <si>
    <t>V6CD</t>
  </si>
  <si>
    <t>V92L</t>
  </si>
  <si>
    <t>VM4B</t>
  </si>
  <si>
    <t>VT0O</t>
  </si>
  <si>
    <t>VMN1</t>
  </si>
  <si>
    <t>VWVD</t>
  </si>
  <si>
    <t>V38Q</t>
  </si>
  <si>
    <t>VVVS</t>
  </si>
  <si>
    <t>VTV9</t>
  </si>
  <si>
    <t>VTM7</t>
  </si>
  <si>
    <t>VMFU</t>
  </si>
  <si>
    <t>VUNM</t>
  </si>
  <si>
    <t>VTSE</t>
  </si>
  <si>
    <t>VVVE</t>
  </si>
  <si>
    <t>VK7Q</t>
  </si>
  <si>
    <t>VKEE</t>
  </si>
  <si>
    <t>V2L3</t>
  </si>
  <si>
    <t>V740</t>
  </si>
  <si>
    <t>V5GG</t>
  </si>
  <si>
    <t>V9JN</t>
  </si>
  <si>
    <t>V5DZ</t>
  </si>
  <si>
    <t>V2YE</t>
  </si>
  <si>
    <t>V8O3</t>
  </si>
  <si>
    <t>VYHE</t>
  </si>
  <si>
    <t>VYRT</t>
  </si>
  <si>
    <t>VTC4</t>
  </si>
  <si>
    <t>V01O</t>
  </si>
  <si>
    <t>VU51</t>
  </si>
  <si>
    <t>V58N</t>
  </si>
  <si>
    <t>VZSQ</t>
  </si>
  <si>
    <t>VVYT</t>
  </si>
  <si>
    <t>VAE8</t>
  </si>
  <si>
    <t>VVNH</t>
  </si>
  <si>
    <t>VSAR</t>
  </si>
  <si>
    <t>VVHI</t>
  </si>
  <si>
    <t>V5GX</t>
  </si>
  <si>
    <t>V0M6</t>
  </si>
  <si>
    <t>VNIF</t>
  </si>
  <si>
    <t>VQ87</t>
  </si>
  <si>
    <t>VKZ6</t>
  </si>
  <si>
    <t>VSPH</t>
  </si>
  <si>
    <t>VC3S</t>
  </si>
  <si>
    <t>VXGO</t>
  </si>
  <si>
    <t>VLYA</t>
  </si>
  <si>
    <t>VNS4</t>
  </si>
  <si>
    <t>V2X8</t>
  </si>
  <si>
    <t>VJ82</t>
  </si>
  <si>
    <t>V3LA</t>
  </si>
  <si>
    <t>VT8K</t>
  </si>
  <si>
    <t>VFOH</t>
  </si>
  <si>
    <t>VVSG</t>
  </si>
  <si>
    <t>VQQ5</t>
  </si>
  <si>
    <t>VSVX</t>
  </si>
  <si>
    <t>VCSF</t>
  </si>
  <si>
    <t>VX9J</t>
  </si>
  <si>
    <t>VLTQ</t>
  </si>
  <si>
    <t>VVV9</t>
  </si>
  <si>
    <t>V5BA</t>
  </si>
  <si>
    <t>VDIP</t>
  </si>
  <si>
    <t>VQV3</t>
  </si>
  <si>
    <t>VEW3</t>
  </si>
  <si>
    <t>VHSI</t>
  </si>
  <si>
    <t>VOV6</t>
  </si>
  <si>
    <t>VLUV</t>
  </si>
  <si>
    <t>VP3Y</t>
  </si>
  <si>
    <t>VFNB</t>
  </si>
  <si>
    <t>V5CY</t>
  </si>
  <si>
    <t>V0A2</t>
  </si>
  <si>
    <t>VAK3</t>
  </si>
  <si>
    <t>V34O</t>
  </si>
  <si>
    <t>V06V</t>
  </si>
  <si>
    <t>V3HP</t>
  </si>
  <si>
    <t>VUA7</t>
  </si>
  <si>
    <t>VQXY</t>
  </si>
  <si>
    <t>VURB</t>
  </si>
  <si>
    <t>VO00</t>
  </si>
  <si>
    <t>VJSK</t>
  </si>
  <si>
    <t>V4CJ</t>
  </si>
  <si>
    <t>VP83</t>
  </si>
  <si>
    <t>VETC</t>
  </si>
  <si>
    <t>VLSH</t>
  </si>
  <si>
    <t>VWXJ</t>
  </si>
  <si>
    <t>VCB9</t>
  </si>
  <si>
    <t>VQEI</t>
  </si>
  <si>
    <t>VPL0</t>
  </si>
  <si>
    <t>VJTZ</t>
  </si>
  <si>
    <t>V25T</t>
  </si>
  <si>
    <t>VVCF</t>
  </si>
  <si>
    <t>VH27</t>
  </si>
  <si>
    <t>V51Y</t>
  </si>
  <si>
    <t>V1G9</t>
  </si>
  <si>
    <t>V1GH</t>
  </si>
  <si>
    <t>VZKQ</t>
  </si>
  <si>
    <t>V8KN</t>
  </si>
  <si>
    <t>VGS7</t>
  </si>
  <si>
    <t>VLTA</t>
  </si>
  <si>
    <t>V4II</t>
  </si>
  <si>
    <t>VTFE</t>
  </si>
  <si>
    <t>VYLP</t>
  </si>
  <si>
    <t>VKYO</t>
  </si>
  <si>
    <t>VJX8</t>
  </si>
  <si>
    <t>VJQM</t>
  </si>
  <si>
    <t>V9EB</t>
  </si>
  <si>
    <t>VNM1</t>
  </si>
  <si>
    <t>VZE7</t>
  </si>
  <si>
    <t>VHUS</t>
  </si>
  <si>
    <t>VMTC</t>
  </si>
  <si>
    <t>VCLX</t>
  </si>
  <si>
    <t>VQ94</t>
  </si>
  <si>
    <t>VF7Y</t>
  </si>
  <si>
    <t>VJ0X</t>
  </si>
  <si>
    <t>VNLC</t>
  </si>
  <si>
    <t>VKWE</t>
  </si>
  <si>
    <t>V8E1</t>
  </si>
  <si>
    <t>VVTQ</t>
  </si>
  <si>
    <t>V3W2</t>
  </si>
  <si>
    <t>VQUK</t>
  </si>
  <si>
    <t>VSP2</t>
  </si>
  <si>
    <t>VU7L</t>
  </si>
  <si>
    <t>VKVR</t>
  </si>
  <si>
    <t>VWW7</t>
  </si>
  <si>
    <t>VVBX</t>
  </si>
  <si>
    <t>VLHB</t>
  </si>
  <si>
    <t>VKAJ</t>
  </si>
  <si>
    <t>VL62</t>
  </si>
  <si>
    <t>V39M</t>
  </si>
  <si>
    <t>VGYW</t>
  </si>
  <si>
    <t>VL88</t>
  </si>
  <si>
    <t>VOHP</t>
  </si>
  <si>
    <t>V57Q</t>
  </si>
  <si>
    <t>VFUF</t>
  </si>
  <si>
    <t>VN0Y</t>
  </si>
  <si>
    <t>VRFU</t>
  </si>
  <si>
    <t>VOKE</t>
  </si>
  <si>
    <t>VXUC</t>
  </si>
  <si>
    <t>VJ0N</t>
  </si>
  <si>
    <t>VG3A</t>
  </si>
  <si>
    <t>VZH4</t>
  </si>
  <si>
    <t>VGWD</t>
  </si>
  <si>
    <t>VGWH</t>
  </si>
  <si>
    <t>VMJ3</t>
  </si>
  <si>
    <t>VMDW</t>
  </si>
  <si>
    <t>VL37</t>
  </si>
  <si>
    <t>VR3N</t>
  </si>
  <si>
    <t>VJTV</t>
  </si>
  <si>
    <t>V96L</t>
  </si>
  <si>
    <t>VEHW</t>
  </si>
  <si>
    <t>V9GJ</t>
  </si>
  <si>
    <t>V7T4</t>
  </si>
  <si>
    <t>V6OD</t>
  </si>
  <si>
    <t>V9EE</t>
  </si>
  <si>
    <t>V6H0</t>
  </si>
  <si>
    <t>VJLW</t>
  </si>
  <si>
    <t>V4EB</t>
  </si>
  <si>
    <t>VISQ</t>
  </si>
  <si>
    <t>V9WI</t>
  </si>
  <si>
    <t>VDFD</t>
  </si>
  <si>
    <t>VIIR</t>
  </si>
  <si>
    <t>VF4X</t>
  </si>
  <si>
    <t>V7KH</t>
  </si>
  <si>
    <t>VY99</t>
  </si>
  <si>
    <t>V8OR</t>
  </si>
  <si>
    <t>V7WT</t>
  </si>
  <si>
    <t>VREK</t>
  </si>
  <si>
    <t>V4W2</t>
  </si>
  <si>
    <t>VDD4</t>
  </si>
  <si>
    <t>V9CE</t>
  </si>
  <si>
    <t>VJJY</t>
  </si>
  <si>
    <t>VPYX</t>
  </si>
  <si>
    <t>VIN3</t>
  </si>
  <si>
    <t>V7WV</t>
  </si>
  <si>
    <t>VE4O</t>
  </si>
  <si>
    <t>VJBG</t>
  </si>
  <si>
    <t>V5E7</t>
  </si>
  <si>
    <t>VD9F</t>
  </si>
  <si>
    <t>V6S2</t>
  </si>
  <si>
    <t>VZ1G</t>
  </si>
  <si>
    <t>V6O2</t>
  </si>
  <si>
    <t>VU4Z</t>
  </si>
  <si>
    <t>V9QV</t>
  </si>
  <si>
    <t>VIIC</t>
  </si>
  <si>
    <t>VU1U</t>
  </si>
  <si>
    <t>VC18</t>
  </si>
  <si>
    <t>V2T5</t>
  </si>
  <si>
    <t>V47A</t>
  </si>
  <si>
    <t>VB7W</t>
  </si>
  <si>
    <t>VHNG</t>
  </si>
  <si>
    <t>VW2Y</t>
  </si>
  <si>
    <t>VCNM</t>
  </si>
  <si>
    <t>VXF5</t>
  </si>
  <si>
    <t>VGR2</t>
  </si>
  <si>
    <t>VEFH</t>
  </si>
  <si>
    <t>VM7X</t>
  </si>
  <si>
    <t>VS5Y</t>
  </si>
  <si>
    <t>VRX5</t>
  </si>
  <si>
    <t>VFD2</t>
  </si>
  <si>
    <t>VWFG</t>
  </si>
  <si>
    <t>VAE3</t>
  </si>
  <si>
    <t>VGQ7</t>
  </si>
  <si>
    <t>VXFX</t>
  </si>
  <si>
    <t>V2Q5</t>
  </si>
  <si>
    <t>V6NL</t>
  </si>
  <si>
    <t>V9JX</t>
  </si>
  <si>
    <t>VNO2</t>
  </si>
  <si>
    <t>VMZ6</t>
  </si>
  <si>
    <t>VM43</t>
  </si>
  <si>
    <t>VINR</t>
  </si>
  <si>
    <t>VF22</t>
  </si>
  <si>
    <t>VZHW</t>
  </si>
  <si>
    <t>VYBF</t>
  </si>
  <si>
    <t>VDEP</t>
  </si>
  <si>
    <t>VLVY</t>
  </si>
  <si>
    <t>VPHO</t>
  </si>
  <si>
    <t>VD9E</t>
  </si>
  <si>
    <t>VR8K</t>
  </si>
  <si>
    <t>V02Y</t>
  </si>
  <si>
    <t>VRIE</t>
  </si>
  <si>
    <t>VPSE</t>
  </si>
  <si>
    <t>VWYS</t>
  </si>
  <si>
    <t>V1PQ</t>
  </si>
  <si>
    <t>VD9A</t>
  </si>
  <si>
    <t>VW48</t>
  </si>
  <si>
    <t>VSOB</t>
  </si>
  <si>
    <t>V6K8</t>
  </si>
  <si>
    <t>VQJU</t>
  </si>
  <si>
    <t>VHL4</t>
  </si>
  <si>
    <t>V98K</t>
  </si>
  <si>
    <t>VXWJ</t>
  </si>
  <si>
    <t>VAMT</t>
  </si>
  <si>
    <t>V7XS</t>
  </si>
  <si>
    <t>VD38</t>
  </si>
  <si>
    <t>VLSR</t>
  </si>
  <si>
    <t>VUBP</t>
  </si>
  <si>
    <t>V33C</t>
  </si>
  <si>
    <t>VG5I</t>
  </si>
  <si>
    <t>VQB9</t>
  </si>
  <si>
    <t>VN33</t>
  </si>
  <si>
    <t>VI4X</t>
  </si>
  <si>
    <t>VC2E</t>
  </si>
  <si>
    <t>V7DI</t>
  </si>
  <si>
    <t>VBV9</t>
  </si>
  <si>
    <t>V3YL</t>
  </si>
  <si>
    <t>VI0G</t>
  </si>
  <si>
    <t>VCQT</t>
  </si>
  <si>
    <t>VZH7</t>
  </si>
  <si>
    <t>VP0Z</t>
  </si>
  <si>
    <t>VTP1</t>
  </si>
  <si>
    <t>VXMQ</t>
  </si>
  <si>
    <t>VSC7</t>
  </si>
  <si>
    <t>V85U</t>
  </si>
  <si>
    <t>VD2N</t>
  </si>
  <si>
    <t>VVCK</t>
  </si>
  <si>
    <t>V6HH</t>
  </si>
  <si>
    <t>V8M7</t>
  </si>
  <si>
    <t>VLRI</t>
  </si>
  <si>
    <t>VT41</t>
  </si>
  <si>
    <t>V02A</t>
  </si>
  <si>
    <t>VYYQ</t>
  </si>
  <si>
    <t>V3BP</t>
  </si>
  <si>
    <t>V479</t>
  </si>
  <si>
    <t>VC3A</t>
  </si>
  <si>
    <t>V1R1</t>
  </si>
  <si>
    <t>VR57</t>
  </si>
  <si>
    <t>V18S</t>
  </si>
  <si>
    <t>V784</t>
  </si>
  <si>
    <t>V668</t>
  </si>
  <si>
    <t>VZCM</t>
  </si>
  <si>
    <t>VMLX</t>
  </si>
  <si>
    <t>VBJD</t>
  </si>
  <si>
    <t>V7BF</t>
  </si>
  <si>
    <t>VEGM</t>
  </si>
  <si>
    <t>VGLH</t>
  </si>
  <si>
    <t>VYKA</t>
  </si>
  <si>
    <t>V3TQ</t>
  </si>
  <si>
    <t>VDM5</t>
  </si>
  <si>
    <t>VV3J</t>
  </si>
  <si>
    <t>V1X8</t>
  </si>
  <si>
    <t>VD8W</t>
  </si>
  <si>
    <t>VPSK</t>
  </si>
  <si>
    <t>VBGG</t>
  </si>
  <si>
    <t>V6VB</t>
  </si>
  <si>
    <t>VKWV</t>
  </si>
  <si>
    <t>VLLU</t>
  </si>
  <si>
    <t>V2HP</t>
  </si>
  <si>
    <t>V9P9</t>
  </si>
  <si>
    <t>VRXX</t>
  </si>
  <si>
    <t>V0RT</t>
  </si>
  <si>
    <t>VKL7</t>
  </si>
  <si>
    <t>VC1F</t>
  </si>
  <si>
    <t>V2HI</t>
  </si>
  <si>
    <t>V1PB</t>
  </si>
  <si>
    <t>VQVO</t>
  </si>
  <si>
    <t>VN0Q</t>
  </si>
  <si>
    <t>V55X</t>
  </si>
  <si>
    <t>VAM1</t>
  </si>
  <si>
    <t>V2EV</t>
  </si>
  <si>
    <t>V0PE</t>
  </si>
  <si>
    <t>V5W2</t>
  </si>
  <si>
    <t>V3KI</t>
  </si>
  <si>
    <t>VHOY</t>
  </si>
  <si>
    <t>VRAV</t>
  </si>
  <si>
    <t>V0KB</t>
  </si>
  <si>
    <t>V34A</t>
  </si>
  <si>
    <t>VHYO</t>
  </si>
  <si>
    <t>VTR7</t>
  </si>
  <si>
    <t>V5A3</t>
  </si>
  <si>
    <t>VG4S</t>
  </si>
  <si>
    <t>VA0T</t>
  </si>
  <si>
    <t>VO3G</t>
  </si>
  <si>
    <t>VA90</t>
  </si>
  <si>
    <t>VQND</t>
  </si>
  <si>
    <t>VQOU</t>
  </si>
  <si>
    <t>VXF7</t>
  </si>
  <si>
    <t>VG7U</t>
  </si>
  <si>
    <t>V1E4</t>
  </si>
  <si>
    <t>VB7K</t>
  </si>
  <si>
    <t>VHXA</t>
  </si>
  <si>
    <t>VL9A</t>
  </si>
  <si>
    <t>VHBL</t>
  </si>
  <si>
    <t>VXTU</t>
  </si>
  <si>
    <t>V673</t>
  </si>
  <si>
    <t>VLY1</t>
  </si>
  <si>
    <t>VVJA</t>
  </si>
  <si>
    <t>VSR0</t>
  </si>
  <si>
    <t>VY2O</t>
  </si>
  <si>
    <t>VZRD</t>
  </si>
  <si>
    <t>VVGR</t>
  </si>
  <si>
    <t>VLNW</t>
  </si>
  <si>
    <t>V3S8</t>
  </si>
  <si>
    <t>VWAD</t>
  </si>
  <si>
    <t>VMYK</t>
  </si>
  <si>
    <t>V2DY</t>
  </si>
  <si>
    <t>VX3W</t>
  </si>
  <si>
    <t>V32N</t>
  </si>
  <si>
    <t>VORE</t>
  </si>
  <si>
    <t>VGGV</t>
  </si>
  <si>
    <t>VMGY</t>
  </si>
  <si>
    <t>VMU7</t>
  </si>
  <si>
    <t>VT3J</t>
  </si>
  <si>
    <t>VKEZ</t>
  </si>
  <si>
    <t>VOU6</t>
  </si>
  <si>
    <t>V7C2</t>
  </si>
  <si>
    <t>V3UE</t>
  </si>
  <si>
    <t>VN2F</t>
  </si>
  <si>
    <t>V6R3</t>
  </si>
  <si>
    <t>VDSN</t>
  </si>
  <si>
    <t>V21O</t>
  </si>
  <si>
    <t>VTSN</t>
  </si>
  <si>
    <t>VDYO</t>
  </si>
  <si>
    <t>V8GI</t>
  </si>
  <si>
    <t>VDUM</t>
  </si>
  <si>
    <t>VCDI</t>
  </si>
  <si>
    <t>V7LU</t>
  </si>
  <si>
    <t>VAMG</t>
  </si>
  <si>
    <t>V1QG</t>
  </si>
  <si>
    <t>VRLZ</t>
  </si>
  <si>
    <t>V0QT</t>
  </si>
  <si>
    <t>VSCX</t>
  </si>
  <si>
    <t>VXVS</t>
  </si>
  <si>
    <t>V444</t>
  </si>
  <si>
    <t>V556</t>
  </si>
  <si>
    <t>VSCY</t>
  </si>
  <si>
    <t>VYOO</t>
  </si>
  <si>
    <t>VY8L</t>
  </si>
  <si>
    <t>VHR2</t>
  </si>
  <si>
    <t>VVJ1</t>
  </si>
  <si>
    <t>V534</t>
  </si>
  <si>
    <t>VMQB</t>
  </si>
  <si>
    <t>VVXF</t>
  </si>
  <si>
    <t>VJ21</t>
  </si>
  <si>
    <t>V4PE</t>
  </si>
  <si>
    <t>VFBN</t>
  </si>
  <si>
    <t>VYZB</t>
  </si>
  <si>
    <t>VYXL</t>
  </si>
  <si>
    <t>VOCK</t>
  </si>
  <si>
    <t>VG7W</t>
  </si>
  <si>
    <t>V3UY</t>
  </si>
  <si>
    <t>VG84</t>
  </si>
  <si>
    <t>VH7Q</t>
  </si>
  <si>
    <t>VE1N</t>
  </si>
  <si>
    <t>VVFJ</t>
  </si>
  <si>
    <t>V7LP</t>
  </si>
  <si>
    <t>VGMD</t>
  </si>
  <si>
    <t>V1BZ</t>
  </si>
  <si>
    <t>V5MP</t>
  </si>
  <si>
    <t>VI6W</t>
  </si>
  <si>
    <t>V4YK</t>
  </si>
  <si>
    <t>VDHT</t>
  </si>
  <si>
    <t>VM6Z</t>
  </si>
  <si>
    <t>V1SF</t>
  </si>
  <si>
    <t>V63D</t>
  </si>
  <si>
    <t>VI8R</t>
  </si>
  <si>
    <t>V3GZ</t>
  </si>
  <si>
    <t>VZZU</t>
  </si>
  <si>
    <t>VUA0</t>
  </si>
  <si>
    <t>V6KM</t>
  </si>
  <si>
    <t>VK9T</t>
  </si>
  <si>
    <t>VSAU</t>
  </si>
  <si>
    <t>V1KA</t>
  </si>
  <si>
    <t>VAGX</t>
  </si>
  <si>
    <t>VFMO</t>
  </si>
  <si>
    <t>VQYC</t>
  </si>
  <si>
    <t>V0TP</t>
  </si>
  <si>
    <t>VMIV</t>
  </si>
  <si>
    <t>VFDT</t>
  </si>
  <si>
    <t>V6WG</t>
  </si>
  <si>
    <t>VVVJ</t>
  </si>
  <si>
    <t>VN2R</t>
  </si>
  <si>
    <t>VE5O</t>
  </si>
  <si>
    <t>V65K</t>
  </si>
  <si>
    <t>V99W</t>
  </si>
  <si>
    <t>VA9Q</t>
  </si>
  <si>
    <t>VA9G</t>
  </si>
  <si>
    <t>VFAD</t>
  </si>
  <si>
    <t>VMFT</t>
  </si>
  <si>
    <t>V3DK</t>
  </si>
  <si>
    <t>VC21</t>
  </si>
  <si>
    <t>VXOM</t>
  </si>
  <si>
    <t>VRS8</t>
  </si>
  <si>
    <t>VOLE</t>
  </si>
  <si>
    <t>VIZU</t>
  </si>
  <si>
    <t>VW36</t>
  </si>
  <si>
    <t>V3LN</t>
  </si>
  <si>
    <t>VLKV</t>
  </si>
  <si>
    <t>VZNN</t>
  </si>
  <si>
    <t>VKVQ</t>
  </si>
  <si>
    <t>VZZD</t>
  </si>
  <si>
    <t>VLN1</t>
  </si>
  <si>
    <t>VBSK</t>
  </si>
  <si>
    <t>VLFD</t>
  </si>
  <si>
    <t>V0D2</t>
  </si>
  <si>
    <t>VIO1</t>
  </si>
  <si>
    <t>V87G</t>
  </si>
  <si>
    <t>VQ86</t>
  </si>
  <si>
    <t>V1XO</t>
  </si>
  <si>
    <t>VI8M</t>
  </si>
  <si>
    <t>V9L1</t>
  </si>
  <si>
    <t>VFS1</t>
  </si>
  <si>
    <t>VX1W</t>
  </si>
  <si>
    <t>VR7R</t>
  </si>
  <si>
    <t>VJAI</t>
  </si>
  <si>
    <t>VX20</t>
  </si>
  <si>
    <t>V40R</t>
  </si>
  <si>
    <t>VS0U</t>
  </si>
  <si>
    <t>VML6</t>
  </si>
  <si>
    <t>VNMG</t>
  </si>
  <si>
    <t>VDK3</t>
  </si>
  <si>
    <t>VYFG</t>
  </si>
  <si>
    <t>VH8T</t>
  </si>
  <si>
    <t>VD2D</t>
  </si>
  <si>
    <t>VOYX</t>
  </si>
  <si>
    <t>VM31</t>
  </si>
  <si>
    <t>VTT1</t>
  </si>
  <si>
    <t>VHO5</t>
  </si>
  <si>
    <t>VHZU</t>
  </si>
  <si>
    <t>VX0B</t>
  </si>
  <si>
    <t>VX8G</t>
  </si>
  <si>
    <t>V90D</t>
  </si>
  <si>
    <t>V4H8</t>
  </si>
  <si>
    <t>VETP</t>
  </si>
  <si>
    <t>VB38</t>
  </si>
  <si>
    <t>V0P4</t>
  </si>
  <si>
    <t>V7KS</t>
  </si>
  <si>
    <t>VV8R</t>
  </si>
  <si>
    <t>VOWX</t>
  </si>
  <si>
    <t>VFZ0</t>
  </si>
  <si>
    <t>VYK5</t>
  </si>
  <si>
    <t>VIV1</t>
  </si>
  <si>
    <t>VS0P</t>
  </si>
  <si>
    <t>V3S0</t>
  </si>
  <si>
    <t>VX77</t>
  </si>
  <si>
    <t>VDGK</t>
  </si>
  <si>
    <t>V158</t>
  </si>
  <si>
    <t>VH2C</t>
  </si>
  <si>
    <t>VBS5</t>
  </si>
  <si>
    <t>VAAU</t>
  </si>
  <si>
    <t>VWER</t>
  </si>
  <si>
    <t>VJRJ</t>
  </si>
  <si>
    <t>V16X</t>
  </si>
  <si>
    <t>V4N0</t>
  </si>
  <si>
    <t>VT4K</t>
  </si>
  <si>
    <t>V38B</t>
  </si>
  <si>
    <t>V5XF</t>
  </si>
  <si>
    <t>V76K</t>
  </si>
  <si>
    <t>V260</t>
  </si>
  <si>
    <t>V3IV</t>
  </si>
  <si>
    <t>V3QL</t>
  </si>
  <si>
    <t>V1XU</t>
  </si>
  <si>
    <t>VPEY</t>
  </si>
  <si>
    <t>V9ES</t>
  </si>
  <si>
    <t>V7PH</t>
  </si>
  <si>
    <t>VYR1</t>
  </si>
  <si>
    <t>VZI0</t>
  </si>
  <si>
    <t>V39V</t>
  </si>
  <si>
    <t>V3BX</t>
  </si>
  <si>
    <t>V1F0</t>
  </si>
  <si>
    <t>V5JA</t>
  </si>
  <si>
    <t>VD5U</t>
  </si>
  <si>
    <t>VDDM</t>
  </si>
  <si>
    <t>VB6H</t>
  </si>
  <si>
    <t>V8F2</t>
  </si>
  <si>
    <t>V8EC</t>
  </si>
  <si>
    <t>VV2M</t>
  </si>
  <si>
    <t>VEL7</t>
  </si>
  <si>
    <t>V5W1</t>
  </si>
  <si>
    <t>VLQ7</t>
  </si>
  <si>
    <t>VC56</t>
  </si>
  <si>
    <t>V6OY</t>
  </si>
  <si>
    <t>VYTS</t>
  </si>
  <si>
    <t>V329</t>
  </si>
  <si>
    <t>VRB3</t>
  </si>
  <si>
    <t>VV8N</t>
  </si>
  <si>
    <t>VNWN</t>
  </si>
  <si>
    <t>V0DK</t>
  </si>
  <si>
    <t>V0HI</t>
  </si>
  <si>
    <t>VF78</t>
  </si>
  <si>
    <t>VSHM</t>
  </si>
  <si>
    <t>V30S</t>
  </si>
  <si>
    <t>VQ3Q</t>
  </si>
  <si>
    <t>V818</t>
  </si>
  <si>
    <t>VG4D</t>
  </si>
  <si>
    <t>VBFO</t>
  </si>
  <si>
    <t>V5V4</t>
  </si>
  <si>
    <t>V2QQ</t>
  </si>
  <si>
    <t>VY5A</t>
  </si>
  <si>
    <t>VTBB</t>
  </si>
  <si>
    <t>VVI4</t>
  </si>
  <si>
    <t>VPQJ</t>
  </si>
  <si>
    <t>VLCT</t>
  </si>
  <si>
    <t>VLSZ</t>
  </si>
  <si>
    <t>VZ7Q</t>
  </si>
  <si>
    <t>VZWY</t>
  </si>
  <si>
    <t>V0I1</t>
  </si>
  <si>
    <t>VJ3C</t>
  </si>
  <si>
    <t>VRH1</t>
  </si>
  <si>
    <t>VF0M</t>
  </si>
  <si>
    <t>V27T</t>
  </si>
  <si>
    <t>VRUX</t>
  </si>
  <si>
    <t>VX2W</t>
  </si>
  <si>
    <t>VDMZ</t>
  </si>
  <si>
    <t>VOT6</t>
  </si>
  <si>
    <t>VU4C</t>
  </si>
  <si>
    <t>V3EQ</t>
  </si>
  <si>
    <t>VOGK</t>
  </si>
  <si>
    <t>VXSE</t>
  </si>
  <si>
    <t>VRCM</t>
  </si>
  <si>
    <t>VEA2</t>
  </si>
  <si>
    <t>VH89</t>
  </si>
  <si>
    <t>VY8F</t>
  </si>
  <si>
    <t>V4VU</t>
  </si>
  <si>
    <t>V7IL</t>
  </si>
  <si>
    <t>V224</t>
  </si>
  <si>
    <t>V0NM</t>
  </si>
  <si>
    <t>VHUH</t>
  </si>
  <si>
    <t>V8UY</t>
  </si>
  <si>
    <t>VBKX</t>
  </si>
  <si>
    <t>V9MF</t>
  </si>
  <si>
    <t>VSK3</t>
  </si>
  <si>
    <t>VS1C</t>
  </si>
  <si>
    <t>VQPO</t>
  </si>
  <si>
    <t>VOEQ</t>
  </si>
  <si>
    <t>VB7D</t>
  </si>
  <si>
    <t>VTD8</t>
  </si>
  <si>
    <t>VLSW</t>
  </si>
  <si>
    <t>VYBM</t>
  </si>
  <si>
    <t>VK7A</t>
  </si>
  <si>
    <t>VTMO</t>
  </si>
  <si>
    <t>VYVU</t>
  </si>
  <si>
    <t>VT51</t>
  </si>
  <si>
    <t>VA02</t>
  </si>
  <si>
    <t>VYBX</t>
  </si>
  <si>
    <t>VYY9</t>
  </si>
  <si>
    <t>VJR9</t>
  </si>
  <si>
    <t>VS4I</t>
  </si>
  <si>
    <t>VYOR</t>
  </si>
  <si>
    <t>VK8O</t>
  </si>
  <si>
    <t>VZVA</t>
  </si>
  <si>
    <t>VVMN</t>
  </si>
  <si>
    <t>V6B7</t>
  </si>
  <si>
    <t>VG9X</t>
  </si>
  <si>
    <t>VUA4</t>
  </si>
  <si>
    <t>VRO9</t>
  </si>
  <si>
    <t>VWDG</t>
  </si>
  <si>
    <t>VPMI</t>
  </si>
  <si>
    <t>V59I</t>
  </si>
  <si>
    <t>V0E7</t>
  </si>
  <si>
    <t>VPTO</t>
  </si>
  <si>
    <t>VEYC</t>
  </si>
  <si>
    <t>V88Z</t>
  </si>
  <si>
    <t>VU8V</t>
  </si>
  <si>
    <t>VCEL</t>
  </si>
  <si>
    <t>VDQM</t>
  </si>
  <si>
    <t>VA1A</t>
  </si>
  <si>
    <t>V4TV</t>
  </si>
  <si>
    <t>VQIG</t>
  </si>
  <si>
    <t>VC7X</t>
  </si>
  <si>
    <t>V5VB</t>
  </si>
  <si>
    <t>VLB1</t>
  </si>
  <si>
    <t>VUCS</t>
  </si>
  <si>
    <t>VS13</t>
  </si>
  <si>
    <t>V6MV</t>
  </si>
  <si>
    <t>V7OQ</t>
  </si>
  <si>
    <t>VOSN</t>
  </si>
  <si>
    <t>V4XZ</t>
  </si>
  <si>
    <t>VQ0Y</t>
  </si>
  <si>
    <t>VKE3</t>
  </si>
  <si>
    <t>VY8J</t>
  </si>
  <si>
    <t>V5BV</t>
  </si>
  <si>
    <t>V7ET</t>
  </si>
  <si>
    <t>VK18</t>
  </si>
  <si>
    <t>VOG1</t>
  </si>
  <si>
    <t>V0X1</t>
  </si>
  <si>
    <t>VCY5</t>
  </si>
  <si>
    <t>VVDO</t>
  </si>
  <si>
    <t>VMRJ</t>
  </si>
  <si>
    <t>VUYJ</t>
  </si>
  <si>
    <t>V3WZ</t>
  </si>
  <si>
    <t>VE4U</t>
  </si>
  <si>
    <t>V9DP</t>
  </si>
  <si>
    <t>VW4T</t>
  </si>
  <si>
    <t>VOJ8</t>
  </si>
  <si>
    <t>VART</t>
  </si>
  <si>
    <t>VR4U</t>
  </si>
  <si>
    <t>VZZZ</t>
  </si>
  <si>
    <t>V7D6</t>
  </si>
  <si>
    <t>VGCN</t>
  </si>
  <si>
    <t>VBVY</t>
  </si>
  <si>
    <t>VLD0</t>
  </si>
  <si>
    <t>VO4B</t>
  </si>
  <si>
    <t>VHHA</t>
  </si>
  <si>
    <t>VB7H</t>
  </si>
  <si>
    <t>VNUI</t>
  </si>
  <si>
    <t>VS5B</t>
  </si>
  <si>
    <t>VBYE</t>
  </si>
  <si>
    <t>VPKT</t>
  </si>
  <si>
    <t>V7YM</t>
  </si>
  <si>
    <t>VRHK</t>
  </si>
  <si>
    <t>V31Y</t>
  </si>
  <si>
    <t>VF9N</t>
  </si>
  <si>
    <t>VL4Z</t>
  </si>
  <si>
    <t>V0SI</t>
  </si>
  <si>
    <t>V5E5</t>
  </si>
  <si>
    <t>VQ82</t>
  </si>
  <si>
    <t>V0FU</t>
  </si>
  <si>
    <t>V8DZ</t>
  </si>
  <si>
    <t>V5N5</t>
  </si>
  <si>
    <t>VUUU</t>
  </si>
  <si>
    <t>VS9W</t>
  </si>
  <si>
    <t>VH0Z</t>
  </si>
  <si>
    <t>V6Y6</t>
  </si>
  <si>
    <t>VVWL</t>
  </si>
  <si>
    <t>V9UO</t>
  </si>
  <si>
    <t>VG8I</t>
  </si>
  <si>
    <t>V9VI</t>
  </si>
  <si>
    <t>VVJF</t>
  </si>
  <si>
    <t>VGHN</t>
  </si>
  <si>
    <t>VL9U</t>
  </si>
  <si>
    <t>V1FI</t>
  </si>
  <si>
    <t>VLXJ</t>
  </si>
  <si>
    <t>V3YA</t>
  </si>
  <si>
    <t>VCXT</t>
  </si>
  <si>
    <t>VESP</t>
  </si>
  <si>
    <t>VJKW</t>
  </si>
  <si>
    <t>V1T7</t>
  </si>
  <si>
    <t>VA3W</t>
  </si>
  <si>
    <t>V3J1</t>
  </si>
  <si>
    <t>VPIH</t>
  </si>
  <si>
    <t>V3LK</t>
  </si>
  <si>
    <t>VZH8</t>
  </si>
  <si>
    <t>VUNO</t>
  </si>
  <si>
    <t>VSMM</t>
  </si>
  <si>
    <t>V5QQ</t>
  </si>
  <si>
    <t>VLGJ</t>
  </si>
  <si>
    <t>V1QB</t>
  </si>
  <si>
    <t>VG3N</t>
  </si>
  <si>
    <t>V96B</t>
  </si>
  <si>
    <t>VE1H</t>
  </si>
  <si>
    <t>V4ZI</t>
  </si>
  <si>
    <t>VLI9</t>
  </si>
  <si>
    <t>VU3C</t>
  </si>
  <si>
    <t>VLV0</t>
  </si>
  <si>
    <t>VPST</t>
  </si>
  <si>
    <t>VTTH</t>
  </si>
  <si>
    <t>VRJ3</t>
  </si>
  <si>
    <t>V5FN</t>
  </si>
  <si>
    <t>VGUB</t>
  </si>
  <si>
    <t>VUM0</t>
  </si>
  <si>
    <t>VLJR</t>
  </si>
  <si>
    <t>VMXC</t>
  </si>
  <si>
    <t>VB3L</t>
  </si>
  <si>
    <t>VS5O</t>
  </si>
  <si>
    <t>VAL7</t>
  </si>
  <si>
    <t>V6EO</t>
  </si>
  <si>
    <t>V90N</t>
  </si>
  <si>
    <t>V3G9</t>
  </si>
  <si>
    <t>VTS1</t>
  </si>
  <si>
    <t>VE2R</t>
  </si>
  <si>
    <t>VY2A</t>
  </si>
  <si>
    <t>VAIF</t>
  </si>
  <si>
    <t>V4X3</t>
  </si>
  <si>
    <t>VODJ</t>
  </si>
  <si>
    <t>V5PD</t>
  </si>
  <si>
    <t>VB00</t>
  </si>
  <si>
    <t>VC5Y</t>
  </si>
  <si>
    <t>VVZJ</t>
  </si>
  <si>
    <t>VM53</t>
  </si>
  <si>
    <t>V08R</t>
  </si>
  <si>
    <t>VQX2</t>
  </si>
  <si>
    <t>VB34</t>
  </si>
  <si>
    <t>VIWY</t>
  </si>
  <si>
    <t>VT0R</t>
  </si>
  <si>
    <t>VP1K</t>
  </si>
  <si>
    <t>VYKM</t>
  </si>
  <si>
    <t>VHBH</t>
  </si>
  <si>
    <t>V65Z</t>
  </si>
  <si>
    <t>VMDR</t>
  </si>
  <si>
    <t>VIV5</t>
  </si>
  <si>
    <t>V2XJ</t>
  </si>
  <si>
    <t>V0EO</t>
  </si>
  <si>
    <t>VIWW</t>
  </si>
  <si>
    <t>VC59</t>
  </si>
  <si>
    <t>VHAF</t>
  </si>
  <si>
    <t>VN1Y</t>
  </si>
  <si>
    <t>V0AP</t>
  </si>
  <si>
    <t>VD6Y</t>
  </si>
  <si>
    <t>VQTB</t>
  </si>
  <si>
    <t>VMU8</t>
  </si>
  <si>
    <t>VBLA</t>
  </si>
  <si>
    <t>VI5T</t>
  </si>
  <si>
    <t>VV3D</t>
  </si>
  <si>
    <t>VFE1</t>
  </si>
  <si>
    <t>VZRB</t>
  </si>
  <si>
    <t>VU1Y</t>
  </si>
  <si>
    <t>VHFS</t>
  </si>
  <si>
    <t>V96X</t>
  </si>
  <si>
    <t>VFKZ</t>
  </si>
  <si>
    <t>VXJK</t>
  </si>
  <si>
    <t>VA66</t>
  </si>
  <si>
    <t>V7LT</t>
  </si>
  <si>
    <t>VXPP</t>
  </si>
  <si>
    <t>VCEP</t>
  </si>
  <si>
    <t>VWBH</t>
  </si>
  <si>
    <t>VE6H</t>
  </si>
  <si>
    <t>V2L7</t>
  </si>
  <si>
    <t>V7E9</t>
  </si>
  <si>
    <t>VUD2</t>
  </si>
  <si>
    <t>V3PT</t>
  </si>
  <si>
    <t>V6TD</t>
  </si>
  <si>
    <t>VS3O</t>
  </si>
  <si>
    <t>VDIN</t>
  </si>
  <si>
    <t>VM5U</t>
  </si>
  <si>
    <t>VWHL</t>
  </si>
  <si>
    <t>VB39</t>
  </si>
  <si>
    <t>VAAP</t>
  </si>
  <si>
    <t>VNSL</t>
  </si>
  <si>
    <t>V86A</t>
  </si>
  <si>
    <t>V280</t>
  </si>
  <si>
    <t>VCWB</t>
  </si>
  <si>
    <t>V6UV</t>
  </si>
  <si>
    <t>VQS4</t>
  </si>
  <si>
    <t>VT65</t>
  </si>
  <si>
    <t>V6BK</t>
  </si>
  <si>
    <t>VT31</t>
  </si>
  <si>
    <t>VAN1</t>
  </si>
  <si>
    <t>VSHN</t>
  </si>
  <si>
    <t>VYBK</t>
  </si>
  <si>
    <t>V7GA</t>
  </si>
  <si>
    <t>VOU1</t>
  </si>
  <si>
    <t>VT1Y</t>
  </si>
  <si>
    <t>V6JQ</t>
  </si>
  <si>
    <t>VCKG</t>
  </si>
  <si>
    <t>VPZ1</t>
  </si>
  <si>
    <t>VRED</t>
  </si>
  <si>
    <t>VY9N</t>
  </si>
  <si>
    <t>V105</t>
  </si>
  <si>
    <t>V51V</t>
  </si>
  <si>
    <t>V1YG</t>
  </si>
  <si>
    <t>VHTI</t>
  </si>
  <si>
    <t>V1A6</t>
  </si>
  <si>
    <t>VZSO</t>
  </si>
  <si>
    <t>VKDW</t>
  </si>
  <si>
    <t>V3UG</t>
  </si>
  <si>
    <t>V86N</t>
  </si>
  <si>
    <t>VT4W</t>
  </si>
  <si>
    <t>V6CK</t>
  </si>
  <si>
    <t>VTNN</t>
  </si>
  <si>
    <t>VM9U</t>
  </si>
  <si>
    <t>VI78</t>
  </si>
  <si>
    <t>V5DX</t>
  </si>
  <si>
    <t>VTCY</t>
  </si>
  <si>
    <t>V50W</t>
  </si>
  <si>
    <t>VK5Q</t>
  </si>
  <si>
    <t>VORD</t>
  </si>
  <si>
    <t>V7T0</t>
  </si>
  <si>
    <t>V8KL</t>
  </si>
  <si>
    <t>VQ7C</t>
  </si>
  <si>
    <t>VZ5U</t>
  </si>
  <si>
    <t>V9K3</t>
  </si>
  <si>
    <t>VPSW</t>
  </si>
  <si>
    <t>VEAQ</t>
  </si>
  <si>
    <t>VFX1</t>
  </si>
  <si>
    <t>VLV6</t>
  </si>
  <si>
    <t>V2RM</t>
  </si>
  <si>
    <t>VRR9</t>
  </si>
  <si>
    <t>VXSF</t>
  </si>
  <si>
    <t>VFEW</t>
  </si>
  <si>
    <t>VDIU</t>
  </si>
  <si>
    <t>VBUG</t>
  </si>
  <si>
    <t>VQLY</t>
  </si>
  <si>
    <t>VTZO</t>
  </si>
  <si>
    <t>VN2K</t>
  </si>
  <si>
    <t>VQ3Y</t>
  </si>
  <si>
    <t>VQSG</t>
  </si>
  <si>
    <t>VEQG</t>
  </si>
  <si>
    <t>VLX5</t>
  </si>
  <si>
    <t>VDWE</t>
  </si>
  <si>
    <t>VTQB</t>
  </si>
  <si>
    <t>V13X</t>
  </si>
  <si>
    <t>V2WH</t>
  </si>
  <si>
    <t>V9HO</t>
  </si>
  <si>
    <t>VB6B</t>
  </si>
  <si>
    <t>VRIO</t>
  </si>
  <si>
    <t>VY5K</t>
  </si>
  <si>
    <t>VTF8</t>
  </si>
  <si>
    <t>VRCV</t>
  </si>
  <si>
    <t>VU7A</t>
  </si>
  <si>
    <t>V3T9</t>
  </si>
  <si>
    <t>VDGP</t>
  </si>
  <si>
    <t>VJ97</t>
  </si>
  <si>
    <t>V7P5</t>
  </si>
  <si>
    <t>V33O</t>
  </si>
  <si>
    <t>V529</t>
  </si>
  <si>
    <t>VRYP</t>
  </si>
  <si>
    <t>VW15</t>
  </si>
  <si>
    <t>amazon ID</t>
  </si>
  <si>
    <t xml:space="preserve">Link </t>
  </si>
  <si>
    <t>GEO</t>
  </si>
  <si>
    <t>1466303-21</t>
  </si>
  <si>
    <t>https://amzn.to/40mx22a</t>
  </si>
  <si>
    <t>KSA</t>
  </si>
  <si>
    <t>14594-21</t>
  </si>
  <si>
    <t>https://amzn.to/45FCxwz</t>
  </si>
  <si>
    <t xml:space="preserve"> 1459401-21</t>
  </si>
  <si>
    <t>https://amzn.to/4lpkOhz</t>
  </si>
  <si>
    <t>UAE</t>
  </si>
  <si>
    <t xml:space="preserve">7847020-21 </t>
  </si>
  <si>
    <t>https://amzn.to/3TahfQf</t>
  </si>
  <si>
    <t>535607-21</t>
  </si>
  <si>
    <t>https://amzn.to/4nijsHb</t>
  </si>
  <si>
    <t>535605-21</t>
  </si>
  <si>
    <t>https://amzn.to/4kXEidf</t>
  </si>
  <si>
    <t>66580a-21</t>
  </si>
  <si>
    <t>https://amzn.to/4lj11QF</t>
  </si>
  <si>
    <t>665801-21</t>
  </si>
  <si>
    <t>https://amzn.to/4eixOTX</t>
  </si>
  <si>
    <t>682905-21</t>
  </si>
  <si>
    <t>https://amzn.to/40xnW2L</t>
  </si>
  <si>
    <t>613200-21</t>
  </si>
  <si>
    <t>https://amzn.to/4l8SUGX</t>
  </si>
  <si>
    <t>360703-21</t>
  </si>
  <si>
    <t>https://amzn.to/446nwmj</t>
  </si>
  <si>
    <t xml:space="preserve">6767054-21 </t>
  </si>
  <si>
    <t>https://amzn.to/4kg4K0z</t>
  </si>
  <si>
    <t xml:space="preserve">14638-21 </t>
  </si>
  <si>
    <t>https://amzn.to/3GmeMzh</t>
  </si>
  <si>
    <t>710008-21</t>
  </si>
  <si>
    <t>https://amzn.to/44AXVC9</t>
  </si>
  <si>
    <t>722909-21</t>
  </si>
  <si>
    <t>https://amzn.to/3I5YOtN</t>
  </si>
  <si>
    <t xml:space="preserve">707308-21 </t>
  </si>
  <si>
    <t>https://amzn.to/4nwvuNo</t>
  </si>
  <si>
    <t>707307-21</t>
  </si>
  <si>
    <t>https://amzn.to/3TSyiXa</t>
  </si>
  <si>
    <t>7157-21</t>
  </si>
  <si>
    <t>https://amzn.to/4kgeKXI</t>
  </si>
  <si>
    <t>66306-21</t>
  </si>
  <si>
    <t>https://amzn.to/4eplf9c</t>
  </si>
  <si>
    <t xml:space="preserve">66309-21 </t>
  </si>
  <si>
    <t>https://amzn.to/4l8xU33</t>
  </si>
  <si>
    <t xml:space="preserve">687508-21 </t>
  </si>
  <si>
    <t>https://amzn.to/3Gk3TOy</t>
  </si>
  <si>
    <t>708305-21</t>
  </si>
  <si>
    <t>https://amzn.to/4lDcn2k</t>
  </si>
  <si>
    <t xml:space="preserve"> 694703-21</t>
  </si>
  <si>
    <t>https://amzn.to/46qg5b1</t>
  </si>
  <si>
    <t>14525-21</t>
  </si>
  <si>
    <t>https://amzn.to/44O4jGb</t>
  </si>
  <si>
    <t>12932-21</t>
  </si>
  <si>
    <t>https://amzn.to/3U3BHT7</t>
  </si>
  <si>
    <t xml:space="preserve">6726-21 </t>
  </si>
  <si>
    <t>https://amzn.to/4mfXumW</t>
  </si>
  <si>
    <t>https://amzn.to/4mfNDgH</t>
  </si>
  <si>
    <t>UAE- Electronics</t>
  </si>
  <si>
    <t>Codes</t>
  </si>
  <si>
    <t>D1</t>
  </si>
  <si>
    <t>revenue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</si>
  <si>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</si>
  <si>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</si>
  <si>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</si>
  <si>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</si>
  <si>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</si>
  <si>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</si>
  <si>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</si>
  <si>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</si>
  <si>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</si>
  <si>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</si>
  <si>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</si>
  <si>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D13</t>
  </si>
  <si>
    <t>D14</t>
  </si>
  <si>
    <t>D15</t>
  </si>
  <si>
    <t>D16</t>
  </si>
  <si>
    <t>D17</t>
  </si>
  <si>
    <t>D18</t>
  </si>
  <si>
    <t>D19</t>
  </si>
  <si>
    <t>D20</t>
  </si>
  <si>
    <t>D22</t>
  </si>
  <si>
    <t>D24</t>
  </si>
  <si>
    <t>D25</t>
  </si>
  <si>
    <t>D26</t>
  </si>
  <si>
    <t>D27</t>
  </si>
  <si>
    <t>D28</t>
  </si>
  <si>
    <t>D29</t>
  </si>
  <si>
    <t>D30</t>
  </si>
  <si>
    <t>D31</t>
  </si>
  <si>
    <t>D32</t>
  </si>
  <si>
    <t>D33</t>
  </si>
  <si>
    <t>D34</t>
  </si>
  <si>
    <t>D35</t>
  </si>
  <si>
    <t>D36</t>
  </si>
  <si>
    <t>D37</t>
  </si>
  <si>
    <t>Kangar</t>
  </si>
  <si>
    <t>D38</t>
  </si>
  <si>
    <t>D39</t>
  </si>
  <si>
    <t>D40</t>
  </si>
  <si>
    <t>D41</t>
  </si>
  <si>
    <t>D42</t>
  </si>
  <si>
    <t>D43</t>
  </si>
  <si>
    <t>D46</t>
  </si>
  <si>
    <t>D47</t>
  </si>
  <si>
    <t>D48</t>
  </si>
  <si>
    <t>D49</t>
  </si>
  <si>
    <t>D50</t>
  </si>
  <si>
    <t>D51</t>
  </si>
  <si>
    <t>D52</t>
  </si>
  <si>
    <t>D53</t>
  </si>
  <si>
    <t>D54</t>
  </si>
  <si>
    <t>D55</t>
  </si>
  <si>
    <t>D56</t>
  </si>
  <si>
    <t xml:space="preserve">D61  </t>
  </si>
  <si>
    <t>D62</t>
  </si>
  <si>
    <t>D63</t>
  </si>
  <si>
    <t xml:space="preserve">D64 </t>
  </si>
  <si>
    <t>D65</t>
  </si>
  <si>
    <t>SAHS15</t>
  </si>
  <si>
    <t>SAHS</t>
  </si>
  <si>
    <t>D21</t>
  </si>
  <si>
    <t>D23</t>
  </si>
  <si>
    <t>SOLO</t>
  </si>
  <si>
    <t>D44</t>
  </si>
  <si>
    <t>D45</t>
  </si>
  <si>
    <t>D57</t>
  </si>
  <si>
    <t>D58</t>
  </si>
  <si>
    <t>D59</t>
  </si>
  <si>
    <t>D60</t>
  </si>
  <si>
    <t>Areeba1</t>
  </si>
  <si>
    <t>RMD</t>
  </si>
  <si>
    <t>PCGCC</t>
  </si>
  <si>
    <t>habibi</t>
  </si>
  <si>
    <t>LEAP</t>
  </si>
  <si>
    <t>LEAPP</t>
  </si>
  <si>
    <t>Link</t>
  </si>
  <si>
    <t>https://airalo.pxf.io/dOn5yj</t>
  </si>
  <si>
    <t>https://airalo.pxf.io/gOab3A</t>
  </si>
  <si>
    <t>https://airalo.pxf.io/09x74O</t>
  </si>
  <si>
    <t>https://airalo.pxf.io/K0YD2z</t>
  </si>
  <si>
    <t>DZ2</t>
  </si>
  <si>
    <t xml:space="preserve"> 
Full price 20%  (Fashion)10% on sale item10% on full price beauty.</t>
  </si>
  <si>
    <t>DZ1</t>
  </si>
  <si>
    <t>DZ3</t>
  </si>
  <si>
    <t>DZ4</t>
  </si>
  <si>
    <t>DZ5</t>
  </si>
  <si>
    <t>DZ6</t>
  </si>
  <si>
    <t>DZ10</t>
  </si>
  <si>
    <t>DZ11</t>
  </si>
  <si>
    <t>DZ7</t>
  </si>
  <si>
    <t>DZ12</t>
  </si>
  <si>
    <t>DZ8</t>
  </si>
  <si>
    <t>DZ13</t>
  </si>
  <si>
    <t>DZ9</t>
  </si>
  <si>
    <t>DZ14</t>
  </si>
  <si>
    <t>DZ15</t>
  </si>
  <si>
    <t>DZ16</t>
  </si>
  <si>
    <t>DZ18</t>
  </si>
  <si>
    <t>DZ19</t>
  </si>
  <si>
    <t>DZ20</t>
  </si>
  <si>
    <t>DZ21</t>
  </si>
  <si>
    <t>DZ22</t>
  </si>
  <si>
    <t>DZ17</t>
  </si>
  <si>
    <t>DZ23</t>
  </si>
  <si>
    <t>DZ24</t>
  </si>
  <si>
    <t>DZ25</t>
  </si>
  <si>
    <t>DZ26</t>
  </si>
  <si>
    <t>DZ27</t>
  </si>
  <si>
    <t>DZ28</t>
  </si>
  <si>
    <t>DZ29</t>
  </si>
  <si>
    <t>DZ30</t>
  </si>
  <si>
    <t>DZ31</t>
  </si>
  <si>
    <t>DZ32</t>
  </si>
  <si>
    <t>DZ33</t>
  </si>
  <si>
    <t>DZ34</t>
  </si>
  <si>
    <t>DZ35</t>
  </si>
  <si>
    <t>DZ36</t>
  </si>
  <si>
    <t>DZ37</t>
  </si>
  <si>
    <t>DZ38</t>
  </si>
  <si>
    <t>DZ39</t>
  </si>
  <si>
    <t>DZ40</t>
  </si>
  <si>
    <t>DZ42</t>
  </si>
  <si>
    <t>DZ43</t>
  </si>
  <si>
    <t>DZ45</t>
  </si>
  <si>
    <t>DZ46</t>
  </si>
  <si>
    <t>DZ47</t>
  </si>
  <si>
    <t>DZ48</t>
  </si>
  <si>
    <t>DZ41</t>
  </si>
  <si>
    <t>DZ49</t>
  </si>
  <si>
    <t>DZ50</t>
  </si>
  <si>
    <t>SA12</t>
  </si>
  <si>
    <t>DZ44</t>
  </si>
  <si>
    <t>DD3</t>
  </si>
  <si>
    <t>DD6</t>
  </si>
  <si>
    <t>DD7</t>
  </si>
  <si>
    <t>DD8</t>
  </si>
  <si>
    <t>DD9</t>
  </si>
  <si>
    <t>DD11</t>
  </si>
  <si>
    <t>DD12</t>
  </si>
  <si>
    <t>DD13</t>
  </si>
  <si>
    <t>ANNA</t>
  </si>
  <si>
    <t>DD14</t>
  </si>
  <si>
    <t>DD1</t>
  </si>
  <si>
    <t>DD15</t>
  </si>
  <si>
    <t>DD2</t>
  </si>
  <si>
    <t>DD16</t>
  </si>
  <si>
    <t>DD17</t>
  </si>
  <si>
    <t>DD4</t>
  </si>
  <si>
    <t>DD18</t>
  </si>
  <si>
    <t>DD5</t>
  </si>
  <si>
    <t>DD19</t>
  </si>
  <si>
    <t>DD20</t>
  </si>
  <si>
    <t>TT2</t>
  </si>
  <si>
    <t>TT3</t>
  </si>
  <si>
    <t>TT4</t>
  </si>
  <si>
    <t>DD10</t>
  </si>
  <si>
    <t>TT5</t>
  </si>
  <si>
    <t>TT6</t>
  </si>
  <si>
    <t>TT8</t>
  </si>
  <si>
    <t>TT9</t>
  </si>
  <si>
    <t>TT10</t>
  </si>
  <si>
    <t>TT11</t>
  </si>
  <si>
    <t>TT12</t>
  </si>
  <si>
    <t>TT13</t>
  </si>
  <si>
    <t>TT14</t>
  </si>
  <si>
    <t>TT15</t>
  </si>
  <si>
    <t>TT17</t>
  </si>
  <si>
    <t>TT1</t>
  </si>
  <si>
    <t>TT18</t>
  </si>
  <si>
    <t>TT19</t>
  </si>
  <si>
    <t>TT20</t>
  </si>
  <si>
    <t>TT21</t>
  </si>
  <si>
    <t>TT22</t>
  </si>
  <si>
    <t>TT23</t>
  </si>
  <si>
    <t>TT7</t>
  </si>
  <si>
    <t>TT24</t>
  </si>
  <si>
    <t>TT25</t>
  </si>
  <si>
    <t>TT26</t>
  </si>
  <si>
    <t>TT27</t>
  </si>
  <si>
    <t>TT29</t>
  </si>
  <si>
    <t>TT31</t>
  </si>
  <si>
    <t>TT32</t>
  </si>
  <si>
    <t>TT33</t>
  </si>
  <si>
    <t>TT34</t>
  </si>
  <si>
    <t>TT16</t>
  </si>
  <si>
    <t>TT35</t>
  </si>
  <si>
    <t>TT36</t>
  </si>
  <si>
    <t>TT37</t>
  </si>
  <si>
    <t>TT38</t>
  </si>
  <si>
    <t>TT39</t>
  </si>
  <si>
    <t>TT40</t>
  </si>
  <si>
    <t>TT41</t>
  </si>
  <si>
    <t>TT42</t>
  </si>
  <si>
    <t>TT44</t>
  </si>
  <si>
    <t>TT45</t>
  </si>
  <si>
    <t>TT46</t>
  </si>
  <si>
    <t>TT47</t>
  </si>
  <si>
    <t>TT28</t>
  </si>
  <si>
    <t>TT48</t>
  </si>
  <si>
    <t>TT50</t>
  </si>
  <si>
    <t>TT30</t>
  </si>
  <si>
    <t>TT51</t>
  </si>
  <si>
    <t>TT52</t>
  </si>
  <si>
    <t>TT53</t>
  </si>
  <si>
    <t>TT55</t>
  </si>
  <si>
    <t>TT57</t>
  </si>
  <si>
    <t>TT59</t>
  </si>
  <si>
    <t>TT60</t>
  </si>
  <si>
    <t>TT61</t>
  </si>
  <si>
    <t>TT62</t>
  </si>
  <si>
    <t>TT63</t>
  </si>
  <si>
    <t>TT64</t>
  </si>
  <si>
    <t>TT65</t>
  </si>
  <si>
    <t>TT66</t>
  </si>
  <si>
    <t>TT43</t>
  </si>
  <si>
    <t>TT67</t>
  </si>
  <si>
    <t>TT68</t>
  </si>
  <si>
    <t>TT69</t>
  </si>
  <si>
    <t>TT70</t>
  </si>
  <si>
    <t>TT71</t>
  </si>
  <si>
    <t>TT72</t>
  </si>
  <si>
    <t>TT49</t>
  </si>
  <si>
    <t>TT73</t>
  </si>
  <si>
    <t>TT74</t>
  </si>
  <si>
    <t>TT75</t>
  </si>
  <si>
    <t>TT76</t>
  </si>
  <si>
    <t>TT77</t>
  </si>
  <si>
    <t>TT54</t>
  </si>
  <si>
    <t>TT78</t>
  </si>
  <si>
    <t>TT79</t>
  </si>
  <si>
    <t>TT56</t>
  </si>
  <si>
    <t>TT80</t>
  </si>
  <si>
    <t>TT81</t>
  </si>
  <si>
    <t>TT58</t>
  </si>
  <si>
    <t>TT82</t>
  </si>
  <si>
    <t>TT83</t>
  </si>
  <si>
    <t>TT84</t>
  </si>
  <si>
    <t>TT85</t>
  </si>
  <si>
    <t>TT86</t>
  </si>
  <si>
    <t>TT87</t>
  </si>
  <si>
    <t>TT88</t>
  </si>
  <si>
    <t>TT89</t>
  </si>
  <si>
    <t>TT90</t>
  </si>
  <si>
    <t>TT91</t>
  </si>
  <si>
    <t>TT92</t>
  </si>
  <si>
    <t>TT93</t>
  </si>
  <si>
    <t>TT94</t>
  </si>
  <si>
    <t>TT95</t>
  </si>
  <si>
    <t>TT96</t>
  </si>
  <si>
    <t>TT97</t>
  </si>
  <si>
    <t>TT98</t>
  </si>
  <si>
    <t>TT99</t>
  </si>
  <si>
    <t>TT100</t>
  </si>
  <si>
    <t>QQ1</t>
  </si>
  <si>
    <t>QQ2</t>
  </si>
  <si>
    <t>QQ4</t>
  </si>
  <si>
    <t>QQ5</t>
  </si>
  <si>
    <t>QQ6</t>
  </si>
  <si>
    <t>QQ7</t>
  </si>
  <si>
    <t>QQ8</t>
  </si>
  <si>
    <t>QQ9</t>
  </si>
  <si>
    <t>QQ10</t>
  </si>
  <si>
    <t>QQ11</t>
  </si>
  <si>
    <t>QQ12</t>
  </si>
  <si>
    <t>QQ13</t>
  </si>
  <si>
    <t>QQ14</t>
  </si>
  <si>
    <t>QQ15</t>
  </si>
  <si>
    <t>QQ16</t>
  </si>
  <si>
    <t>QQ17</t>
  </si>
  <si>
    <t>QQ21</t>
  </si>
  <si>
    <t>QQ22</t>
  </si>
  <si>
    <t>QQ23</t>
  </si>
  <si>
    <t>QQ24</t>
  </si>
  <si>
    <t>QQ25</t>
  </si>
  <si>
    <t>QQ26</t>
  </si>
  <si>
    <t>QQ27</t>
  </si>
  <si>
    <t>QQ28</t>
  </si>
  <si>
    <t>QQ29</t>
  </si>
  <si>
    <t>QQ30</t>
  </si>
  <si>
    <t>QQ3</t>
  </si>
  <si>
    <t>QQ31</t>
  </si>
  <si>
    <t>QQ34</t>
  </si>
  <si>
    <t>QQ35</t>
  </si>
  <si>
    <t>QQ36</t>
  </si>
  <si>
    <t>QQ37</t>
  </si>
  <si>
    <t>QQ38</t>
  </si>
  <si>
    <t>QQ39</t>
  </si>
  <si>
    <t>QQ40</t>
  </si>
  <si>
    <t>QQ41</t>
  </si>
  <si>
    <t>QQ42</t>
  </si>
  <si>
    <t>QQ43</t>
  </si>
  <si>
    <t>QQ45</t>
  </si>
  <si>
    <t>QQ46</t>
  </si>
  <si>
    <t>QQ47</t>
  </si>
  <si>
    <t>QQ48</t>
  </si>
  <si>
    <t>QQ18</t>
  </si>
  <si>
    <t>QQ49</t>
  </si>
  <si>
    <t>QQ19</t>
  </si>
  <si>
    <t>QQ50</t>
  </si>
  <si>
    <t>QQ20</t>
  </si>
  <si>
    <t>KAJ</t>
  </si>
  <si>
    <t>custom coupon</t>
  </si>
  <si>
    <t>SAMAH</t>
  </si>
  <si>
    <t>CODK</t>
  </si>
  <si>
    <t>GDT3</t>
  </si>
  <si>
    <t>GDT5</t>
  </si>
  <si>
    <t>GDT6</t>
  </si>
  <si>
    <t>GDT7</t>
  </si>
  <si>
    <t>GDT8</t>
  </si>
  <si>
    <t>GDT9</t>
  </si>
  <si>
    <t>GDT10</t>
  </si>
  <si>
    <t>GDT12</t>
  </si>
  <si>
    <t>QQ32</t>
  </si>
  <si>
    <t>GDT13</t>
  </si>
  <si>
    <t>QQ33</t>
  </si>
  <si>
    <t>GDT14</t>
  </si>
  <si>
    <t>GDT15</t>
  </si>
  <si>
    <t>GDT16</t>
  </si>
  <si>
    <t>GDT17</t>
  </si>
  <si>
    <t>GDT18</t>
  </si>
  <si>
    <t>GDT19</t>
  </si>
  <si>
    <t>GDT20</t>
  </si>
  <si>
    <t>GDT21</t>
  </si>
  <si>
    <t>GDT22</t>
  </si>
  <si>
    <t>GDT23</t>
  </si>
  <si>
    <t>GDT24</t>
  </si>
  <si>
    <t>QQ44</t>
  </si>
  <si>
    <t>GDT25</t>
  </si>
  <si>
    <t>GDT26</t>
  </si>
  <si>
    <t>GDT27</t>
  </si>
  <si>
    <t>GDT28</t>
  </si>
  <si>
    <t>GDT29</t>
  </si>
  <si>
    <t>GDT30</t>
  </si>
  <si>
    <t>GDT31</t>
  </si>
  <si>
    <t>GDT32</t>
  </si>
  <si>
    <t>GDT34</t>
  </si>
  <si>
    <t>GDT35</t>
  </si>
  <si>
    <t>GDT36</t>
  </si>
  <si>
    <t>GDT1</t>
  </si>
  <si>
    <t>GDT37</t>
  </si>
  <si>
    <t>GDT2</t>
  </si>
  <si>
    <t>GDT38</t>
  </si>
  <si>
    <t>GDT39</t>
  </si>
  <si>
    <t>GDT4</t>
  </si>
  <si>
    <t>GDT40</t>
  </si>
  <si>
    <t>GDT41</t>
  </si>
  <si>
    <t>GDT42</t>
  </si>
  <si>
    <t>GDT43</t>
  </si>
  <si>
    <t>GDT44</t>
  </si>
  <si>
    <t>GDT45</t>
  </si>
  <si>
    <t>GDT46</t>
  </si>
  <si>
    <t>GDT47</t>
  </si>
  <si>
    <t xml:space="preserve">Active Codes </t>
  </si>
  <si>
    <t>GDT48</t>
  </si>
  <si>
    <t>GDT49</t>
  </si>
  <si>
    <t>BLU</t>
  </si>
  <si>
    <t>HBH</t>
  </si>
  <si>
    <t>KK7</t>
  </si>
  <si>
    <t>SR6</t>
  </si>
  <si>
    <t>KK8</t>
  </si>
  <si>
    <t>KK26</t>
  </si>
  <si>
    <t>KK10</t>
  </si>
  <si>
    <t>GDT33</t>
  </si>
  <si>
    <t>KK11</t>
  </si>
  <si>
    <t>AXA15</t>
  </si>
  <si>
    <t>KK12</t>
  </si>
  <si>
    <t>KK14</t>
  </si>
  <si>
    <t>KK15</t>
  </si>
  <si>
    <t>KK20</t>
  </si>
  <si>
    <t>KK22</t>
  </si>
  <si>
    <t>KK23</t>
  </si>
  <si>
    <t>KK25</t>
  </si>
  <si>
    <t>ARW1</t>
  </si>
  <si>
    <t>GDT50</t>
  </si>
  <si>
    <t>RTA</t>
  </si>
  <si>
    <t>KK9</t>
  </si>
  <si>
    <t>KK13</t>
  </si>
  <si>
    <t>KK16</t>
  </si>
  <si>
    <t>KK17</t>
  </si>
  <si>
    <t>KK18</t>
  </si>
  <si>
    <t>KK19</t>
  </si>
  <si>
    <t>KK21</t>
  </si>
  <si>
    <t>KK24</t>
  </si>
  <si>
    <t>SH1</t>
  </si>
  <si>
    <t>SH2</t>
  </si>
  <si>
    <t>SH3</t>
  </si>
  <si>
    <t>SH4</t>
  </si>
  <si>
    <t>SH5</t>
  </si>
  <si>
    <t>SH6</t>
  </si>
  <si>
    <t>SH7</t>
  </si>
  <si>
    <t>SH8</t>
  </si>
  <si>
    <t>SH9</t>
  </si>
  <si>
    <t>AA1</t>
  </si>
  <si>
    <t>HBAH</t>
  </si>
  <si>
    <t>SR1</t>
  </si>
  <si>
    <t>SR2</t>
  </si>
  <si>
    <t>SR3</t>
  </si>
  <si>
    <t>SR4</t>
  </si>
  <si>
    <t>SR5</t>
  </si>
  <si>
    <t>SR7</t>
  </si>
  <si>
    <t>SR8</t>
  </si>
  <si>
    <t>SR9</t>
  </si>
  <si>
    <t>ASL</t>
  </si>
  <si>
    <t>FAM</t>
  </si>
  <si>
    <t>DIOR1</t>
  </si>
  <si>
    <t>BAG</t>
  </si>
  <si>
    <t>ESRA</t>
  </si>
  <si>
    <t>KK1</t>
  </si>
  <si>
    <t>KK2</t>
  </si>
  <si>
    <t>KK3</t>
  </si>
  <si>
    <t>KK4</t>
  </si>
  <si>
    <t>KK5</t>
  </si>
  <si>
    <t>KK6</t>
  </si>
  <si>
    <t>KHL</t>
  </si>
  <si>
    <t>KHO</t>
  </si>
  <si>
    <t>GDT11</t>
  </si>
  <si>
    <t>AYLA</t>
  </si>
  <si>
    <t>Codes ( direct)</t>
  </si>
  <si>
    <t>V71B</t>
  </si>
  <si>
    <t>VT3B</t>
  </si>
  <si>
    <t>V7Y3</t>
  </si>
  <si>
    <t>V59X</t>
  </si>
  <si>
    <t>VVP3</t>
  </si>
  <si>
    <t>VH1O</t>
  </si>
  <si>
    <t>VCGE</t>
  </si>
  <si>
    <t>VZJX</t>
  </si>
  <si>
    <t>V1B8</t>
  </si>
  <si>
    <t>V6TU</t>
  </si>
  <si>
    <t>VVIJ</t>
  </si>
  <si>
    <t>V6Q1</t>
  </si>
  <si>
    <t>VCM0</t>
  </si>
  <si>
    <t>VFMP</t>
  </si>
  <si>
    <t>VL53</t>
  </si>
  <si>
    <t>VDF7</t>
  </si>
  <si>
    <t>VCZI</t>
  </si>
  <si>
    <t>VG1Z</t>
  </si>
  <si>
    <t>VX4D</t>
  </si>
  <si>
    <t>VI4C</t>
  </si>
  <si>
    <t>VAFW</t>
  </si>
  <si>
    <t>V64D</t>
  </si>
  <si>
    <t>V8MS</t>
  </si>
  <si>
    <t>VL20</t>
  </si>
  <si>
    <t>VN3X</t>
  </si>
  <si>
    <t>VFXG</t>
  </si>
  <si>
    <t>VTY0</t>
  </si>
  <si>
    <t>V9B2</t>
  </si>
  <si>
    <t>V0MW</t>
  </si>
  <si>
    <t>VT3L</t>
  </si>
  <si>
    <t>VM6T</t>
  </si>
  <si>
    <t>VA8M</t>
  </si>
  <si>
    <t>VA5C</t>
  </si>
  <si>
    <t>VWL3</t>
  </si>
  <si>
    <t>VSAC</t>
  </si>
  <si>
    <t>VWGQ</t>
  </si>
  <si>
    <t>VLZ0</t>
  </si>
  <si>
    <t>V7SI</t>
  </si>
  <si>
    <t>VKD4</t>
  </si>
  <si>
    <t>V42S</t>
  </si>
  <si>
    <t>VB7S</t>
  </si>
  <si>
    <t>VEV5</t>
  </si>
  <si>
    <t>VLZH</t>
  </si>
  <si>
    <t>VWN2</t>
  </si>
  <si>
    <t>VAW0</t>
  </si>
  <si>
    <t>VF7W</t>
  </si>
  <si>
    <t>V5LQ</t>
  </si>
  <si>
    <t>V1O5</t>
  </si>
  <si>
    <t>VU0A</t>
  </si>
  <si>
    <t>VHZ6</t>
  </si>
  <si>
    <t>VCMQ</t>
  </si>
  <si>
    <t>VKOA</t>
  </si>
  <si>
    <t>VQF3</t>
  </si>
  <si>
    <t>V7V5</t>
  </si>
  <si>
    <t>V9DK</t>
  </si>
  <si>
    <t>VSG9</t>
  </si>
  <si>
    <t>VOLN</t>
  </si>
  <si>
    <t>VJZD</t>
  </si>
  <si>
    <t>VVJ0</t>
  </si>
  <si>
    <t>VJKR</t>
  </si>
  <si>
    <t>VL48</t>
  </si>
  <si>
    <t>V0DN</t>
  </si>
  <si>
    <t>VFYT</t>
  </si>
  <si>
    <t>VF1U</t>
  </si>
  <si>
    <t>V7M0</t>
  </si>
  <si>
    <t>V11F</t>
  </si>
  <si>
    <t>VYY1</t>
  </si>
  <si>
    <t>VK4P</t>
  </si>
  <si>
    <t>VEV7</t>
  </si>
  <si>
    <t>VIWZ</t>
  </si>
  <si>
    <t>VYTV</t>
  </si>
  <si>
    <t>VPCD</t>
  </si>
  <si>
    <t>VPWL</t>
  </si>
  <si>
    <t>VPHB</t>
  </si>
  <si>
    <t>V28S</t>
  </si>
  <si>
    <t>VO1P</t>
  </si>
  <si>
    <t>VMMF</t>
  </si>
  <si>
    <t>VCPZ</t>
  </si>
  <si>
    <t>VVU2</t>
  </si>
  <si>
    <t>VF4S</t>
  </si>
  <si>
    <t>V6ES</t>
  </si>
  <si>
    <t>VTR3</t>
  </si>
  <si>
    <t>V5DW</t>
  </si>
  <si>
    <t>VTZE</t>
  </si>
  <si>
    <t>VJFS</t>
  </si>
  <si>
    <t>VM58</t>
  </si>
  <si>
    <t>VBG4</t>
  </si>
  <si>
    <t>VIXK</t>
  </si>
  <si>
    <t>VREA</t>
  </si>
  <si>
    <t>V9C9</t>
  </si>
  <si>
    <t>V5P9</t>
  </si>
  <si>
    <t>VI45</t>
  </si>
  <si>
    <t>V5ZZ</t>
  </si>
  <si>
    <t>VM41</t>
  </si>
  <si>
    <t>V0TO</t>
  </si>
  <si>
    <t>V1ZT</t>
  </si>
  <si>
    <t>VUW4</t>
  </si>
  <si>
    <t>VW4D</t>
  </si>
  <si>
    <t>V6NI</t>
  </si>
  <si>
    <t>VII3</t>
  </si>
  <si>
    <t>V0Q5</t>
  </si>
  <si>
    <t>VUD5</t>
  </si>
  <si>
    <t>VI60</t>
  </si>
  <si>
    <t>VTXC</t>
  </si>
  <si>
    <t>VYBO</t>
  </si>
  <si>
    <t>VDOS</t>
  </si>
  <si>
    <t>V2HS</t>
  </si>
  <si>
    <t>VUWX</t>
  </si>
  <si>
    <t>VYW4</t>
  </si>
  <si>
    <t>V47P</t>
  </si>
  <si>
    <t>VSQ1</t>
  </si>
  <si>
    <t>VSR5</t>
  </si>
  <si>
    <t>V623</t>
  </si>
  <si>
    <t>V142</t>
  </si>
  <si>
    <t>VKDM</t>
  </si>
  <si>
    <t>VNEB</t>
  </si>
  <si>
    <t>V0B1</t>
  </si>
  <si>
    <t>VZZX</t>
  </si>
  <si>
    <t>VMX3</t>
  </si>
  <si>
    <t>VV5L</t>
  </si>
  <si>
    <t>V2ZY</t>
  </si>
  <si>
    <t>VFII</t>
  </si>
  <si>
    <t>VGZN</t>
  </si>
  <si>
    <t>VK7L</t>
  </si>
  <si>
    <t>V5RI</t>
  </si>
  <si>
    <t>VUB0</t>
  </si>
  <si>
    <t>VYF7</t>
  </si>
  <si>
    <t>VGEO</t>
  </si>
  <si>
    <t>VQF1</t>
  </si>
  <si>
    <t>VD82</t>
  </si>
  <si>
    <t>VSMI</t>
  </si>
  <si>
    <t>VM2A</t>
  </si>
  <si>
    <t>VJ1Z</t>
  </si>
  <si>
    <t>VGVG</t>
  </si>
  <si>
    <t>VT87</t>
  </si>
  <si>
    <t>VFU8</t>
  </si>
  <si>
    <t>VD2F</t>
  </si>
  <si>
    <t>V6KK</t>
  </si>
  <si>
    <t>VOEU</t>
  </si>
  <si>
    <t>VNMD</t>
  </si>
  <si>
    <t>V7FF</t>
  </si>
  <si>
    <t>V88G</t>
  </si>
  <si>
    <t>V3DY</t>
  </si>
  <si>
    <t>VVIC</t>
  </si>
  <si>
    <t>V2XA</t>
  </si>
  <si>
    <t>VCJX</t>
  </si>
  <si>
    <t>VFOO</t>
  </si>
  <si>
    <t>VN3P</t>
  </si>
  <si>
    <t>VONS</t>
  </si>
  <si>
    <t>V5E2</t>
  </si>
  <si>
    <t>V7YV</t>
  </si>
  <si>
    <t>V82F</t>
  </si>
  <si>
    <t>VG2T</t>
  </si>
  <si>
    <t>VKN0</t>
  </si>
  <si>
    <t>VV6T</t>
  </si>
  <si>
    <t>VVQ2</t>
  </si>
  <si>
    <t>V33A</t>
  </si>
  <si>
    <t>V4T5</t>
  </si>
  <si>
    <t>VFYS</t>
  </si>
  <si>
    <t>VWEC</t>
  </si>
  <si>
    <t>VU8O</t>
  </si>
  <si>
    <t>V702</t>
  </si>
  <si>
    <t>VXK9</t>
  </si>
  <si>
    <t>VV54</t>
  </si>
  <si>
    <t>seo</t>
  </si>
  <si>
    <t>VKLG</t>
  </si>
  <si>
    <t>V36L</t>
  </si>
  <si>
    <t>VMCF</t>
  </si>
  <si>
    <t>VELH</t>
  </si>
  <si>
    <t>V581</t>
  </si>
  <si>
    <t>VY78</t>
  </si>
  <si>
    <t>VIYQ</t>
  </si>
  <si>
    <t>VI2A</t>
  </si>
  <si>
    <t>VNAN</t>
  </si>
  <si>
    <t>VSKU</t>
  </si>
  <si>
    <t>VZKR</t>
  </si>
  <si>
    <t>VI2I</t>
  </si>
  <si>
    <t>VPG4</t>
  </si>
  <si>
    <t>VO18</t>
  </si>
  <si>
    <t>VYPD</t>
  </si>
  <si>
    <t>V98I</t>
  </si>
  <si>
    <t>VG27</t>
  </si>
  <si>
    <t>VQR9</t>
  </si>
  <si>
    <t>VY1O</t>
  </si>
  <si>
    <t>VOS3</t>
  </si>
  <si>
    <t>VKYI</t>
  </si>
  <si>
    <t>VHS3</t>
  </si>
  <si>
    <t>V2D7</t>
  </si>
  <si>
    <t>VCDQ</t>
  </si>
  <si>
    <t>VOGH</t>
  </si>
  <si>
    <t>VKR4</t>
  </si>
  <si>
    <t>VXSN</t>
  </si>
  <si>
    <t>VG2I</t>
  </si>
  <si>
    <t>VXF9</t>
  </si>
  <si>
    <t>VLX0</t>
  </si>
  <si>
    <t>VDX2</t>
  </si>
  <si>
    <t>V231</t>
  </si>
  <si>
    <t>VYUL</t>
  </si>
  <si>
    <t>VIX4</t>
  </si>
  <si>
    <t>VXB6</t>
  </si>
  <si>
    <t>VODC</t>
  </si>
  <si>
    <t>V5WX</t>
  </si>
  <si>
    <t>V7GK</t>
  </si>
  <si>
    <t>VPU8</t>
  </si>
  <si>
    <t>V9RD</t>
  </si>
  <si>
    <t>VLJA</t>
  </si>
  <si>
    <t>V8DJ</t>
  </si>
  <si>
    <t>V00O</t>
  </si>
  <si>
    <t>V5L5</t>
  </si>
  <si>
    <t>VX44</t>
  </si>
  <si>
    <t>VN89</t>
  </si>
  <si>
    <t>V3C7</t>
  </si>
  <si>
    <t>VQJQ</t>
  </si>
  <si>
    <t>V8F1</t>
  </si>
  <si>
    <t>VWXO</t>
  </si>
  <si>
    <t>VG9I</t>
  </si>
  <si>
    <t>VDSB</t>
  </si>
  <si>
    <t>VZXR</t>
  </si>
  <si>
    <t>VF7S</t>
  </si>
  <si>
    <t>VJJN</t>
  </si>
  <si>
    <t>V2BZ</t>
  </si>
  <si>
    <t>VBKM</t>
  </si>
  <si>
    <t>VHDK</t>
  </si>
  <si>
    <t>VXHQ</t>
  </si>
  <si>
    <t>VKA4</t>
  </si>
  <si>
    <t>VEJ0</t>
  </si>
  <si>
    <t>VSH1</t>
  </si>
  <si>
    <t>V5GV</t>
  </si>
  <si>
    <t>VXT7</t>
  </si>
  <si>
    <t>V75K</t>
  </si>
  <si>
    <t>V1JF</t>
  </si>
  <si>
    <t>VWWI</t>
  </si>
  <si>
    <t>VGLJ</t>
  </si>
  <si>
    <t>VBOJ</t>
  </si>
  <si>
    <t>VUGT</t>
  </si>
  <si>
    <t>VV0T</t>
  </si>
  <si>
    <t>VBDF</t>
  </si>
  <si>
    <t>V36S</t>
  </si>
  <si>
    <t>V2YG</t>
  </si>
  <si>
    <t>VA5G</t>
  </si>
  <si>
    <t>VSH4</t>
  </si>
  <si>
    <t>VJMK</t>
  </si>
  <si>
    <t>VEQE</t>
  </si>
  <si>
    <t>VNR6</t>
  </si>
  <si>
    <t>VQAZ</t>
  </si>
  <si>
    <t>VJRF</t>
  </si>
  <si>
    <t>VA6C</t>
  </si>
  <si>
    <t>V9W0</t>
  </si>
  <si>
    <t>VDBQ</t>
  </si>
  <si>
    <t>V9KN</t>
  </si>
  <si>
    <t>VHCE</t>
  </si>
  <si>
    <t>VQS8</t>
  </si>
  <si>
    <t>VIJJ</t>
  </si>
  <si>
    <t>VPZI</t>
  </si>
  <si>
    <t>VBQ2</t>
  </si>
  <si>
    <t>VVM0</t>
  </si>
  <si>
    <t>VBQQ</t>
  </si>
  <si>
    <t>V3XD</t>
  </si>
  <si>
    <t>VDG6</t>
  </si>
  <si>
    <t>VBGY</t>
  </si>
  <si>
    <t>VU3T</t>
  </si>
  <si>
    <t>V7GN</t>
  </si>
  <si>
    <t>VM3I</t>
  </si>
  <si>
    <t>VTXZ</t>
  </si>
  <si>
    <t>VL7C</t>
  </si>
  <si>
    <t>VFK5</t>
  </si>
  <si>
    <t>V3GM</t>
  </si>
  <si>
    <t>V4UZ</t>
  </si>
  <si>
    <t>VEAF</t>
  </si>
  <si>
    <t>V3GH</t>
  </si>
  <si>
    <t>VJTK</t>
  </si>
  <si>
    <t>VYNA</t>
  </si>
  <si>
    <t>VIDN</t>
  </si>
  <si>
    <t>V6PR</t>
  </si>
  <si>
    <t>VKQN</t>
  </si>
  <si>
    <t>VAC3</t>
  </si>
  <si>
    <t>VLJL</t>
  </si>
  <si>
    <t>V7PY</t>
  </si>
  <si>
    <t>VH55</t>
  </si>
  <si>
    <t>VD06</t>
  </si>
  <si>
    <t>VGQZ</t>
  </si>
  <si>
    <t>VZ7Y</t>
  </si>
  <si>
    <t>VTBZ</t>
  </si>
  <si>
    <t>V51A</t>
  </si>
  <si>
    <t>V4G5</t>
  </si>
  <si>
    <t>VQFV</t>
  </si>
  <si>
    <t>VP84</t>
  </si>
  <si>
    <t>V0C8</t>
  </si>
  <si>
    <t>VIDH</t>
  </si>
  <si>
    <t>VR6S</t>
  </si>
  <si>
    <t>VCZC</t>
  </si>
  <si>
    <t>VQV5</t>
  </si>
  <si>
    <t>V2VP</t>
  </si>
  <si>
    <t>VJKE</t>
  </si>
  <si>
    <t>VFUR</t>
  </si>
  <si>
    <t>VRS5</t>
  </si>
  <si>
    <t>VGUO</t>
  </si>
  <si>
    <t>V4UT</t>
  </si>
  <si>
    <t>VTPU</t>
  </si>
  <si>
    <t>V0CQ</t>
  </si>
  <si>
    <t>VYXU</t>
  </si>
  <si>
    <t>VDPL</t>
  </si>
  <si>
    <t>VGVB</t>
  </si>
  <si>
    <t>V53X</t>
  </si>
  <si>
    <t>V8QN</t>
  </si>
  <si>
    <t>V2S2</t>
  </si>
  <si>
    <t>V32C</t>
  </si>
  <si>
    <t>V3R9</t>
  </si>
  <si>
    <t>VSTM</t>
  </si>
  <si>
    <t>VVKK</t>
  </si>
  <si>
    <t>VK3D</t>
  </si>
  <si>
    <t>VGQA</t>
  </si>
  <si>
    <t>VC5V</t>
  </si>
  <si>
    <t>VK39</t>
  </si>
  <si>
    <t>VDSI</t>
  </si>
  <si>
    <t>V248</t>
  </si>
  <si>
    <t>VCBW</t>
  </si>
  <si>
    <t>VCQV</t>
  </si>
  <si>
    <t>VQL1</t>
  </si>
  <si>
    <t>V9FS</t>
  </si>
  <si>
    <t>V1DG</t>
  </si>
  <si>
    <t>V79L</t>
  </si>
  <si>
    <t>V1M8</t>
  </si>
  <si>
    <t>VWAT</t>
  </si>
  <si>
    <t>V9CQ</t>
  </si>
  <si>
    <t>VHUC</t>
  </si>
  <si>
    <t>VMP2</t>
  </si>
  <si>
    <t>V1Y9</t>
  </si>
  <si>
    <t>V0JA</t>
  </si>
  <si>
    <t>VS00</t>
  </si>
  <si>
    <t>VEFF</t>
  </si>
  <si>
    <t>VZ7A</t>
  </si>
  <si>
    <t>V0X8</t>
  </si>
  <si>
    <t>VDPN</t>
  </si>
  <si>
    <t>VNKX</t>
  </si>
  <si>
    <t>VDBX</t>
  </si>
  <si>
    <t>V4YH</t>
  </si>
  <si>
    <t>VR9P</t>
  </si>
  <si>
    <t>V18R</t>
  </si>
  <si>
    <t>VXGL</t>
  </si>
  <si>
    <t>VM00</t>
  </si>
  <si>
    <t>VMAX</t>
  </si>
  <si>
    <t>V9FF</t>
  </si>
  <si>
    <t>VGB1</t>
  </si>
  <si>
    <t>VF57</t>
  </si>
  <si>
    <t>VYXN</t>
  </si>
  <si>
    <t>VAYP</t>
  </si>
  <si>
    <t>VE4I</t>
  </si>
  <si>
    <t>VLI1</t>
  </si>
  <si>
    <t>VDWL</t>
  </si>
  <si>
    <t>VBJI</t>
  </si>
  <si>
    <t>V7FS</t>
  </si>
  <si>
    <t>VDBG</t>
  </si>
  <si>
    <t>VM78</t>
  </si>
  <si>
    <t>VK3Q</t>
  </si>
  <si>
    <t>VPFV</t>
  </si>
  <si>
    <t>VY2D</t>
  </si>
  <si>
    <t>V1WS</t>
  </si>
  <si>
    <t>VTSW</t>
  </si>
  <si>
    <t>VVIB</t>
  </si>
  <si>
    <t>VQ3V</t>
  </si>
  <si>
    <t>VIVS</t>
  </si>
  <si>
    <t>VJ0A</t>
  </si>
  <si>
    <t>V7WW</t>
  </si>
  <si>
    <t>VP74</t>
  </si>
  <si>
    <t>VTP6</t>
  </si>
  <si>
    <t>VNRU</t>
  </si>
  <si>
    <t>VY5U</t>
  </si>
  <si>
    <t>V8LS</t>
  </si>
  <si>
    <t>VO6K</t>
  </si>
  <si>
    <t>VMOR</t>
  </si>
  <si>
    <t>VQU0</t>
  </si>
  <si>
    <t>V5AQ</t>
  </si>
  <si>
    <t>VCF7</t>
  </si>
  <si>
    <t>VIMC</t>
  </si>
  <si>
    <t>VGT9</t>
  </si>
  <si>
    <t>VYZ9</t>
  </si>
  <si>
    <t>VLHZ</t>
  </si>
  <si>
    <t>VN1N</t>
  </si>
  <si>
    <t>VNZI</t>
  </si>
  <si>
    <t>V8ZA</t>
  </si>
  <si>
    <t>V3FX</t>
  </si>
  <si>
    <t>VZUJ</t>
  </si>
  <si>
    <t>VW07</t>
  </si>
  <si>
    <t>V2QW</t>
  </si>
  <si>
    <t>VXCV</t>
  </si>
  <si>
    <t>VT1O</t>
  </si>
  <si>
    <t>VQXV</t>
  </si>
  <si>
    <t>VIWQ</t>
  </si>
  <si>
    <t>VUKC</t>
  </si>
  <si>
    <t>V792</t>
  </si>
  <si>
    <t>VSFN</t>
  </si>
  <si>
    <t>VM1N</t>
  </si>
  <si>
    <t>VZBG</t>
  </si>
  <si>
    <t>V7U4</t>
  </si>
  <si>
    <t>V3V9</t>
  </si>
  <si>
    <t>VFTB</t>
  </si>
  <si>
    <t>V98P</t>
  </si>
  <si>
    <t>VTK4</t>
  </si>
  <si>
    <t>VR0M</t>
  </si>
  <si>
    <t>VGRH</t>
  </si>
  <si>
    <t>VAY7</t>
  </si>
  <si>
    <t>VR1A</t>
  </si>
  <si>
    <t>VO3K</t>
  </si>
  <si>
    <t>VVO2</t>
  </si>
  <si>
    <t>VVGW</t>
  </si>
  <si>
    <t>V3CE</t>
  </si>
  <si>
    <t>V3AN</t>
  </si>
  <si>
    <t>VMMC</t>
  </si>
  <si>
    <t>V4TR</t>
  </si>
  <si>
    <t>V66W</t>
  </si>
  <si>
    <t>VJGB</t>
  </si>
  <si>
    <t>VBKD</t>
  </si>
  <si>
    <t>VKVD</t>
  </si>
  <si>
    <t>V16D</t>
  </si>
  <si>
    <t>VKSB</t>
  </si>
  <si>
    <t>VFJV</t>
  </si>
  <si>
    <t>VM0U</t>
  </si>
  <si>
    <t>V82A</t>
  </si>
  <si>
    <t>VPQ0</t>
  </si>
  <si>
    <t>V19P</t>
  </si>
  <si>
    <t>V1U0</t>
  </si>
  <si>
    <t>V9AB</t>
  </si>
  <si>
    <t>V018</t>
  </si>
  <si>
    <t>VERX</t>
  </si>
  <si>
    <t>VZP9</t>
  </si>
  <si>
    <t>VCCE</t>
  </si>
  <si>
    <t>VGON</t>
  </si>
  <si>
    <t>V8WI</t>
  </si>
  <si>
    <t>VRRX</t>
  </si>
  <si>
    <t>VT2Z</t>
  </si>
  <si>
    <t>VDE3</t>
  </si>
  <si>
    <t>VNBW</t>
  </si>
  <si>
    <t>VK47</t>
  </si>
  <si>
    <t>V1BP</t>
  </si>
  <si>
    <t>VHW2</t>
  </si>
  <si>
    <t>VBLT</t>
  </si>
  <si>
    <t>VT6T</t>
  </si>
  <si>
    <t>V58G</t>
  </si>
  <si>
    <t>V0QJ</t>
  </si>
  <si>
    <t>VF07</t>
  </si>
  <si>
    <t>VCW6</t>
  </si>
  <si>
    <t>VEZ2</t>
  </si>
  <si>
    <t>VNFT</t>
  </si>
  <si>
    <t>VUCW</t>
  </si>
  <si>
    <t>VTCV</t>
  </si>
  <si>
    <t>VUYV</t>
  </si>
  <si>
    <t>VJ0E</t>
  </si>
  <si>
    <t>VFHS</t>
  </si>
  <si>
    <t>V1SM</t>
  </si>
  <si>
    <t>VYWT</t>
  </si>
  <si>
    <t>V0IG</t>
  </si>
  <si>
    <t>V3M9</t>
  </si>
  <si>
    <t>VZ05</t>
  </si>
  <si>
    <t>VZ4Q</t>
  </si>
  <si>
    <t>V9CR</t>
  </si>
  <si>
    <t>VESQ</t>
  </si>
  <si>
    <t>VN2N</t>
  </si>
  <si>
    <t>VVIT</t>
  </si>
  <si>
    <t>VDNV</t>
  </si>
  <si>
    <t>VMJ6</t>
  </si>
  <si>
    <t>VZCF</t>
  </si>
  <si>
    <t>VZQH</t>
  </si>
  <si>
    <t>V9FR</t>
  </si>
  <si>
    <t>VRSK</t>
  </si>
  <si>
    <t>VP54</t>
  </si>
  <si>
    <t>VBSY</t>
  </si>
  <si>
    <t>VZL9</t>
  </si>
  <si>
    <t>V1MK</t>
  </si>
  <si>
    <t>V9MA</t>
  </si>
  <si>
    <t>VWQO</t>
  </si>
  <si>
    <t>VMES</t>
  </si>
  <si>
    <t>VW31</t>
  </si>
  <si>
    <t>VYZM</t>
  </si>
  <si>
    <t>VUCO</t>
  </si>
  <si>
    <t>VW7M</t>
  </si>
  <si>
    <t>VRKF</t>
  </si>
  <si>
    <t>VCO9</t>
  </si>
  <si>
    <t>V6Y7</t>
  </si>
  <si>
    <t>V3GA</t>
  </si>
  <si>
    <t>VPBR</t>
  </si>
  <si>
    <t>VHET</t>
  </si>
  <si>
    <t>VKF5</t>
  </si>
  <si>
    <t>VRX0</t>
  </si>
  <si>
    <t>VL3E</t>
  </si>
  <si>
    <t>V52X</t>
  </si>
  <si>
    <t>VT09</t>
  </si>
  <si>
    <t>V12N</t>
  </si>
  <si>
    <t>VRS4</t>
  </si>
  <si>
    <t>VZH6</t>
  </si>
  <si>
    <t>VALL</t>
  </si>
  <si>
    <t>V311</t>
  </si>
  <si>
    <t>VH95</t>
  </si>
  <si>
    <t>VRKN</t>
  </si>
  <si>
    <t>V6VP</t>
  </si>
  <si>
    <t>VI7W</t>
  </si>
  <si>
    <t>VZ21</t>
  </si>
  <si>
    <t>VKPB</t>
  </si>
  <si>
    <t>V4U6</t>
  </si>
  <si>
    <t>VEJ5</t>
  </si>
  <si>
    <t>V6XY</t>
  </si>
  <si>
    <t>VG5B</t>
  </si>
  <si>
    <t>VJQV</t>
  </si>
  <si>
    <t>VSXA</t>
  </si>
  <si>
    <t>VUYS</t>
  </si>
  <si>
    <t>VFN4</t>
  </si>
  <si>
    <t>VE76</t>
  </si>
  <si>
    <t>VUH3</t>
  </si>
  <si>
    <t>VEM3</t>
  </si>
  <si>
    <t>V45A</t>
  </si>
  <si>
    <t>VZUV</t>
  </si>
  <si>
    <t>VBUY</t>
  </si>
  <si>
    <t>VUES</t>
  </si>
  <si>
    <t>VALF</t>
  </si>
  <si>
    <t>VHJO</t>
  </si>
  <si>
    <t>VQMJ</t>
  </si>
  <si>
    <t>V8YL</t>
  </si>
  <si>
    <t>VQN6</t>
  </si>
  <si>
    <t>VGP0</t>
  </si>
  <si>
    <t>VFLQ</t>
  </si>
  <si>
    <t>VIRB</t>
  </si>
  <si>
    <t>VZZE</t>
  </si>
  <si>
    <t>VM21</t>
  </si>
  <si>
    <t>VXP5</t>
  </si>
  <si>
    <t>VWCU</t>
  </si>
  <si>
    <t>VATD</t>
  </si>
  <si>
    <t>VDVF</t>
  </si>
  <si>
    <t>VERN</t>
  </si>
  <si>
    <t>VMLB</t>
  </si>
  <si>
    <t>VL9Z</t>
  </si>
  <si>
    <t>V9FZ</t>
  </si>
  <si>
    <t>VHZ0</t>
  </si>
  <si>
    <t>VUCJ</t>
  </si>
  <si>
    <t>VSMJ</t>
  </si>
  <si>
    <t>VK9I</t>
  </si>
  <si>
    <t>VLUK</t>
  </si>
  <si>
    <t>V4WN</t>
  </si>
  <si>
    <t>VFHC</t>
  </si>
  <si>
    <t>VMKI</t>
  </si>
  <si>
    <t>V729</t>
  </si>
  <si>
    <t>VJ7L</t>
  </si>
  <si>
    <t>VJ70</t>
  </si>
  <si>
    <t>V3Y0</t>
  </si>
  <si>
    <t>VDJJ</t>
  </si>
  <si>
    <t>VUHD</t>
  </si>
  <si>
    <t>VI38</t>
  </si>
  <si>
    <t>VI7I</t>
  </si>
  <si>
    <t>VJQ7</t>
  </si>
  <si>
    <t>VSDE</t>
  </si>
  <si>
    <t>VM0Z</t>
  </si>
  <si>
    <t>VZ78</t>
  </si>
  <si>
    <t>VKSW</t>
  </si>
  <si>
    <t>V31Q</t>
  </si>
  <si>
    <t>VQRY</t>
  </si>
  <si>
    <t>VTBQ</t>
  </si>
  <si>
    <t>VLD1</t>
  </si>
  <si>
    <t>VGYI</t>
  </si>
  <si>
    <t>VBAJ</t>
  </si>
  <si>
    <t>VU8C</t>
  </si>
  <si>
    <t>VMRP</t>
  </si>
  <si>
    <t>VS90</t>
  </si>
  <si>
    <t>VE28</t>
  </si>
  <si>
    <t>VQH1</t>
  </si>
  <si>
    <t>VW5T</t>
  </si>
  <si>
    <t>VUXX</t>
  </si>
  <si>
    <t>VEG1</t>
  </si>
  <si>
    <t>VX8W</t>
  </si>
  <si>
    <t>VTRO</t>
  </si>
  <si>
    <t>VCIQ</t>
  </si>
  <si>
    <t>V2R8</t>
  </si>
  <si>
    <t>VXGF</t>
  </si>
  <si>
    <t>VY6X</t>
  </si>
  <si>
    <t>VBO2</t>
  </si>
  <si>
    <t>V38S</t>
  </si>
  <si>
    <t>VNS2</t>
  </si>
  <si>
    <t>V3BW</t>
  </si>
  <si>
    <t>VK9W</t>
  </si>
  <si>
    <t>VNYE</t>
  </si>
  <si>
    <t>VA84</t>
  </si>
  <si>
    <t>VRG4</t>
  </si>
  <si>
    <t>VVUP</t>
  </si>
  <si>
    <t>VF7U</t>
  </si>
  <si>
    <t>V33D</t>
  </si>
  <si>
    <t>VFRH</t>
  </si>
  <si>
    <t>V8XU</t>
  </si>
  <si>
    <t>V1CD</t>
  </si>
  <si>
    <t>VZIY</t>
  </si>
  <si>
    <t>VZ98</t>
  </si>
  <si>
    <t>VXUQ</t>
  </si>
  <si>
    <t>VPRK</t>
  </si>
  <si>
    <t>VF5Y</t>
  </si>
  <si>
    <t>V79D</t>
  </si>
  <si>
    <t>VYBA</t>
  </si>
  <si>
    <t>V8EQ</t>
  </si>
  <si>
    <t>VYM0</t>
  </si>
  <si>
    <t>VTP5</t>
  </si>
  <si>
    <t>V7OH</t>
  </si>
  <si>
    <t>V9B6</t>
  </si>
  <si>
    <t>VR41</t>
  </si>
  <si>
    <t>VBZM</t>
  </si>
  <si>
    <t>VR2M</t>
  </si>
  <si>
    <t>VRTP</t>
  </si>
  <si>
    <t>VSC8</t>
  </si>
  <si>
    <t>VO36</t>
  </si>
  <si>
    <t>VGGJ</t>
  </si>
  <si>
    <t>VIW1</t>
  </si>
  <si>
    <t>V450</t>
  </si>
  <si>
    <t>VMSK</t>
  </si>
  <si>
    <t>VUEB</t>
  </si>
  <si>
    <t>VZGN</t>
  </si>
  <si>
    <t>V0UH</t>
  </si>
  <si>
    <t>VD5O</t>
  </si>
  <si>
    <t>VYY6</t>
  </si>
  <si>
    <t>VDS8</t>
  </si>
  <si>
    <t>VQHA</t>
  </si>
  <si>
    <t>V3ED</t>
  </si>
  <si>
    <t>VT4Q</t>
  </si>
  <si>
    <t>VII1</t>
  </si>
  <si>
    <t>VPX3</t>
  </si>
  <si>
    <t>VMVD</t>
  </si>
  <si>
    <t>V3F5</t>
  </si>
  <si>
    <t>VJSJ</t>
  </si>
  <si>
    <t>VTZP</t>
  </si>
  <si>
    <t>VS51</t>
  </si>
  <si>
    <t>V3L4</t>
  </si>
  <si>
    <t>VU48</t>
  </si>
  <si>
    <t>VR00</t>
  </si>
  <si>
    <t>VX2L</t>
  </si>
  <si>
    <t>VJCM</t>
  </si>
  <si>
    <t>VO2P</t>
  </si>
  <si>
    <t>VUVO</t>
  </si>
  <si>
    <t>VFNG</t>
  </si>
  <si>
    <t>V5VG</t>
  </si>
  <si>
    <t>V9TX</t>
  </si>
  <si>
    <t>VEYR</t>
  </si>
  <si>
    <t>VT99</t>
  </si>
  <si>
    <t>V2LE</t>
  </si>
  <si>
    <t>VIB8</t>
  </si>
  <si>
    <t>VRMR</t>
  </si>
  <si>
    <t>VLKW</t>
  </si>
  <si>
    <t>VM2Z</t>
  </si>
  <si>
    <t>VY27</t>
  </si>
  <si>
    <t>VRAJ</t>
  </si>
  <si>
    <t>VITQ</t>
  </si>
  <si>
    <t>VFIM</t>
  </si>
  <si>
    <t>V29H</t>
  </si>
  <si>
    <t>VK7W</t>
  </si>
  <si>
    <t>VV0C</t>
  </si>
  <si>
    <t>V4LA</t>
  </si>
  <si>
    <t>VB0C</t>
  </si>
  <si>
    <t>VUE9</t>
  </si>
  <si>
    <t>VEW9</t>
  </si>
  <si>
    <t>V66D</t>
  </si>
  <si>
    <t>VI6E</t>
  </si>
  <si>
    <t>VA6W</t>
  </si>
  <si>
    <t>VZES</t>
  </si>
  <si>
    <t>VJJL</t>
  </si>
  <si>
    <t>V0OB</t>
  </si>
  <si>
    <t>V3H7</t>
  </si>
  <si>
    <t>VJ4T</t>
  </si>
  <si>
    <t>V5OW</t>
  </si>
  <si>
    <t>VNZ8</t>
  </si>
  <si>
    <t>VH0G</t>
  </si>
  <si>
    <t>VWGK</t>
  </si>
  <si>
    <t>VDI4</t>
  </si>
  <si>
    <t>VQUX</t>
  </si>
  <si>
    <t>VZ7F</t>
  </si>
  <si>
    <t>VTIG</t>
  </si>
  <si>
    <t>V0ES</t>
  </si>
  <si>
    <t>VDTP</t>
  </si>
  <si>
    <t>V4M7</t>
  </si>
  <si>
    <t>V0IX</t>
  </si>
  <si>
    <t>VN5F</t>
  </si>
  <si>
    <t>VCH3</t>
  </si>
  <si>
    <t>VH3O</t>
  </si>
  <si>
    <t>VXCJ</t>
  </si>
  <si>
    <t>VMQR</t>
  </si>
  <si>
    <t>VO40</t>
  </si>
  <si>
    <t>VH2P</t>
  </si>
  <si>
    <t>V9L6</t>
  </si>
  <si>
    <t>V81P</t>
  </si>
  <si>
    <t>VEMI</t>
  </si>
  <si>
    <t>VV7J</t>
  </si>
  <si>
    <t>VECJ</t>
  </si>
  <si>
    <t>VHKB</t>
  </si>
  <si>
    <t>VUBK</t>
  </si>
  <si>
    <t>VQBK</t>
  </si>
  <si>
    <t>VUPP</t>
  </si>
  <si>
    <t>V81Y</t>
  </si>
  <si>
    <t>V6KO</t>
  </si>
  <si>
    <t>V72K</t>
  </si>
  <si>
    <t>V064</t>
  </si>
  <si>
    <t>VAE2</t>
  </si>
  <si>
    <t>V2DL</t>
  </si>
  <si>
    <t>VVF9</t>
  </si>
  <si>
    <t>V64H</t>
  </si>
  <si>
    <t>VW6O</t>
  </si>
  <si>
    <t>VH4C</t>
  </si>
  <si>
    <t>VTZG</t>
  </si>
  <si>
    <t>VIJC</t>
  </si>
  <si>
    <t>V9B5</t>
  </si>
  <si>
    <t>VU73</t>
  </si>
  <si>
    <t>V034</t>
  </si>
  <si>
    <t>VEC1</t>
  </si>
  <si>
    <t>VH75</t>
  </si>
  <si>
    <t>VWKD</t>
  </si>
  <si>
    <t>VIOF</t>
  </si>
  <si>
    <t>VOOE</t>
  </si>
  <si>
    <t>VLJF</t>
  </si>
  <si>
    <t>V52B</t>
  </si>
  <si>
    <t>VFAN</t>
  </si>
  <si>
    <t>VU0M</t>
  </si>
  <si>
    <t>V2Q1</t>
  </si>
  <si>
    <t>VDSF</t>
  </si>
  <si>
    <t>VN7F</t>
  </si>
  <si>
    <t>VKJQ</t>
  </si>
  <si>
    <t>V894</t>
  </si>
  <si>
    <t>VCOQ</t>
  </si>
  <si>
    <t>V532</t>
  </si>
  <si>
    <t>VWXW</t>
  </si>
  <si>
    <t>VE7J</t>
  </si>
  <si>
    <t>VR9U</t>
  </si>
  <si>
    <t>VOP3</t>
  </si>
  <si>
    <t>VK4A</t>
  </si>
  <si>
    <t>VTIV</t>
  </si>
  <si>
    <t>V2TR</t>
  </si>
  <si>
    <t>V4SP</t>
  </si>
  <si>
    <t>VKK5</t>
  </si>
  <si>
    <t>VFLT</t>
  </si>
  <si>
    <t>V6YZ</t>
  </si>
  <si>
    <t>VBDQ</t>
  </si>
  <si>
    <t>V2W3</t>
  </si>
  <si>
    <t>VE6F</t>
  </si>
  <si>
    <t>VKRO</t>
  </si>
  <si>
    <t>V3BV</t>
  </si>
  <si>
    <t>VL8Q</t>
  </si>
  <si>
    <t>V89L</t>
  </si>
  <si>
    <t>VHQ6</t>
  </si>
  <si>
    <t>V0Q7</t>
  </si>
  <si>
    <t>V09Z</t>
  </si>
  <si>
    <t>VMWG</t>
  </si>
  <si>
    <t>VVLG</t>
  </si>
  <si>
    <t>VI9J</t>
  </si>
  <si>
    <t>VO04</t>
  </si>
  <si>
    <t>VXHG</t>
  </si>
  <si>
    <t>V8NQ</t>
  </si>
  <si>
    <t>VKTE</t>
  </si>
  <si>
    <t>V4O6</t>
  </si>
  <si>
    <t>VMGG</t>
  </si>
  <si>
    <t>VMBA</t>
  </si>
  <si>
    <t>V686</t>
  </si>
  <si>
    <t>VS3W</t>
  </si>
  <si>
    <t>VKKP</t>
  </si>
  <si>
    <t>VWJW</t>
  </si>
  <si>
    <t>V9TH</t>
  </si>
  <si>
    <t>VCOC</t>
  </si>
  <si>
    <t>VNF9</t>
  </si>
  <si>
    <t>VR11</t>
  </si>
  <si>
    <t>VK9C</t>
  </si>
  <si>
    <t>VGN5</t>
  </si>
  <si>
    <t>VS5D</t>
  </si>
  <si>
    <t>V04X</t>
  </si>
  <si>
    <t>VKOZ</t>
  </si>
  <si>
    <t>VNV7</t>
  </si>
  <si>
    <t>VK7R</t>
  </si>
  <si>
    <t>VHJE</t>
  </si>
  <si>
    <t>V80U</t>
  </si>
  <si>
    <t>VBNQ</t>
  </si>
  <si>
    <t>VQJE</t>
  </si>
  <si>
    <t>VHHE</t>
  </si>
  <si>
    <t>VV8I</t>
  </si>
  <si>
    <t>V339</t>
  </si>
  <si>
    <t>VH38</t>
  </si>
  <si>
    <t>VT8X</t>
  </si>
  <si>
    <t>V17R</t>
  </si>
  <si>
    <t>VKQI</t>
  </si>
  <si>
    <t>V3L9</t>
  </si>
  <si>
    <t>VIQC</t>
  </si>
  <si>
    <t>V65H</t>
  </si>
  <si>
    <t>VKMA</t>
  </si>
  <si>
    <t>VG9N</t>
  </si>
  <si>
    <t>VU63</t>
  </si>
  <si>
    <t>VWBL</t>
  </si>
  <si>
    <t>VALE</t>
  </si>
  <si>
    <t>V5BL</t>
  </si>
  <si>
    <t>VL59</t>
  </si>
  <si>
    <t>V23M</t>
  </si>
  <si>
    <t>VLYV</t>
  </si>
  <si>
    <t>VNWY</t>
  </si>
  <si>
    <t>VUM3</t>
  </si>
  <si>
    <t>VU9I</t>
  </si>
  <si>
    <t>V3JN</t>
  </si>
  <si>
    <t>VSMZ</t>
  </si>
  <si>
    <t>VYGD</t>
  </si>
  <si>
    <t>VIWC</t>
  </si>
  <si>
    <t>VYU4</t>
  </si>
  <si>
    <t>V7MX</t>
  </si>
  <si>
    <t>V2UP</t>
  </si>
  <si>
    <t>VPM3</t>
  </si>
  <si>
    <t>VZVH</t>
  </si>
  <si>
    <t>VPP3</t>
  </si>
  <si>
    <t>VWBG</t>
  </si>
  <si>
    <t>VQBF</t>
  </si>
  <si>
    <t>VHXI</t>
  </si>
  <si>
    <t>V6L6</t>
  </si>
  <si>
    <t>VR2L</t>
  </si>
  <si>
    <t>VBID</t>
  </si>
  <si>
    <t>VHRR</t>
  </si>
  <si>
    <t>VJTR</t>
  </si>
  <si>
    <t>VI8L</t>
  </si>
  <si>
    <t>VOWG</t>
  </si>
  <si>
    <t>V1SU</t>
  </si>
  <si>
    <t>V0NY</t>
  </si>
  <si>
    <t>VXYA</t>
  </si>
  <si>
    <t>VODS</t>
  </si>
  <si>
    <t>VU8A</t>
  </si>
  <si>
    <t>VIKM</t>
  </si>
  <si>
    <t>VDHK</t>
  </si>
  <si>
    <t>V2DQ</t>
  </si>
  <si>
    <t>V47C</t>
  </si>
  <si>
    <t>V226</t>
  </si>
  <si>
    <t>VJGN</t>
  </si>
  <si>
    <t>VFTC</t>
  </si>
  <si>
    <t>VIZK</t>
  </si>
  <si>
    <t>VFLU</t>
  </si>
  <si>
    <t>VBA9</t>
  </si>
  <si>
    <t>V4RG</t>
  </si>
  <si>
    <t>VIHQ</t>
  </si>
  <si>
    <t>VWSB</t>
  </si>
  <si>
    <t>VD7F</t>
  </si>
  <si>
    <t>VY8K</t>
  </si>
  <si>
    <t>VLLX</t>
  </si>
  <si>
    <t>V3CQ</t>
  </si>
  <si>
    <t>VMTU</t>
  </si>
  <si>
    <t>V3V5</t>
  </si>
  <si>
    <t>VAZC</t>
  </si>
  <si>
    <t>VJK2</t>
  </si>
  <si>
    <t>VSTZ</t>
  </si>
  <si>
    <t>V4QN</t>
  </si>
  <si>
    <t>VK6R</t>
  </si>
  <si>
    <t>VE8R</t>
  </si>
  <si>
    <t>V9GZ</t>
  </si>
  <si>
    <t>VPMD</t>
  </si>
  <si>
    <t>VUCE</t>
  </si>
  <si>
    <t>VPFH</t>
  </si>
  <si>
    <t>V5V3</t>
  </si>
  <si>
    <t>VOW2</t>
  </si>
  <si>
    <t>VV1Y</t>
  </si>
  <si>
    <t>VLRD</t>
  </si>
  <si>
    <t>VLF4</t>
  </si>
  <si>
    <t>VAAD</t>
  </si>
  <si>
    <t>VR6L</t>
  </si>
  <si>
    <t>V8C1</t>
  </si>
  <si>
    <t>V6MK</t>
  </si>
  <si>
    <t>VSCC</t>
  </si>
  <si>
    <t>V9BL</t>
  </si>
  <si>
    <t>VLEU</t>
  </si>
  <si>
    <t>VP3B</t>
  </si>
  <si>
    <t>VH7B</t>
  </si>
  <si>
    <t>VNDZ</t>
  </si>
  <si>
    <t>VVP8</t>
  </si>
  <si>
    <t>V1YY</t>
  </si>
  <si>
    <t>VUVA</t>
  </si>
  <si>
    <t>VUQR</t>
  </si>
  <si>
    <t>VETD</t>
  </si>
  <si>
    <t>VXNL</t>
  </si>
  <si>
    <t>VHKL</t>
  </si>
  <si>
    <t>VAFU</t>
  </si>
  <si>
    <t>VSLE</t>
  </si>
  <si>
    <t>V28K</t>
  </si>
  <si>
    <t>VTRK</t>
  </si>
  <si>
    <t>V081</t>
  </si>
  <si>
    <t>VL1W</t>
  </si>
  <si>
    <t>VXP3</t>
  </si>
  <si>
    <t>V650</t>
  </si>
  <si>
    <t>VW04</t>
  </si>
  <si>
    <t>VZX2</t>
  </si>
  <si>
    <t>VRXY</t>
  </si>
  <si>
    <t>V5MJ</t>
  </si>
  <si>
    <t>V34B</t>
  </si>
  <si>
    <t>VPMX</t>
  </si>
  <si>
    <t>V4JT</t>
  </si>
  <si>
    <t>V7HW</t>
  </si>
  <si>
    <t>VYEX</t>
  </si>
  <si>
    <t>V4OM</t>
  </si>
  <si>
    <t>VADU</t>
  </si>
  <si>
    <t>V4LG</t>
  </si>
  <si>
    <t>V53O</t>
  </si>
  <si>
    <t>VBE1</t>
  </si>
  <si>
    <t>VO6S</t>
  </si>
  <si>
    <t>V03K</t>
  </si>
  <si>
    <t>VZWT</t>
  </si>
  <si>
    <t>VIB9</t>
  </si>
  <si>
    <t>V06B</t>
  </si>
  <si>
    <t>VYSA</t>
  </si>
  <si>
    <t>V06J</t>
  </si>
  <si>
    <t>V78B</t>
  </si>
  <si>
    <t>V2SS</t>
  </si>
  <si>
    <t>VL4P</t>
  </si>
  <si>
    <t>V9Y8</t>
  </si>
  <si>
    <t>VMDB</t>
  </si>
  <si>
    <t>VRZX</t>
  </si>
  <si>
    <t>VJ3U</t>
  </si>
  <si>
    <t>VHJT</t>
  </si>
  <si>
    <t>VKSV</t>
  </si>
  <si>
    <t>VTYQ</t>
  </si>
  <si>
    <t>V0NQ</t>
  </si>
  <si>
    <t>VDOF</t>
  </si>
  <si>
    <t>VWEW</t>
  </si>
  <si>
    <t>VT2F</t>
  </si>
  <si>
    <t>VPLX</t>
  </si>
  <si>
    <t>VT7T</t>
  </si>
  <si>
    <t>VPB7</t>
  </si>
  <si>
    <t>VH9R</t>
  </si>
  <si>
    <t>VRH8</t>
  </si>
  <si>
    <t>VH2K</t>
  </si>
  <si>
    <t>VUQ5</t>
  </si>
  <si>
    <t>VK6K</t>
  </si>
  <si>
    <t>VVPK</t>
  </si>
  <si>
    <t>VC2O</t>
  </si>
  <si>
    <t>VAUS</t>
  </si>
  <si>
    <t>V1EJ</t>
  </si>
  <si>
    <t>V2O4</t>
  </si>
  <si>
    <t>VFVQ</t>
  </si>
  <si>
    <t>VA92</t>
  </si>
  <si>
    <t>V2AA</t>
  </si>
  <si>
    <t>VQLK</t>
  </si>
  <si>
    <t>VTHR</t>
  </si>
  <si>
    <t>VON0</t>
  </si>
  <si>
    <t>V59Z</t>
  </si>
  <si>
    <t>VRUR</t>
  </si>
  <si>
    <t>VRYE</t>
  </si>
  <si>
    <t>VXG6</t>
  </si>
  <si>
    <t>VSWQ</t>
  </si>
  <si>
    <t>VKF3</t>
  </si>
  <si>
    <t>VIQ2</t>
  </si>
  <si>
    <t>VUDA</t>
  </si>
  <si>
    <t>VUOL</t>
  </si>
  <si>
    <t>VKIW</t>
  </si>
  <si>
    <t>VWJR</t>
  </si>
  <si>
    <t>V7GR</t>
  </si>
  <si>
    <t>V197</t>
  </si>
  <si>
    <t>V4S1</t>
  </si>
  <si>
    <t>V6LM</t>
  </si>
  <si>
    <t>VIHJ</t>
  </si>
  <si>
    <t>V2J7</t>
  </si>
  <si>
    <t>VNGO</t>
  </si>
  <si>
    <t>VZ8D</t>
  </si>
  <si>
    <t>VRHP</t>
  </si>
  <si>
    <t>VT7C</t>
  </si>
  <si>
    <t>VKEA</t>
  </si>
  <si>
    <t>VEVK</t>
  </si>
  <si>
    <t>VL7G</t>
  </si>
  <si>
    <t>V1UC</t>
  </si>
  <si>
    <t>VU4A</t>
  </si>
  <si>
    <t>V8WQ</t>
  </si>
  <si>
    <t>V8JY</t>
  </si>
  <si>
    <t>V324</t>
  </si>
  <si>
    <t>VNXQ</t>
  </si>
  <si>
    <t>VWN5</t>
  </si>
  <si>
    <t>V0PA</t>
  </si>
  <si>
    <t>VRK8</t>
  </si>
  <si>
    <t>VY3H</t>
  </si>
  <si>
    <t>VQRP</t>
  </si>
  <si>
    <t>V7MG</t>
  </si>
  <si>
    <t>V4ZL</t>
  </si>
  <si>
    <t>VZFB</t>
  </si>
  <si>
    <t>VQMI</t>
  </si>
  <si>
    <t>VQO0</t>
  </si>
  <si>
    <t>VQAS</t>
  </si>
  <si>
    <t>VV7D</t>
  </si>
  <si>
    <t>VELM</t>
  </si>
  <si>
    <t>V3O2</t>
  </si>
  <si>
    <t>V1TK</t>
  </si>
  <si>
    <t>VCRL</t>
  </si>
  <si>
    <t>VJ6W</t>
  </si>
  <si>
    <t>VU5U</t>
  </si>
  <si>
    <t>VLZZ</t>
  </si>
  <si>
    <t>VXPE</t>
  </si>
  <si>
    <t>V3KO</t>
  </si>
  <si>
    <t>V3Q2</t>
  </si>
  <si>
    <t>VQHP</t>
  </si>
  <si>
    <t>V052</t>
  </si>
  <si>
    <t>VV73</t>
  </si>
  <si>
    <t>VT80</t>
  </si>
  <si>
    <t>VMI4</t>
  </si>
  <si>
    <t>VVK3</t>
  </si>
  <si>
    <t>VIXT</t>
  </si>
  <si>
    <t>V1OK</t>
  </si>
  <si>
    <t>VK1L</t>
  </si>
  <si>
    <t>VIFY</t>
  </si>
  <si>
    <t>VA00</t>
  </si>
  <si>
    <t>VK5V</t>
  </si>
  <si>
    <t>VQVV</t>
  </si>
  <si>
    <t>V7OK</t>
  </si>
  <si>
    <t>VFBK</t>
  </si>
  <si>
    <t>VGBP</t>
  </si>
  <si>
    <t>V1N1</t>
  </si>
  <si>
    <t>VKL9</t>
  </si>
  <si>
    <t>V1ZG</t>
  </si>
  <si>
    <t>VE0Q</t>
  </si>
  <si>
    <t>VDON</t>
  </si>
  <si>
    <t>V5KN</t>
  </si>
  <si>
    <t>VJB3</t>
  </si>
  <si>
    <t>VE5A</t>
  </si>
  <si>
    <t>VE8L</t>
  </si>
  <si>
    <t>VZL1</t>
  </si>
  <si>
    <t>VPVO</t>
  </si>
  <si>
    <t>VWZG</t>
  </si>
  <si>
    <t>VXOX</t>
  </si>
  <si>
    <t>VG8Y</t>
  </si>
  <si>
    <t>VW6A</t>
  </si>
  <si>
    <t>V3Q9</t>
  </si>
  <si>
    <t>V8D3</t>
  </si>
  <si>
    <t>V5FX</t>
  </si>
  <si>
    <t>V4XQ</t>
  </si>
  <si>
    <t>VK0J</t>
  </si>
  <si>
    <t>V70L</t>
  </si>
  <si>
    <t>VT6I</t>
  </si>
  <si>
    <t>VXG4</t>
  </si>
  <si>
    <t>VWTW</t>
  </si>
  <si>
    <t>VGFJ</t>
  </si>
  <si>
    <t>VX7D</t>
  </si>
  <si>
    <t>V53F</t>
  </si>
  <si>
    <t>V0SP</t>
  </si>
  <si>
    <t>V4DP</t>
  </si>
  <si>
    <t>VRWF</t>
  </si>
  <si>
    <t>VDHY</t>
  </si>
  <si>
    <t>VU44</t>
  </si>
  <si>
    <t>VOTC</t>
  </si>
  <si>
    <t>VZ9C</t>
  </si>
  <si>
    <t>VWHV</t>
  </si>
  <si>
    <t>VBLW</t>
  </si>
  <si>
    <t>V9K9</t>
  </si>
  <si>
    <t>V08I</t>
  </si>
  <si>
    <t>V7G8</t>
  </si>
  <si>
    <t>V1TO</t>
  </si>
  <si>
    <t>VTCO</t>
  </si>
  <si>
    <t>VPC6</t>
  </si>
  <si>
    <t>VCQX</t>
  </si>
  <si>
    <t>V13D</t>
  </si>
  <si>
    <t>VSRA</t>
  </si>
  <si>
    <t>V0HE</t>
  </si>
  <si>
    <t>VAVV</t>
  </si>
  <si>
    <t>VG3H</t>
  </si>
  <si>
    <t>VF9H</t>
  </si>
  <si>
    <t>V67H</t>
  </si>
  <si>
    <t>V8DR</t>
  </si>
  <si>
    <t>V5X4</t>
  </si>
  <si>
    <t>VTX0</t>
  </si>
  <si>
    <t>VYF8</t>
  </si>
  <si>
    <t>VN54</t>
  </si>
  <si>
    <t>VJ5M</t>
  </si>
  <si>
    <t>VI3Q</t>
  </si>
  <si>
    <t>VOH4</t>
  </si>
  <si>
    <t>V4R1</t>
  </si>
  <si>
    <t>VR3F</t>
  </si>
  <si>
    <t>VSZ7</t>
  </si>
  <si>
    <t>VHCR</t>
  </si>
  <si>
    <t>V5C7</t>
  </si>
  <si>
    <t>VUMN</t>
  </si>
  <si>
    <t>VNZZ</t>
  </si>
  <si>
    <t>VB5J</t>
  </si>
  <si>
    <t>V8X8</t>
  </si>
  <si>
    <t>VCQ1</t>
  </si>
  <si>
    <t>VTA5</t>
  </si>
  <si>
    <t>VTL2</t>
  </si>
  <si>
    <t>VDHU</t>
  </si>
  <si>
    <t>VBUQ</t>
  </si>
  <si>
    <t>VQHV</t>
  </si>
  <si>
    <t>VS49</t>
  </si>
  <si>
    <t>VXTX</t>
  </si>
  <si>
    <t>VLLI</t>
  </si>
  <si>
    <t>VNNE</t>
  </si>
  <si>
    <t>VCDX</t>
  </si>
  <si>
    <t>V4VR</t>
  </si>
  <si>
    <t>VM3U</t>
  </si>
  <si>
    <t>VAGG</t>
  </si>
  <si>
    <t>VZJR</t>
  </si>
  <si>
    <t>VDDA</t>
  </si>
  <si>
    <t>VE25</t>
  </si>
  <si>
    <t>VB4F</t>
  </si>
  <si>
    <t>V6VA</t>
  </si>
  <si>
    <t>VLHN</t>
  </si>
  <si>
    <t>VWTQ</t>
  </si>
  <si>
    <t>VB8T</t>
  </si>
  <si>
    <t>VB4U</t>
  </si>
  <si>
    <t>VIJ1</t>
  </si>
  <si>
    <t>VH8Q</t>
  </si>
  <si>
    <t>VSFR</t>
  </si>
  <si>
    <t>VTC8</t>
  </si>
  <si>
    <t>VSHL</t>
  </si>
  <si>
    <t>VP5M</t>
  </si>
  <si>
    <t>VONF</t>
  </si>
  <si>
    <t>VQPY</t>
  </si>
  <si>
    <t>VU5J</t>
  </si>
  <si>
    <t>VRBO</t>
  </si>
  <si>
    <t>V2DF</t>
  </si>
  <si>
    <t>V0GO</t>
  </si>
  <si>
    <t>VTTK</t>
  </si>
  <si>
    <t>VJA4</t>
  </si>
  <si>
    <t>VYCA</t>
  </si>
  <si>
    <t>VO2D</t>
  </si>
  <si>
    <t>V43I</t>
  </si>
  <si>
    <t>VHI5</t>
  </si>
  <si>
    <t>VDZQ</t>
  </si>
  <si>
    <t>V3T3</t>
  </si>
  <si>
    <t>VFBJ</t>
  </si>
  <si>
    <t>V4DF</t>
  </si>
  <si>
    <t>VOCN</t>
  </si>
  <si>
    <t>VH80</t>
  </si>
  <si>
    <t>V89H</t>
  </si>
  <si>
    <t>VY7V</t>
  </si>
  <si>
    <t>VC92</t>
  </si>
  <si>
    <t>V8WH</t>
  </si>
  <si>
    <t>V929</t>
  </si>
  <si>
    <t>V45G</t>
  </si>
  <si>
    <t>VK0V</t>
  </si>
  <si>
    <t>V8DO</t>
  </si>
  <si>
    <t>V7TS</t>
  </si>
  <si>
    <t>VCHZ</t>
  </si>
  <si>
    <t>V66K</t>
  </si>
  <si>
    <t>VIUU</t>
  </si>
  <si>
    <t>VO22</t>
  </si>
  <si>
    <t>V53M</t>
  </si>
  <si>
    <t>VOM1</t>
  </si>
  <si>
    <t>V2IQ</t>
  </si>
  <si>
    <t>VQBE</t>
  </si>
  <si>
    <t>VOQ4</t>
  </si>
  <si>
    <t>VNHW</t>
  </si>
  <si>
    <t>VT6R</t>
  </si>
  <si>
    <t>VO6C</t>
  </si>
  <si>
    <t>V1EK</t>
  </si>
  <si>
    <t>VQWM</t>
  </si>
  <si>
    <t>V1JE</t>
  </si>
  <si>
    <t>VRPF</t>
  </si>
  <si>
    <t>V0SN</t>
  </si>
  <si>
    <t>VMBC</t>
  </si>
  <si>
    <t>VQOL</t>
  </si>
  <si>
    <t>VYJW</t>
  </si>
  <si>
    <t>VNBK</t>
  </si>
  <si>
    <t>V559</t>
  </si>
  <si>
    <t>V8GJ</t>
  </si>
  <si>
    <t>VA6T</t>
  </si>
  <si>
    <t>VLVZ</t>
  </si>
  <si>
    <t>V2XP</t>
  </si>
  <si>
    <t>V20U</t>
  </si>
  <si>
    <t>V0UO</t>
  </si>
  <si>
    <t>V8EK</t>
  </si>
  <si>
    <t>V28W</t>
  </si>
  <si>
    <t>VTW4</t>
  </si>
  <si>
    <t>VO8P</t>
  </si>
  <si>
    <t>VJJO</t>
  </si>
  <si>
    <t>VXYS</t>
  </si>
  <si>
    <t>VWOL</t>
  </si>
  <si>
    <t>V312</t>
  </si>
  <si>
    <t>VAV5</t>
  </si>
  <si>
    <t>V6MA</t>
  </si>
  <si>
    <t>VIXF</t>
  </si>
  <si>
    <t>V06C</t>
  </si>
  <si>
    <t>VJMR</t>
  </si>
  <si>
    <t>VB8G</t>
  </si>
  <si>
    <t>V9Y5</t>
  </si>
  <si>
    <t>VO93</t>
  </si>
  <si>
    <t>V3DZ</t>
  </si>
  <si>
    <t>VCIY</t>
  </si>
  <si>
    <t>VU3Y</t>
  </si>
  <si>
    <t>VJ7F</t>
  </si>
  <si>
    <t>VOE5</t>
  </si>
  <si>
    <t>VEJE</t>
  </si>
  <si>
    <t>VPNN</t>
  </si>
  <si>
    <t>VKFT</t>
  </si>
  <si>
    <t>VC0L</t>
  </si>
  <si>
    <t>VLMW</t>
  </si>
  <si>
    <t>VUO2</t>
  </si>
  <si>
    <t>VS8T</t>
  </si>
  <si>
    <t>VHIG</t>
  </si>
  <si>
    <t>V4XS</t>
  </si>
  <si>
    <t>V4NZ</t>
  </si>
  <si>
    <t>V8OG</t>
  </si>
  <si>
    <t>VOJU</t>
  </si>
  <si>
    <t>VZXV</t>
  </si>
  <si>
    <t>VMUJ</t>
  </si>
  <si>
    <t>VBEI</t>
  </si>
  <si>
    <t>VCP4</t>
  </si>
  <si>
    <t>VCSO</t>
  </si>
  <si>
    <t>VKKI</t>
  </si>
  <si>
    <t>VEML</t>
  </si>
  <si>
    <t>VRGI</t>
  </si>
  <si>
    <t>VZBC</t>
  </si>
  <si>
    <t>VMZK</t>
  </si>
  <si>
    <t>V8S3</t>
  </si>
  <si>
    <t>VABK</t>
  </si>
  <si>
    <t>VY62</t>
  </si>
  <si>
    <t>VUR7</t>
  </si>
  <si>
    <t>VUIL</t>
  </si>
  <si>
    <t>VGZZ</t>
  </si>
  <si>
    <t>VXOB</t>
  </si>
  <si>
    <t>V3RX</t>
  </si>
  <si>
    <t>VDCH</t>
  </si>
  <si>
    <t>V4ED</t>
  </si>
  <si>
    <t>VB4I</t>
  </si>
  <si>
    <t>VT3T</t>
  </si>
  <si>
    <t>V8XQ</t>
  </si>
  <si>
    <t>VONK</t>
  </si>
  <si>
    <t>V3B6</t>
  </si>
  <si>
    <t>VHJR</t>
  </si>
  <si>
    <t>VCNE</t>
  </si>
  <si>
    <t>V9J1</t>
  </si>
  <si>
    <t>V2K6</t>
  </si>
  <si>
    <t>VZCE</t>
  </si>
  <si>
    <t>VN35</t>
  </si>
  <si>
    <t>VEC2</t>
  </si>
  <si>
    <t>VE9W</t>
  </si>
  <si>
    <t>VVWG</t>
  </si>
  <si>
    <t>V6TB</t>
  </si>
  <si>
    <t>VI54</t>
  </si>
  <si>
    <t>VMQH</t>
  </si>
  <si>
    <t>VKXW</t>
  </si>
  <si>
    <t>V8ZQ</t>
  </si>
  <si>
    <t>V7HC</t>
  </si>
  <si>
    <t>V635</t>
  </si>
  <si>
    <t>VCPF</t>
  </si>
  <si>
    <t>VW99</t>
  </si>
  <si>
    <t>V1IU</t>
  </si>
  <si>
    <t>V9BT</t>
  </si>
  <si>
    <t>V7XT</t>
  </si>
  <si>
    <t>VY08</t>
  </si>
  <si>
    <t>VVK4</t>
  </si>
  <si>
    <t>VFPB</t>
  </si>
  <si>
    <t>VV74</t>
  </si>
  <si>
    <t>VCYI</t>
  </si>
  <si>
    <t>VHDW</t>
  </si>
  <si>
    <t>VX0C</t>
  </si>
  <si>
    <t>V0X4</t>
  </si>
  <si>
    <t>VKA6</t>
  </si>
  <si>
    <t>VPYV</t>
  </si>
  <si>
    <t>VCYH</t>
  </si>
  <si>
    <t>VNFS</t>
  </si>
  <si>
    <t>V527</t>
  </si>
  <si>
    <t>VIVZ</t>
  </si>
  <si>
    <t>VS2L</t>
  </si>
  <si>
    <t>VFZT</t>
  </si>
  <si>
    <t>VWI6</t>
  </si>
  <si>
    <t>V9ZS</t>
  </si>
  <si>
    <t>V7CA</t>
  </si>
  <si>
    <t>VLI5</t>
  </si>
  <si>
    <t>VBY7</t>
  </si>
  <si>
    <t>VS6P</t>
  </si>
  <si>
    <t>V21C</t>
  </si>
  <si>
    <t>V48Z</t>
  </si>
  <si>
    <t>VQRC</t>
  </si>
  <si>
    <t>VEOM</t>
  </si>
  <si>
    <t>VSSE</t>
  </si>
  <si>
    <t>V1ML</t>
  </si>
  <si>
    <t>V3F3</t>
  </si>
  <si>
    <t>VLSY</t>
  </si>
  <si>
    <t>VZCH</t>
  </si>
  <si>
    <t>VQ2Z</t>
  </si>
  <si>
    <t>V81T</t>
  </si>
  <si>
    <t>VZCD</t>
  </si>
  <si>
    <t>VI2X</t>
  </si>
  <si>
    <t>VM4X</t>
  </si>
  <si>
    <t>VCAJ</t>
  </si>
  <si>
    <t>VZ1M</t>
  </si>
  <si>
    <t>VQBJ</t>
  </si>
  <si>
    <t>V11M</t>
  </si>
  <si>
    <t>V7A9</t>
  </si>
  <si>
    <t>V30R</t>
  </si>
  <si>
    <t>V3NG</t>
  </si>
  <si>
    <t>VAEV</t>
  </si>
  <si>
    <t>VKYE</t>
  </si>
  <si>
    <t>V308</t>
  </si>
  <si>
    <t>V7BU</t>
  </si>
  <si>
    <t>VI5S</t>
  </si>
  <si>
    <t>VO8E</t>
  </si>
  <si>
    <t>VP6O</t>
  </si>
  <si>
    <t>V54T</t>
  </si>
  <si>
    <t>VEDX</t>
  </si>
  <si>
    <t>V1DP</t>
  </si>
  <si>
    <t>VLGW</t>
  </si>
  <si>
    <t>VOGM</t>
  </si>
  <si>
    <t>VN7A</t>
  </si>
  <si>
    <t>VVML</t>
  </si>
  <si>
    <t>VCAV</t>
  </si>
  <si>
    <t>VH5L</t>
  </si>
  <si>
    <t>VTER</t>
  </si>
  <si>
    <t>VTAG</t>
  </si>
  <si>
    <t>V09F</t>
  </si>
  <si>
    <t>VPAI</t>
  </si>
  <si>
    <t>VY1E</t>
  </si>
  <si>
    <t>VGUI</t>
  </si>
  <si>
    <t>VD4P</t>
  </si>
  <si>
    <t>VBJ6</t>
  </si>
  <si>
    <t>VF05</t>
  </si>
  <si>
    <t>VSJO</t>
  </si>
  <si>
    <t>VAG9</t>
  </si>
  <si>
    <t>VE85</t>
  </si>
  <si>
    <t>VW5J</t>
  </si>
  <si>
    <t>VOGQ</t>
  </si>
  <si>
    <t>VJLJ</t>
  </si>
  <si>
    <t>VFK0</t>
  </si>
  <si>
    <t>VTDF</t>
  </si>
  <si>
    <t>VFLK</t>
  </si>
  <si>
    <t>VHNQ</t>
  </si>
  <si>
    <t>V0F7</t>
  </si>
  <si>
    <t>V38X</t>
  </si>
  <si>
    <t>VPCU</t>
  </si>
  <si>
    <t>V5SF</t>
  </si>
  <si>
    <t>VX3C</t>
  </si>
  <si>
    <t>VD9B</t>
  </si>
  <si>
    <t>VZR1</t>
  </si>
  <si>
    <t>VN8W</t>
  </si>
  <si>
    <t>V2OO</t>
  </si>
  <si>
    <t>VPC9</t>
  </si>
  <si>
    <t>VM0H</t>
  </si>
  <si>
    <t>VCLT</t>
  </si>
  <si>
    <t>V0NZ</t>
  </si>
  <si>
    <t>V8F7</t>
  </si>
  <si>
    <t>VRXH</t>
  </si>
  <si>
    <t>VCO6</t>
  </si>
  <si>
    <t>V5NR</t>
  </si>
  <si>
    <t>VL8E</t>
  </si>
  <si>
    <t>V5E8</t>
  </si>
  <si>
    <t>VMSI</t>
  </si>
  <si>
    <t>VQ3X</t>
  </si>
  <si>
    <t>V5S3</t>
  </si>
  <si>
    <t>VFGC</t>
  </si>
  <si>
    <t>VBG0</t>
  </si>
  <si>
    <t>V6W8</t>
  </si>
  <si>
    <t>VUGA</t>
  </si>
  <si>
    <t>VFXD</t>
  </si>
  <si>
    <t>VAGN</t>
  </si>
  <si>
    <t>V5BP</t>
  </si>
  <si>
    <t>V3ES</t>
  </si>
  <si>
    <t>V4MS</t>
  </si>
  <si>
    <t>VK07</t>
  </si>
  <si>
    <t>VLQZ</t>
  </si>
  <si>
    <t>VN52</t>
  </si>
  <si>
    <t>VRXQ</t>
  </si>
  <si>
    <t>VPRS</t>
  </si>
  <si>
    <t>V6ZF</t>
  </si>
  <si>
    <t>VCRO</t>
  </si>
  <si>
    <t>VHOL</t>
  </si>
  <si>
    <t>VE7M</t>
  </si>
  <si>
    <t>V8CR</t>
  </si>
  <si>
    <t>VI30</t>
  </si>
  <si>
    <t>V1T4</t>
  </si>
  <si>
    <t>VK8J</t>
  </si>
  <si>
    <t>VVEA</t>
  </si>
  <si>
    <t>VGA8</t>
  </si>
  <si>
    <t>V7HY</t>
  </si>
  <si>
    <t>VHKO</t>
  </si>
  <si>
    <t>VR9B</t>
  </si>
  <si>
    <t>V84F</t>
  </si>
  <si>
    <t>V4UJ</t>
  </si>
  <si>
    <t>VW8Y</t>
  </si>
  <si>
    <t>VKS6</t>
  </si>
  <si>
    <t>V9RH</t>
  </si>
  <si>
    <t>VGU4</t>
  </si>
  <si>
    <t>VZB1</t>
  </si>
  <si>
    <t>VJQ1</t>
  </si>
  <si>
    <t>VHBW</t>
  </si>
  <si>
    <t>V9WK</t>
  </si>
  <si>
    <t>VQMN</t>
  </si>
  <si>
    <t>V0JJ</t>
  </si>
  <si>
    <t>VPJQ</t>
  </si>
  <si>
    <t>VJU4</t>
  </si>
  <si>
    <t>VFOX</t>
  </si>
  <si>
    <t>V1I3</t>
  </si>
  <si>
    <t>V12K</t>
  </si>
  <si>
    <t>VEYE</t>
  </si>
  <si>
    <t>VIVW</t>
  </si>
  <si>
    <t>VP9C</t>
  </si>
  <si>
    <t>VL5E</t>
  </si>
  <si>
    <t>VZPQ</t>
  </si>
  <si>
    <t>VWJD</t>
  </si>
  <si>
    <t>VNI0</t>
  </si>
  <si>
    <t>VGW8</t>
  </si>
  <si>
    <t>VA5M</t>
  </si>
  <si>
    <t>V99T</t>
  </si>
  <si>
    <t>VGHT</t>
  </si>
  <si>
    <t>VCAZ</t>
  </si>
  <si>
    <t>V1JD</t>
  </si>
  <si>
    <t>VDO9</t>
  </si>
  <si>
    <t>VQ7Z</t>
  </si>
  <si>
    <t>VRVW</t>
  </si>
  <si>
    <t>VLNS</t>
  </si>
  <si>
    <t>V28H</t>
  </si>
  <si>
    <t>VSRF</t>
  </si>
  <si>
    <t>VLK2</t>
  </si>
  <si>
    <t>V3CY</t>
  </si>
  <si>
    <t>VYUF</t>
  </si>
  <si>
    <t>V9MI</t>
  </si>
  <si>
    <t>VRA5</t>
  </si>
  <si>
    <t>V6FN</t>
  </si>
  <si>
    <t>V6X4</t>
  </si>
  <si>
    <t>VQU8</t>
  </si>
  <si>
    <t>V8E5</t>
  </si>
  <si>
    <t>VLEJ</t>
  </si>
  <si>
    <t>V7NF</t>
  </si>
  <si>
    <t>VIHY</t>
  </si>
  <si>
    <t>VVRX</t>
  </si>
  <si>
    <t>VJL7</t>
  </si>
  <si>
    <t>VBM1</t>
  </si>
  <si>
    <t>V7QB</t>
  </si>
  <si>
    <t>VMTP</t>
  </si>
  <si>
    <t>VGYG</t>
  </si>
  <si>
    <t>V2GK</t>
  </si>
  <si>
    <t>V2MT</t>
  </si>
  <si>
    <t>V3NL</t>
  </si>
  <si>
    <t>V916</t>
  </si>
  <si>
    <t>VM8T</t>
  </si>
  <si>
    <t>VLXS</t>
  </si>
  <si>
    <t>VWJ5</t>
  </si>
  <si>
    <t>VSSQ</t>
  </si>
  <si>
    <t>VUTY</t>
  </si>
  <si>
    <t>VP5P</t>
  </si>
  <si>
    <t>VUE7</t>
  </si>
  <si>
    <t>V18J</t>
  </si>
  <si>
    <t>VBCO</t>
  </si>
  <si>
    <t>V6SA</t>
  </si>
  <si>
    <t>VXEX</t>
  </si>
  <si>
    <t>VDAY</t>
  </si>
  <si>
    <t>VMWS</t>
  </si>
  <si>
    <t>V5RE</t>
  </si>
  <si>
    <t>VVWF</t>
  </si>
  <si>
    <t>VU8D</t>
  </si>
  <si>
    <t>VV6L</t>
  </si>
  <si>
    <t>V6NK</t>
  </si>
  <si>
    <t>VPS3</t>
  </si>
  <si>
    <t>VMR0</t>
  </si>
  <si>
    <t>VOKI</t>
  </si>
  <si>
    <t>VCGC</t>
  </si>
  <si>
    <t>VHXE</t>
  </si>
  <si>
    <t>V6UG</t>
  </si>
  <si>
    <t>VHPA</t>
  </si>
  <si>
    <t>VZVZ</t>
  </si>
  <si>
    <t>VILY</t>
  </si>
  <si>
    <t>VWJU</t>
  </si>
  <si>
    <t>VB4H</t>
  </si>
  <si>
    <t>V4DX</t>
  </si>
  <si>
    <t>VRHU</t>
  </si>
  <si>
    <t>VHML</t>
  </si>
  <si>
    <t>VNRI</t>
  </si>
  <si>
    <t>V4L8</t>
  </si>
  <si>
    <t>V6V2</t>
  </si>
  <si>
    <t>VEDJ</t>
  </si>
  <si>
    <t>VRGH</t>
  </si>
  <si>
    <t>VD9C</t>
  </si>
  <si>
    <t>VEHJ</t>
  </si>
  <si>
    <t>VS1N</t>
  </si>
  <si>
    <t>VSMP</t>
  </si>
  <si>
    <t>V7VC</t>
  </si>
  <si>
    <t>V4X2</t>
  </si>
  <si>
    <t>VQP5</t>
  </si>
  <si>
    <t>V5GK</t>
  </si>
  <si>
    <t>VPUK</t>
  </si>
  <si>
    <t>VH5C</t>
  </si>
  <si>
    <t>V2O8</t>
  </si>
  <si>
    <t>VBSZ</t>
  </si>
  <si>
    <t>VNUN</t>
  </si>
  <si>
    <t>V7JI</t>
  </si>
  <si>
    <t>V3XA</t>
  </si>
  <si>
    <t>VHF6</t>
  </si>
  <si>
    <t>VXWR</t>
  </si>
  <si>
    <t>V3CS</t>
  </si>
  <si>
    <t>VD6R</t>
  </si>
  <si>
    <t>V52H</t>
  </si>
  <si>
    <t>VHB9</t>
  </si>
  <si>
    <t>V8TP</t>
  </si>
  <si>
    <t>V12D</t>
  </si>
  <si>
    <t>V3OV</t>
  </si>
  <si>
    <t>R1</t>
  </si>
  <si>
    <t>R2</t>
  </si>
  <si>
    <t>R3</t>
  </si>
  <si>
    <t>R4</t>
  </si>
  <si>
    <t>R5</t>
  </si>
  <si>
    <t>R6</t>
  </si>
  <si>
    <t>R7</t>
  </si>
  <si>
    <t>R51</t>
  </si>
  <si>
    <t>R52</t>
  </si>
  <si>
    <t>R53</t>
  </si>
  <si>
    <t>R54</t>
  </si>
  <si>
    <t>R55</t>
  </si>
  <si>
    <t>R56</t>
  </si>
  <si>
    <t>R57</t>
  </si>
  <si>
    <t>R58</t>
  </si>
  <si>
    <t>R59</t>
  </si>
  <si>
    <t>R60</t>
  </si>
  <si>
    <t>R61</t>
  </si>
  <si>
    <t>R62</t>
  </si>
  <si>
    <t>R63</t>
  </si>
  <si>
    <t>R64</t>
  </si>
  <si>
    <t>R65</t>
  </si>
  <si>
    <t>R66</t>
  </si>
  <si>
    <t>R67</t>
  </si>
  <si>
    <t>R68</t>
  </si>
  <si>
    <t>R69</t>
  </si>
  <si>
    <t>R70</t>
  </si>
  <si>
    <t>R71</t>
  </si>
  <si>
    <t>R72</t>
  </si>
  <si>
    <t>R73</t>
  </si>
  <si>
    <t>R74</t>
  </si>
  <si>
    <t>R75</t>
  </si>
  <si>
    <t>R76</t>
  </si>
  <si>
    <t>R77</t>
  </si>
  <si>
    <t>R78</t>
  </si>
  <si>
    <t>R79</t>
  </si>
  <si>
    <t>R80</t>
  </si>
  <si>
    <t>R81</t>
  </si>
  <si>
    <t>R82</t>
  </si>
  <si>
    <t>R83</t>
  </si>
  <si>
    <t>R84</t>
  </si>
  <si>
    <t>R85</t>
  </si>
  <si>
    <t>R86</t>
  </si>
  <si>
    <t>R87</t>
  </si>
  <si>
    <t>R88</t>
  </si>
  <si>
    <t>R89</t>
  </si>
  <si>
    <t>R90</t>
  </si>
  <si>
    <t>R91</t>
  </si>
  <si>
    <t>R92</t>
  </si>
  <si>
    <t>R93</t>
  </si>
  <si>
    <t>R94</t>
  </si>
  <si>
    <t>R95</t>
  </si>
  <si>
    <t>R96</t>
  </si>
  <si>
    <t>R97</t>
  </si>
  <si>
    <t>R98</t>
  </si>
  <si>
    <t>R99</t>
  </si>
  <si>
    <t>R100</t>
  </si>
  <si>
    <t>R101</t>
  </si>
  <si>
    <t>R102</t>
  </si>
  <si>
    <t>R103</t>
  </si>
  <si>
    <t>R104</t>
  </si>
  <si>
    <t>R105</t>
  </si>
  <si>
    <t>R106</t>
  </si>
  <si>
    <t>R107</t>
  </si>
  <si>
    <t>R108</t>
  </si>
  <si>
    <t>R109</t>
  </si>
  <si>
    <t>R110</t>
  </si>
  <si>
    <t>R111</t>
  </si>
  <si>
    <t>R112</t>
  </si>
  <si>
    <t>R113</t>
  </si>
  <si>
    <t>R114</t>
  </si>
  <si>
    <t>R115</t>
  </si>
  <si>
    <t>R116</t>
  </si>
  <si>
    <t>R117</t>
  </si>
  <si>
    <t>R118</t>
  </si>
  <si>
    <t>R119</t>
  </si>
  <si>
    <t>R120</t>
  </si>
  <si>
    <t>R121</t>
  </si>
  <si>
    <t>R122</t>
  </si>
  <si>
    <t>R123</t>
  </si>
  <si>
    <t>R124</t>
  </si>
  <si>
    <t>R125</t>
  </si>
  <si>
    <t>R126</t>
  </si>
  <si>
    <t>R127</t>
  </si>
  <si>
    <t>R128</t>
  </si>
  <si>
    <t>R129</t>
  </si>
  <si>
    <t>R130</t>
  </si>
  <si>
    <t>R131</t>
  </si>
  <si>
    <t>R132</t>
  </si>
  <si>
    <t>R133</t>
  </si>
  <si>
    <t>R134</t>
  </si>
  <si>
    <t>R135</t>
  </si>
  <si>
    <t>R136</t>
  </si>
  <si>
    <t>R137</t>
  </si>
  <si>
    <t>R138</t>
  </si>
  <si>
    <t>R139</t>
  </si>
  <si>
    <t>R140</t>
  </si>
  <si>
    <t>R141</t>
  </si>
  <si>
    <t>R142</t>
  </si>
  <si>
    <t>R143</t>
  </si>
  <si>
    <t>R144</t>
  </si>
  <si>
    <t>R145</t>
  </si>
  <si>
    <t>R146</t>
  </si>
  <si>
    <t>R147</t>
  </si>
  <si>
    <t>R148</t>
  </si>
  <si>
    <t>R149</t>
  </si>
  <si>
    <t>R150</t>
  </si>
  <si>
    <t>R151</t>
  </si>
  <si>
    <t>R152</t>
  </si>
  <si>
    <t>R153</t>
  </si>
  <si>
    <t>R154</t>
  </si>
  <si>
    <t>R155</t>
  </si>
  <si>
    <t>R156</t>
  </si>
  <si>
    <t>R157</t>
  </si>
  <si>
    <t>R158</t>
  </si>
  <si>
    <t>R159</t>
  </si>
  <si>
    <t>R160</t>
  </si>
  <si>
    <t>R161</t>
  </si>
  <si>
    <t>R162</t>
  </si>
  <si>
    <t>R163</t>
  </si>
  <si>
    <t>R164</t>
  </si>
  <si>
    <t>R165</t>
  </si>
  <si>
    <t>R166</t>
  </si>
  <si>
    <t>R167</t>
  </si>
  <si>
    <t>R168</t>
  </si>
  <si>
    <t>R169</t>
  </si>
  <si>
    <t>R170</t>
  </si>
  <si>
    <t>R171</t>
  </si>
  <si>
    <t>R172</t>
  </si>
  <si>
    <t>R173</t>
  </si>
  <si>
    <t>R174</t>
  </si>
  <si>
    <t>R175</t>
  </si>
  <si>
    <t>R176</t>
  </si>
  <si>
    <t>R177</t>
  </si>
  <si>
    <t>R178</t>
  </si>
  <si>
    <t>R179</t>
  </si>
  <si>
    <t>R180</t>
  </si>
  <si>
    <t>R181</t>
  </si>
  <si>
    <t>R182</t>
  </si>
  <si>
    <t>R183</t>
  </si>
  <si>
    <t>R184</t>
  </si>
  <si>
    <t>R185</t>
  </si>
  <si>
    <t>R186</t>
  </si>
  <si>
    <t>R187</t>
  </si>
  <si>
    <t>R188</t>
  </si>
  <si>
    <t>R189</t>
  </si>
  <si>
    <t>R190</t>
  </si>
  <si>
    <t>R191</t>
  </si>
  <si>
    <t>R192</t>
  </si>
  <si>
    <t>R193</t>
  </si>
  <si>
    <t>R194</t>
  </si>
  <si>
    <t>R195</t>
  </si>
  <si>
    <t>R196</t>
  </si>
  <si>
    <t>R197</t>
  </si>
  <si>
    <t>R198</t>
  </si>
  <si>
    <t>R199</t>
  </si>
  <si>
    <t>R200</t>
  </si>
  <si>
    <t>R8</t>
  </si>
  <si>
    <t>R9</t>
  </si>
  <si>
    <t>Recycle Date 20/1/2025
Data from 1/10/24'</t>
  </si>
  <si>
    <t>Tested
On 2/11/2025</t>
  </si>
  <si>
    <t xml:space="preserve">Total Codes </t>
  </si>
  <si>
    <t xml:space="preserve">Unassigned Codes </t>
  </si>
  <si>
    <t>Codes with sales under 10</t>
  </si>
  <si>
    <t>Assigned Codes w/ no sales</t>
  </si>
  <si>
    <t xml:space="preserve">Suspended/BB codes </t>
  </si>
  <si>
    <t>D61</t>
  </si>
  <si>
    <t>D64</t>
  </si>
  <si>
    <t>D66</t>
  </si>
  <si>
    <t>D67</t>
  </si>
  <si>
    <t>D68</t>
  </si>
  <si>
    <t>D69</t>
  </si>
  <si>
    <t>D70</t>
  </si>
  <si>
    <t>D71</t>
  </si>
  <si>
    <t>D72</t>
  </si>
  <si>
    <t>D73</t>
  </si>
  <si>
    <t>D74</t>
  </si>
  <si>
    <t>D75</t>
  </si>
  <si>
    <t>D76</t>
  </si>
  <si>
    <t>D77</t>
  </si>
  <si>
    <t>D78</t>
  </si>
  <si>
    <t>D79</t>
  </si>
  <si>
    <t>D80</t>
  </si>
  <si>
    <t>D81</t>
  </si>
  <si>
    <t>D82</t>
  </si>
  <si>
    <t>D83</t>
  </si>
  <si>
    <t>D84</t>
  </si>
  <si>
    <t>D85</t>
  </si>
  <si>
    <t>D86</t>
  </si>
  <si>
    <t>D87</t>
  </si>
  <si>
    <t>D88</t>
  </si>
  <si>
    <t>D89</t>
  </si>
  <si>
    <t>D90</t>
  </si>
  <si>
    <t>D91</t>
  </si>
  <si>
    <t>D92</t>
  </si>
  <si>
    <t>D93</t>
  </si>
  <si>
    <t>D94</t>
  </si>
  <si>
    <t>D95</t>
  </si>
  <si>
    <t>D96</t>
  </si>
  <si>
    <t>D97</t>
  </si>
  <si>
    <t>D98</t>
  </si>
  <si>
    <t>D99</t>
  </si>
  <si>
    <t>D100</t>
  </si>
  <si>
    <t>Z1</t>
  </si>
  <si>
    <t>Z2</t>
  </si>
  <si>
    <t>Z3</t>
  </si>
  <si>
    <t>Z4</t>
  </si>
  <si>
    <t>Z5</t>
  </si>
  <si>
    <t>Z6</t>
  </si>
  <si>
    <t>Z7</t>
  </si>
  <si>
    <t>Z8</t>
  </si>
  <si>
    <t>Z9</t>
  </si>
  <si>
    <t>Z20</t>
  </si>
  <si>
    <t>Z21</t>
  </si>
  <si>
    <t>Z22</t>
  </si>
  <si>
    <t>Z23</t>
  </si>
  <si>
    <t>Z24</t>
  </si>
  <si>
    <t>Z25</t>
  </si>
  <si>
    <t>Z26</t>
  </si>
  <si>
    <t>Z27</t>
  </si>
  <si>
    <t>Z28</t>
  </si>
  <si>
    <t>Z29</t>
  </si>
  <si>
    <t>Z30</t>
  </si>
  <si>
    <t>Z31</t>
  </si>
  <si>
    <t>Z32</t>
  </si>
  <si>
    <t>Z33</t>
  </si>
  <si>
    <t>Z34</t>
  </si>
  <si>
    <t>Z35</t>
  </si>
  <si>
    <t>Z36</t>
  </si>
  <si>
    <t>Z37</t>
  </si>
  <si>
    <t>Z38</t>
  </si>
  <si>
    <t>Z39</t>
  </si>
  <si>
    <t>Z40</t>
  </si>
  <si>
    <t>Z41</t>
  </si>
  <si>
    <t>Z42</t>
  </si>
  <si>
    <t>Z43</t>
  </si>
  <si>
    <t>Z44</t>
  </si>
  <si>
    <t>Z45</t>
  </si>
  <si>
    <t>Z46</t>
  </si>
  <si>
    <t>Z47</t>
  </si>
  <si>
    <t>Z48</t>
  </si>
  <si>
    <t>Z49</t>
  </si>
  <si>
    <t>Z50</t>
  </si>
  <si>
    <t>Z51</t>
  </si>
  <si>
    <t>Z52</t>
  </si>
  <si>
    <t>Z53</t>
  </si>
  <si>
    <t>Z54</t>
  </si>
  <si>
    <t>Z55</t>
  </si>
  <si>
    <t>Z56</t>
  </si>
  <si>
    <t>Z57</t>
  </si>
  <si>
    <t>Z58</t>
  </si>
  <si>
    <t>Z59</t>
  </si>
  <si>
    <t>Z60</t>
  </si>
  <si>
    <t>Z61</t>
  </si>
  <si>
    <t>Z62</t>
  </si>
  <si>
    <t>Z63</t>
  </si>
  <si>
    <t>Z64</t>
  </si>
  <si>
    <t>Z65</t>
  </si>
  <si>
    <t>Z66</t>
  </si>
  <si>
    <t>Z67</t>
  </si>
  <si>
    <t>Z68</t>
  </si>
  <si>
    <t>Z69</t>
  </si>
  <si>
    <t>Z70</t>
  </si>
  <si>
    <t>Z71</t>
  </si>
  <si>
    <t>Z72</t>
  </si>
  <si>
    <t>Z73</t>
  </si>
  <si>
    <t>Z74</t>
  </si>
  <si>
    <t>Z75</t>
  </si>
  <si>
    <t>Z76</t>
  </si>
  <si>
    <t>Z77</t>
  </si>
  <si>
    <t>Z78</t>
  </si>
  <si>
    <t>Z79</t>
  </si>
  <si>
    <t>Z80</t>
  </si>
  <si>
    <t>Z81</t>
  </si>
  <si>
    <t>Z82</t>
  </si>
  <si>
    <t>Z83</t>
  </si>
  <si>
    <t>Z84</t>
  </si>
  <si>
    <t>Z85</t>
  </si>
  <si>
    <t>Z86</t>
  </si>
  <si>
    <t>Z87</t>
  </si>
  <si>
    <t>Z88</t>
  </si>
  <si>
    <t>Z89</t>
  </si>
  <si>
    <t>Z90</t>
  </si>
  <si>
    <t>Z91</t>
  </si>
  <si>
    <t>Z92</t>
  </si>
  <si>
    <t>Z93</t>
  </si>
  <si>
    <t>Z94</t>
  </si>
  <si>
    <t>Z95</t>
  </si>
  <si>
    <t>Z96</t>
  </si>
  <si>
    <t>Z97</t>
  </si>
  <si>
    <t>Z98</t>
  </si>
  <si>
    <t>Z99</t>
  </si>
  <si>
    <t xml:space="preserve">G1 </t>
  </si>
  <si>
    <t>G2</t>
  </si>
  <si>
    <t>G3</t>
  </si>
  <si>
    <t>G4</t>
  </si>
  <si>
    <t>G5</t>
  </si>
  <si>
    <t>G6</t>
  </si>
  <si>
    <t>G7</t>
  </si>
  <si>
    <t>G8</t>
  </si>
  <si>
    <t>G9</t>
  </si>
  <si>
    <t>G10</t>
  </si>
  <si>
    <t>G11</t>
  </si>
  <si>
    <t>G12</t>
  </si>
  <si>
    <t>G13</t>
  </si>
  <si>
    <t>G14</t>
  </si>
  <si>
    <t>G15</t>
  </si>
  <si>
    <t>G16</t>
  </si>
  <si>
    <t>G17</t>
  </si>
  <si>
    <t>G18</t>
  </si>
  <si>
    <t>G19</t>
  </si>
  <si>
    <t>G20</t>
  </si>
  <si>
    <t>G21</t>
  </si>
  <si>
    <t>G22</t>
  </si>
  <si>
    <t>G23</t>
  </si>
  <si>
    <t>G24</t>
  </si>
  <si>
    <t>G25</t>
  </si>
  <si>
    <t>G26</t>
  </si>
  <si>
    <t>G27</t>
  </si>
  <si>
    <t>G38</t>
  </si>
  <si>
    <t>G39</t>
  </si>
  <si>
    <t>G40</t>
  </si>
  <si>
    <t>G41</t>
  </si>
  <si>
    <t>G42</t>
  </si>
  <si>
    <t>G43</t>
  </si>
  <si>
    <t>G44</t>
  </si>
  <si>
    <t>G45</t>
  </si>
  <si>
    <t>G46</t>
  </si>
  <si>
    <t>G47</t>
  </si>
  <si>
    <t>G48</t>
  </si>
  <si>
    <t>G49</t>
  </si>
  <si>
    <t>G50</t>
  </si>
  <si>
    <t>G51</t>
  </si>
  <si>
    <t>G52</t>
  </si>
  <si>
    <t>G53</t>
  </si>
  <si>
    <t>G54</t>
  </si>
  <si>
    <t>G55</t>
  </si>
  <si>
    <t>G56</t>
  </si>
  <si>
    <t>G57</t>
  </si>
  <si>
    <t>G58</t>
  </si>
  <si>
    <t>G59</t>
  </si>
  <si>
    <t>G60</t>
  </si>
  <si>
    <t>G61</t>
  </si>
  <si>
    <t>G62</t>
  </si>
  <si>
    <t>G63</t>
  </si>
  <si>
    <t>G64</t>
  </si>
  <si>
    <t>G65</t>
  </si>
  <si>
    <t>G66</t>
  </si>
  <si>
    <t>G67</t>
  </si>
  <si>
    <t>G68</t>
  </si>
  <si>
    <t>G69</t>
  </si>
  <si>
    <t>G70</t>
  </si>
  <si>
    <t>G71</t>
  </si>
  <si>
    <t>G72</t>
  </si>
  <si>
    <t>G73</t>
  </si>
  <si>
    <t>G74</t>
  </si>
  <si>
    <t>G75</t>
  </si>
  <si>
    <t>G76</t>
  </si>
  <si>
    <t>G77</t>
  </si>
  <si>
    <t>G78</t>
  </si>
  <si>
    <t>G79</t>
  </si>
  <si>
    <t>G80</t>
  </si>
  <si>
    <t>G81</t>
  </si>
  <si>
    <t>G82</t>
  </si>
  <si>
    <t>G83</t>
  </si>
  <si>
    <t>G84</t>
  </si>
  <si>
    <t>G85</t>
  </si>
  <si>
    <t>G86</t>
  </si>
  <si>
    <t>G87</t>
  </si>
  <si>
    <t>G88</t>
  </si>
  <si>
    <t>G89</t>
  </si>
  <si>
    <t>G90</t>
  </si>
  <si>
    <t>G91</t>
  </si>
  <si>
    <t>G92</t>
  </si>
  <si>
    <t>G93</t>
  </si>
  <si>
    <t>G94</t>
  </si>
  <si>
    <t>G95</t>
  </si>
  <si>
    <t>G96</t>
  </si>
  <si>
    <t>G97</t>
  </si>
  <si>
    <t>G98</t>
  </si>
  <si>
    <t>G99</t>
  </si>
  <si>
    <t>JEEL</t>
  </si>
  <si>
    <t>Z10</t>
  </si>
  <si>
    <t>Z11</t>
  </si>
  <si>
    <t>Z12</t>
  </si>
  <si>
    <t>Z13</t>
  </si>
  <si>
    <t>Z14</t>
  </si>
  <si>
    <t>Z15</t>
  </si>
  <si>
    <t>Z16</t>
  </si>
  <si>
    <t>Z17</t>
  </si>
  <si>
    <t>Z18</t>
  </si>
  <si>
    <t>Z19</t>
  </si>
  <si>
    <t>G28</t>
  </si>
  <si>
    <t>G29</t>
  </si>
  <si>
    <t>G30</t>
  </si>
  <si>
    <t>G31</t>
  </si>
  <si>
    <t>G32</t>
  </si>
  <si>
    <t>G33</t>
  </si>
  <si>
    <t>G34</t>
  </si>
  <si>
    <t>G35</t>
  </si>
  <si>
    <t>G36</t>
  </si>
  <si>
    <t>G37</t>
  </si>
  <si>
    <t>BL1</t>
  </si>
  <si>
    <t>BL2</t>
  </si>
  <si>
    <t>BL3</t>
  </si>
  <si>
    <t>BL5</t>
  </si>
  <si>
    <t>BL6</t>
  </si>
  <si>
    <t>BL8</t>
  </si>
  <si>
    <t>BL9</t>
  </si>
  <si>
    <t>BL23</t>
  </si>
  <si>
    <t>BL24</t>
  </si>
  <si>
    <t>BL25</t>
  </si>
  <si>
    <t>BL26</t>
  </si>
  <si>
    <t>BL27</t>
  </si>
  <si>
    <t>BL28</t>
  </si>
  <si>
    <t>BL29</t>
  </si>
  <si>
    <t>BL30</t>
  </si>
  <si>
    <t>BL31</t>
  </si>
  <si>
    <t>BL32</t>
  </si>
  <si>
    <t>BL33</t>
  </si>
  <si>
    <t>BL34</t>
  </si>
  <si>
    <t>BL35</t>
  </si>
  <si>
    <t>BL36</t>
  </si>
  <si>
    <t>BL37</t>
  </si>
  <si>
    <t>BL38</t>
  </si>
  <si>
    <t>BL39</t>
  </si>
  <si>
    <t>BL40</t>
  </si>
  <si>
    <t>BL41</t>
  </si>
  <si>
    <t>BL42</t>
  </si>
  <si>
    <t>BL43</t>
  </si>
  <si>
    <t>BL44</t>
  </si>
  <si>
    <t>BL45</t>
  </si>
  <si>
    <t>BL46</t>
  </si>
  <si>
    <t>BL47</t>
  </si>
  <si>
    <t>BL48</t>
  </si>
  <si>
    <t>BL49</t>
  </si>
  <si>
    <t>BL50</t>
  </si>
  <si>
    <t>BL51</t>
  </si>
  <si>
    <t>BL52</t>
  </si>
  <si>
    <t>BL53</t>
  </si>
  <si>
    <t>BL54</t>
  </si>
  <si>
    <t>BL55</t>
  </si>
  <si>
    <t>BL56</t>
  </si>
  <si>
    <t>BL57</t>
  </si>
  <si>
    <t>BL58</t>
  </si>
  <si>
    <t>BL59</t>
  </si>
  <si>
    <t>BL60</t>
  </si>
  <si>
    <t>BL61</t>
  </si>
  <si>
    <t>BL62</t>
  </si>
  <si>
    <t>BL63</t>
  </si>
  <si>
    <t>BL64</t>
  </si>
  <si>
    <t>BL65</t>
  </si>
  <si>
    <t>BL66</t>
  </si>
  <si>
    <t>BL67</t>
  </si>
  <si>
    <t>BL68</t>
  </si>
  <si>
    <t>BL69</t>
  </si>
  <si>
    <t>BL70</t>
  </si>
  <si>
    <t>BL71</t>
  </si>
  <si>
    <t>BL72</t>
  </si>
  <si>
    <t>BL73</t>
  </si>
  <si>
    <t>BL74</t>
  </si>
  <si>
    <t>BL75</t>
  </si>
  <si>
    <t>BL76</t>
  </si>
  <si>
    <t>BL77</t>
  </si>
  <si>
    <t>BL78</t>
  </si>
  <si>
    <t>BL79</t>
  </si>
  <si>
    <t>BL80</t>
  </si>
  <si>
    <t>BL81</t>
  </si>
  <si>
    <t>BL82</t>
  </si>
  <si>
    <t>BL83</t>
  </si>
  <si>
    <t>BL84</t>
  </si>
  <si>
    <t>BL85</t>
  </si>
  <si>
    <t>BL86</t>
  </si>
  <si>
    <t>BL87</t>
  </si>
  <si>
    <t>BL88</t>
  </si>
  <si>
    <t>BL89</t>
  </si>
  <si>
    <t>BL90</t>
  </si>
  <si>
    <t>BL91</t>
  </si>
  <si>
    <t>BL92</t>
  </si>
  <si>
    <t>BL93</t>
  </si>
  <si>
    <t>BL94</t>
  </si>
  <si>
    <t>BL95</t>
  </si>
  <si>
    <t>BL96</t>
  </si>
  <si>
    <t>BL97</t>
  </si>
  <si>
    <t>BL98</t>
  </si>
  <si>
    <t>BL99</t>
  </si>
  <si>
    <t>BL100</t>
  </si>
  <si>
    <t>BF1</t>
  </si>
  <si>
    <t>BF2</t>
  </si>
  <si>
    <t>BF3</t>
  </si>
  <si>
    <t>BF4</t>
  </si>
  <si>
    <t>BF5</t>
  </si>
  <si>
    <t>BF6</t>
  </si>
  <si>
    <t>BF7</t>
  </si>
  <si>
    <t>BF8</t>
  </si>
  <si>
    <t>BF9</t>
  </si>
  <si>
    <t>BF10</t>
  </si>
  <si>
    <t>BF11</t>
  </si>
  <si>
    <t>BF12</t>
  </si>
  <si>
    <t>BF13</t>
  </si>
  <si>
    <t>BF14</t>
  </si>
  <si>
    <t>BF15</t>
  </si>
  <si>
    <t>BF16</t>
  </si>
  <si>
    <t>BF17</t>
  </si>
  <si>
    <t>BF18</t>
  </si>
  <si>
    <t>BF19</t>
  </si>
  <si>
    <t>BF20</t>
  </si>
  <si>
    <t>BF21</t>
  </si>
  <si>
    <t>BF22</t>
  </si>
  <si>
    <t>BF23</t>
  </si>
  <si>
    <t>BF24</t>
  </si>
  <si>
    <t>BF25</t>
  </si>
  <si>
    <t>BF26</t>
  </si>
  <si>
    <t>BF27</t>
  </si>
  <si>
    <t>BF28</t>
  </si>
  <si>
    <t>BF29</t>
  </si>
  <si>
    <t>BF30</t>
  </si>
  <si>
    <t>BF31</t>
  </si>
  <si>
    <t>BF32</t>
  </si>
  <si>
    <t>BF33</t>
  </si>
  <si>
    <t>BF34</t>
  </si>
  <si>
    <t>BF35</t>
  </si>
  <si>
    <t>BF36</t>
  </si>
  <si>
    <t>BF37</t>
  </si>
  <si>
    <t>BF38</t>
  </si>
  <si>
    <t>BF39</t>
  </si>
  <si>
    <t>BF40</t>
  </si>
  <si>
    <t>BF41</t>
  </si>
  <si>
    <t>BF42</t>
  </si>
  <si>
    <t>BF43</t>
  </si>
  <si>
    <t>BF44</t>
  </si>
  <si>
    <t>BF45</t>
  </si>
  <si>
    <t>BF46</t>
  </si>
  <si>
    <t>BF47</t>
  </si>
  <si>
    <t>BF48</t>
  </si>
  <si>
    <t>BF49</t>
  </si>
  <si>
    <t>BF50</t>
  </si>
  <si>
    <t>BF51</t>
  </si>
  <si>
    <t>BF52</t>
  </si>
  <si>
    <t>BF53</t>
  </si>
  <si>
    <t>BF54</t>
  </si>
  <si>
    <t>BF55</t>
  </si>
  <si>
    <t>BF56</t>
  </si>
  <si>
    <t>BF57</t>
  </si>
  <si>
    <t>BF58</t>
  </si>
  <si>
    <t>BF59</t>
  </si>
  <si>
    <t>BF60</t>
  </si>
  <si>
    <t>BF61</t>
  </si>
  <si>
    <t>BF62</t>
  </si>
  <si>
    <t>BF63</t>
  </si>
  <si>
    <t>BF64</t>
  </si>
  <si>
    <t>BF65</t>
  </si>
  <si>
    <t>BF66</t>
  </si>
  <si>
    <t>BF67</t>
  </si>
  <si>
    <t>BF68</t>
  </si>
  <si>
    <t>BF69</t>
  </si>
  <si>
    <t>BF70</t>
  </si>
  <si>
    <t>BF71</t>
  </si>
  <si>
    <t>BF72</t>
  </si>
  <si>
    <t>BF73</t>
  </si>
  <si>
    <t>BF74</t>
  </si>
  <si>
    <t>BF75</t>
  </si>
  <si>
    <t>BF76</t>
  </si>
  <si>
    <t>BF77</t>
  </si>
  <si>
    <t>BF78</t>
  </si>
  <si>
    <t>BF79</t>
  </si>
  <si>
    <t>BF80</t>
  </si>
  <si>
    <t>BF81</t>
  </si>
  <si>
    <t>BF82</t>
  </si>
  <si>
    <t>BF83</t>
  </si>
  <si>
    <t>BF84</t>
  </si>
  <si>
    <t>BF85</t>
  </si>
  <si>
    <t>BF86</t>
  </si>
  <si>
    <t>BF87</t>
  </si>
  <si>
    <t>BF88</t>
  </si>
  <si>
    <t>BF89</t>
  </si>
  <si>
    <t>BF90</t>
  </si>
  <si>
    <t>BF91</t>
  </si>
  <si>
    <t>BF92</t>
  </si>
  <si>
    <t>BF93</t>
  </si>
  <si>
    <t>BF94</t>
  </si>
  <si>
    <t>BF95</t>
  </si>
  <si>
    <t>BF96</t>
  </si>
  <si>
    <t>BF97</t>
  </si>
  <si>
    <t>BF98</t>
  </si>
  <si>
    <t>BF99</t>
  </si>
  <si>
    <t>BL11</t>
  </si>
  <si>
    <t>BL12</t>
  </si>
  <si>
    <t>BL13</t>
  </si>
  <si>
    <t>BL14</t>
  </si>
  <si>
    <t>BL15</t>
  </si>
  <si>
    <t>BL16</t>
  </si>
  <si>
    <t>BL17</t>
  </si>
  <si>
    <t>BL18</t>
  </si>
  <si>
    <t>BL19</t>
  </si>
  <si>
    <t>BL20</t>
  </si>
  <si>
    <t>BL21</t>
  </si>
  <si>
    <t>influencers
12% Discount
9.1% Payout</t>
  </si>
  <si>
    <t>BL22</t>
  </si>
  <si>
    <t>A112</t>
  </si>
  <si>
    <t>A555</t>
  </si>
  <si>
    <t>A234</t>
  </si>
  <si>
    <t>M111</t>
  </si>
  <si>
    <t>S111</t>
  </si>
  <si>
    <t>G123</t>
  </si>
  <si>
    <t>S123</t>
  </si>
  <si>
    <t>M123</t>
  </si>
  <si>
    <t>N123</t>
  </si>
  <si>
    <t>N222</t>
  </si>
  <si>
    <t>Z222</t>
  </si>
  <si>
    <t>L123</t>
  </si>
  <si>
    <t>DI111</t>
  </si>
  <si>
    <t>SI111</t>
  </si>
  <si>
    <t>HABIBI</t>
  </si>
  <si>
    <t>Paused</t>
  </si>
  <si>
    <t>old</t>
  </si>
  <si>
    <t>VS1E</t>
  </si>
  <si>
    <t>v2xs</t>
  </si>
  <si>
    <t>VZ9Z</t>
  </si>
  <si>
    <t>VGCL</t>
  </si>
  <si>
    <t>veul</t>
  </si>
  <si>
    <t>V72F</t>
  </si>
  <si>
    <t>V53Q</t>
  </si>
  <si>
    <t>vk9p</t>
  </si>
  <si>
    <t>VVQQ</t>
  </si>
  <si>
    <t>VZOW</t>
  </si>
  <si>
    <t>v446</t>
  </si>
  <si>
    <t>V1A3</t>
  </si>
  <si>
    <t>vu11</t>
  </si>
  <si>
    <t>V99V</t>
  </si>
  <si>
    <t>v55s</t>
  </si>
  <si>
    <t>VPNS</t>
  </si>
  <si>
    <t>vjvh</t>
  </si>
  <si>
    <t>VEUL</t>
  </si>
  <si>
    <t>vvqq</t>
  </si>
  <si>
    <t>VVRE</t>
  </si>
  <si>
    <t>vq9w</t>
  </si>
  <si>
    <t>VHN6</t>
  </si>
  <si>
    <t>vzl5</t>
  </si>
  <si>
    <t>VS99</t>
  </si>
  <si>
    <t xml:space="preserve">only </t>
  </si>
  <si>
    <t>vs99</t>
  </si>
  <si>
    <t>VX9O</t>
  </si>
  <si>
    <t>VRZA</t>
  </si>
  <si>
    <t>VB9W</t>
  </si>
  <si>
    <t>VTW2</t>
  </si>
  <si>
    <t>V7PZ</t>
  </si>
  <si>
    <t>VBKN</t>
  </si>
  <si>
    <t>VF3K</t>
  </si>
  <si>
    <t>VIBV</t>
  </si>
  <si>
    <t>VXPV</t>
  </si>
  <si>
    <t>V7NK</t>
  </si>
  <si>
    <t>V9K0</t>
  </si>
  <si>
    <t>VGTT</t>
  </si>
  <si>
    <t>VCT4</t>
  </si>
  <si>
    <t>VIJY</t>
  </si>
  <si>
    <t>VJG9</t>
  </si>
  <si>
    <t>VGVO</t>
  </si>
  <si>
    <t>VG4W</t>
  </si>
  <si>
    <t>VLJC</t>
  </si>
  <si>
    <t>VN2S</t>
  </si>
  <si>
    <t>V9W8</t>
  </si>
  <si>
    <t>VUPN</t>
  </si>
  <si>
    <t>VTBR</t>
  </si>
  <si>
    <t>V1ZO</t>
  </si>
  <si>
    <t>V2SJ</t>
  </si>
  <si>
    <t>VUPX</t>
  </si>
  <si>
    <t>V30X</t>
  </si>
  <si>
    <t>VR5W</t>
  </si>
  <si>
    <t>V5JM</t>
  </si>
  <si>
    <t>VHZF</t>
  </si>
  <si>
    <t>V65X</t>
  </si>
  <si>
    <t>VTEP</t>
  </si>
  <si>
    <t>V7YB</t>
  </si>
  <si>
    <t>VJVH</t>
  </si>
  <si>
    <t>VK7K</t>
  </si>
  <si>
    <t>VRQI</t>
  </si>
  <si>
    <t>V583</t>
  </si>
  <si>
    <t>V01T</t>
  </si>
  <si>
    <t>V75L</t>
  </si>
  <si>
    <t>V2BO</t>
  </si>
  <si>
    <t>V0MV</t>
  </si>
  <si>
    <t>VHJ3</t>
  </si>
  <si>
    <t>VXMC</t>
  </si>
  <si>
    <t>VGKT</t>
  </si>
  <si>
    <t>VQ9W</t>
  </si>
  <si>
    <t>VERH</t>
  </si>
  <si>
    <t>VU8Y</t>
  </si>
  <si>
    <t>VRKH</t>
  </si>
  <si>
    <t>V06D</t>
  </si>
  <si>
    <t>V3BF</t>
  </si>
  <si>
    <t>V8BG</t>
  </si>
  <si>
    <t>V3QJ</t>
  </si>
  <si>
    <t>VXIH</t>
  </si>
  <si>
    <t>V1GE</t>
  </si>
  <si>
    <t>V55S</t>
  </si>
  <si>
    <t>VU11</t>
  </si>
  <si>
    <t>VKS3</t>
  </si>
  <si>
    <t>VMEZ</t>
  </si>
  <si>
    <t>VNNQ</t>
  </si>
  <si>
    <t>VAKX</t>
  </si>
  <si>
    <t>VI7Z</t>
  </si>
  <si>
    <t>VDQE</t>
  </si>
  <si>
    <t>V446</t>
  </si>
  <si>
    <t>V90J</t>
  </si>
  <si>
    <t>VR20</t>
  </si>
  <si>
    <t>VJZF</t>
  </si>
  <si>
    <t>VZL5</t>
  </si>
  <si>
    <t>V5UM</t>
  </si>
  <si>
    <t>VHO9</t>
  </si>
  <si>
    <t>VO1Y</t>
  </si>
  <si>
    <t>VS7P</t>
  </si>
  <si>
    <t>V2XS</t>
  </si>
  <si>
    <t>VE35</t>
  </si>
  <si>
    <t>VH4E</t>
  </si>
  <si>
    <t>VK9P</t>
  </si>
  <si>
    <t>VZII</t>
  </si>
  <si>
    <t>V9OY</t>
  </si>
  <si>
    <t>VRRN</t>
  </si>
  <si>
    <t>VSFH</t>
  </si>
  <si>
    <t>VMH7</t>
  </si>
  <si>
    <t>VC5F</t>
  </si>
  <si>
    <t>VESM</t>
  </si>
  <si>
    <t>V83U</t>
  </si>
  <si>
    <t>code</t>
  </si>
  <si>
    <t>id</t>
  </si>
  <si>
    <t>H1</t>
  </si>
  <si>
    <t>15% discount up to 30 (AED / SAR) 
Minimum basket value 150 (AED/ SAR) 
code can be used once per user</t>
  </si>
  <si>
    <t>H2</t>
  </si>
  <si>
    <t>H3</t>
  </si>
  <si>
    <t>H4</t>
  </si>
  <si>
    <t>H5</t>
  </si>
  <si>
    <t>H6</t>
  </si>
  <si>
    <t>H13</t>
  </si>
  <si>
    <t>H14</t>
  </si>
  <si>
    <t>H15</t>
  </si>
  <si>
    <t>H16</t>
  </si>
  <si>
    <t>H17</t>
  </si>
  <si>
    <t>H18</t>
  </si>
  <si>
    <t>H19</t>
  </si>
  <si>
    <t>H20</t>
  </si>
  <si>
    <t>H21</t>
  </si>
  <si>
    <t>H22</t>
  </si>
  <si>
    <t>H23</t>
  </si>
  <si>
    <t>H24</t>
  </si>
  <si>
    <t>H25</t>
  </si>
  <si>
    <t>H26</t>
  </si>
  <si>
    <t>H27</t>
  </si>
  <si>
    <t>H28</t>
  </si>
  <si>
    <t>H29</t>
  </si>
  <si>
    <t>H30</t>
  </si>
  <si>
    <t>H31</t>
  </si>
  <si>
    <t>H32</t>
  </si>
  <si>
    <t>H33</t>
  </si>
  <si>
    <t>H34</t>
  </si>
  <si>
    <t>H35</t>
  </si>
  <si>
    <t>H36</t>
  </si>
  <si>
    <t>H37</t>
  </si>
  <si>
    <t>H38</t>
  </si>
  <si>
    <t>H39</t>
  </si>
  <si>
    <t>H40</t>
  </si>
  <si>
    <t>H41</t>
  </si>
  <si>
    <t>H42</t>
  </si>
  <si>
    <t>H43</t>
  </si>
  <si>
    <t>H44</t>
  </si>
  <si>
    <t>H45</t>
  </si>
  <si>
    <t>H46</t>
  </si>
  <si>
    <t>H47</t>
  </si>
  <si>
    <t>H48</t>
  </si>
  <si>
    <t>H49</t>
  </si>
  <si>
    <t>H50</t>
  </si>
  <si>
    <t>H51</t>
  </si>
  <si>
    <t>H52</t>
  </si>
  <si>
    <t>H53</t>
  </si>
  <si>
    <t>H54</t>
  </si>
  <si>
    <t>H55</t>
  </si>
  <si>
    <t>H56</t>
  </si>
  <si>
    <t>H59</t>
  </si>
  <si>
    <t>H60</t>
  </si>
  <si>
    <t>H61</t>
  </si>
  <si>
    <t>H62</t>
  </si>
  <si>
    <t>H63</t>
  </si>
  <si>
    <t>H64</t>
  </si>
  <si>
    <t>H65</t>
  </si>
  <si>
    <t>H66</t>
  </si>
  <si>
    <t>H67</t>
  </si>
  <si>
    <t>H68</t>
  </si>
  <si>
    <t>H69</t>
  </si>
  <si>
    <t>H70</t>
  </si>
  <si>
    <t>H71</t>
  </si>
  <si>
    <t>H72</t>
  </si>
  <si>
    <t>H73</t>
  </si>
  <si>
    <t>H74</t>
  </si>
  <si>
    <t>H75</t>
  </si>
  <si>
    <t>H76</t>
  </si>
  <si>
    <t>H77</t>
  </si>
  <si>
    <t>H78</t>
  </si>
  <si>
    <t>H79</t>
  </si>
  <si>
    <t>H80</t>
  </si>
  <si>
    <t>H81</t>
  </si>
  <si>
    <t>H82</t>
  </si>
  <si>
    <t>H83</t>
  </si>
  <si>
    <t>H84</t>
  </si>
  <si>
    <t>H85</t>
  </si>
  <si>
    <t>H86</t>
  </si>
  <si>
    <t>H87</t>
  </si>
  <si>
    <t>H88</t>
  </si>
  <si>
    <t>H89</t>
  </si>
  <si>
    <t>H90</t>
  </si>
  <si>
    <t>H91</t>
  </si>
  <si>
    <t>H92</t>
  </si>
  <si>
    <t>H93</t>
  </si>
  <si>
    <t>H94</t>
  </si>
  <si>
    <t>H95</t>
  </si>
  <si>
    <t>H96</t>
  </si>
  <si>
    <t>H97</t>
  </si>
  <si>
    <t>H98</t>
  </si>
  <si>
    <t>H99</t>
  </si>
  <si>
    <t>H100</t>
  </si>
  <si>
    <t>Blu1</t>
  </si>
  <si>
    <t>ZZ1</t>
  </si>
  <si>
    <t>ZZ2</t>
  </si>
  <si>
    <t>ZZ3</t>
  </si>
  <si>
    <t>ZZ4</t>
  </si>
  <si>
    <t>ZZ5</t>
  </si>
  <si>
    <t>ZZ6</t>
  </si>
  <si>
    <t>ZZ7</t>
  </si>
  <si>
    <t>ZZ8</t>
  </si>
  <si>
    <t>ZZ9</t>
  </si>
  <si>
    <t>ZZ10</t>
  </si>
  <si>
    <t>ZZ11</t>
  </si>
  <si>
    <t>ZZ12</t>
  </si>
  <si>
    <t>ZZ13</t>
  </si>
  <si>
    <t>ZZ14</t>
  </si>
  <si>
    <t>ZZ15</t>
  </si>
  <si>
    <t>ZZ16</t>
  </si>
  <si>
    <t>ZZ17</t>
  </si>
  <si>
    <t>ZZ18</t>
  </si>
  <si>
    <t>ZZ19</t>
  </si>
  <si>
    <t>ZZ20</t>
  </si>
  <si>
    <t>ZZ21</t>
  </si>
  <si>
    <t>ZZ22</t>
  </si>
  <si>
    <t>ZZ23</t>
  </si>
  <si>
    <t>ZZ24</t>
  </si>
  <si>
    <t>ZZ25</t>
  </si>
  <si>
    <t>ZZ26</t>
  </si>
  <si>
    <t>ZZ27</t>
  </si>
  <si>
    <t>ZZ28</t>
  </si>
  <si>
    <t>ZZ29</t>
  </si>
  <si>
    <t>ZZ30</t>
  </si>
  <si>
    <t>ZZ31</t>
  </si>
  <si>
    <t>ZZ32</t>
  </si>
  <si>
    <t>ZZ47</t>
  </si>
  <si>
    <t>ZZ48</t>
  </si>
  <si>
    <t>ZZ49</t>
  </si>
  <si>
    <t>ZZ50</t>
  </si>
  <si>
    <t>ZZ51</t>
  </si>
  <si>
    <t>ZZ52</t>
  </si>
  <si>
    <t>ZZ53</t>
  </si>
  <si>
    <t>ZZ54</t>
  </si>
  <si>
    <t>ZZ55</t>
  </si>
  <si>
    <t>ZZ56</t>
  </si>
  <si>
    <t>ZZ57</t>
  </si>
  <si>
    <t>ZZ58</t>
  </si>
  <si>
    <t>ZZ59</t>
  </si>
  <si>
    <t>ZZ60</t>
  </si>
  <si>
    <t>ZZ61</t>
  </si>
  <si>
    <t>ZZ62</t>
  </si>
  <si>
    <t>ZZ63</t>
  </si>
  <si>
    <t>ZZ64</t>
  </si>
  <si>
    <t>ZZ65</t>
  </si>
  <si>
    <t>ZZ66</t>
  </si>
  <si>
    <t>ZZ67</t>
  </si>
  <si>
    <t>ZZ68</t>
  </si>
  <si>
    <t>ZZ69</t>
  </si>
  <si>
    <t>ZZ70</t>
  </si>
  <si>
    <t>ZZ71</t>
  </si>
  <si>
    <t>ZZ72</t>
  </si>
  <si>
    <t>ZZ73</t>
  </si>
  <si>
    <t>ZZ74</t>
  </si>
  <si>
    <t>ZZ75</t>
  </si>
  <si>
    <t>ZZ76</t>
  </si>
  <si>
    <t>ZZ77</t>
  </si>
  <si>
    <t>ZZ78</t>
  </si>
  <si>
    <t>ZZ79</t>
  </si>
  <si>
    <t>ZZ80</t>
  </si>
  <si>
    <t>ZZ81</t>
  </si>
  <si>
    <t>ZZ82</t>
  </si>
  <si>
    <t>ZZ83</t>
  </si>
  <si>
    <t>ZZ84</t>
  </si>
  <si>
    <t>ZZ85</t>
  </si>
  <si>
    <t>ZZ86</t>
  </si>
  <si>
    <t>ZZ87</t>
  </si>
  <si>
    <t>ZZ88</t>
  </si>
  <si>
    <t>ZZ89</t>
  </si>
  <si>
    <t>ZZ90</t>
  </si>
  <si>
    <t>ZZ91</t>
  </si>
  <si>
    <t>ZZ92</t>
  </si>
  <si>
    <t>ZZ93</t>
  </si>
  <si>
    <t>ZZ94</t>
  </si>
  <si>
    <t>ZZ95</t>
  </si>
  <si>
    <t>ZZ96</t>
  </si>
  <si>
    <t>ZZ97</t>
  </si>
  <si>
    <t>ZZ98</t>
  </si>
  <si>
    <t>ZZ99</t>
  </si>
  <si>
    <t>ZZ100</t>
  </si>
  <si>
    <t>H11</t>
  </si>
  <si>
    <t>H7</t>
  </si>
  <si>
    <t>H8</t>
  </si>
  <si>
    <t>H9</t>
  </si>
  <si>
    <t>H10</t>
  </si>
  <si>
    <t>H12</t>
  </si>
  <si>
    <t>H57</t>
  </si>
  <si>
    <t>H58</t>
  </si>
  <si>
    <t>ZZ33</t>
  </si>
  <si>
    <t>ZZ34</t>
  </si>
  <si>
    <t>ZZ35</t>
  </si>
  <si>
    <t>ZZ36</t>
  </si>
  <si>
    <t>ZZ37</t>
  </si>
  <si>
    <t>ZZ38</t>
  </si>
  <si>
    <t>ZZ39</t>
  </si>
  <si>
    <t>ZZ40</t>
  </si>
  <si>
    <t>ZZ41</t>
  </si>
  <si>
    <t>ZZ42</t>
  </si>
  <si>
    <t>ZZ43</t>
  </si>
  <si>
    <t>ZZ44</t>
  </si>
  <si>
    <t>ZZ45</t>
  </si>
  <si>
    <t>ZZ46</t>
  </si>
  <si>
    <t>Habibi</t>
  </si>
  <si>
    <t xml:space="preserve">Codes </t>
  </si>
  <si>
    <t>Id</t>
  </si>
  <si>
    <t>tt01</t>
  </si>
  <si>
    <t>8% discount</t>
  </si>
  <si>
    <t>tt02</t>
  </si>
  <si>
    <t>tt03</t>
  </si>
  <si>
    <t>tt04</t>
  </si>
  <si>
    <t>tt05</t>
  </si>
  <si>
    <t>tt06</t>
  </si>
  <si>
    <t>tt07</t>
  </si>
  <si>
    <t>tt08</t>
  </si>
  <si>
    <t>tt09</t>
  </si>
  <si>
    <t>tt10</t>
  </si>
  <si>
    <t>tt11</t>
  </si>
  <si>
    <t>tt12</t>
  </si>
  <si>
    <t>tt13</t>
  </si>
  <si>
    <t>tt14</t>
  </si>
  <si>
    <t>tt15</t>
  </si>
  <si>
    <t>tt16</t>
  </si>
  <si>
    <t>tt17</t>
  </si>
  <si>
    <t>tt18</t>
  </si>
  <si>
    <t>tt19</t>
  </si>
  <si>
    <t>tt20</t>
  </si>
  <si>
    <t>tt21</t>
  </si>
  <si>
    <t>tt22</t>
  </si>
  <si>
    <t>tt23</t>
  </si>
  <si>
    <t>tt24</t>
  </si>
  <si>
    <t>tt25</t>
  </si>
  <si>
    <t>tt26</t>
  </si>
  <si>
    <t>tt27</t>
  </si>
  <si>
    <t>tt28</t>
  </si>
  <si>
    <t>tt29</t>
  </si>
  <si>
    <t>tt30</t>
  </si>
  <si>
    <t>tt31</t>
  </si>
  <si>
    <t>tt32</t>
  </si>
  <si>
    <t>tt33</t>
  </si>
  <si>
    <t>tt34</t>
  </si>
  <si>
    <t>tt35</t>
  </si>
  <si>
    <t>tt36</t>
  </si>
  <si>
    <t>tt37</t>
  </si>
  <si>
    <t>tt38</t>
  </si>
  <si>
    <t>tt39</t>
  </si>
  <si>
    <t>tt40</t>
  </si>
  <si>
    <t>tt41</t>
  </si>
  <si>
    <t>tt42</t>
  </si>
  <si>
    <t>tt43</t>
  </si>
  <si>
    <t>tt44</t>
  </si>
  <si>
    <t>tt45</t>
  </si>
  <si>
    <t>tt46</t>
  </si>
  <si>
    <t>tt47</t>
  </si>
  <si>
    <t>tt48</t>
  </si>
  <si>
    <t>tt49</t>
  </si>
  <si>
    <t>tt50</t>
  </si>
  <si>
    <t>tt51</t>
  </si>
  <si>
    <t>tt52</t>
  </si>
  <si>
    <t>tt53</t>
  </si>
  <si>
    <t>tt54</t>
  </si>
  <si>
    <t>tt55</t>
  </si>
  <si>
    <t>tt56</t>
  </si>
  <si>
    <t>tt57</t>
  </si>
  <si>
    <t>tt58</t>
  </si>
  <si>
    <t>tt59</t>
  </si>
  <si>
    <t>tt60</t>
  </si>
  <si>
    <t>tt61</t>
  </si>
  <si>
    <t>tt62</t>
  </si>
  <si>
    <t>tt63</t>
  </si>
  <si>
    <t>tt64</t>
  </si>
  <si>
    <t>tt65</t>
  </si>
  <si>
    <t>tt66</t>
  </si>
  <si>
    <t>tt67</t>
  </si>
  <si>
    <t>tt68</t>
  </si>
  <si>
    <t>tt69</t>
  </si>
  <si>
    <t>tt70</t>
  </si>
  <si>
    <t>tt71</t>
  </si>
  <si>
    <t>tt72</t>
  </si>
  <si>
    <t>tt73</t>
  </si>
  <si>
    <t>tt74</t>
  </si>
  <si>
    <t>tt75</t>
  </si>
  <si>
    <t>tt76</t>
  </si>
  <si>
    <t>tt77</t>
  </si>
  <si>
    <t>tt78</t>
  </si>
  <si>
    <t>tt79</t>
  </si>
  <si>
    <t>tt80</t>
  </si>
  <si>
    <t>tt81</t>
  </si>
  <si>
    <t>tt82</t>
  </si>
  <si>
    <t>tt83</t>
  </si>
  <si>
    <t>tt84</t>
  </si>
  <si>
    <t>tt85</t>
  </si>
  <si>
    <t>tt86</t>
  </si>
  <si>
    <t>tt87</t>
  </si>
  <si>
    <t>tt88</t>
  </si>
  <si>
    <t>tt89</t>
  </si>
  <si>
    <t>tt90</t>
  </si>
  <si>
    <t>tt91</t>
  </si>
  <si>
    <t>tt92</t>
  </si>
  <si>
    <t>tt93</t>
  </si>
  <si>
    <t>tt94</t>
  </si>
  <si>
    <t>tt95</t>
  </si>
  <si>
    <t>tt96</t>
  </si>
  <si>
    <t>tt97</t>
  </si>
  <si>
    <t>tt98</t>
  </si>
  <si>
    <t>tt99</t>
  </si>
  <si>
    <t>tt100</t>
  </si>
  <si>
    <t>tt101</t>
  </si>
  <si>
    <t>tt102</t>
  </si>
  <si>
    <t>tt103</t>
  </si>
  <si>
    <t>tt104</t>
  </si>
  <si>
    <t>tt105</t>
  </si>
  <si>
    <t>tt106</t>
  </si>
  <si>
    <t>tt107</t>
  </si>
  <si>
    <t>tt108</t>
  </si>
  <si>
    <t>tt109</t>
  </si>
  <si>
    <t>tt110</t>
  </si>
  <si>
    <t>tt111</t>
  </si>
  <si>
    <t>tt112</t>
  </si>
  <si>
    <t>tt113</t>
  </si>
  <si>
    <t>tt114</t>
  </si>
  <si>
    <t>tt115</t>
  </si>
  <si>
    <t>tt116</t>
  </si>
  <si>
    <t>tt117</t>
  </si>
  <si>
    <t>tt118</t>
  </si>
  <si>
    <t>tt119</t>
  </si>
  <si>
    <t>tt120</t>
  </si>
  <si>
    <t>tt121</t>
  </si>
  <si>
    <t>tt122</t>
  </si>
  <si>
    <t>tt132</t>
  </si>
  <si>
    <t>tt133</t>
  </si>
  <si>
    <t>tt134</t>
  </si>
  <si>
    <t>tt135</t>
  </si>
  <si>
    <t>tt136</t>
  </si>
  <si>
    <t>tt137</t>
  </si>
  <si>
    <t>tt138</t>
  </si>
  <si>
    <t>tt139</t>
  </si>
  <si>
    <t>tt140</t>
  </si>
  <si>
    <t>tt141</t>
  </si>
  <si>
    <t>tt142</t>
  </si>
  <si>
    <t>tt143</t>
  </si>
  <si>
    <t>tt144</t>
  </si>
  <si>
    <t>tt145</t>
  </si>
  <si>
    <t>tt146</t>
  </si>
  <si>
    <t>tt147</t>
  </si>
  <si>
    <t>tt148</t>
  </si>
  <si>
    <t>tt149</t>
  </si>
  <si>
    <t>tt150</t>
  </si>
  <si>
    <t>10% discount</t>
  </si>
  <si>
    <t>DD21</t>
  </si>
  <si>
    <t>DD22</t>
  </si>
  <si>
    <t>DD23</t>
  </si>
  <si>
    <t>DD24</t>
  </si>
  <si>
    <t>DD25</t>
  </si>
  <si>
    <t>tt123</t>
  </si>
  <si>
    <t>tt124</t>
  </si>
  <si>
    <t>tt125</t>
  </si>
  <si>
    <t>tt126</t>
  </si>
  <si>
    <t>tt127</t>
  </si>
  <si>
    <t>tt128</t>
  </si>
  <si>
    <t>tt129</t>
  </si>
  <si>
    <t>tt130</t>
  </si>
  <si>
    <t>tt131</t>
  </si>
  <si>
    <t>ck</t>
  </si>
  <si>
    <t>ck10</t>
  </si>
  <si>
    <t>ck15</t>
  </si>
  <si>
    <t>ck20</t>
  </si>
  <si>
    <t>25% discount with a Max 50 SAR only for KSA</t>
  </si>
  <si>
    <t>ZM22</t>
  </si>
  <si>
    <t>ZM23</t>
  </si>
  <si>
    <t>ZM24</t>
  </si>
  <si>
    <t>JM</t>
  </si>
  <si>
    <t>ZM25</t>
  </si>
  <si>
    <t>ZM26</t>
  </si>
  <si>
    <t>ZM27</t>
  </si>
  <si>
    <t>DG1</t>
  </si>
  <si>
    <t>DG2</t>
  </si>
  <si>
    <t>DG3</t>
  </si>
  <si>
    <t>DG4</t>
  </si>
  <si>
    <t>DG5</t>
  </si>
  <si>
    <t>DG6</t>
  </si>
  <si>
    <t>DG7</t>
  </si>
  <si>
    <t>DG8</t>
  </si>
  <si>
    <t>DG9</t>
  </si>
  <si>
    <t>DG10</t>
  </si>
  <si>
    <t>DG11</t>
  </si>
  <si>
    <t>DG12</t>
  </si>
  <si>
    <t>SS22</t>
  </si>
  <si>
    <t>SS23</t>
  </si>
  <si>
    <t>SS24</t>
  </si>
  <si>
    <t>SS25</t>
  </si>
  <si>
    <t>SS26</t>
  </si>
  <si>
    <t>SS27</t>
  </si>
  <si>
    <t>SS28</t>
  </si>
  <si>
    <t>SS29</t>
  </si>
  <si>
    <t>DG13</t>
  </si>
  <si>
    <t>DG14</t>
  </si>
  <si>
    <t>DG15</t>
  </si>
  <si>
    <t>EXE</t>
  </si>
  <si>
    <t>rawan91</t>
  </si>
  <si>
    <t>Mansour22</t>
  </si>
  <si>
    <t>SA2</t>
  </si>
  <si>
    <t>MNN4</t>
  </si>
  <si>
    <t>L50</t>
  </si>
  <si>
    <t>BITS</t>
  </si>
  <si>
    <t>ROROS</t>
  </si>
  <si>
    <t>SAAM</t>
  </si>
  <si>
    <t>Mimi44</t>
  </si>
  <si>
    <t>EMANKA</t>
  </si>
  <si>
    <t>MGG</t>
  </si>
  <si>
    <t>ICIN</t>
  </si>
  <si>
    <t>82WP58</t>
  </si>
  <si>
    <t>Resal22</t>
  </si>
  <si>
    <t>MNN15</t>
  </si>
  <si>
    <t>NAA10</t>
  </si>
  <si>
    <t>Sarah33</t>
  </si>
  <si>
    <t>MNN18</t>
  </si>
  <si>
    <t>MNN19</t>
  </si>
  <si>
    <t>MNN20</t>
  </si>
  <si>
    <t>MNN21</t>
  </si>
  <si>
    <t>MNN22</t>
  </si>
  <si>
    <t>MNN26</t>
  </si>
  <si>
    <t>MNN27</t>
  </si>
  <si>
    <t>BB22</t>
  </si>
  <si>
    <t>CC22</t>
  </si>
  <si>
    <t>DB3</t>
  </si>
  <si>
    <t>DB1</t>
  </si>
  <si>
    <t>CP55</t>
  </si>
  <si>
    <t>Froz</t>
  </si>
  <si>
    <t>Roud</t>
  </si>
  <si>
    <t>SA5</t>
  </si>
  <si>
    <t>DB7</t>
  </si>
  <si>
    <t>DB6</t>
  </si>
  <si>
    <t>DB22</t>
  </si>
  <si>
    <t>DB33</t>
  </si>
  <si>
    <t>DB12</t>
  </si>
  <si>
    <t>DB17</t>
  </si>
  <si>
    <t>DB18</t>
  </si>
  <si>
    <t>MNN28</t>
  </si>
  <si>
    <t>MNN29</t>
  </si>
  <si>
    <t>MNN37</t>
  </si>
  <si>
    <t>MNN16</t>
  </si>
  <si>
    <t xml:space="preserve">Full Price Items: 5% Discounted + Combo Items: 2%
Top selling categories are proteins, then vitamins and minerals. </t>
  </si>
  <si>
    <t>m1</t>
  </si>
  <si>
    <t>m2</t>
  </si>
  <si>
    <t>m3</t>
  </si>
  <si>
    <t>m4</t>
  </si>
  <si>
    <t>m5</t>
  </si>
  <si>
    <t>m6</t>
  </si>
  <si>
    <t>m14</t>
  </si>
  <si>
    <t>m15</t>
  </si>
  <si>
    <t>m16</t>
  </si>
  <si>
    <t>m17</t>
  </si>
  <si>
    <t>m18</t>
  </si>
  <si>
    <t>m19</t>
  </si>
  <si>
    <t>m20</t>
  </si>
  <si>
    <t>m21</t>
  </si>
  <si>
    <t>m22</t>
  </si>
  <si>
    <t>m23</t>
  </si>
  <si>
    <t>m24</t>
  </si>
  <si>
    <t>m25</t>
  </si>
  <si>
    <t>m26</t>
  </si>
  <si>
    <t>m27</t>
  </si>
  <si>
    <t>m28</t>
  </si>
  <si>
    <t>m29</t>
  </si>
  <si>
    <t>m30</t>
  </si>
  <si>
    <t>m31</t>
  </si>
  <si>
    <t>m32</t>
  </si>
  <si>
    <t>m33</t>
  </si>
  <si>
    <t>m34</t>
  </si>
  <si>
    <t>m35</t>
  </si>
  <si>
    <t>m36</t>
  </si>
  <si>
    <t>m37</t>
  </si>
  <si>
    <t>m38</t>
  </si>
  <si>
    <t>m39</t>
  </si>
  <si>
    <t>m40</t>
  </si>
  <si>
    <t>m41</t>
  </si>
  <si>
    <t>m42</t>
  </si>
  <si>
    <t>m43</t>
  </si>
  <si>
    <t>m44</t>
  </si>
  <si>
    <t>m45</t>
  </si>
  <si>
    <t>m46</t>
  </si>
  <si>
    <t>m47</t>
  </si>
  <si>
    <t>m48</t>
  </si>
  <si>
    <t>m49</t>
  </si>
  <si>
    <t>m50</t>
  </si>
  <si>
    <t>m51</t>
  </si>
  <si>
    <t>m52</t>
  </si>
  <si>
    <t>m53</t>
  </si>
  <si>
    <t>m54</t>
  </si>
  <si>
    <t>m55</t>
  </si>
  <si>
    <t>m56</t>
  </si>
  <si>
    <t>m57</t>
  </si>
  <si>
    <t>m58</t>
  </si>
  <si>
    <t>m59</t>
  </si>
  <si>
    <t>m60</t>
  </si>
  <si>
    <t>m61</t>
  </si>
  <si>
    <t>m62</t>
  </si>
  <si>
    <t>m63</t>
  </si>
  <si>
    <t>m64</t>
  </si>
  <si>
    <t>m65</t>
  </si>
  <si>
    <t>m66</t>
  </si>
  <si>
    <t>m67</t>
  </si>
  <si>
    <t>m68</t>
  </si>
  <si>
    <t>m69</t>
  </si>
  <si>
    <t>m70</t>
  </si>
  <si>
    <t>m71</t>
  </si>
  <si>
    <t>m72</t>
  </si>
  <si>
    <t>m73</t>
  </si>
  <si>
    <t>m74</t>
  </si>
  <si>
    <t>m75</t>
  </si>
  <si>
    <t>m76</t>
  </si>
  <si>
    <t>m77</t>
  </si>
  <si>
    <t>m78</t>
  </si>
  <si>
    <t>m79</t>
  </si>
  <si>
    <t>m80</t>
  </si>
  <si>
    <t>m81</t>
  </si>
  <si>
    <t>m82</t>
  </si>
  <si>
    <t>m83</t>
  </si>
  <si>
    <t>m84</t>
  </si>
  <si>
    <t>m85</t>
  </si>
  <si>
    <t>m86</t>
  </si>
  <si>
    <t>m87</t>
  </si>
  <si>
    <t>m88</t>
  </si>
  <si>
    <t>m89</t>
  </si>
  <si>
    <t>m90</t>
  </si>
  <si>
    <t>m91</t>
  </si>
  <si>
    <t>m92</t>
  </si>
  <si>
    <t>m93</t>
  </si>
  <si>
    <t>m94</t>
  </si>
  <si>
    <t>m95</t>
  </si>
  <si>
    <t>m96</t>
  </si>
  <si>
    <t>m97</t>
  </si>
  <si>
    <t>m98</t>
  </si>
  <si>
    <t>m99</t>
  </si>
  <si>
    <t>m100</t>
  </si>
  <si>
    <t>m7</t>
  </si>
  <si>
    <t>m8</t>
  </si>
  <si>
    <t>m9</t>
  </si>
  <si>
    <t>m10</t>
  </si>
  <si>
    <t>m11</t>
  </si>
  <si>
    <t>m12</t>
  </si>
  <si>
    <t>m13</t>
  </si>
  <si>
    <t>DRM17</t>
  </si>
  <si>
    <t>DRM20</t>
  </si>
  <si>
    <t>DRM21</t>
  </si>
  <si>
    <t>DRM24</t>
  </si>
  <si>
    <t>DRM25</t>
  </si>
  <si>
    <t>DRM27</t>
  </si>
  <si>
    <t>DRM29</t>
  </si>
  <si>
    <t>DRM30</t>
  </si>
  <si>
    <t>DRM32</t>
  </si>
  <si>
    <t>DRM33</t>
  </si>
  <si>
    <t>DRM36</t>
  </si>
  <si>
    <t>DRM37</t>
  </si>
  <si>
    <t>DRM39</t>
  </si>
  <si>
    <t>DRM40</t>
  </si>
  <si>
    <t>DRM44</t>
  </si>
  <si>
    <t>DRM48</t>
  </si>
  <si>
    <t>PWE865</t>
  </si>
  <si>
    <t xml:space="preserve">Discount
5% up to 1000EGP 
</t>
  </si>
  <si>
    <t>till 6/7/2025</t>
  </si>
  <si>
    <t>PWE426</t>
  </si>
  <si>
    <t>till 6/7/2026</t>
  </si>
  <si>
    <t>PWE169</t>
  </si>
  <si>
    <t>till 6/7/2027</t>
  </si>
  <si>
    <t>PWE83</t>
  </si>
  <si>
    <t>till 6/7/2028</t>
  </si>
  <si>
    <t>PWE409</t>
  </si>
  <si>
    <t>till 6/7/2029</t>
  </si>
  <si>
    <t>PWE416</t>
  </si>
  <si>
    <t>till 6/7/2030</t>
  </si>
  <si>
    <t>PWE548</t>
  </si>
  <si>
    <t>till 6/7/2031</t>
  </si>
  <si>
    <t>PWE570</t>
  </si>
  <si>
    <t>till 6/7/2032</t>
  </si>
  <si>
    <t>PWE408</t>
  </si>
  <si>
    <t>till 6/7/2033</t>
  </si>
  <si>
    <t>PWE433</t>
  </si>
  <si>
    <t xml:space="preserve">  </t>
  </si>
  <si>
    <t>till 6/7/2034</t>
  </si>
  <si>
    <t xml:space="preserve">        RD1</t>
  </si>
  <si>
    <t xml:space="preserve">        RD2</t>
  </si>
  <si>
    <t xml:space="preserve">        RD3</t>
  </si>
  <si>
    <t xml:space="preserve">        RD4</t>
  </si>
  <si>
    <t xml:space="preserve">        RD5</t>
  </si>
  <si>
    <t xml:space="preserve">        RD6</t>
  </si>
  <si>
    <t>G1</t>
  </si>
  <si>
    <t>G100</t>
  </si>
  <si>
    <t>Q1</t>
  </si>
  <si>
    <t xml:space="preserve">Q series is free delievery </t>
  </si>
  <si>
    <t>Q2</t>
  </si>
  <si>
    <t>Q3</t>
  </si>
  <si>
    <t>Q4</t>
  </si>
  <si>
    <t>Q5</t>
  </si>
  <si>
    <t>Q6</t>
  </si>
  <si>
    <t>Q7</t>
  </si>
  <si>
    <t>Q13</t>
  </si>
  <si>
    <t>Q14</t>
  </si>
  <si>
    <t>Q15</t>
  </si>
  <si>
    <t>Q16</t>
  </si>
  <si>
    <t>Q17</t>
  </si>
  <si>
    <t>Q18</t>
  </si>
  <si>
    <t>Q19</t>
  </si>
  <si>
    <t>Q20</t>
  </si>
  <si>
    <t>Q21</t>
  </si>
  <si>
    <t>Q22</t>
  </si>
  <si>
    <t>Q23</t>
  </si>
  <si>
    <t>Q24</t>
  </si>
  <si>
    <t>Q25</t>
  </si>
  <si>
    <t>Q26</t>
  </si>
  <si>
    <t>Q27</t>
  </si>
  <si>
    <t>Q28</t>
  </si>
  <si>
    <t>Q29</t>
  </si>
  <si>
    <t>Q30</t>
  </si>
  <si>
    <t>Q31</t>
  </si>
  <si>
    <t>Q32</t>
  </si>
  <si>
    <t>Q33</t>
  </si>
  <si>
    <t>Q34</t>
  </si>
  <si>
    <t>Q35</t>
  </si>
  <si>
    <t>Q36</t>
  </si>
  <si>
    <t>Q37</t>
  </si>
  <si>
    <t>Q38</t>
  </si>
  <si>
    <t>Q39</t>
  </si>
  <si>
    <t>Q40</t>
  </si>
  <si>
    <t>Q41</t>
  </si>
  <si>
    <t>Q42</t>
  </si>
  <si>
    <t>Q43</t>
  </si>
  <si>
    <t>Q44</t>
  </si>
  <si>
    <t>Q45</t>
  </si>
  <si>
    <t>Q46</t>
  </si>
  <si>
    <t>Q47</t>
  </si>
  <si>
    <t>Q48</t>
  </si>
  <si>
    <t>Q49</t>
  </si>
  <si>
    <t>Q50</t>
  </si>
  <si>
    <t>Q51</t>
  </si>
  <si>
    <t>Q52</t>
  </si>
  <si>
    <t>Q53</t>
  </si>
  <si>
    <t>Q54</t>
  </si>
  <si>
    <t>Q55</t>
  </si>
  <si>
    <t>Q56</t>
  </si>
  <si>
    <t>Q57</t>
  </si>
  <si>
    <t>Q58</t>
  </si>
  <si>
    <t>Q59</t>
  </si>
  <si>
    <t>Q60</t>
  </si>
  <si>
    <t>Q61</t>
  </si>
  <si>
    <t>Q62</t>
  </si>
  <si>
    <t>Q63</t>
  </si>
  <si>
    <t>Q64</t>
  </si>
  <si>
    <t>Q65</t>
  </si>
  <si>
    <t>Q66</t>
  </si>
  <si>
    <t>Q67</t>
  </si>
  <si>
    <t>Q68</t>
  </si>
  <si>
    <t>Q69</t>
  </si>
  <si>
    <t>Q70</t>
  </si>
  <si>
    <t>Q71</t>
  </si>
  <si>
    <t>Q72</t>
  </si>
  <si>
    <t>Q73</t>
  </si>
  <si>
    <t>Q74</t>
  </si>
  <si>
    <t>Q75</t>
  </si>
  <si>
    <t>Q76</t>
  </si>
  <si>
    <t>Q77</t>
  </si>
  <si>
    <t>Q78</t>
  </si>
  <si>
    <t>Q79</t>
  </si>
  <si>
    <t>Q80</t>
  </si>
  <si>
    <t>Q81</t>
  </si>
  <si>
    <t>Q82</t>
  </si>
  <si>
    <t>Q83</t>
  </si>
  <si>
    <t>Q84</t>
  </si>
  <si>
    <t>Q85</t>
  </si>
  <si>
    <t>Q86</t>
  </si>
  <si>
    <t>Q87</t>
  </si>
  <si>
    <t>Q88</t>
  </si>
  <si>
    <t>Q89</t>
  </si>
  <si>
    <t>Q90</t>
  </si>
  <si>
    <t>Q91</t>
  </si>
  <si>
    <t>Q92</t>
  </si>
  <si>
    <t>Q93</t>
  </si>
  <si>
    <t>Q94</t>
  </si>
  <si>
    <t>Q95</t>
  </si>
  <si>
    <t>Q96</t>
  </si>
  <si>
    <t>Q97</t>
  </si>
  <si>
    <t>Q98</t>
  </si>
  <si>
    <t>Q99</t>
  </si>
  <si>
    <t>Q100</t>
  </si>
  <si>
    <t>dg1</t>
  </si>
  <si>
    <t>expired</t>
  </si>
  <si>
    <t>dg2</t>
  </si>
  <si>
    <t>dg3</t>
  </si>
  <si>
    <t>dg4</t>
  </si>
  <si>
    <t>dg5</t>
  </si>
  <si>
    <t>dg6</t>
  </si>
  <si>
    <t>dg7</t>
  </si>
  <si>
    <t>dg8</t>
  </si>
  <si>
    <t>dg9</t>
  </si>
  <si>
    <t>dg10</t>
  </si>
  <si>
    <t>dg11</t>
  </si>
  <si>
    <t>dg12</t>
  </si>
  <si>
    <t>dg13</t>
  </si>
  <si>
    <t>dg14</t>
  </si>
  <si>
    <t>dg15</t>
  </si>
  <si>
    <t>dg16</t>
  </si>
  <si>
    <t>dg17</t>
  </si>
  <si>
    <t>dg18</t>
  </si>
  <si>
    <t>dg19</t>
  </si>
  <si>
    <t>dg20</t>
  </si>
  <si>
    <t>dg21</t>
  </si>
  <si>
    <t>dg22</t>
  </si>
  <si>
    <t>dg23</t>
  </si>
  <si>
    <t>dg24</t>
  </si>
  <si>
    <t>dg25</t>
  </si>
  <si>
    <t>dg26</t>
  </si>
  <si>
    <t>dg27</t>
  </si>
  <si>
    <t>dg28</t>
  </si>
  <si>
    <t>dg29</t>
  </si>
  <si>
    <t>dg30</t>
  </si>
  <si>
    <t>dg31</t>
  </si>
  <si>
    <t>dg32</t>
  </si>
  <si>
    <t>dg33</t>
  </si>
  <si>
    <t>dg34</t>
  </si>
  <si>
    <t>dg35</t>
  </si>
  <si>
    <t>dg36</t>
  </si>
  <si>
    <t>dg37</t>
  </si>
  <si>
    <t>dg38</t>
  </si>
  <si>
    <t>dg39</t>
  </si>
  <si>
    <t>dg40</t>
  </si>
  <si>
    <t>dg41</t>
  </si>
  <si>
    <t>dg42</t>
  </si>
  <si>
    <t>dg43</t>
  </si>
  <si>
    <t>dg44</t>
  </si>
  <si>
    <t>dg45</t>
  </si>
  <si>
    <t>dg46</t>
  </si>
  <si>
    <t>dg47</t>
  </si>
  <si>
    <t>dg48</t>
  </si>
  <si>
    <t>dg49</t>
  </si>
  <si>
    <t>dg50</t>
  </si>
  <si>
    <t>dg51</t>
  </si>
  <si>
    <t>dg52</t>
  </si>
  <si>
    <t>dg53</t>
  </si>
  <si>
    <t>dg54</t>
  </si>
  <si>
    <t>dg55</t>
  </si>
  <si>
    <t>dg56</t>
  </si>
  <si>
    <t>DG</t>
  </si>
  <si>
    <t>dg57</t>
  </si>
  <si>
    <t>DR</t>
  </si>
  <si>
    <t>dg58</t>
  </si>
  <si>
    <t>DH</t>
  </si>
  <si>
    <t>dg59</t>
  </si>
  <si>
    <t>L3</t>
  </si>
  <si>
    <t>dg60</t>
  </si>
  <si>
    <t>L4</t>
  </si>
  <si>
    <t>dg61</t>
  </si>
  <si>
    <t>S1</t>
  </si>
  <si>
    <t>dg62</t>
  </si>
  <si>
    <t>S4</t>
  </si>
  <si>
    <t>dg63</t>
  </si>
  <si>
    <t>S7</t>
  </si>
  <si>
    <t>dg64</t>
  </si>
  <si>
    <t>S8</t>
  </si>
  <si>
    <t>dg65</t>
  </si>
  <si>
    <t>A6</t>
  </si>
  <si>
    <t>dg66</t>
  </si>
  <si>
    <t>A8</t>
  </si>
  <si>
    <t>dg67</t>
  </si>
  <si>
    <t>X3</t>
  </si>
  <si>
    <t>dg68</t>
  </si>
  <si>
    <t>dg69</t>
  </si>
  <si>
    <t>Y5</t>
  </si>
  <si>
    <t>dg70</t>
  </si>
  <si>
    <t>W1</t>
  </si>
  <si>
    <t>dg71</t>
  </si>
  <si>
    <t>W2</t>
  </si>
  <si>
    <t>dg72</t>
  </si>
  <si>
    <t>W5</t>
  </si>
  <si>
    <t>dg73</t>
  </si>
  <si>
    <t>B2</t>
  </si>
  <si>
    <t>dg74</t>
  </si>
  <si>
    <t>B3</t>
  </si>
  <si>
    <t>dg75</t>
  </si>
  <si>
    <t>B4</t>
  </si>
  <si>
    <t>dg76</t>
  </si>
  <si>
    <t>B5</t>
  </si>
  <si>
    <t>dg77</t>
  </si>
  <si>
    <t>B8</t>
  </si>
  <si>
    <t>dg78</t>
  </si>
  <si>
    <t>C3</t>
  </si>
  <si>
    <t>dg79</t>
  </si>
  <si>
    <t>C4</t>
  </si>
  <si>
    <t>dg80</t>
  </si>
  <si>
    <t>C5</t>
  </si>
  <si>
    <t>dg81</t>
  </si>
  <si>
    <t>C6</t>
  </si>
  <si>
    <t>dg82</t>
  </si>
  <si>
    <t>C7</t>
  </si>
  <si>
    <t>dg83</t>
  </si>
  <si>
    <t>K5</t>
  </si>
  <si>
    <t>dg84</t>
  </si>
  <si>
    <t>M5</t>
  </si>
  <si>
    <t>dg85</t>
  </si>
  <si>
    <t>M6</t>
  </si>
  <si>
    <t>dg86</t>
  </si>
  <si>
    <t>M9</t>
  </si>
  <si>
    <t>dg87</t>
  </si>
  <si>
    <t>dg88</t>
  </si>
  <si>
    <t>J9</t>
  </si>
  <si>
    <t>dg89</t>
  </si>
  <si>
    <t>P5</t>
  </si>
  <si>
    <t>dg90</t>
  </si>
  <si>
    <t>F1</t>
  </si>
  <si>
    <t>dg97</t>
  </si>
  <si>
    <t>F5</t>
  </si>
  <si>
    <t>dg98</t>
  </si>
  <si>
    <t>dg99</t>
  </si>
  <si>
    <t xml:space="preserve"> LODY10</t>
  </si>
  <si>
    <t>nw1</t>
  </si>
  <si>
    <t>nw2</t>
  </si>
  <si>
    <t>nw3</t>
  </si>
  <si>
    <t>nw4</t>
  </si>
  <si>
    <t>nw5</t>
  </si>
  <si>
    <t>nw6</t>
  </si>
  <si>
    <t>nw7</t>
  </si>
  <si>
    <t>nw8</t>
  </si>
  <si>
    <t>nw9</t>
  </si>
  <si>
    <t>nw10</t>
  </si>
  <si>
    <t>dg91</t>
  </si>
  <si>
    <t>dg92</t>
  </si>
  <si>
    <t>dg93</t>
  </si>
  <si>
    <t>dg94</t>
  </si>
  <si>
    <t>dg95</t>
  </si>
  <si>
    <t>dg96</t>
  </si>
  <si>
    <t>Links Generator</t>
  </si>
  <si>
    <t xml:space="preserve">Add Aff ID Here </t>
  </si>
  <si>
    <t xml:space="preserve">Copy This </t>
  </si>
  <si>
    <r>
      <rPr>
        <rFont val="Roboto"/>
        <b/>
        <i/>
        <color rgb="FF1155CC"/>
        <sz val="9.0"/>
        <u/>
      </rPr>
      <t>https://prf.hn/click/camref:</t>
    </r>
    <r>
      <rPr>
        <rFont val="Roboto"/>
        <b/>
        <i/>
        <color rgb="FF212322"/>
        <sz val="9.0"/>
      </rPr>
      <t>1100l3HS7p</t>
    </r>
    <r>
      <rPr>
        <rFont val="Roboto"/>
        <b/>
        <i/>
        <color rgb="FF212322"/>
        <sz val="9.0"/>
      </rPr>
      <t>/pubref:</t>
    </r>
  </si>
  <si>
    <t>https://prf.hn/click/camref:1100l3HS7p/pubref:663</t>
  </si>
  <si>
    <t>https://prf.hn/click/camref:1100l3HS7p/pubref:7747</t>
  </si>
  <si>
    <t>https://prf.hn/click/camref:1100l3HS7p/pubref:7100</t>
  </si>
  <si>
    <t>https://prf.hn/click/camref:1100l3HS7p/pubref:12932</t>
  </si>
  <si>
    <t>https://prf.hn/click/camref:1100l3HS7p/pubref:6924</t>
  </si>
  <si>
    <t>https://prf.hn/click/camref:1100l3HS7p/pubref:7157</t>
  </si>
  <si>
    <t>https://prf.hn/click/camref:1100l3HS7p/pubref:8199</t>
  </si>
  <si>
    <t>https://prf.hn/click/camref:1100l3HS7p/pubref:9307</t>
  </si>
  <si>
    <t>https://prf.hn/click/camref:1100l3HS7p/pubref:6875</t>
  </si>
  <si>
    <t>https://prf.hn/click/camref:1100l3HS7p/pubref:6831</t>
  </si>
  <si>
    <t>https://prf.hn/click/camref:1100l3HS7p/pubref:2205</t>
  </si>
  <si>
    <t>https://prf.hn/click/camref:1100l3HS7p/pubref:14482</t>
  </si>
  <si>
    <t>https://prf.hn/click/camref:1100l3HS7p/pubref:6668</t>
  </si>
  <si>
    <t>https://prf.hn/click/camref:1100l3HS7p/pubref:7229</t>
  </si>
  <si>
    <t>https://prf.hn/click/camref:1100l3HS7p/pubref:14560</t>
  </si>
  <si>
    <t>https://prf.hn/click/camref:1100l3HS7p/pubref:189</t>
  </si>
  <si>
    <t>https://prf.hn/click/camref:1100l3HS7p/pubref:12941</t>
  </si>
  <si>
    <r>
      <rPr>
        <i/>
        <color rgb="FF1155CC"/>
        <u/>
      </rPr>
      <t>https://digizag.go2cloud.org/aff_c?offer_id=1276&amp;aff_id=14298</t>
    </r>
  </si>
  <si>
    <t>https://prf.hn/click/camref:1100l3HS7p/pubref:14663</t>
  </si>
  <si>
    <t>https://prf.hn/l/vwzavp5/</t>
  </si>
  <si>
    <t>https://prf.hn/click/camref:1100l3HS7p/pubref:14638</t>
  </si>
  <si>
    <t>https://prf.hn/click/camref:1100l3HS7p/pubref:14727</t>
  </si>
  <si>
    <t>Coupon Code</t>
  </si>
  <si>
    <t>VGO4</t>
  </si>
  <si>
    <t>VKVE</t>
  </si>
  <si>
    <t>V3ZX</t>
  </si>
  <si>
    <t>V57A</t>
  </si>
  <si>
    <t>V2GE</t>
  </si>
  <si>
    <t>V0NB</t>
  </si>
  <si>
    <t>VK7G</t>
  </si>
  <si>
    <t>VT5G</t>
  </si>
  <si>
    <t>V29W</t>
  </si>
  <si>
    <t>VGPR</t>
  </si>
  <si>
    <t>V4WK</t>
  </si>
  <si>
    <t>VIGK</t>
  </si>
  <si>
    <t>V2JU</t>
  </si>
  <si>
    <t>VNFI</t>
  </si>
  <si>
    <t>VZFO</t>
  </si>
  <si>
    <t>VS34</t>
  </si>
  <si>
    <t>VUGK</t>
  </si>
  <si>
    <t>VCLL</t>
  </si>
  <si>
    <t>V1Y7</t>
  </si>
  <si>
    <t>V415</t>
  </si>
  <si>
    <t>VR1P</t>
  </si>
  <si>
    <t>VVFK</t>
  </si>
  <si>
    <t>VL3K</t>
  </si>
  <si>
    <t>VQVP</t>
  </si>
  <si>
    <t>VK5A</t>
  </si>
  <si>
    <t>VJZ2</t>
  </si>
  <si>
    <t>V8CM</t>
  </si>
  <si>
    <t>VTVQ</t>
  </si>
  <si>
    <t>VSLM</t>
  </si>
  <si>
    <t>VWCT</t>
  </si>
  <si>
    <t>VHBP</t>
  </si>
  <si>
    <t>VUDK</t>
  </si>
  <si>
    <t>V2YI</t>
  </si>
  <si>
    <t>VLM9</t>
  </si>
  <si>
    <t>VBA3</t>
  </si>
  <si>
    <t>V7U5</t>
  </si>
  <si>
    <t>VIKF</t>
  </si>
  <si>
    <t>V3QB</t>
  </si>
  <si>
    <t>VHWV</t>
  </si>
  <si>
    <t>VXN8</t>
  </si>
  <si>
    <t>VYE4</t>
  </si>
  <si>
    <t>VNCD</t>
  </si>
  <si>
    <t>V344</t>
  </si>
  <si>
    <t>VON2</t>
  </si>
  <si>
    <t>VP8W</t>
  </si>
  <si>
    <t>VNMV</t>
  </si>
  <si>
    <t>VP4Q</t>
  </si>
  <si>
    <t>VTS3</t>
  </si>
  <si>
    <t>VYIA</t>
  </si>
  <si>
    <t>VIU7</t>
  </si>
  <si>
    <t>V2RR</t>
  </si>
  <si>
    <t>Special payout</t>
  </si>
  <si>
    <t>VC9H</t>
  </si>
  <si>
    <t>VKRK</t>
  </si>
  <si>
    <t>VECS</t>
  </si>
  <si>
    <t>VSEG</t>
  </si>
  <si>
    <t>VVIW</t>
  </si>
  <si>
    <t>V1H0</t>
  </si>
  <si>
    <t>VO4J</t>
  </si>
  <si>
    <t>VBZA</t>
  </si>
  <si>
    <t>VIKH</t>
  </si>
  <si>
    <t>VBWG</t>
  </si>
  <si>
    <t>V786</t>
  </si>
  <si>
    <t>VN1G</t>
  </si>
  <si>
    <t>VUOD</t>
  </si>
  <si>
    <t>VOQ1</t>
  </si>
  <si>
    <t>VRXK</t>
  </si>
  <si>
    <t>VK05</t>
  </si>
  <si>
    <t>V5XX</t>
  </si>
  <si>
    <t>VDID</t>
  </si>
  <si>
    <t>VOHN</t>
  </si>
  <si>
    <t>VKV9</t>
  </si>
  <si>
    <t>VAQM</t>
  </si>
  <si>
    <t>VDYV</t>
  </si>
  <si>
    <t>VFJP</t>
  </si>
  <si>
    <t>VHPS</t>
  </si>
  <si>
    <t>V9XK</t>
  </si>
  <si>
    <t>V2VG</t>
  </si>
  <si>
    <t>VSW8</t>
  </si>
  <si>
    <t>VMPZ</t>
  </si>
  <si>
    <t>VC02</t>
  </si>
  <si>
    <t>VG4I</t>
  </si>
  <si>
    <t>VPMU</t>
  </si>
  <si>
    <t>VPQT</t>
  </si>
  <si>
    <t>VNO7</t>
  </si>
  <si>
    <t>V7PX</t>
  </si>
  <si>
    <t>VKBY</t>
  </si>
  <si>
    <t>V73E</t>
  </si>
  <si>
    <t>V19X</t>
  </si>
  <si>
    <t>VEH7</t>
  </si>
  <si>
    <t>VUOE</t>
  </si>
  <si>
    <t>VI4H</t>
  </si>
  <si>
    <t>VTYX</t>
  </si>
  <si>
    <t>VM9C</t>
  </si>
  <si>
    <t>VW61</t>
  </si>
  <si>
    <t>V4HI</t>
  </si>
  <si>
    <t>VPMV</t>
  </si>
  <si>
    <t>VYPZ</t>
  </si>
  <si>
    <t>VAL9</t>
  </si>
  <si>
    <t>V3XC</t>
  </si>
  <si>
    <t>VTLS</t>
  </si>
  <si>
    <t>VUJ2</t>
  </si>
  <si>
    <t>V904</t>
  </si>
  <si>
    <t>VO1U</t>
  </si>
  <si>
    <t>V8MR</t>
  </si>
  <si>
    <t>VHYC</t>
  </si>
  <si>
    <t>VVPJ</t>
  </si>
  <si>
    <t>VH00</t>
  </si>
  <si>
    <t>V1EG</t>
  </si>
  <si>
    <t>VR4I</t>
  </si>
  <si>
    <t>V4MP</t>
  </si>
  <si>
    <t>VSIN</t>
  </si>
  <si>
    <t>VF56</t>
  </si>
  <si>
    <t>V80E</t>
  </si>
  <si>
    <t>VKGM</t>
  </si>
  <si>
    <t>VUHH</t>
  </si>
  <si>
    <t>VZDA</t>
  </si>
  <si>
    <t>VUAH</t>
  </si>
  <si>
    <t>VX7P</t>
  </si>
  <si>
    <t>VFRF</t>
  </si>
  <si>
    <t>VW56</t>
  </si>
  <si>
    <t>V6QE</t>
  </si>
  <si>
    <t>VML4</t>
  </si>
  <si>
    <t>VI2V</t>
  </si>
  <si>
    <t>V5EZ</t>
  </si>
  <si>
    <t>VAB7</t>
  </si>
  <si>
    <t>VCWZ</t>
  </si>
  <si>
    <t>VI8V</t>
  </si>
  <si>
    <t>VTQA</t>
  </si>
  <si>
    <t>V5HH</t>
  </si>
  <si>
    <t>V9EF</t>
  </si>
  <si>
    <t>V8Y1</t>
  </si>
  <si>
    <t>VFBL</t>
  </si>
  <si>
    <t>V3LV</t>
  </si>
  <si>
    <t>V05M</t>
  </si>
  <si>
    <t>VTID</t>
  </si>
  <si>
    <t>VH9M</t>
  </si>
  <si>
    <t>VPAY</t>
  </si>
  <si>
    <t>VJAK</t>
  </si>
  <si>
    <t>V6JE</t>
  </si>
  <si>
    <t>VVS5</t>
  </si>
  <si>
    <t>VHPI</t>
  </si>
  <si>
    <t>VEWZ</t>
  </si>
  <si>
    <t>V9BB</t>
  </si>
  <si>
    <t>VOZ4</t>
  </si>
  <si>
    <t>VENQ</t>
  </si>
  <si>
    <t>V31R</t>
  </si>
  <si>
    <t>VKQC</t>
  </si>
  <si>
    <t>V6VL</t>
  </si>
  <si>
    <t>VGBH</t>
  </si>
  <si>
    <t>V7WI</t>
  </si>
  <si>
    <t>V68Q</t>
  </si>
  <si>
    <t>V3OJ</t>
  </si>
  <si>
    <t>VS4B</t>
  </si>
  <si>
    <t>V4IN</t>
  </si>
  <si>
    <t>VBZG</t>
  </si>
  <si>
    <t>VJLO</t>
  </si>
  <si>
    <t>V9HM</t>
  </si>
  <si>
    <t>VTL8</t>
  </si>
  <si>
    <t>VXZG</t>
  </si>
  <si>
    <t>VAH0</t>
  </si>
  <si>
    <t>V5FO</t>
  </si>
  <si>
    <t>V2TY</t>
  </si>
  <si>
    <t>V9HY</t>
  </si>
  <si>
    <t>V175</t>
  </si>
  <si>
    <t>VSF7</t>
  </si>
  <si>
    <t>VGAH</t>
  </si>
  <si>
    <t>VDKM</t>
  </si>
  <si>
    <t>V5HI</t>
  </si>
  <si>
    <t>VTUI</t>
  </si>
  <si>
    <t>V9JC</t>
  </si>
  <si>
    <t>VNPM</t>
  </si>
  <si>
    <t>VHZZ</t>
  </si>
  <si>
    <t>VHJ2</t>
  </si>
  <si>
    <t>VEX0</t>
  </si>
  <si>
    <t>VIT1</t>
  </si>
  <si>
    <t>V28A</t>
  </si>
  <si>
    <t>VZDQ</t>
  </si>
  <si>
    <t>VICC</t>
  </si>
  <si>
    <t>VL12</t>
  </si>
  <si>
    <t>VTGN</t>
  </si>
  <si>
    <t>V4HJ</t>
  </si>
  <si>
    <t>VT55</t>
  </si>
  <si>
    <t>V4MU</t>
  </si>
  <si>
    <t>VP56</t>
  </si>
  <si>
    <t>V4HA</t>
  </si>
  <si>
    <t>VAIJ</t>
  </si>
  <si>
    <t>VJM4</t>
  </si>
  <si>
    <t>VY3M</t>
  </si>
  <si>
    <t>V1V0</t>
  </si>
  <si>
    <t>VLNI</t>
  </si>
  <si>
    <t>VLHK</t>
  </si>
  <si>
    <t>VMBU</t>
  </si>
  <si>
    <t>V03E</t>
  </si>
  <si>
    <t>VP62</t>
  </si>
  <si>
    <t>VJIQ</t>
  </si>
  <si>
    <t>VCE5</t>
  </si>
  <si>
    <t>V2GR</t>
  </si>
  <si>
    <t>VJAE</t>
  </si>
  <si>
    <t>VJ6M</t>
  </si>
  <si>
    <t>VY3P</t>
  </si>
  <si>
    <t>V2S1</t>
  </si>
  <si>
    <t>V6HW</t>
  </si>
  <si>
    <t>VD52</t>
  </si>
  <si>
    <t>V8Z5</t>
  </si>
  <si>
    <t>VDRO</t>
  </si>
  <si>
    <t>V7CO</t>
  </si>
  <si>
    <t>VEH5</t>
  </si>
  <si>
    <t>VKOJ</t>
  </si>
  <si>
    <t>VXI3</t>
  </si>
  <si>
    <t>VCG4</t>
  </si>
  <si>
    <t>VDQI</t>
  </si>
  <si>
    <t>VRSI</t>
  </si>
  <si>
    <t>VBYB</t>
  </si>
  <si>
    <t>VORH</t>
  </si>
  <si>
    <t>VL2W</t>
  </si>
  <si>
    <t>V5N3</t>
  </si>
  <si>
    <t>V0ZV</t>
  </si>
  <si>
    <t>VHM6</t>
  </si>
  <si>
    <t>VTN2</t>
  </si>
  <si>
    <t>VIVF</t>
  </si>
  <si>
    <t>VAOT</t>
  </si>
  <si>
    <t>VY4S</t>
  </si>
  <si>
    <t>VLOR</t>
  </si>
  <si>
    <t>V4IT</t>
  </si>
  <si>
    <t>VCCT</t>
  </si>
  <si>
    <t>V36D</t>
  </si>
  <si>
    <t>VI2D</t>
  </si>
  <si>
    <t>VBDY</t>
  </si>
  <si>
    <t>VYOI</t>
  </si>
  <si>
    <t>VZNY</t>
  </si>
  <si>
    <t>VC4R</t>
  </si>
  <si>
    <t>VHFX</t>
  </si>
  <si>
    <t>VW63</t>
  </si>
  <si>
    <t>VYTM</t>
  </si>
  <si>
    <t>VXER</t>
  </si>
  <si>
    <t>V2QI</t>
  </si>
  <si>
    <t>VZZ0</t>
  </si>
  <si>
    <t>VVMF</t>
  </si>
  <si>
    <t>VCG2</t>
  </si>
  <si>
    <t>V4HU</t>
  </si>
  <si>
    <t>V613</t>
  </si>
  <si>
    <t>VFIN</t>
  </si>
  <si>
    <t>V5F6</t>
  </si>
  <si>
    <t>VRYW</t>
  </si>
  <si>
    <t>VZSI</t>
  </si>
  <si>
    <t>VUO3</t>
  </si>
  <si>
    <t>VBOE</t>
  </si>
  <si>
    <t>V1W3</t>
  </si>
  <si>
    <t>V1OM</t>
  </si>
  <si>
    <t>VUCA</t>
  </si>
  <si>
    <t>VEBF</t>
  </si>
  <si>
    <t>V46P</t>
  </si>
  <si>
    <t>V8FJ</t>
  </si>
  <si>
    <t>VXEF</t>
  </si>
  <si>
    <t>V2FZ</t>
  </si>
  <si>
    <t>V6JY</t>
  </si>
  <si>
    <t>V82Z</t>
  </si>
  <si>
    <t>VM3Z</t>
  </si>
  <si>
    <t>VY5J</t>
  </si>
  <si>
    <t>VD1Q</t>
  </si>
  <si>
    <t>VNNO</t>
  </si>
  <si>
    <t>VTPV</t>
  </si>
  <si>
    <t>VQCD</t>
  </si>
  <si>
    <t>VGQD</t>
  </si>
  <si>
    <t>V7VU</t>
  </si>
  <si>
    <t>V76Z</t>
  </si>
  <si>
    <t>VGP2</t>
  </si>
  <si>
    <t>V74L</t>
  </si>
  <si>
    <t>V1X9</t>
  </si>
  <si>
    <t>V0EE</t>
  </si>
  <si>
    <t>V5SX</t>
  </si>
  <si>
    <t>V744</t>
  </si>
  <si>
    <t>VNJW</t>
  </si>
  <si>
    <t>VJ4D</t>
  </si>
  <si>
    <t>V8FA</t>
  </si>
  <si>
    <t>VEY4</t>
  </si>
  <si>
    <t>VORF</t>
  </si>
  <si>
    <t>VRJ6</t>
  </si>
  <si>
    <t>VZJS</t>
  </si>
  <si>
    <t>V8YA</t>
  </si>
  <si>
    <t>VNHC</t>
  </si>
  <si>
    <t>V5LL</t>
  </si>
  <si>
    <t>VIMN</t>
  </si>
  <si>
    <t>VBA4</t>
  </si>
  <si>
    <t>Coupon not working</t>
  </si>
  <si>
    <t>HH2</t>
  </si>
  <si>
    <t>HH3</t>
  </si>
  <si>
    <t>HH4</t>
  </si>
  <si>
    <t>HH5</t>
  </si>
  <si>
    <t>HH6</t>
  </si>
  <si>
    <t>HH7</t>
  </si>
  <si>
    <t>HH8</t>
  </si>
  <si>
    <t>HH9</t>
  </si>
  <si>
    <t>HH10</t>
  </si>
  <si>
    <t>HH11</t>
  </si>
  <si>
    <t>HH12</t>
  </si>
  <si>
    <t>HH13</t>
  </si>
  <si>
    <t>HH14</t>
  </si>
  <si>
    <t>HH15</t>
  </si>
  <si>
    <t>HH16</t>
  </si>
  <si>
    <t>HH17</t>
  </si>
  <si>
    <t>HH18</t>
  </si>
  <si>
    <t>HH19</t>
  </si>
  <si>
    <t>HH20</t>
  </si>
  <si>
    <t>HH21</t>
  </si>
  <si>
    <t>HH22</t>
  </si>
  <si>
    <t>HH23</t>
  </si>
  <si>
    <t>HH24</t>
  </si>
  <si>
    <t>HH25</t>
  </si>
  <si>
    <t>HH26</t>
  </si>
  <si>
    <t>HH27</t>
  </si>
  <si>
    <t>HH28</t>
  </si>
  <si>
    <t>HH29</t>
  </si>
  <si>
    <t>HH30</t>
  </si>
  <si>
    <t xml:space="preserve">PG1 </t>
  </si>
  <si>
    <t>PG2</t>
  </si>
  <si>
    <t>PG3</t>
  </si>
  <si>
    <t>PG4</t>
  </si>
  <si>
    <t>PG5</t>
  </si>
  <si>
    <t>PG6</t>
  </si>
  <si>
    <t>PG7</t>
  </si>
  <si>
    <t>PG8</t>
  </si>
  <si>
    <t>PG9</t>
  </si>
  <si>
    <t>PG10</t>
  </si>
  <si>
    <t>PG11</t>
  </si>
  <si>
    <t>PG12</t>
  </si>
  <si>
    <t>PG13</t>
  </si>
  <si>
    <t>PG14</t>
  </si>
  <si>
    <t>PG15</t>
  </si>
  <si>
    <t>PG16</t>
  </si>
  <si>
    <t>PG17</t>
  </si>
  <si>
    <t>PG18</t>
  </si>
  <si>
    <t>PG19</t>
  </si>
  <si>
    <t>PG20</t>
  </si>
  <si>
    <t>PG21</t>
  </si>
  <si>
    <t>PG22</t>
  </si>
  <si>
    <t>PG23</t>
  </si>
  <si>
    <t>PG24</t>
  </si>
  <si>
    <t>PG25</t>
  </si>
  <si>
    <t>PG26</t>
  </si>
  <si>
    <t>PG27</t>
  </si>
  <si>
    <t>PG28</t>
  </si>
  <si>
    <t>PG29</t>
  </si>
  <si>
    <t>PG30</t>
  </si>
  <si>
    <t>PG31</t>
  </si>
  <si>
    <t>PG32</t>
  </si>
  <si>
    <t>PG33</t>
  </si>
  <si>
    <t>PG34</t>
  </si>
  <si>
    <t>PG35</t>
  </si>
  <si>
    <t>PG36</t>
  </si>
  <si>
    <t>PG37</t>
  </si>
  <si>
    <t>PG38</t>
  </si>
  <si>
    <t>PG39</t>
  </si>
  <si>
    <t>PG40</t>
  </si>
  <si>
    <t>PG41</t>
  </si>
  <si>
    <t>PG42</t>
  </si>
  <si>
    <t>PG43</t>
  </si>
  <si>
    <t>PG44</t>
  </si>
  <si>
    <t>PG45</t>
  </si>
  <si>
    <t>PG46</t>
  </si>
  <si>
    <t>PG47</t>
  </si>
  <si>
    <t>PG48</t>
  </si>
  <si>
    <t>PG49</t>
  </si>
  <si>
    <t>PG50</t>
  </si>
  <si>
    <t>PG51</t>
  </si>
  <si>
    <t>PG52</t>
  </si>
  <si>
    <t>PG53</t>
  </si>
  <si>
    <t>PG54</t>
  </si>
  <si>
    <t>PG55</t>
  </si>
  <si>
    <t>PG56</t>
  </si>
  <si>
    <t>PG57</t>
  </si>
  <si>
    <t>PG58</t>
  </si>
  <si>
    <t>PG59</t>
  </si>
  <si>
    <t>PG60</t>
  </si>
  <si>
    <t>PG61</t>
  </si>
  <si>
    <t>PG62</t>
  </si>
  <si>
    <t>PG63</t>
  </si>
  <si>
    <t>PG64</t>
  </si>
  <si>
    <t>PG65</t>
  </si>
  <si>
    <t>PG66</t>
  </si>
  <si>
    <t>PG67</t>
  </si>
  <si>
    <t>PG68</t>
  </si>
  <si>
    <t>PG69</t>
  </si>
  <si>
    <t>PG70</t>
  </si>
  <si>
    <t>PG71</t>
  </si>
  <si>
    <t>PG72</t>
  </si>
  <si>
    <t>PG73</t>
  </si>
  <si>
    <t>PG74</t>
  </si>
  <si>
    <t>PG75</t>
  </si>
  <si>
    <t>PG76</t>
  </si>
  <si>
    <t>PG77</t>
  </si>
  <si>
    <t>PG78</t>
  </si>
  <si>
    <t>PG79</t>
  </si>
  <si>
    <t>PG80</t>
  </si>
  <si>
    <t>PG81</t>
  </si>
  <si>
    <t>PG82</t>
  </si>
  <si>
    <t>PG83</t>
  </si>
  <si>
    <t>PG84</t>
  </si>
  <si>
    <t>PG85</t>
  </si>
  <si>
    <t>PG86</t>
  </si>
  <si>
    <t>PG87</t>
  </si>
  <si>
    <t>PG88</t>
  </si>
  <si>
    <t>PG89</t>
  </si>
  <si>
    <t>PG90</t>
  </si>
  <si>
    <t>PG91</t>
  </si>
  <si>
    <t>PG92</t>
  </si>
  <si>
    <t>PG93</t>
  </si>
  <si>
    <t>PG94</t>
  </si>
  <si>
    <t>PG95</t>
  </si>
  <si>
    <t>PG96</t>
  </si>
  <si>
    <t>PG97</t>
  </si>
  <si>
    <t>PG98</t>
  </si>
  <si>
    <t>PG99</t>
  </si>
  <si>
    <t>PG100</t>
  </si>
  <si>
    <t>DZ51</t>
  </si>
  <si>
    <t>DZ52</t>
  </si>
  <si>
    <t>DZ53</t>
  </si>
  <si>
    <t>DZ54</t>
  </si>
  <si>
    <t>DZ55</t>
  </si>
  <si>
    <t>DZ56</t>
  </si>
  <si>
    <t>DZ57</t>
  </si>
  <si>
    <t>DZ58</t>
  </si>
  <si>
    <t>DZ59</t>
  </si>
  <si>
    <t>DZ60</t>
  </si>
  <si>
    <t>DZ61</t>
  </si>
  <si>
    <t>DZ62</t>
  </si>
  <si>
    <t>DZ63</t>
  </si>
  <si>
    <t>DZ64</t>
  </si>
  <si>
    <t>DZ65</t>
  </si>
  <si>
    <t>DZ66</t>
  </si>
  <si>
    <t>DZ67</t>
  </si>
  <si>
    <t>DZ68</t>
  </si>
  <si>
    <t>DZ69</t>
  </si>
  <si>
    <t>DZ70</t>
  </si>
  <si>
    <t>DZ71</t>
  </si>
  <si>
    <t>DZ72</t>
  </si>
  <si>
    <t>DZ73</t>
  </si>
  <si>
    <t>DZ74</t>
  </si>
  <si>
    <t>DZ75</t>
  </si>
  <si>
    <t>DZ76</t>
  </si>
  <si>
    <t>DZ77</t>
  </si>
  <si>
    <t>DZ78</t>
  </si>
  <si>
    <t>DZ79</t>
  </si>
  <si>
    <t>DZ80</t>
  </si>
  <si>
    <t>DZ81</t>
  </si>
  <si>
    <t>DZ82</t>
  </si>
  <si>
    <t>DZ83</t>
  </si>
  <si>
    <t>DZ84</t>
  </si>
  <si>
    <t>DZ85</t>
  </si>
  <si>
    <t>DZ86</t>
  </si>
  <si>
    <t>DZ87</t>
  </si>
  <si>
    <t>DZ88</t>
  </si>
  <si>
    <t>DZ89</t>
  </si>
  <si>
    <t>DZ90</t>
  </si>
  <si>
    <t>DZ91</t>
  </si>
  <si>
    <t>DZ92</t>
  </si>
  <si>
    <t>DZ93</t>
  </si>
  <si>
    <t>DZ94</t>
  </si>
  <si>
    <t>DZ95</t>
  </si>
  <si>
    <t>DZ96</t>
  </si>
  <si>
    <t>DZ97</t>
  </si>
  <si>
    <t>DZ98</t>
  </si>
  <si>
    <t>DZ99</t>
  </si>
  <si>
    <t>DZ100</t>
  </si>
  <si>
    <t>RMU</t>
  </si>
  <si>
    <t xml:space="preserve">5% cap 15 SAR site wide
</t>
  </si>
  <si>
    <t>T864</t>
  </si>
  <si>
    <t>10% Site wide, 40 SAR Cap</t>
  </si>
  <si>
    <t>T360</t>
  </si>
  <si>
    <t>T754</t>
  </si>
  <si>
    <t>T282</t>
  </si>
  <si>
    <t>T191</t>
  </si>
  <si>
    <t>T042</t>
  </si>
  <si>
    <t>T258</t>
  </si>
  <si>
    <t>T702</t>
  </si>
  <si>
    <t>T189</t>
  </si>
  <si>
    <t>T774</t>
  </si>
  <si>
    <t>T449</t>
  </si>
  <si>
    <t>T404</t>
  </si>
  <si>
    <t>T932</t>
  </si>
  <si>
    <t>T463</t>
  </si>
  <si>
    <t>T029</t>
  </si>
  <si>
    <t>T931</t>
  </si>
  <si>
    <t>T655</t>
  </si>
  <si>
    <t>T768</t>
  </si>
  <si>
    <t>T800</t>
  </si>
  <si>
    <t>T795</t>
  </si>
  <si>
    <t>D453</t>
  </si>
  <si>
    <t>D134</t>
  </si>
  <si>
    <t xml:space="preserve">influencer </t>
  </si>
  <si>
    <t>D957</t>
  </si>
  <si>
    <t>D913</t>
  </si>
  <si>
    <t>D607</t>
  </si>
  <si>
    <t>D487</t>
  </si>
  <si>
    <t>D441</t>
  </si>
  <si>
    <t>D364</t>
  </si>
  <si>
    <t>D259</t>
  </si>
  <si>
    <t>D580</t>
  </si>
  <si>
    <t>D211</t>
  </si>
  <si>
    <t>D226</t>
  </si>
  <si>
    <t>D245</t>
  </si>
  <si>
    <t>D191</t>
  </si>
  <si>
    <t>D922</t>
  </si>
  <si>
    <t>D704</t>
  </si>
  <si>
    <t>D025</t>
  </si>
  <si>
    <t>D000</t>
  </si>
  <si>
    <t>D898</t>
  </si>
  <si>
    <t>DYI</t>
  </si>
  <si>
    <t>D2L</t>
  </si>
  <si>
    <t>DFU</t>
  </si>
  <si>
    <t>DFJ</t>
  </si>
  <si>
    <t>DC6</t>
  </si>
  <si>
    <t>D7N</t>
  </si>
  <si>
    <t>D5Q</t>
  </si>
  <si>
    <t>DXP</t>
  </si>
  <si>
    <t>DBG</t>
  </si>
  <si>
    <t>DPC</t>
  </si>
  <si>
    <t>DHN</t>
  </si>
  <si>
    <t>D0B</t>
  </si>
  <si>
    <t>D1W</t>
  </si>
  <si>
    <t>DN5</t>
  </si>
  <si>
    <t>DG0</t>
  </si>
  <si>
    <t>DMP</t>
  </si>
  <si>
    <t>DMD</t>
  </si>
  <si>
    <t>D0N</t>
  </si>
  <si>
    <t>DFR</t>
  </si>
  <si>
    <t>DJ5</t>
  </si>
  <si>
    <t>DGT</t>
  </si>
  <si>
    <t>DTO</t>
  </si>
  <si>
    <t>DXB</t>
  </si>
  <si>
    <t>D07</t>
  </si>
  <si>
    <t>DL4</t>
  </si>
  <si>
    <t>DSV</t>
  </si>
  <si>
    <t>DU7</t>
  </si>
  <si>
    <t>DPG</t>
  </si>
  <si>
    <t>D4J</t>
  </si>
  <si>
    <t>DNE</t>
  </si>
  <si>
    <t>DLS</t>
  </si>
  <si>
    <t>DY3</t>
  </si>
  <si>
    <t>D6W</t>
  </si>
  <si>
    <t>DYM</t>
  </si>
  <si>
    <t>DIP</t>
  </si>
  <si>
    <t>DRI</t>
  </si>
  <si>
    <t>DWK</t>
  </si>
  <si>
    <t>DEX</t>
  </si>
  <si>
    <t>DTG</t>
  </si>
  <si>
    <t>D1C</t>
  </si>
  <si>
    <t>DCG</t>
  </si>
  <si>
    <t>DP3</t>
  </si>
  <si>
    <t>DV8</t>
  </si>
  <si>
    <t>DPU</t>
  </si>
  <si>
    <t>DIT</t>
  </si>
  <si>
    <t>DNT</t>
  </si>
  <si>
    <t>DCT</t>
  </si>
  <si>
    <t>D2T</t>
  </si>
  <si>
    <t>BC10</t>
  </si>
  <si>
    <t>V2D5</t>
  </si>
  <si>
    <t>VI3N</t>
  </si>
  <si>
    <t>VX37</t>
  </si>
  <si>
    <t>VBOD</t>
  </si>
  <si>
    <t>VVTE</t>
  </si>
  <si>
    <t>V288</t>
  </si>
  <si>
    <t>VO81</t>
  </si>
  <si>
    <t>V420</t>
  </si>
  <si>
    <t>VEGK</t>
  </si>
  <si>
    <t>VUGJ</t>
  </si>
  <si>
    <t>VK76</t>
  </si>
  <si>
    <t>V2RX</t>
  </si>
  <si>
    <t>VH3A</t>
  </si>
  <si>
    <t>VAQC</t>
  </si>
  <si>
    <t>VXC5</t>
  </si>
  <si>
    <t>VECX</t>
  </si>
  <si>
    <t>VUAV</t>
  </si>
  <si>
    <t>V9OJ</t>
  </si>
  <si>
    <t>VS20</t>
  </si>
  <si>
    <t>VH7N</t>
  </si>
  <si>
    <t>VU0X</t>
  </si>
  <si>
    <t>VPMA</t>
  </si>
  <si>
    <t>VBK7</t>
  </si>
  <si>
    <t>VLN5</t>
  </si>
  <si>
    <t>VBPO</t>
  </si>
  <si>
    <t>VZPO</t>
  </si>
  <si>
    <t>VXK2</t>
  </si>
  <si>
    <t>V0E9</t>
  </si>
  <si>
    <t>V7DA</t>
  </si>
  <si>
    <t>VOKS</t>
  </si>
  <si>
    <t>V36Q</t>
  </si>
  <si>
    <t>VCHO</t>
  </si>
  <si>
    <t>V39O</t>
  </si>
  <si>
    <t>V01V</t>
  </si>
  <si>
    <t>V5WL</t>
  </si>
  <si>
    <t>VFVM</t>
  </si>
  <si>
    <t>V3PU</t>
  </si>
  <si>
    <t>V6MB</t>
  </si>
  <si>
    <t>VTJE</t>
  </si>
  <si>
    <t>VI5H</t>
  </si>
  <si>
    <t>VDLA</t>
  </si>
  <si>
    <t>VQEF</t>
  </si>
  <si>
    <t>VNT0</t>
  </si>
  <si>
    <t>VJOH</t>
  </si>
  <si>
    <t>VVR1</t>
  </si>
  <si>
    <t>VT9J</t>
  </si>
  <si>
    <t>VMAZ</t>
  </si>
  <si>
    <t>V3WQ</t>
  </si>
  <si>
    <t>V933</t>
  </si>
  <si>
    <t>V3BS</t>
  </si>
  <si>
    <t>VBOG</t>
  </si>
  <si>
    <t>V6BT</t>
  </si>
  <si>
    <t>VARI</t>
  </si>
  <si>
    <t>VY82</t>
  </si>
  <si>
    <t>VYEV</t>
  </si>
  <si>
    <t>V8RQ</t>
  </si>
  <si>
    <t>VQSZ</t>
  </si>
  <si>
    <t>VT76</t>
  </si>
  <si>
    <t>VM11</t>
  </si>
  <si>
    <t>V095</t>
  </si>
  <si>
    <t>VX3O</t>
  </si>
  <si>
    <t>VWS3</t>
  </si>
  <si>
    <t>VMXG</t>
  </si>
  <si>
    <t>VBCY</t>
  </si>
  <si>
    <t>VQWT</t>
  </si>
  <si>
    <t>VD8L</t>
  </si>
  <si>
    <t>VTBO</t>
  </si>
  <si>
    <t>VJK5</t>
  </si>
  <si>
    <t>V49M</t>
  </si>
  <si>
    <t>VJO4</t>
  </si>
  <si>
    <t>VHHQ</t>
  </si>
  <si>
    <t>VB3J</t>
  </si>
  <si>
    <t>VIMB</t>
  </si>
  <si>
    <t>VBNC</t>
  </si>
  <si>
    <t>VZ1I</t>
  </si>
  <si>
    <t>VSJ1</t>
  </si>
  <si>
    <t>VL3N</t>
  </si>
  <si>
    <t>VG6B</t>
  </si>
  <si>
    <t>VUCZ</t>
  </si>
  <si>
    <t>VR2C</t>
  </si>
  <si>
    <t>VAJW</t>
  </si>
  <si>
    <t>V3YQ</t>
  </si>
  <si>
    <t>V6PY</t>
  </si>
  <si>
    <t>V8VT</t>
  </si>
  <si>
    <t>VA6D</t>
  </si>
  <si>
    <t>V7BL</t>
  </si>
  <si>
    <t>VJ99</t>
  </si>
  <si>
    <t>V1CG</t>
  </si>
  <si>
    <t>VEWI</t>
  </si>
  <si>
    <t>VMWZ</t>
  </si>
  <si>
    <t>VBSD</t>
  </si>
  <si>
    <t>VYAY</t>
  </si>
  <si>
    <t>VAM7</t>
  </si>
  <si>
    <t>VPT8</t>
  </si>
  <si>
    <t>VCK9</t>
  </si>
  <si>
    <t>VYO0</t>
  </si>
  <si>
    <t>VVTY</t>
  </si>
  <si>
    <t>VJYA</t>
  </si>
  <si>
    <t>VU5F</t>
  </si>
  <si>
    <t>VRKE</t>
  </si>
  <si>
    <t>VKKU</t>
  </si>
  <si>
    <t>VXHJ</t>
  </si>
  <si>
    <t>VL8H</t>
  </si>
  <si>
    <t>VPTK</t>
  </si>
  <si>
    <t>VL16</t>
  </si>
  <si>
    <t>V89N</t>
  </si>
  <si>
    <t>VP0M</t>
  </si>
  <si>
    <t>VGVQ</t>
  </si>
  <si>
    <t>VLIR</t>
  </si>
  <si>
    <t>VVEF</t>
  </si>
  <si>
    <t>VIUW</t>
  </si>
  <si>
    <t>V99K</t>
  </si>
  <si>
    <t>VQLZ</t>
  </si>
  <si>
    <t>VWUB</t>
  </si>
  <si>
    <t>VVEJ</t>
  </si>
  <si>
    <t>VIAU</t>
  </si>
  <si>
    <t>VD3P</t>
  </si>
  <si>
    <t>V23X</t>
  </si>
  <si>
    <t>VGCC</t>
  </si>
  <si>
    <t>V9GN</t>
  </si>
  <si>
    <t>V4AV</t>
  </si>
  <si>
    <t>V1B5</t>
  </si>
  <si>
    <t>VBI3</t>
  </si>
  <si>
    <t>VZBE</t>
  </si>
  <si>
    <t>VX0J</t>
  </si>
  <si>
    <t>V0BF</t>
  </si>
  <si>
    <t>VDUN</t>
  </si>
  <si>
    <t>V6S6</t>
  </si>
  <si>
    <t>VWI9</t>
  </si>
  <si>
    <t>VSWJ</t>
  </si>
  <si>
    <t>V2JP</t>
  </si>
  <si>
    <t>VZ6V</t>
  </si>
  <si>
    <t>VQD2</t>
  </si>
  <si>
    <t>VVG0</t>
  </si>
  <si>
    <t>VTK5</t>
  </si>
  <si>
    <t>VQDP</t>
  </si>
  <si>
    <t>VWG6</t>
  </si>
  <si>
    <t>VX76</t>
  </si>
  <si>
    <t>VUE2</t>
  </si>
  <si>
    <t>VRL8</t>
  </si>
  <si>
    <t>VN2H</t>
  </si>
  <si>
    <t>V8Z7</t>
  </si>
  <si>
    <t>VFRT</t>
  </si>
  <si>
    <t>VIY2</t>
  </si>
  <si>
    <t>V721</t>
  </si>
  <si>
    <t>VW2X</t>
  </si>
  <si>
    <t>VIXP</t>
  </si>
  <si>
    <t>V97Y</t>
  </si>
  <si>
    <t>VKJJ</t>
  </si>
  <si>
    <t>V4KJ</t>
  </si>
  <si>
    <t>VVBM</t>
  </si>
  <si>
    <t>V6W6</t>
  </si>
  <si>
    <t>VKJP</t>
  </si>
  <si>
    <t>VS0W</t>
  </si>
  <si>
    <t>VPGA</t>
  </si>
  <si>
    <t>VTMA</t>
  </si>
  <si>
    <t>VSFD</t>
  </si>
  <si>
    <t>VKY7</t>
  </si>
  <si>
    <t>VF46</t>
  </si>
  <si>
    <t>VTLM</t>
  </si>
  <si>
    <t>V8AU</t>
  </si>
  <si>
    <t>VBZE</t>
  </si>
  <si>
    <t>V5PS</t>
  </si>
  <si>
    <t>VW9K</t>
  </si>
  <si>
    <t>VKZY</t>
  </si>
  <si>
    <t>VX3R</t>
  </si>
  <si>
    <t>V1DX</t>
  </si>
  <si>
    <t>VLDG</t>
  </si>
  <si>
    <t>VD6Z</t>
  </si>
  <si>
    <t>V6OA</t>
  </si>
  <si>
    <t>VXTJ</t>
  </si>
  <si>
    <t>V0DI</t>
  </si>
  <si>
    <t>VEVL</t>
  </si>
  <si>
    <t>VDKG</t>
  </si>
  <si>
    <t>VF8B</t>
  </si>
  <si>
    <t>VF2S</t>
  </si>
  <si>
    <t>VZ0U</t>
  </si>
  <si>
    <t>VRUA</t>
  </si>
  <si>
    <t>VETG</t>
  </si>
  <si>
    <t>V8HX</t>
  </si>
  <si>
    <t>V3I9</t>
  </si>
  <si>
    <t>VJXA</t>
  </si>
  <si>
    <t>VPC1</t>
  </si>
  <si>
    <t>VSH3</t>
  </si>
  <si>
    <t>VUXV</t>
  </si>
  <si>
    <t>VIDT</t>
  </si>
  <si>
    <t>V6TS</t>
  </si>
  <si>
    <t>VFKP</t>
  </si>
  <si>
    <t>VNPP</t>
  </si>
  <si>
    <t>VWDR</t>
  </si>
  <si>
    <t>V9WJ</t>
  </si>
  <si>
    <t>V3DE</t>
  </si>
  <si>
    <t>VLMU</t>
  </si>
  <si>
    <t>VFD3</t>
  </si>
  <si>
    <t>VVH0</t>
  </si>
  <si>
    <t>VRC6</t>
  </si>
  <si>
    <t>V4D7</t>
  </si>
  <si>
    <t>VM2K</t>
  </si>
  <si>
    <t>V5L8</t>
  </si>
  <si>
    <t>VJEJ</t>
  </si>
  <si>
    <t>VY42</t>
  </si>
  <si>
    <t>VXVP</t>
  </si>
  <si>
    <t>V5C3</t>
  </si>
  <si>
    <t>VAVE</t>
  </si>
  <si>
    <t>VJPH</t>
  </si>
  <si>
    <t>VUU1</t>
  </si>
  <si>
    <t>VADF</t>
  </si>
  <si>
    <t>V672</t>
  </si>
  <si>
    <t>V2AP</t>
  </si>
  <si>
    <t>V997</t>
  </si>
  <si>
    <t>V5YO</t>
  </si>
  <si>
    <t>V682</t>
  </si>
  <si>
    <t>VPYI</t>
  </si>
  <si>
    <t>VPR1</t>
  </si>
  <si>
    <t>VV4S</t>
  </si>
  <si>
    <t>VKAB</t>
  </si>
  <si>
    <t>V698</t>
  </si>
  <si>
    <t>VFBV</t>
  </si>
  <si>
    <t>VWOO</t>
  </si>
  <si>
    <t>VTNK</t>
  </si>
  <si>
    <t>VLA8</t>
  </si>
  <si>
    <t>VL9T</t>
  </si>
  <si>
    <t>VWF7</t>
  </si>
  <si>
    <t>V67U</t>
  </si>
  <si>
    <t>V3L6</t>
  </si>
  <si>
    <t>V17V</t>
  </si>
  <si>
    <t>VNKR</t>
  </si>
  <si>
    <t>V9RV</t>
  </si>
  <si>
    <t>VASV</t>
  </si>
  <si>
    <t>VK1V</t>
  </si>
  <si>
    <t>VUJZ</t>
  </si>
  <si>
    <t>V0SU</t>
  </si>
  <si>
    <t>V4OP</t>
  </si>
  <si>
    <t>VASI</t>
  </si>
  <si>
    <t>VL7X</t>
  </si>
  <si>
    <t>VXHO</t>
  </si>
  <si>
    <t>V3YB</t>
  </si>
  <si>
    <t>V7Q6</t>
  </si>
  <si>
    <t>V3GT</t>
  </si>
  <si>
    <t>VSB3</t>
  </si>
  <si>
    <t>VD1C</t>
  </si>
  <si>
    <t>V6SI</t>
  </si>
  <si>
    <t>VALD</t>
  </si>
  <si>
    <t>VQ81</t>
  </si>
  <si>
    <t>V07I</t>
  </si>
  <si>
    <t>VQMM</t>
  </si>
  <si>
    <t>V1ZC</t>
  </si>
  <si>
    <t>VTFV</t>
  </si>
  <si>
    <t>VKA8</t>
  </si>
  <si>
    <t>V1RL</t>
  </si>
  <si>
    <t>V3R3</t>
  </si>
  <si>
    <t>VS5J</t>
  </si>
  <si>
    <t>VEUM</t>
  </si>
  <si>
    <t>V3OO</t>
  </si>
  <si>
    <t>VIMP</t>
  </si>
  <si>
    <t>VB3E</t>
  </si>
  <si>
    <t>VCGN</t>
  </si>
  <si>
    <t>V1RS</t>
  </si>
  <si>
    <t>V4H7</t>
  </si>
  <si>
    <t>V3A2</t>
  </si>
  <si>
    <t>VSGM</t>
  </si>
  <si>
    <t>VPY4</t>
  </si>
  <si>
    <t>V05T</t>
  </si>
  <si>
    <t>VFRC</t>
  </si>
  <si>
    <t>VF7O</t>
  </si>
  <si>
    <t>VYXR</t>
  </si>
  <si>
    <t>VAF9</t>
  </si>
  <si>
    <t>VZYD</t>
  </si>
  <si>
    <t>VYAO</t>
  </si>
  <si>
    <t>VKG7</t>
  </si>
  <si>
    <t>VLLQ</t>
  </si>
  <si>
    <t>VGLM</t>
  </si>
  <si>
    <t>VWH9</t>
  </si>
  <si>
    <t>VK6C</t>
  </si>
  <si>
    <t>VFZL</t>
  </si>
  <si>
    <t>V21P</t>
  </si>
  <si>
    <t>VHZQ</t>
  </si>
  <si>
    <t>VQX7</t>
  </si>
  <si>
    <t>V2FR</t>
  </si>
  <si>
    <t>VAI6</t>
  </si>
  <si>
    <t>VZNC</t>
  </si>
  <si>
    <t>VQ0X</t>
  </si>
  <si>
    <t>V58Q</t>
  </si>
  <si>
    <t>VSG2</t>
  </si>
  <si>
    <t>V83E</t>
  </si>
  <si>
    <t>V15H</t>
  </si>
  <si>
    <t>VGQX</t>
  </si>
  <si>
    <t>VQIV</t>
  </si>
  <si>
    <t>V6YY</t>
  </si>
  <si>
    <t>VYZR</t>
  </si>
  <si>
    <t>V9ZI</t>
  </si>
  <si>
    <t>VU9Q</t>
  </si>
  <si>
    <t>V2P6</t>
  </si>
  <si>
    <t>V7RE</t>
  </si>
  <si>
    <t>VEV8</t>
  </si>
  <si>
    <t>VZ3G</t>
  </si>
  <si>
    <t>V7U9</t>
  </si>
  <si>
    <t>VM27</t>
  </si>
  <si>
    <t>V3FQ</t>
  </si>
  <si>
    <t>V9IY</t>
  </si>
  <si>
    <t>VWES</t>
  </si>
  <si>
    <t>V8Y4</t>
  </si>
  <si>
    <t>VOMQ</t>
  </si>
  <si>
    <t>VRS2</t>
  </si>
  <si>
    <t>VJ8M</t>
  </si>
  <si>
    <t>VPP0</t>
  </si>
  <si>
    <t>VQNH</t>
  </si>
  <si>
    <t>VU33</t>
  </si>
  <si>
    <t>V60N</t>
  </si>
  <si>
    <t>VIHB</t>
  </si>
  <si>
    <t>V1LA</t>
  </si>
  <si>
    <t>V3QF</t>
  </si>
  <si>
    <t>V41H</t>
  </si>
  <si>
    <t>VSZ0</t>
  </si>
  <si>
    <t>V2RW</t>
  </si>
  <si>
    <t>VPBO</t>
  </si>
  <si>
    <t>VG9Z</t>
  </si>
  <si>
    <t>VZY2</t>
  </si>
  <si>
    <t>VIGN</t>
  </si>
  <si>
    <t>VEIJ</t>
  </si>
  <si>
    <t>VUX7</t>
  </si>
  <si>
    <t>V2G9</t>
  </si>
  <si>
    <t>VP5J</t>
  </si>
  <si>
    <t>V02E</t>
  </si>
  <si>
    <t>VNBF</t>
  </si>
  <si>
    <t>VYVY</t>
  </si>
  <si>
    <t>VO9U</t>
  </si>
  <si>
    <t>V85V</t>
  </si>
  <si>
    <t>VTFR</t>
  </si>
  <si>
    <t>V2MO</t>
  </si>
  <si>
    <t>VPRQ</t>
  </si>
  <si>
    <t>VZME</t>
  </si>
  <si>
    <t>VVI8</t>
  </si>
  <si>
    <t>VDTZ</t>
  </si>
  <si>
    <t>VDNF</t>
  </si>
  <si>
    <t>VTJD</t>
  </si>
  <si>
    <t>VUTK</t>
  </si>
  <si>
    <t>VZD8</t>
  </si>
  <si>
    <t>V7PN</t>
  </si>
  <si>
    <t>V5NG</t>
  </si>
  <si>
    <t>VSB2</t>
  </si>
  <si>
    <t>VHNN</t>
  </si>
  <si>
    <t>VT7V</t>
  </si>
  <si>
    <t>V4ND</t>
  </si>
  <si>
    <t>VI86</t>
  </si>
  <si>
    <t>VC0Y</t>
  </si>
  <si>
    <t>VZC3</t>
  </si>
  <si>
    <t>VI2B</t>
  </si>
  <si>
    <t>V2IH</t>
  </si>
  <si>
    <t>V1YR</t>
  </si>
  <si>
    <t>V4Q7</t>
  </si>
  <si>
    <t>V8ZU</t>
  </si>
  <si>
    <t>VB1H</t>
  </si>
  <si>
    <t>VN8I</t>
  </si>
  <si>
    <t>V2HV</t>
  </si>
  <si>
    <t>V0PR</t>
  </si>
  <si>
    <t>VNI9</t>
  </si>
  <si>
    <t>V00C</t>
  </si>
  <si>
    <t>VI2E</t>
  </si>
  <si>
    <t>VFQF</t>
  </si>
  <si>
    <t>V0OP</t>
  </si>
  <si>
    <t>VO4V</t>
  </si>
  <si>
    <t>VY5S</t>
  </si>
  <si>
    <t>VN9F</t>
  </si>
  <si>
    <t>VSCG</t>
  </si>
  <si>
    <t>VV8A</t>
  </si>
  <si>
    <t>VH2S</t>
  </si>
  <si>
    <t>VJF0</t>
  </si>
  <si>
    <t>VDC3</t>
  </si>
  <si>
    <t>VK4M</t>
  </si>
  <si>
    <t>VP86</t>
  </si>
  <si>
    <t>VJC8</t>
  </si>
  <si>
    <t>VVYJ</t>
  </si>
  <si>
    <t>V9WD</t>
  </si>
  <si>
    <t>VWLW</t>
  </si>
  <si>
    <t>VLGR</t>
  </si>
  <si>
    <t>VOK0</t>
  </si>
  <si>
    <t>VQF8</t>
  </si>
  <si>
    <t>V3QD</t>
  </si>
  <si>
    <t>VAHA</t>
  </si>
  <si>
    <t>V2VV</t>
  </si>
  <si>
    <t>VIA2</t>
  </si>
  <si>
    <t>VSBE</t>
  </si>
  <si>
    <t>VNX6</t>
  </si>
  <si>
    <t>VPU2</t>
  </si>
  <si>
    <t>VP1Q</t>
  </si>
  <si>
    <t>V29K</t>
  </si>
  <si>
    <t>V7ZT</t>
  </si>
  <si>
    <t>VT4C</t>
  </si>
  <si>
    <t>VCZA</t>
  </si>
  <si>
    <t>VEZ4</t>
  </si>
  <si>
    <t>VAE0</t>
  </si>
  <si>
    <t>VD2R</t>
  </si>
  <si>
    <t>VPTW</t>
  </si>
  <si>
    <t>VPXP</t>
  </si>
  <si>
    <t>V7JG</t>
  </si>
  <si>
    <t>V8Q1</t>
  </si>
  <si>
    <t>VS3V</t>
  </si>
  <si>
    <t>VIH2</t>
  </si>
  <si>
    <t>VKMG</t>
  </si>
  <si>
    <t>VJW6</t>
  </si>
  <si>
    <t>V5TH</t>
  </si>
  <si>
    <t>VXXW</t>
  </si>
  <si>
    <t>VI1X</t>
  </si>
  <si>
    <t>VYFY</t>
  </si>
  <si>
    <t>VO8V</t>
  </si>
  <si>
    <t>VM92</t>
  </si>
  <si>
    <t>VK1O</t>
  </si>
  <si>
    <t>VFAA</t>
  </si>
  <si>
    <t>VMCY</t>
  </si>
  <si>
    <t>VH0E</t>
  </si>
  <si>
    <t>V2XR</t>
  </si>
  <si>
    <t>VJBD</t>
  </si>
  <si>
    <t>VB44</t>
  </si>
  <si>
    <t>VI8E</t>
  </si>
  <si>
    <t>VYU3</t>
  </si>
  <si>
    <t>V8PZ</t>
  </si>
  <si>
    <t>V2E4</t>
  </si>
  <si>
    <t>VBUO</t>
  </si>
  <si>
    <t>V9TK</t>
  </si>
  <si>
    <t>VJI9</t>
  </si>
  <si>
    <t>VOJR</t>
  </si>
  <si>
    <t>V906</t>
  </si>
  <si>
    <t>V5Z9</t>
  </si>
  <si>
    <t>V10S</t>
  </si>
  <si>
    <t>V5TZ</t>
  </si>
  <si>
    <t>V0JQ</t>
  </si>
  <si>
    <t>V08J</t>
  </si>
  <si>
    <t>VGMM</t>
  </si>
  <si>
    <t>VWLP</t>
  </si>
  <si>
    <t>VABS</t>
  </si>
  <si>
    <t>VKUT</t>
  </si>
  <si>
    <t>VIYN</t>
  </si>
  <si>
    <t>VF8S</t>
  </si>
  <si>
    <t>VXQM</t>
  </si>
  <si>
    <t>VK2W</t>
  </si>
  <si>
    <t>VJOA</t>
  </si>
  <si>
    <t>VD9I</t>
  </si>
  <si>
    <t>VCHW</t>
  </si>
  <si>
    <t>VLYI</t>
  </si>
  <si>
    <t>VP81</t>
  </si>
  <si>
    <t>VQPM</t>
  </si>
  <si>
    <t>VAKZ</t>
  </si>
  <si>
    <t>VQXI</t>
  </si>
  <si>
    <t>V95T</t>
  </si>
  <si>
    <t>V7GP</t>
  </si>
  <si>
    <t>V71O</t>
  </si>
  <si>
    <t>VMK1</t>
  </si>
  <si>
    <t>VOBI</t>
  </si>
  <si>
    <t>V1UK</t>
  </si>
  <si>
    <t>VUYN</t>
  </si>
  <si>
    <t>VQID</t>
  </si>
  <si>
    <t>VB5D</t>
  </si>
  <si>
    <t>VUS6</t>
  </si>
  <si>
    <t>VA54</t>
  </si>
  <si>
    <t>VL9R</t>
  </si>
  <si>
    <t>V5WD</t>
  </si>
  <si>
    <t>VO52</t>
  </si>
  <si>
    <t>Merit</t>
  </si>
  <si>
    <t>AM95</t>
  </si>
  <si>
    <t>AM99</t>
  </si>
  <si>
    <t>HX16</t>
  </si>
  <si>
    <t xml:space="preserve">Tested
On </t>
  </si>
  <si>
    <t xml:space="preserve">please tell the affiliates to use the new codes </t>
  </si>
  <si>
    <t>R836</t>
  </si>
  <si>
    <t>old codes</t>
  </si>
  <si>
    <t>https://digizag.go2cloud.org/aff_c?offer_id=1316&amp;aff_id=</t>
  </si>
  <si>
    <t>R329</t>
  </si>
  <si>
    <t>R252</t>
  </si>
  <si>
    <t>https://digizag.go2cloud.org/aff_c?offer_id=1316&amp;aff_id=14298</t>
  </si>
  <si>
    <t>R940</t>
  </si>
  <si>
    <t>-</t>
  </si>
  <si>
    <t>R677</t>
  </si>
  <si>
    <t>https://digizag.go2cloud.org/aff_c?offer_id=1316&amp;aff_id=7747</t>
  </si>
  <si>
    <t>R910</t>
  </si>
  <si>
    <t>R435</t>
  </si>
  <si>
    <t>https://digizag.go2cloud.org/aff_c?offer_id=1316&amp;aff_id=12932</t>
  </si>
  <si>
    <t>R756</t>
  </si>
  <si>
    <t>https://digizag.go2cloud.org/aff_c?offer_id=1316&amp;aff_id=7229</t>
  </si>
  <si>
    <t>R229</t>
  </si>
  <si>
    <t>R638</t>
  </si>
  <si>
    <t>https://digizag.go2cloud.org/aff_c?offer_id=1316&amp;aff_id=14560</t>
  </si>
  <si>
    <t>R795</t>
  </si>
  <si>
    <t>R234</t>
  </si>
  <si>
    <t>https://digizag.go2cloud.org/aff_c?offer_id=1316&amp;aff_id=14465</t>
  </si>
  <si>
    <t>R547</t>
  </si>
  <si>
    <t>R797</t>
  </si>
  <si>
    <t>https://digizag.go2cloud.org/aff_c?offer_id=1316&amp;aff_id=986</t>
  </si>
  <si>
    <t>R239</t>
  </si>
  <si>
    <t>R364</t>
  </si>
  <si>
    <t>DZJ1</t>
  </si>
  <si>
    <t>DZJ2</t>
  </si>
  <si>
    <t>DZJ16</t>
  </si>
  <si>
    <t>DZJ3</t>
  </si>
  <si>
    <t>DZJ4</t>
  </si>
  <si>
    <t>DZJ15</t>
  </si>
  <si>
    <t>DZJ5</t>
  </si>
  <si>
    <t>DZJ33</t>
  </si>
  <si>
    <t>DZJ6</t>
  </si>
  <si>
    <t>DZJ7</t>
  </si>
  <si>
    <t>DZJ8</t>
  </si>
  <si>
    <t>DZJ11</t>
  </si>
  <si>
    <t>DZJ12</t>
  </si>
  <si>
    <t>DZJ13</t>
  </si>
  <si>
    <t>DZJ14</t>
  </si>
  <si>
    <t>DZJ17</t>
  </si>
  <si>
    <t>DZJ18</t>
  </si>
  <si>
    <t>DZJ19</t>
  </si>
  <si>
    <t>DZJ20</t>
  </si>
  <si>
    <t>DZJ21</t>
  </si>
  <si>
    <t>DZJ22</t>
  </si>
  <si>
    <t>DZJ23</t>
  </si>
  <si>
    <t>DZJ24</t>
  </si>
  <si>
    <t>DZJ25</t>
  </si>
  <si>
    <t>DZJ26</t>
  </si>
  <si>
    <t>DZJ27</t>
  </si>
  <si>
    <t>DZJ28</t>
  </si>
  <si>
    <t>DZJ29</t>
  </si>
  <si>
    <t>DZJ30</t>
  </si>
  <si>
    <t>DZJ31</t>
  </si>
  <si>
    <t>DZJ32</t>
  </si>
  <si>
    <t>DZJ34</t>
  </si>
  <si>
    <t>DZJ35</t>
  </si>
  <si>
    <t>DZJ36</t>
  </si>
  <si>
    <t>DZJ37</t>
  </si>
  <si>
    <t>DZJ38</t>
  </si>
  <si>
    <t>DZJ39</t>
  </si>
  <si>
    <t>DZJ40</t>
  </si>
  <si>
    <t>DZJ41</t>
  </si>
  <si>
    <t>DZJ42</t>
  </si>
  <si>
    <t>DZJ43</t>
  </si>
  <si>
    <t>DZJ44</t>
  </si>
  <si>
    <t>DZJ45</t>
  </si>
  <si>
    <t>DZJ46</t>
  </si>
  <si>
    <t>DZJ47</t>
  </si>
  <si>
    <t>DZJ48</t>
  </si>
  <si>
    <t>DZJ49</t>
  </si>
  <si>
    <t>DZJ50</t>
  </si>
  <si>
    <t>DZJ51</t>
  </si>
  <si>
    <t>DZJ52</t>
  </si>
  <si>
    <t>DZJ53</t>
  </si>
  <si>
    <t>DZJ54</t>
  </si>
  <si>
    <t>DZJ55</t>
  </si>
  <si>
    <t>DZJ56</t>
  </si>
  <si>
    <t>DZJ57</t>
  </si>
  <si>
    <t>DZJ58</t>
  </si>
  <si>
    <t>DZJ59</t>
  </si>
  <si>
    <t>DZJ60</t>
  </si>
  <si>
    <t>DZJ61</t>
  </si>
  <si>
    <t>DZJ62</t>
  </si>
  <si>
    <t>DZJ63</t>
  </si>
  <si>
    <t>DZJ64</t>
  </si>
  <si>
    <t>DZJ65</t>
  </si>
  <si>
    <t>DZJ66</t>
  </si>
  <si>
    <t>DZJ67</t>
  </si>
  <si>
    <t>DZJ68</t>
  </si>
  <si>
    <t>DZJ69</t>
  </si>
  <si>
    <t>DZJ70</t>
  </si>
  <si>
    <t>DZJ71</t>
  </si>
  <si>
    <t>DZJ72</t>
  </si>
  <si>
    <t>DZJ73</t>
  </si>
  <si>
    <t>DZJ74</t>
  </si>
  <si>
    <t>DZJ75</t>
  </si>
  <si>
    <t>DZJ76</t>
  </si>
  <si>
    <t>DZJ77</t>
  </si>
  <si>
    <t>DZJ78</t>
  </si>
  <si>
    <t>DZJ79</t>
  </si>
  <si>
    <t>DZJ80</t>
  </si>
  <si>
    <t>DZJ81</t>
  </si>
  <si>
    <t>DZJ82</t>
  </si>
  <si>
    <t>DZJ83</t>
  </si>
  <si>
    <t>DZJ84</t>
  </si>
  <si>
    <t>DZJ85</t>
  </si>
  <si>
    <t>DZJ86</t>
  </si>
  <si>
    <t>DZJ87</t>
  </si>
  <si>
    <t>DZJ88</t>
  </si>
  <si>
    <t>DZJ89</t>
  </si>
  <si>
    <t>DZJ90</t>
  </si>
  <si>
    <t>DZJ91</t>
  </si>
  <si>
    <t>DZJ92</t>
  </si>
  <si>
    <t>DZJ93</t>
  </si>
  <si>
    <t>DZJ94</t>
  </si>
  <si>
    <t>DZJ95</t>
  </si>
  <si>
    <t>DZJ96</t>
  </si>
  <si>
    <t>DZJ97</t>
  </si>
  <si>
    <t>DZJ98</t>
  </si>
  <si>
    <t>DZJ99</t>
  </si>
  <si>
    <t>DZJ100</t>
  </si>
  <si>
    <t>CK10</t>
  </si>
  <si>
    <t>Wafy</t>
  </si>
  <si>
    <t>Waf</t>
  </si>
  <si>
    <t>CC</t>
  </si>
  <si>
    <t>ACL</t>
  </si>
  <si>
    <t>Otlob</t>
  </si>
  <si>
    <t>OTL</t>
  </si>
  <si>
    <t>KH</t>
  </si>
  <si>
    <t>SAH</t>
  </si>
  <si>
    <t>SHASEH</t>
  </si>
  <si>
    <t>VVV</t>
  </si>
  <si>
    <t>CCC</t>
  </si>
  <si>
    <t>BB</t>
  </si>
  <si>
    <t>AA</t>
  </si>
  <si>
    <t>A33</t>
  </si>
  <si>
    <t>B22</t>
  </si>
  <si>
    <t>CPP</t>
  </si>
  <si>
    <t>CP</t>
  </si>
  <si>
    <t>CL</t>
  </si>
  <si>
    <t>DZJ9</t>
  </si>
  <si>
    <t>DZJ10</t>
  </si>
  <si>
    <t>LBNA</t>
  </si>
  <si>
    <t>KHSH</t>
  </si>
  <si>
    <t>Shanzay</t>
  </si>
  <si>
    <t>IWD</t>
  </si>
  <si>
    <t>SUNSHINE</t>
  </si>
  <si>
    <t>WANDER</t>
  </si>
  <si>
    <t>MAH</t>
  </si>
  <si>
    <t>ALMI</t>
  </si>
  <si>
    <t>Old codes not activie</t>
  </si>
  <si>
    <t>ka1</t>
  </si>
  <si>
    <t>First ride only  40% Max 8 SAR</t>
  </si>
  <si>
    <t>O88</t>
  </si>
  <si>
    <t>o1</t>
  </si>
  <si>
    <t>ka2</t>
  </si>
  <si>
    <t>O15</t>
  </si>
  <si>
    <t>o2</t>
  </si>
  <si>
    <t>ka3</t>
  </si>
  <si>
    <t>o5</t>
  </si>
  <si>
    <t>o3</t>
  </si>
  <si>
    <t>ka4</t>
  </si>
  <si>
    <t>O6</t>
  </si>
  <si>
    <t>o4</t>
  </si>
  <si>
    <t>ka5</t>
  </si>
  <si>
    <t>O77</t>
  </si>
  <si>
    <t>ka6</t>
  </si>
  <si>
    <t>o85</t>
  </si>
  <si>
    <t>o6</t>
  </si>
  <si>
    <t>ka7</t>
  </si>
  <si>
    <t>o7</t>
  </si>
  <si>
    <t>ka12</t>
  </si>
  <si>
    <t>KA60</t>
  </si>
  <si>
    <t>o12</t>
  </si>
  <si>
    <t>ka13</t>
  </si>
  <si>
    <t>KA66</t>
  </si>
  <si>
    <t>o13</t>
  </si>
  <si>
    <t>ka14</t>
  </si>
  <si>
    <t>ka77</t>
  </si>
  <si>
    <t>o14</t>
  </si>
  <si>
    <t>ka15</t>
  </si>
  <si>
    <t>Ka9</t>
  </si>
  <si>
    <t>o15</t>
  </si>
  <si>
    <t>ka16</t>
  </si>
  <si>
    <t>KA15</t>
  </si>
  <si>
    <t>o16</t>
  </si>
  <si>
    <t>ka17</t>
  </si>
  <si>
    <t>KA16</t>
  </si>
  <si>
    <t>o17</t>
  </si>
  <si>
    <t>ka18</t>
  </si>
  <si>
    <t>KA55</t>
  </si>
  <si>
    <t>o18</t>
  </si>
  <si>
    <t>ka19</t>
  </si>
  <si>
    <t>ka85</t>
  </si>
  <si>
    <t>o19</t>
  </si>
  <si>
    <t>ka20</t>
  </si>
  <si>
    <t>KA88</t>
  </si>
  <si>
    <t>o20</t>
  </si>
  <si>
    <t>ka21</t>
  </si>
  <si>
    <t>KA2</t>
  </si>
  <si>
    <t>o21</t>
  </si>
  <si>
    <t>ka22</t>
  </si>
  <si>
    <t>KA25</t>
  </si>
  <si>
    <t>o22</t>
  </si>
  <si>
    <t>ka23</t>
  </si>
  <si>
    <t>KA47</t>
  </si>
  <si>
    <t>o23</t>
  </si>
  <si>
    <t>ka24</t>
  </si>
  <si>
    <t>Ka5</t>
  </si>
  <si>
    <t>o24</t>
  </si>
  <si>
    <t>ka25</t>
  </si>
  <si>
    <t>KA99</t>
  </si>
  <si>
    <t>o25</t>
  </si>
  <si>
    <t>ka26</t>
  </si>
  <si>
    <t>KA45</t>
  </si>
  <si>
    <t>o26</t>
  </si>
  <si>
    <t>ka27</t>
  </si>
  <si>
    <t>Ka65</t>
  </si>
  <si>
    <t>o27</t>
  </si>
  <si>
    <t>ka28</t>
  </si>
  <si>
    <t>KA98</t>
  </si>
  <si>
    <t>o28</t>
  </si>
  <si>
    <t>ka29</t>
  </si>
  <si>
    <t>o29</t>
  </si>
  <si>
    <t>ka30</t>
  </si>
  <si>
    <t>KA35</t>
  </si>
  <si>
    <t>o30</t>
  </si>
  <si>
    <t>ka31</t>
  </si>
  <si>
    <t>ka70</t>
  </si>
  <si>
    <t>o31</t>
  </si>
  <si>
    <t>ka32</t>
  </si>
  <si>
    <t>KA94</t>
  </si>
  <si>
    <t>o32</t>
  </si>
  <si>
    <t>ka33</t>
  </si>
  <si>
    <t>KA95</t>
  </si>
  <si>
    <t>o33</t>
  </si>
  <si>
    <t>ka34</t>
  </si>
  <si>
    <t>Ka7</t>
  </si>
  <si>
    <t>o34</t>
  </si>
  <si>
    <t>ka35</t>
  </si>
  <si>
    <t>KA80</t>
  </si>
  <si>
    <t>o35</t>
  </si>
  <si>
    <t>ka36</t>
  </si>
  <si>
    <t>KA44</t>
  </si>
  <si>
    <t>o36</t>
  </si>
  <si>
    <t>ka37</t>
  </si>
  <si>
    <t>o37</t>
  </si>
  <si>
    <t>ka38</t>
  </si>
  <si>
    <t>KA28</t>
  </si>
  <si>
    <t>o38</t>
  </si>
  <si>
    <t>ka39</t>
  </si>
  <si>
    <t>Ka64</t>
  </si>
  <si>
    <t>o39</t>
  </si>
  <si>
    <t>ka40</t>
  </si>
  <si>
    <t>KA89</t>
  </si>
  <si>
    <t>o40</t>
  </si>
  <si>
    <t>ka41</t>
  </si>
  <si>
    <t>KA18</t>
  </si>
  <si>
    <t>o41</t>
  </si>
  <si>
    <t>ka42</t>
  </si>
  <si>
    <t>KA32</t>
  </si>
  <si>
    <t>o42</t>
  </si>
  <si>
    <t>ka43</t>
  </si>
  <si>
    <t>K10</t>
  </si>
  <si>
    <t>o43</t>
  </si>
  <si>
    <t>ka44</t>
  </si>
  <si>
    <t>KA13</t>
  </si>
  <si>
    <t>o44</t>
  </si>
  <si>
    <t>ka45</t>
  </si>
  <si>
    <t>o45</t>
  </si>
  <si>
    <t>ka46</t>
  </si>
  <si>
    <t>ka48</t>
  </si>
  <si>
    <t>o46</t>
  </si>
  <si>
    <t>ka47</t>
  </si>
  <si>
    <t>KA53</t>
  </si>
  <si>
    <t>o47</t>
  </si>
  <si>
    <t>KA78</t>
  </si>
  <si>
    <t>o48</t>
  </si>
  <si>
    <t>ka50</t>
  </si>
  <si>
    <t>KA27</t>
  </si>
  <si>
    <t>o49</t>
  </si>
  <si>
    <t>ka49</t>
  </si>
  <si>
    <t>KA50</t>
  </si>
  <si>
    <t>o50</t>
  </si>
  <si>
    <t>ka51</t>
  </si>
  <si>
    <t>KA71</t>
  </si>
  <si>
    <t>o51</t>
  </si>
  <si>
    <t>ka52</t>
  </si>
  <si>
    <t>KA11</t>
  </si>
  <si>
    <t>o52</t>
  </si>
  <si>
    <t>ka53</t>
  </si>
  <si>
    <t>KA24</t>
  </si>
  <si>
    <t>o53</t>
  </si>
  <si>
    <t>ka54</t>
  </si>
  <si>
    <t>KA3</t>
  </si>
  <si>
    <t>o54</t>
  </si>
  <si>
    <t>ka55</t>
  </si>
  <si>
    <t>KA54</t>
  </si>
  <si>
    <t>o55</t>
  </si>
  <si>
    <t>ka56</t>
  </si>
  <si>
    <t>KA19</t>
  </si>
  <si>
    <t>o56</t>
  </si>
  <si>
    <t>ka57</t>
  </si>
  <si>
    <t>KA33</t>
  </si>
  <si>
    <t>o57</t>
  </si>
  <si>
    <t>ka58</t>
  </si>
  <si>
    <t>o58</t>
  </si>
  <si>
    <t>ka59</t>
  </si>
  <si>
    <t>Ka79</t>
  </si>
  <si>
    <t>o59</t>
  </si>
  <si>
    <t>ka60</t>
  </si>
  <si>
    <t>o60</t>
  </si>
  <si>
    <t>ka61</t>
  </si>
  <si>
    <t>KA84</t>
  </si>
  <si>
    <t>o61</t>
  </si>
  <si>
    <t>ka62</t>
  </si>
  <si>
    <t>KA29</t>
  </si>
  <si>
    <t>o62</t>
  </si>
  <si>
    <t>ka63</t>
  </si>
  <si>
    <t>o63</t>
  </si>
  <si>
    <t>ka64</t>
  </si>
  <si>
    <t>o64</t>
  </si>
  <si>
    <t>ka65</t>
  </si>
  <si>
    <t>KA36</t>
  </si>
  <si>
    <t>o65</t>
  </si>
  <si>
    <t>ka66</t>
  </si>
  <si>
    <t>KA30</t>
  </si>
  <si>
    <t>o66</t>
  </si>
  <si>
    <t>ka67</t>
  </si>
  <si>
    <t>KA67</t>
  </si>
  <si>
    <t>o67</t>
  </si>
  <si>
    <t>ka68</t>
  </si>
  <si>
    <t>o68</t>
  </si>
  <si>
    <t>ka69</t>
  </si>
  <si>
    <t>KA8</t>
  </si>
  <si>
    <t>o70</t>
  </si>
  <si>
    <t>ka71</t>
  </si>
  <si>
    <t>KA26</t>
  </si>
  <si>
    <t>o71</t>
  </si>
  <si>
    <t>ka72</t>
  </si>
  <si>
    <t>o72</t>
  </si>
  <si>
    <t>ka73</t>
  </si>
  <si>
    <t>KA63</t>
  </si>
  <si>
    <t>o73</t>
  </si>
  <si>
    <t>ka74</t>
  </si>
  <si>
    <t>o74</t>
  </si>
  <si>
    <t>ka75</t>
  </si>
  <si>
    <t>Ka74</t>
  </si>
  <si>
    <t>o75</t>
  </si>
  <si>
    <t>ka76</t>
  </si>
  <si>
    <t>KA34</t>
  </si>
  <si>
    <t>o76</t>
  </si>
  <si>
    <t>KA9</t>
  </si>
  <si>
    <t>o77</t>
  </si>
  <si>
    <t>ka78</t>
  </si>
  <si>
    <t>kA75</t>
  </si>
  <si>
    <t>o78</t>
  </si>
  <si>
    <t>ka79</t>
  </si>
  <si>
    <t>KA93</t>
  </si>
  <si>
    <t>o79</t>
  </si>
  <si>
    <t>ka80</t>
  </si>
  <si>
    <t>o80</t>
  </si>
  <si>
    <t>ka81</t>
  </si>
  <si>
    <t>o81</t>
  </si>
  <si>
    <t>ka82</t>
  </si>
  <si>
    <t>o82</t>
  </si>
  <si>
    <t>ka83</t>
  </si>
  <si>
    <t>o83</t>
  </si>
  <si>
    <t>ka84</t>
  </si>
  <si>
    <t>o84</t>
  </si>
  <si>
    <t>ka86</t>
  </si>
  <si>
    <t>o86</t>
  </si>
  <si>
    <t>ka87</t>
  </si>
  <si>
    <t>KA4</t>
  </si>
  <si>
    <t>o87</t>
  </si>
  <si>
    <t>ka88</t>
  </si>
  <si>
    <t>KA76</t>
  </si>
  <si>
    <t>o88</t>
  </si>
  <si>
    <t>ka89</t>
  </si>
  <si>
    <t>kA97</t>
  </si>
  <si>
    <t>o89</t>
  </si>
  <si>
    <t>ka90</t>
  </si>
  <si>
    <t>KA31</t>
  </si>
  <si>
    <t>o90</t>
  </si>
  <si>
    <t>ka91</t>
  </si>
  <si>
    <t>KA39</t>
  </si>
  <si>
    <t>o91</t>
  </si>
  <si>
    <t>ka92</t>
  </si>
  <si>
    <t>o92</t>
  </si>
  <si>
    <t>ka93</t>
  </si>
  <si>
    <t>KA100</t>
  </si>
  <si>
    <t>o93</t>
  </si>
  <si>
    <t>ka94</t>
  </si>
  <si>
    <t>Ka69</t>
  </si>
  <si>
    <t>o94</t>
  </si>
  <si>
    <t>ka95</t>
  </si>
  <si>
    <t>o95</t>
  </si>
  <si>
    <t>ka96</t>
  </si>
  <si>
    <t>Ka96</t>
  </si>
  <si>
    <t>o96</t>
  </si>
  <si>
    <t>ka97</t>
  </si>
  <si>
    <t>KA38</t>
  </si>
  <si>
    <t>o97</t>
  </si>
  <si>
    <t>ka98</t>
  </si>
  <si>
    <t>o98</t>
  </si>
  <si>
    <t>ka99</t>
  </si>
  <si>
    <t>KA72</t>
  </si>
  <si>
    <t>o99</t>
  </si>
  <si>
    <t>ka100</t>
  </si>
  <si>
    <t>ka103</t>
  </si>
  <si>
    <t>ka104</t>
  </si>
  <si>
    <t>ka120</t>
  </si>
  <si>
    <t>ka105</t>
  </si>
  <si>
    <t>ka106</t>
  </si>
  <si>
    <t>KA46</t>
  </si>
  <si>
    <t>ka107</t>
  </si>
  <si>
    <t>ka108</t>
  </si>
  <si>
    <t>ka109</t>
  </si>
  <si>
    <t>ka114</t>
  </si>
  <si>
    <t>ka110</t>
  </si>
  <si>
    <t>Ka71</t>
  </si>
  <si>
    <t>ka111</t>
  </si>
  <si>
    <t>KA82</t>
  </si>
  <si>
    <t>ka112</t>
  </si>
  <si>
    <t>ka119</t>
  </si>
  <si>
    <t>ka113</t>
  </si>
  <si>
    <t>Ka43</t>
  </si>
  <si>
    <t>ka116</t>
  </si>
  <si>
    <t>ka115</t>
  </si>
  <si>
    <t>KA59</t>
  </si>
  <si>
    <t>ka117</t>
  </si>
  <si>
    <t>KA108</t>
  </si>
  <si>
    <t>ka118</t>
  </si>
  <si>
    <t>KA104</t>
  </si>
  <si>
    <t>k125</t>
  </si>
  <si>
    <t>k126</t>
  </si>
  <si>
    <t>Ka100</t>
  </si>
  <si>
    <t>k127</t>
  </si>
  <si>
    <t>k128</t>
  </si>
  <si>
    <t>k129</t>
  </si>
  <si>
    <t>KA110</t>
  </si>
  <si>
    <t>k130</t>
  </si>
  <si>
    <t>Ka113</t>
  </si>
  <si>
    <t>k131</t>
  </si>
  <si>
    <t>KA51</t>
  </si>
  <si>
    <t>k132</t>
  </si>
  <si>
    <t>KA57</t>
  </si>
  <si>
    <t>k133</t>
  </si>
  <si>
    <t>Ka105</t>
  </si>
  <si>
    <t>k134</t>
  </si>
  <si>
    <t>KA17</t>
  </si>
  <si>
    <t>k135</t>
  </si>
  <si>
    <t>k136</t>
  </si>
  <si>
    <t>k137</t>
  </si>
  <si>
    <t>k138</t>
  </si>
  <si>
    <t>k139</t>
  </si>
  <si>
    <t>k140</t>
  </si>
  <si>
    <t>k141</t>
  </si>
  <si>
    <t>k142</t>
  </si>
  <si>
    <t>k143</t>
  </si>
  <si>
    <t>k144</t>
  </si>
  <si>
    <t>k145</t>
  </si>
  <si>
    <t>k146</t>
  </si>
  <si>
    <t>k147</t>
  </si>
  <si>
    <t>k148</t>
  </si>
  <si>
    <t>k149</t>
  </si>
  <si>
    <t>k150</t>
  </si>
  <si>
    <t>JEEL1</t>
  </si>
  <si>
    <t>k151</t>
  </si>
  <si>
    <t>k152</t>
  </si>
  <si>
    <t>k153</t>
  </si>
  <si>
    <t>k154</t>
  </si>
  <si>
    <t>k155</t>
  </si>
  <si>
    <t>k156</t>
  </si>
  <si>
    <t>k157</t>
  </si>
  <si>
    <t>k158</t>
  </si>
  <si>
    <t>k159</t>
  </si>
  <si>
    <t>k160</t>
  </si>
  <si>
    <t>k161</t>
  </si>
  <si>
    <t>k162</t>
  </si>
  <si>
    <t>k163</t>
  </si>
  <si>
    <t>k164</t>
  </si>
  <si>
    <t>k165</t>
  </si>
  <si>
    <t>k166</t>
  </si>
  <si>
    <t>k167</t>
  </si>
  <si>
    <t>k168</t>
  </si>
  <si>
    <t>k169</t>
  </si>
  <si>
    <t>k170</t>
  </si>
  <si>
    <t>k178</t>
  </si>
  <si>
    <t>k179</t>
  </si>
  <si>
    <t>k180</t>
  </si>
  <si>
    <t>k181</t>
  </si>
  <si>
    <t>k182</t>
  </si>
  <si>
    <t>k183</t>
  </si>
  <si>
    <t>k184</t>
  </si>
  <si>
    <t>k185</t>
  </si>
  <si>
    <t>k186</t>
  </si>
  <si>
    <t>k187</t>
  </si>
  <si>
    <t>k188</t>
  </si>
  <si>
    <t>k189</t>
  </si>
  <si>
    <t>k190</t>
  </si>
  <si>
    <t>k191</t>
  </si>
  <si>
    <t>k192</t>
  </si>
  <si>
    <t>k193</t>
  </si>
  <si>
    <t>k194</t>
  </si>
  <si>
    <t>k195</t>
  </si>
  <si>
    <t>k196</t>
  </si>
  <si>
    <t>k197</t>
  </si>
  <si>
    <t>k198</t>
  </si>
  <si>
    <t>k199</t>
  </si>
  <si>
    <t>k200</t>
  </si>
  <si>
    <t>ka8</t>
  </si>
  <si>
    <t>ka9</t>
  </si>
  <si>
    <t>ka10</t>
  </si>
  <si>
    <t>ka11</t>
  </si>
  <si>
    <t>ka101</t>
  </si>
  <si>
    <t>ka102</t>
  </si>
  <si>
    <t>k121</t>
  </si>
  <si>
    <t>k122</t>
  </si>
  <si>
    <t>k123</t>
  </si>
  <si>
    <t>k124</t>
  </si>
  <si>
    <t>k171</t>
  </si>
  <si>
    <t>k172</t>
  </si>
  <si>
    <t>k173</t>
  </si>
  <si>
    <t>k174</t>
  </si>
  <si>
    <t>k175</t>
  </si>
  <si>
    <t>k176</t>
  </si>
  <si>
    <t>k177</t>
  </si>
  <si>
    <t>SS13</t>
  </si>
  <si>
    <t>SS38</t>
  </si>
  <si>
    <t>SS49</t>
  </si>
  <si>
    <t>SS19</t>
  </si>
  <si>
    <t>SS21</t>
  </si>
  <si>
    <t>SS97</t>
  </si>
  <si>
    <t>SS62</t>
  </si>
  <si>
    <t>SS48</t>
  </si>
  <si>
    <t>SS72</t>
  </si>
  <si>
    <t>SS31</t>
  </si>
  <si>
    <t>SS84</t>
  </si>
  <si>
    <t>SS75</t>
  </si>
  <si>
    <t>SS17</t>
  </si>
  <si>
    <t>SS14</t>
  </si>
  <si>
    <t>SS83</t>
  </si>
  <si>
    <t>SS98</t>
  </si>
  <si>
    <t>SS32</t>
  </si>
  <si>
    <t>SS16</t>
  </si>
  <si>
    <t>SS85</t>
  </si>
  <si>
    <t>SS12</t>
  </si>
  <si>
    <t>SS33</t>
  </si>
  <si>
    <t>SS88</t>
  </si>
  <si>
    <t>SS82</t>
  </si>
  <si>
    <t>SS47</t>
  </si>
  <si>
    <t>SS65</t>
  </si>
  <si>
    <t>SS34</t>
  </si>
  <si>
    <t>SS39</t>
  </si>
  <si>
    <t>SS69</t>
  </si>
  <si>
    <t>SS41</t>
  </si>
  <si>
    <t>SS76</t>
  </si>
  <si>
    <t>SS74</t>
  </si>
  <si>
    <t>SS94</t>
  </si>
  <si>
    <t>SS11</t>
  </si>
  <si>
    <t>SS95</t>
  </si>
  <si>
    <t>SS87</t>
  </si>
  <si>
    <t>SS93</t>
  </si>
  <si>
    <t>SS96</t>
  </si>
  <si>
    <t>SS15</t>
  </si>
  <si>
    <t>SS37</t>
  </si>
  <si>
    <t>SS55</t>
  </si>
  <si>
    <t>SS57</t>
  </si>
  <si>
    <t>SS42</t>
  </si>
  <si>
    <t>SS18</t>
  </si>
  <si>
    <t>SS45</t>
  </si>
  <si>
    <t>SS36</t>
  </si>
  <si>
    <t>UR77</t>
  </si>
  <si>
    <t>u1</t>
  </si>
  <si>
    <t>First ride only  30% Max 0.75JD</t>
  </si>
  <si>
    <t>u2</t>
  </si>
  <si>
    <t>u3</t>
  </si>
  <si>
    <t>u4</t>
  </si>
  <si>
    <t>u5</t>
  </si>
  <si>
    <t>u6</t>
  </si>
  <si>
    <t>u7</t>
  </si>
  <si>
    <t>u12</t>
  </si>
  <si>
    <t>u13</t>
  </si>
  <si>
    <t>u14</t>
  </si>
  <si>
    <t>u15</t>
  </si>
  <si>
    <t>u16</t>
  </si>
  <si>
    <t>u17</t>
  </si>
  <si>
    <t>u18</t>
  </si>
  <si>
    <t>u19</t>
  </si>
  <si>
    <t>u20</t>
  </si>
  <si>
    <t>u21</t>
  </si>
  <si>
    <t>u22</t>
  </si>
  <si>
    <t>u23</t>
  </si>
  <si>
    <t>u24</t>
  </si>
  <si>
    <t>u25</t>
  </si>
  <si>
    <t>u26</t>
  </si>
  <si>
    <t>u27</t>
  </si>
  <si>
    <t>u28</t>
  </si>
  <si>
    <t>u29</t>
  </si>
  <si>
    <t>u30</t>
  </si>
  <si>
    <t>u31</t>
  </si>
  <si>
    <t>u32</t>
  </si>
  <si>
    <t>u33</t>
  </si>
  <si>
    <t>u34</t>
  </si>
  <si>
    <t>u35</t>
  </si>
  <si>
    <t>u36</t>
  </si>
  <si>
    <t>u37</t>
  </si>
  <si>
    <t>u38</t>
  </si>
  <si>
    <t>u39</t>
  </si>
  <si>
    <t>u40</t>
  </si>
  <si>
    <t>u41</t>
  </si>
  <si>
    <t>u42</t>
  </si>
  <si>
    <t>u43</t>
  </si>
  <si>
    <t>u44</t>
  </si>
  <si>
    <t>u45</t>
  </si>
  <si>
    <t>u46</t>
  </si>
  <si>
    <t>u47</t>
  </si>
  <si>
    <t>u50</t>
  </si>
  <si>
    <t>u51</t>
  </si>
  <si>
    <t>u52</t>
  </si>
  <si>
    <t>u53</t>
  </si>
  <si>
    <t>u54</t>
  </si>
  <si>
    <t>u55</t>
  </si>
  <si>
    <t>u56</t>
  </si>
  <si>
    <t>u57</t>
  </si>
  <si>
    <t>u58</t>
  </si>
  <si>
    <t>u59</t>
  </si>
  <si>
    <t>u60</t>
  </si>
  <si>
    <t>u61</t>
  </si>
  <si>
    <t>u62</t>
  </si>
  <si>
    <t>u63</t>
  </si>
  <si>
    <t>u64</t>
  </si>
  <si>
    <t>u65</t>
  </si>
  <si>
    <t>u66</t>
  </si>
  <si>
    <t>u67</t>
  </si>
  <si>
    <t>u68</t>
  </si>
  <si>
    <t>u69</t>
  </si>
  <si>
    <t>u70</t>
  </si>
  <si>
    <t>u71</t>
  </si>
  <si>
    <t>u72</t>
  </si>
  <si>
    <t>u73</t>
  </si>
  <si>
    <t>u74</t>
  </si>
  <si>
    <t>u75</t>
  </si>
  <si>
    <t>u76</t>
  </si>
  <si>
    <t>u77</t>
  </si>
  <si>
    <t>u78</t>
  </si>
  <si>
    <t>u79</t>
  </si>
  <si>
    <t>u80</t>
  </si>
  <si>
    <t>u81</t>
  </si>
  <si>
    <t>u82</t>
  </si>
  <si>
    <t>u85</t>
  </si>
  <si>
    <t>u86</t>
  </si>
  <si>
    <t>u87</t>
  </si>
  <si>
    <t>u88</t>
  </si>
  <si>
    <t>u89</t>
  </si>
  <si>
    <t>u90</t>
  </si>
  <si>
    <t>u91</t>
  </si>
  <si>
    <t>u92</t>
  </si>
  <si>
    <t>u93</t>
  </si>
  <si>
    <t>u94</t>
  </si>
  <si>
    <t>u95</t>
  </si>
  <si>
    <t>u96</t>
  </si>
  <si>
    <t>u97</t>
  </si>
  <si>
    <t>u98</t>
  </si>
  <si>
    <t>u99</t>
  </si>
  <si>
    <t>u100</t>
  </si>
  <si>
    <t>u101</t>
  </si>
  <si>
    <t>u102</t>
  </si>
  <si>
    <t>u103</t>
  </si>
  <si>
    <t>u104</t>
  </si>
  <si>
    <t>u105</t>
  </si>
  <si>
    <t>u106</t>
  </si>
  <si>
    <t>u107</t>
  </si>
  <si>
    <t>u108</t>
  </si>
  <si>
    <t>u109</t>
  </si>
  <si>
    <t>u110</t>
  </si>
  <si>
    <t>u111</t>
  </si>
  <si>
    <t>u112</t>
  </si>
  <si>
    <t>u113</t>
  </si>
  <si>
    <t>u114</t>
  </si>
  <si>
    <t>u115</t>
  </si>
  <si>
    <t>u116</t>
  </si>
  <si>
    <t>u117</t>
  </si>
  <si>
    <t>u118</t>
  </si>
  <si>
    <t>u119</t>
  </si>
  <si>
    <t>u120</t>
  </si>
  <si>
    <t>u121</t>
  </si>
  <si>
    <t>u122</t>
  </si>
  <si>
    <t>u123</t>
  </si>
  <si>
    <t>u124</t>
  </si>
  <si>
    <t>u125</t>
  </si>
  <si>
    <t>u126</t>
  </si>
  <si>
    <t>u127</t>
  </si>
  <si>
    <t>u128</t>
  </si>
  <si>
    <t>u129</t>
  </si>
  <si>
    <t>JEEL2</t>
  </si>
  <si>
    <t>u8</t>
  </si>
  <si>
    <t>u9</t>
  </si>
  <si>
    <t>u10</t>
  </si>
  <si>
    <t>u11</t>
  </si>
  <si>
    <t>u48</t>
  </si>
  <si>
    <t>u49</t>
  </si>
  <si>
    <t>u83</t>
  </si>
  <si>
    <t>u84</t>
  </si>
  <si>
    <t>D01</t>
  </si>
  <si>
    <t>D02</t>
  </si>
  <si>
    <t xml:space="preserve">Dont Provide </t>
  </si>
  <si>
    <t>D03</t>
  </si>
  <si>
    <t>D04</t>
  </si>
  <si>
    <t>D05</t>
  </si>
  <si>
    <t>D06</t>
  </si>
  <si>
    <t>D838</t>
  </si>
  <si>
    <t>D988</t>
  </si>
  <si>
    <t>D041</t>
  </si>
  <si>
    <t>D814</t>
  </si>
  <si>
    <t>D298</t>
  </si>
  <si>
    <t>D250</t>
  </si>
  <si>
    <t>D492</t>
  </si>
  <si>
    <t>D962</t>
  </si>
  <si>
    <t>D136</t>
  </si>
  <si>
    <t>D845</t>
  </si>
  <si>
    <t>D270</t>
  </si>
  <si>
    <t>D986</t>
  </si>
  <si>
    <t>D724</t>
  </si>
  <si>
    <t>D679</t>
  </si>
  <si>
    <t>D645</t>
  </si>
  <si>
    <t>D633</t>
  </si>
  <si>
    <t>D717</t>
  </si>
  <si>
    <t>D281</t>
  </si>
  <si>
    <t>D388</t>
  </si>
  <si>
    <t>D158</t>
  </si>
  <si>
    <t>D797</t>
  </si>
  <si>
    <t>D054</t>
  </si>
  <si>
    <t>D575</t>
  </si>
  <si>
    <t>D536</t>
  </si>
  <si>
    <t>D009</t>
  </si>
  <si>
    <t>D320</t>
  </si>
  <si>
    <t>D269</t>
  </si>
  <si>
    <t>D335</t>
  </si>
  <si>
    <t>D933</t>
  </si>
  <si>
    <t>D546</t>
  </si>
  <si>
    <t>D568</t>
  </si>
  <si>
    <t>D500</t>
  </si>
  <si>
    <t>D816</t>
  </si>
  <si>
    <t>D960</t>
  </si>
  <si>
    <t>D720</t>
  </si>
  <si>
    <t>D561</t>
  </si>
  <si>
    <t>D409</t>
  </si>
  <si>
    <t>D978</t>
  </si>
  <si>
    <t>D710</t>
  </si>
  <si>
    <t>D392</t>
  </si>
  <si>
    <t>D304</t>
  </si>
  <si>
    <t>D874</t>
  </si>
  <si>
    <t>D718</t>
  </si>
  <si>
    <t>D746</t>
  </si>
  <si>
    <t>D353</t>
  </si>
  <si>
    <t>D918</t>
  </si>
  <si>
    <t>D311</t>
  </si>
  <si>
    <t>D473</t>
  </si>
  <si>
    <t>D151</t>
  </si>
  <si>
    <t>D150</t>
  </si>
  <si>
    <t>D537</t>
  </si>
  <si>
    <t>D047</t>
  </si>
  <si>
    <t>D077</t>
  </si>
  <si>
    <t>D861</t>
  </si>
  <si>
    <t>D908</t>
  </si>
  <si>
    <t>D997</t>
  </si>
  <si>
    <t>D765</t>
  </si>
  <si>
    <t>D581</t>
  </si>
  <si>
    <t>D592</t>
  </si>
  <si>
    <t>D846</t>
  </si>
  <si>
    <t>D684</t>
  </si>
  <si>
    <t>D139</t>
  </si>
  <si>
    <t>D530</t>
  </si>
  <si>
    <t>D262</t>
  </si>
  <si>
    <t>D867</t>
  </si>
  <si>
    <t>D444</t>
  </si>
  <si>
    <t>D869</t>
  </si>
  <si>
    <t>D811</t>
  </si>
  <si>
    <t>D200</t>
  </si>
  <si>
    <t>D130</t>
  </si>
  <si>
    <t>D834</t>
  </si>
  <si>
    <t>D993</t>
  </si>
  <si>
    <t>D165</t>
  </si>
  <si>
    <t>D142</t>
  </si>
  <si>
    <t>D020</t>
  </si>
  <si>
    <t>D347</t>
  </si>
  <si>
    <t>D266</t>
  </si>
  <si>
    <t>D616</t>
  </si>
  <si>
    <t>D657</t>
  </si>
  <si>
    <t>D070</t>
  </si>
  <si>
    <t>D636</t>
  </si>
  <si>
    <t>D840</t>
  </si>
  <si>
    <t>D058</t>
  </si>
  <si>
    <t>D110</t>
  </si>
  <si>
    <t>D053</t>
  </si>
  <si>
    <t>D735</t>
  </si>
  <si>
    <t>D452</t>
  </si>
  <si>
    <t>D206</t>
  </si>
  <si>
    <t>D569</t>
  </si>
  <si>
    <t>D825</t>
  </si>
  <si>
    <t>D282</t>
  </si>
  <si>
    <t>D404</t>
  </si>
  <si>
    <t>D849</t>
  </si>
  <si>
    <t>D314</t>
  </si>
  <si>
    <t>D757</t>
  </si>
  <si>
    <t>D338</t>
  </si>
  <si>
    <t>D122</t>
  </si>
  <si>
    <t>D887</t>
  </si>
  <si>
    <t>D08</t>
  </si>
  <si>
    <t>D09</t>
  </si>
  <si>
    <t>Jihan15</t>
  </si>
  <si>
    <t>JI15</t>
  </si>
  <si>
    <r>
      <rPr>
        <rFont val="Arial"/>
        <color theme="1"/>
      </rPr>
      <t xml:space="preserve">each affiliate gets 2 codes , N and R , </t>
    </r>
    <r>
      <rPr>
        <rFont val="Arial"/>
        <b/>
        <color theme="1"/>
      </rPr>
      <t xml:space="preserve">same numbers please ! </t>
    </r>
  </si>
  <si>
    <t>F</t>
  </si>
  <si>
    <t xml:space="preserve">20% Min Spend 300SAR
</t>
  </si>
  <si>
    <t>KC1</t>
  </si>
  <si>
    <t>New: KC-1 to KC-100</t>
  </si>
  <si>
    <t>KC2</t>
  </si>
  <si>
    <t>KC3</t>
  </si>
  <si>
    <t>KC4</t>
  </si>
  <si>
    <r>
      <rPr>
        <rFont val="Arial"/>
        <color theme="1"/>
      </rPr>
      <t xml:space="preserve">each affiliate gets 2 codes , D and Z ,
 </t>
    </r>
    <r>
      <rPr>
        <rFont val="Arial"/>
        <b/>
        <color theme="1"/>
      </rPr>
      <t xml:space="preserve">same serial numbers please ! </t>
    </r>
  </si>
  <si>
    <t>KC5</t>
  </si>
  <si>
    <t>New: D , old Z</t>
  </si>
  <si>
    <t>KC6</t>
  </si>
  <si>
    <t>KC7</t>
  </si>
  <si>
    <t>KC8</t>
  </si>
  <si>
    <t>KC9</t>
  </si>
  <si>
    <t>KC10</t>
  </si>
  <si>
    <t>KC11</t>
  </si>
  <si>
    <t>KC12</t>
  </si>
  <si>
    <t>KC13</t>
  </si>
  <si>
    <t>KC14</t>
  </si>
  <si>
    <t>KC15</t>
  </si>
  <si>
    <t>KC16</t>
  </si>
  <si>
    <t>KC17</t>
  </si>
  <si>
    <t>KC18</t>
  </si>
  <si>
    <t>KC19</t>
  </si>
  <si>
    <t>KC20</t>
  </si>
  <si>
    <t>KC21</t>
  </si>
  <si>
    <t>KC22</t>
  </si>
  <si>
    <t>KC23</t>
  </si>
  <si>
    <t>KC24</t>
  </si>
  <si>
    <t>KC25</t>
  </si>
  <si>
    <t>KC26</t>
  </si>
  <si>
    <t>KC27</t>
  </si>
  <si>
    <t>KC28</t>
  </si>
  <si>
    <t>KC29</t>
  </si>
  <si>
    <t>KC30</t>
  </si>
  <si>
    <t>KC31</t>
  </si>
  <si>
    <t>KC32</t>
  </si>
  <si>
    <t>KC33</t>
  </si>
  <si>
    <t>KC34</t>
  </si>
  <si>
    <t>KC35</t>
  </si>
  <si>
    <t>KC36</t>
  </si>
  <si>
    <t>KC37</t>
  </si>
  <si>
    <t>KC38</t>
  </si>
  <si>
    <t>KC39</t>
  </si>
  <si>
    <t>KC40</t>
  </si>
  <si>
    <t>KC41</t>
  </si>
  <si>
    <t>KC42</t>
  </si>
  <si>
    <t>KC43</t>
  </si>
  <si>
    <t>KC44</t>
  </si>
  <si>
    <t>KC45</t>
  </si>
  <si>
    <t>KC46</t>
  </si>
  <si>
    <t>KC47</t>
  </si>
  <si>
    <t>KC48</t>
  </si>
  <si>
    <t>KC49</t>
  </si>
  <si>
    <t>KC50</t>
  </si>
  <si>
    <t>KC51</t>
  </si>
  <si>
    <t>KC52</t>
  </si>
  <si>
    <t>KC53</t>
  </si>
  <si>
    <t>KC54</t>
  </si>
  <si>
    <t>KC55</t>
  </si>
  <si>
    <t>KC56</t>
  </si>
  <si>
    <t>KC57</t>
  </si>
  <si>
    <t>KC58</t>
  </si>
  <si>
    <t>KC59</t>
  </si>
  <si>
    <t>KC60</t>
  </si>
  <si>
    <t>KC61</t>
  </si>
  <si>
    <t>KC62</t>
  </si>
  <si>
    <t>KC63</t>
  </si>
  <si>
    <t>KC64</t>
  </si>
  <si>
    <t>KC65</t>
  </si>
  <si>
    <t>KC66</t>
  </si>
  <si>
    <t>KC67</t>
  </si>
  <si>
    <t>KC68</t>
  </si>
  <si>
    <t>KC69</t>
  </si>
  <si>
    <t>KC70</t>
  </si>
  <si>
    <t>KC71</t>
  </si>
  <si>
    <t>KC72</t>
  </si>
  <si>
    <t>KC73</t>
  </si>
  <si>
    <t>KC74</t>
  </si>
  <si>
    <t>KC75</t>
  </si>
  <si>
    <t>KC76</t>
  </si>
  <si>
    <t>KC77</t>
  </si>
  <si>
    <t>KC78</t>
  </si>
  <si>
    <t>KC79</t>
  </si>
  <si>
    <t>KC80</t>
  </si>
  <si>
    <t>KC81</t>
  </si>
  <si>
    <t>KC82</t>
  </si>
  <si>
    <t>KC83</t>
  </si>
  <si>
    <t>KC84</t>
  </si>
  <si>
    <t>KC85</t>
  </si>
  <si>
    <t>KC86</t>
  </si>
  <si>
    <t>KC87</t>
  </si>
  <si>
    <t>KC88</t>
  </si>
  <si>
    <t>KC89</t>
  </si>
  <si>
    <t>KC90</t>
  </si>
  <si>
    <t>KC91</t>
  </si>
  <si>
    <t>KC92</t>
  </si>
  <si>
    <t>KC93</t>
  </si>
  <si>
    <t>KC94</t>
  </si>
  <si>
    <t>KC95</t>
  </si>
  <si>
    <t>KC96</t>
  </si>
  <si>
    <t>KC97</t>
  </si>
  <si>
    <t>KC98</t>
  </si>
  <si>
    <t>KC99</t>
  </si>
  <si>
    <t>KC100</t>
  </si>
  <si>
    <t>Returning:</t>
  </si>
  <si>
    <t>10% rate only applicable on top of items with a star</t>
  </si>
  <si>
    <t>DH26</t>
  </si>
  <si>
    <t>DH27</t>
  </si>
  <si>
    <t>DH28</t>
  </si>
  <si>
    <t>DH29</t>
  </si>
  <si>
    <t>DH30</t>
  </si>
  <si>
    <t>DH31</t>
  </si>
  <si>
    <t>DH32</t>
  </si>
  <si>
    <t>DH33</t>
  </si>
  <si>
    <t>DH34</t>
  </si>
  <si>
    <t>DH35</t>
  </si>
  <si>
    <t>DH36</t>
  </si>
  <si>
    <t>DH37</t>
  </si>
  <si>
    <t>DH38</t>
  </si>
  <si>
    <t>DH39</t>
  </si>
  <si>
    <t>DH40</t>
  </si>
  <si>
    <t>DH41</t>
  </si>
  <si>
    <t>DH42</t>
  </si>
  <si>
    <t>DH43</t>
  </si>
  <si>
    <t>DH44</t>
  </si>
  <si>
    <t>DH45</t>
  </si>
  <si>
    <t>DH46</t>
  </si>
  <si>
    <t>DH47</t>
  </si>
  <si>
    <t>DH48</t>
  </si>
  <si>
    <t>DH49</t>
  </si>
  <si>
    <t>DH50</t>
  </si>
  <si>
    <t>BH1</t>
  </si>
  <si>
    <t>BH2</t>
  </si>
  <si>
    <t>BH3</t>
  </si>
  <si>
    <t>BH4</t>
  </si>
  <si>
    <t>BH5</t>
  </si>
  <si>
    <t>BH6</t>
  </si>
  <si>
    <t>BH7</t>
  </si>
  <si>
    <t>BH8</t>
  </si>
  <si>
    <t>BH9</t>
  </si>
  <si>
    <t>BH10</t>
  </si>
  <si>
    <t>BH11</t>
  </si>
  <si>
    <t>BH12</t>
  </si>
  <si>
    <t>BH13</t>
  </si>
  <si>
    <t>BH14</t>
  </si>
  <si>
    <t>BH15</t>
  </si>
  <si>
    <t>BH16</t>
  </si>
  <si>
    <t>BH17</t>
  </si>
  <si>
    <t>BH18</t>
  </si>
  <si>
    <t>BH19</t>
  </si>
  <si>
    <t>BH20</t>
  </si>
  <si>
    <t>BH21</t>
  </si>
  <si>
    <t>BH22</t>
  </si>
  <si>
    <t>BH23</t>
  </si>
  <si>
    <t>BH24</t>
  </si>
  <si>
    <t>BH25</t>
  </si>
  <si>
    <t>BH26</t>
  </si>
  <si>
    <t>BH27</t>
  </si>
  <si>
    <t>BH28</t>
  </si>
  <si>
    <t>BH29</t>
  </si>
  <si>
    <t>BH30</t>
  </si>
  <si>
    <t>BH31</t>
  </si>
  <si>
    <t>BH32</t>
  </si>
  <si>
    <t>BH33</t>
  </si>
  <si>
    <t>BH34</t>
  </si>
  <si>
    <t>BH35</t>
  </si>
  <si>
    <t>BH36</t>
  </si>
  <si>
    <t>BH37</t>
  </si>
  <si>
    <t>BH38</t>
  </si>
  <si>
    <t>BH39</t>
  </si>
  <si>
    <t>BH40</t>
  </si>
  <si>
    <t>BH41</t>
  </si>
  <si>
    <t>BH42</t>
  </si>
  <si>
    <t>BH43</t>
  </si>
  <si>
    <t>BH44</t>
  </si>
  <si>
    <t>BH45</t>
  </si>
  <si>
    <t>BH46</t>
  </si>
  <si>
    <t>BH47</t>
  </si>
  <si>
    <t>BH48</t>
  </si>
  <si>
    <t>BH49</t>
  </si>
  <si>
    <t>BH50</t>
  </si>
  <si>
    <t>DH51</t>
  </si>
  <si>
    <t>DH52</t>
  </si>
  <si>
    <t>DH53</t>
  </si>
  <si>
    <t>DH54</t>
  </si>
  <si>
    <t>DH55</t>
  </si>
  <si>
    <t>DH56</t>
  </si>
  <si>
    <t>DH57</t>
  </si>
  <si>
    <t>DH58</t>
  </si>
  <si>
    <t>DH59</t>
  </si>
  <si>
    <t>DH60</t>
  </si>
  <si>
    <t>DH61</t>
  </si>
  <si>
    <t>DH62</t>
  </si>
  <si>
    <t>DH63</t>
  </si>
  <si>
    <t>DH64</t>
  </si>
  <si>
    <t>DH65</t>
  </si>
  <si>
    <t>DH66</t>
  </si>
  <si>
    <t>DH67</t>
  </si>
  <si>
    <t>DH68</t>
  </si>
  <si>
    <t>DH69</t>
  </si>
  <si>
    <t>DH70</t>
  </si>
  <si>
    <t>DH71</t>
  </si>
  <si>
    <t>DH72</t>
  </si>
  <si>
    <t>DH73</t>
  </si>
  <si>
    <t>DH74</t>
  </si>
  <si>
    <t>DH75</t>
  </si>
  <si>
    <t>DH76</t>
  </si>
  <si>
    <t>DH77</t>
  </si>
  <si>
    <t>DH78</t>
  </si>
  <si>
    <t>DH79</t>
  </si>
  <si>
    <t>DH80</t>
  </si>
  <si>
    <t>DH81</t>
  </si>
  <si>
    <t>DH82</t>
  </si>
  <si>
    <t>DH83</t>
  </si>
  <si>
    <t>DH84</t>
  </si>
  <si>
    <t>DH85</t>
  </si>
  <si>
    <t>DH86</t>
  </si>
  <si>
    <t>DH87</t>
  </si>
  <si>
    <t>DH88</t>
  </si>
  <si>
    <t>DH89</t>
  </si>
  <si>
    <t>DH90</t>
  </si>
  <si>
    <t>DH91</t>
  </si>
  <si>
    <t>DH92</t>
  </si>
  <si>
    <t>DH93</t>
  </si>
  <si>
    <t>DH94</t>
  </si>
  <si>
    <t>DH95</t>
  </si>
  <si>
    <t>DH96</t>
  </si>
  <si>
    <t>DH97</t>
  </si>
  <si>
    <t>DH98</t>
  </si>
  <si>
    <t>DH99</t>
  </si>
  <si>
    <t>DH100</t>
  </si>
  <si>
    <t>DH101</t>
  </si>
  <si>
    <t>DH102</t>
  </si>
  <si>
    <t>DH103</t>
  </si>
  <si>
    <t>DH104</t>
  </si>
  <si>
    <t>DH105</t>
  </si>
  <si>
    <t>DH106</t>
  </si>
  <si>
    <t>DH107</t>
  </si>
  <si>
    <t>DH108</t>
  </si>
  <si>
    <t>DH109</t>
  </si>
  <si>
    <t>DH110</t>
  </si>
  <si>
    <t>DH111</t>
  </si>
  <si>
    <t>DH112</t>
  </si>
  <si>
    <t>DH113</t>
  </si>
  <si>
    <t>DH114</t>
  </si>
  <si>
    <t>DH115</t>
  </si>
  <si>
    <t>DH116</t>
  </si>
  <si>
    <t>DH117</t>
  </si>
  <si>
    <t>DH118</t>
  </si>
  <si>
    <t>DH119</t>
  </si>
  <si>
    <t>DH120</t>
  </si>
  <si>
    <t>DH121</t>
  </si>
  <si>
    <t>DH122</t>
  </si>
  <si>
    <t>DH123</t>
  </si>
  <si>
    <t>DH124</t>
  </si>
  <si>
    <t>DH125</t>
  </si>
  <si>
    <t>DH126</t>
  </si>
  <si>
    <t>DH127</t>
  </si>
  <si>
    <t>DH128</t>
  </si>
  <si>
    <t>DH129</t>
  </si>
  <si>
    <t>DH130</t>
  </si>
  <si>
    <t>DH131</t>
  </si>
  <si>
    <t>DH132</t>
  </si>
  <si>
    <t>DH133</t>
  </si>
  <si>
    <t>DH134</t>
  </si>
  <si>
    <t>DH135</t>
  </si>
  <si>
    <t>DH136</t>
  </si>
  <si>
    <t>DH137</t>
  </si>
  <si>
    <t>DH138</t>
  </si>
  <si>
    <t>DH139</t>
  </si>
  <si>
    <t>DH140</t>
  </si>
  <si>
    <t>DH141</t>
  </si>
  <si>
    <t>DH142</t>
  </si>
  <si>
    <t>DH143</t>
  </si>
  <si>
    <t>DH144</t>
  </si>
  <si>
    <t>DH145</t>
  </si>
  <si>
    <t>DH146</t>
  </si>
  <si>
    <t>DH147</t>
  </si>
  <si>
    <t>DH148</t>
  </si>
  <si>
    <t>DH149</t>
  </si>
  <si>
    <t>DH150</t>
  </si>
  <si>
    <t>DG16</t>
  </si>
  <si>
    <t>DG17</t>
  </si>
  <si>
    <t>DG18</t>
  </si>
  <si>
    <t>DG19</t>
  </si>
  <si>
    <t>DG20</t>
  </si>
  <si>
    <t>DG21</t>
  </si>
  <si>
    <t>DG22</t>
  </si>
  <si>
    <t>DG23</t>
  </si>
  <si>
    <t>DG24</t>
  </si>
  <si>
    <t>DG25</t>
  </si>
  <si>
    <t>DG26</t>
  </si>
  <si>
    <t>DG27</t>
  </si>
  <si>
    <t>DG28</t>
  </si>
  <si>
    <t>DG29</t>
  </si>
  <si>
    <t>DG30</t>
  </si>
  <si>
    <t>DG31</t>
  </si>
  <si>
    <t>DG32</t>
  </si>
  <si>
    <t>DG33</t>
  </si>
  <si>
    <t>DG34</t>
  </si>
  <si>
    <t>DG35</t>
  </si>
  <si>
    <t>DG36</t>
  </si>
  <si>
    <t>DG37</t>
  </si>
  <si>
    <t>DG38</t>
  </si>
  <si>
    <t>DG39</t>
  </si>
  <si>
    <t>DG40</t>
  </si>
  <si>
    <t>DG41</t>
  </si>
  <si>
    <t>DG42</t>
  </si>
  <si>
    <t>DG43</t>
  </si>
  <si>
    <t>DG44</t>
  </si>
  <si>
    <t>DG45</t>
  </si>
  <si>
    <t>DG46</t>
  </si>
  <si>
    <t>DG47</t>
  </si>
  <si>
    <t>DG48</t>
  </si>
  <si>
    <t>DG49</t>
  </si>
  <si>
    <t>DG50</t>
  </si>
  <si>
    <t>DG51</t>
  </si>
  <si>
    <t>DG52</t>
  </si>
  <si>
    <t>DG53</t>
  </si>
  <si>
    <t>DG54</t>
  </si>
  <si>
    <t>DG55</t>
  </si>
  <si>
    <t>DG62</t>
  </si>
  <si>
    <t>DG63</t>
  </si>
  <si>
    <t>DG64</t>
  </si>
  <si>
    <t>DG65</t>
  </si>
  <si>
    <t>DG66</t>
  </si>
  <si>
    <t>DG67</t>
  </si>
  <si>
    <t>DG68</t>
  </si>
  <si>
    <t>DG69</t>
  </si>
  <si>
    <t>DG70</t>
  </si>
  <si>
    <t>DG71</t>
  </si>
  <si>
    <t>DG72</t>
  </si>
  <si>
    <t>DG73</t>
  </si>
  <si>
    <t>DG74</t>
  </si>
  <si>
    <t>DG75</t>
  </si>
  <si>
    <t>DG76</t>
  </si>
  <si>
    <t>DG77</t>
  </si>
  <si>
    <t>DG78</t>
  </si>
  <si>
    <t>DG79</t>
  </si>
  <si>
    <t>DG80</t>
  </si>
  <si>
    <t>DG81</t>
  </si>
  <si>
    <t>DG82</t>
  </si>
  <si>
    <t>DG83</t>
  </si>
  <si>
    <t>DG84</t>
  </si>
  <si>
    <t>DG85</t>
  </si>
  <si>
    <t>DG86</t>
  </si>
  <si>
    <t>DG87</t>
  </si>
  <si>
    <t>DG88</t>
  </si>
  <si>
    <t>DG89</t>
  </si>
  <si>
    <t>DG90</t>
  </si>
  <si>
    <t>DG91</t>
  </si>
  <si>
    <t>DG92</t>
  </si>
  <si>
    <t>DG93</t>
  </si>
  <si>
    <t>DG94</t>
  </si>
  <si>
    <t>DG95</t>
  </si>
  <si>
    <t>DG96</t>
  </si>
  <si>
    <t>DG97</t>
  </si>
  <si>
    <t>DG98</t>
  </si>
  <si>
    <t>DG99</t>
  </si>
  <si>
    <t>DG100</t>
  </si>
  <si>
    <t>Samah9</t>
  </si>
  <si>
    <t>WFRLY9</t>
  </si>
  <si>
    <t>FATIMA1</t>
  </si>
  <si>
    <t>HDA10</t>
  </si>
  <si>
    <t>KYT</t>
  </si>
  <si>
    <t>KYF</t>
  </si>
  <si>
    <t>YAR1</t>
  </si>
  <si>
    <t>DG56</t>
  </si>
  <si>
    <t>DG57</t>
  </si>
  <si>
    <t>DG58</t>
  </si>
  <si>
    <t>DG59</t>
  </si>
  <si>
    <t>DG60</t>
  </si>
  <si>
    <t>DG61</t>
  </si>
  <si>
    <t>Show</t>
  </si>
  <si>
    <t>SHW1</t>
  </si>
  <si>
    <t>SHW</t>
  </si>
  <si>
    <t>NRR</t>
  </si>
  <si>
    <t>FUL</t>
  </si>
  <si>
    <t>DER</t>
  </si>
  <si>
    <t>TYK</t>
  </si>
  <si>
    <t>AAK</t>
  </si>
  <si>
    <t>AER</t>
  </si>
  <si>
    <t>ERA</t>
  </si>
  <si>
    <t>BCC</t>
  </si>
  <si>
    <t>BSS</t>
  </si>
  <si>
    <t>KLM</t>
  </si>
  <si>
    <t>FHD5</t>
  </si>
  <si>
    <t>KHD</t>
  </si>
  <si>
    <t>KHD1</t>
  </si>
  <si>
    <t>HB55</t>
  </si>
  <si>
    <t>ATH</t>
  </si>
  <si>
    <t>NAOMI</t>
  </si>
  <si>
    <t>HAY</t>
  </si>
  <si>
    <t>TBH</t>
  </si>
  <si>
    <t>TH1</t>
  </si>
  <si>
    <t>TH2</t>
  </si>
  <si>
    <t>TH3</t>
  </si>
  <si>
    <t>TH4</t>
  </si>
  <si>
    <t>TH5</t>
  </si>
  <si>
    <t>TH6</t>
  </si>
  <si>
    <t>TH7</t>
  </si>
  <si>
    <t>TH8</t>
  </si>
  <si>
    <t>TH9</t>
  </si>
  <si>
    <t>SUK</t>
  </si>
  <si>
    <t>AXA10</t>
  </si>
  <si>
    <t>AYLA1</t>
  </si>
  <si>
    <t>LOUBNA</t>
  </si>
  <si>
    <t>SHP15</t>
  </si>
  <si>
    <t>NGS</t>
  </si>
  <si>
    <t>UNQ</t>
  </si>
  <si>
    <t>AFJ</t>
  </si>
  <si>
    <t>JAV</t>
  </si>
  <si>
    <t>SAL10</t>
  </si>
  <si>
    <t>ESR</t>
  </si>
  <si>
    <t>MRWA</t>
  </si>
  <si>
    <t>KMB</t>
  </si>
  <si>
    <t>10% (Cartier Products are not applicable for discount)</t>
  </si>
  <si>
    <t>F2</t>
  </si>
  <si>
    <t>F3</t>
  </si>
  <si>
    <t>F4</t>
  </si>
  <si>
    <t>F6</t>
  </si>
  <si>
    <t>F15</t>
  </si>
  <si>
    <t>F16</t>
  </si>
  <si>
    <t>F17</t>
  </si>
  <si>
    <t>F18</t>
  </si>
  <si>
    <t>F19</t>
  </si>
  <si>
    <t>F20</t>
  </si>
  <si>
    <t>F21</t>
  </si>
  <si>
    <t>F22</t>
  </si>
  <si>
    <t>F23</t>
  </si>
  <si>
    <t>F24</t>
  </si>
  <si>
    <t>F25</t>
  </si>
  <si>
    <t>F26</t>
  </si>
  <si>
    <t>F27</t>
  </si>
  <si>
    <t>F28</t>
  </si>
  <si>
    <t>F29</t>
  </si>
  <si>
    <t>F30</t>
  </si>
  <si>
    <t>F31</t>
  </si>
  <si>
    <t>F32</t>
  </si>
  <si>
    <t>F33</t>
  </si>
  <si>
    <t>F34</t>
  </si>
  <si>
    <t>F35</t>
  </si>
  <si>
    <t>F36</t>
  </si>
  <si>
    <t>F37</t>
  </si>
  <si>
    <t>F38</t>
  </si>
  <si>
    <t>F39</t>
  </si>
  <si>
    <t>F40</t>
  </si>
  <si>
    <t>F41</t>
  </si>
  <si>
    <t>F42</t>
  </si>
  <si>
    <t>F43</t>
  </si>
  <si>
    <t>F44</t>
  </si>
  <si>
    <t>F45</t>
  </si>
  <si>
    <t>F46</t>
  </si>
  <si>
    <t>F47</t>
  </si>
  <si>
    <t>F48</t>
  </si>
  <si>
    <t>F49</t>
  </si>
  <si>
    <t>F50</t>
  </si>
  <si>
    <t>F51</t>
  </si>
  <si>
    <t>F52</t>
  </si>
  <si>
    <t>F53</t>
  </si>
  <si>
    <t>F54</t>
  </si>
  <si>
    <t>F55</t>
  </si>
  <si>
    <t>F56</t>
  </si>
  <si>
    <t>F57</t>
  </si>
  <si>
    <t>F58</t>
  </si>
  <si>
    <t>F59</t>
  </si>
  <si>
    <t>F60</t>
  </si>
  <si>
    <t>F61</t>
  </si>
  <si>
    <t>F62</t>
  </si>
  <si>
    <t>F63</t>
  </si>
  <si>
    <t>F64</t>
  </si>
  <si>
    <t>F65</t>
  </si>
  <si>
    <t>F66</t>
  </si>
  <si>
    <t>F67</t>
  </si>
  <si>
    <t>F68</t>
  </si>
  <si>
    <t>F69</t>
  </si>
  <si>
    <t>F70</t>
  </si>
  <si>
    <t>F71</t>
  </si>
  <si>
    <t>F72</t>
  </si>
  <si>
    <t>F73</t>
  </si>
  <si>
    <t>F74</t>
  </si>
  <si>
    <t>F75</t>
  </si>
  <si>
    <t>F76</t>
  </si>
  <si>
    <t>F77</t>
  </si>
  <si>
    <t>F78</t>
  </si>
  <si>
    <t>F79</t>
  </si>
  <si>
    <t>F80</t>
  </si>
  <si>
    <t>F81</t>
  </si>
  <si>
    <t>F82</t>
  </si>
  <si>
    <t>F83</t>
  </si>
  <si>
    <t>F84</t>
  </si>
  <si>
    <t>F85</t>
  </si>
  <si>
    <t>F86</t>
  </si>
  <si>
    <t>F87</t>
  </si>
  <si>
    <t>F88</t>
  </si>
  <si>
    <t>F89</t>
  </si>
  <si>
    <t>F90</t>
  </si>
  <si>
    <t>F91</t>
  </si>
  <si>
    <t>F92</t>
  </si>
  <si>
    <t>F93</t>
  </si>
  <si>
    <t>F94</t>
  </si>
  <si>
    <t>F95</t>
  </si>
  <si>
    <t>F96</t>
  </si>
  <si>
    <t>F97</t>
  </si>
  <si>
    <t>F98</t>
  </si>
  <si>
    <t>F99</t>
  </si>
  <si>
    <t>F100</t>
  </si>
  <si>
    <t>F11</t>
  </si>
  <si>
    <t>F7</t>
  </si>
  <si>
    <t>F8</t>
  </si>
  <si>
    <t>F9</t>
  </si>
  <si>
    <t>F10</t>
  </si>
  <si>
    <t>F12</t>
  </si>
  <si>
    <t>F13</t>
  </si>
  <si>
    <t>F14</t>
  </si>
  <si>
    <t>SP</t>
  </si>
  <si>
    <t>s</t>
  </si>
  <si>
    <t>10% full and 10% on MD (all regions) Normal exclusion will apply</t>
  </si>
  <si>
    <t>HH1</t>
  </si>
  <si>
    <t>HH31</t>
  </si>
  <si>
    <t>HH32</t>
  </si>
  <si>
    <t>HH33</t>
  </si>
  <si>
    <t>HH34</t>
  </si>
  <si>
    <t>HH35</t>
  </si>
  <si>
    <t>HH36</t>
  </si>
  <si>
    <t>HH37</t>
  </si>
  <si>
    <t>HH38</t>
  </si>
  <si>
    <t>HH39</t>
  </si>
  <si>
    <t>HH40</t>
  </si>
  <si>
    <t>HH41</t>
  </si>
  <si>
    <t>HH42</t>
  </si>
  <si>
    <t>HH43</t>
  </si>
  <si>
    <t>HH44</t>
  </si>
  <si>
    <t>HH45</t>
  </si>
  <si>
    <t>HH46</t>
  </si>
  <si>
    <t>HH47</t>
  </si>
  <si>
    <t>HH48</t>
  </si>
  <si>
    <t>HH49</t>
  </si>
  <si>
    <t>HH50</t>
  </si>
  <si>
    <t>HH51</t>
  </si>
  <si>
    <t>HH52</t>
  </si>
  <si>
    <t>HH53</t>
  </si>
  <si>
    <t>HH54</t>
  </si>
  <si>
    <t>HH55</t>
  </si>
  <si>
    <t>HH56</t>
  </si>
  <si>
    <t>HH57</t>
  </si>
  <si>
    <t>HH58</t>
  </si>
  <si>
    <t>HH59</t>
  </si>
  <si>
    <t>HH60</t>
  </si>
  <si>
    <t>HH61</t>
  </si>
  <si>
    <t>HH62</t>
  </si>
  <si>
    <t>HH63</t>
  </si>
  <si>
    <t>HH64</t>
  </si>
  <si>
    <t>HH65</t>
  </si>
  <si>
    <t>HH66</t>
  </si>
  <si>
    <t>HH67</t>
  </si>
  <si>
    <t>HH68</t>
  </si>
  <si>
    <t>HH69</t>
  </si>
  <si>
    <t>HH70</t>
  </si>
  <si>
    <t>HH71</t>
  </si>
  <si>
    <t>HH72</t>
  </si>
  <si>
    <t>HH73</t>
  </si>
  <si>
    <t>HH74</t>
  </si>
  <si>
    <t>HH75</t>
  </si>
  <si>
    <t>HH76</t>
  </si>
  <si>
    <t>HH77</t>
  </si>
  <si>
    <t>HH78</t>
  </si>
  <si>
    <t>HH79</t>
  </si>
  <si>
    <t>HH80</t>
  </si>
  <si>
    <t>HH81</t>
  </si>
  <si>
    <t>HH82</t>
  </si>
  <si>
    <t>HH83</t>
  </si>
  <si>
    <t>HH84</t>
  </si>
  <si>
    <t>HH85</t>
  </si>
  <si>
    <t>HH86</t>
  </si>
  <si>
    <t>HH87</t>
  </si>
  <si>
    <t>HH88</t>
  </si>
  <si>
    <t>HH89</t>
  </si>
  <si>
    <t>HH90</t>
  </si>
  <si>
    <t>HH91</t>
  </si>
  <si>
    <t>HH92</t>
  </si>
  <si>
    <t>HH93</t>
  </si>
  <si>
    <t>HH94</t>
  </si>
  <si>
    <t>HH95</t>
  </si>
  <si>
    <t>HH96</t>
  </si>
  <si>
    <t>HH97</t>
  </si>
  <si>
    <t>HH98</t>
  </si>
  <si>
    <t>HH99</t>
  </si>
  <si>
    <t>HH100</t>
  </si>
  <si>
    <t>HH101</t>
  </si>
  <si>
    <t>HH102</t>
  </si>
  <si>
    <t>HH103</t>
  </si>
  <si>
    <t>HH104</t>
  </si>
  <si>
    <t>HH105</t>
  </si>
  <si>
    <t>HH106</t>
  </si>
  <si>
    <t>HH107</t>
  </si>
  <si>
    <t>HH108</t>
  </si>
  <si>
    <t>HH109</t>
  </si>
  <si>
    <t>HH110</t>
  </si>
  <si>
    <t>HH111</t>
  </si>
  <si>
    <t>DMP1</t>
  </si>
  <si>
    <t>DMP2</t>
  </si>
  <si>
    <t>DMP3</t>
  </si>
  <si>
    <t>DMP4</t>
  </si>
  <si>
    <t>DMP5</t>
  </si>
  <si>
    <t>DMP6</t>
  </si>
  <si>
    <t>DMP7</t>
  </si>
  <si>
    <t>DMP8</t>
  </si>
  <si>
    <t>DMP9</t>
  </si>
  <si>
    <t>DMP10</t>
  </si>
  <si>
    <t>DMP11</t>
  </si>
  <si>
    <t>DMP12</t>
  </si>
  <si>
    <t>DMP13</t>
  </si>
  <si>
    <t>DMP14</t>
  </si>
  <si>
    <t>DMP15</t>
  </si>
  <si>
    <t>DMP16</t>
  </si>
  <si>
    <t>DMP17</t>
  </si>
  <si>
    <t>DMP18</t>
  </si>
  <si>
    <t>DMP19</t>
  </si>
  <si>
    <t>DMP20</t>
  </si>
  <si>
    <t>DMP21</t>
  </si>
  <si>
    <t>DMP22</t>
  </si>
  <si>
    <t>DMP23</t>
  </si>
  <si>
    <t>DMP24</t>
  </si>
  <si>
    <t>DMP25</t>
  </si>
  <si>
    <t>DMP26</t>
  </si>
  <si>
    <t>DMP27</t>
  </si>
  <si>
    <t>DMP33</t>
  </si>
  <si>
    <t>DMP39</t>
  </si>
  <si>
    <t>DMP40</t>
  </si>
  <si>
    <t>DMP41</t>
  </si>
  <si>
    <t>DMP42</t>
  </si>
  <si>
    <t>DMP43</t>
  </si>
  <si>
    <t>DMP44</t>
  </si>
  <si>
    <t>DMP45</t>
  </si>
  <si>
    <t>DMP46</t>
  </si>
  <si>
    <t>r57</t>
  </si>
  <si>
    <t>r58</t>
  </si>
  <si>
    <t>r59</t>
  </si>
  <si>
    <t>r60</t>
  </si>
  <si>
    <t>r61</t>
  </si>
  <si>
    <t>r62</t>
  </si>
  <si>
    <t>r73</t>
  </si>
  <si>
    <t>r74</t>
  </si>
  <si>
    <t>r75</t>
  </si>
  <si>
    <t>r76</t>
  </si>
  <si>
    <t>r77</t>
  </si>
  <si>
    <t>r78</t>
  </si>
  <si>
    <t>r79</t>
  </si>
  <si>
    <t>r80</t>
  </si>
  <si>
    <t>r81</t>
  </si>
  <si>
    <t>r82</t>
  </si>
  <si>
    <t>r83</t>
  </si>
  <si>
    <t>r84</t>
  </si>
  <si>
    <t>r85</t>
  </si>
  <si>
    <t>r86</t>
  </si>
  <si>
    <t>r87</t>
  </si>
  <si>
    <t>r88</t>
  </si>
  <si>
    <t>r89</t>
  </si>
  <si>
    <t>r90</t>
  </si>
  <si>
    <t>r91</t>
  </si>
  <si>
    <t>r92</t>
  </si>
  <si>
    <t>r93</t>
  </si>
  <si>
    <t>r94</t>
  </si>
  <si>
    <t>r95</t>
  </si>
  <si>
    <t>r96</t>
  </si>
  <si>
    <t>r97</t>
  </si>
  <si>
    <t>r98</t>
  </si>
  <si>
    <t>r99</t>
  </si>
  <si>
    <t>r100</t>
  </si>
  <si>
    <t>DMP28</t>
  </si>
  <si>
    <t>DMP29</t>
  </si>
  <si>
    <t>DMP30</t>
  </si>
  <si>
    <t>DMP31</t>
  </si>
  <si>
    <t>DMP32</t>
  </si>
  <si>
    <t>DMP34</t>
  </si>
  <si>
    <t>DMP35</t>
  </si>
  <si>
    <t>DMP36</t>
  </si>
  <si>
    <t>DMP37</t>
  </si>
  <si>
    <t>DMP38</t>
  </si>
  <si>
    <t>DMP50</t>
  </si>
  <si>
    <t>DMP47</t>
  </si>
  <si>
    <t>DMP48</t>
  </si>
  <si>
    <t>DMP49</t>
  </si>
  <si>
    <t>r51</t>
  </si>
  <si>
    <t>r52</t>
  </si>
  <si>
    <t>r53</t>
  </si>
  <si>
    <t>r54</t>
  </si>
  <si>
    <t>r55</t>
  </si>
  <si>
    <t>r56</t>
  </si>
  <si>
    <t>r63</t>
  </si>
  <si>
    <t>r64</t>
  </si>
  <si>
    <t>r65</t>
  </si>
  <si>
    <t>r66</t>
  </si>
  <si>
    <t>r67</t>
  </si>
  <si>
    <t>r68</t>
  </si>
  <si>
    <t>r69</t>
  </si>
  <si>
    <t>r70</t>
  </si>
  <si>
    <t>r71</t>
  </si>
  <si>
    <t>r72</t>
  </si>
  <si>
    <r>
      <rPr>
        <rFont val="Arial"/>
        <color theme="1"/>
      </rPr>
      <t xml:space="preserve">each affiliate gets 2 codes , N and R , </t>
    </r>
    <r>
      <rPr>
        <rFont val="Arial"/>
        <b/>
        <color theme="1"/>
      </rPr>
      <t xml:space="preserve">same numbers please ! </t>
    </r>
  </si>
  <si>
    <r>
      <rPr>
        <rFont val="Arial"/>
        <color theme="1"/>
      </rPr>
      <t xml:space="preserve">each affiliate gets 2 codes , D and Z ,
 </t>
    </r>
    <r>
      <rPr>
        <rFont val="Arial"/>
        <b/>
        <color theme="1"/>
      </rPr>
      <t xml:space="preserve">same serial numbers please ! </t>
    </r>
  </si>
  <si>
    <t>28/1/2025</t>
  </si>
  <si>
    <t>z8</t>
  </si>
  <si>
    <t>z7</t>
  </si>
  <si>
    <t>d8</t>
  </si>
  <si>
    <t>d7</t>
  </si>
  <si>
    <t>Z100</t>
  </si>
  <si>
    <t>10 USD coupon with 60 USD minimum usage for new users</t>
  </si>
  <si>
    <t>S10</t>
  </si>
  <si>
    <t>S11</t>
  </si>
  <si>
    <t>S12</t>
  </si>
  <si>
    <t>S13</t>
  </si>
  <si>
    <t>S14</t>
  </si>
  <si>
    <t>S15</t>
  </si>
  <si>
    <t>S23</t>
  </si>
  <si>
    <t>S24</t>
  </si>
  <si>
    <t>S25</t>
  </si>
  <si>
    <t>S26</t>
  </si>
  <si>
    <t>S27</t>
  </si>
  <si>
    <t>S28</t>
  </si>
  <si>
    <t>S29</t>
  </si>
  <si>
    <t>S30</t>
  </si>
  <si>
    <t>S31</t>
  </si>
  <si>
    <t>S32</t>
  </si>
  <si>
    <t>S33</t>
  </si>
  <si>
    <t>S34</t>
  </si>
  <si>
    <t>S35</t>
  </si>
  <si>
    <t>S36</t>
  </si>
  <si>
    <t>S37</t>
  </si>
  <si>
    <t>S38</t>
  </si>
  <si>
    <t>S39</t>
  </si>
  <si>
    <t>S40</t>
  </si>
  <si>
    <t>S41</t>
  </si>
  <si>
    <t>S42</t>
  </si>
  <si>
    <t>S43</t>
  </si>
  <si>
    <t>S44</t>
  </si>
  <si>
    <t>S45</t>
  </si>
  <si>
    <t>S46</t>
  </si>
  <si>
    <t>S47</t>
  </si>
  <si>
    <t>S48</t>
  </si>
  <si>
    <t>S49</t>
  </si>
  <si>
    <t>S50</t>
  </si>
  <si>
    <t>S51</t>
  </si>
  <si>
    <t>S52</t>
  </si>
  <si>
    <t>S53</t>
  </si>
  <si>
    <t>S54</t>
  </si>
  <si>
    <t>S55</t>
  </si>
  <si>
    <t>S56</t>
  </si>
  <si>
    <t>S57</t>
  </si>
  <si>
    <t>S58</t>
  </si>
  <si>
    <t>S59</t>
  </si>
  <si>
    <t>S60</t>
  </si>
  <si>
    <t>S61</t>
  </si>
  <si>
    <t>S62</t>
  </si>
  <si>
    <t>S63</t>
  </si>
  <si>
    <t>S64</t>
  </si>
  <si>
    <t>S65</t>
  </si>
  <si>
    <t>S66</t>
  </si>
  <si>
    <t>S67</t>
  </si>
  <si>
    <t>S68</t>
  </si>
  <si>
    <t>S69</t>
  </si>
  <si>
    <t>S70</t>
  </si>
  <si>
    <t>S71</t>
  </si>
  <si>
    <t>S72</t>
  </si>
  <si>
    <t>S73</t>
  </si>
  <si>
    <t>S74</t>
  </si>
  <si>
    <t>S75</t>
  </si>
  <si>
    <t>S76</t>
  </si>
  <si>
    <t>S77</t>
  </si>
  <si>
    <t>S78</t>
  </si>
  <si>
    <t>S79</t>
  </si>
  <si>
    <t>S80</t>
  </si>
  <si>
    <t>S81</t>
  </si>
  <si>
    <t>S82</t>
  </si>
  <si>
    <t>S83</t>
  </si>
  <si>
    <t>S84</t>
  </si>
  <si>
    <t>S85</t>
  </si>
  <si>
    <t>S86</t>
  </si>
  <si>
    <t>S87</t>
  </si>
  <si>
    <t>S88</t>
  </si>
  <si>
    <t>S89</t>
  </si>
  <si>
    <t>S90</t>
  </si>
  <si>
    <t>S91</t>
  </si>
  <si>
    <t>S92</t>
  </si>
  <si>
    <t>S93</t>
  </si>
  <si>
    <t>S94</t>
  </si>
  <si>
    <t>S95</t>
  </si>
  <si>
    <t>S96</t>
  </si>
  <si>
    <t>S97</t>
  </si>
  <si>
    <t>S98</t>
  </si>
  <si>
    <t>S99</t>
  </si>
  <si>
    <t>S100</t>
  </si>
  <si>
    <t>S101</t>
  </si>
  <si>
    <t>S102</t>
  </si>
  <si>
    <t>S103</t>
  </si>
  <si>
    <t>S104</t>
  </si>
  <si>
    <t>S105</t>
  </si>
  <si>
    <t>S106</t>
  </si>
  <si>
    <t>S107</t>
  </si>
  <si>
    <t>S108</t>
  </si>
  <si>
    <t>LJN</t>
  </si>
  <si>
    <t>ADP</t>
  </si>
  <si>
    <t>TTC</t>
  </si>
  <si>
    <t>MGY</t>
  </si>
  <si>
    <t>YAZ</t>
  </si>
  <si>
    <t>VVX</t>
  </si>
  <si>
    <t>FYQ</t>
  </si>
  <si>
    <t>QUK</t>
  </si>
  <si>
    <t>AEX</t>
  </si>
  <si>
    <t>THS</t>
  </si>
  <si>
    <t>LAJ</t>
  </si>
  <si>
    <t>HMS</t>
  </si>
  <si>
    <t>KUP</t>
  </si>
  <si>
    <t>LKV</t>
  </si>
  <si>
    <t>ESF</t>
  </si>
  <si>
    <t>LZA</t>
  </si>
  <si>
    <t>NQW</t>
  </si>
  <si>
    <t>HKD</t>
  </si>
  <si>
    <t>GVD</t>
  </si>
  <si>
    <t>CUK</t>
  </si>
  <si>
    <t>QTY</t>
  </si>
  <si>
    <t>QLK</t>
  </si>
  <si>
    <t>TRS</t>
  </si>
  <si>
    <t>RNA</t>
  </si>
  <si>
    <t>EUG</t>
  </si>
  <si>
    <t>YFR</t>
  </si>
  <si>
    <t>MRB</t>
  </si>
  <si>
    <t>YGN</t>
  </si>
  <si>
    <t>PWG</t>
  </si>
  <si>
    <t>WBT</t>
  </si>
  <si>
    <t>CXI</t>
  </si>
  <si>
    <t>XVA</t>
  </si>
  <si>
    <t>V7E</t>
  </si>
  <si>
    <t>NNV</t>
  </si>
  <si>
    <t>DHQ</t>
  </si>
  <si>
    <t>PCH</t>
  </si>
  <si>
    <t>TJT</t>
  </si>
  <si>
    <t>RSH</t>
  </si>
  <si>
    <t>HRW</t>
  </si>
  <si>
    <t>IDY</t>
  </si>
  <si>
    <t>CQH</t>
  </si>
  <si>
    <t>PTF</t>
  </si>
  <si>
    <t>ptf</t>
  </si>
  <si>
    <t>XDB</t>
  </si>
  <si>
    <t>ZJE</t>
  </si>
  <si>
    <t>HPK</t>
  </si>
  <si>
    <t>UPJ</t>
  </si>
  <si>
    <t>WJC</t>
  </si>
  <si>
    <t>SZU</t>
  </si>
  <si>
    <t>MJE</t>
  </si>
  <si>
    <t>QBZ</t>
  </si>
  <si>
    <t>NQI</t>
  </si>
  <si>
    <t>FCF</t>
  </si>
  <si>
    <t>TZW</t>
  </si>
  <si>
    <t>HFV</t>
  </si>
  <si>
    <t>PCI</t>
  </si>
  <si>
    <t>WRF</t>
  </si>
  <si>
    <t>DUE</t>
  </si>
  <si>
    <t>VTB</t>
  </si>
  <si>
    <t>CNG</t>
  </si>
  <si>
    <t>JPR</t>
  </si>
  <si>
    <t>RJW</t>
  </si>
  <si>
    <t>VYD</t>
  </si>
  <si>
    <t>GLY</t>
  </si>
  <si>
    <t>WND</t>
  </si>
  <si>
    <t>UCB</t>
  </si>
  <si>
    <t>SNN</t>
  </si>
  <si>
    <t>HJK</t>
  </si>
  <si>
    <t>LRK</t>
  </si>
  <si>
    <t>YSV</t>
  </si>
  <si>
    <t>RZY</t>
  </si>
  <si>
    <t>PTQ</t>
  </si>
  <si>
    <t>UFU</t>
  </si>
  <si>
    <t>YPB</t>
  </si>
  <si>
    <t>KSY</t>
  </si>
  <si>
    <t>JGF</t>
  </si>
  <si>
    <t>HMQ</t>
  </si>
  <si>
    <t>BQM</t>
  </si>
  <si>
    <t>QQZ</t>
  </si>
  <si>
    <t>YQF</t>
  </si>
  <si>
    <t>HZK</t>
  </si>
  <si>
    <t>HVV</t>
  </si>
  <si>
    <t>NZB</t>
  </si>
  <si>
    <t>VAD</t>
  </si>
  <si>
    <t>NWQ</t>
  </si>
  <si>
    <t>FCC</t>
  </si>
  <si>
    <t>VLV</t>
  </si>
  <si>
    <t>BYU</t>
  </si>
  <si>
    <t>DAP</t>
  </si>
  <si>
    <t>RPP</t>
  </si>
  <si>
    <t>EKK</t>
  </si>
  <si>
    <t>DAG</t>
  </si>
  <si>
    <t>DAK</t>
  </si>
  <si>
    <t>DAT</t>
  </si>
  <si>
    <t>DAZ</t>
  </si>
  <si>
    <t>DBH</t>
  </si>
  <si>
    <t>DBU</t>
  </si>
  <si>
    <t>DCI</t>
  </si>
  <si>
    <t>DCP</t>
  </si>
  <si>
    <t>DCX</t>
  </si>
  <si>
    <t>M51</t>
  </si>
  <si>
    <t>M52</t>
  </si>
  <si>
    <t>M53</t>
  </si>
  <si>
    <t>M54</t>
  </si>
  <si>
    <t>M55</t>
  </si>
  <si>
    <t>M56</t>
  </si>
  <si>
    <t>M57</t>
  </si>
  <si>
    <t>M58</t>
  </si>
  <si>
    <t>M59</t>
  </si>
  <si>
    <t>M60</t>
  </si>
  <si>
    <t>M61</t>
  </si>
  <si>
    <t>M62</t>
  </si>
  <si>
    <t>M63</t>
  </si>
  <si>
    <t>M64</t>
  </si>
  <si>
    <t>M65</t>
  </si>
  <si>
    <t>M66</t>
  </si>
  <si>
    <t>M67</t>
  </si>
  <si>
    <t>M68</t>
  </si>
  <si>
    <t>M69</t>
  </si>
  <si>
    <t>M70</t>
  </si>
  <si>
    <t>M71</t>
  </si>
  <si>
    <t>M72</t>
  </si>
  <si>
    <t>M73</t>
  </si>
  <si>
    <t>M74</t>
  </si>
  <si>
    <t>M75</t>
  </si>
  <si>
    <t>M76</t>
  </si>
  <si>
    <t>M77</t>
  </si>
  <si>
    <t>M78</t>
  </si>
  <si>
    <t>M79</t>
  </si>
  <si>
    <t>M80</t>
  </si>
  <si>
    <t>M81</t>
  </si>
  <si>
    <t>M82</t>
  </si>
  <si>
    <t>M83</t>
  </si>
  <si>
    <t>M84</t>
  </si>
  <si>
    <t>M85</t>
  </si>
  <si>
    <t>M86</t>
  </si>
  <si>
    <t>M87</t>
  </si>
  <si>
    <t>M88</t>
  </si>
  <si>
    <t>M89</t>
  </si>
  <si>
    <t>M90</t>
  </si>
  <si>
    <t>DZDS</t>
  </si>
  <si>
    <t>DZM8</t>
  </si>
  <si>
    <t>DZZN</t>
  </si>
  <si>
    <t>DZWC</t>
  </si>
  <si>
    <t>DZX6</t>
  </si>
  <si>
    <t>DZT5</t>
  </si>
  <si>
    <t>DZ7T</t>
  </si>
  <si>
    <t>DZP4</t>
  </si>
  <si>
    <t>DZSP</t>
  </si>
  <si>
    <t>DZG6</t>
  </si>
  <si>
    <t>DZ4J</t>
  </si>
  <si>
    <t>DZXS</t>
  </si>
  <si>
    <t>DZF4</t>
  </si>
  <si>
    <t>DZRM</t>
  </si>
  <si>
    <t>DZZ9</t>
  </si>
  <si>
    <t>DZD7</t>
  </si>
  <si>
    <t>DZV5</t>
  </si>
  <si>
    <t>DZ6N</t>
  </si>
  <si>
    <t>DZKD</t>
  </si>
  <si>
    <t>DZVR</t>
  </si>
  <si>
    <t>DZK9</t>
  </si>
  <si>
    <t>DZMJ</t>
  </si>
  <si>
    <t>DZX3</t>
  </si>
  <si>
    <t>DZ6S</t>
  </si>
  <si>
    <t>DZ2G</t>
  </si>
  <si>
    <t>DZMT</t>
  </si>
  <si>
    <t>DZZQ</t>
  </si>
  <si>
    <t>DZ4R</t>
  </si>
  <si>
    <t>DZF3</t>
  </si>
  <si>
    <t>DZ5Z</t>
  </si>
  <si>
    <t>DZSD</t>
  </si>
  <si>
    <t>DZCT</t>
  </si>
  <si>
    <t>DZ5F</t>
  </si>
  <si>
    <t>DZ8X</t>
  </si>
  <si>
    <t>DZZ5</t>
  </si>
  <si>
    <t>DZH7</t>
  </si>
  <si>
    <t>DZGS</t>
  </si>
  <si>
    <t>DZF2</t>
  </si>
  <si>
    <t>DZ9J</t>
  </si>
  <si>
    <t>DZ5C</t>
  </si>
  <si>
    <t>DZRP</t>
  </si>
  <si>
    <t>DZ8F</t>
  </si>
  <si>
    <t>DZK7</t>
  </si>
  <si>
    <t>DZG9</t>
  </si>
  <si>
    <t>DZ6M</t>
  </si>
  <si>
    <t>DZNQ</t>
  </si>
  <si>
    <t>DZ2X</t>
  </si>
  <si>
    <t>DZZ2</t>
  </si>
  <si>
    <t>DZPV</t>
  </si>
  <si>
    <t>DZR7</t>
  </si>
  <si>
    <t>DZV9</t>
  </si>
  <si>
    <t>DZJC</t>
  </si>
  <si>
    <t>DZFR</t>
  </si>
  <si>
    <t>DZX5</t>
  </si>
  <si>
    <t>DZ8W</t>
  </si>
  <si>
    <t>DZW7</t>
  </si>
  <si>
    <t>DZ3K</t>
  </si>
  <si>
    <t>DZH3</t>
  </si>
  <si>
    <t>DZC2</t>
  </si>
  <si>
    <t>DZXF</t>
  </si>
  <si>
    <t>DZ6R</t>
  </si>
  <si>
    <t>DZBJ</t>
  </si>
  <si>
    <t>DZ4Z</t>
  </si>
  <si>
    <t>DZ9Q</t>
  </si>
  <si>
    <t>DZSN</t>
  </si>
  <si>
    <t>DZTG</t>
  </si>
  <si>
    <t>DZRF</t>
  </si>
  <si>
    <t>DZ5T</t>
  </si>
  <si>
    <t>DZ3Z</t>
  </si>
  <si>
    <t>DZT8</t>
  </si>
  <si>
    <t>DZ6B</t>
  </si>
  <si>
    <t>DZWH</t>
  </si>
  <si>
    <t>DZJN</t>
  </si>
  <si>
    <t>DZ3X</t>
  </si>
  <si>
    <t>DZ7D</t>
  </si>
  <si>
    <t>DZX7</t>
  </si>
  <si>
    <t>DZMH</t>
  </si>
  <si>
    <t>DZKZ</t>
  </si>
  <si>
    <t>DZDQ</t>
  </si>
  <si>
    <t>DZN2</t>
  </si>
  <si>
    <t>VSW1A</t>
  </si>
  <si>
    <t>VMV1B</t>
  </si>
  <si>
    <t>VQ6H1</t>
  </si>
  <si>
    <t>VVJO1</t>
  </si>
  <si>
    <t>VA7SU</t>
  </si>
  <si>
    <t>V2M73</t>
  </si>
  <si>
    <t>VCUKG</t>
  </si>
  <si>
    <t>VAH79</t>
  </si>
  <si>
    <t>VEFI8</t>
  </si>
  <si>
    <t>VZ42E</t>
  </si>
  <si>
    <t>VOZON</t>
  </si>
  <si>
    <t>VB2FI</t>
  </si>
  <si>
    <t>VNF9A</t>
  </si>
  <si>
    <t>VJNEO</t>
  </si>
  <si>
    <t>VNQLC</t>
  </si>
  <si>
    <t>VGY6H</t>
  </si>
  <si>
    <t>VG1UW</t>
  </si>
  <si>
    <t>VGK84</t>
  </si>
  <si>
    <t>VEWY8</t>
  </si>
  <si>
    <t>VA53Z</t>
  </si>
  <si>
    <t>V9I2Z</t>
  </si>
  <si>
    <t>VZUEX</t>
  </si>
  <si>
    <t>VNWRQ</t>
  </si>
  <si>
    <t>VRMMC</t>
  </si>
  <si>
    <t>VB1AU</t>
  </si>
  <si>
    <t>V3Z39</t>
  </si>
  <si>
    <t>V2GR5</t>
  </si>
  <si>
    <t>V029T</t>
  </si>
  <si>
    <t>V2DZ9</t>
  </si>
  <si>
    <t>V3MR9</t>
  </si>
  <si>
    <t>V2IA7</t>
  </si>
  <si>
    <t>VV49K</t>
  </si>
  <si>
    <t>VEQ7H</t>
  </si>
  <si>
    <t>V2IBA</t>
  </si>
  <si>
    <t>VIZBO</t>
  </si>
  <si>
    <t>VEV2N</t>
  </si>
  <si>
    <t>V8TQJ</t>
  </si>
  <si>
    <t>V9UJG</t>
  </si>
  <si>
    <t>V8Y7I</t>
  </si>
  <si>
    <t>VJXEE</t>
  </si>
  <si>
    <t>V8W43</t>
  </si>
  <si>
    <t>VSUL0</t>
  </si>
  <si>
    <t>VMSML</t>
  </si>
  <si>
    <t>VNNZ8</t>
  </si>
  <si>
    <t>V2T2B</t>
  </si>
  <si>
    <t>VJVDR</t>
  </si>
  <si>
    <t>VJ35L</t>
  </si>
  <si>
    <t>VPIEA</t>
  </si>
  <si>
    <t>VZCLK</t>
  </si>
  <si>
    <t>V2R1A</t>
  </si>
  <si>
    <t>VJFD6</t>
  </si>
  <si>
    <t>VG7O2</t>
  </si>
  <si>
    <t>VJZ3G</t>
  </si>
  <si>
    <t>VW7M7</t>
  </si>
  <si>
    <t>VG1YH</t>
  </si>
  <si>
    <t>V0U5F</t>
  </si>
  <si>
    <t>VOZ14</t>
  </si>
  <si>
    <t>V4YVH</t>
  </si>
  <si>
    <t>V6KRT</t>
  </si>
  <si>
    <t>VT3KT</t>
  </si>
  <si>
    <t>VRIB5</t>
  </si>
  <si>
    <t>VHZYT</t>
  </si>
  <si>
    <t>V0OFI</t>
  </si>
  <si>
    <t>VZMKW</t>
  </si>
  <si>
    <t>VJ3Q6</t>
  </si>
  <si>
    <t>VAFKV</t>
  </si>
  <si>
    <t>VBCT9</t>
  </si>
  <si>
    <t>VC8IA</t>
  </si>
  <si>
    <t>VMGOT</t>
  </si>
  <si>
    <t>VJ087</t>
  </si>
  <si>
    <t>V3JBR</t>
  </si>
  <si>
    <t>VP8RR</t>
  </si>
  <si>
    <t>VNN0C</t>
  </si>
  <si>
    <t>VJTFI</t>
  </si>
  <si>
    <t>VF09A</t>
  </si>
  <si>
    <t>VWY7E</t>
  </si>
  <si>
    <t>VW5UH</t>
  </si>
  <si>
    <t>VZJN4</t>
  </si>
  <si>
    <t>V97N6</t>
  </si>
  <si>
    <t>VZ740</t>
  </si>
  <si>
    <t>VNO5W</t>
  </si>
  <si>
    <t>VMC1X</t>
  </si>
  <si>
    <t>V9A2O</t>
  </si>
  <si>
    <t>VYSPX</t>
  </si>
  <si>
    <t>V9ZHK</t>
  </si>
  <si>
    <t>VB9M5</t>
  </si>
  <si>
    <t>VODAV</t>
  </si>
  <si>
    <t>VMNWQ</t>
  </si>
  <si>
    <t>VMGB8</t>
  </si>
  <si>
    <t>VFJDN</t>
  </si>
  <si>
    <t>VKEW9</t>
  </si>
  <si>
    <t>VDQY3</t>
  </si>
  <si>
    <t>VKFQC</t>
  </si>
  <si>
    <t>VY2R6</t>
  </si>
  <si>
    <t>VX4TY</t>
  </si>
  <si>
    <t>VYRJG</t>
  </si>
  <si>
    <t>VDPZ1</t>
  </si>
  <si>
    <t>VV468</t>
  </si>
  <si>
    <t>V0AU0</t>
  </si>
  <si>
    <t>VWIEF</t>
  </si>
  <si>
    <t>VIX2N</t>
  </si>
  <si>
    <t>VQMSY</t>
  </si>
  <si>
    <t>VX1PE</t>
  </si>
  <si>
    <t>VXGV9</t>
  </si>
  <si>
    <t>VZ3QB</t>
  </si>
  <si>
    <t>VJEHW</t>
  </si>
  <si>
    <t>VB238</t>
  </si>
  <si>
    <t>V6XVV</t>
  </si>
  <si>
    <t>V09AX</t>
  </si>
  <si>
    <t>VDSI6</t>
  </si>
  <si>
    <t>VY2E1</t>
  </si>
  <si>
    <t>VJJCC</t>
  </si>
  <si>
    <t>VSDII</t>
  </si>
  <si>
    <t>VMWCH</t>
  </si>
  <si>
    <t>V8OXY</t>
  </si>
  <si>
    <t>VNOBW</t>
  </si>
  <si>
    <t>VLTPA</t>
  </si>
  <si>
    <t>VUHEE</t>
  </si>
  <si>
    <t>VFR5F</t>
  </si>
  <si>
    <t>V1ISJ</t>
  </si>
  <si>
    <t>VHJPU</t>
  </si>
  <si>
    <t>VM3NJ</t>
  </si>
  <si>
    <t>VVZUH</t>
  </si>
  <si>
    <t>V1EA7</t>
  </si>
  <si>
    <t>VJ0NV</t>
  </si>
  <si>
    <t>VG9EW</t>
  </si>
  <si>
    <t>VZPRU</t>
  </si>
  <si>
    <t>VSTDE</t>
  </si>
  <si>
    <t>VOXLH</t>
  </si>
  <si>
    <t>V2HMO</t>
  </si>
  <si>
    <t>VB5PX</t>
  </si>
  <si>
    <t>V5UF1</t>
  </si>
  <si>
    <t>V0VHV</t>
  </si>
  <si>
    <t>V7H7H</t>
  </si>
  <si>
    <t>VBM3A</t>
  </si>
  <si>
    <t>VRKPO</t>
  </si>
  <si>
    <t>VTTRQ</t>
  </si>
  <si>
    <t>VICX1</t>
  </si>
  <si>
    <t>VAWDE</t>
  </si>
  <si>
    <t>VI9DO</t>
  </si>
  <si>
    <t>VMFQ2</t>
  </si>
  <si>
    <t>VBMF7</t>
  </si>
  <si>
    <t>VQNX8</t>
  </si>
  <si>
    <t>V64NB</t>
  </si>
  <si>
    <t>V6WKA</t>
  </si>
  <si>
    <t>VOBBC</t>
  </si>
  <si>
    <t>VNPV9</t>
  </si>
  <si>
    <t>VD70I</t>
  </si>
  <si>
    <t>V2ZWM</t>
  </si>
  <si>
    <t>VD1Z6</t>
  </si>
  <si>
    <t>VHE72</t>
  </si>
  <si>
    <t>VJD1C</t>
  </si>
  <si>
    <t>VXF83</t>
  </si>
  <si>
    <t>VUK9L</t>
  </si>
  <si>
    <t>VE8QY</t>
  </si>
  <si>
    <t>VTOAT</t>
  </si>
  <si>
    <t>VNBDB</t>
  </si>
  <si>
    <t>VUUB4</t>
  </si>
  <si>
    <t>VBZ28</t>
  </si>
  <si>
    <t>V65QX</t>
  </si>
  <si>
    <t>V7YNL</t>
  </si>
  <si>
    <t>VYFTN</t>
  </si>
  <si>
    <t>VUW3L</t>
  </si>
  <si>
    <t>VABG9</t>
  </si>
  <si>
    <t>VPLZM</t>
  </si>
  <si>
    <t>VU9RU</t>
  </si>
  <si>
    <t>VEYZF</t>
  </si>
  <si>
    <t>V9E67</t>
  </si>
  <si>
    <t>VQ1WZ</t>
  </si>
  <si>
    <t>V795U</t>
  </si>
  <si>
    <t>VH1CX</t>
  </si>
  <si>
    <t>VYBMX</t>
  </si>
  <si>
    <t>VI3QB</t>
  </si>
  <si>
    <t>V7W9A</t>
  </si>
  <si>
    <t>VAQEK</t>
  </si>
  <si>
    <t>VSUD1</t>
  </si>
  <si>
    <t>VMA3B</t>
  </si>
  <si>
    <t>VJC8L</t>
  </si>
  <si>
    <t>VB104</t>
  </si>
  <si>
    <t>VHBES</t>
  </si>
  <si>
    <t>V83A4</t>
  </si>
  <si>
    <t>V6JW7</t>
  </si>
  <si>
    <t>VTC4C</t>
  </si>
  <si>
    <t>VVKHM</t>
  </si>
  <si>
    <t>VJGKU</t>
  </si>
  <si>
    <t>VAFJL</t>
  </si>
  <si>
    <t>VHU41</t>
  </si>
  <si>
    <t>VAPBL</t>
  </si>
  <si>
    <t>V6ODO</t>
  </si>
  <si>
    <t>VOE71</t>
  </si>
  <si>
    <t>VB1WC</t>
  </si>
  <si>
    <t>VLXCN</t>
  </si>
  <si>
    <t>V7WXC</t>
  </si>
  <si>
    <t>VS8LK</t>
  </si>
  <si>
    <t>VWV3G</t>
  </si>
  <si>
    <t>VW8RR</t>
  </si>
  <si>
    <t>V6E4I</t>
  </si>
  <si>
    <t>V9QLY</t>
  </si>
  <si>
    <t>VJ31E</t>
  </si>
  <si>
    <t>VE4DS</t>
  </si>
  <si>
    <t>VJ4LH</t>
  </si>
  <si>
    <t>VYH98</t>
  </si>
  <si>
    <t>VUW3Q</t>
  </si>
  <si>
    <t>VFCVC</t>
  </si>
  <si>
    <t>VET1A</t>
  </si>
  <si>
    <t>VEV3U</t>
  </si>
  <si>
    <t>VVJHV</t>
  </si>
  <si>
    <t>VQFF4</t>
  </si>
  <si>
    <t>VPUK1</t>
  </si>
  <si>
    <t>VUVEA</t>
  </si>
  <si>
    <t>VVRQU</t>
  </si>
  <si>
    <t>VNRP0</t>
  </si>
  <si>
    <t>VV0HF</t>
  </si>
  <si>
    <t>V16S6</t>
  </si>
  <si>
    <t>VJLCH</t>
  </si>
  <si>
    <t>VFQUU</t>
  </si>
  <si>
    <t>VNOVT</t>
  </si>
  <si>
    <t>V7OML</t>
  </si>
  <si>
    <t>VY84O</t>
  </si>
  <si>
    <t>V4BEZ</t>
  </si>
  <si>
    <t>VBKRM</t>
  </si>
  <si>
    <t>VRSRT</t>
  </si>
  <si>
    <t>VNU2N</t>
  </si>
  <si>
    <t>V3BES</t>
  </si>
  <si>
    <t>VJK9V</t>
  </si>
  <si>
    <t>VQ7C5</t>
  </si>
  <si>
    <t>VIP9O</t>
  </si>
  <si>
    <t>VMKX9</t>
  </si>
  <si>
    <t>VQI6S</t>
  </si>
  <si>
    <t>VZPKU</t>
  </si>
  <si>
    <t>V7DHT</t>
  </si>
  <si>
    <t>VA31O</t>
  </si>
  <si>
    <t>V05S0</t>
  </si>
  <si>
    <t>V5JMD</t>
  </si>
  <si>
    <t>VBJXS</t>
  </si>
  <si>
    <t>VQF6C</t>
  </si>
  <si>
    <t>VX8KL</t>
  </si>
  <si>
    <t>VJ7D4</t>
  </si>
  <si>
    <t>VNTHW</t>
  </si>
  <si>
    <t>VO77U</t>
  </si>
  <si>
    <t>VDBCO</t>
  </si>
  <si>
    <t>V3BW5</t>
  </si>
  <si>
    <t>VW6GD</t>
  </si>
  <si>
    <t>VOU88</t>
  </si>
  <si>
    <t>V0A4L</t>
  </si>
  <si>
    <t>VRYEX</t>
  </si>
  <si>
    <t>VYKTV</t>
  </si>
  <si>
    <t>V0U71</t>
  </si>
  <si>
    <t>VCE9X</t>
  </si>
  <si>
    <t>VYE6P</t>
  </si>
  <si>
    <t>VM0OR</t>
  </si>
  <si>
    <t>VRB12</t>
  </si>
  <si>
    <t>VEXE8</t>
  </si>
  <si>
    <t>V99ID</t>
  </si>
  <si>
    <t>VXY73</t>
  </si>
  <si>
    <t>VABIQ</t>
  </si>
  <si>
    <t>V102L</t>
  </si>
  <si>
    <t>V0Q13</t>
  </si>
  <si>
    <t>V0J14</t>
  </si>
  <si>
    <t>VBQLH</t>
  </si>
  <si>
    <t>VGP38</t>
  </si>
  <si>
    <t>VD53O</t>
  </si>
  <si>
    <t>VLJFL</t>
  </si>
  <si>
    <t>V3H8K</t>
  </si>
  <si>
    <t>VBXQL</t>
  </si>
  <si>
    <t>VITX6</t>
  </si>
  <si>
    <t>VRCGK</t>
  </si>
  <si>
    <t>VWKA8</t>
  </si>
  <si>
    <t>V69QJ</t>
  </si>
  <si>
    <t>VZ8PU</t>
  </si>
  <si>
    <t>VV7KL</t>
  </si>
  <si>
    <t>VZPSD</t>
  </si>
  <si>
    <t>VYV1V</t>
  </si>
  <si>
    <t>VMMNJ</t>
  </si>
  <si>
    <t>VDBMU</t>
  </si>
  <si>
    <t>VAMIP</t>
  </si>
  <si>
    <t>VOJYU</t>
  </si>
  <si>
    <t>VC0M6</t>
  </si>
  <si>
    <t>VTZQ8</t>
  </si>
  <si>
    <t>V3US6</t>
  </si>
  <si>
    <t>VJO4C</t>
  </si>
  <si>
    <t>VDJPU</t>
  </si>
  <si>
    <t>VEKBA</t>
  </si>
  <si>
    <t>VYWXJ</t>
  </si>
  <si>
    <t>VUQGS</t>
  </si>
  <si>
    <t>V6YC3</t>
  </si>
  <si>
    <t>V44TR</t>
  </si>
  <si>
    <t>V30FS</t>
  </si>
  <si>
    <t>VT9WM</t>
  </si>
  <si>
    <t>VK9EF</t>
  </si>
  <si>
    <t>VEDGC</t>
  </si>
  <si>
    <t>VD1YJ</t>
  </si>
  <si>
    <t>V5XPQ</t>
  </si>
  <si>
    <t>VOEJU</t>
  </si>
  <si>
    <t>V0DPO</t>
  </si>
  <si>
    <t>VT97N</t>
  </si>
  <si>
    <t>VP1TB</t>
  </si>
  <si>
    <t>VN3HB</t>
  </si>
  <si>
    <t>V8ZP7</t>
  </si>
  <si>
    <t>VT8IL</t>
  </si>
  <si>
    <t>VDUN8</t>
  </si>
  <si>
    <t>VDSLL</t>
  </si>
  <si>
    <t>VE3BR</t>
  </si>
  <si>
    <t>VCU6K</t>
  </si>
  <si>
    <t>VZ4WR</t>
  </si>
  <si>
    <t>VILEI</t>
  </si>
  <si>
    <t>VEJOG</t>
  </si>
  <si>
    <t>V2YUJ</t>
  </si>
  <si>
    <t>VUTU4</t>
  </si>
  <si>
    <t>VXOZU</t>
  </si>
  <si>
    <t>VSXXW</t>
  </si>
  <si>
    <t>VPFRT</t>
  </si>
  <si>
    <t>V5X3U</t>
  </si>
  <si>
    <t>VMTW2</t>
  </si>
  <si>
    <t>VVI2W</t>
  </si>
  <si>
    <t>V9UYW</t>
  </si>
  <si>
    <t>VF9FG</t>
  </si>
  <si>
    <t>VRS2T</t>
  </si>
  <si>
    <t>V0XHI</t>
  </si>
  <si>
    <t>V5BT1</t>
  </si>
  <si>
    <t>VV39D</t>
  </si>
  <si>
    <t>VWAYT</t>
  </si>
  <si>
    <t>VB2F7</t>
  </si>
  <si>
    <t>VVDRG</t>
  </si>
  <si>
    <t>VCMCG</t>
  </si>
  <si>
    <t>VNSBN</t>
  </si>
  <si>
    <t>V0GUL</t>
  </si>
  <si>
    <t>VIOCQ</t>
  </si>
  <si>
    <t>VESWO</t>
  </si>
  <si>
    <t>VTH5L</t>
  </si>
  <si>
    <t>VT4RZ</t>
  </si>
  <si>
    <t>VQ4SH</t>
  </si>
  <si>
    <t>VJJLM</t>
  </si>
  <si>
    <t>V0JUK</t>
  </si>
  <si>
    <t>VPSZ9</t>
  </si>
  <si>
    <t>V85IH</t>
  </si>
  <si>
    <t>VXYM2</t>
  </si>
  <si>
    <t>VCP32</t>
  </si>
  <si>
    <t>VGNO8</t>
  </si>
  <si>
    <t>VL6HH</t>
  </si>
  <si>
    <t>V0JI4</t>
  </si>
  <si>
    <t>VKT5I</t>
  </si>
  <si>
    <t>VTWSA</t>
  </si>
  <si>
    <t>V6DDC</t>
  </si>
  <si>
    <t>V3BIK</t>
  </si>
  <si>
    <t>VBSNU</t>
  </si>
  <si>
    <t>VA05S</t>
  </si>
  <si>
    <t>VE3RE</t>
  </si>
  <si>
    <t>VA56U</t>
  </si>
  <si>
    <t>VL5GI</t>
  </si>
  <si>
    <t>V452P</t>
  </si>
  <si>
    <t>V7REM</t>
  </si>
  <si>
    <t>VS63R</t>
  </si>
  <si>
    <t>VBOJ7</t>
  </si>
  <si>
    <t>VJLFV</t>
  </si>
  <si>
    <t>VBKKJ</t>
  </si>
  <si>
    <t>VV3EH</t>
  </si>
  <si>
    <t>VKBZA</t>
  </si>
  <si>
    <t>VR574</t>
  </si>
  <si>
    <t>VY0O1</t>
  </si>
  <si>
    <t>VGPOY</t>
  </si>
  <si>
    <t>V8M7U</t>
  </si>
  <si>
    <t>VAYGQ</t>
  </si>
  <si>
    <t>V5CD0</t>
  </si>
  <si>
    <t>V4DKA</t>
  </si>
  <si>
    <t>V3Y4S</t>
  </si>
  <si>
    <t>VXMJW</t>
  </si>
  <si>
    <t>V6T5D</t>
  </si>
  <si>
    <t>VTEZ3</t>
  </si>
  <si>
    <t>VP8WB</t>
  </si>
  <si>
    <t>VNI1Z</t>
  </si>
  <si>
    <t>V2OEN</t>
  </si>
  <si>
    <t>VWPR8</t>
  </si>
  <si>
    <t>VNFR1</t>
  </si>
  <si>
    <t>VUN9O</t>
  </si>
  <si>
    <t>VBO58</t>
  </si>
  <si>
    <t>VXTOI</t>
  </si>
  <si>
    <t>VS76C</t>
  </si>
  <si>
    <t>VQRDG</t>
  </si>
  <si>
    <t>VW0WR</t>
  </si>
  <si>
    <t>VA2QD</t>
  </si>
  <si>
    <t>V9R4M</t>
  </si>
  <si>
    <t>VB7D9</t>
  </si>
  <si>
    <t>VDRCE</t>
  </si>
  <si>
    <t>V2VD2</t>
  </si>
  <si>
    <t>VZRC5</t>
  </si>
  <si>
    <t>V7RP2</t>
  </si>
  <si>
    <t>VYCMS</t>
  </si>
  <si>
    <t>VSL2C</t>
  </si>
  <si>
    <t>VHQD2</t>
  </si>
  <si>
    <t>VN1FE</t>
  </si>
  <si>
    <t>VVVPL</t>
  </si>
  <si>
    <t>VE3H6</t>
  </si>
  <si>
    <t>V9E40</t>
  </si>
  <si>
    <t>V1JPV</t>
  </si>
  <si>
    <t>VJLXT</t>
  </si>
  <si>
    <t>V7NJZ</t>
  </si>
  <si>
    <t>V7578</t>
  </si>
  <si>
    <t>VEKNE</t>
  </si>
  <si>
    <t>VT8AO</t>
  </si>
  <si>
    <t>VMB9J</t>
  </si>
  <si>
    <t>V24R0</t>
  </si>
  <si>
    <t>VR075</t>
  </si>
  <si>
    <t>V6TE0</t>
  </si>
  <si>
    <t>VRGEQ</t>
  </si>
  <si>
    <t>V2OLB</t>
  </si>
  <si>
    <t>VNHW5</t>
  </si>
  <si>
    <t>VJXQG</t>
  </si>
  <si>
    <t>VZQBV</t>
  </si>
  <si>
    <t>V8FZ3</t>
  </si>
  <si>
    <t>VAQ7H</t>
  </si>
  <si>
    <t>V566I</t>
  </si>
  <si>
    <t>VYP29</t>
  </si>
  <si>
    <t>VVRXY</t>
  </si>
  <si>
    <t>V81JQ</t>
  </si>
  <si>
    <t>V342Q</t>
  </si>
  <si>
    <t>V2INJ</t>
  </si>
  <si>
    <t>VWCJJ</t>
  </si>
  <si>
    <t>VA88L</t>
  </si>
  <si>
    <t>V65EA</t>
  </si>
  <si>
    <t>V0VXI</t>
  </si>
  <si>
    <t>V02NM</t>
  </si>
  <si>
    <t>VKFYJ</t>
  </si>
  <si>
    <t>VNU5L</t>
  </si>
  <si>
    <t>VNRL2</t>
  </si>
  <si>
    <t>VVB9O</t>
  </si>
  <si>
    <t>VPDAO</t>
  </si>
  <si>
    <t>VS899</t>
  </si>
  <si>
    <t>VJ8NH</t>
  </si>
  <si>
    <t>VXX4Z</t>
  </si>
  <si>
    <t>VY9YF</t>
  </si>
  <si>
    <t>VAYZL</t>
  </si>
  <si>
    <t>VDJTO</t>
  </si>
  <si>
    <t>VAKTX</t>
  </si>
  <si>
    <t>V946Y</t>
  </si>
  <si>
    <t>V3JLY</t>
  </si>
  <si>
    <t>VPZMK</t>
  </si>
  <si>
    <t>VYW00</t>
  </si>
  <si>
    <t>VCHUB</t>
  </si>
  <si>
    <t>V05TF</t>
  </si>
  <si>
    <t>VGWLP</t>
  </si>
  <si>
    <t>V61W5</t>
  </si>
  <si>
    <t>VZAIK</t>
  </si>
  <si>
    <t>VRVXF</t>
  </si>
  <si>
    <t>VZS53</t>
  </si>
  <si>
    <t>VLSBX</t>
  </si>
  <si>
    <t>V64TY</t>
  </si>
  <si>
    <t>V0HFJ</t>
  </si>
  <si>
    <t>VVU5U</t>
  </si>
  <si>
    <t>V7NZ3</t>
  </si>
  <si>
    <t>V98J0</t>
  </si>
  <si>
    <t>VG5GP</t>
  </si>
  <si>
    <t>VYVBT</t>
  </si>
  <si>
    <t>VQT4R</t>
  </si>
  <si>
    <t>V75DZ</t>
  </si>
  <si>
    <t>VYUE2</t>
  </si>
  <si>
    <t>V2AQ1</t>
  </si>
  <si>
    <t>V7OK8</t>
  </si>
  <si>
    <t>V8FUX</t>
  </si>
  <si>
    <t>VXZ55</t>
  </si>
  <si>
    <t>V3YGR</t>
  </si>
  <si>
    <t>VBQIM</t>
  </si>
  <si>
    <t>VL78N</t>
  </si>
  <si>
    <t>VLSBD</t>
  </si>
  <si>
    <t>V4KIJ</t>
  </si>
  <si>
    <t>VD2VW</t>
  </si>
  <si>
    <t>V2J3G</t>
  </si>
  <si>
    <t>VT7S5</t>
  </si>
  <si>
    <t>VAP1F</t>
  </si>
  <si>
    <t>VTGLR</t>
  </si>
  <si>
    <t>VVAE7</t>
  </si>
  <si>
    <t>V65U1</t>
  </si>
  <si>
    <t>V3ZH2</t>
  </si>
  <si>
    <t>V6A4M</t>
  </si>
  <si>
    <t>V297J</t>
  </si>
  <si>
    <t>V4EZC</t>
  </si>
  <si>
    <t>VZ144</t>
  </si>
  <si>
    <t>V0UGV</t>
  </si>
  <si>
    <t>VLTGJ</t>
  </si>
  <si>
    <t>VQ5PP</t>
  </si>
  <si>
    <t>VZL3E</t>
  </si>
  <si>
    <t>VKN4B</t>
  </si>
  <si>
    <t>VH4EZ</t>
  </si>
  <si>
    <t>V6RAR</t>
  </si>
  <si>
    <t>VF265</t>
  </si>
  <si>
    <t>V28LU</t>
  </si>
  <si>
    <t>VONME</t>
  </si>
  <si>
    <t>VM8G8</t>
  </si>
  <si>
    <t>VBBYF</t>
  </si>
  <si>
    <t>VO71J</t>
  </si>
  <si>
    <t>VGJ3Y</t>
  </si>
  <si>
    <t>V1M4Z</t>
  </si>
  <si>
    <t>VLCKY</t>
  </si>
  <si>
    <t>VJM5Y</t>
  </si>
  <si>
    <t>VXPVV</t>
  </si>
  <si>
    <t>V3UKW</t>
  </si>
  <si>
    <t>VE7YO</t>
  </si>
  <si>
    <t>VPZWR</t>
  </si>
  <si>
    <t>V2E76</t>
  </si>
  <si>
    <t>VWDWI</t>
  </si>
  <si>
    <t>VLE5Z</t>
  </si>
  <si>
    <t>VXRF0</t>
  </si>
  <si>
    <t>V5SRS</t>
  </si>
  <si>
    <t>VT3ZC</t>
  </si>
  <si>
    <t>VUIFW</t>
  </si>
  <si>
    <t>VDO8X</t>
  </si>
  <si>
    <t>V9P48</t>
  </si>
  <si>
    <t>VXR0G</t>
  </si>
  <si>
    <t>VKA1N</t>
  </si>
  <si>
    <t>V7GT0</t>
  </si>
  <si>
    <t>VCMNE</t>
  </si>
  <si>
    <t>V7ZCK</t>
  </si>
  <si>
    <t>VPASS</t>
  </si>
  <si>
    <t>VKCAP</t>
  </si>
  <si>
    <t>VZYG1</t>
  </si>
  <si>
    <t>VQVV7</t>
  </si>
  <si>
    <t>VYR24</t>
  </si>
  <si>
    <t>VJP4Z</t>
  </si>
  <si>
    <t>VI7AZ</t>
  </si>
  <si>
    <t>V1HI3</t>
  </si>
  <si>
    <t>VR6Z6</t>
  </si>
  <si>
    <t>VPC61</t>
  </si>
  <si>
    <t>V2KGN</t>
  </si>
  <si>
    <t>VCRPP</t>
  </si>
  <si>
    <t>V6NHK</t>
  </si>
  <si>
    <t>VBERV</t>
  </si>
  <si>
    <t>V271W</t>
  </si>
  <si>
    <t>VORJI</t>
  </si>
  <si>
    <t>VAAK9</t>
  </si>
  <si>
    <t>V944Y</t>
  </si>
  <si>
    <t>VCMF7</t>
  </si>
  <si>
    <t>VLCJL</t>
  </si>
  <si>
    <t>VU5B9</t>
  </si>
  <si>
    <t>VA7AD</t>
  </si>
  <si>
    <t>VBI0G</t>
  </si>
  <si>
    <t>VK8GD</t>
  </si>
  <si>
    <t>V3WSR</t>
  </si>
  <si>
    <t>VWGF4</t>
  </si>
  <si>
    <t>VEJNT</t>
  </si>
  <si>
    <t>VN7LS</t>
  </si>
  <si>
    <t>V896W</t>
  </si>
  <si>
    <t>V0I4Q</t>
  </si>
  <si>
    <t>VN4YI</t>
  </si>
  <si>
    <t>VEZZI</t>
  </si>
  <si>
    <t>VBPH3</t>
  </si>
  <si>
    <t>VBIVH</t>
  </si>
  <si>
    <t>V3Y7E</t>
  </si>
  <si>
    <t>VIGD2</t>
  </si>
  <si>
    <t>V0MHE</t>
  </si>
  <si>
    <t>VM46X</t>
  </si>
  <si>
    <t>VXZX1</t>
  </si>
  <si>
    <t>V78AO</t>
  </si>
  <si>
    <t>VXULF</t>
  </si>
  <si>
    <t>V6YII</t>
  </si>
  <si>
    <t>VDZHG</t>
  </si>
  <si>
    <t>VBLZR</t>
  </si>
  <si>
    <t>VEAF0</t>
  </si>
  <si>
    <t>V9K4C</t>
  </si>
  <si>
    <t>V4UPK</t>
  </si>
  <si>
    <t>VXAEX</t>
  </si>
  <si>
    <t>VTCQ0</t>
  </si>
  <si>
    <t>VUFOE</t>
  </si>
  <si>
    <t>VMDVQ</t>
  </si>
  <si>
    <t>VUCUL</t>
  </si>
  <si>
    <t>VTO20</t>
  </si>
  <si>
    <t>VV2RV</t>
  </si>
  <si>
    <t>VVGQR</t>
  </si>
  <si>
    <t>VUVVT</t>
  </si>
  <si>
    <t>VH80E</t>
  </si>
  <si>
    <t>VUACS</t>
  </si>
  <si>
    <t>VJLDT</t>
  </si>
  <si>
    <t>V7O58</t>
  </si>
  <si>
    <t>VNJ0T</t>
  </si>
  <si>
    <t>VJUM0</t>
  </si>
  <si>
    <t>V2WGD</t>
  </si>
  <si>
    <t>V6HIV</t>
  </si>
  <si>
    <t>VDGCV</t>
  </si>
  <si>
    <t>V8G64</t>
  </si>
  <si>
    <t>V9W9K</t>
  </si>
  <si>
    <t>VECQG</t>
  </si>
  <si>
    <t>VD9YO</t>
  </si>
  <si>
    <t>VLC4D</t>
  </si>
  <si>
    <t>VM49K</t>
  </si>
  <si>
    <t>V5X7B</t>
  </si>
  <si>
    <t>VQZ18</t>
  </si>
  <si>
    <t>V49RB</t>
  </si>
  <si>
    <t>VKBD0</t>
  </si>
  <si>
    <t>V869A</t>
  </si>
  <si>
    <t>VR5RO</t>
  </si>
  <si>
    <t>VPBPH</t>
  </si>
  <si>
    <t>VSMGO</t>
  </si>
  <si>
    <t>V1YZ4</t>
  </si>
  <si>
    <t>VKC1F</t>
  </si>
  <si>
    <t>VDYO0</t>
  </si>
  <si>
    <t>V44EV</t>
  </si>
  <si>
    <t>VRM9Q</t>
  </si>
  <si>
    <t>VJI1A</t>
  </si>
  <si>
    <t>V5WJW</t>
  </si>
  <si>
    <t>V08ML</t>
  </si>
  <si>
    <t>VCJJ6</t>
  </si>
  <si>
    <t>VBTKU</t>
  </si>
  <si>
    <t>VVP15</t>
  </si>
  <si>
    <t>VU34D</t>
  </si>
  <si>
    <t>V9C5D</t>
  </si>
  <si>
    <t>VKQ2L</t>
  </si>
  <si>
    <t>VLQIK</t>
  </si>
  <si>
    <t>V127V</t>
  </si>
  <si>
    <t>V6QL1</t>
  </si>
  <si>
    <t>VBSJ8</t>
  </si>
  <si>
    <t>VBQFX</t>
  </si>
  <si>
    <t>V006K</t>
  </si>
  <si>
    <t>VFG7E</t>
  </si>
  <si>
    <t>V4HDD</t>
  </si>
  <si>
    <t>V3RHO</t>
  </si>
  <si>
    <t>V9GER</t>
  </si>
  <si>
    <t>VAS1K</t>
  </si>
  <si>
    <t>VXKW5</t>
  </si>
  <si>
    <t>V895L</t>
  </si>
  <si>
    <t>V5C9F</t>
  </si>
  <si>
    <t>V4HN0</t>
  </si>
  <si>
    <t>VK55A</t>
  </si>
  <si>
    <t>V0LLP</t>
  </si>
  <si>
    <t>V00Z3</t>
  </si>
  <si>
    <t>VWMNT</t>
  </si>
  <si>
    <t>VMIOD</t>
  </si>
  <si>
    <t>V1D4I</t>
  </si>
  <si>
    <t>V8H3M</t>
  </si>
  <si>
    <t>VT1Z4</t>
  </si>
  <si>
    <t>VDZ38</t>
  </si>
  <si>
    <t>V7VHR</t>
  </si>
  <si>
    <t>V1IAU</t>
  </si>
  <si>
    <t>VHC9I</t>
  </si>
  <si>
    <t>VUNG5</t>
  </si>
  <si>
    <t>VF8CB</t>
  </si>
  <si>
    <t>VJZAF</t>
  </si>
  <si>
    <t>VA8CI</t>
  </si>
  <si>
    <t>VMCNQ</t>
  </si>
  <si>
    <t>VL32M</t>
  </si>
  <si>
    <t>V5S6A</t>
  </si>
  <si>
    <t>VW75W</t>
  </si>
  <si>
    <t>VK99X</t>
  </si>
  <si>
    <t>VLL4H</t>
  </si>
  <si>
    <t>VQF4E</t>
  </si>
  <si>
    <t>VTB9U</t>
  </si>
  <si>
    <t>V3VYC</t>
  </si>
  <si>
    <t>VFLX5</t>
  </si>
  <si>
    <t>V3YV6</t>
  </si>
  <si>
    <t>VE0KO</t>
  </si>
  <si>
    <t>VMRR1</t>
  </si>
  <si>
    <t>VZ406</t>
  </si>
  <si>
    <t>VEQXP</t>
  </si>
  <si>
    <t>VJ499</t>
  </si>
  <si>
    <t>V4KG9</t>
  </si>
  <si>
    <t>VE36I</t>
  </si>
  <si>
    <t>VJMMK</t>
  </si>
  <si>
    <t>V3YO0</t>
  </si>
  <si>
    <t>VRIHT</t>
  </si>
  <si>
    <t>VCY1X</t>
  </si>
  <si>
    <t>V1E29</t>
  </si>
  <si>
    <t>VSD50</t>
  </si>
  <si>
    <t>VIZVQ</t>
  </si>
  <si>
    <t>VARZP</t>
  </si>
  <si>
    <t>VODP3</t>
  </si>
  <si>
    <t>VAAV9</t>
  </si>
  <si>
    <t>VZV88</t>
  </si>
  <si>
    <t>VO95K</t>
  </si>
  <si>
    <t>VFJYO</t>
  </si>
  <si>
    <t>VSZS8</t>
  </si>
  <si>
    <t>VVAV2</t>
  </si>
  <si>
    <t>VDZKK</t>
  </si>
  <si>
    <t>VITNU</t>
  </si>
  <si>
    <t>VYEOA</t>
  </si>
  <si>
    <t>V1P49</t>
  </si>
  <si>
    <t>VLDJ0</t>
  </si>
  <si>
    <t>V9D3G</t>
  </si>
  <si>
    <t>VEDLU</t>
  </si>
  <si>
    <t>VJMNJ</t>
  </si>
  <si>
    <t>VGTRW</t>
  </si>
  <si>
    <t>VRPBL</t>
  </si>
  <si>
    <t>VF4LQ</t>
  </si>
  <si>
    <t>V7971</t>
  </si>
  <si>
    <t>VQR3G</t>
  </si>
  <si>
    <t>VH5BU</t>
  </si>
  <si>
    <t>VMIU2</t>
  </si>
  <si>
    <t>VF9S2</t>
  </si>
  <si>
    <t>VMS7J</t>
  </si>
  <si>
    <t>VLGV0</t>
  </si>
  <si>
    <t>VE77P</t>
  </si>
  <si>
    <t>VVQK0</t>
  </si>
  <si>
    <t>VUHPK</t>
  </si>
  <si>
    <t>VOWSM</t>
  </si>
  <si>
    <t>VWY5E</t>
  </si>
  <si>
    <t>VDMH5</t>
  </si>
  <si>
    <t>VJOL2</t>
  </si>
  <si>
    <t>VZXEP</t>
  </si>
  <si>
    <t>VLU93</t>
  </si>
  <si>
    <t>VG33B</t>
  </si>
  <si>
    <t>V52ZN</t>
  </si>
  <si>
    <t>V5KCM</t>
  </si>
  <si>
    <t>V3ET2</t>
  </si>
  <si>
    <t>VXVH9</t>
  </si>
  <si>
    <t>VBNOO</t>
  </si>
  <si>
    <t>VYN5O</t>
  </si>
  <si>
    <t>VA2HZ</t>
  </si>
  <si>
    <t>V2SBT</t>
  </si>
  <si>
    <t>VD7TA</t>
  </si>
  <si>
    <t>VK5ZE</t>
  </si>
  <si>
    <t>VONOQ</t>
  </si>
  <si>
    <t>VEBN3</t>
  </si>
  <si>
    <t>VWV30</t>
  </si>
  <si>
    <t>V7C63</t>
  </si>
  <si>
    <t>VCZED</t>
  </si>
  <si>
    <t>VS4WN</t>
  </si>
  <si>
    <t>V14EA</t>
  </si>
  <si>
    <t>VPUBF</t>
  </si>
  <si>
    <t>VZCPB</t>
  </si>
  <si>
    <t>V36G9</t>
  </si>
  <si>
    <t>V508D</t>
  </si>
  <si>
    <t>V1FXG</t>
  </si>
  <si>
    <t>V8PQH</t>
  </si>
  <si>
    <t>VYXSR</t>
  </si>
  <si>
    <t>VVVSC</t>
  </si>
  <si>
    <t>VRKF3</t>
  </si>
  <si>
    <t>VG2GW</t>
  </si>
  <si>
    <t>VDO1L</t>
  </si>
  <si>
    <t>VSZ21</t>
  </si>
  <si>
    <t>VABWR</t>
  </si>
  <si>
    <t>VA7Z1</t>
  </si>
  <si>
    <t>VV40U</t>
  </si>
  <si>
    <t>VOFY1</t>
  </si>
  <si>
    <t>V695J</t>
  </si>
  <si>
    <t>VWMLA</t>
  </si>
  <si>
    <t>VAF7K</t>
  </si>
  <si>
    <t>VMDZH</t>
  </si>
  <si>
    <t>VPNI2</t>
  </si>
  <si>
    <t>V7YRF</t>
  </si>
  <si>
    <t>V5TBF</t>
  </si>
  <si>
    <t>VTUG5</t>
  </si>
  <si>
    <t>V4BG1</t>
  </si>
  <si>
    <t>VPKP2</t>
  </si>
  <si>
    <t>V0IAO</t>
  </si>
  <si>
    <t>VSDYM</t>
  </si>
  <si>
    <t>VPOYD</t>
  </si>
  <si>
    <t>VM87D</t>
  </si>
  <si>
    <t>V5JZJ</t>
  </si>
  <si>
    <t>VD8SV</t>
  </si>
  <si>
    <t>VJQ8R</t>
  </si>
  <si>
    <t>VV7RV</t>
  </si>
  <si>
    <t>VQ8WW</t>
  </si>
  <si>
    <t>VA5CR</t>
  </si>
  <si>
    <t>VLD5S</t>
  </si>
  <si>
    <t>V0SZC</t>
  </si>
  <si>
    <t>VP0NM</t>
  </si>
  <si>
    <t>VCDP4</t>
  </si>
  <si>
    <t>V1MN4</t>
  </si>
  <si>
    <t>VLX2U</t>
  </si>
  <si>
    <t>VG18D</t>
  </si>
  <si>
    <t>V76QP</t>
  </si>
  <si>
    <t>VWG95</t>
  </si>
  <si>
    <t>VF0HU</t>
  </si>
  <si>
    <t>VUL23</t>
  </si>
  <si>
    <t>VRSUL</t>
  </si>
  <si>
    <t>VTG10</t>
  </si>
  <si>
    <t>VDCRW</t>
  </si>
  <si>
    <t>VJYVZ</t>
  </si>
  <si>
    <t>VSTCA</t>
  </si>
  <si>
    <t>VR9G1</t>
  </si>
  <si>
    <t>VYER5</t>
  </si>
  <si>
    <t>VRH0E</t>
  </si>
  <si>
    <t>V4TB4</t>
  </si>
  <si>
    <t>V31HY</t>
  </si>
  <si>
    <t>VE3NL</t>
  </si>
  <si>
    <t>V7JCO</t>
  </si>
  <si>
    <t>VP1RZ</t>
  </si>
  <si>
    <t>VWWMG</t>
  </si>
  <si>
    <t>V76VA</t>
  </si>
  <si>
    <t>VQQTE</t>
  </si>
  <si>
    <t>VDISQ</t>
  </si>
  <si>
    <t>V1ESL</t>
  </si>
  <si>
    <t>VB4Q8</t>
  </si>
  <si>
    <t>VWPL7</t>
  </si>
  <si>
    <t>VLGYF</t>
  </si>
  <si>
    <t>VX95I</t>
  </si>
  <si>
    <t>V0H2N</t>
  </si>
  <si>
    <t>VTR69</t>
  </si>
  <si>
    <t>V0BOP</t>
  </si>
  <si>
    <t>VO19G</t>
  </si>
  <si>
    <t>VVXYW</t>
  </si>
  <si>
    <t>VNE7L</t>
  </si>
  <si>
    <t>VHNIC</t>
  </si>
  <si>
    <t>VXHHK</t>
  </si>
  <si>
    <t>V6CY5</t>
  </si>
  <si>
    <t>VOVCW</t>
  </si>
  <si>
    <t>VB5JT</t>
  </si>
  <si>
    <t>VAR4B</t>
  </si>
  <si>
    <t>V09YS</t>
  </si>
  <si>
    <t>VA4WJ</t>
  </si>
  <si>
    <t>VBWXB</t>
  </si>
  <si>
    <t>VQRU0</t>
  </si>
  <si>
    <t>VWFS7</t>
  </si>
  <si>
    <t>VPOMK</t>
  </si>
  <si>
    <t>V6JYJ</t>
  </si>
  <si>
    <t>V8864</t>
  </si>
  <si>
    <t>V5U1P</t>
  </si>
  <si>
    <t>VK81L</t>
  </si>
  <si>
    <t>VVT6H</t>
  </si>
  <si>
    <t>VLCAD</t>
  </si>
  <si>
    <t>VBY9K</t>
  </si>
  <si>
    <t>V3DOD</t>
  </si>
  <si>
    <t>VCT2F</t>
  </si>
  <si>
    <t>VW4ZU</t>
  </si>
  <si>
    <t>VGV34</t>
  </si>
  <si>
    <t>V0UPN</t>
  </si>
  <si>
    <t>V0MTS</t>
  </si>
  <si>
    <t>VN93X</t>
  </si>
  <si>
    <t>V0DFT</t>
  </si>
  <si>
    <t>VU8K2</t>
  </si>
  <si>
    <t>VGURJ</t>
  </si>
  <si>
    <t>V849Y</t>
  </si>
  <si>
    <t>VPD6R</t>
  </si>
  <si>
    <t>VCLRZ</t>
  </si>
  <si>
    <t>V1Z5F</t>
  </si>
  <si>
    <t>V2NTA</t>
  </si>
  <si>
    <t>V26J4</t>
  </si>
  <si>
    <t>V0Q8X</t>
  </si>
  <si>
    <t>V5RO1</t>
  </si>
  <si>
    <t>VPIXS</t>
  </si>
  <si>
    <t>VA5IP</t>
  </si>
  <si>
    <t>VW0HR</t>
  </si>
  <si>
    <t>V8IJV</t>
  </si>
  <si>
    <t>VK7VY</t>
  </si>
  <si>
    <t>V2O16</t>
  </si>
  <si>
    <t>VD3NU</t>
  </si>
  <si>
    <t>VJ98M</t>
  </si>
  <si>
    <t>VOIU6</t>
  </si>
  <si>
    <t>VCAKF</t>
  </si>
  <si>
    <t>VONIL</t>
  </si>
  <si>
    <t>V4AEG</t>
  </si>
  <si>
    <t>VYMES</t>
  </si>
  <si>
    <t>VMOKP</t>
  </si>
  <si>
    <t>V46EP</t>
  </si>
  <si>
    <t>VL32T</t>
  </si>
  <si>
    <t>V610A</t>
  </si>
  <si>
    <t>VL3K5</t>
  </si>
  <si>
    <t>VOZZ6</t>
  </si>
  <si>
    <t>V2WCW</t>
  </si>
  <si>
    <t>V9BAD</t>
  </si>
  <si>
    <t>V6YMK</t>
  </si>
  <si>
    <t>VMSRQ</t>
  </si>
  <si>
    <t>V19EF</t>
  </si>
  <si>
    <t>VYOKQ</t>
  </si>
  <si>
    <t>V6U5L</t>
  </si>
  <si>
    <t>V8QAG</t>
  </si>
  <si>
    <t>VGSH4</t>
  </si>
  <si>
    <t>VA4C9</t>
  </si>
  <si>
    <t>V6PXC</t>
  </si>
  <si>
    <t>VPGR8</t>
  </si>
  <si>
    <t>VW486</t>
  </si>
  <si>
    <t>VXZWQ</t>
  </si>
  <si>
    <t>V6TI9</t>
  </si>
  <si>
    <t>VE6Q6</t>
  </si>
  <si>
    <t>VLL1X</t>
  </si>
  <si>
    <t>VYTRQ</t>
  </si>
  <si>
    <t>VCMCU</t>
  </si>
  <si>
    <t>V64HK</t>
  </si>
  <si>
    <t>VZ0Q0</t>
  </si>
  <si>
    <t>VWJOY</t>
  </si>
  <si>
    <t>V3KMJ</t>
  </si>
  <si>
    <t>V1JP2</t>
  </si>
  <si>
    <t>VSOPQ</t>
  </si>
  <si>
    <t>V6IJD</t>
  </si>
  <si>
    <t>VQ0XN</t>
  </si>
  <si>
    <t>VIMWH</t>
  </si>
  <si>
    <t>VPHSO</t>
  </si>
  <si>
    <t>V63O5</t>
  </si>
  <si>
    <t>V8KTI</t>
  </si>
  <si>
    <t>VJOHJ</t>
  </si>
  <si>
    <t>VH0YQ</t>
  </si>
  <si>
    <t>VUOHX</t>
  </si>
  <si>
    <t>VT4OC</t>
  </si>
  <si>
    <t>VKN0R</t>
  </si>
  <si>
    <t>V57HS</t>
  </si>
  <si>
    <t>VRM7E</t>
  </si>
  <si>
    <t>VGV6U</t>
  </si>
  <si>
    <t>VQB6N</t>
  </si>
  <si>
    <t>V8EVW</t>
  </si>
  <si>
    <t>VBK9W</t>
  </si>
  <si>
    <t>VR7GI</t>
  </si>
  <si>
    <t>VRAO5</t>
  </si>
  <si>
    <t>VFKP2</t>
  </si>
  <si>
    <t>VTZLK</t>
  </si>
  <si>
    <t>VLDTQ</t>
  </si>
  <si>
    <t>VPGDS</t>
  </si>
  <si>
    <t>VGKIN</t>
  </si>
  <si>
    <t>VXDGK</t>
  </si>
  <si>
    <t>VVMTE</t>
  </si>
  <si>
    <t>VEYL2</t>
  </si>
  <si>
    <t>V6TK7</t>
  </si>
  <si>
    <t>V4NYG</t>
  </si>
  <si>
    <t>VLGGK</t>
  </si>
  <si>
    <t>V96UD</t>
  </si>
  <si>
    <t>VQZGT</t>
  </si>
  <si>
    <t>VL802</t>
  </si>
  <si>
    <t>VM8IY</t>
  </si>
  <si>
    <t>VMKS3</t>
  </si>
  <si>
    <t>VGQ9J</t>
  </si>
  <si>
    <t>VVDZQ</t>
  </si>
  <si>
    <t>V1PPI</t>
  </si>
  <si>
    <t>VEWPR</t>
  </si>
  <si>
    <t>VXVGR</t>
  </si>
  <si>
    <t>VYNQF</t>
  </si>
  <si>
    <t>VCWCU</t>
  </si>
  <si>
    <t>VNMRG</t>
  </si>
  <si>
    <t>VYHWG</t>
  </si>
  <si>
    <t>V16ZP</t>
  </si>
  <si>
    <t>VEJ5V</t>
  </si>
  <si>
    <t>VECHJ</t>
  </si>
  <si>
    <t>V9XEN</t>
  </si>
  <si>
    <t>VFJZT</t>
  </si>
  <si>
    <t>VU76G</t>
  </si>
  <si>
    <t>VTJOJ</t>
  </si>
  <si>
    <t>VR1QC</t>
  </si>
  <si>
    <t>VXI4O</t>
  </si>
  <si>
    <t>V3M9K</t>
  </si>
  <si>
    <t>VNBIR</t>
  </si>
  <si>
    <t>VPX31</t>
  </si>
  <si>
    <t>V6BBC</t>
  </si>
  <si>
    <t>VEYJT</t>
  </si>
  <si>
    <t>VL9TC</t>
  </si>
  <si>
    <t>VBUFR</t>
  </si>
  <si>
    <t>VY9KH</t>
  </si>
  <si>
    <t>VQUA3</t>
  </si>
  <si>
    <t>VIV2L</t>
  </si>
  <si>
    <t>VMD3K</t>
  </si>
  <si>
    <t>V1GSF</t>
  </si>
  <si>
    <t>V6CSI</t>
  </si>
  <si>
    <t>V6JYV</t>
  </si>
  <si>
    <t>VNA3P</t>
  </si>
  <si>
    <t>V2QWZ</t>
  </si>
  <si>
    <t>VZG1V</t>
  </si>
  <si>
    <t>V2Q4A</t>
  </si>
  <si>
    <t>V5YTC</t>
  </si>
  <si>
    <t>VQ18O</t>
  </si>
  <si>
    <t>V8IZR</t>
  </si>
  <si>
    <t>VF1BU</t>
  </si>
  <si>
    <t>V4BCG</t>
  </si>
  <si>
    <t>VBCV8</t>
  </si>
  <si>
    <t>VZ8AF</t>
  </si>
  <si>
    <t>VC46U</t>
  </si>
  <si>
    <t>V9HX3</t>
  </si>
  <si>
    <t>VC2ZQ</t>
  </si>
  <si>
    <t>VBEG9</t>
  </si>
  <si>
    <t>VIARL</t>
  </si>
  <si>
    <t>VZF71</t>
  </si>
  <si>
    <t>VXFOY</t>
  </si>
  <si>
    <t>VHG1S</t>
  </si>
  <si>
    <t>V819A</t>
  </si>
  <si>
    <t>VAS84</t>
  </si>
  <si>
    <t>VRJZI</t>
  </si>
  <si>
    <t>VIOEJ</t>
  </si>
  <si>
    <t>V8NJP</t>
  </si>
  <si>
    <t>V2XPW</t>
  </si>
  <si>
    <t>VNP95</t>
  </si>
  <si>
    <t>VDP4W</t>
  </si>
  <si>
    <t>V82GJ</t>
  </si>
  <si>
    <t>VJWJ3</t>
  </si>
  <si>
    <t>V4TWI</t>
  </si>
  <si>
    <t>V51GC</t>
  </si>
  <si>
    <t>VNWD6</t>
  </si>
  <si>
    <t>VJR30</t>
  </si>
  <si>
    <t>V622F</t>
  </si>
  <si>
    <t>VPTSV</t>
  </si>
  <si>
    <t>VRFRV</t>
  </si>
  <si>
    <t>VF6LF</t>
  </si>
  <si>
    <t>VHC5U</t>
  </si>
  <si>
    <t>VOZ2O</t>
  </si>
  <si>
    <t>V0B32</t>
  </si>
  <si>
    <t>VOQQ0</t>
  </si>
  <si>
    <t>VB6TM</t>
  </si>
  <si>
    <t>VTUUW</t>
  </si>
  <si>
    <t>VEUZB</t>
  </si>
  <si>
    <t>VYOGV</t>
  </si>
  <si>
    <t>VCE6K</t>
  </si>
  <si>
    <t>V3GDN</t>
  </si>
  <si>
    <t>VGPK4</t>
  </si>
  <si>
    <t>VQ72W</t>
  </si>
  <si>
    <t>VVF96</t>
  </si>
  <si>
    <t>V120O</t>
  </si>
  <si>
    <t>VS12G</t>
  </si>
  <si>
    <t>VKOUC</t>
  </si>
  <si>
    <t>VRF94</t>
  </si>
  <si>
    <t>VY6SL</t>
  </si>
  <si>
    <t>VA9Z4</t>
  </si>
  <si>
    <t>V4LDC</t>
  </si>
  <si>
    <t>VTG4A</t>
  </si>
  <si>
    <t>V8RLF</t>
  </si>
  <si>
    <t>V0KY9</t>
  </si>
  <si>
    <t>V5GAY</t>
  </si>
  <si>
    <t>VV6OK</t>
  </si>
  <si>
    <t>V5DX1</t>
  </si>
  <si>
    <t>ZM3S7R</t>
  </si>
  <si>
    <t>10% with 50 SAR/AED CAP</t>
  </si>
  <si>
    <t>7.5% new
2 % old</t>
  </si>
  <si>
    <t>ZMLP90</t>
  </si>
  <si>
    <t>ZMCKA2</t>
  </si>
  <si>
    <t>New 6.8%
Old 1.6%</t>
  </si>
  <si>
    <t>ZM8PHL</t>
  </si>
  <si>
    <t>ZMFL70</t>
  </si>
  <si>
    <t>ZMJJ26</t>
  </si>
  <si>
    <t>ZM6HX5</t>
  </si>
  <si>
    <t>ZMXUZJ</t>
  </si>
  <si>
    <t>ZMAD3Q</t>
  </si>
  <si>
    <t>ZMBRT1</t>
  </si>
  <si>
    <t>ZM15QB</t>
  </si>
  <si>
    <t>ZMUFFS</t>
  </si>
  <si>
    <t>ZMWBXX</t>
  </si>
  <si>
    <t>ZML1U1</t>
  </si>
  <si>
    <t>ZMMD77</t>
  </si>
  <si>
    <t>ZM181U</t>
  </si>
  <si>
    <t>ZMMFII</t>
  </si>
  <si>
    <t>ZMU22S</t>
  </si>
  <si>
    <t>ZMT77Z</t>
  </si>
  <si>
    <t>ZMMQQL</t>
  </si>
  <si>
    <t>ZMTJ</t>
  </si>
  <si>
    <t>ZMXJ</t>
  </si>
  <si>
    <t>ZMMB</t>
  </si>
  <si>
    <t>ZMWX</t>
  </si>
  <si>
    <t>ZMB6</t>
  </si>
  <si>
    <t>ZMW7</t>
  </si>
  <si>
    <t>ZM5G</t>
  </si>
  <si>
    <t>ZMU1</t>
  </si>
  <si>
    <t>ZM7V</t>
  </si>
  <si>
    <t>ZMKO</t>
  </si>
  <si>
    <t>ZMXQ</t>
  </si>
  <si>
    <t>ZMZ0</t>
  </si>
  <si>
    <t>ZMK9</t>
  </si>
  <si>
    <t>ZMCP</t>
  </si>
  <si>
    <t>ZMI5</t>
  </si>
  <si>
    <t>ZMPD</t>
  </si>
  <si>
    <t>ZMHY</t>
  </si>
  <si>
    <t>ZMD7</t>
  </si>
  <si>
    <t>ZMCJ</t>
  </si>
  <si>
    <t>ZM1I</t>
  </si>
  <si>
    <t>ZMPU</t>
  </si>
  <si>
    <t>ZMR8</t>
  </si>
  <si>
    <t>ZMVE</t>
  </si>
  <si>
    <t>ZMGZ</t>
  </si>
  <si>
    <t>ZMYB</t>
  </si>
  <si>
    <t>ZMYU</t>
  </si>
  <si>
    <t>ZM9R</t>
  </si>
  <si>
    <t>ZMH7</t>
  </si>
  <si>
    <t>ZMG7</t>
  </si>
  <si>
    <t>ZMK0</t>
  </si>
  <si>
    <t>ZM5B</t>
  </si>
  <si>
    <t>ZMLL</t>
  </si>
  <si>
    <t>ZM3L</t>
  </si>
  <si>
    <t>ZMNR</t>
  </si>
  <si>
    <t>ZM9Q</t>
  </si>
  <si>
    <t>ZM56</t>
  </si>
  <si>
    <t>ZMAO</t>
  </si>
  <si>
    <t>ZMNK</t>
  </si>
  <si>
    <t>ZMGT</t>
  </si>
  <si>
    <t>ZMWY</t>
  </si>
  <si>
    <t>ZM2A</t>
  </si>
  <si>
    <t>ZMP0</t>
  </si>
  <si>
    <t>ZM77</t>
  </si>
  <si>
    <t>ZMPK</t>
  </si>
  <si>
    <t>ZMDL</t>
  </si>
  <si>
    <t>ZMJO</t>
  </si>
  <si>
    <t>ZM47</t>
  </si>
  <si>
    <t>ZM5S</t>
  </si>
  <si>
    <t>ZMP6</t>
  </si>
  <si>
    <t>ZMCO</t>
  </si>
  <si>
    <t>ZMF5</t>
  </si>
  <si>
    <t>ZMT3</t>
  </si>
  <si>
    <t>ZMO4</t>
  </si>
  <si>
    <t>ZM4O</t>
  </si>
  <si>
    <t>ZMC9</t>
  </si>
  <si>
    <t>ZMBP</t>
  </si>
  <si>
    <t>ZMIG</t>
  </si>
  <si>
    <t>ZML7</t>
  </si>
  <si>
    <t>ZMKV</t>
  </si>
  <si>
    <t>ZM4I</t>
  </si>
  <si>
    <t>ZM2S</t>
  </si>
  <si>
    <t>ZMGM</t>
  </si>
  <si>
    <t>ZMDP</t>
  </si>
  <si>
    <t>ZMWD</t>
  </si>
  <si>
    <t>ZMQW</t>
  </si>
  <si>
    <t>ZMIW</t>
  </si>
  <si>
    <t>ZM04</t>
  </si>
  <si>
    <t>ZMEL</t>
  </si>
  <si>
    <t>ZMV7</t>
  </si>
  <si>
    <t>ZM11</t>
  </si>
  <si>
    <t>ZMU7</t>
  </si>
  <si>
    <t>ZMZ2</t>
  </si>
  <si>
    <t>ZMD3</t>
  </si>
  <si>
    <t>ZMG9</t>
  </si>
  <si>
    <t>ZMVY</t>
  </si>
  <si>
    <t>ZMFP</t>
  </si>
  <si>
    <t>ZMH3</t>
  </si>
  <si>
    <t>ZMSL</t>
  </si>
  <si>
    <t>ZMUE</t>
  </si>
  <si>
    <t>ZMNN</t>
  </si>
  <si>
    <t>ZMDO</t>
  </si>
  <si>
    <t>ZM0B</t>
  </si>
  <si>
    <t>ZMRA</t>
  </si>
  <si>
    <t>ZM6G</t>
  </si>
  <si>
    <t>ZMNA</t>
  </si>
  <si>
    <t>ZMNI</t>
  </si>
  <si>
    <t>ZM97</t>
  </si>
  <si>
    <t>ZMAC</t>
  </si>
  <si>
    <t>ZM68</t>
  </si>
  <si>
    <t>ZM06</t>
  </si>
  <si>
    <t>ZMFT</t>
  </si>
  <si>
    <t>ZMI3</t>
  </si>
  <si>
    <t>ZMPM</t>
  </si>
  <si>
    <t>ZMUG</t>
  </si>
  <si>
    <t>ZMFF</t>
  </si>
  <si>
    <t>ZMUQ</t>
  </si>
  <si>
    <t>ZMSB</t>
  </si>
  <si>
    <t>ZMO0</t>
  </si>
  <si>
    <t>ZMPE</t>
  </si>
  <si>
    <t>ZMRI</t>
  </si>
  <si>
    <t>ZMKJ</t>
  </si>
  <si>
    <t>ZM5E</t>
  </si>
  <si>
    <t>ZMHO</t>
  </si>
  <si>
    <t>ZMZD</t>
  </si>
  <si>
    <t>ZM7X</t>
  </si>
  <si>
    <t>ZMQL</t>
  </si>
  <si>
    <t>ZMQJ</t>
  </si>
  <si>
    <t>ZM50</t>
  </si>
  <si>
    <t>ZMEA</t>
  </si>
  <si>
    <t>ZMVR</t>
  </si>
  <si>
    <t>ZMLA</t>
  </si>
  <si>
    <t>ZM0I</t>
  </si>
  <si>
    <t>ZMKR</t>
  </si>
  <si>
    <t>ZMR6</t>
  </si>
  <si>
    <t>ZME5</t>
  </si>
  <si>
    <t>ZMYZ</t>
  </si>
  <si>
    <t>ZM66</t>
  </si>
  <si>
    <t>ZMS6</t>
  </si>
  <si>
    <t>ZMAN</t>
  </si>
  <si>
    <t>ZM6X</t>
  </si>
  <si>
    <t>ZM4W</t>
  </si>
  <si>
    <t>ZM6P</t>
  </si>
  <si>
    <t>ZM2F</t>
  </si>
  <si>
    <t>ZMS2</t>
  </si>
  <si>
    <t>ZM4U</t>
  </si>
  <si>
    <t>ZMXC</t>
  </si>
  <si>
    <t>ZMHM</t>
  </si>
  <si>
    <t>ZM78</t>
  </si>
  <si>
    <t>ZMTH</t>
  </si>
  <si>
    <t>ZMW6</t>
  </si>
  <si>
    <t>ZM3C</t>
  </si>
  <si>
    <t>ZM46</t>
  </si>
  <si>
    <t>ZMQI</t>
  </si>
  <si>
    <t>ZMKN</t>
  </si>
  <si>
    <t>ZMC6</t>
  </si>
  <si>
    <t>ZMZG</t>
  </si>
  <si>
    <t>ZMZY</t>
  </si>
  <si>
    <t>ZMSG</t>
  </si>
  <si>
    <t>ZMHI</t>
  </si>
  <si>
    <t>ZMT2</t>
  </si>
  <si>
    <t>ZMKC</t>
  </si>
  <si>
    <t>ZMJS</t>
  </si>
  <si>
    <t>ZMX5</t>
  </si>
  <si>
    <t>ZMDK</t>
  </si>
  <si>
    <t>ZMCF</t>
  </si>
  <si>
    <t>ZMP7</t>
  </si>
  <si>
    <t>ZMUK</t>
  </si>
  <si>
    <t>ZMWC</t>
  </si>
  <si>
    <t>ZMZO</t>
  </si>
  <si>
    <t>ZML4</t>
  </si>
  <si>
    <t>ZM2X</t>
  </si>
  <si>
    <t>ZME4</t>
  </si>
  <si>
    <t>ZMAD</t>
  </si>
  <si>
    <t>ZMTR</t>
  </si>
  <si>
    <t>ZM4A</t>
  </si>
  <si>
    <t>ZM1A</t>
  </si>
  <si>
    <t>ZMEU</t>
  </si>
  <si>
    <t>ZMKK</t>
  </si>
  <si>
    <t>ZM84</t>
  </si>
  <si>
    <t>ZMUW</t>
  </si>
  <si>
    <t>ZMPO</t>
  </si>
  <si>
    <t>ZMWJ</t>
  </si>
  <si>
    <t>ZMVD</t>
  </si>
  <si>
    <t>ZMGJ</t>
  </si>
  <si>
    <t>ZMGS</t>
  </si>
  <si>
    <t>ZM63</t>
  </si>
  <si>
    <t>ZM3R</t>
  </si>
  <si>
    <t>ZMF1</t>
  </si>
  <si>
    <t>ZMLE</t>
  </si>
  <si>
    <t>ZMUN</t>
  </si>
  <si>
    <t>ZMFX</t>
  </si>
  <si>
    <t>ZMCQ</t>
  </si>
  <si>
    <t>ZMSF</t>
  </si>
  <si>
    <t>ZMHW</t>
  </si>
  <si>
    <t>ZMVF</t>
  </si>
  <si>
    <t>ZM2B</t>
  </si>
  <si>
    <t>ZMQ0</t>
  </si>
  <si>
    <t>ZMY5</t>
  </si>
  <si>
    <t>ZMN0</t>
  </si>
  <si>
    <t>ZMFD</t>
  </si>
  <si>
    <t>ZMEO</t>
  </si>
  <si>
    <t>ZMXT</t>
  </si>
  <si>
    <t>ZMBR</t>
  </si>
  <si>
    <t>ZM05</t>
  </si>
  <si>
    <t>ZM9O</t>
  </si>
  <si>
    <t>ZMGY</t>
  </si>
  <si>
    <t>ZMS0</t>
  </si>
  <si>
    <t>ZMP4</t>
  </si>
  <si>
    <t>ZMNB</t>
  </si>
  <si>
    <t>ZMWW</t>
  </si>
  <si>
    <t>ZMCR</t>
  </si>
  <si>
    <t>ZM7T</t>
  </si>
  <si>
    <t>ZM45</t>
  </si>
  <si>
    <t>ZMU6</t>
  </si>
  <si>
    <t>ZMOX</t>
  </si>
  <si>
    <t>ZM9J</t>
  </si>
  <si>
    <t>ZMDN</t>
  </si>
  <si>
    <t>ZMTK</t>
  </si>
  <si>
    <t>ZMLT</t>
  </si>
  <si>
    <t>ZMX9</t>
  </si>
  <si>
    <t>ZMJC</t>
  </si>
  <si>
    <t>ZM8F</t>
  </si>
  <si>
    <t>ZM3K</t>
  </si>
  <si>
    <t>ZMI0</t>
  </si>
  <si>
    <t>ZM1R</t>
  </si>
  <si>
    <t>ZMMD</t>
  </si>
  <si>
    <t>ZMME</t>
  </si>
  <si>
    <t>ZMMJ</t>
  </si>
  <si>
    <t>ZMCM</t>
  </si>
  <si>
    <t>ZMH0</t>
  </si>
  <si>
    <t>ZM8X</t>
  </si>
  <si>
    <t>ZM55</t>
  </si>
  <si>
    <t>ZMA6</t>
  </si>
  <si>
    <t>ZMCL</t>
  </si>
  <si>
    <t>ZMXB</t>
  </si>
  <si>
    <t>ZM8B</t>
  </si>
  <si>
    <t>ZM4J</t>
  </si>
  <si>
    <t>ZMVU</t>
  </si>
  <si>
    <t>ZMYW</t>
  </si>
  <si>
    <t>ZM90</t>
  </si>
  <si>
    <t>ZMZV</t>
  </si>
  <si>
    <t>ZMD5</t>
  </si>
  <si>
    <t>ZMAB</t>
  </si>
  <si>
    <t>ZM12</t>
  </si>
  <si>
    <t>ZM54</t>
  </si>
  <si>
    <t>ZMUP</t>
  </si>
  <si>
    <t>ZM0G</t>
  </si>
  <si>
    <t>ZMUX</t>
  </si>
  <si>
    <t>ZM09</t>
  </si>
  <si>
    <t>ZMEG</t>
  </si>
  <si>
    <t>ZMLV</t>
  </si>
  <si>
    <t>ZMYC</t>
  </si>
  <si>
    <t>ZMBU</t>
  </si>
  <si>
    <t>ZM8T</t>
  </si>
  <si>
    <t>ZM8S</t>
  </si>
  <si>
    <t>ZME3</t>
  </si>
  <si>
    <t>ZM4M</t>
  </si>
  <si>
    <t>ZM01</t>
  </si>
  <si>
    <t>ZMTM</t>
  </si>
  <si>
    <t>ZML8</t>
  </si>
  <si>
    <t>ZM1W</t>
  </si>
  <si>
    <t>ZM3J</t>
  </si>
  <si>
    <t>ZM0Y</t>
  </si>
  <si>
    <t>ZMB0</t>
  </si>
  <si>
    <t>ZMUT</t>
  </si>
  <si>
    <t>ZMW2</t>
  </si>
  <si>
    <t>ZMVH</t>
  </si>
  <si>
    <t>ZMSQ</t>
  </si>
  <si>
    <t>ZM0W</t>
  </si>
  <si>
    <t>ZMXY</t>
  </si>
  <si>
    <t>ZMWA</t>
  </si>
  <si>
    <t>ZM42</t>
  </si>
  <si>
    <t>ZMTW</t>
  </si>
  <si>
    <t>ZMVK</t>
  </si>
  <si>
    <t>ZMGD</t>
  </si>
  <si>
    <t>ZMS7</t>
  </si>
  <si>
    <t>ZM5H</t>
  </si>
  <si>
    <t>ZMDG</t>
  </si>
  <si>
    <t>ZMM1</t>
  </si>
  <si>
    <t>ZMM2</t>
  </si>
  <si>
    <t>ZMM3</t>
  </si>
  <si>
    <t>ZMM4</t>
  </si>
  <si>
    <t>ZMM5</t>
  </si>
  <si>
    <t>ZMM6</t>
  </si>
  <si>
    <t>ZMM7</t>
  </si>
  <si>
    <t>ZMM8</t>
  </si>
  <si>
    <t>ZMM9</t>
  </si>
  <si>
    <t>ZMM10</t>
  </si>
  <si>
    <t>ZMM11</t>
  </si>
  <si>
    <t>ZMM12</t>
  </si>
  <si>
    <t>ZMM13</t>
  </si>
  <si>
    <t>ZMM14</t>
  </si>
  <si>
    <t>ZMM15</t>
  </si>
  <si>
    <t>ZMM16</t>
  </si>
  <si>
    <t>ZMM17</t>
  </si>
  <si>
    <t>ZMM18</t>
  </si>
  <si>
    <t>ZMM19</t>
  </si>
  <si>
    <t>ZMM20</t>
  </si>
  <si>
    <t>ZMM21</t>
  </si>
  <si>
    <t>ZMM22</t>
  </si>
  <si>
    <t>ZMM23</t>
  </si>
  <si>
    <t>ZMM24</t>
  </si>
  <si>
    <t>ZMM25</t>
  </si>
  <si>
    <t>ZMM26</t>
  </si>
  <si>
    <t>ZMM27</t>
  </si>
  <si>
    <t>ZMM28</t>
  </si>
  <si>
    <t>ZMM29</t>
  </si>
  <si>
    <t>ZMM30</t>
  </si>
  <si>
    <t>ZMM31</t>
  </si>
  <si>
    <t>ZMM32</t>
  </si>
  <si>
    <t>ZMM33</t>
  </si>
  <si>
    <t>ZMM34</t>
  </si>
  <si>
    <t>ZMM35</t>
  </si>
  <si>
    <t>ZMM36</t>
  </si>
  <si>
    <t>ZMM37</t>
  </si>
  <si>
    <t>ZMM38</t>
  </si>
  <si>
    <t>ZMM39</t>
  </si>
  <si>
    <t>ZMM40</t>
  </si>
  <si>
    <t>ZMM41</t>
  </si>
  <si>
    <t>ZMM42</t>
  </si>
  <si>
    <t>ZMM43</t>
  </si>
  <si>
    <t>ZMM44</t>
  </si>
  <si>
    <t>ZMM45</t>
  </si>
  <si>
    <t>ZMM46</t>
  </si>
  <si>
    <t>ZMM47</t>
  </si>
  <si>
    <t>ZMM48</t>
  </si>
  <si>
    <t>ZMM49</t>
  </si>
  <si>
    <t>ZMM50</t>
  </si>
  <si>
    <t>ZMM51</t>
  </si>
  <si>
    <t>ZMM52</t>
  </si>
  <si>
    <t>ZMM53</t>
  </si>
  <si>
    <t>ZMM54</t>
  </si>
  <si>
    <t>ZMM55</t>
  </si>
  <si>
    <t>ZMM56</t>
  </si>
  <si>
    <t>ZMM57</t>
  </si>
  <si>
    <t>ZMM58</t>
  </si>
  <si>
    <t>ZMM59</t>
  </si>
  <si>
    <t>ZMM60</t>
  </si>
  <si>
    <t>ZMM61</t>
  </si>
  <si>
    <t>ZMM62</t>
  </si>
  <si>
    <t>ZMM63</t>
  </si>
  <si>
    <t>ZMM64</t>
  </si>
  <si>
    <t>ZMM65</t>
  </si>
  <si>
    <t>ZMM66</t>
  </si>
  <si>
    <t>ZMM67</t>
  </si>
  <si>
    <t>ZMM68</t>
  </si>
  <si>
    <t>ZMM69</t>
  </si>
  <si>
    <t>ZMM70</t>
  </si>
  <si>
    <t>ZMM71</t>
  </si>
  <si>
    <t>ZMM72</t>
  </si>
  <si>
    <t>ZMM73</t>
  </si>
  <si>
    <t>ZMM74</t>
  </si>
  <si>
    <t>ZMM75</t>
  </si>
  <si>
    <t>ZMM76</t>
  </si>
  <si>
    <t>ZMM77</t>
  </si>
  <si>
    <t>ZMM78</t>
  </si>
  <si>
    <t>ZMM79</t>
  </si>
  <si>
    <t>ZMM80</t>
  </si>
  <si>
    <t>ZMM81</t>
  </si>
  <si>
    <t>ZMM82</t>
  </si>
  <si>
    <t>ZMM83</t>
  </si>
  <si>
    <t>ZMM84</t>
  </si>
  <si>
    <t>ZMM85</t>
  </si>
  <si>
    <t>ZMM86</t>
  </si>
  <si>
    <t>ZMM87</t>
  </si>
  <si>
    <t>ZMM88</t>
  </si>
  <si>
    <t>ZMM89</t>
  </si>
  <si>
    <t>ZMM90</t>
  </si>
  <si>
    <t>ZMM91</t>
  </si>
  <si>
    <t>ZMM92</t>
  </si>
  <si>
    <t>ZMM93</t>
  </si>
  <si>
    <t>ZMM94</t>
  </si>
  <si>
    <t>ZMM95</t>
  </si>
  <si>
    <t>ZMM96</t>
  </si>
  <si>
    <t>ZMM97</t>
  </si>
  <si>
    <t>ZMM98</t>
  </si>
  <si>
    <t>ZMM99</t>
  </si>
  <si>
    <t>MMZ1</t>
  </si>
  <si>
    <t>MMZ2</t>
  </si>
  <si>
    <t>MMZ3</t>
  </si>
  <si>
    <t>MMZ4</t>
  </si>
  <si>
    <t>MMZ5</t>
  </si>
  <si>
    <t>MMZ6</t>
  </si>
  <si>
    <t>MMZ7</t>
  </si>
  <si>
    <t>MMZ8</t>
  </si>
  <si>
    <t>MMZ9</t>
  </si>
  <si>
    <t>MZZR4</t>
  </si>
  <si>
    <t>MZZX6</t>
  </si>
  <si>
    <t>MZZAZ</t>
  </si>
  <si>
    <t>MZZMM</t>
  </si>
  <si>
    <t>MZZM4</t>
  </si>
  <si>
    <t>MZZNZ</t>
  </si>
  <si>
    <t>MZZ2N</t>
  </si>
  <si>
    <t>MZZ57</t>
  </si>
  <si>
    <t>MZZ86</t>
  </si>
  <si>
    <t>MZZZN</t>
  </si>
  <si>
    <t>MZZR7</t>
  </si>
  <si>
    <t>MZZC1</t>
  </si>
  <si>
    <t>MZZXS</t>
  </si>
  <si>
    <t>MZZEX</t>
  </si>
  <si>
    <t>MZZJ6</t>
  </si>
  <si>
    <t>MZZJ2</t>
  </si>
  <si>
    <t>MZZKZ</t>
  </si>
  <si>
    <t>MZZ9I</t>
  </si>
  <si>
    <t>MZZ28</t>
  </si>
  <si>
    <t>MZZB4</t>
  </si>
  <si>
    <t>MZZIB</t>
  </si>
  <si>
    <t>MZZUK</t>
  </si>
  <si>
    <t>MZZZB</t>
  </si>
  <si>
    <t>MZZVQ</t>
  </si>
  <si>
    <t>MZZ1C</t>
  </si>
  <si>
    <t>MZZJU</t>
  </si>
  <si>
    <t>MZZX0</t>
  </si>
  <si>
    <t>MZZR6</t>
  </si>
  <si>
    <t>MZZPB</t>
  </si>
  <si>
    <t>MZZK4</t>
  </si>
  <si>
    <t>MZZ5K</t>
  </si>
  <si>
    <t>MZZZJ</t>
  </si>
  <si>
    <t>MZZHH</t>
  </si>
  <si>
    <t>MZZ0N</t>
  </si>
  <si>
    <t>MZZ2P</t>
  </si>
  <si>
    <t>MZZ9R</t>
  </si>
  <si>
    <t>MZZQA</t>
  </si>
  <si>
    <t>MZZ95</t>
  </si>
  <si>
    <t>MZZZ7</t>
  </si>
  <si>
    <t>MZZXM</t>
  </si>
  <si>
    <t>MZZI7</t>
  </si>
  <si>
    <t>MZZFE</t>
  </si>
  <si>
    <t>MZZAA</t>
  </si>
  <si>
    <t>MZZ1B</t>
  </si>
  <si>
    <t>MZZVF</t>
  </si>
  <si>
    <t>MZZUS</t>
  </si>
  <si>
    <t>MZZMD</t>
  </si>
  <si>
    <t>MZZ9O</t>
  </si>
  <si>
    <t>MZZD0</t>
  </si>
  <si>
    <t>MZZE1</t>
  </si>
  <si>
    <t>MZZER</t>
  </si>
  <si>
    <t>MZZT4</t>
  </si>
  <si>
    <t>MZZRN</t>
  </si>
  <si>
    <t>MZZ9K</t>
  </si>
  <si>
    <t>MZZIT</t>
  </si>
  <si>
    <t>MZZRW</t>
  </si>
  <si>
    <t>MZZGF</t>
  </si>
  <si>
    <t>MZZHW</t>
  </si>
  <si>
    <t>MZZGT</t>
  </si>
  <si>
    <t>MZZMV</t>
  </si>
  <si>
    <t>MZZSY</t>
  </si>
  <si>
    <t>MZZSX</t>
  </si>
  <si>
    <t>MZZO7</t>
  </si>
  <si>
    <t>MZZ3N</t>
  </si>
  <si>
    <t>MZZSI</t>
  </si>
  <si>
    <t>MZZA2</t>
  </si>
  <si>
    <t>MZZ1G</t>
  </si>
  <si>
    <t>GOT73</t>
  </si>
  <si>
    <t>GOT74</t>
  </si>
  <si>
    <t>GOT75</t>
  </si>
  <si>
    <t>GOT76</t>
  </si>
  <si>
    <t>GOT77</t>
  </si>
  <si>
    <t>GOT78</t>
  </si>
  <si>
    <t>GOT79</t>
  </si>
  <si>
    <t>GOT80</t>
  </si>
  <si>
    <t>GOT81</t>
  </si>
  <si>
    <t>GOT82</t>
  </si>
  <si>
    <t>GOT83</t>
  </si>
  <si>
    <t>GOT84</t>
  </si>
  <si>
    <t>GOT85</t>
  </si>
  <si>
    <t>GOT86</t>
  </si>
  <si>
    <t>GOT87</t>
  </si>
  <si>
    <t>maybe disabled</t>
  </si>
  <si>
    <t>DORGANIZE</t>
  </si>
  <si>
    <t>special
codes</t>
  </si>
  <si>
    <t>wfrly</t>
  </si>
  <si>
    <t>cork</t>
  </si>
  <si>
    <t>maf</t>
  </si>
  <si>
    <t>mkl</t>
  </si>
  <si>
    <t>ghl</t>
  </si>
  <si>
    <t>klo</t>
  </si>
  <si>
    <t xml:space="preserve">15% discount on 
Mumzworld website
 starting today
 until January 12. </t>
  </si>
  <si>
    <t>khl</t>
  </si>
  <si>
    <t>wld</t>
  </si>
  <si>
    <t>wd1</t>
  </si>
  <si>
    <t>wd2</t>
  </si>
  <si>
    <t>wd3</t>
  </si>
  <si>
    <t>wd4</t>
  </si>
  <si>
    <t>wd6</t>
  </si>
  <si>
    <t>wd7</t>
  </si>
  <si>
    <t>wd8</t>
  </si>
  <si>
    <t>wd9</t>
  </si>
  <si>
    <t>wd10</t>
  </si>
  <si>
    <t>wd11</t>
  </si>
  <si>
    <t>wd12</t>
  </si>
  <si>
    <t>wd13</t>
  </si>
  <si>
    <t>wd14</t>
  </si>
  <si>
    <t>wd15</t>
  </si>
  <si>
    <t>wd16</t>
  </si>
  <si>
    <t>wd17</t>
  </si>
  <si>
    <t>wd18</t>
  </si>
  <si>
    <t>wd19</t>
  </si>
  <si>
    <t>wd20</t>
  </si>
  <si>
    <t>wd21</t>
  </si>
  <si>
    <t>wd22</t>
  </si>
  <si>
    <t>wd23</t>
  </si>
  <si>
    <t>wd24</t>
  </si>
  <si>
    <t>wd25</t>
  </si>
  <si>
    <t>wd26</t>
  </si>
  <si>
    <t>MZZLD</t>
  </si>
  <si>
    <t>MZZCI</t>
  </si>
  <si>
    <t>MZZ41</t>
  </si>
  <si>
    <t>MZZKH</t>
  </si>
  <si>
    <t>MZZYJ</t>
  </si>
  <si>
    <t>MZZUV</t>
  </si>
  <si>
    <t>MZZYP</t>
  </si>
  <si>
    <t>MZZ0X</t>
  </si>
  <si>
    <t>MZZV4</t>
  </si>
  <si>
    <t>MZZX5</t>
  </si>
  <si>
    <t>MZZ6A</t>
  </si>
  <si>
    <t>ZMFE</t>
  </si>
  <si>
    <t>MZZBL</t>
  </si>
  <si>
    <t>MZZNL</t>
  </si>
  <si>
    <t>MZZTY</t>
  </si>
  <si>
    <t>MZZTT</t>
  </si>
  <si>
    <t>MZZWZ</t>
  </si>
  <si>
    <t>MZZ7C</t>
  </si>
  <si>
    <t>MZZOY</t>
  </si>
  <si>
    <t>MZZOG</t>
  </si>
  <si>
    <t>MZZ7U</t>
  </si>
  <si>
    <t>MZZLN</t>
  </si>
  <si>
    <t>MZZ9U</t>
  </si>
  <si>
    <t>MZZD9</t>
  </si>
  <si>
    <t>MZZXL</t>
  </si>
  <si>
    <t>MZZPF</t>
  </si>
  <si>
    <t>MZZBY</t>
  </si>
  <si>
    <t xml:space="preserve">LEAP </t>
  </si>
  <si>
    <t>Recycle Date 20/10
Data from 1/10/24'</t>
  </si>
  <si>
    <t>MM1</t>
  </si>
  <si>
    <t>12% off above any site discount/offer.</t>
  </si>
  <si>
    <t>MM2</t>
  </si>
  <si>
    <t>MM3</t>
  </si>
  <si>
    <t>MM4</t>
  </si>
  <si>
    <t>MM5</t>
  </si>
  <si>
    <t>MM6</t>
  </si>
  <si>
    <t>MM7</t>
  </si>
  <si>
    <t>MM8</t>
  </si>
  <si>
    <t>MM9</t>
  </si>
  <si>
    <t>M10</t>
  </si>
  <si>
    <t>M11</t>
  </si>
  <si>
    <t>M12</t>
  </si>
  <si>
    <t>M13</t>
  </si>
  <si>
    <t>M14</t>
  </si>
  <si>
    <t>M15</t>
  </si>
  <si>
    <t>M16</t>
  </si>
  <si>
    <t>M17</t>
  </si>
  <si>
    <t>M18</t>
  </si>
  <si>
    <t>M19</t>
  </si>
  <si>
    <t>M20</t>
  </si>
  <si>
    <t>M21</t>
  </si>
  <si>
    <t>M22</t>
  </si>
  <si>
    <t>M23</t>
  </si>
  <si>
    <t>M24</t>
  </si>
  <si>
    <t>M25</t>
  </si>
  <si>
    <t>M26</t>
  </si>
  <si>
    <t>M27</t>
  </si>
  <si>
    <t>M28</t>
  </si>
  <si>
    <t>M29</t>
  </si>
  <si>
    <t>M30</t>
  </si>
  <si>
    <t>M31</t>
  </si>
  <si>
    <t>M32</t>
  </si>
  <si>
    <t>M33</t>
  </si>
  <si>
    <t>M34</t>
  </si>
  <si>
    <t>M35</t>
  </si>
  <si>
    <t>M36</t>
  </si>
  <si>
    <t>M37</t>
  </si>
  <si>
    <t>M38</t>
  </si>
  <si>
    <t>M39</t>
  </si>
  <si>
    <t>M40</t>
  </si>
  <si>
    <t>M41</t>
  </si>
  <si>
    <t>M42</t>
  </si>
  <si>
    <t>M43</t>
  </si>
  <si>
    <t>M44</t>
  </si>
  <si>
    <t>M45</t>
  </si>
  <si>
    <t>M46</t>
  </si>
  <si>
    <t>M47</t>
  </si>
  <si>
    <t>M48</t>
  </si>
  <si>
    <t>M49</t>
  </si>
  <si>
    <t>M50</t>
  </si>
  <si>
    <t>M91</t>
  </si>
  <si>
    <t>M92</t>
  </si>
  <si>
    <t>M93</t>
  </si>
  <si>
    <t>M94</t>
  </si>
  <si>
    <t>M95</t>
  </si>
  <si>
    <t>M96</t>
  </si>
  <si>
    <t>M97</t>
  </si>
  <si>
    <t>M98</t>
  </si>
  <si>
    <t>M99</t>
  </si>
  <si>
    <t>M100</t>
  </si>
  <si>
    <t>test on 6/8/2024</t>
  </si>
  <si>
    <t>bnv100</t>
  </si>
  <si>
    <t>20% OFF for new customers 5% OFF for existing customers All discounts are capped at 50 AED/SAR ($13.6 for QA, KW, BH &amp; OM)</t>
  </si>
  <si>
    <t>NZE</t>
  </si>
  <si>
    <t>FLM</t>
  </si>
  <si>
    <t>Yes</t>
  </si>
  <si>
    <t>bnv109</t>
  </si>
  <si>
    <t>ACR</t>
  </si>
  <si>
    <t>No</t>
  </si>
  <si>
    <t>bnv111</t>
  </si>
  <si>
    <t>EAX</t>
  </si>
  <si>
    <t>bnv118</t>
  </si>
  <si>
    <t>bnv119</t>
  </si>
  <si>
    <t>bnv126</t>
  </si>
  <si>
    <t>bnv131</t>
  </si>
  <si>
    <t>bnv137</t>
  </si>
  <si>
    <t>bnv138</t>
  </si>
  <si>
    <t>bnv146</t>
  </si>
  <si>
    <t>bnv160</t>
  </si>
  <si>
    <t>bnv174</t>
  </si>
  <si>
    <t>AID</t>
  </si>
  <si>
    <t>bnv185</t>
  </si>
  <si>
    <t>bnv191</t>
  </si>
  <si>
    <t>bnv193</t>
  </si>
  <si>
    <t>bnv194</t>
  </si>
  <si>
    <t>bnv106</t>
  </si>
  <si>
    <t>bnv113</t>
  </si>
  <si>
    <t>bnv116</t>
  </si>
  <si>
    <t>bnv128</t>
  </si>
  <si>
    <t>bnv129</t>
  </si>
  <si>
    <t>bnv134</t>
  </si>
  <si>
    <t>bnv141</t>
  </si>
  <si>
    <t>bnv154</t>
  </si>
  <si>
    <t>bnv155</t>
  </si>
  <si>
    <t>bnv157</t>
  </si>
  <si>
    <t>bnv163</t>
  </si>
  <si>
    <t>bnv167</t>
  </si>
  <si>
    <t>bnv176</t>
  </si>
  <si>
    <t>bnv180</t>
  </si>
  <si>
    <t>bnv189</t>
  </si>
  <si>
    <t>bnv190</t>
  </si>
  <si>
    <t>6N7</t>
  </si>
  <si>
    <t>bnv102</t>
  </si>
  <si>
    <t>bnv114</t>
  </si>
  <si>
    <t>bnv120</t>
  </si>
  <si>
    <t>bnv123</t>
  </si>
  <si>
    <t>bnv124</t>
  </si>
  <si>
    <t>bnv145</t>
  </si>
  <si>
    <t>bnv158</t>
  </si>
  <si>
    <t>bnv164</t>
  </si>
  <si>
    <t>bnv166</t>
  </si>
  <si>
    <t>3ZR</t>
  </si>
  <si>
    <t>bnv169</t>
  </si>
  <si>
    <t>Khairy11</t>
  </si>
  <si>
    <t>bnv172</t>
  </si>
  <si>
    <t>Khairy30</t>
  </si>
  <si>
    <t>bnv173</t>
  </si>
  <si>
    <t>bnv183</t>
  </si>
  <si>
    <t>bnv188</t>
  </si>
  <si>
    <t>bnv196</t>
  </si>
  <si>
    <t>bnv198</t>
  </si>
  <si>
    <t>bnv103</t>
  </si>
  <si>
    <t>bnv108</t>
  </si>
  <si>
    <t>bnv112</t>
  </si>
  <si>
    <t>DDN</t>
  </si>
  <si>
    <t>bnv125</t>
  </si>
  <si>
    <t>DEB</t>
  </si>
  <si>
    <t>RBI</t>
  </si>
  <si>
    <t>bnv132</t>
  </si>
  <si>
    <t>DEG</t>
  </si>
  <si>
    <t>bnv139</t>
  </si>
  <si>
    <t>DEL</t>
  </si>
  <si>
    <t>bnv142</t>
  </si>
  <si>
    <t>DEO</t>
  </si>
  <si>
    <t>bnv152</t>
  </si>
  <si>
    <t>DET</t>
  </si>
  <si>
    <t>bnv153</t>
  </si>
  <si>
    <t>DGB</t>
  </si>
  <si>
    <t>IRP</t>
  </si>
  <si>
    <t>bnv159</t>
  </si>
  <si>
    <t>DGP</t>
  </si>
  <si>
    <t>RIL</t>
  </si>
  <si>
    <t>bnv168</t>
  </si>
  <si>
    <t>DHZ</t>
  </si>
  <si>
    <t>Khairy25</t>
  </si>
  <si>
    <t>bnv171</t>
  </si>
  <si>
    <t>DIC</t>
  </si>
  <si>
    <t>bnv177</t>
  </si>
  <si>
    <t>DID</t>
  </si>
  <si>
    <t>bnv178</t>
  </si>
  <si>
    <t>DIH</t>
  </si>
  <si>
    <t>bnv184</t>
  </si>
  <si>
    <t>DIV</t>
  </si>
  <si>
    <t>DFL</t>
  </si>
  <si>
    <t>bnv187</t>
  </si>
  <si>
    <t>DKE</t>
  </si>
  <si>
    <t>DFQ</t>
  </si>
  <si>
    <t>bnv101</t>
  </si>
  <si>
    <t>DKH</t>
  </si>
  <si>
    <t>DFW</t>
  </si>
  <si>
    <t>bnv105</t>
  </si>
  <si>
    <t>DKW</t>
  </si>
  <si>
    <t>DHX</t>
  </si>
  <si>
    <t>bnv115</t>
  </si>
  <si>
    <t>DLF</t>
  </si>
  <si>
    <t>DIZ</t>
  </si>
  <si>
    <t>bnv117</t>
  </si>
  <si>
    <t>DJB</t>
  </si>
  <si>
    <t>bnv121</t>
  </si>
  <si>
    <t>DMX</t>
  </si>
  <si>
    <t>DJI</t>
  </si>
  <si>
    <t>bnv122</t>
  </si>
  <si>
    <t>DOJ</t>
  </si>
  <si>
    <t>DKV</t>
  </si>
  <si>
    <t>bnv133</t>
  </si>
  <si>
    <t>DPB</t>
  </si>
  <si>
    <t>DLI</t>
  </si>
  <si>
    <t>bnv135</t>
  </si>
  <si>
    <t>DPQ</t>
  </si>
  <si>
    <t>DOV</t>
  </si>
  <si>
    <t>bnv150</t>
  </si>
  <si>
    <t>DQB</t>
  </si>
  <si>
    <t>DPH</t>
  </si>
  <si>
    <t>bnv165</t>
  </si>
  <si>
    <t>GBK</t>
  </si>
  <si>
    <t>DQH</t>
  </si>
  <si>
    <t>bnv170</t>
  </si>
  <si>
    <t>GBT</t>
  </si>
  <si>
    <t>DQI</t>
  </si>
  <si>
    <t>bnv175</t>
  </si>
  <si>
    <t>GCM</t>
  </si>
  <si>
    <t>DQJ</t>
  </si>
  <si>
    <t>bnv179</t>
  </si>
  <si>
    <t>GEF</t>
  </si>
  <si>
    <t>DQL</t>
  </si>
  <si>
    <t>bnv186</t>
  </si>
  <si>
    <t>GEK</t>
  </si>
  <si>
    <t>GAJ</t>
  </si>
  <si>
    <t>bnv197</t>
  </si>
  <si>
    <t>GEQ</t>
  </si>
  <si>
    <t>GBD</t>
  </si>
  <si>
    <t>bnv199</t>
  </si>
  <si>
    <t>GFO</t>
  </si>
  <si>
    <t>GCB</t>
  </si>
  <si>
    <t>bnv110</t>
  </si>
  <si>
    <t>GFT</t>
  </si>
  <si>
    <t>GCI</t>
  </si>
  <si>
    <t>bnv127</t>
  </si>
  <si>
    <t>GLK</t>
  </si>
  <si>
    <t>GEL</t>
  </si>
  <si>
    <t>bnv130</t>
  </si>
  <si>
    <t>GLP</t>
  </si>
  <si>
    <t>GFB</t>
  </si>
  <si>
    <t>bnv140</t>
  </si>
  <si>
    <t>GLZ</t>
  </si>
  <si>
    <t>GFS</t>
  </si>
  <si>
    <t>bnv143</t>
  </si>
  <si>
    <t>GMB</t>
  </si>
  <si>
    <t>GFW</t>
  </si>
  <si>
    <t>bnv144</t>
  </si>
  <si>
    <t>GMD</t>
  </si>
  <si>
    <t>GHI</t>
  </si>
  <si>
    <t>bnv147</t>
  </si>
  <si>
    <t>GML</t>
  </si>
  <si>
    <t>GIJ</t>
  </si>
  <si>
    <t>bnv149</t>
  </si>
  <si>
    <t>GMN</t>
  </si>
  <si>
    <t>GIU</t>
  </si>
  <si>
    <t>bnv151</t>
  </si>
  <si>
    <t>GMQ</t>
  </si>
  <si>
    <t>GJH</t>
  </si>
  <si>
    <t>bnv156</t>
  </si>
  <si>
    <t>GND</t>
  </si>
  <si>
    <t>GJX</t>
  </si>
  <si>
    <t>bnv161</t>
  </si>
  <si>
    <t>GNE</t>
  </si>
  <si>
    <t>GJY</t>
  </si>
  <si>
    <t>bnv162</t>
  </si>
  <si>
    <t>GNH</t>
  </si>
  <si>
    <t>GKL</t>
  </si>
  <si>
    <t>bnv181</t>
  </si>
  <si>
    <t>GNY</t>
  </si>
  <si>
    <t>GKM</t>
  </si>
  <si>
    <t>bnv182</t>
  </si>
  <si>
    <t>GPW</t>
  </si>
  <si>
    <t>GKQ</t>
  </si>
  <si>
    <t>bnv192</t>
  </si>
  <si>
    <t>GQM</t>
  </si>
  <si>
    <t>GLV</t>
  </si>
  <si>
    <t>bnv195</t>
  </si>
  <si>
    <t>ZKU</t>
  </si>
  <si>
    <t>GOC</t>
  </si>
  <si>
    <t>bnv104</t>
  </si>
  <si>
    <t>CC3</t>
  </si>
  <si>
    <t>GOK</t>
  </si>
  <si>
    <t>bnv107</t>
  </si>
  <si>
    <t>CC4</t>
  </si>
  <si>
    <t>GOZ</t>
  </si>
  <si>
    <t>bnv136</t>
  </si>
  <si>
    <t>CC5</t>
  </si>
  <si>
    <t>GPF</t>
  </si>
  <si>
    <t>bnv148</t>
  </si>
  <si>
    <t>CC6</t>
  </si>
  <si>
    <t>GPP</t>
  </si>
  <si>
    <t>dgt22</t>
  </si>
  <si>
    <t>MR1</t>
  </si>
  <si>
    <t>GQE</t>
  </si>
  <si>
    <t>dgt35</t>
  </si>
  <si>
    <t>MR2</t>
  </si>
  <si>
    <t>GQQ</t>
  </si>
  <si>
    <t>dgt44</t>
  </si>
  <si>
    <t>MR3</t>
  </si>
  <si>
    <t>GQS</t>
  </si>
  <si>
    <t>dgt50</t>
  </si>
  <si>
    <t>MR4</t>
  </si>
  <si>
    <t>GQU</t>
  </si>
  <si>
    <t>dgt64</t>
  </si>
  <si>
    <t>MR5</t>
  </si>
  <si>
    <t>ZKX</t>
  </si>
  <si>
    <t>dgt65</t>
  </si>
  <si>
    <t>MR6</t>
  </si>
  <si>
    <t>dgt7</t>
  </si>
  <si>
    <t>MR7</t>
  </si>
  <si>
    <t>AHLY</t>
  </si>
  <si>
    <t>dgt73</t>
  </si>
  <si>
    <t>MR8</t>
  </si>
  <si>
    <t>AHLY10</t>
  </si>
  <si>
    <t>dgt76</t>
  </si>
  <si>
    <t>MR9</t>
  </si>
  <si>
    <t>AHLY20</t>
  </si>
  <si>
    <t>dgt8</t>
  </si>
  <si>
    <t>MR11</t>
  </si>
  <si>
    <t>CB3</t>
  </si>
  <si>
    <t>dgt81</t>
  </si>
  <si>
    <t>MR12</t>
  </si>
  <si>
    <t>CB5</t>
  </si>
  <si>
    <t>dgt83</t>
  </si>
  <si>
    <t>NAT</t>
  </si>
  <si>
    <t>CB6</t>
  </si>
  <si>
    <t>dgt86</t>
  </si>
  <si>
    <t>dgt91</t>
  </si>
  <si>
    <t>dgt92</t>
  </si>
  <si>
    <t>CB2</t>
  </si>
  <si>
    <t>dgt95</t>
  </si>
  <si>
    <t>CB4</t>
  </si>
  <si>
    <t>DDG10</t>
  </si>
  <si>
    <t>dgt11</t>
  </si>
  <si>
    <t>DDG15</t>
  </si>
  <si>
    <t>DDG11</t>
  </si>
  <si>
    <t>dgt14</t>
  </si>
  <si>
    <t>DDG16</t>
  </si>
  <si>
    <t>DDG12</t>
  </si>
  <si>
    <t>dgt2</t>
  </si>
  <si>
    <t>DDG18</t>
  </si>
  <si>
    <t>DDG13</t>
  </si>
  <si>
    <t>dgt3</t>
  </si>
  <si>
    <t>DDG20</t>
  </si>
  <si>
    <t>DDG14</t>
  </si>
  <si>
    <t>dgt34</t>
  </si>
  <si>
    <t>D9D</t>
  </si>
  <si>
    <t>DDG17</t>
  </si>
  <si>
    <t>dgt36</t>
  </si>
  <si>
    <t>MZZ</t>
  </si>
  <si>
    <t>DDG19</t>
  </si>
  <si>
    <t>dgt42</t>
  </si>
  <si>
    <t>K66</t>
  </si>
  <si>
    <t>ZAG6</t>
  </si>
  <si>
    <t>dgt52</t>
  </si>
  <si>
    <t>K70</t>
  </si>
  <si>
    <t>ZAG8</t>
  </si>
  <si>
    <t>dgt54</t>
  </si>
  <si>
    <t>ZAG9</t>
  </si>
  <si>
    <t>dgt59</t>
  </si>
  <si>
    <t>ZAG10</t>
  </si>
  <si>
    <t>dgt6</t>
  </si>
  <si>
    <t>ZAG</t>
  </si>
  <si>
    <t>ZAG11</t>
  </si>
  <si>
    <t>dgt61</t>
  </si>
  <si>
    <t>ZAG1</t>
  </si>
  <si>
    <t>ZAG14</t>
  </si>
  <si>
    <t>dgt77</t>
  </si>
  <si>
    <t>ZAG2</t>
  </si>
  <si>
    <t>ZAG21</t>
  </si>
  <si>
    <t>dgt85</t>
  </si>
  <si>
    <t>ZAG3</t>
  </si>
  <si>
    <t>ZAG31</t>
  </si>
  <si>
    <t>dgt9</t>
  </si>
  <si>
    <t>ZAG4</t>
  </si>
  <si>
    <t>ZAG32</t>
  </si>
  <si>
    <t>dgt98</t>
  </si>
  <si>
    <t>ZAG5</t>
  </si>
  <si>
    <t>ZAG36</t>
  </si>
  <si>
    <t>dgt1</t>
  </si>
  <si>
    <t>ZAG7</t>
  </si>
  <si>
    <t>ZAG38</t>
  </si>
  <si>
    <t>dgt17</t>
  </si>
  <si>
    <t>ZAG12</t>
  </si>
  <si>
    <t>ZAG39</t>
  </si>
  <si>
    <t>dgt20</t>
  </si>
  <si>
    <t>ZAG13</t>
  </si>
  <si>
    <t>ZAG40</t>
  </si>
  <si>
    <t>dgt26</t>
  </si>
  <si>
    <t>ZAG15</t>
  </si>
  <si>
    <t>ZAG41</t>
  </si>
  <si>
    <t>dgt29</t>
  </si>
  <si>
    <t>ZAG16</t>
  </si>
  <si>
    <t>ZAG42</t>
  </si>
  <si>
    <t>dgt33</t>
  </si>
  <si>
    <t>ZAG17</t>
  </si>
  <si>
    <t>ZAG43</t>
  </si>
  <si>
    <t>dgt38</t>
  </si>
  <si>
    <t>ZAG18</t>
  </si>
  <si>
    <t>ZAG44</t>
  </si>
  <si>
    <t>dgt43</t>
  </si>
  <si>
    <t>ZAG19</t>
  </si>
  <si>
    <t>SZ16</t>
  </si>
  <si>
    <t>dgt56</t>
  </si>
  <si>
    <t>ZAG20</t>
  </si>
  <si>
    <t>SZ17</t>
  </si>
  <si>
    <t>dgt58</t>
  </si>
  <si>
    <t>ZAG22</t>
  </si>
  <si>
    <t>SZ27</t>
  </si>
  <si>
    <t>dgt69</t>
  </si>
  <si>
    <t>ZAG23</t>
  </si>
  <si>
    <t>SZ28</t>
  </si>
  <si>
    <t>dgt70</t>
  </si>
  <si>
    <t>ZAG24</t>
  </si>
  <si>
    <t>SZ35</t>
  </si>
  <si>
    <t>dgt78</t>
  </si>
  <si>
    <t>ZAG25</t>
  </si>
  <si>
    <t>SZ36</t>
  </si>
  <si>
    <t>dgt80</t>
  </si>
  <si>
    <t>ZAG26</t>
  </si>
  <si>
    <t>SZ37</t>
  </si>
  <si>
    <t>dgt82</t>
  </si>
  <si>
    <t>ZAG30</t>
  </si>
  <si>
    <t>SZ38</t>
  </si>
  <si>
    <t>dgt90</t>
  </si>
  <si>
    <t>ZAG33</t>
  </si>
  <si>
    <t>SZ49</t>
  </si>
  <si>
    <t>dgt</t>
  </si>
  <si>
    <t>ZAG34</t>
  </si>
  <si>
    <t>SZ50</t>
  </si>
  <si>
    <t>dgt15</t>
  </si>
  <si>
    <t>ZAG35</t>
  </si>
  <si>
    <t>DGZ1</t>
  </si>
  <si>
    <t>dgt18</t>
  </si>
  <si>
    <t>ZAG37</t>
  </si>
  <si>
    <t>DGZ2</t>
  </si>
  <si>
    <t>dgt27</t>
  </si>
  <si>
    <t>ZAG45</t>
  </si>
  <si>
    <t>DGZ3</t>
  </si>
  <si>
    <t>dgt30</t>
  </si>
  <si>
    <t>ZAG46</t>
  </si>
  <si>
    <t>DGZ4</t>
  </si>
  <si>
    <t>dgt31</t>
  </si>
  <si>
    <t>ZAG47</t>
  </si>
  <si>
    <t>DGZ5</t>
  </si>
  <si>
    <t>dgt45</t>
  </si>
  <si>
    <t>ZAG48</t>
  </si>
  <si>
    <t>DGZ6</t>
  </si>
  <si>
    <t>dgt48</t>
  </si>
  <si>
    <t>ZAG49</t>
  </si>
  <si>
    <t>DGZ8</t>
  </si>
  <si>
    <t>dgt5</t>
  </si>
  <si>
    <t>ZAG50</t>
  </si>
  <si>
    <t>DGZ9</t>
  </si>
  <si>
    <t>dgt51</t>
  </si>
  <si>
    <t>SZ1</t>
  </si>
  <si>
    <t>DGZ10</t>
  </si>
  <si>
    <t>dgt55</t>
  </si>
  <si>
    <t>SZ2</t>
  </si>
  <si>
    <t>DGZ11</t>
  </si>
  <si>
    <t>dgt84</t>
  </si>
  <si>
    <t>SZ3</t>
  </si>
  <si>
    <t>DGZ12</t>
  </si>
  <si>
    <t>dgt88</t>
  </si>
  <si>
    <t>SZ4</t>
  </si>
  <si>
    <t>DGZ13</t>
  </si>
  <si>
    <t>dgt89</t>
  </si>
  <si>
    <t>SZ5</t>
  </si>
  <si>
    <t>DGZ14</t>
  </si>
  <si>
    <t>dgt96</t>
  </si>
  <si>
    <t>SZ6</t>
  </si>
  <si>
    <t>DGZ17</t>
  </si>
  <si>
    <t>dgt99</t>
  </si>
  <si>
    <t>SZ7</t>
  </si>
  <si>
    <t>DGZ18</t>
  </si>
  <si>
    <t>dgt12</t>
  </si>
  <si>
    <t>SZ8</t>
  </si>
  <si>
    <t>DGZ19</t>
  </si>
  <si>
    <t>dgt16</t>
  </si>
  <si>
    <t>SZ9</t>
  </si>
  <si>
    <t>DGZ20</t>
  </si>
  <si>
    <t>dgt19</t>
  </si>
  <si>
    <t>SZ12</t>
  </si>
  <si>
    <t>DGZ21</t>
  </si>
  <si>
    <t>dgt23</t>
  </si>
  <si>
    <t>SZ13</t>
  </si>
  <si>
    <t>DGZ22</t>
  </si>
  <si>
    <t>dgt24</t>
  </si>
  <si>
    <t>SZ14</t>
  </si>
  <si>
    <t>DGZ23</t>
  </si>
  <si>
    <t>dgt28</t>
  </si>
  <si>
    <t>SZ15</t>
  </si>
  <si>
    <t>DGZ24</t>
  </si>
  <si>
    <t>dgt39</t>
  </si>
  <si>
    <t>SZ18</t>
  </si>
  <si>
    <t>DGZ25</t>
  </si>
  <si>
    <t>dgt40</t>
  </si>
  <si>
    <t>SZ19</t>
  </si>
  <si>
    <t>DGZ26</t>
  </si>
  <si>
    <t>dgt46</t>
  </si>
  <si>
    <t>SZ20</t>
  </si>
  <si>
    <t>DGZ27</t>
  </si>
  <si>
    <t>dgt60</t>
  </si>
  <si>
    <t>SZ21</t>
  </si>
  <si>
    <t>DGZ28</t>
  </si>
  <si>
    <t>dgt62</t>
  </si>
  <si>
    <t>SZ22</t>
  </si>
  <si>
    <t>DGZ30</t>
  </si>
  <si>
    <t>dgt63</t>
  </si>
  <si>
    <t>SZ23</t>
  </si>
  <si>
    <t>DGZ36</t>
  </si>
  <si>
    <t>dgt72</t>
  </si>
  <si>
    <t>SZ24</t>
  </si>
  <si>
    <t>DGZ37</t>
  </si>
  <si>
    <t>dgt75</t>
  </si>
  <si>
    <t>SZ25</t>
  </si>
  <si>
    <t>DGZ38</t>
  </si>
  <si>
    <t>dgt79</t>
  </si>
  <si>
    <t>SZ26</t>
  </si>
  <si>
    <t>DGZ39</t>
  </si>
  <si>
    <t>dgt87</t>
  </si>
  <si>
    <t>SZ29</t>
  </si>
  <si>
    <t>M1011</t>
  </si>
  <si>
    <t>dgt10</t>
  </si>
  <si>
    <t>SZ30</t>
  </si>
  <si>
    <t>M1013</t>
  </si>
  <si>
    <t>dgt13</t>
  </si>
  <si>
    <t>SZ31</t>
  </si>
  <si>
    <t>M1014</t>
  </si>
  <si>
    <t>dgt25</t>
  </si>
  <si>
    <t>SZ32</t>
  </si>
  <si>
    <t>M1015</t>
  </si>
  <si>
    <t>dgt32</t>
  </si>
  <si>
    <t>SZ33</t>
  </si>
  <si>
    <t>M1016</t>
  </si>
  <si>
    <t>dgt37</t>
  </si>
  <si>
    <t>SZ34</t>
  </si>
  <si>
    <t>M1017</t>
  </si>
  <si>
    <t>dgt4</t>
  </si>
  <si>
    <t>SZ39</t>
  </si>
  <si>
    <t>RDF15</t>
  </si>
  <si>
    <t>dgt47</t>
  </si>
  <si>
    <t>SZ46</t>
  </si>
  <si>
    <t>RDF16</t>
  </si>
  <si>
    <t>dgt49</t>
  </si>
  <si>
    <t>SZ47</t>
  </si>
  <si>
    <t>RDF17</t>
  </si>
  <si>
    <t>dgt53</t>
  </si>
  <si>
    <t>SZ48</t>
  </si>
  <si>
    <t>RDF18</t>
  </si>
  <si>
    <t>dgt66</t>
  </si>
  <si>
    <t>B5B</t>
  </si>
  <si>
    <t>RDF19</t>
  </si>
  <si>
    <t>dgt67</t>
  </si>
  <si>
    <t>M1012</t>
  </si>
  <si>
    <t>CLL50</t>
  </si>
  <si>
    <t>dgt68</t>
  </si>
  <si>
    <t>CLL51</t>
  </si>
  <si>
    <t>dgt71</t>
  </si>
  <si>
    <t>dgz100</t>
  </si>
  <si>
    <t>CLL52</t>
  </si>
  <si>
    <t>dgt93</t>
  </si>
  <si>
    <t>dgz101</t>
  </si>
  <si>
    <t>CLL53</t>
  </si>
  <si>
    <t>dgt94</t>
  </si>
  <si>
    <t>dgz102</t>
  </si>
  <si>
    <t>CLL54</t>
  </si>
  <si>
    <t>dgt97</t>
  </si>
  <si>
    <t>dgz103</t>
  </si>
  <si>
    <t>CLL55</t>
  </si>
  <si>
    <t>dgt21</t>
  </si>
  <si>
    <t>dgz104</t>
  </si>
  <si>
    <t>CLL56</t>
  </si>
  <si>
    <t>dgt41</t>
  </si>
  <si>
    <t>dgz105</t>
  </si>
  <si>
    <t>CLL57</t>
  </si>
  <si>
    <t>dgt57</t>
  </si>
  <si>
    <t>dgz106</t>
  </si>
  <si>
    <t>CLL58</t>
  </si>
  <si>
    <t>dgt74</t>
  </si>
  <si>
    <t>dgz107</t>
  </si>
  <si>
    <t>CLL59</t>
  </si>
  <si>
    <t>waffarx1</t>
  </si>
  <si>
    <t>dgz108</t>
  </si>
  <si>
    <t>fs1</t>
  </si>
  <si>
    <t>dgz109</t>
  </si>
  <si>
    <t>dx6</t>
  </si>
  <si>
    <t>dgz110</t>
  </si>
  <si>
    <t>yww5</t>
  </si>
  <si>
    <t>dgz111</t>
  </si>
  <si>
    <t>yww6</t>
  </si>
  <si>
    <t>dgz112</t>
  </si>
  <si>
    <t>yww7</t>
  </si>
  <si>
    <t>dgz113</t>
  </si>
  <si>
    <t>yww8</t>
  </si>
  <si>
    <t>dgz114</t>
  </si>
  <si>
    <t>yww9</t>
  </si>
  <si>
    <t>dgz115</t>
  </si>
  <si>
    <t>yww</t>
  </si>
  <si>
    <t>dgz116</t>
  </si>
  <si>
    <t>yww1</t>
  </si>
  <si>
    <t>dgz117</t>
  </si>
  <si>
    <t>yww2</t>
  </si>
  <si>
    <t>dgz118</t>
  </si>
  <si>
    <t>yww3</t>
  </si>
  <si>
    <t>dgz119</t>
  </si>
  <si>
    <t>yww4</t>
  </si>
  <si>
    <t>dgz120</t>
  </si>
  <si>
    <t>kndr</t>
  </si>
  <si>
    <t>dgz121</t>
  </si>
  <si>
    <t>jry</t>
  </si>
  <si>
    <t>dgz122</t>
  </si>
  <si>
    <t>d7m</t>
  </si>
  <si>
    <t>dgz123</t>
  </si>
  <si>
    <t>ssa</t>
  </si>
  <si>
    <t>dgz124</t>
  </si>
  <si>
    <t>fas</t>
  </si>
  <si>
    <t>dgz125</t>
  </si>
  <si>
    <t>fm</t>
  </si>
  <si>
    <t>dgz126</t>
  </si>
  <si>
    <t>dww</t>
  </si>
  <si>
    <t>dgz127</t>
  </si>
  <si>
    <t>dww1</t>
  </si>
  <si>
    <t>dgz128</t>
  </si>
  <si>
    <t>dww10</t>
  </si>
  <si>
    <t>dgz129</t>
  </si>
  <si>
    <t>dww11</t>
  </si>
  <si>
    <t>dgz130</t>
  </si>
  <si>
    <t>dww12</t>
  </si>
  <si>
    <t>dgz131</t>
  </si>
  <si>
    <t>dww13</t>
  </si>
  <si>
    <t>dgz132</t>
  </si>
  <si>
    <t>dww14</t>
  </si>
  <si>
    <t>dgz133</t>
  </si>
  <si>
    <t>dww15</t>
  </si>
  <si>
    <t>dgz134</t>
  </si>
  <si>
    <t>dww16</t>
  </si>
  <si>
    <t>dgz135</t>
  </si>
  <si>
    <t>dww17</t>
  </si>
  <si>
    <t>dgz136</t>
  </si>
  <si>
    <t>dww18</t>
  </si>
  <si>
    <t>dgz137</t>
  </si>
  <si>
    <t>dww19</t>
  </si>
  <si>
    <t>dgz138</t>
  </si>
  <si>
    <t>dww2</t>
  </si>
  <si>
    <t>dgz139</t>
  </si>
  <si>
    <t>dww3</t>
  </si>
  <si>
    <t>dgz140</t>
  </si>
  <si>
    <t>dww4</t>
  </si>
  <si>
    <t>dgz141</t>
  </si>
  <si>
    <t>dww5</t>
  </si>
  <si>
    <t>dgz142</t>
  </si>
  <si>
    <t>dww6</t>
  </si>
  <si>
    <t>dgz143</t>
  </si>
  <si>
    <t>dww7</t>
  </si>
  <si>
    <t>dgz144</t>
  </si>
  <si>
    <t>dww8</t>
  </si>
  <si>
    <t>dgz145</t>
  </si>
  <si>
    <t>dww9</t>
  </si>
  <si>
    <t>dgz146</t>
  </si>
  <si>
    <t>cww1</t>
  </si>
  <si>
    <t>dgz147</t>
  </si>
  <si>
    <t>cww</t>
  </si>
  <si>
    <t>dgz148</t>
  </si>
  <si>
    <t>aww</t>
  </si>
  <si>
    <t>dgz149</t>
  </si>
  <si>
    <t>dgq</t>
  </si>
  <si>
    <t>dgq1</t>
  </si>
  <si>
    <t>dgq10</t>
  </si>
  <si>
    <t>dgq11</t>
  </si>
  <si>
    <t>dgq12</t>
  </si>
  <si>
    <t>dgq13</t>
  </si>
  <si>
    <t>dgq14</t>
  </si>
  <si>
    <t>dgq15</t>
  </si>
  <si>
    <t>dgq16</t>
  </si>
  <si>
    <t>dgq17</t>
  </si>
  <si>
    <t>dgq18</t>
  </si>
  <si>
    <t>dgq19</t>
  </si>
  <si>
    <t>dgq2</t>
  </si>
  <si>
    <t>dgq20</t>
  </si>
  <si>
    <t>dgq21</t>
  </si>
  <si>
    <t>dgq22</t>
  </si>
  <si>
    <t>dgq23</t>
  </si>
  <si>
    <t>dgq24</t>
  </si>
  <si>
    <t>dgq25</t>
  </si>
  <si>
    <t>dgq26</t>
  </si>
  <si>
    <t>dgq27</t>
  </si>
  <si>
    <t>dgq28</t>
  </si>
  <si>
    <t>dgq29</t>
  </si>
  <si>
    <t>dgq3</t>
  </si>
  <si>
    <t>dgq30</t>
  </si>
  <si>
    <t>dgq31</t>
  </si>
  <si>
    <t>dgq32</t>
  </si>
  <si>
    <t>dgq33</t>
  </si>
  <si>
    <t>dgq34</t>
  </si>
  <si>
    <t>dgq35</t>
  </si>
  <si>
    <t>dgq36</t>
  </si>
  <si>
    <t>dgq37</t>
  </si>
  <si>
    <t>dgq38</t>
  </si>
  <si>
    <t>dgq39</t>
  </si>
  <si>
    <t>dgq4</t>
  </si>
  <si>
    <t>dgq40</t>
  </si>
  <si>
    <t>dgq41</t>
  </si>
  <si>
    <t>dgq42</t>
  </si>
  <si>
    <t>dgq43</t>
  </si>
  <si>
    <t>dgq44</t>
  </si>
  <si>
    <t>dgq45</t>
  </si>
  <si>
    <t>dgq46</t>
  </si>
  <si>
    <t>dgq47</t>
  </si>
  <si>
    <t>dgq48</t>
  </si>
  <si>
    <t>dgq49</t>
  </si>
  <si>
    <t>dgq5</t>
  </si>
  <si>
    <t>dgq6</t>
  </si>
  <si>
    <t>dgq7</t>
  </si>
  <si>
    <t>dgq8</t>
  </si>
  <si>
    <t>dgq9</t>
  </si>
  <si>
    <t>ayla20</t>
  </si>
  <si>
    <t>AWW</t>
  </si>
  <si>
    <t>ayla21</t>
  </si>
  <si>
    <t>CWW1</t>
  </si>
  <si>
    <t>ayla22</t>
  </si>
  <si>
    <t>DGZ7</t>
  </si>
  <si>
    <t>ayla23</t>
  </si>
  <si>
    <t>DGZ15</t>
  </si>
  <si>
    <t>ayla24</t>
  </si>
  <si>
    <t>DGZ16</t>
  </si>
  <si>
    <t>ayla25</t>
  </si>
  <si>
    <t>DGZ29</t>
  </si>
  <si>
    <t>ayla26</t>
  </si>
  <si>
    <t>DGZ31</t>
  </si>
  <si>
    <t>ayla27</t>
  </si>
  <si>
    <t>DGZ32</t>
  </si>
  <si>
    <t>ayla28</t>
  </si>
  <si>
    <t>DGZ33</t>
  </si>
  <si>
    <t>ayla29</t>
  </si>
  <si>
    <t>DGZ34</t>
  </si>
  <si>
    <t>iwd30</t>
  </si>
  <si>
    <t>DGZ35</t>
  </si>
  <si>
    <t>iwd31</t>
  </si>
  <si>
    <t>T5T</t>
  </si>
  <si>
    <t>iwd32</t>
  </si>
  <si>
    <t>iwd33</t>
  </si>
  <si>
    <t>iwd34</t>
  </si>
  <si>
    <t>iwd35</t>
  </si>
  <si>
    <t>iwd36</t>
  </si>
  <si>
    <t>iwd37</t>
  </si>
  <si>
    <t>iwd38</t>
  </si>
  <si>
    <t>iwd39</t>
  </si>
  <si>
    <t>iwd40</t>
  </si>
  <si>
    <t>iwd41</t>
  </si>
  <si>
    <t>iwd42</t>
  </si>
  <si>
    <t>iwd43</t>
  </si>
  <si>
    <t>iwd44</t>
  </si>
  <si>
    <t>digi58</t>
  </si>
  <si>
    <t>digi59</t>
  </si>
  <si>
    <t>digi54</t>
  </si>
  <si>
    <t>digi55</t>
  </si>
  <si>
    <t>digi56</t>
  </si>
  <si>
    <t>digi57</t>
  </si>
  <si>
    <t>digi52</t>
  </si>
  <si>
    <t>digi53</t>
  </si>
  <si>
    <t>YWW</t>
  </si>
  <si>
    <t>digi50</t>
  </si>
  <si>
    <t>YWW1</t>
  </si>
  <si>
    <t>digi51</t>
  </si>
  <si>
    <t>YWW2</t>
  </si>
  <si>
    <t>digi49</t>
  </si>
  <si>
    <t>YWW3</t>
  </si>
  <si>
    <t>digi48</t>
  </si>
  <si>
    <t>YWW4</t>
  </si>
  <si>
    <t>digi44</t>
  </si>
  <si>
    <t>YWW5</t>
  </si>
  <si>
    <t>digi45</t>
  </si>
  <si>
    <t>YWW6</t>
  </si>
  <si>
    <t>digi46</t>
  </si>
  <si>
    <t>YWW7</t>
  </si>
  <si>
    <t>digi47</t>
  </si>
  <si>
    <t>YWW8</t>
  </si>
  <si>
    <t>digi40</t>
  </si>
  <si>
    <t>YWW9</t>
  </si>
  <si>
    <t>digi41</t>
  </si>
  <si>
    <t>digi42</t>
  </si>
  <si>
    <t>CWW</t>
  </si>
  <si>
    <t>digi43</t>
  </si>
  <si>
    <t>DX6</t>
  </si>
  <si>
    <t>digi36</t>
  </si>
  <si>
    <t>digi37</t>
  </si>
  <si>
    <t>digi38</t>
  </si>
  <si>
    <t>digi39</t>
  </si>
  <si>
    <t>digi32</t>
  </si>
  <si>
    <t>digi33</t>
  </si>
  <si>
    <t>digi34</t>
  </si>
  <si>
    <t>digi35</t>
  </si>
  <si>
    <t>digi18</t>
  </si>
  <si>
    <t>digi19</t>
  </si>
  <si>
    <t>digi30</t>
  </si>
  <si>
    <t>digi31</t>
  </si>
  <si>
    <t>digi15</t>
  </si>
  <si>
    <t>digi16</t>
  </si>
  <si>
    <t>digi17</t>
  </si>
  <si>
    <t>digi11</t>
  </si>
  <si>
    <t>digi12</t>
  </si>
  <si>
    <t>digi13</t>
  </si>
  <si>
    <t>digi14</t>
  </si>
  <si>
    <t>mx77</t>
  </si>
  <si>
    <t>digi10</t>
  </si>
  <si>
    <t>t2s</t>
  </si>
  <si>
    <t>mo3</t>
  </si>
  <si>
    <t>ewc</t>
  </si>
  <si>
    <t>s4e</t>
  </si>
  <si>
    <t>dgmm</t>
  </si>
  <si>
    <t>nms260</t>
  </si>
  <si>
    <t>nms261</t>
  </si>
  <si>
    <t>nms262</t>
  </si>
  <si>
    <t>nms263</t>
  </si>
  <si>
    <t>nms264</t>
  </si>
  <si>
    <t>nms265</t>
  </si>
  <si>
    <t>nms266</t>
  </si>
  <si>
    <t>nms267</t>
  </si>
  <si>
    <t>nms268</t>
  </si>
  <si>
    <t>nms269</t>
  </si>
  <si>
    <t>nms270</t>
  </si>
  <si>
    <t>nms271</t>
  </si>
  <si>
    <t>nms272</t>
  </si>
  <si>
    <t>nms273</t>
  </si>
  <si>
    <t>nms274</t>
  </si>
  <si>
    <t>nms275</t>
  </si>
  <si>
    <t>nms276</t>
  </si>
  <si>
    <t>nms278</t>
  </si>
  <si>
    <t>nms279</t>
  </si>
  <si>
    <t>blu</t>
  </si>
  <si>
    <t>twins0</t>
  </si>
  <si>
    <t>me115</t>
  </si>
  <si>
    <t>me119</t>
  </si>
  <si>
    <t>me123</t>
  </si>
  <si>
    <t>RDF6</t>
  </si>
  <si>
    <t>RDF10</t>
  </si>
  <si>
    <t>digi20</t>
  </si>
  <si>
    <t>digi21</t>
  </si>
  <si>
    <t>digi22</t>
  </si>
  <si>
    <t>digi23</t>
  </si>
  <si>
    <t>digi24</t>
  </si>
  <si>
    <t>digi25</t>
  </si>
  <si>
    <t>digi26</t>
  </si>
  <si>
    <t>digi27</t>
  </si>
  <si>
    <t>digi28</t>
  </si>
  <si>
    <t>digi29</t>
  </si>
  <si>
    <t>M1010</t>
  </si>
  <si>
    <t>M1019</t>
  </si>
  <si>
    <t>k66</t>
  </si>
  <si>
    <t>s66</t>
  </si>
  <si>
    <t>HYN</t>
  </si>
  <si>
    <t>AL15</t>
  </si>
  <si>
    <t>DR15</t>
  </si>
  <si>
    <t>OAX</t>
  </si>
  <si>
    <t>HAL</t>
  </si>
  <si>
    <t>SARA3</t>
  </si>
  <si>
    <t>GA00</t>
  </si>
  <si>
    <t>WWD</t>
  </si>
  <si>
    <t>VBN</t>
  </si>
  <si>
    <t>BER</t>
  </si>
  <si>
    <t>TYF</t>
  </si>
  <si>
    <t>SARR1</t>
  </si>
  <si>
    <t>KHL5</t>
  </si>
  <si>
    <t>BACK</t>
  </si>
  <si>
    <t>FLLW</t>
  </si>
  <si>
    <t>15H</t>
  </si>
  <si>
    <t>SZ40</t>
  </si>
  <si>
    <t>ZAG27</t>
  </si>
  <si>
    <t>ZAG28</t>
  </si>
  <si>
    <t>DDG</t>
  </si>
  <si>
    <t>DDG1</t>
  </si>
  <si>
    <t>KHAIRY30</t>
  </si>
  <si>
    <t>dkh</t>
  </si>
  <si>
    <t>GBW</t>
  </si>
  <si>
    <t>SZ41</t>
  </si>
  <si>
    <t>SZ42</t>
  </si>
  <si>
    <t>SZ43</t>
  </si>
  <si>
    <t>SZ44</t>
  </si>
  <si>
    <t>SZ45</t>
  </si>
  <si>
    <t>WWF</t>
  </si>
  <si>
    <t>DAD</t>
  </si>
  <si>
    <t>dak</t>
  </si>
  <si>
    <t>ghi</t>
  </si>
  <si>
    <t>ARR10</t>
  </si>
  <si>
    <t>gkl</t>
  </si>
  <si>
    <t>goz</t>
  </si>
  <si>
    <t>HDYA</t>
  </si>
  <si>
    <t>bqm</t>
  </si>
  <si>
    <t>15TF</t>
  </si>
  <si>
    <t>cng</t>
  </si>
  <si>
    <t>cxi</t>
  </si>
  <si>
    <t>Raghad2</t>
  </si>
  <si>
    <t xml:space="preserve">HAL </t>
  </si>
  <si>
    <t>FA55</t>
  </si>
  <si>
    <t>esf</t>
  </si>
  <si>
    <t>gly</t>
  </si>
  <si>
    <t>gvd</t>
  </si>
  <si>
    <t>hmq</t>
  </si>
  <si>
    <t>mira0</t>
  </si>
  <si>
    <t>hrw</t>
  </si>
  <si>
    <t>s1235</t>
  </si>
  <si>
    <t>s1236</t>
  </si>
  <si>
    <t>s1237</t>
  </si>
  <si>
    <t>lkv</t>
  </si>
  <si>
    <t>s1238</t>
  </si>
  <si>
    <t>s1239</t>
  </si>
  <si>
    <t>mgy</t>
  </si>
  <si>
    <t>nqw</t>
  </si>
  <si>
    <t>ZAG29</t>
  </si>
  <si>
    <t>pwg</t>
  </si>
  <si>
    <t>RDF</t>
  </si>
  <si>
    <t>qbz</t>
  </si>
  <si>
    <t>RDF1</t>
  </si>
  <si>
    <t>quk</t>
  </si>
  <si>
    <t>RDF2</t>
  </si>
  <si>
    <t>rbi</t>
  </si>
  <si>
    <t>RDF3</t>
  </si>
  <si>
    <t>rjw</t>
  </si>
  <si>
    <t>RDF4</t>
  </si>
  <si>
    <t>RDF5</t>
  </si>
  <si>
    <t>tzw</t>
  </si>
  <si>
    <t>v7e</t>
  </si>
  <si>
    <t>RDF7</t>
  </si>
  <si>
    <t>RDF8</t>
  </si>
  <si>
    <t>wnd</t>
  </si>
  <si>
    <t>RDF9</t>
  </si>
  <si>
    <t>wrf</t>
  </si>
  <si>
    <t>xdb</t>
  </si>
  <si>
    <t>RDF11</t>
  </si>
  <si>
    <t>xva</t>
  </si>
  <si>
    <t>RDF12</t>
  </si>
  <si>
    <t>ygn</t>
  </si>
  <si>
    <t>ypb</t>
  </si>
  <si>
    <t>me116</t>
  </si>
  <si>
    <t>ysv</t>
  </si>
  <si>
    <t>me117</t>
  </si>
  <si>
    <t>me118</t>
  </si>
  <si>
    <t>me120</t>
  </si>
  <si>
    <t>LEAP1</t>
  </si>
  <si>
    <t>me121</t>
  </si>
  <si>
    <t>Wala</t>
  </si>
  <si>
    <t>gk1106</t>
  </si>
  <si>
    <t>gk1116</t>
  </si>
  <si>
    <t>gk1117</t>
  </si>
  <si>
    <t>gk1120</t>
  </si>
  <si>
    <t>gk1126</t>
  </si>
  <si>
    <t>gk1134</t>
  </si>
  <si>
    <t>gk1136</t>
  </si>
  <si>
    <t>gk1144</t>
  </si>
  <si>
    <t>gk1149</t>
  </si>
  <si>
    <t>gk1155</t>
  </si>
  <si>
    <t>gk1163</t>
  </si>
  <si>
    <t>gk1166</t>
  </si>
  <si>
    <t>gk1178</t>
  </si>
  <si>
    <t>gk1183</t>
  </si>
  <si>
    <t>gk1189</t>
  </si>
  <si>
    <t>gk1196</t>
  </si>
  <si>
    <t>gk1100</t>
  </si>
  <si>
    <t>gk1107</t>
  </si>
  <si>
    <t>gk1113</t>
  </si>
  <si>
    <t>gk1121</t>
  </si>
  <si>
    <t>gk1132</t>
  </si>
  <si>
    <t>gk1139</t>
  </si>
  <si>
    <t>gk1145</t>
  </si>
  <si>
    <t>gk1147</t>
  </si>
  <si>
    <t>gk1151</t>
  </si>
  <si>
    <t>gk1157</t>
  </si>
  <si>
    <t>gk1167</t>
  </si>
  <si>
    <t>gk1171</t>
  </si>
  <si>
    <t>gk1179</t>
  </si>
  <si>
    <t>gk1185</t>
  </si>
  <si>
    <t>gk1191</t>
  </si>
  <si>
    <t>gk1195</t>
  </si>
  <si>
    <t>gk1108</t>
  </si>
  <si>
    <t>gk1123</t>
  </si>
  <si>
    <t>gk1130</t>
  </si>
  <si>
    <t>gk1131</t>
  </si>
  <si>
    <t>gk1133</t>
  </si>
  <si>
    <t>gk1137</t>
  </si>
  <si>
    <t>gk1159</t>
  </si>
  <si>
    <t>gk1162</t>
  </si>
  <si>
    <t>gk1165</t>
  </si>
  <si>
    <t>gk1175</t>
  </si>
  <si>
    <t>gk1177</t>
  </si>
  <si>
    <t>gk1180</t>
  </si>
  <si>
    <t>gk1181</t>
  </si>
  <si>
    <t>gk1188</t>
  </si>
  <si>
    <t>gk1190</t>
  </si>
  <si>
    <t>gk1193</t>
  </si>
  <si>
    <t>gk1101</t>
  </si>
  <si>
    <t>gk1103</t>
  </si>
  <si>
    <t>gk1104</t>
  </si>
  <si>
    <t>gk1115</t>
  </si>
  <si>
    <t>gk1119</t>
  </si>
  <si>
    <t>gk1122</t>
  </si>
  <si>
    <t>gk1124</t>
  </si>
  <si>
    <t>gk1138</t>
  </si>
  <si>
    <t>gk1142</t>
  </si>
  <si>
    <t>gk1156</t>
  </si>
  <si>
    <t>gk1160</t>
  </si>
  <si>
    <t>gk1164</t>
  </si>
  <si>
    <t>gk1169</t>
  </si>
  <si>
    <t>gk1182</t>
  </si>
  <si>
    <t>gk1187</t>
  </si>
  <si>
    <t>gk1198</t>
  </si>
  <si>
    <t>gk1105</t>
  </si>
  <si>
    <t>gk1111</t>
  </si>
  <si>
    <t>gk1118</t>
  </si>
  <si>
    <t>gk1127</t>
  </si>
  <si>
    <t>gk1140</t>
  </si>
  <si>
    <t>gk1141</t>
  </si>
  <si>
    <t>gk1146</t>
  </si>
  <si>
    <t>gk1148</t>
  </si>
  <si>
    <t>gk1150</t>
  </si>
  <si>
    <t>gk1152</t>
  </si>
  <si>
    <t>gk1153</t>
  </si>
  <si>
    <t>gk1170</t>
  </si>
  <si>
    <t>gk1172</t>
  </si>
  <si>
    <t>gk1174</t>
  </si>
  <si>
    <t>gk1186</t>
  </si>
  <si>
    <t>gk1192</t>
  </si>
  <si>
    <t>gk1109</t>
  </si>
  <si>
    <t>gk1110</t>
  </si>
  <si>
    <t>gk1112</t>
  </si>
  <si>
    <t>gk1114</t>
  </si>
  <si>
    <t>gk1125</t>
  </si>
  <si>
    <t>gk1128</t>
  </si>
  <si>
    <t>gk1129</t>
  </si>
  <si>
    <t>gk1135</t>
  </si>
  <si>
    <t>gk1154</t>
  </si>
  <si>
    <t>gk1158</t>
  </si>
  <si>
    <t>gk1168</t>
  </si>
  <si>
    <t>gk1173</t>
  </si>
  <si>
    <t>gk1176</t>
  </si>
  <si>
    <t>gk1184</t>
  </si>
  <si>
    <t>gk1194</t>
  </si>
  <si>
    <t>gk1199</t>
  </si>
  <si>
    <t>gk1102</t>
  </si>
  <si>
    <t>gk1143</t>
  </si>
  <si>
    <t>gk1161</t>
  </si>
  <si>
    <t>gk1197</t>
  </si>
  <si>
    <t>paused</t>
  </si>
  <si>
    <t xml:space="preserve">ID </t>
  </si>
  <si>
    <t>VD8I</t>
  </si>
  <si>
    <t>VGVF</t>
  </si>
  <si>
    <t>VRG3</t>
  </si>
  <si>
    <t>V47H</t>
  </si>
  <si>
    <t>VTPQ</t>
  </si>
  <si>
    <t>V18K</t>
  </si>
  <si>
    <t>VQ7F</t>
  </si>
  <si>
    <t>VTT7</t>
  </si>
  <si>
    <t>V8Q8</t>
  </si>
  <si>
    <t>VLDR</t>
  </si>
  <si>
    <t>VO94</t>
  </si>
  <si>
    <t>VJ9E</t>
  </si>
  <si>
    <t>VN5H</t>
  </si>
  <si>
    <t>VH35</t>
  </si>
  <si>
    <t>VJXG</t>
  </si>
  <si>
    <t>VFU0</t>
  </si>
  <si>
    <t>VCJR</t>
  </si>
  <si>
    <t>VLRE</t>
  </si>
  <si>
    <t>V403</t>
  </si>
  <si>
    <t>VB6A</t>
  </si>
  <si>
    <t>VDXY</t>
  </si>
  <si>
    <t>VHMR</t>
  </si>
  <si>
    <t>VYKH</t>
  </si>
  <si>
    <t>VKJZ</t>
  </si>
  <si>
    <t>VOGR</t>
  </si>
  <si>
    <t>VTG5</t>
  </si>
  <si>
    <t>V6QZ</t>
  </si>
  <si>
    <t>VH1J</t>
  </si>
  <si>
    <t>V8Y9</t>
  </si>
  <si>
    <t>VOIR</t>
  </si>
  <si>
    <t>VRE5</t>
  </si>
  <si>
    <t>VUXR</t>
  </si>
  <si>
    <t>V99N</t>
  </si>
  <si>
    <t>V4P4</t>
  </si>
  <si>
    <t>VDIG</t>
  </si>
  <si>
    <t>VFJO</t>
  </si>
  <si>
    <t>V5AM</t>
  </si>
  <si>
    <t>VJUS</t>
  </si>
  <si>
    <t>VLPP</t>
  </si>
  <si>
    <t>VMUT</t>
  </si>
  <si>
    <t>VR2T</t>
  </si>
  <si>
    <t>VBT6</t>
  </si>
  <si>
    <t>V6ZN</t>
  </si>
  <si>
    <t>VSX2</t>
  </si>
  <si>
    <t>VUAT</t>
  </si>
  <si>
    <t>VR8E</t>
  </si>
  <si>
    <t>VB2S</t>
  </si>
  <si>
    <t>VGWS</t>
  </si>
  <si>
    <t>VX5I</t>
  </si>
  <si>
    <t>VZXU</t>
  </si>
  <si>
    <t>VMXF</t>
  </si>
  <si>
    <t>VNM2</t>
  </si>
  <si>
    <t>VN7I</t>
  </si>
  <si>
    <t>VY3D</t>
  </si>
  <si>
    <t>V2PC</t>
  </si>
  <si>
    <t>VHNC</t>
  </si>
  <si>
    <t>VRUW</t>
  </si>
  <si>
    <t>VW6M</t>
  </si>
  <si>
    <t>VQ6Q</t>
  </si>
  <si>
    <t>V4T0</t>
  </si>
  <si>
    <t>V1I5</t>
  </si>
  <si>
    <t>V0VC</t>
  </si>
  <si>
    <t>V3Y8</t>
  </si>
  <si>
    <t>VHQM</t>
  </si>
  <si>
    <t>V03L</t>
  </si>
  <si>
    <t>VBYD</t>
  </si>
  <si>
    <t>VQO6</t>
  </si>
  <si>
    <t>V4W9</t>
  </si>
  <si>
    <t>VAKJ</t>
  </si>
  <si>
    <t>V6VY</t>
  </si>
  <si>
    <t>VDX8</t>
  </si>
  <si>
    <t>VT1M</t>
  </si>
  <si>
    <t>V70O</t>
  </si>
  <si>
    <t>VBW0</t>
  </si>
  <si>
    <t>VU1B</t>
  </si>
  <si>
    <t>VN6Z</t>
  </si>
  <si>
    <t>VYVF</t>
  </si>
  <si>
    <t>V9RT</t>
  </si>
  <si>
    <t>VXZD</t>
  </si>
  <si>
    <t>VE0F</t>
  </si>
  <si>
    <t>VQRS</t>
  </si>
  <si>
    <t>VQ58</t>
  </si>
  <si>
    <t>VLLM</t>
  </si>
  <si>
    <t>VG11</t>
  </si>
  <si>
    <t>VBUB</t>
  </si>
  <si>
    <t>V988</t>
  </si>
  <si>
    <t>VIW0</t>
  </si>
  <si>
    <t>VV6Q</t>
  </si>
  <si>
    <t>V0MT</t>
  </si>
  <si>
    <t>V8J5</t>
  </si>
  <si>
    <t>V9MB</t>
  </si>
  <si>
    <t>VHGY</t>
  </si>
  <si>
    <t>VIXR</t>
  </si>
  <si>
    <t>V36W</t>
  </si>
  <si>
    <t>V642</t>
  </si>
  <si>
    <t>VR75</t>
  </si>
  <si>
    <t>VB3P</t>
  </si>
  <si>
    <t>VD7J</t>
  </si>
  <si>
    <t>VKQ5</t>
  </si>
  <si>
    <t>VEFE</t>
  </si>
  <si>
    <t>VLVL</t>
  </si>
  <si>
    <t>VGJV</t>
  </si>
  <si>
    <t>VPPK</t>
  </si>
  <si>
    <t>V4GB</t>
  </si>
  <si>
    <t>V3ZA</t>
  </si>
  <si>
    <t>V9CB</t>
  </si>
  <si>
    <t>VP7G</t>
  </si>
  <si>
    <t>VNGU</t>
  </si>
  <si>
    <t>VP0C</t>
  </si>
  <si>
    <t>VQ8K</t>
  </si>
  <si>
    <t>VHAM</t>
  </si>
  <si>
    <t>VQYI</t>
  </si>
  <si>
    <t>VU1C</t>
  </si>
  <si>
    <t>V5AI</t>
  </si>
  <si>
    <t>VVMV</t>
  </si>
  <si>
    <t>V9BX</t>
  </si>
  <si>
    <t>VW26</t>
  </si>
  <si>
    <t>VCOD</t>
  </si>
  <si>
    <t>VQ9T</t>
  </si>
  <si>
    <t>VYIY</t>
  </si>
  <si>
    <t>V5CF</t>
  </si>
  <si>
    <t>VM9D</t>
  </si>
  <si>
    <t>VSLV</t>
  </si>
  <si>
    <t>V46E</t>
  </si>
  <si>
    <t>VIUL</t>
  </si>
  <si>
    <t>VKXH</t>
  </si>
  <si>
    <t>VCV2</t>
  </si>
  <si>
    <t>VJ1M</t>
  </si>
  <si>
    <t>VJRO</t>
  </si>
  <si>
    <t>VPII</t>
  </si>
  <si>
    <t>VFJ4</t>
  </si>
  <si>
    <t>V9HF</t>
  </si>
  <si>
    <t>VS8R</t>
  </si>
  <si>
    <t>VHOP</t>
  </si>
  <si>
    <t>VQBV</t>
  </si>
  <si>
    <t>VOAH</t>
  </si>
  <si>
    <t>V0LZ</t>
  </si>
  <si>
    <t>VBJ9</t>
  </si>
  <si>
    <t>V2ZP</t>
  </si>
  <si>
    <t>VRD3</t>
  </si>
  <si>
    <t>VYW8</t>
  </si>
  <si>
    <t>VQBB</t>
  </si>
  <si>
    <t>VO56</t>
  </si>
  <si>
    <t>VT8Y</t>
  </si>
  <si>
    <t>VBU2</t>
  </si>
  <si>
    <t>VNSJ</t>
  </si>
  <si>
    <t>V3JK</t>
  </si>
  <si>
    <t>VUCD</t>
  </si>
  <si>
    <t>VRIW</t>
  </si>
  <si>
    <t>VUDM</t>
  </si>
  <si>
    <t>VCZK</t>
  </si>
  <si>
    <t>VU2Y</t>
  </si>
  <si>
    <t>V4GF</t>
  </si>
  <si>
    <t>V0WK</t>
  </si>
  <si>
    <t>VHGJ</t>
  </si>
  <si>
    <t>V354</t>
  </si>
  <si>
    <t>VTHB</t>
  </si>
  <si>
    <t>VK5R</t>
  </si>
  <si>
    <t>V9J9</t>
  </si>
  <si>
    <t>V8S0</t>
  </si>
  <si>
    <t>VJ30</t>
  </si>
  <si>
    <t>VLC4</t>
  </si>
  <si>
    <t>VGPA</t>
  </si>
  <si>
    <t>VHJU</t>
  </si>
  <si>
    <t>V7OJ</t>
  </si>
  <si>
    <t>V75H</t>
  </si>
  <si>
    <t>V4P6</t>
  </si>
  <si>
    <t>VORA</t>
  </si>
  <si>
    <t>V693</t>
  </si>
  <si>
    <t>V0CB</t>
  </si>
  <si>
    <t>VYBI</t>
  </si>
  <si>
    <t>VPR4</t>
  </si>
  <si>
    <t>VS7Z</t>
  </si>
  <si>
    <t>VDIS</t>
  </si>
  <si>
    <t>V20M</t>
  </si>
  <si>
    <t>VXXF</t>
  </si>
  <si>
    <t>VJ9G</t>
  </si>
  <si>
    <t>V5AW</t>
  </si>
  <si>
    <t>V8JZ</t>
  </si>
  <si>
    <t>VQGP</t>
  </si>
  <si>
    <t>VWJX</t>
  </si>
  <si>
    <t>VU6O</t>
  </si>
  <si>
    <t>V69C</t>
  </si>
  <si>
    <t>VMAF</t>
  </si>
  <si>
    <t>VQAT</t>
  </si>
  <si>
    <t>VRTM</t>
  </si>
  <si>
    <t>VWVR</t>
  </si>
  <si>
    <t>V8OD</t>
  </si>
  <si>
    <t>VZD6</t>
  </si>
  <si>
    <t>VBDR</t>
  </si>
  <si>
    <t>VQM2</t>
  </si>
  <si>
    <t>VUZF</t>
  </si>
  <si>
    <t>V6V8</t>
  </si>
  <si>
    <t>VCJ5</t>
  </si>
  <si>
    <t>VAI0</t>
  </si>
  <si>
    <t>VIL8</t>
  </si>
  <si>
    <t>VDI6</t>
  </si>
  <si>
    <t>VQ31</t>
  </si>
  <si>
    <t>VJL1</t>
  </si>
  <si>
    <t>VDTT</t>
  </si>
  <si>
    <t>VSNK</t>
  </si>
  <si>
    <t>VINN</t>
  </si>
  <si>
    <t>VHSZ</t>
  </si>
  <si>
    <t>VL00</t>
  </si>
  <si>
    <t>V68V</t>
  </si>
  <si>
    <t>V6IL</t>
  </si>
  <si>
    <t>VKZT</t>
  </si>
  <si>
    <t>VJZK</t>
  </si>
  <si>
    <t>VRQ3</t>
  </si>
  <si>
    <t>VCXR</t>
  </si>
  <si>
    <t>VC0I</t>
  </si>
  <si>
    <t>VYEC</t>
  </si>
  <si>
    <t>VI9E</t>
  </si>
  <si>
    <t>VW08</t>
  </si>
  <si>
    <t>VROH</t>
  </si>
  <si>
    <t>VTCA</t>
  </si>
  <si>
    <t>VHBV</t>
  </si>
  <si>
    <t>VE18</t>
  </si>
  <si>
    <t>V4SX</t>
  </si>
  <si>
    <t>V3VE</t>
  </si>
  <si>
    <t>VXOT</t>
  </si>
  <si>
    <t>VVIS</t>
  </si>
  <si>
    <t>V70H</t>
  </si>
  <si>
    <t>V6BS</t>
  </si>
  <si>
    <t>V0KE</t>
  </si>
  <si>
    <t>VGNR</t>
  </si>
  <si>
    <t>V3BY</t>
  </si>
  <si>
    <t>V09S</t>
  </si>
  <si>
    <t>VXSO</t>
  </si>
  <si>
    <t>VHL0</t>
  </si>
  <si>
    <t>V5BX</t>
  </si>
  <si>
    <t>V4C5</t>
  </si>
  <si>
    <t>VPM9</t>
  </si>
  <si>
    <t>VGGH</t>
  </si>
  <si>
    <t>VGMQ</t>
  </si>
  <si>
    <t>VWPU</t>
  </si>
  <si>
    <t>V7TT</t>
  </si>
  <si>
    <t>VGNS</t>
  </si>
  <si>
    <t>VRXO</t>
  </si>
  <si>
    <t>V1US</t>
  </si>
  <si>
    <t>VV2H</t>
  </si>
  <si>
    <t>VU46</t>
  </si>
  <si>
    <t>VOEV</t>
  </si>
  <si>
    <t>V13K</t>
  </si>
  <si>
    <t>VGTR</t>
  </si>
  <si>
    <t>VI6G</t>
  </si>
  <si>
    <t>VLBO</t>
  </si>
  <si>
    <t>VTRF</t>
  </si>
  <si>
    <t>V1B6</t>
  </si>
  <si>
    <t>V252</t>
  </si>
  <si>
    <t>VAPD</t>
  </si>
  <si>
    <t>VPRF</t>
  </si>
  <si>
    <t>V9O1</t>
  </si>
  <si>
    <t>VJUP</t>
  </si>
  <si>
    <t>V71T</t>
  </si>
  <si>
    <t>VPD5</t>
  </si>
  <si>
    <t>V9QT</t>
  </si>
  <si>
    <t>VGSX</t>
  </si>
  <si>
    <t>VU7M</t>
  </si>
  <si>
    <t>VITG</t>
  </si>
  <si>
    <t>VLOS</t>
  </si>
  <si>
    <t>VGRL</t>
  </si>
  <si>
    <t>VT7J</t>
  </si>
  <si>
    <t>VL6K</t>
  </si>
  <si>
    <t>VFM3</t>
  </si>
  <si>
    <t>V3RG</t>
  </si>
  <si>
    <t>VNXG</t>
  </si>
  <si>
    <t>VSCH</t>
  </si>
  <si>
    <t>VGDT</t>
  </si>
  <si>
    <t>VQGY</t>
  </si>
  <si>
    <t>VEKV</t>
  </si>
  <si>
    <t>VYVV</t>
  </si>
  <si>
    <t>VF09</t>
  </si>
  <si>
    <t>VHHU</t>
  </si>
  <si>
    <t>V0KX</t>
  </si>
  <si>
    <t>VCX1</t>
  </si>
  <si>
    <t>V9NX</t>
  </si>
  <si>
    <t>V6AC</t>
  </si>
  <si>
    <t>VX9D</t>
  </si>
  <si>
    <t>V078</t>
  </si>
  <si>
    <t>VFEY</t>
  </si>
  <si>
    <t>VTTL</t>
  </si>
  <si>
    <t>VD04</t>
  </si>
  <si>
    <t>V7VT</t>
  </si>
  <si>
    <t>VN6R</t>
  </si>
  <si>
    <t>V452</t>
  </si>
  <si>
    <t>VVKP</t>
  </si>
  <si>
    <t>V5UX</t>
  </si>
  <si>
    <t>VX7G</t>
  </si>
  <si>
    <t>VY4U</t>
  </si>
  <si>
    <t>VR7M</t>
  </si>
  <si>
    <t>VQWS</t>
  </si>
  <si>
    <t>VN3C</t>
  </si>
  <si>
    <t>VP6M</t>
  </si>
  <si>
    <t>VAC1</t>
  </si>
  <si>
    <t>VSQE</t>
  </si>
  <si>
    <t>VASD</t>
  </si>
  <si>
    <t>VUH7</t>
  </si>
  <si>
    <t>VCD6</t>
  </si>
  <si>
    <t>VXJO</t>
  </si>
  <si>
    <t>V1TI</t>
  </si>
  <si>
    <t>VAXX</t>
  </si>
  <si>
    <t>VE3D</t>
  </si>
  <si>
    <t>VDW9</t>
  </si>
  <si>
    <t>VQIY</t>
  </si>
  <si>
    <t>VICL</t>
  </si>
  <si>
    <t>V9FA</t>
  </si>
  <si>
    <t>V6UD</t>
  </si>
  <si>
    <t>V2UJ</t>
  </si>
  <si>
    <t>VJQ9</t>
  </si>
  <si>
    <t>VJ6G</t>
  </si>
  <si>
    <t>VZIV</t>
  </si>
  <si>
    <t>VKP6</t>
  </si>
  <si>
    <t>V3K8</t>
  </si>
  <si>
    <t>VGSP</t>
  </si>
  <si>
    <t>VVS8</t>
  </si>
  <si>
    <t>V48B</t>
  </si>
  <si>
    <t>VSKK</t>
  </si>
  <si>
    <t>VH3Z</t>
  </si>
  <si>
    <t>VUY3</t>
  </si>
  <si>
    <t>VLCA</t>
  </si>
  <si>
    <t>V4L7</t>
  </si>
  <si>
    <t>VP1E</t>
  </si>
  <si>
    <t>VG7B</t>
  </si>
  <si>
    <t>VV4C</t>
  </si>
  <si>
    <t>VKD1</t>
  </si>
  <si>
    <t>VWDS</t>
  </si>
  <si>
    <t>V2YM</t>
  </si>
  <si>
    <t>V52S</t>
  </si>
  <si>
    <t>VRET</t>
  </si>
  <si>
    <t>V5EA</t>
  </si>
  <si>
    <t>VKTP</t>
  </si>
  <si>
    <t>V1KE</t>
  </si>
  <si>
    <t>VXUP</t>
  </si>
  <si>
    <t>VD9D</t>
  </si>
  <si>
    <t>VFNH</t>
  </si>
  <si>
    <t>V2GH</t>
  </si>
  <si>
    <t>VSDD</t>
  </si>
  <si>
    <t>V9KP</t>
  </si>
  <si>
    <t>VGQ1</t>
  </si>
  <si>
    <t>VE1W</t>
  </si>
  <si>
    <t>VOWC</t>
  </si>
  <si>
    <t>VEKT</t>
  </si>
  <si>
    <t>V9F8</t>
  </si>
  <si>
    <t>VCAS</t>
  </si>
  <si>
    <t>VYV9</t>
  </si>
  <si>
    <t>VCHL</t>
  </si>
  <si>
    <t>V560</t>
  </si>
  <si>
    <t>V2CU</t>
  </si>
  <si>
    <t>VXS0</t>
  </si>
  <si>
    <t>VWO2</t>
  </si>
  <si>
    <t>VR97</t>
  </si>
  <si>
    <t>VCZ2</t>
  </si>
  <si>
    <t>VXSC</t>
  </si>
  <si>
    <t>V91G</t>
  </si>
  <si>
    <t>VS48</t>
  </si>
  <si>
    <t>VQCG</t>
  </si>
  <si>
    <t>VNNV</t>
  </si>
  <si>
    <t>V0IB</t>
  </si>
  <si>
    <t>VMXJ</t>
  </si>
  <si>
    <t>VVBV</t>
  </si>
  <si>
    <t>V0ZK</t>
  </si>
  <si>
    <t>VJGE</t>
  </si>
  <si>
    <t>VJI8</t>
  </si>
  <si>
    <t>V69O</t>
  </si>
  <si>
    <t>VSF1</t>
  </si>
  <si>
    <t>VK6F</t>
  </si>
  <si>
    <t>VWKB</t>
  </si>
  <si>
    <t>VWH8</t>
  </si>
  <si>
    <t>VZVJ</t>
  </si>
  <si>
    <t>VTB5</t>
  </si>
  <si>
    <t>VYOZ</t>
  </si>
  <si>
    <t>VKN2</t>
  </si>
  <si>
    <t>VJV0</t>
  </si>
  <si>
    <t>VIWM</t>
  </si>
  <si>
    <t>V5NH</t>
  </si>
  <si>
    <t>VQ2H</t>
  </si>
  <si>
    <t>VM4K</t>
  </si>
  <si>
    <t>VOF8</t>
  </si>
  <si>
    <t>VNXD</t>
  </si>
  <si>
    <t>V1M1</t>
  </si>
  <si>
    <t>VX9N</t>
  </si>
  <si>
    <t>V4NY</t>
  </si>
  <si>
    <t>V0QI</t>
  </si>
  <si>
    <t>VKHW</t>
  </si>
  <si>
    <t>VE19</t>
  </si>
  <si>
    <t>V0YQ</t>
  </si>
  <si>
    <t>VBBG</t>
  </si>
  <si>
    <t>V6RK</t>
  </si>
  <si>
    <t>VSL3</t>
  </si>
  <si>
    <t>VDLS</t>
  </si>
  <si>
    <t>VCP6</t>
  </si>
  <si>
    <t>VPKB</t>
  </si>
  <si>
    <t>VWUH</t>
  </si>
  <si>
    <t>VJTO</t>
  </si>
  <si>
    <t>VTUA</t>
  </si>
  <si>
    <t>VYH8</t>
  </si>
  <si>
    <t>VXMX</t>
  </si>
  <si>
    <t>V7S8</t>
  </si>
  <si>
    <t>VJMQ</t>
  </si>
  <si>
    <t>V1L2</t>
  </si>
  <si>
    <t>VQSB</t>
  </si>
  <si>
    <t>VCN7</t>
  </si>
  <si>
    <t>VQE0</t>
  </si>
  <si>
    <t>VI8B</t>
  </si>
  <si>
    <t>VI4F</t>
  </si>
  <si>
    <t>VMZ1</t>
  </si>
  <si>
    <t>VQWO</t>
  </si>
  <si>
    <t>VWCV</t>
  </si>
  <si>
    <t>VOMM</t>
  </si>
  <si>
    <t>V90F</t>
  </si>
  <si>
    <t>VXDP</t>
  </si>
  <si>
    <t>VV5V</t>
  </si>
  <si>
    <t>VKCI</t>
  </si>
  <si>
    <t>V3UR</t>
  </si>
  <si>
    <t>VO0J</t>
  </si>
  <si>
    <t>VVJZ</t>
  </si>
  <si>
    <t>VEZ8</t>
  </si>
  <si>
    <t>V73L</t>
  </si>
  <si>
    <t>VL10</t>
  </si>
  <si>
    <t>VMA4</t>
  </si>
  <si>
    <t>VSD9</t>
  </si>
  <si>
    <t>VMTT</t>
  </si>
  <si>
    <t>VE8M</t>
  </si>
  <si>
    <t>VR93</t>
  </si>
  <si>
    <t>VYT7</t>
  </si>
  <si>
    <t>VID1</t>
  </si>
  <si>
    <t>V2AV</t>
  </si>
  <si>
    <t>V9GT</t>
  </si>
  <si>
    <t>V5XU</t>
  </si>
  <si>
    <t>VYMX</t>
  </si>
  <si>
    <t>V6KA</t>
  </si>
  <si>
    <t>VFS8</t>
  </si>
  <si>
    <t>V1GZ</t>
  </si>
  <si>
    <t>VYPG</t>
  </si>
  <si>
    <t>Influncer</t>
  </si>
  <si>
    <t>VOHR</t>
  </si>
  <si>
    <t>VPJG</t>
  </si>
  <si>
    <t>VN7K</t>
  </si>
  <si>
    <t>VCA7</t>
  </si>
  <si>
    <t>VIKU</t>
  </si>
  <si>
    <t>V1CK</t>
  </si>
  <si>
    <t>VGJR</t>
  </si>
  <si>
    <t>VSZB</t>
  </si>
  <si>
    <t>VOU8</t>
  </si>
  <si>
    <t>VHVD</t>
  </si>
  <si>
    <t>VCFD</t>
  </si>
  <si>
    <t>VGRE</t>
  </si>
  <si>
    <t>VKMO</t>
  </si>
  <si>
    <t>VBIT</t>
  </si>
  <si>
    <t>V42D</t>
  </si>
  <si>
    <t>V6L0</t>
  </si>
  <si>
    <t>VDJA</t>
  </si>
  <si>
    <t>VFP8</t>
  </si>
  <si>
    <t>VVZ3</t>
  </si>
  <si>
    <t>VAZU</t>
  </si>
  <si>
    <t>V5L9</t>
  </si>
  <si>
    <t>VR0A</t>
  </si>
  <si>
    <t>V5ZS</t>
  </si>
  <si>
    <t>VDJK</t>
  </si>
  <si>
    <t>VG13</t>
  </si>
  <si>
    <t>recycled on 12/12
all yellow codes 
no sales since sep</t>
  </si>
  <si>
    <t>TT07</t>
  </si>
  <si>
    <t>TT08</t>
  </si>
  <si>
    <t xml:space="preserve">unused codes for each affiliate </t>
  </si>
  <si>
    <t>DI7</t>
  </si>
  <si>
    <t>DI8</t>
  </si>
  <si>
    <t>DI21</t>
  </si>
  <si>
    <t>DI28</t>
  </si>
  <si>
    <t>DI30</t>
  </si>
  <si>
    <t>DI1</t>
  </si>
  <si>
    <t>DI11</t>
  </si>
  <si>
    <t>DI12</t>
  </si>
  <si>
    <t>DI14</t>
  </si>
  <si>
    <t>DI15</t>
  </si>
  <si>
    <t>DI16</t>
  </si>
  <si>
    <t>DI18</t>
  </si>
  <si>
    <t>DI19</t>
  </si>
  <si>
    <t>DI2</t>
  </si>
  <si>
    <t>DI22</t>
  </si>
  <si>
    <t>DI24</t>
  </si>
  <si>
    <t>DI3</t>
  </si>
  <si>
    <t>DI32</t>
  </si>
  <si>
    <t>DI4</t>
  </si>
  <si>
    <t>DI9</t>
  </si>
  <si>
    <t>TT01</t>
  </si>
  <si>
    <t>TT03</t>
  </si>
  <si>
    <t>TT04</t>
  </si>
  <si>
    <t>DI10</t>
  </si>
  <si>
    <t>DI13</t>
  </si>
  <si>
    <t>DI17</t>
  </si>
  <si>
    <t>DI23</t>
  </si>
  <si>
    <t>DI25</t>
  </si>
  <si>
    <t>DI26</t>
  </si>
  <si>
    <t>DI27</t>
  </si>
  <si>
    <t>DI29</t>
  </si>
  <si>
    <t>DI31</t>
  </si>
  <si>
    <t>ND1</t>
  </si>
  <si>
    <t>ND2</t>
  </si>
  <si>
    <t>DI5</t>
  </si>
  <si>
    <t>ND4</t>
  </si>
  <si>
    <t>DI6</t>
  </si>
  <si>
    <t>ND5</t>
  </si>
  <si>
    <t>ND6</t>
  </si>
  <si>
    <t>ND7</t>
  </si>
  <si>
    <t>TT02</t>
  </si>
  <si>
    <t>ND8</t>
  </si>
  <si>
    <t>ND11</t>
  </si>
  <si>
    <t>ND12</t>
  </si>
  <si>
    <t>TT05</t>
  </si>
  <si>
    <t>ND14</t>
  </si>
  <si>
    <t>TT06</t>
  </si>
  <si>
    <t>ND15</t>
  </si>
  <si>
    <t>TT09</t>
  </si>
  <si>
    <t>ND16</t>
  </si>
  <si>
    <t>ND17</t>
  </si>
  <si>
    <t>ND18</t>
  </si>
  <si>
    <t>ND19</t>
  </si>
  <si>
    <t>ND22</t>
  </si>
  <si>
    <t>ND23</t>
  </si>
  <si>
    <t>ND24</t>
  </si>
  <si>
    <t>ND25</t>
  </si>
  <si>
    <t>ND26</t>
  </si>
  <si>
    <t>MAF</t>
  </si>
  <si>
    <t>MKL</t>
  </si>
  <si>
    <t>GHL</t>
  </si>
  <si>
    <t>KLO</t>
  </si>
  <si>
    <t>SSA</t>
  </si>
  <si>
    <t>ND3</t>
  </si>
  <si>
    <t>ND9</t>
  </si>
  <si>
    <t>ND13</t>
  </si>
  <si>
    <t>ND20</t>
  </si>
  <si>
    <t>ND21</t>
  </si>
  <si>
    <t>MRM</t>
  </si>
  <si>
    <t>NR33</t>
  </si>
  <si>
    <t>GA1</t>
  </si>
  <si>
    <t>SHP</t>
  </si>
  <si>
    <t>WLD</t>
  </si>
  <si>
    <t>HB5</t>
  </si>
  <si>
    <t>HBA</t>
  </si>
  <si>
    <t>BBA</t>
  </si>
  <si>
    <t>RN11</t>
  </si>
  <si>
    <t>BLG</t>
  </si>
  <si>
    <t>GK1</t>
  </si>
  <si>
    <t>GK2</t>
  </si>
  <si>
    <t>GK3</t>
  </si>
  <si>
    <t>GK4</t>
  </si>
  <si>
    <t>GK5</t>
  </si>
  <si>
    <t>Active countries</t>
  </si>
  <si>
    <t>PS1124</t>
  </si>
  <si>
    <t xml:space="preserve">*Get 15% cashback, up to 75 AED/SAR for (New customers). *Get 10% cashback, up to 20 AED/SAR for (Existing customers).KSA &amp; UAE
</t>
  </si>
  <si>
    <t>KSA &amp; UAE</t>
  </si>
  <si>
    <t>T2S</t>
  </si>
  <si>
    <t>PS1136</t>
  </si>
  <si>
    <t>3M4</t>
  </si>
  <si>
    <t>PS1132</t>
  </si>
  <si>
    <t>HSA</t>
  </si>
  <si>
    <t>PS1113</t>
  </si>
  <si>
    <t>JAWW</t>
  </si>
  <si>
    <t>PS1180</t>
  </si>
  <si>
    <t>PS1106</t>
  </si>
  <si>
    <t>5UY</t>
  </si>
  <si>
    <t>PS1187</t>
  </si>
  <si>
    <t>5D8</t>
  </si>
  <si>
    <t>PS1133</t>
  </si>
  <si>
    <t>VD3</t>
  </si>
  <si>
    <t>PS1126</t>
  </si>
  <si>
    <t>7SQ</t>
  </si>
  <si>
    <t>PS1181</t>
  </si>
  <si>
    <t>NUQ</t>
  </si>
  <si>
    <t>PS1188</t>
  </si>
  <si>
    <t>2YU</t>
  </si>
  <si>
    <t>PS1138</t>
  </si>
  <si>
    <t>EJ7</t>
  </si>
  <si>
    <t>PS1103</t>
  </si>
  <si>
    <t>XMJ</t>
  </si>
  <si>
    <t>PS1171</t>
  </si>
  <si>
    <t>VEI</t>
  </si>
  <si>
    <t>PS1116</t>
  </si>
  <si>
    <t>AOR</t>
  </si>
  <si>
    <t>PS1122</t>
  </si>
  <si>
    <t>LCK</t>
  </si>
  <si>
    <t>PS1149</t>
  </si>
  <si>
    <t>O2Y</t>
  </si>
  <si>
    <t>PS1194</t>
  </si>
  <si>
    <t>A5N</t>
  </si>
  <si>
    <t>PS1168</t>
  </si>
  <si>
    <t>R5N</t>
  </si>
  <si>
    <t>PS1102</t>
  </si>
  <si>
    <t>VMW</t>
  </si>
  <si>
    <t>PS1158</t>
  </si>
  <si>
    <t>G4Q</t>
  </si>
  <si>
    <t>PS1100</t>
  </si>
  <si>
    <t>ZK1</t>
  </si>
  <si>
    <t>PS1173</t>
  </si>
  <si>
    <t>QOK</t>
  </si>
  <si>
    <t>PS1139</t>
  </si>
  <si>
    <t>FSN</t>
  </si>
  <si>
    <t>PS1162</t>
  </si>
  <si>
    <t>ZIW</t>
  </si>
  <si>
    <t>PS1112</t>
  </si>
  <si>
    <t>JAH</t>
  </si>
  <si>
    <t>PS1109</t>
  </si>
  <si>
    <t>OIJ</t>
  </si>
  <si>
    <t>PS1115</t>
  </si>
  <si>
    <t>P9C</t>
  </si>
  <si>
    <t>PS1135</t>
  </si>
  <si>
    <t>YDX</t>
  </si>
  <si>
    <t>PS1140</t>
  </si>
  <si>
    <t>SPK</t>
  </si>
  <si>
    <t>PS1120</t>
  </si>
  <si>
    <t>LPC</t>
  </si>
  <si>
    <t>PS1143</t>
  </si>
  <si>
    <t>L8N</t>
  </si>
  <si>
    <t>PS1164</t>
  </si>
  <si>
    <t>8D6</t>
  </si>
  <si>
    <t>PS1189</t>
  </si>
  <si>
    <t>KNC</t>
  </si>
  <si>
    <t>PS1114</t>
  </si>
  <si>
    <t>OJ6</t>
  </si>
  <si>
    <t>PS1146</t>
  </si>
  <si>
    <t>4NU</t>
  </si>
  <si>
    <t>PS1183</t>
  </si>
  <si>
    <t>F7Q</t>
  </si>
  <si>
    <t>PS1199</t>
  </si>
  <si>
    <t>8DB</t>
  </si>
  <si>
    <t>PS1128</t>
  </si>
  <si>
    <t>3UL</t>
  </si>
  <si>
    <t>PS1152</t>
  </si>
  <si>
    <t>AIL</t>
  </si>
  <si>
    <t>PS1156</t>
  </si>
  <si>
    <t>7OG</t>
  </si>
  <si>
    <t>PS1184</t>
  </si>
  <si>
    <t>XWH</t>
  </si>
  <si>
    <t>PS1108</t>
  </si>
  <si>
    <t>S4E</t>
  </si>
  <si>
    <t>PS1118</t>
  </si>
  <si>
    <t>C1Y</t>
  </si>
  <si>
    <t>PS1165</t>
  </si>
  <si>
    <t>2MD</t>
  </si>
  <si>
    <t>PS1105</t>
  </si>
  <si>
    <t>INE</t>
  </si>
  <si>
    <t>PS1127</t>
  </si>
  <si>
    <t>EHS</t>
  </si>
  <si>
    <t>PS1153</t>
  </si>
  <si>
    <t>JHW</t>
  </si>
  <si>
    <t>PS1157</t>
  </si>
  <si>
    <t>MU4</t>
  </si>
  <si>
    <t>PS1111</t>
  </si>
  <si>
    <t>9TP</t>
  </si>
  <si>
    <t>PS1163</t>
  </si>
  <si>
    <t>P1G</t>
  </si>
  <si>
    <t>PS1161</t>
  </si>
  <si>
    <t>5NG</t>
  </si>
  <si>
    <t>PS1130</t>
  </si>
  <si>
    <t>VZE</t>
  </si>
  <si>
    <t>PS1117</t>
  </si>
  <si>
    <t>BU8</t>
  </si>
  <si>
    <t>PS1107</t>
  </si>
  <si>
    <t>IPF</t>
  </si>
  <si>
    <t>PS1137</t>
  </si>
  <si>
    <t>OLB</t>
  </si>
  <si>
    <t>PS1198</t>
  </si>
  <si>
    <t>1PA</t>
  </si>
  <si>
    <t>PS1151</t>
  </si>
  <si>
    <t>D8O</t>
  </si>
  <si>
    <t>PS1174</t>
  </si>
  <si>
    <t>X7M</t>
  </si>
  <si>
    <t>PS1145</t>
  </si>
  <si>
    <t>UEU</t>
  </si>
  <si>
    <t>PS1197</t>
  </si>
  <si>
    <t>7UL</t>
  </si>
  <si>
    <t>PS1190</t>
  </si>
  <si>
    <t>BO6</t>
  </si>
  <si>
    <t>PS1182</t>
  </si>
  <si>
    <t>NJG</t>
  </si>
  <si>
    <t>PS1141</t>
  </si>
  <si>
    <t>3X2</t>
  </si>
  <si>
    <t>PS1179</t>
  </si>
  <si>
    <t>4NP</t>
  </si>
  <si>
    <t>PS1110</t>
  </si>
  <si>
    <t>X4A</t>
  </si>
  <si>
    <t>PS1167</t>
  </si>
  <si>
    <t>9Q3</t>
  </si>
  <si>
    <t>PS1154</t>
  </si>
  <si>
    <t>VBA</t>
  </si>
  <si>
    <t>PS1155</t>
  </si>
  <si>
    <t>Q5I</t>
  </si>
  <si>
    <t>PS1192</t>
  </si>
  <si>
    <t>ZMC</t>
  </si>
  <si>
    <t>PS1134</t>
  </si>
  <si>
    <t>9V1</t>
  </si>
  <si>
    <t>PS1186</t>
  </si>
  <si>
    <t>IW3</t>
  </si>
  <si>
    <t>PS1185</t>
  </si>
  <si>
    <t>2YC</t>
  </si>
  <si>
    <t>PS1119</t>
  </si>
  <si>
    <t>BXI</t>
  </si>
  <si>
    <t>PS1147</t>
  </si>
  <si>
    <t>XOF</t>
  </si>
  <si>
    <t>PS1193</t>
  </si>
  <si>
    <t>M6T</t>
  </si>
  <si>
    <t>PS1160</t>
  </si>
  <si>
    <t>3JE</t>
  </si>
  <si>
    <t>PS1175</t>
  </si>
  <si>
    <t>ALK</t>
  </si>
  <si>
    <t>PS1148</t>
  </si>
  <si>
    <t>1HJ</t>
  </si>
  <si>
    <t>PS1150</t>
  </si>
  <si>
    <t>RBN</t>
  </si>
  <si>
    <t>PS1178</t>
  </si>
  <si>
    <t>3J1</t>
  </si>
  <si>
    <t>PS1176</t>
  </si>
  <si>
    <t>PF9</t>
  </si>
  <si>
    <t>PS1121</t>
  </si>
  <si>
    <t>M6B</t>
  </si>
  <si>
    <t>PS1195</t>
  </si>
  <si>
    <t>Q4V</t>
  </si>
  <si>
    <t>PS1196</t>
  </si>
  <si>
    <t>YX7</t>
  </si>
  <si>
    <t>PS1104</t>
  </si>
  <si>
    <t>LQI</t>
  </si>
  <si>
    <t>PS1172</t>
  </si>
  <si>
    <t>WEP</t>
  </si>
  <si>
    <t>PS1125</t>
  </si>
  <si>
    <t>RLQ</t>
  </si>
  <si>
    <t>PS1142</t>
  </si>
  <si>
    <t>NJX</t>
  </si>
  <si>
    <t>PS1169</t>
  </si>
  <si>
    <t>U4M</t>
  </si>
  <si>
    <t>PS1170</t>
  </si>
  <si>
    <t>SOJ</t>
  </si>
  <si>
    <t>PS1159</t>
  </si>
  <si>
    <t>2Q3</t>
  </si>
  <si>
    <t>PS1191</t>
  </si>
  <si>
    <t>7RK</t>
  </si>
  <si>
    <t>PS1166</t>
  </si>
  <si>
    <t>LR9</t>
  </si>
  <si>
    <t>PS1101</t>
  </si>
  <si>
    <t>9P4</t>
  </si>
  <si>
    <t>PS1129</t>
  </si>
  <si>
    <t>WB3</t>
  </si>
  <si>
    <t>PS1123</t>
  </si>
  <si>
    <t>LXQ</t>
  </si>
  <si>
    <t>PS1131</t>
  </si>
  <si>
    <t>WDT</t>
  </si>
  <si>
    <t>PS1144</t>
  </si>
  <si>
    <t>AQE</t>
  </si>
  <si>
    <t>PS1177</t>
  </si>
  <si>
    <t>N8B</t>
  </si>
  <si>
    <t>DIGI18</t>
  </si>
  <si>
    <t>CF7</t>
  </si>
  <si>
    <t>DIGI3</t>
  </si>
  <si>
    <t>*Get 20% off upto 50 AED (New customers). *Get 10% off upto 10 AED (Existing customers).  For GCC</t>
  </si>
  <si>
    <t>GCC</t>
  </si>
  <si>
    <t>8ED</t>
  </si>
  <si>
    <t>DIGI9</t>
  </si>
  <si>
    <t>9VE</t>
  </si>
  <si>
    <t>DIGI4</t>
  </si>
  <si>
    <t>8O2</t>
  </si>
  <si>
    <t>DIGI</t>
  </si>
  <si>
    <t>E5T</t>
  </si>
  <si>
    <t>DIGI8</t>
  </si>
  <si>
    <t>KIN</t>
  </si>
  <si>
    <t>DIGI10</t>
  </si>
  <si>
    <t>3EQ</t>
  </si>
  <si>
    <t>DIGI7</t>
  </si>
  <si>
    <t>WJZ</t>
  </si>
  <si>
    <t>DIGI16</t>
  </si>
  <si>
    <t>EWC</t>
  </si>
  <si>
    <t>DIGI17</t>
  </si>
  <si>
    <t>E5C</t>
  </si>
  <si>
    <t>DIGI19</t>
  </si>
  <si>
    <t>UIU</t>
  </si>
  <si>
    <t>DIGI1</t>
  </si>
  <si>
    <t>WUF</t>
  </si>
  <si>
    <t>DIGI14</t>
  </si>
  <si>
    <t>SY7</t>
  </si>
  <si>
    <t>DIGI12</t>
  </si>
  <si>
    <t>PV4</t>
  </si>
  <si>
    <t>DIGI2</t>
  </si>
  <si>
    <t>T3N</t>
  </si>
  <si>
    <t>DIGI15</t>
  </si>
  <si>
    <t>P5F</t>
  </si>
  <si>
    <t>DIGI13</t>
  </si>
  <si>
    <t>5XY</t>
  </si>
  <si>
    <t>DIGI6</t>
  </si>
  <si>
    <t>2XE</t>
  </si>
  <si>
    <t>DIGI11</t>
  </si>
  <si>
    <t>DIGI5</t>
  </si>
  <si>
    <t>5YC</t>
  </si>
  <si>
    <t>HL9</t>
  </si>
  <si>
    <t>MZI</t>
  </si>
  <si>
    <t>OJE</t>
  </si>
  <si>
    <t>KZY</t>
  </si>
  <si>
    <t>DXS</t>
  </si>
  <si>
    <t>GJCG</t>
  </si>
  <si>
    <t>LZ6</t>
  </si>
  <si>
    <t>Z7K</t>
  </si>
  <si>
    <t>QLA</t>
  </si>
  <si>
    <t>J4R</t>
  </si>
  <si>
    <t>NPK</t>
  </si>
  <si>
    <t>PMJ</t>
  </si>
  <si>
    <t>7MC</t>
  </si>
  <si>
    <t>8RI</t>
  </si>
  <si>
    <t>L2A</t>
  </si>
  <si>
    <t>MR55</t>
  </si>
  <si>
    <t>1R6</t>
  </si>
  <si>
    <t>IGF</t>
  </si>
  <si>
    <t>NIR</t>
  </si>
  <si>
    <t>DGN</t>
  </si>
  <si>
    <t>BZ2</t>
  </si>
  <si>
    <t>7UC</t>
  </si>
  <si>
    <t>DGK</t>
  </si>
  <si>
    <t>KO3</t>
  </si>
  <si>
    <t>5OR</t>
  </si>
  <si>
    <t>PAQ</t>
  </si>
  <si>
    <t>Q9U</t>
  </si>
  <si>
    <t>BEBR</t>
  </si>
  <si>
    <t>D2N</t>
  </si>
  <si>
    <t>8J7</t>
  </si>
  <si>
    <t>LZM</t>
  </si>
  <si>
    <t>5ZQ</t>
  </si>
  <si>
    <t>ZYP</t>
  </si>
  <si>
    <t>4IF</t>
  </si>
  <si>
    <t>SJU</t>
  </si>
  <si>
    <t>7I1</t>
  </si>
  <si>
    <t>F1W</t>
  </si>
  <si>
    <t>3JK</t>
  </si>
  <si>
    <t>WAD38</t>
  </si>
  <si>
    <t>8AJ</t>
  </si>
  <si>
    <t>AUC96</t>
  </si>
  <si>
    <t>IN5</t>
  </si>
  <si>
    <t>ZOX</t>
  </si>
  <si>
    <t>DQ9</t>
  </si>
  <si>
    <t>DGZ54</t>
  </si>
  <si>
    <t>FZI</t>
  </si>
  <si>
    <t>TMX</t>
  </si>
  <si>
    <t>6T3</t>
  </si>
  <si>
    <t>EJ4</t>
  </si>
  <si>
    <t>2O1</t>
  </si>
  <si>
    <t>CFV</t>
  </si>
  <si>
    <t>E8U</t>
  </si>
  <si>
    <t>ZPS</t>
  </si>
  <si>
    <t>UKE</t>
  </si>
  <si>
    <t>DGZ176</t>
  </si>
  <si>
    <t>GR9</t>
  </si>
  <si>
    <t>B5U</t>
  </si>
  <si>
    <t>7UM</t>
  </si>
  <si>
    <t>RDL</t>
  </si>
  <si>
    <t>7DY</t>
  </si>
  <si>
    <t>MSFF</t>
  </si>
  <si>
    <t>7KL</t>
  </si>
  <si>
    <t>DGZ78</t>
  </si>
  <si>
    <t>L1V</t>
  </si>
  <si>
    <t>MLND</t>
  </si>
  <si>
    <t>IIM</t>
  </si>
  <si>
    <t>DLM</t>
  </si>
  <si>
    <t>B4M</t>
  </si>
  <si>
    <t>W8Q</t>
  </si>
  <si>
    <t>NAO</t>
  </si>
  <si>
    <t>3XF</t>
  </si>
  <si>
    <t>ZL1</t>
  </si>
  <si>
    <t>NUR</t>
  </si>
  <si>
    <t>RGO</t>
  </si>
  <si>
    <t>J9R</t>
  </si>
  <si>
    <t>XVK</t>
  </si>
  <si>
    <t>XNE</t>
  </si>
  <si>
    <t>RWT</t>
  </si>
  <si>
    <t>DX3</t>
  </si>
  <si>
    <t>NFG</t>
  </si>
  <si>
    <t>NPUN</t>
  </si>
  <si>
    <t>TQL</t>
  </si>
  <si>
    <t>UAYU</t>
  </si>
  <si>
    <t>E0L</t>
  </si>
  <si>
    <t>O6Q</t>
  </si>
  <si>
    <t>WAD40</t>
  </si>
  <si>
    <t>UMV</t>
  </si>
  <si>
    <t>CAD</t>
  </si>
  <si>
    <t>5R8</t>
  </si>
  <si>
    <t>GRLZ</t>
  </si>
  <si>
    <t>M1G</t>
  </si>
  <si>
    <t>RHF28</t>
  </si>
  <si>
    <t>VQE</t>
  </si>
  <si>
    <t>3GP</t>
  </si>
  <si>
    <t>Q8S</t>
  </si>
  <si>
    <t>BF119</t>
  </si>
  <si>
    <t>XVS</t>
  </si>
  <si>
    <t>DGQ</t>
  </si>
  <si>
    <t>1N0</t>
  </si>
  <si>
    <t>AUC86</t>
  </si>
  <si>
    <t>JX2</t>
  </si>
  <si>
    <t>ZMT</t>
  </si>
  <si>
    <t>4JW</t>
  </si>
  <si>
    <t>X3W</t>
  </si>
  <si>
    <t>UXS</t>
  </si>
  <si>
    <t>0XV</t>
  </si>
  <si>
    <t>ZVZ</t>
  </si>
  <si>
    <t>F4U</t>
  </si>
  <si>
    <t>ME130</t>
  </si>
  <si>
    <t>A7F</t>
  </si>
  <si>
    <t>ZDPG</t>
  </si>
  <si>
    <t>HZI</t>
  </si>
  <si>
    <t>XHWR</t>
  </si>
  <si>
    <t>Y9M</t>
  </si>
  <si>
    <t>DGZ87</t>
  </si>
  <si>
    <t>SII</t>
  </si>
  <si>
    <t>FY7</t>
  </si>
  <si>
    <t>3HN</t>
  </si>
  <si>
    <t>ZNC</t>
  </si>
  <si>
    <t>GPV</t>
  </si>
  <si>
    <t>DGTY</t>
  </si>
  <si>
    <t>WBQ</t>
  </si>
  <si>
    <t>TXY</t>
  </si>
  <si>
    <t>X2P</t>
  </si>
  <si>
    <t>KXHY</t>
  </si>
  <si>
    <t>2BT</t>
  </si>
  <si>
    <t>0AD</t>
  </si>
  <si>
    <t>1QY</t>
  </si>
  <si>
    <t>9GL</t>
  </si>
  <si>
    <t>O5J</t>
  </si>
  <si>
    <t>5B0</t>
  </si>
  <si>
    <t>SJ5</t>
  </si>
  <si>
    <t>3MT</t>
  </si>
  <si>
    <t>US1</t>
  </si>
  <si>
    <t>VAW</t>
  </si>
  <si>
    <t>1C0</t>
  </si>
  <si>
    <t>5YT</t>
  </si>
  <si>
    <t>DRU</t>
  </si>
  <si>
    <t>BZ1</t>
  </si>
  <si>
    <t>9GE</t>
  </si>
  <si>
    <t>XNY</t>
  </si>
  <si>
    <t>O08</t>
  </si>
  <si>
    <t>FVRA</t>
  </si>
  <si>
    <t>XJB</t>
  </si>
  <si>
    <t>ZWA</t>
  </si>
  <si>
    <t>R0I</t>
  </si>
  <si>
    <t>FQ5</t>
  </si>
  <si>
    <t>VN9</t>
  </si>
  <si>
    <t>MX88</t>
  </si>
  <si>
    <t>NG1</t>
  </si>
  <si>
    <t>GFE</t>
  </si>
  <si>
    <t>G07</t>
  </si>
  <si>
    <t>AUC89</t>
  </si>
  <si>
    <t>DZQQ</t>
  </si>
  <si>
    <t>F0O</t>
  </si>
  <si>
    <t>SKO</t>
  </si>
  <si>
    <t>HLG</t>
  </si>
  <si>
    <t>CZV</t>
  </si>
  <si>
    <t>0CZ</t>
  </si>
  <si>
    <t>4WT</t>
  </si>
  <si>
    <t>WBH</t>
  </si>
  <si>
    <t>NPW</t>
  </si>
  <si>
    <t>EKH</t>
  </si>
  <si>
    <t>0CS</t>
  </si>
  <si>
    <t>UPK</t>
  </si>
  <si>
    <t>WV1</t>
  </si>
  <si>
    <t>V2M</t>
  </si>
  <si>
    <t>YNLA</t>
  </si>
  <si>
    <t>QA0</t>
  </si>
  <si>
    <t>HDSP</t>
  </si>
  <si>
    <t>Y7G</t>
  </si>
  <si>
    <t>WAD32</t>
  </si>
  <si>
    <t>QV0</t>
  </si>
  <si>
    <t>MMI</t>
  </si>
  <si>
    <t>R1O</t>
  </si>
  <si>
    <t>6P4</t>
  </si>
  <si>
    <t>5U4</t>
  </si>
  <si>
    <t>DGZ126</t>
  </si>
  <si>
    <t>GON</t>
  </si>
  <si>
    <t>L5B</t>
  </si>
  <si>
    <t>RADT</t>
  </si>
  <si>
    <t>QIO</t>
  </si>
  <si>
    <t>EY3</t>
  </si>
  <si>
    <t>JES</t>
  </si>
  <si>
    <t>2AN</t>
  </si>
  <si>
    <t>IWD15</t>
  </si>
  <si>
    <t>G9W</t>
  </si>
  <si>
    <t>OJ9</t>
  </si>
  <si>
    <t>SX2</t>
  </si>
  <si>
    <t>AGM</t>
  </si>
  <si>
    <t>IWD12</t>
  </si>
  <si>
    <t>3PU</t>
  </si>
  <si>
    <t>J9S</t>
  </si>
  <si>
    <t>DEW1</t>
  </si>
  <si>
    <t>8JL</t>
  </si>
  <si>
    <t>XO7</t>
  </si>
  <si>
    <t>LOM</t>
  </si>
  <si>
    <t>AU0</t>
  </si>
  <si>
    <t>KRJ</t>
  </si>
  <si>
    <t>ORH</t>
  </si>
  <si>
    <t>5W6</t>
  </si>
  <si>
    <t>DGZ79</t>
  </si>
  <si>
    <t>YIP</t>
  </si>
  <si>
    <t>Q7N</t>
  </si>
  <si>
    <t>2CY</t>
  </si>
  <si>
    <t>ZYZ</t>
  </si>
  <si>
    <t>XG5</t>
  </si>
  <si>
    <t>ZYS</t>
  </si>
  <si>
    <t>EBW</t>
  </si>
  <si>
    <t>JQF</t>
  </si>
  <si>
    <t>QUQ</t>
  </si>
  <si>
    <t>ZOC</t>
  </si>
  <si>
    <t>WAD35</t>
  </si>
  <si>
    <t>ZKD</t>
  </si>
  <si>
    <t>GKLA</t>
  </si>
  <si>
    <t>DGZ190</t>
  </si>
  <si>
    <t>YZS</t>
  </si>
  <si>
    <t>AUC100</t>
  </si>
  <si>
    <t>YSP</t>
  </si>
  <si>
    <t>DGZ88</t>
  </si>
  <si>
    <t>YRX</t>
  </si>
  <si>
    <t>ZOH</t>
  </si>
  <si>
    <t>YQG</t>
  </si>
  <si>
    <t>KRU</t>
  </si>
  <si>
    <t>YFW</t>
  </si>
  <si>
    <t>KQ0</t>
  </si>
  <si>
    <t>YDZ</t>
  </si>
  <si>
    <t>DGZ58</t>
  </si>
  <si>
    <t>XZQ</t>
  </si>
  <si>
    <t>XUV</t>
  </si>
  <si>
    <t>XQQ</t>
  </si>
  <si>
    <t>XPQ</t>
  </si>
  <si>
    <t>MTD</t>
  </si>
  <si>
    <t>XMF</t>
  </si>
  <si>
    <t>XLD</t>
  </si>
  <si>
    <t>XBM</t>
  </si>
  <si>
    <t>XAT</t>
  </si>
  <si>
    <t>FCWE</t>
  </si>
  <si>
    <t>WVP</t>
  </si>
  <si>
    <t>WBK</t>
  </si>
  <si>
    <t>DGZ65</t>
  </si>
  <si>
    <t>VPK</t>
  </si>
  <si>
    <t>VMS</t>
  </si>
  <si>
    <t>MFHS</t>
  </si>
  <si>
    <t>VMP</t>
  </si>
  <si>
    <t>KDL</t>
  </si>
  <si>
    <t>VJZ</t>
  </si>
  <si>
    <t>VIZ</t>
  </si>
  <si>
    <t>DGZ127</t>
  </si>
  <si>
    <t>UYA</t>
  </si>
  <si>
    <t>UWR</t>
  </si>
  <si>
    <t>MO4</t>
  </si>
  <si>
    <t>UVO</t>
  </si>
  <si>
    <t>UUG</t>
  </si>
  <si>
    <t>BS121</t>
  </si>
  <si>
    <t>DGZ66</t>
  </si>
  <si>
    <t>UOI</t>
  </si>
  <si>
    <t>UKP</t>
  </si>
  <si>
    <t>UTV</t>
  </si>
  <si>
    <t>TQX</t>
  </si>
  <si>
    <t>DWW3</t>
  </si>
  <si>
    <t>SUT</t>
  </si>
  <si>
    <t>KQJ</t>
  </si>
  <si>
    <t>SOG</t>
  </si>
  <si>
    <t>SEV</t>
  </si>
  <si>
    <t>IV6</t>
  </si>
  <si>
    <t>SCQ</t>
  </si>
  <si>
    <t>D7M</t>
  </si>
  <si>
    <t>RVQ</t>
  </si>
  <si>
    <t>RVE</t>
  </si>
  <si>
    <t>RSU</t>
  </si>
  <si>
    <t>RMF</t>
  </si>
  <si>
    <t>RHR</t>
  </si>
  <si>
    <t>QPAP</t>
  </si>
  <si>
    <t>DGZ85</t>
  </si>
  <si>
    <t>QFY</t>
  </si>
  <si>
    <t>WAD44</t>
  </si>
  <si>
    <t>QCV</t>
  </si>
  <si>
    <t>PEH</t>
  </si>
  <si>
    <t>PWY</t>
  </si>
  <si>
    <t>PUX</t>
  </si>
  <si>
    <t>QNAU</t>
  </si>
  <si>
    <t>POF</t>
  </si>
  <si>
    <t>PMX</t>
  </si>
  <si>
    <t>PJS</t>
  </si>
  <si>
    <t>PGQ</t>
  </si>
  <si>
    <t>8QZ</t>
  </si>
  <si>
    <t>OYU</t>
  </si>
  <si>
    <t>OUJ</t>
  </si>
  <si>
    <t>SX5</t>
  </si>
  <si>
    <t>ONA</t>
  </si>
  <si>
    <t>DGZ68</t>
  </si>
  <si>
    <t>OLF</t>
  </si>
  <si>
    <t>RRRM</t>
  </si>
  <si>
    <t>OKM</t>
  </si>
  <si>
    <t>OIY</t>
  </si>
  <si>
    <t>OHM</t>
  </si>
  <si>
    <t>OGL</t>
  </si>
  <si>
    <t>NWRK</t>
  </si>
  <si>
    <t>NYO</t>
  </si>
  <si>
    <t>D5U</t>
  </si>
  <si>
    <t>MMVL</t>
  </si>
  <si>
    <t>NIY</t>
  </si>
  <si>
    <t>MZQ</t>
  </si>
  <si>
    <t>EU5</t>
  </si>
  <si>
    <t>YSRU</t>
  </si>
  <si>
    <t>MJT</t>
  </si>
  <si>
    <t>QPLJ</t>
  </si>
  <si>
    <t>MFB</t>
  </si>
  <si>
    <t>WAD46</t>
  </si>
  <si>
    <t>MCQ</t>
  </si>
  <si>
    <t>IV8</t>
  </si>
  <si>
    <t>ANU</t>
  </si>
  <si>
    <t>LWY</t>
  </si>
  <si>
    <t>RHF23</t>
  </si>
  <si>
    <t>LJF</t>
  </si>
  <si>
    <t>CSU</t>
  </si>
  <si>
    <t>LFB</t>
  </si>
  <si>
    <t>LFA</t>
  </si>
  <si>
    <t>QEVD</t>
  </si>
  <si>
    <t>LEP</t>
  </si>
  <si>
    <t>KVI</t>
  </si>
  <si>
    <t>DGZ178</t>
  </si>
  <si>
    <t>KRV</t>
  </si>
  <si>
    <t>SNFP</t>
  </si>
  <si>
    <t>SX1</t>
  </si>
  <si>
    <t>JXM</t>
  </si>
  <si>
    <t>7VU</t>
  </si>
  <si>
    <t>JRW</t>
  </si>
  <si>
    <t>BU5</t>
  </si>
  <si>
    <t>JMD</t>
  </si>
  <si>
    <t>JGU</t>
  </si>
  <si>
    <t>JGP</t>
  </si>
  <si>
    <t>JEP</t>
  </si>
  <si>
    <t>MED</t>
  </si>
  <si>
    <t>IXL</t>
  </si>
  <si>
    <t>DGZ62</t>
  </si>
  <si>
    <t>IVR</t>
  </si>
  <si>
    <t>IUS</t>
  </si>
  <si>
    <t>AE8</t>
  </si>
  <si>
    <t>IUD</t>
  </si>
  <si>
    <t>IOB</t>
  </si>
  <si>
    <t>BF116</t>
  </si>
  <si>
    <t>IMN</t>
  </si>
  <si>
    <t>ILY</t>
  </si>
  <si>
    <t>SYLZ</t>
  </si>
  <si>
    <t>IJY</t>
  </si>
  <si>
    <t>ME139</t>
  </si>
  <si>
    <t>IGX</t>
  </si>
  <si>
    <t>IGB</t>
  </si>
  <si>
    <t>HTQ</t>
  </si>
  <si>
    <t>AVG</t>
  </si>
  <si>
    <t>HIB</t>
  </si>
  <si>
    <t>WX5</t>
  </si>
  <si>
    <t>GWT</t>
  </si>
  <si>
    <t>GWH</t>
  </si>
  <si>
    <t>ITE</t>
  </si>
  <si>
    <t>GVA</t>
  </si>
  <si>
    <t>BRAH</t>
  </si>
  <si>
    <t>GNV</t>
  </si>
  <si>
    <t>GEP</t>
  </si>
  <si>
    <t>AUC99</t>
  </si>
  <si>
    <t>GDO</t>
  </si>
  <si>
    <t>GAV</t>
  </si>
  <si>
    <t>FXZ</t>
  </si>
  <si>
    <t>RMJ</t>
  </si>
  <si>
    <t>FQR</t>
  </si>
  <si>
    <t>DGZ77</t>
  </si>
  <si>
    <t>EWU</t>
  </si>
  <si>
    <t>DVL</t>
  </si>
  <si>
    <t>EQH</t>
  </si>
  <si>
    <t>JF4</t>
  </si>
  <si>
    <t>EQG</t>
  </si>
  <si>
    <t>DGZ55</t>
  </si>
  <si>
    <t>ELI</t>
  </si>
  <si>
    <t>DBB8</t>
  </si>
  <si>
    <t>RWG</t>
  </si>
  <si>
    <t>EJP</t>
  </si>
  <si>
    <t>DFSD</t>
  </si>
  <si>
    <t>EGM</t>
  </si>
  <si>
    <t>DWD</t>
  </si>
  <si>
    <t>DOA</t>
  </si>
  <si>
    <t>CY9</t>
  </si>
  <si>
    <t>DJS</t>
  </si>
  <si>
    <t>DX5</t>
  </si>
  <si>
    <t>YSC</t>
  </si>
  <si>
    <t>DDO</t>
  </si>
  <si>
    <t>CWW7</t>
  </si>
  <si>
    <t>CRD</t>
  </si>
  <si>
    <t>ZPZ</t>
  </si>
  <si>
    <t>CJS</t>
  </si>
  <si>
    <t>DGZ98</t>
  </si>
  <si>
    <t>CJD</t>
  </si>
  <si>
    <t>KZ1</t>
  </si>
  <si>
    <t>CGO</t>
  </si>
  <si>
    <t>JO8</t>
  </si>
  <si>
    <t>BMJ</t>
  </si>
  <si>
    <t>BJX</t>
  </si>
  <si>
    <t>AUC90</t>
  </si>
  <si>
    <t>BJF</t>
  </si>
  <si>
    <t>BEJ</t>
  </si>
  <si>
    <t>DGZ135</t>
  </si>
  <si>
    <t>AZJ</t>
  </si>
  <si>
    <t>DIO</t>
  </si>
  <si>
    <t>ASQ</t>
  </si>
  <si>
    <t>A6U</t>
  </si>
  <si>
    <t>BW2</t>
  </si>
  <si>
    <t>AKJ</t>
  </si>
  <si>
    <t>DGZ123</t>
  </si>
  <si>
    <t>AKC</t>
  </si>
  <si>
    <t>DGZ129</t>
  </si>
  <si>
    <t>EKFG</t>
  </si>
  <si>
    <t>AATP</t>
  </si>
  <si>
    <t>MIDO2</t>
  </si>
  <si>
    <t>CBZV</t>
  </si>
  <si>
    <t>AUC77</t>
  </si>
  <si>
    <t>FHVB</t>
  </si>
  <si>
    <t>FAVU</t>
  </si>
  <si>
    <t>JJXG</t>
  </si>
  <si>
    <t>5XM</t>
  </si>
  <si>
    <t>UPTQ</t>
  </si>
  <si>
    <t>ZWZ</t>
  </si>
  <si>
    <t>LZEW</t>
  </si>
  <si>
    <t>AMZT</t>
  </si>
  <si>
    <t>RHF26</t>
  </si>
  <si>
    <t>RMPV</t>
  </si>
  <si>
    <t>DDUT</t>
  </si>
  <si>
    <t>BZ7</t>
  </si>
  <si>
    <t>XCRB</t>
  </si>
  <si>
    <t>MX77</t>
  </si>
  <si>
    <t>ZBMU</t>
  </si>
  <si>
    <t>YHAY</t>
  </si>
  <si>
    <t>GHJX</t>
  </si>
  <si>
    <t>CJSL</t>
  </si>
  <si>
    <t>GMNE</t>
  </si>
  <si>
    <t>KEQD</t>
  </si>
  <si>
    <t>RHF25</t>
  </si>
  <si>
    <t>UXWT</t>
  </si>
  <si>
    <t>TCLF</t>
  </si>
  <si>
    <t>ADPF</t>
  </si>
  <si>
    <t>EMWN</t>
  </si>
  <si>
    <t>BU0</t>
  </si>
  <si>
    <t>XLRK</t>
  </si>
  <si>
    <t>LYPS</t>
  </si>
  <si>
    <t>JRKX</t>
  </si>
  <si>
    <t>MA2102</t>
  </si>
  <si>
    <t>VVRM</t>
  </si>
  <si>
    <t>EVDS</t>
  </si>
  <si>
    <t>MSPG</t>
  </si>
  <si>
    <t>FU6</t>
  </si>
  <si>
    <t>TLGV</t>
  </si>
  <si>
    <t>BZ5</t>
  </si>
  <si>
    <t>GQMB</t>
  </si>
  <si>
    <t>XNYN</t>
  </si>
  <si>
    <t>AUPL</t>
  </si>
  <si>
    <t>BF117</t>
  </si>
  <si>
    <t>JXUF</t>
  </si>
  <si>
    <t>1CM</t>
  </si>
  <si>
    <t>XDBS</t>
  </si>
  <si>
    <t>AUAK</t>
  </si>
  <si>
    <t>ZV3</t>
  </si>
  <si>
    <t>WAD47</t>
  </si>
  <si>
    <t>KTLV</t>
  </si>
  <si>
    <t>IT4</t>
  </si>
  <si>
    <t>WXNN</t>
  </si>
  <si>
    <t>APWN</t>
  </si>
  <si>
    <t>CWW9</t>
  </si>
  <si>
    <t>ZNHK</t>
  </si>
  <si>
    <t>KKXK</t>
  </si>
  <si>
    <t>WAD43</t>
  </si>
  <si>
    <t>KGUP</t>
  </si>
  <si>
    <t>RLQZ</t>
  </si>
  <si>
    <t>LMDW</t>
  </si>
  <si>
    <t>KQPH</t>
  </si>
  <si>
    <t>SN3</t>
  </si>
  <si>
    <t>AKZC</t>
  </si>
  <si>
    <t>HESV</t>
  </si>
  <si>
    <t>YTVP</t>
  </si>
  <si>
    <t>QEJX</t>
  </si>
  <si>
    <t>DGZ60</t>
  </si>
  <si>
    <t>XFBE</t>
  </si>
  <si>
    <t>DGZ177</t>
  </si>
  <si>
    <t>QLDV</t>
  </si>
  <si>
    <t>RNEG</t>
  </si>
  <si>
    <t>ECQD</t>
  </si>
  <si>
    <t>UVZE</t>
  </si>
  <si>
    <t>QNBS</t>
  </si>
  <si>
    <t>FXJL</t>
  </si>
  <si>
    <t>FAUN</t>
  </si>
  <si>
    <t>ESGD</t>
  </si>
  <si>
    <t>DGZ150</t>
  </si>
  <si>
    <t>FCFN</t>
  </si>
  <si>
    <t>SFZD</t>
  </si>
  <si>
    <t>UQYJ</t>
  </si>
  <si>
    <t>UPBX</t>
  </si>
  <si>
    <t>IWD17</t>
  </si>
  <si>
    <t>WAD41</t>
  </si>
  <si>
    <t>EQWE</t>
  </si>
  <si>
    <t>CKM</t>
  </si>
  <si>
    <t>HMXD</t>
  </si>
  <si>
    <t>YWYL</t>
  </si>
  <si>
    <t>1NM</t>
  </si>
  <si>
    <t>LXHV</t>
  </si>
  <si>
    <t>KY5</t>
  </si>
  <si>
    <t>PZBV</t>
  </si>
  <si>
    <t>KKPE</t>
  </si>
  <si>
    <t>V5Q</t>
  </si>
  <si>
    <t>QJUH</t>
  </si>
  <si>
    <t>CWW4</t>
  </si>
  <si>
    <t>GPKB</t>
  </si>
  <si>
    <t>YBCR</t>
  </si>
  <si>
    <t>ZSJP</t>
  </si>
  <si>
    <t>WAJG</t>
  </si>
  <si>
    <t>DWW5</t>
  </si>
  <si>
    <t>GQXM</t>
  </si>
  <si>
    <t>EQ7</t>
  </si>
  <si>
    <t>CTCU</t>
  </si>
  <si>
    <t>KFX</t>
  </si>
  <si>
    <t>BU6</t>
  </si>
  <si>
    <t>AUC97</t>
  </si>
  <si>
    <t>XNN</t>
  </si>
  <si>
    <t>EECN</t>
  </si>
  <si>
    <t>NETX</t>
  </si>
  <si>
    <t>DGZ91</t>
  </si>
  <si>
    <t>RHDB</t>
  </si>
  <si>
    <t>FL1</t>
  </si>
  <si>
    <t>NVTJ</t>
  </si>
  <si>
    <t>TWV</t>
  </si>
  <si>
    <t>RPKG</t>
  </si>
  <si>
    <t>SUF</t>
  </si>
  <si>
    <t>QNLW</t>
  </si>
  <si>
    <t>WWPK</t>
  </si>
  <si>
    <t>KJZZ</t>
  </si>
  <si>
    <t>2UF</t>
  </si>
  <si>
    <t>CHJM</t>
  </si>
  <si>
    <t>RBUT</t>
  </si>
  <si>
    <t>SNYZ</t>
  </si>
  <si>
    <t>IY8</t>
  </si>
  <si>
    <t>MGJB</t>
  </si>
  <si>
    <t>FUYL</t>
  </si>
  <si>
    <t>KO2</t>
  </si>
  <si>
    <t>CQHQ</t>
  </si>
  <si>
    <t>XXQY</t>
  </si>
  <si>
    <t>EAHZ</t>
  </si>
  <si>
    <t>HDCJ</t>
  </si>
  <si>
    <t>IL6</t>
  </si>
  <si>
    <t>NFSJ</t>
  </si>
  <si>
    <t>LQ5</t>
  </si>
  <si>
    <t>YKVF</t>
  </si>
  <si>
    <t>US5</t>
  </si>
  <si>
    <t>XXTV</t>
  </si>
  <si>
    <t>DGZ63</t>
  </si>
  <si>
    <t>CUPD</t>
  </si>
  <si>
    <t>HHPC</t>
  </si>
  <si>
    <t>YVY</t>
  </si>
  <si>
    <t>AQSG</t>
  </si>
  <si>
    <t>JYHH</t>
  </si>
  <si>
    <t>WDEK</t>
  </si>
  <si>
    <t>AYCM</t>
  </si>
  <si>
    <t>GFSF</t>
  </si>
  <si>
    <t>SARA120</t>
  </si>
  <si>
    <t>HXPP</t>
  </si>
  <si>
    <t>XDMW</t>
  </si>
  <si>
    <t>DGZ73</t>
  </si>
  <si>
    <t>EKAZ</t>
  </si>
  <si>
    <t>BZ9</t>
  </si>
  <si>
    <t>KBLJ</t>
  </si>
  <si>
    <t>PQBU</t>
  </si>
  <si>
    <t>VDZP</t>
  </si>
  <si>
    <t>MX55</t>
  </si>
  <si>
    <t>TGBH</t>
  </si>
  <si>
    <t>LU4</t>
  </si>
  <si>
    <t>RHZF</t>
  </si>
  <si>
    <t>EP4</t>
  </si>
  <si>
    <t>QCLL</t>
  </si>
  <si>
    <t>QYJL</t>
  </si>
  <si>
    <t>GKCR</t>
  </si>
  <si>
    <t>NEML</t>
  </si>
  <si>
    <t>NWFB</t>
  </si>
  <si>
    <t>AUC83</t>
  </si>
  <si>
    <t>QAXK</t>
  </si>
  <si>
    <t>XUHM</t>
  </si>
  <si>
    <t>PFAY</t>
  </si>
  <si>
    <t>JO9</t>
  </si>
  <si>
    <t>YPFE</t>
  </si>
  <si>
    <t>AUC92</t>
  </si>
  <si>
    <t>ZMXD</t>
  </si>
  <si>
    <t>HYQL</t>
  </si>
  <si>
    <t>IIL</t>
  </si>
  <si>
    <t>NPTR</t>
  </si>
  <si>
    <t>ZVMZ</t>
  </si>
  <si>
    <t>VPDH</t>
  </si>
  <si>
    <t>WKXV</t>
  </si>
  <si>
    <t>AUC78</t>
  </si>
  <si>
    <t>HYDP</t>
  </si>
  <si>
    <t>QNDY</t>
  </si>
  <si>
    <t>NEFM</t>
  </si>
  <si>
    <t>EJ9</t>
  </si>
  <si>
    <t>LWPY</t>
  </si>
  <si>
    <t>ALXM</t>
  </si>
  <si>
    <t>HGLQ</t>
  </si>
  <si>
    <t>RFYW</t>
  </si>
  <si>
    <t>BYNT</t>
  </si>
  <si>
    <t>DX2</t>
  </si>
  <si>
    <t>GEDN</t>
  </si>
  <si>
    <t>PQVZ</t>
  </si>
  <si>
    <t>MO3</t>
  </si>
  <si>
    <t>DDBX</t>
  </si>
  <si>
    <t>GYMP</t>
  </si>
  <si>
    <t>DY6</t>
  </si>
  <si>
    <t>GCDG</t>
  </si>
  <si>
    <t>VFSQ</t>
  </si>
  <si>
    <t>RVUF</t>
  </si>
  <si>
    <t>F2A</t>
  </si>
  <si>
    <t>FVFR</t>
  </si>
  <si>
    <t>XPVQ</t>
  </si>
  <si>
    <t>QRS</t>
  </si>
  <si>
    <t>WMVH</t>
  </si>
  <si>
    <t>ZYO</t>
  </si>
  <si>
    <t>TUAM</t>
  </si>
  <si>
    <t>DCBX</t>
  </si>
  <si>
    <t>MJKA</t>
  </si>
  <si>
    <t>WAD37</t>
  </si>
  <si>
    <t>JPRD</t>
  </si>
  <si>
    <t>TDEH</t>
  </si>
  <si>
    <t>BHWT</t>
  </si>
  <si>
    <t>DX1</t>
  </si>
  <si>
    <t>MKTK</t>
  </si>
  <si>
    <t>CWW3</t>
  </si>
  <si>
    <t>NDNS</t>
  </si>
  <si>
    <t>AUC81</t>
  </si>
  <si>
    <t>DSFT</t>
  </si>
  <si>
    <t>TLXM</t>
  </si>
  <si>
    <t>BL7</t>
  </si>
  <si>
    <t>KHRY</t>
  </si>
  <si>
    <t>OPQ</t>
  </si>
  <si>
    <t>QTDC</t>
  </si>
  <si>
    <t>MEGH</t>
  </si>
  <si>
    <t>JHFT</t>
  </si>
  <si>
    <t>TBDP</t>
  </si>
  <si>
    <t>JXBS</t>
  </si>
  <si>
    <t>MHPF</t>
  </si>
  <si>
    <t>LVV</t>
  </si>
  <si>
    <t>CKSC</t>
  </si>
  <si>
    <t>QEDQ</t>
  </si>
  <si>
    <t>BW1</t>
  </si>
  <si>
    <t>HVZV</t>
  </si>
  <si>
    <t>CID</t>
  </si>
  <si>
    <t>UXPS</t>
  </si>
  <si>
    <t>DCHT</t>
  </si>
  <si>
    <t>B9D</t>
  </si>
  <si>
    <t>YBYH</t>
  </si>
  <si>
    <t>SJ2</t>
  </si>
  <si>
    <t>YBNE</t>
  </si>
  <si>
    <t>DGZ130</t>
  </si>
  <si>
    <t>BZLN</t>
  </si>
  <si>
    <t>CWW5</t>
  </si>
  <si>
    <t>GWJM</t>
  </si>
  <si>
    <t>JKYT</t>
  </si>
  <si>
    <t>FBFH</t>
  </si>
  <si>
    <t>GDE</t>
  </si>
  <si>
    <t>PKBU</t>
  </si>
  <si>
    <t>BUSS</t>
  </si>
  <si>
    <t>SPJG</t>
  </si>
  <si>
    <t>QDRS</t>
  </si>
  <si>
    <t>DGZ132</t>
  </si>
  <si>
    <t>NBKK</t>
  </si>
  <si>
    <t>SX8</t>
  </si>
  <si>
    <t>MSSF</t>
  </si>
  <si>
    <t>IWD13</t>
  </si>
  <si>
    <t>ERGK</t>
  </si>
  <si>
    <t>ZCNA</t>
  </si>
  <si>
    <t>RQ1</t>
  </si>
  <si>
    <t>UTWY</t>
  </si>
  <si>
    <t>KO1</t>
  </si>
  <si>
    <t>XRQH</t>
  </si>
  <si>
    <t>ANQQ</t>
  </si>
  <si>
    <t>GVXR</t>
  </si>
  <si>
    <t>BLQN</t>
  </si>
  <si>
    <t>FKS</t>
  </si>
  <si>
    <t>NDDP</t>
  </si>
  <si>
    <t>DGZ100</t>
  </si>
  <si>
    <t>MGFS</t>
  </si>
  <si>
    <t>SRSU</t>
  </si>
  <si>
    <t>HGPH</t>
  </si>
  <si>
    <t>UZST</t>
  </si>
  <si>
    <t>VBL</t>
  </si>
  <si>
    <t>ZMO</t>
  </si>
  <si>
    <t>LCLP</t>
  </si>
  <si>
    <t>OZ9</t>
  </si>
  <si>
    <t>ZHJP</t>
  </si>
  <si>
    <t>CCWX</t>
  </si>
  <si>
    <t>ZECU</t>
  </si>
  <si>
    <t>3W2</t>
  </si>
  <si>
    <t>TVJF</t>
  </si>
  <si>
    <t>MR99</t>
  </si>
  <si>
    <t>ZCAR</t>
  </si>
  <si>
    <t>GD6</t>
  </si>
  <si>
    <t>TJAU</t>
  </si>
  <si>
    <t>JDJW</t>
  </si>
  <si>
    <t>LHQL</t>
  </si>
  <si>
    <t>GZUN</t>
  </si>
  <si>
    <t>GP1</t>
  </si>
  <si>
    <t>HNPS</t>
  </si>
  <si>
    <t>CYAU</t>
  </si>
  <si>
    <t>NJJS</t>
  </si>
  <si>
    <t>FJ6</t>
  </si>
  <si>
    <t>UPVS</t>
  </si>
  <si>
    <t>KO7</t>
  </si>
  <si>
    <t>AKFD</t>
  </si>
  <si>
    <t>DBB9</t>
  </si>
  <si>
    <t>MUKK</t>
  </si>
  <si>
    <t>BDCW</t>
  </si>
  <si>
    <t>KUHZ</t>
  </si>
  <si>
    <t>9LE</t>
  </si>
  <si>
    <t>KWUU</t>
  </si>
  <si>
    <t>DSYC</t>
  </si>
  <si>
    <t>DAE</t>
  </si>
  <si>
    <t>PMWC</t>
  </si>
  <si>
    <t>ATWT</t>
  </si>
  <si>
    <t>XULY</t>
  </si>
  <si>
    <t>NHFP</t>
  </si>
  <si>
    <t>M333</t>
  </si>
  <si>
    <t>JBVS</t>
  </si>
  <si>
    <t>JMKC</t>
  </si>
  <si>
    <t>HV7</t>
  </si>
  <si>
    <t>TCCM</t>
  </si>
  <si>
    <t>YUBW</t>
  </si>
  <si>
    <t>FMDS</t>
  </si>
  <si>
    <t>HMDZ</t>
  </si>
  <si>
    <t>1FD</t>
  </si>
  <si>
    <t>UXFV</t>
  </si>
  <si>
    <t>LTJU</t>
  </si>
  <si>
    <t>JSPZ</t>
  </si>
  <si>
    <t>DXTL</t>
  </si>
  <si>
    <t>DGZ90</t>
  </si>
  <si>
    <t>NUVN</t>
  </si>
  <si>
    <t>QJGL</t>
  </si>
  <si>
    <t>DGZ151</t>
  </si>
  <si>
    <t>XVGL</t>
  </si>
  <si>
    <t>ME141</t>
  </si>
  <si>
    <t>NNJQ</t>
  </si>
  <si>
    <t>FRVH</t>
  </si>
  <si>
    <t>BNRN</t>
  </si>
  <si>
    <t>CNDZ</t>
  </si>
  <si>
    <t>DGZ136</t>
  </si>
  <si>
    <t>QVKN</t>
  </si>
  <si>
    <t>DGZ70</t>
  </si>
  <si>
    <t>MVYT</t>
  </si>
  <si>
    <t>UHAC</t>
  </si>
  <si>
    <t>ZVS</t>
  </si>
  <si>
    <t>MGUD</t>
  </si>
  <si>
    <t>XZ0</t>
  </si>
  <si>
    <t>MVUE</t>
  </si>
  <si>
    <t>MDVC</t>
  </si>
  <si>
    <t>RWMP</t>
  </si>
  <si>
    <t>YXWT</t>
  </si>
  <si>
    <t>IWD10</t>
  </si>
  <si>
    <t>NHNV</t>
  </si>
  <si>
    <t>WY3</t>
  </si>
  <si>
    <t>PUJN</t>
  </si>
  <si>
    <t>ZVJA</t>
  </si>
  <si>
    <t>UYGL</t>
  </si>
  <si>
    <t>AUC87</t>
  </si>
  <si>
    <t>CNCU</t>
  </si>
  <si>
    <t>SAK</t>
  </si>
  <si>
    <t>AYAG</t>
  </si>
  <si>
    <t>HL6</t>
  </si>
  <si>
    <t>KSZE</t>
  </si>
  <si>
    <t>XQZE</t>
  </si>
  <si>
    <t>ZXK</t>
  </si>
  <si>
    <t>MEQS</t>
  </si>
  <si>
    <t>LSEW</t>
  </si>
  <si>
    <t>DGZ51</t>
  </si>
  <si>
    <t>DBYG</t>
  </si>
  <si>
    <t>ASNE</t>
  </si>
  <si>
    <t>ZDKB</t>
  </si>
  <si>
    <t>FBR</t>
  </si>
  <si>
    <t>YTST</t>
  </si>
  <si>
    <t>RCQQ</t>
  </si>
  <si>
    <t>DKZE</t>
  </si>
  <si>
    <t>ZBFW</t>
  </si>
  <si>
    <t>CDKF</t>
  </si>
  <si>
    <t>PXHW</t>
  </si>
  <si>
    <t>BNAV</t>
  </si>
  <si>
    <t>DSDU</t>
  </si>
  <si>
    <t>CWW6</t>
  </si>
  <si>
    <t>HKSR</t>
  </si>
  <si>
    <t>QBNG</t>
  </si>
  <si>
    <t>MAJC</t>
  </si>
  <si>
    <t>WY7</t>
  </si>
  <si>
    <t>NPHN</t>
  </si>
  <si>
    <t>ASWP</t>
  </si>
  <si>
    <t>WCLE</t>
  </si>
  <si>
    <t>FJ3</t>
  </si>
  <si>
    <t>MXGW</t>
  </si>
  <si>
    <t>AUC88</t>
  </si>
  <si>
    <t>ZWDY</t>
  </si>
  <si>
    <t>WX6</t>
  </si>
  <si>
    <t>ZGKW</t>
  </si>
  <si>
    <t>WY2</t>
  </si>
  <si>
    <t>YZJT</t>
  </si>
  <si>
    <t>XW4</t>
  </si>
  <si>
    <t>DWSQ</t>
  </si>
  <si>
    <t>WZCW</t>
  </si>
  <si>
    <t>APUJ</t>
  </si>
  <si>
    <t>LSM</t>
  </si>
  <si>
    <t>ZXZJ</t>
  </si>
  <si>
    <t>PJPQ</t>
  </si>
  <si>
    <t>AUC85</t>
  </si>
  <si>
    <t>QUTK</t>
  </si>
  <si>
    <t>E1S</t>
  </si>
  <si>
    <t>DX4</t>
  </si>
  <si>
    <t>PGPS</t>
  </si>
  <si>
    <t>UZJK</t>
  </si>
  <si>
    <t>TXGK</t>
  </si>
  <si>
    <t>ZAPX</t>
  </si>
  <si>
    <t>WCZN</t>
  </si>
  <si>
    <t>RMHN</t>
  </si>
  <si>
    <t>WXSU</t>
  </si>
  <si>
    <t>XQD</t>
  </si>
  <si>
    <t>MMUP</t>
  </si>
  <si>
    <t>BS114</t>
  </si>
  <si>
    <t>FLXD</t>
  </si>
  <si>
    <t>DGZ195</t>
  </si>
  <si>
    <t>NUMJ</t>
  </si>
  <si>
    <t>SSPB</t>
  </si>
  <si>
    <t>GFQT</t>
  </si>
  <si>
    <t>FDJB</t>
  </si>
  <si>
    <t>MWLH</t>
  </si>
  <si>
    <t>TNAE</t>
  </si>
  <si>
    <t>XDT</t>
  </si>
  <si>
    <t>GLVR</t>
  </si>
  <si>
    <t>WHUU</t>
  </si>
  <si>
    <t>EJSK</t>
  </si>
  <si>
    <t>QGRW</t>
  </si>
  <si>
    <t>PGCE</t>
  </si>
  <si>
    <t>GY2</t>
  </si>
  <si>
    <t>KEBF</t>
  </si>
  <si>
    <t>LKXJ</t>
  </si>
  <si>
    <t>QAR</t>
  </si>
  <si>
    <t>PQQ</t>
  </si>
  <si>
    <t>DWXA</t>
  </si>
  <si>
    <t>SDEX</t>
  </si>
  <si>
    <t>ZEH</t>
  </si>
  <si>
    <t>VUST</t>
  </si>
  <si>
    <t>JLLB</t>
  </si>
  <si>
    <t>XXYP</t>
  </si>
  <si>
    <t>WH2</t>
  </si>
  <si>
    <t>SXNK</t>
  </si>
  <si>
    <t>ZRU</t>
  </si>
  <si>
    <t>YWXH</t>
  </si>
  <si>
    <t>TDWD</t>
  </si>
  <si>
    <t>ZPG</t>
  </si>
  <si>
    <t>YGEZ</t>
  </si>
  <si>
    <t>ZSD</t>
  </si>
  <si>
    <t>LBFY</t>
  </si>
  <si>
    <t>RHF22</t>
  </si>
  <si>
    <t>YGSK</t>
  </si>
  <si>
    <t>YPT</t>
  </si>
  <si>
    <t>ZUUE</t>
  </si>
  <si>
    <t>ZMR</t>
  </si>
  <si>
    <t>BKUT</t>
  </si>
  <si>
    <t>SJ3</t>
  </si>
  <si>
    <t>JVQV</t>
  </si>
  <si>
    <t>YPP</t>
  </si>
  <si>
    <t>YMAZ</t>
  </si>
  <si>
    <t>GYGW</t>
  </si>
  <si>
    <t>SJ1</t>
  </si>
  <si>
    <t>ZWWS</t>
  </si>
  <si>
    <t>SBMZ</t>
  </si>
  <si>
    <t>BJ6</t>
  </si>
  <si>
    <t>TVGA</t>
  </si>
  <si>
    <t>VY8</t>
  </si>
  <si>
    <t>XULN</t>
  </si>
  <si>
    <t>ZCXX</t>
  </si>
  <si>
    <t>DGMM</t>
  </si>
  <si>
    <t>RHF21</t>
  </si>
  <si>
    <t>EMSU</t>
  </si>
  <si>
    <t>BNSU</t>
  </si>
  <si>
    <t>CWW8</t>
  </si>
  <si>
    <t>XTJC</t>
  </si>
  <si>
    <t>NQ6</t>
  </si>
  <si>
    <t>NMZB</t>
  </si>
  <si>
    <t>WDFZ</t>
  </si>
  <si>
    <t>AUTM</t>
  </si>
  <si>
    <t>AECB</t>
  </si>
  <si>
    <t>WAD42</t>
  </si>
  <si>
    <t>ZGVR</t>
  </si>
  <si>
    <t>RVFN</t>
  </si>
  <si>
    <t>JVW</t>
  </si>
  <si>
    <t>NXZH</t>
  </si>
  <si>
    <t>DGZ125</t>
  </si>
  <si>
    <t>DGZ124</t>
  </si>
  <si>
    <t>BLLE</t>
  </si>
  <si>
    <t>AEPJ</t>
  </si>
  <si>
    <t>DU8</t>
  </si>
  <si>
    <t>SQXJ</t>
  </si>
  <si>
    <t>VNP</t>
  </si>
  <si>
    <t>YBME</t>
  </si>
  <si>
    <t>KHCS</t>
  </si>
  <si>
    <t>SX4</t>
  </si>
  <si>
    <t>DQMW</t>
  </si>
  <si>
    <t>SBPX</t>
  </si>
  <si>
    <t>MX90</t>
  </si>
  <si>
    <t>LGRD</t>
  </si>
  <si>
    <t>GD2</t>
  </si>
  <si>
    <t>ZLTH</t>
  </si>
  <si>
    <t>CZM</t>
  </si>
  <si>
    <t>KHNX</t>
  </si>
  <si>
    <t>CQEP</t>
  </si>
  <si>
    <t>ZDWC</t>
  </si>
  <si>
    <t>HSPH</t>
  </si>
  <si>
    <t>EIF</t>
  </si>
  <si>
    <t>SWRU</t>
  </si>
  <si>
    <t>GY1</t>
  </si>
  <si>
    <t>FTSU</t>
  </si>
  <si>
    <t>SVJG</t>
  </si>
  <si>
    <t>ZRX</t>
  </si>
  <si>
    <t>YCJS</t>
  </si>
  <si>
    <t>IWD16</t>
  </si>
  <si>
    <t>XTUR</t>
  </si>
  <si>
    <t>TZRW</t>
  </si>
  <si>
    <t>KAQU</t>
  </si>
  <si>
    <t>ZQ9</t>
  </si>
  <si>
    <t>NDYY</t>
  </si>
  <si>
    <t>RZUW</t>
  </si>
  <si>
    <t>YZUE</t>
  </si>
  <si>
    <t>CCWW</t>
  </si>
  <si>
    <t>NYAB</t>
  </si>
  <si>
    <t>IWD14</t>
  </si>
  <si>
    <t>QSZT</t>
  </si>
  <si>
    <t>DGZ56</t>
  </si>
  <si>
    <t>UBYU</t>
  </si>
  <si>
    <t>PEE</t>
  </si>
  <si>
    <t>MMKJ</t>
  </si>
  <si>
    <t>QQTR</t>
  </si>
  <si>
    <t>MIZ</t>
  </si>
  <si>
    <t>VLZL</t>
  </si>
  <si>
    <t>ZBPJ</t>
  </si>
  <si>
    <t>VRN</t>
  </si>
  <si>
    <t>ZB2</t>
  </si>
  <si>
    <t>EXUV</t>
  </si>
  <si>
    <t>ZUS</t>
  </si>
  <si>
    <t>LBUR</t>
  </si>
  <si>
    <t>HV5</t>
  </si>
  <si>
    <t>EWLV</t>
  </si>
  <si>
    <t>ARXV</t>
  </si>
  <si>
    <t>QESG</t>
  </si>
  <si>
    <t>THXB</t>
  </si>
  <si>
    <t>JCUZ</t>
  </si>
  <si>
    <t>GLYX</t>
  </si>
  <si>
    <t>9ZK</t>
  </si>
  <si>
    <t>EYCH</t>
  </si>
  <si>
    <t>TSU</t>
  </si>
  <si>
    <t>YEUH</t>
  </si>
  <si>
    <t>Y2B</t>
  </si>
  <si>
    <t>ZVST</t>
  </si>
  <si>
    <t>FK3</t>
  </si>
  <si>
    <t>RKHZ</t>
  </si>
  <si>
    <t>MDZ</t>
  </si>
  <si>
    <t>KCEM</t>
  </si>
  <si>
    <t>BLU1</t>
  </si>
  <si>
    <t>UXKK</t>
  </si>
  <si>
    <t>VZ9</t>
  </si>
  <si>
    <t>PY6</t>
  </si>
  <si>
    <t>LNWN</t>
  </si>
  <si>
    <t>AUC80</t>
  </si>
  <si>
    <t>HKCC</t>
  </si>
  <si>
    <t>NES1</t>
  </si>
  <si>
    <t>PDYB</t>
  </si>
  <si>
    <t>AUC84</t>
  </si>
  <si>
    <t>BPRE</t>
  </si>
  <si>
    <t>AUC76</t>
  </si>
  <si>
    <t>QGFH</t>
  </si>
  <si>
    <t>AUC95</t>
  </si>
  <si>
    <t>AUC82</t>
  </si>
  <si>
    <t>UZWK</t>
  </si>
  <si>
    <t>AUC91</t>
  </si>
  <si>
    <t>BJXC</t>
  </si>
  <si>
    <t>AUC94</t>
  </si>
  <si>
    <t>CSRA</t>
  </si>
  <si>
    <t>AUC79</t>
  </si>
  <si>
    <t>NHAX</t>
  </si>
  <si>
    <t>AUC93</t>
  </si>
  <si>
    <t>QLND</t>
  </si>
  <si>
    <t>AUC98</t>
  </si>
  <si>
    <t>DHBR</t>
  </si>
  <si>
    <t>BF118</t>
  </si>
  <si>
    <t>MREW</t>
  </si>
  <si>
    <t>WAC76</t>
  </si>
  <si>
    <t>BETM</t>
  </si>
  <si>
    <t>WAC85</t>
  </si>
  <si>
    <t>GTQR</t>
  </si>
  <si>
    <t>WAC95</t>
  </si>
  <si>
    <t>VCKY</t>
  </si>
  <si>
    <t>WAC84</t>
  </si>
  <si>
    <t>ZLHL</t>
  </si>
  <si>
    <t>WAC81</t>
  </si>
  <si>
    <t>RPYQ</t>
  </si>
  <si>
    <t>WAC98</t>
  </si>
  <si>
    <t>PGNR</t>
  </si>
  <si>
    <t>CD1100</t>
  </si>
  <si>
    <t>JJBS</t>
  </si>
  <si>
    <t>KAJ1</t>
  </si>
  <si>
    <t>SPMW</t>
  </si>
  <si>
    <t>WAC97</t>
  </si>
  <si>
    <t>YQBJ</t>
  </si>
  <si>
    <t>WAC88</t>
  </si>
  <si>
    <t>WYMJ</t>
  </si>
  <si>
    <t>WAC90</t>
  </si>
  <si>
    <t>HVJQ</t>
  </si>
  <si>
    <t>WAC94</t>
  </si>
  <si>
    <t>WXGC</t>
  </si>
  <si>
    <t>BS115</t>
  </si>
  <si>
    <t>XNKC</t>
  </si>
  <si>
    <t>WAC87</t>
  </si>
  <si>
    <t>AANQ</t>
  </si>
  <si>
    <t>WAC83</t>
  </si>
  <si>
    <t>XSRT</t>
  </si>
  <si>
    <t>GD881</t>
  </si>
  <si>
    <t>QLAY</t>
  </si>
  <si>
    <t>WAC82</t>
  </si>
  <si>
    <t>AJZR</t>
  </si>
  <si>
    <t>WAC99</t>
  </si>
  <si>
    <t>SMJR</t>
  </si>
  <si>
    <t>WAC77</t>
  </si>
  <si>
    <t>XKFF</t>
  </si>
  <si>
    <t>WAC96</t>
  </si>
  <si>
    <t>EHGF</t>
  </si>
  <si>
    <t>WAC86</t>
  </si>
  <si>
    <t>WTCA</t>
  </si>
  <si>
    <t>CT110</t>
  </si>
  <si>
    <t>RVAB</t>
  </si>
  <si>
    <t>WAC100</t>
  </si>
  <si>
    <t>ZBDE</t>
  </si>
  <si>
    <t>WAC93</t>
  </si>
  <si>
    <t>VLAF</t>
  </si>
  <si>
    <t>WAC89</t>
  </si>
  <si>
    <t>SVQD</t>
  </si>
  <si>
    <t>WAC78</t>
  </si>
  <si>
    <t>BJDP</t>
  </si>
  <si>
    <t>WAC80</t>
  </si>
  <si>
    <t>ALXB</t>
  </si>
  <si>
    <t>WAC91</t>
  </si>
  <si>
    <t>JYDU</t>
  </si>
  <si>
    <t>JTWG</t>
  </si>
  <si>
    <t>WAC92</t>
  </si>
  <si>
    <t>KBTV</t>
  </si>
  <si>
    <t>WAC79</t>
  </si>
  <si>
    <t>FQCK</t>
  </si>
  <si>
    <t>BF115</t>
  </si>
  <si>
    <t>LDHK</t>
  </si>
  <si>
    <t>VLV1</t>
  </si>
  <si>
    <t>PAHQ</t>
  </si>
  <si>
    <t>SNN1</t>
  </si>
  <si>
    <t>ZLAD</t>
  </si>
  <si>
    <t>SHS4</t>
  </si>
  <si>
    <t>LEVM</t>
  </si>
  <si>
    <t>DWW2</t>
  </si>
  <si>
    <t>TXJU</t>
  </si>
  <si>
    <t>DWW4</t>
  </si>
  <si>
    <t>NLKY</t>
  </si>
  <si>
    <t>XPNP</t>
  </si>
  <si>
    <t>GBGJ</t>
  </si>
  <si>
    <t>QJBS</t>
  </si>
  <si>
    <t>DWW9</t>
  </si>
  <si>
    <t>ZEWJ</t>
  </si>
  <si>
    <t>CWW2</t>
  </si>
  <si>
    <t>EEEX</t>
  </si>
  <si>
    <t>DJDP</t>
  </si>
  <si>
    <t>DWW1</t>
  </si>
  <si>
    <t>BWKN</t>
  </si>
  <si>
    <t>PWTC</t>
  </si>
  <si>
    <t>DWW6</t>
  </si>
  <si>
    <t>SGEX</t>
  </si>
  <si>
    <t>DWW8</t>
  </si>
  <si>
    <t>ZXEB</t>
  </si>
  <si>
    <t>AWW10</t>
  </si>
  <si>
    <t>KHCZ</t>
  </si>
  <si>
    <t>AREEBA1</t>
  </si>
  <si>
    <t>DCHJ</t>
  </si>
  <si>
    <t>PCC1</t>
  </si>
  <si>
    <t>ZNGJ</t>
  </si>
  <si>
    <t>KV2</t>
  </si>
  <si>
    <t>VPRL</t>
  </si>
  <si>
    <t>CK0</t>
  </si>
  <si>
    <t>ZBNH</t>
  </si>
  <si>
    <t>FI9</t>
  </si>
  <si>
    <t>EWCK</t>
  </si>
  <si>
    <t>DT0</t>
  </si>
  <si>
    <t>FKRR</t>
  </si>
  <si>
    <t>IQ8</t>
  </si>
  <si>
    <t>HPVJ</t>
  </si>
  <si>
    <t>IY7</t>
  </si>
  <si>
    <t>YVAD</t>
  </si>
  <si>
    <t>LT9</t>
  </si>
  <si>
    <t>VLEA</t>
  </si>
  <si>
    <t>DQ0</t>
  </si>
  <si>
    <t>CJVC</t>
  </si>
  <si>
    <t>IK0</t>
  </si>
  <si>
    <t>MVHF</t>
  </si>
  <si>
    <t>LS9</t>
  </si>
  <si>
    <t>ULDV</t>
  </si>
  <si>
    <t>PV7</t>
  </si>
  <si>
    <t>CCFT</t>
  </si>
  <si>
    <t>BJ2</t>
  </si>
  <si>
    <t>AQHA</t>
  </si>
  <si>
    <t>IU2</t>
  </si>
  <si>
    <t>MRVZ</t>
  </si>
  <si>
    <t>QR0</t>
  </si>
  <si>
    <t>ULJB</t>
  </si>
  <si>
    <t>KL0</t>
  </si>
  <si>
    <t>XKZE</t>
  </si>
  <si>
    <t>KX4</t>
  </si>
  <si>
    <t>MVTB</t>
  </si>
  <si>
    <t>LP0</t>
  </si>
  <si>
    <t>LPST</t>
  </si>
  <si>
    <t>OV5</t>
  </si>
  <si>
    <t>DNTS</t>
  </si>
  <si>
    <t>OQ1</t>
  </si>
  <si>
    <t>RPWP</t>
  </si>
  <si>
    <t>BP0</t>
  </si>
  <si>
    <t>HPKH</t>
  </si>
  <si>
    <t>JZ0</t>
  </si>
  <si>
    <t>WNNK</t>
  </si>
  <si>
    <t>OR2</t>
  </si>
  <si>
    <t>UXTW</t>
  </si>
  <si>
    <t>EF0</t>
  </si>
  <si>
    <t>ZZPT</t>
  </si>
  <si>
    <t>GV0</t>
  </si>
  <si>
    <t>ETQZ</t>
  </si>
  <si>
    <t>BP9</t>
  </si>
  <si>
    <t>FZYK</t>
  </si>
  <si>
    <t>AO9</t>
  </si>
  <si>
    <t>BRBS</t>
  </si>
  <si>
    <t>PT0</t>
  </si>
  <si>
    <t>WPFH</t>
  </si>
  <si>
    <t>GI5</t>
  </si>
  <si>
    <t>YTJH</t>
  </si>
  <si>
    <t>OW4</t>
  </si>
  <si>
    <t>KPWL</t>
  </si>
  <si>
    <t>FL0</t>
  </si>
  <si>
    <t>GBYU</t>
  </si>
  <si>
    <t>GR0</t>
  </si>
  <si>
    <t>VY6</t>
  </si>
  <si>
    <t>JW9</t>
  </si>
  <si>
    <t>HJ0</t>
  </si>
  <si>
    <t>DQ3</t>
  </si>
  <si>
    <t>OU9</t>
  </si>
  <si>
    <t>FR0</t>
  </si>
  <si>
    <t>GQ2</t>
  </si>
  <si>
    <t>EU4</t>
  </si>
  <si>
    <t>IR4</t>
  </si>
  <si>
    <t>FI8</t>
  </si>
  <si>
    <t>NU0</t>
  </si>
  <si>
    <t>UV9</t>
  </si>
  <si>
    <t>QU7</t>
  </si>
  <si>
    <t>EQ0</t>
  </si>
  <si>
    <t>GI4</t>
  </si>
  <si>
    <t>AO2</t>
  </si>
  <si>
    <t>JY4</t>
  </si>
  <si>
    <t>IY4</t>
  </si>
  <si>
    <t>YZ0</t>
  </si>
  <si>
    <t>TX5</t>
  </si>
  <si>
    <t>LN0</t>
  </si>
  <si>
    <t>FK8</t>
  </si>
  <si>
    <t>IO0</t>
  </si>
  <si>
    <t>OU3</t>
  </si>
  <si>
    <t>IWD11</t>
  </si>
  <si>
    <t>IWD18</t>
  </si>
  <si>
    <t>IWD19</t>
  </si>
  <si>
    <t>WAD33</t>
  </si>
  <si>
    <t>WAD34</t>
  </si>
  <si>
    <t>WAD36</t>
  </si>
  <si>
    <t>WAD39</t>
  </si>
  <si>
    <t>WAD45</t>
  </si>
  <si>
    <t>DGZ101</t>
  </si>
  <si>
    <t>DGZ102</t>
  </si>
  <si>
    <t>DGZ103</t>
  </si>
  <si>
    <t>DGZ104</t>
  </si>
  <si>
    <t>DGZ105</t>
  </si>
  <si>
    <t>DGZ106</t>
  </si>
  <si>
    <t>DGZ107</t>
  </si>
  <si>
    <t>DGZ108</t>
  </si>
  <si>
    <t>DGZ109</t>
  </si>
  <si>
    <t>Q2Z</t>
  </si>
  <si>
    <t>DGZ110</t>
  </si>
  <si>
    <t>BJK</t>
  </si>
  <si>
    <t>DGZ111</t>
  </si>
  <si>
    <t>KIX</t>
  </si>
  <si>
    <t>DGZ112</t>
  </si>
  <si>
    <t>DGZ113</t>
  </si>
  <si>
    <t>I2L</t>
  </si>
  <si>
    <t>DGZ114</t>
  </si>
  <si>
    <t>DGZ115</t>
  </si>
  <si>
    <t>S8I</t>
  </si>
  <si>
    <t>DGZ116</t>
  </si>
  <si>
    <t>DGZ117</t>
  </si>
  <si>
    <t>DGZ118</t>
  </si>
  <si>
    <t>DGZ119</t>
  </si>
  <si>
    <t>DGZ120</t>
  </si>
  <si>
    <t>DGZ121</t>
  </si>
  <si>
    <t>DGZ122</t>
  </si>
  <si>
    <t>QWN</t>
  </si>
  <si>
    <t>DGZ128</t>
  </si>
  <si>
    <t>JUI</t>
  </si>
  <si>
    <t>DGZ131</t>
  </si>
  <si>
    <t>DGZ133</t>
  </si>
  <si>
    <t>EQN</t>
  </si>
  <si>
    <t>DGZ134</t>
  </si>
  <si>
    <t>DGZ137</t>
  </si>
  <si>
    <t>DGZ138</t>
  </si>
  <si>
    <t>DGZ139</t>
  </si>
  <si>
    <t>DGZ140</t>
  </si>
  <si>
    <t>IX5</t>
  </si>
  <si>
    <t>DGZ141</t>
  </si>
  <si>
    <t>DGZ142</t>
  </si>
  <si>
    <t>5T3</t>
  </si>
  <si>
    <t>DGZ143</t>
  </si>
  <si>
    <t>QEZ</t>
  </si>
  <si>
    <t>DGZ144</t>
  </si>
  <si>
    <t>DGZ145</t>
  </si>
  <si>
    <t>DGZ146</t>
  </si>
  <si>
    <t>D8F</t>
  </si>
  <si>
    <t>DGZ147</t>
  </si>
  <si>
    <t>DGZ148</t>
  </si>
  <si>
    <t>DGZ149</t>
  </si>
  <si>
    <t>DGZ152</t>
  </si>
  <si>
    <t>B3W</t>
  </si>
  <si>
    <t>DGZ153</t>
  </si>
  <si>
    <t>LSZ</t>
  </si>
  <si>
    <t>DGZ154</t>
  </si>
  <si>
    <t>DGZ155</t>
  </si>
  <si>
    <t>6K2</t>
  </si>
  <si>
    <t>DGZ156</t>
  </si>
  <si>
    <t>K9C</t>
  </si>
  <si>
    <t>DGZ157</t>
  </si>
  <si>
    <t>DGZ158</t>
  </si>
  <si>
    <t>DGZ159</t>
  </si>
  <si>
    <t>DGZ160</t>
  </si>
  <si>
    <t>LIC</t>
  </si>
  <si>
    <t>DGZ161</t>
  </si>
  <si>
    <t>DGZ162</t>
  </si>
  <si>
    <t>DGZ163</t>
  </si>
  <si>
    <t>DGZ164</t>
  </si>
  <si>
    <t>DGZ165</t>
  </si>
  <si>
    <t>J2I</t>
  </si>
  <si>
    <t>DGZ166</t>
  </si>
  <si>
    <t>DGZ167</t>
  </si>
  <si>
    <t>DGZ168</t>
  </si>
  <si>
    <t>DGZ169</t>
  </si>
  <si>
    <t>DGZ170</t>
  </si>
  <si>
    <t>DGZ171</t>
  </si>
  <si>
    <t>DGZ172</t>
  </si>
  <si>
    <t>F8I</t>
  </si>
  <si>
    <t>DGZ173</t>
  </si>
  <si>
    <t>DGZ174</t>
  </si>
  <si>
    <t>5DR</t>
  </si>
  <si>
    <t>DGZ175</t>
  </si>
  <si>
    <t>L4Q</t>
  </si>
  <si>
    <t>DGZ179</t>
  </si>
  <si>
    <t>DGZ180</t>
  </si>
  <si>
    <t>7EL</t>
  </si>
  <si>
    <t>DGZ181</t>
  </si>
  <si>
    <t>C5Q</t>
  </si>
  <si>
    <t>DGZ182</t>
  </si>
  <si>
    <t>DGZ183</t>
  </si>
  <si>
    <t>KY1</t>
  </si>
  <si>
    <t>DGZ184</t>
  </si>
  <si>
    <t>DGZ185</t>
  </si>
  <si>
    <t>DGZ186</t>
  </si>
  <si>
    <t>DGZ187</t>
  </si>
  <si>
    <t>DGZ188</t>
  </si>
  <si>
    <t>DGZ189</t>
  </si>
  <si>
    <t>DGZ191</t>
  </si>
  <si>
    <t>DGZ192</t>
  </si>
  <si>
    <t>DGZ193</t>
  </si>
  <si>
    <t>DGZ194</t>
  </si>
  <si>
    <t>DGZ196</t>
  </si>
  <si>
    <t>DGZ197</t>
  </si>
  <si>
    <t>DGZ198</t>
  </si>
  <si>
    <t>DGZ199</t>
  </si>
  <si>
    <t>MA2101</t>
  </si>
  <si>
    <t>rhf20</t>
  </si>
  <si>
    <t>DEP</t>
  </si>
  <si>
    <t>rhf24</t>
  </si>
  <si>
    <t>rhf27</t>
  </si>
  <si>
    <t>rhf29</t>
  </si>
  <si>
    <t>DBB5</t>
  </si>
  <si>
    <t>DBB6</t>
  </si>
  <si>
    <t>DBB7</t>
  </si>
  <si>
    <t>ME131</t>
  </si>
  <si>
    <t>ME132</t>
  </si>
  <si>
    <t>ME133</t>
  </si>
  <si>
    <t>ME134</t>
  </si>
  <si>
    <t>ME135</t>
  </si>
  <si>
    <t>ME136</t>
  </si>
  <si>
    <t>ME137</t>
  </si>
  <si>
    <t>ME138</t>
  </si>
  <si>
    <t>ME140</t>
  </si>
  <si>
    <t>ME142</t>
  </si>
  <si>
    <t>ME143</t>
  </si>
  <si>
    <t>ME144</t>
  </si>
  <si>
    <t>dgz50</t>
  </si>
  <si>
    <t>dgz52</t>
  </si>
  <si>
    <t>dgz53</t>
  </si>
  <si>
    <t>dgz57</t>
  </si>
  <si>
    <t>dgz59</t>
  </si>
  <si>
    <t>dgz61</t>
  </si>
  <si>
    <t>dgz64</t>
  </si>
  <si>
    <t>dgz67</t>
  </si>
  <si>
    <t>dgz69</t>
  </si>
  <si>
    <t>dgz71</t>
  </si>
  <si>
    <t>dgz72</t>
  </si>
  <si>
    <t>dgz74</t>
  </si>
  <si>
    <t>dgz75</t>
  </si>
  <si>
    <t>dgz76</t>
  </si>
  <si>
    <t>dgz80</t>
  </si>
  <si>
    <t>dgz81</t>
  </si>
  <si>
    <t>dgz82</t>
  </si>
  <si>
    <t>dgz83</t>
  </si>
  <si>
    <t>dgz84</t>
  </si>
  <si>
    <t>dgz86</t>
  </si>
  <si>
    <t>dgz89</t>
  </si>
  <si>
    <t>dgz92</t>
  </si>
  <si>
    <t>dgz93</t>
  </si>
  <si>
    <t>dgz94</t>
  </si>
  <si>
    <t>dgz95</t>
  </si>
  <si>
    <t>dgz96</t>
  </si>
  <si>
    <t>dgz97</t>
  </si>
  <si>
    <t>dgz99</t>
  </si>
  <si>
    <t>bde</t>
  </si>
  <si>
    <t>bz8</t>
  </si>
  <si>
    <t>cef</t>
  </si>
  <si>
    <t>die</t>
  </si>
  <si>
    <t>dk7</t>
  </si>
  <si>
    <t>dx8</t>
  </si>
  <si>
    <t>egh</t>
  </si>
  <si>
    <t>fhi</t>
  </si>
  <si>
    <t>gah</t>
  </si>
  <si>
    <t>gd1</t>
  </si>
  <si>
    <t>gd3</t>
  </si>
  <si>
    <t>gd7</t>
  </si>
  <si>
    <t>gd8</t>
  </si>
  <si>
    <t>gd9</t>
  </si>
  <si>
    <t>gih</t>
  </si>
  <si>
    <t>iaj</t>
  </si>
  <si>
    <t>idi</t>
  </si>
  <si>
    <t>ijj</t>
  </si>
  <si>
    <t>jo3</t>
  </si>
  <si>
    <t>jo4</t>
  </si>
  <si>
    <t>jo6</t>
  </si>
  <si>
    <t>ko4</t>
  </si>
  <si>
    <t>ko5</t>
  </si>
  <si>
    <t>ko6</t>
  </si>
  <si>
    <t>ko8</t>
  </si>
  <si>
    <t>ky2</t>
  </si>
  <si>
    <t>ky3</t>
  </si>
  <si>
    <t>ky4</t>
  </si>
  <si>
    <t>ky6</t>
  </si>
  <si>
    <t>ky7</t>
  </si>
  <si>
    <t>ky8</t>
  </si>
  <si>
    <t>ky9</t>
  </si>
  <si>
    <t>mo6</t>
  </si>
  <si>
    <t>oap</t>
  </si>
  <si>
    <t>qnq</t>
  </si>
  <si>
    <t>sj4</t>
  </si>
  <si>
    <t>sj6</t>
  </si>
  <si>
    <t>sj7</t>
  </si>
  <si>
    <t>sj8</t>
  </si>
  <si>
    <t>sj9</t>
  </si>
  <si>
    <t>ZLH</t>
  </si>
  <si>
    <t>sx3</t>
  </si>
  <si>
    <t>ZLO</t>
  </si>
  <si>
    <t>sx6</t>
  </si>
  <si>
    <t>ZLR</t>
  </si>
  <si>
    <t>sy4</t>
  </si>
  <si>
    <t>ZLV</t>
  </si>
  <si>
    <t>sy5</t>
  </si>
  <si>
    <t>ZLY</t>
  </si>
  <si>
    <t>sy6</t>
  </si>
  <si>
    <t>ZMB</t>
  </si>
  <si>
    <t>sy8</t>
  </si>
  <si>
    <t>sy9</t>
  </si>
  <si>
    <t>tcu</t>
  </si>
  <si>
    <t>ZNE</t>
  </si>
  <si>
    <t>td2</t>
  </si>
  <si>
    <t>ZNI</t>
  </si>
  <si>
    <t>td3</t>
  </si>
  <si>
    <t>ZNW</t>
  </si>
  <si>
    <t>td4</t>
  </si>
  <si>
    <t>td5</t>
  </si>
  <si>
    <t>ZOP</t>
  </si>
  <si>
    <t>td6</t>
  </si>
  <si>
    <t>td8</t>
  </si>
  <si>
    <t>tz2</t>
  </si>
  <si>
    <t>ZPO</t>
  </si>
  <si>
    <t>tz3</t>
  </si>
  <si>
    <t>ZPQ</t>
  </si>
  <si>
    <t>tz4</t>
  </si>
  <si>
    <t>tz5</t>
  </si>
  <si>
    <t>tz6</t>
  </si>
  <si>
    <t>ZQC</t>
  </si>
  <si>
    <t>tz7</t>
  </si>
  <si>
    <t>ZQH</t>
  </si>
  <si>
    <t>tz9</t>
  </si>
  <si>
    <t>ZQL</t>
  </si>
  <si>
    <t>ucv</t>
  </si>
  <si>
    <t>ZQS</t>
  </si>
  <si>
    <t>us2</t>
  </si>
  <si>
    <t>ZQX</t>
  </si>
  <si>
    <t>us3</t>
  </si>
  <si>
    <t>ZQY</t>
  </si>
  <si>
    <t>us6</t>
  </si>
  <si>
    <t>ZQZ</t>
  </si>
  <si>
    <t>us7</t>
  </si>
  <si>
    <t>ZRB</t>
  </si>
  <si>
    <t>us9</t>
  </si>
  <si>
    <t>ZRF</t>
  </si>
  <si>
    <t>vuu</t>
  </si>
  <si>
    <t>ZRS</t>
  </si>
  <si>
    <t>vwx</t>
  </si>
  <si>
    <t>wmm</t>
  </si>
  <si>
    <t>xs2</t>
  </si>
  <si>
    <t>xs5</t>
  </si>
  <si>
    <t>ZSP</t>
  </si>
  <si>
    <t>xs6</t>
  </si>
  <si>
    <t>ZSU</t>
  </si>
  <si>
    <t>xs7</t>
  </si>
  <si>
    <t>ZUD</t>
  </si>
  <si>
    <t>xs9</t>
  </si>
  <si>
    <t>xux</t>
  </si>
  <si>
    <t>ZVO</t>
  </si>
  <si>
    <t>zb1</t>
  </si>
  <si>
    <t>ZVP</t>
  </si>
  <si>
    <t>zga</t>
  </si>
  <si>
    <t>ZVQ</t>
  </si>
  <si>
    <t>kpwl</t>
  </si>
  <si>
    <t>th44</t>
  </si>
  <si>
    <t>ZVU</t>
  </si>
  <si>
    <t>wich</t>
  </si>
  <si>
    <t>te7</t>
  </si>
  <si>
    <t>ZWO</t>
  </si>
  <si>
    <t>i9x</t>
  </si>
  <si>
    <t>y7f</t>
  </si>
  <si>
    <t>4z7</t>
  </si>
  <si>
    <t>r1u</t>
  </si>
  <si>
    <t>5em</t>
  </si>
  <si>
    <t>k9z</t>
  </si>
  <si>
    <t>kAJ1</t>
  </si>
  <si>
    <t>lef</t>
  </si>
  <si>
    <t>mti</t>
  </si>
  <si>
    <t>FAG</t>
  </si>
  <si>
    <t>hux</t>
  </si>
  <si>
    <t>wmi</t>
  </si>
  <si>
    <t>wvz</t>
  </si>
  <si>
    <t>vem</t>
  </si>
  <si>
    <t>kne</t>
  </si>
  <si>
    <t>SJ4</t>
  </si>
  <si>
    <t>s3x</t>
  </si>
  <si>
    <t>gy8</t>
  </si>
  <si>
    <t>SJ7</t>
  </si>
  <si>
    <t>uja</t>
  </si>
  <si>
    <t>2i1</t>
  </si>
  <si>
    <t>eqt</t>
  </si>
  <si>
    <t>n9j</t>
  </si>
  <si>
    <t>VWX</t>
  </si>
  <si>
    <t>bpl</t>
  </si>
  <si>
    <t>CEF</t>
  </si>
  <si>
    <t>myj</t>
  </si>
  <si>
    <t>EGH</t>
  </si>
  <si>
    <t>5q9</t>
  </si>
  <si>
    <t>FHI</t>
  </si>
  <si>
    <t>zal</t>
  </si>
  <si>
    <t>x2t</t>
  </si>
  <si>
    <t>zq6</t>
  </si>
  <si>
    <t>2ez</t>
  </si>
  <si>
    <t>kq3</t>
  </si>
  <si>
    <t>TCU</t>
  </si>
  <si>
    <t>d1a</t>
  </si>
  <si>
    <t>l8b</t>
  </si>
  <si>
    <t>KY4</t>
  </si>
  <si>
    <t>3gn</t>
  </si>
  <si>
    <t>unr</t>
  </si>
  <si>
    <t>KY6</t>
  </si>
  <si>
    <t>7fj</t>
  </si>
  <si>
    <t>KY8</t>
  </si>
  <si>
    <t>tsf</t>
  </si>
  <si>
    <t>qfu</t>
  </si>
  <si>
    <t>TD5</t>
  </si>
  <si>
    <t>njt</t>
  </si>
  <si>
    <t>TD6</t>
  </si>
  <si>
    <t>tgl</t>
  </si>
  <si>
    <t>SY5</t>
  </si>
  <si>
    <t>6eb</t>
  </si>
  <si>
    <t>ybw</t>
  </si>
  <si>
    <t>uhq</t>
  </si>
  <si>
    <t>cdg</t>
  </si>
  <si>
    <t>5gi</t>
  </si>
  <si>
    <t>3yd</t>
  </si>
  <si>
    <t>gs9</t>
  </si>
  <si>
    <t>JO3</t>
  </si>
  <si>
    <t>spq</t>
  </si>
  <si>
    <t>XS5</t>
  </si>
  <si>
    <t>xak</t>
  </si>
  <si>
    <t>XS9</t>
  </si>
  <si>
    <t>qkm</t>
  </si>
  <si>
    <t>2s7</t>
  </si>
  <si>
    <t>KO5</t>
  </si>
  <si>
    <t>vmv</t>
  </si>
  <si>
    <t>1jr</t>
  </si>
  <si>
    <t>KO8</t>
  </si>
  <si>
    <t>r9m</t>
  </si>
  <si>
    <t>US2</t>
  </si>
  <si>
    <t>9py</t>
  </si>
  <si>
    <t>US7</t>
  </si>
  <si>
    <t>vni</t>
  </si>
  <si>
    <t>US9</t>
  </si>
  <si>
    <t>2y8</t>
  </si>
  <si>
    <t>tdu</t>
  </si>
  <si>
    <t>2d7</t>
  </si>
  <si>
    <t>8i2</t>
  </si>
  <si>
    <t>qw6</t>
  </si>
  <si>
    <t>DX8</t>
  </si>
  <si>
    <t>wvb</t>
  </si>
  <si>
    <t>3nv</t>
  </si>
  <si>
    <t>GD3</t>
  </si>
  <si>
    <t>dkt</t>
  </si>
  <si>
    <t>GD7</t>
  </si>
  <si>
    <t>gik</t>
  </si>
  <si>
    <t>GD8</t>
  </si>
  <si>
    <t>5x1</t>
  </si>
  <si>
    <t>3bn</t>
  </si>
  <si>
    <t>t6k</t>
  </si>
  <si>
    <t>9as</t>
  </si>
  <si>
    <t>WaffarX</t>
  </si>
  <si>
    <t>vmg</t>
  </si>
  <si>
    <t xml:space="preserve">CODK </t>
  </si>
  <si>
    <t>6s2</t>
  </si>
  <si>
    <t>s3j</t>
  </si>
  <si>
    <t>vtz</t>
  </si>
  <si>
    <t>krl</t>
  </si>
  <si>
    <t>z6j</t>
  </si>
  <si>
    <t>zwf</t>
  </si>
  <si>
    <t>8cp</t>
  </si>
  <si>
    <t>3ej</t>
  </si>
  <si>
    <t>zjh</t>
  </si>
  <si>
    <t>r6k</t>
  </si>
  <si>
    <t>DGZ50</t>
  </si>
  <si>
    <t>ipk</t>
  </si>
  <si>
    <t>DGZ52</t>
  </si>
  <si>
    <t>m5i</t>
  </si>
  <si>
    <t>DGZ53</t>
  </si>
  <si>
    <t>x9u</t>
  </si>
  <si>
    <t>4xh</t>
  </si>
  <si>
    <t>rly</t>
  </si>
  <si>
    <t>3r8</t>
  </si>
  <si>
    <t>DGZ57</t>
  </si>
  <si>
    <t>zhq</t>
  </si>
  <si>
    <t>xhu</t>
  </si>
  <si>
    <t>DGZ59</t>
  </si>
  <si>
    <t>cgy</t>
  </si>
  <si>
    <t>dni</t>
  </si>
  <si>
    <t>DGZ61</t>
  </si>
  <si>
    <t>q3s</t>
  </si>
  <si>
    <t>1qk</t>
  </si>
  <si>
    <t>cf3</t>
  </si>
  <si>
    <t>DGZ64</t>
  </si>
  <si>
    <t>zbd</t>
  </si>
  <si>
    <t>u3c</t>
  </si>
  <si>
    <t>i9r</t>
  </si>
  <si>
    <t>DGZ67</t>
  </si>
  <si>
    <t>f8v</t>
  </si>
  <si>
    <t>ich</t>
  </si>
  <si>
    <t>DGZ69</t>
  </si>
  <si>
    <t>nqk</t>
  </si>
  <si>
    <t>4ng</t>
  </si>
  <si>
    <t>DGZ71</t>
  </si>
  <si>
    <t>jfh</t>
  </si>
  <si>
    <t>DGZ72</t>
  </si>
  <si>
    <t>yuv</t>
  </si>
  <si>
    <t>1bs</t>
  </si>
  <si>
    <t>DGZ74</t>
  </si>
  <si>
    <t>vzc</t>
  </si>
  <si>
    <t>DGZ75</t>
  </si>
  <si>
    <t>iq7</t>
  </si>
  <si>
    <t>DGZ76</t>
  </si>
  <si>
    <t>wl1</t>
  </si>
  <si>
    <t>8g3</t>
  </si>
  <si>
    <t>t9b</t>
  </si>
  <si>
    <t>vql</t>
  </si>
  <si>
    <t>DGZ80</t>
  </si>
  <si>
    <t>DGZ81</t>
  </si>
  <si>
    <t>szq</t>
  </si>
  <si>
    <t>DGZ82</t>
  </si>
  <si>
    <t>nq2</t>
  </si>
  <si>
    <t>DGZ83</t>
  </si>
  <si>
    <t>8lg</t>
  </si>
  <si>
    <t>DGZ84</t>
  </si>
  <si>
    <t>y6r</t>
  </si>
  <si>
    <t>k4e</t>
  </si>
  <si>
    <t>DGZ89</t>
  </si>
  <si>
    <t>v5b</t>
  </si>
  <si>
    <t>h2d</t>
  </si>
  <si>
    <t>z6k</t>
  </si>
  <si>
    <t>y8a</t>
  </si>
  <si>
    <t>vkb</t>
  </si>
  <si>
    <t>pni</t>
  </si>
  <si>
    <t>i2b</t>
  </si>
  <si>
    <t>ngk</t>
  </si>
  <si>
    <t>1qf</t>
  </si>
  <si>
    <t>vz1</t>
  </si>
  <si>
    <t>z4g</t>
  </si>
  <si>
    <t>qng</t>
  </si>
  <si>
    <t>trj</t>
  </si>
  <si>
    <t>wk5</t>
  </si>
  <si>
    <t>qea</t>
  </si>
  <si>
    <t>lhb</t>
  </si>
  <si>
    <t>c4q</t>
  </si>
  <si>
    <t>uqk</t>
  </si>
  <si>
    <t>ey4</t>
  </si>
  <si>
    <t>9si</t>
  </si>
  <si>
    <t>qzy</t>
  </si>
  <si>
    <t>s4m</t>
  </si>
  <si>
    <t>7mi</t>
  </si>
  <si>
    <t>wl5</t>
  </si>
  <si>
    <t>kv8</t>
  </si>
  <si>
    <t>8ix</t>
  </si>
  <si>
    <t>bzq</t>
  </si>
  <si>
    <t>upy</t>
  </si>
  <si>
    <t>lej</t>
  </si>
  <si>
    <t>5pn</t>
  </si>
  <si>
    <t>jvr</t>
  </si>
  <si>
    <t>4wb</t>
  </si>
  <si>
    <t>1wt</t>
  </si>
  <si>
    <t>ejk</t>
  </si>
  <si>
    <t>4sv</t>
  </si>
  <si>
    <t>eqy</t>
  </si>
  <si>
    <t>q2x</t>
  </si>
  <si>
    <t>4pf</t>
  </si>
  <si>
    <t>msp</t>
  </si>
  <si>
    <t>ngn</t>
  </si>
  <si>
    <t>8ye</t>
  </si>
  <si>
    <t>q8f</t>
  </si>
  <si>
    <t>3d9</t>
  </si>
  <si>
    <t>xwm</t>
  </si>
  <si>
    <t>2a6</t>
  </si>
  <si>
    <t>7dk</t>
  </si>
  <si>
    <t>6ghm</t>
  </si>
  <si>
    <t>9zd7</t>
  </si>
  <si>
    <t>26dg</t>
  </si>
  <si>
    <t>kwk8</t>
  </si>
  <si>
    <t>yxgo</t>
  </si>
  <si>
    <t>7tjh</t>
  </si>
  <si>
    <t>sa7f</t>
  </si>
  <si>
    <t>sknc</t>
  </si>
  <si>
    <t>8bpc</t>
  </si>
  <si>
    <t>2sx3</t>
  </si>
  <si>
    <t>5rcc</t>
  </si>
  <si>
    <t>dzv6</t>
  </si>
  <si>
    <t>vbvz</t>
  </si>
  <si>
    <t>wp6p</t>
  </si>
  <si>
    <t>owfu</t>
  </si>
  <si>
    <t>unea</t>
  </si>
  <si>
    <t>4miy</t>
  </si>
  <si>
    <t>kdoc</t>
  </si>
  <si>
    <t>p53r</t>
  </si>
  <si>
    <t>thsh</t>
  </si>
  <si>
    <t>ewph</t>
  </si>
  <si>
    <t>4ebw</t>
  </si>
  <si>
    <t>gc6x</t>
  </si>
  <si>
    <t>bvf3</t>
  </si>
  <si>
    <t>7pok</t>
  </si>
  <si>
    <t>o1qx</t>
  </si>
  <si>
    <t>ubky</t>
  </si>
  <si>
    <t>ndlb</t>
  </si>
  <si>
    <t>d7zy</t>
  </si>
  <si>
    <t>fh5k</t>
  </si>
  <si>
    <t>7lqd</t>
  </si>
  <si>
    <t>dw5f</t>
  </si>
  <si>
    <t>14j5</t>
  </si>
  <si>
    <t>8g8n</t>
  </si>
  <si>
    <t>pqrw</t>
  </si>
  <si>
    <t>ino1</t>
  </si>
  <si>
    <t>4pze</t>
  </si>
  <si>
    <t>arqc</t>
  </si>
  <si>
    <t>mlzz</t>
  </si>
  <si>
    <t>lwb5</t>
  </si>
  <si>
    <t>5njj</t>
  </si>
  <si>
    <t>bm5w</t>
  </si>
  <si>
    <t>oef6</t>
  </si>
  <si>
    <t>8kqj</t>
  </si>
  <si>
    <t>nzmj</t>
  </si>
  <si>
    <t>ikjd</t>
  </si>
  <si>
    <t>d8ek</t>
  </si>
  <si>
    <t>qpnu</t>
  </si>
  <si>
    <t>ysv4</t>
  </si>
  <si>
    <t>grup</t>
  </si>
  <si>
    <t>g1sm</t>
  </si>
  <si>
    <t>3ccy</t>
  </si>
  <si>
    <t>vtdb</t>
  </si>
  <si>
    <t>lzuw</t>
  </si>
  <si>
    <t>njgv</t>
  </si>
  <si>
    <t>nks5</t>
  </si>
  <si>
    <t>rrvb</t>
  </si>
  <si>
    <t>ywtt</t>
  </si>
  <si>
    <t>lyas</t>
  </si>
  <si>
    <t>ow4</t>
  </si>
  <si>
    <t>qz8b</t>
  </si>
  <si>
    <t>pt0</t>
  </si>
  <si>
    <t>hkqh</t>
  </si>
  <si>
    <t>fq5</t>
  </si>
  <si>
    <t>plpf</t>
  </si>
  <si>
    <t>ck0</t>
  </si>
  <si>
    <t>45sf</t>
  </si>
  <si>
    <t>vy6</t>
  </si>
  <si>
    <t>jrsx</t>
  </si>
  <si>
    <t>wy7</t>
  </si>
  <si>
    <t>xs6w</t>
  </si>
  <si>
    <t>iy7</t>
  </si>
  <si>
    <t>ww9j</t>
  </si>
  <si>
    <t>nq6</t>
  </si>
  <si>
    <t>lpqn</t>
  </si>
  <si>
    <t>fr0</t>
  </si>
  <si>
    <t>o3oy</t>
  </si>
  <si>
    <t>lq5</t>
  </si>
  <si>
    <t>ir5d</t>
  </si>
  <si>
    <t>ov5</t>
  </si>
  <si>
    <t>ftyt</t>
  </si>
  <si>
    <t>eq0</t>
  </si>
  <si>
    <t>9vy7</t>
  </si>
  <si>
    <t>bp0</t>
  </si>
  <si>
    <t>bqfv</t>
  </si>
  <si>
    <t>it4</t>
  </si>
  <si>
    <t>axoi</t>
  </si>
  <si>
    <t>yz0</t>
  </si>
  <si>
    <t>7d5z</t>
  </si>
  <si>
    <t>fj6</t>
  </si>
  <si>
    <t>2qhm</t>
  </si>
  <si>
    <t>gv0</t>
  </si>
  <si>
    <t>epn9</t>
  </si>
  <si>
    <t>ej4</t>
  </si>
  <si>
    <t>n6mz</t>
  </si>
  <si>
    <t>tx5</t>
  </si>
  <si>
    <t>fqyl</t>
  </si>
  <si>
    <t>kq0</t>
  </si>
  <si>
    <t>en94</t>
  </si>
  <si>
    <t>iv8</t>
  </si>
  <si>
    <t>mdfk</t>
  </si>
  <si>
    <t>fk8</t>
  </si>
  <si>
    <t>kkzw</t>
  </si>
  <si>
    <t>kl0</t>
  </si>
  <si>
    <t>uppb</t>
  </si>
  <si>
    <t>lp0</t>
  </si>
  <si>
    <t>2ap5</t>
  </si>
  <si>
    <t>bw1</t>
  </si>
  <si>
    <t>quiq</t>
  </si>
  <si>
    <t>jt9</t>
  </si>
  <si>
    <t>bg6t</t>
  </si>
  <si>
    <t>gi4</t>
  </si>
  <si>
    <t>2z86</t>
  </si>
  <si>
    <t>lu4</t>
  </si>
  <si>
    <t>oyw4</t>
  </si>
  <si>
    <t>dq0</t>
  </si>
  <si>
    <t>mkkx</t>
  </si>
  <si>
    <t>wy2</t>
  </si>
  <si>
    <t>wdbq</t>
  </si>
  <si>
    <t>ik0</t>
  </si>
  <si>
    <t>3ztu</t>
  </si>
  <si>
    <t>il6</t>
  </si>
  <si>
    <t>kjwq</t>
  </si>
  <si>
    <t>pv7</t>
  </si>
  <si>
    <t>bvxo</t>
  </si>
  <si>
    <t>bu6</t>
  </si>
  <si>
    <t>8jxq</t>
  </si>
  <si>
    <t>qu7</t>
  </si>
  <si>
    <t>pedi</t>
  </si>
  <si>
    <t>cy9</t>
  </si>
  <si>
    <t>ibtn</t>
  </si>
  <si>
    <t>hl6</t>
  </si>
  <si>
    <t>eunr</t>
  </si>
  <si>
    <t>kx4</t>
  </si>
  <si>
    <t>xyr6</t>
  </si>
  <si>
    <t>jy4</t>
  </si>
  <si>
    <t>72gl</t>
  </si>
  <si>
    <t>iu2</t>
  </si>
  <si>
    <t>2lzw</t>
  </si>
  <si>
    <t>uv9</t>
  </si>
  <si>
    <t>ix51</t>
  </si>
  <si>
    <t>iv6</t>
  </si>
  <si>
    <t>u3jp</t>
  </si>
  <si>
    <t>lt9</t>
  </si>
  <si>
    <t>3ku5</t>
  </si>
  <si>
    <t>bp9</t>
  </si>
  <si>
    <t>awgq</t>
  </si>
  <si>
    <t>kv2</t>
  </si>
  <si>
    <t>dur9</t>
  </si>
  <si>
    <t>ep4</t>
  </si>
  <si>
    <t>gg7l</t>
  </si>
  <si>
    <t>bl7</t>
  </si>
  <si>
    <t>zfbb</t>
  </si>
  <si>
    <t>hv5</t>
  </si>
  <si>
    <t>vibq</t>
  </si>
  <si>
    <t>vz9</t>
  </si>
  <si>
    <t>ofw3</t>
  </si>
  <si>
    <t>fj3</t>
  </si>
  <si>
    <t>iekm</t>
  </si>
  <si>
    <t>gq2</t>
  </si>
  <si>
    <t>hfa7</t>
  </si>
  <si>
    <t>fl0</t>
  </si>
  <si>
    <t>f1i8</t>
  </si>
  <si>
    <t>dq3</t>
  </si>
  <si>
    <t>2kbu</t>
  </si>
  <si>
    <t>iq8</t>
  </si>
  <si>
    <t>p7x6</t>
  </si>
  <si>
    <t>iy4</t>
  </si>
  <si>
    <t>tvcj</t>
  </si>
  <si>
    <t>ir4</t>
  </si>
  <si>
    <t>inep</t>
  </si>
  <si>
    <t>ao9</t>
  </si>
  <si>
    <t>afp4</t>
  </si>
  <si>
    <t>ls9</t>
  </si>
  <si>
    <t>r4zb</t>
  </si>
  <si>
    <t>ef0</t>
  </si>
  <si>
    <t>ekxk</t>
  </si>
  <si>
    <t>ao2</t>
  </si>
  <si>
    <t>xjil</t>
  </si>
  <si>
    <t>hv7</t>
  </si>
  <si>
    <t>ys89</t>
  </si>
  <si>
    <t>io0</t>
  </si>
  <si>
    <t>pacv</t>
  </si>
  <si>
    <t>dt0</t>
  </si>
  <si>
    <t>dfn5</t>
  </si>
  <si>
    <t>ey3</t>
  </si>
  <si>
    <t>up7j</t>
  </si>
  <si>
    <t>iy8</t>
  </si>
  <si>
    <t>qebx</t>
  </si>
  <si>
    <t>bj2</t>
  </si>
  <si>
    <t>xwbp</t>
  </si>
  <si>
    <t>bl6</t>
  </si>
  <si>
    <t>5jlu</t>
  </si>
  <si>
    <t>jw9</t>
  </si>
  <si>
    <t>oib7</t>
  </si>
  <si>
    <t>ou3</t>
  </si>
  <si>
    <t>ixfl</t>
  </si>
  <si>
    <t>qr0</t>
  </si>
  <si>
    <t>pd4h</t>
  </si>
  <si>
    <t>or2</t>
  </si>
  <si>
    <t>fwy6</t>
  </si>
  <si>
    <t>ln0</t>
  </si>
  <si>
    <t>nwuo</t>
  </si>
  <si>
    <t>fk3</t>
  </si>
  <si>
    <t>nwsl</t>
  </si>
  <si>
    <t>bu5</t>
  </si>
  <si>
    <t>pe9n</t>
  </si>
  <si>
    <t>wy3</t>
  </si>
  <si>
    <t>r6uw</t>
  </si>
  <si>
    <t>gr0</t>
  </si>
  <si>
    <t>jsxm</t>
  </si>
  <si>
    <t>ou9</t>
  </si>
  <si>
    <t>1yst</t>
  </si>
  <si>
    <t>eu4</t>
  </si>
  <si>
    <t>v6by</t>
  </si>
  <si>
    <t>eq7</t>
  </si>
  <si>
    <t>dnzz</t>
  </si>
  <si>
    <t>vy8</t>
  </si>
  <si>
    <t>jtoe</t>
  </si>
  <si>
    <t>kz1</t>
  </si>
  <si>
    <t>qz57</t>
  </si>
  <si>
    <t>du8</t>
  </si>
  <si>
    <t>zn6q</t>
  </si>
  <si>
    <t>gp1</t>
  </si>
  <si>
    <t>j57z</t>
  </si>
  <si>
    <t>hj0</t>
  </si>
  <si>
    <t>ehch</t>
  </si>
  <si>
    <t>bj6</t>
  </si>
  <si>
    <t>hxag</t>
  </si>
  <si>
    <t>eu5</t>
  </si>
  <si>
    <t>lvyy</t>
  </si>
  <si>
    <t>oz9</t>
  </si>
  <si>
    <t>jgxm</t>
  </si>
  <si>
    <t>oq1</t>
  </si>
  <si>
    <t>7cml</t>
  </si>
  <si>
    <t>wx6</t>
  </si>
  <si>
    <t>9uhc</t>
  </si>
  <si>
    <t>py6</t>
  </si>
  <si>
    <t>ckjm</t>
  </si>
  <si>
    <t>nu0</t>
  </si>
  <si>
    <t>lsgv</t>
  </si>
  <si>
    <t>ae8</t>
  </si>
  <si>
    <t>cbsd</t>
  </si>
  <si>
    <t>jz0</t>
  </si>
  <si>
    <t>vdda</t>
  </si>
  <si>
    <t>fi8</t>
  </si>
  <si>
    <t>6vvy</t>
  </si>
  <si>
    <t>fi9</t>
  </si>
  <si>
    <t>ak3b</t>
  </si>
  <si>
    <t>bw2</t>
  </si>
  <si>
    <t>4va9</t>
  </si>
  <si>
    <t>gy1</t>
  </si>
  <si>
    <t>7hom</t>
  </si>
  <si>
    <t>gi5</t>
  </si>
  <si>
    <t>21di</t>
  </si>
  <si>
    <t>bu0</t>
  </si>
  <si>
    <t>yi1z</t>
  </si>
  <si>
    <t>ej9</t>
  </si>
  <si>
    <t>ircf</t>
  </si>
  <si>
    <t>6juu</t>
  </si>
  <si>
    <t>cjsx</t>
  </si>
  <si>
    <t>nxk9</t>
  </si>
  <si>
    <t>gxyg</t>
  </si>
  <si>
    <t>e5yl</t>
  </si>
  <si>
    <t>nmni</t>
  </si>
  <si>
    <t>txji</t>
  </si>
  <si>
    <t>r31n</t>
  </si>
  <si>
    <t>pakx</t>
  </si>
  <si>
    <t>l6lv</t>
  </si>
  <si>
    <t>1ks4</t>
  </si>
  <si>
    <t>wdjf</t>
  </si>
  <si>
    <t>x2c5</t>
  </si>
  <si>
    <t>khva</t>
  </si>
  <si>
    <t>gjaw</t>
  </si>
  <si>
    <t>n84l</t>
  </si>
  <si>
    <t>m8o2</t>
  </si>
  <si>
    <t>zqkp</t>
  </si>
  <si>
    <t>35ju</t>
  </si>
  <si>
    <t>ll5b</t>
  </si>
  <si>
    <t>cj6s</t>
  </si>
  <si>
    <t>gn4w</t>
  </si>
  <si>
    <t>mzzv</t>
  </si>
  <si>
    <t>fdnq</t>
  </si>
  <si>
    <t>yo9d</t>
  </si>
  <si>
    <t>t3zf</t>
  </si>
  <si>
    <t>eel8</t>
  </si>
  <si>
    <t>bcec</t>
  </si>
  <si>
    <t>hwcg</t>
  </si>
  <si>
    <t>bdqj</t>
  </si>
  <si>
    <t>iaxi</t>
  </si>
  <si>
    <t>81dv</t>
  </si>
  <si>
    <t>2w78</t>
  </si>
  <si>
    <t>uavn</t>
  </si>
  <si>
    <t>gq5a</t>
  </si>
  <si>
    <t>xnjk</t>
  </si>
  <si>
    <t>4m95</t>
  </si>
  <si>
    <t>dfne</t>
  </si>
  <si>
    <t>xtcf</t>
  </si>
  <si>
    <t>xpdd</t>
  </si>
  <si>
    <t>f6xg</t>
  </si>
  <si>
    <t>ipgr</t>
  </si>
  <si>
    <t>lunn</t>
  </si>
  <si>
    <t>piy6</t>
  </si>
  <si>
    <t>rx2z</t>
  </si>
  <si>
    <t>ixtl</t>
  </si>
  <si>
    <t>cdd8</t>
  </si>
  <si>
    <t>kjdl</t>
  </si>
  <si>
    <t>amcu</t>
  </si>
  <si>
    <t>ggot</t>
  </si>
  <si>
    <t>jq3a</t>
  </si>
  <si>
    <t>DGZ92</t>
  </si>
  <si>
    <t>h3ml</t>
  </si>
  <si>
    <t>DGZ93</t>
  </si>
  <si>
    <t>yga4</t>
  </si>
  <si>
    <t>DGZ94</t>
  </si>
  <si>
    <t>aajh</t>
  </si>
  <si>
    <t>DGZ95</t>
  </si>
  <si>
    <t>nqxz</t>
  </si>
  <si>
    <t>DGZ96</t>
  </si>
  <si>
    <t>wtjp</t>
  </si>
  <si>
    <t>DGZ97</t>
  </si>
  <si>
    <t>lumc</t>
  </si>
  <si>
    <t>r6p6</t>
  </si>
  <si>
    <t>DGZ99</t>
  </si>
  <si>
    <t>paxt</t>
  </si>
  <si>
    <t>GERK</t>
  </si>
  <si>
    <t>cjlu</t>
  </si>
  <si>
    <t>z9tl</t>
  </si>
  <si>
    <t>sara103</t>
  </si>
  <si>
    <t>9u7j</t>
  </si>
  <si>
    <t>sara120</t>
  </si>
  <si>
    <t>jhma</t>
  </si>
  <si>
    <t>ifow</t>
  </si>
  <si>
    <t>xr62</t>
  </si>
  <si>
    <t>iuky</t>
  </si>
  <si>
    <t>dzsr</t>
  </si>
  <si>
    <t>zrxf</t>
  </si>
  <si>
    <t>tcl6</t>
  </si>
  <si>
    <t>DGZ86</t>
  </si>
  <si>
    <t>esgk</t>
  </si>
  <si>
    <t>bchm</t>
  </si>
  <si>
    <t>4u8p</t>
  </si>
  <si>
    <t>JNPB</t>
  </si>
  <si>
    <t>yjku</t>
  </si>
  <si>
    <t>yy9h</t>
  </si>
  <si>
    <t>623u</t>
  </si>
  <si>
    <t>pcqu</t>
  </si>
  <si>
    <t>l7d1</t>
  </si>
  <si>
    <t>wpt6</t>
  </si>
  <si>
    <t>ckfh</t>
  </si>
  <si>
    <t>jrct</t>
  </si>
  <si>
    <t>rzey</t>
  </si>
  <si>
    <t>n1lg</t>
  </si>
  <si>
    <t>uevq</t>
  </si>
  <si>
    <t>vbcz</t>
  </si>
  <si>
    <t>glmo</t>
  </si>
  <si>
    <t>syis</t>
  </si>
  <si>
    <t>k1gm</t>
  </si>
  <si>
    <t>v37j</t>
  </si>
  <si>
    <t>xwpe</t>
  </si>
  <si>
    <t>rnlu</t>
  </si>
  <si>
    <t>jzux</t>
  </si>
  <si>
    <t>hkyp</t>
  </si>
  <si>
    <t>aepr</t>
  </si>
  <si>
    <t>vcwc</t>
  </si>
  <si>
    <t>jztc</t>
  </si>
  <si>
    <t>vklm</t>
  </si>
  <si>
    <t>lvry</t>
  </si>
  <si>
    <t>6chb</t>
  </si>
  <si>
    <t>3s7p</t>
  </si>
  <si>
    <t>txws</t>
  </si>
  <si>
    <t>zuar</t>
  </si>
  <si>
    <t>miir</t>
  </si>
  <si>
    <t>ckal</t>
  </si>
  <si>
    <t>lx1h</t>
  </si>
  <si>
    <t>ed6s</t>
  </si>
  <si>
    <t>fgtn</t>
  </si>
  <si>
    <t>de8n</t>
  </si>
  <si>
    <t>xmsf</t>
  </si>
  <si>
    <t>jgtf</t>
  </si>
  <si>
    <t>rhf21</t>
  </si>
  <si>
    <t>t2pr</t>
  </si>
  <si>
    <t>rhf22</t>
  </si>
  <si>
    <t>genv</t>
  </si>
  <si>
    <t>rhf23</t>
  </si>
  <si>
    <t>7dkr</t>
  </si>
  <si>
    <t>a4u7</t>
  </si>
  <si>
    <t>rhf25</t>
  </si>
  <si>
    <t>ow8c</t>
  </si>
  <si>
    <t>rhf26</t>
  </si>
  <si>
    <t>ypw1</t>
  </si>
  <si>
    <t>ypey</t>
  </si>
  <si>
    <t>rhf28</t>
  </si>
  <si>
    <t>nvsq</t>
  </si>
  <si>
    <t>dvjg</t>
  </si>
  <si>
    <t>wwvq</t>
  </si>
  <si>
    <t>Mido2</t>
  </si>
  <si>
    <t>ut6n</t>
  </si>
  <si>
    <t>nlvx</t>
  </si>
  <si>
    <t>t2vv</t>
  </si>
  <si>
    <t>lu9d</t>
  </si>
  <si>
    <t>9vmk</t>
  </si>
  <si>
    <t>hsgp</t>
  </si>
  <si>
    <t>dbml</t>
  </si>
  <si>
    <t>by3c</t>
  </si>
  <si>
    <t>ixjf</t>
  </si>
  <si>
    <t>ufdx</t>
  </si>
  <si>
    <t>bpre</t>
  </si>
  <si>
    <t>0ad</t>
  </si>
  <si>
    <t>0cs</t>
  </si>
  <si>
    <t>0cz</t>
  </si>
  <si>
    <t>0xv</t>
  </si>
  <si>
    <t>1c0</t>
  </si>
  <si>
    <t>1hj</t>
  </si>
  <si>
    <t>1n0</t>
  </si>
  <si>
    <t>1r6</t>
  </si>
  <si>
    <t>2an</t>
  </si>
  <si>
    <t>2bt</t>
  </si>
  <si>
    <t>2cy</t>
  </si>
  <si>
    <t>2o1</t>
  </si>
  <si>
    <t>2q3</t>
  </si>
  <si>
    <t>2yl</t>
  </si>
  <si>
    <t>3hn</t>
  </si>
  <si>
    <t>3je</t>
  </si>
  <si>
    <t>3jk</t>
  </si>
  <si>
    <t>3pu</t>
  </si>
  <si>
    <t>3x2</t>
  </si>
  <si>
    <t>3xf</t>
  </si>
  <si>
    <t>4jw</t>
  </si>
  <si>
    <t>5b0</t>
  </si>
  <si>
    <t>5dr</t>
  </si>
  <si>
    <t>5t3</t>
  </si>
  <si>
    <t>5u4</t>
  </si>
  <si>
    <t>5yc</t>
  </si>
  <si>
    <t>5yt</t>
  </si>
  <si>
    <t>6k2</t>
  </si>
  <si>
    <t>6p4</t>
  </si>
  <si>
    <t>6t3</t>
  </si>
  <si>
    <t>7dy</t>
  </si>
  <si>
    <t>7el</t>
  </si>
  <si>
    <t>7kl</t>
  </si>
  <si>
    <t>7og</t>
  </si>
  <si>
    <t>7pc</t>
  </si>
  <si>
    <t>7sq</t>
  </si>
  <si>
    <t>7ul</t>
  </si>
  <si>
    <t>8aj</t>
  </si>
  <si>
    <t>8d6</t>
  </si>
  <si>
    <t>8ed</t>
  </si>
  <si>
    <t>8j7</t>
  </si>
  <si>
    <t>8jl</t>
  </si>
  <si>
    <t>8o2</t>
  </si>
  <si>
    <t>9ge</t>
  </si>
  <si>
    <t>9gl</t>
  </si>
  <si>
    <t>9p4</t>
  </si>
  <si>
    <t>9q3</t>
  </si>
  <si>
    <t>9tp</t>
  </si>
  <si>
    <t>9v1</t>
  </si>
  <si>
    <t>9ve</t>
  </si>
  <si>
    <t>a7f</t>
  </si>
  <si>
    <t>aanq</t>
  </si>
  <si>
    <t>aecb</t>
  </si>
  <si>
    <t>aepj</t>
  </si>
  <si>
    <t>ajzr</t>
  </si>
  <si>
    <t>akfd</t>
  </si>
  <si>
    <t>akzc</t>
  </si>
  <si>
    <t>alxb</t>
  </si>
  <si>
    <t>alxm</t>
  </si>
  <si>
    <t>anqq</t>
  </si>
  <si>
    <t>apuj</t>
  </si>
  <si>
    <t>apwn</t>
  </si>
  <si>
    <t>aqha</t>
  </si>
  <si>
    <t>aqsg</t>
  </si>
  <si>
    <t>arxv</t>
  </si>
  <si>
    <t>asne</t>
  </si>
  <si>
    <t>aswp</t>
  </si>
  <si>
    <t>atwt</t>
  </si>
  <si>
    <t>au0</t>
  </si>
  <si>
    <t>auak</t>
  </si>
  <si>
    <t>aupl</t>
  </si>
  <si>
    <t>ayag</t>
  </si>
  <si>
    <t>aycm</t>
  </si>
  <si>
    <t>azj</t>
  </si>
  <si>
    <t>b3w</t>
  </si>
  <si>
    <t>bdcw</t>
  </si>
  <si>
    <t>bej</t>
  </si>
  <si>
    <t>betm</t>
  </si>
  <si>
    <t>bhwt</t>
  </si>
  <si>
    <t>bjdp</t>
  </si>
  <si>
    <t>bjk</t>
  </si>
  <si>
    <t>bjx</t>
  </si>
  <si>
    <t>bjxc</t>
  </si>
  <si>
    <t>bkut</t>
  </si>
  <si>
    <t>blle</t>
  </si>
  <si>
    <t>blqn</t>
  </si>
  <si>
    <t>bnav</t>
  </si>
  <si>
    <t>bnsu</t>
  </si>
  <si>
    <t>bo6</t>
  </si>
  <si>
    <t>brbs</t>
  </si>
  <si>
    <t>buss</t>
  </si>
  <si>
    <t>bwkn</t>
  </si>
  <si>
    <t>bxi</t>
  </si>
  <si>
    <t>bynt</t>
  </si>
  <si>
    <t>bzln</t>
  </si>
  <si>
    <t>c5q</t>
  </si>
  <si>
    <t>cbzv</t>
  </si>
  <si>
    <t>ccft</t>
  </si>
  <si>
    <t>ccww</t>
  </si>
  <si>
    <t>ccwx</t>
  </si>
  <si>
    <t>cdkf</t>
  </si>
  <si>
    <t>cgo</t>
  </si>
  <si>
    <t>chjm</t>
  </si>
  <si>
    <t>cjd</t>
  </si>
  <si>
    <t>cjs</t>
  </si>
  <si>
    <t>cjsl</t>
  </si>
  <si>
    <t>cjvc</t>
  </si>
  <si>
    <t>cksc</t>
  </si>
  <si>
    <t>cncu</t>
  </si>
  <si>
    <t>cndz</t>
  </si>
  <si>
    <t>cqep</t>
  </si>
  <si>
    <t>cqhq</t>
  </si>
  <si>
    <t>csra</t>
  </si>
  <si>
    <t>ctcu</t>
  </si>
  <si>
    <t>d2l</t>
  </si>
  <si>
    <t>d8f</t>
  </si>
  <si>
    <t>d8o</t>
  </si>
  <si>
    <t>dbyg</t>
  </si>
  <si>
    <t>dchj</t>
  </si>
  <si>
    <t>dcht</t>
  </si>
  <si>
    <t>ddbx</t>
  </si>
  <si>
    <t>ddo</t>
  </si>
  <si>
    <t>dhbr</t>
  </si>
  <si>
    <t>djdp</t>
  </si>
  <si>
    <t>dnts</t>
  </si>
  <si>
    <t>doa</t>
  </si>
  <si>
    <t>dqmw</t>
  </si>
  <si>
    <t>dru</t>
  </si>
  <si>
    <t>dsdu</t>
  </si>
  <si>
    <t>dsft</t>
  </si>
  <si>
    <t>dsyc</t>
  </si>
  <si>
    <t>dwsq</t>
  </si>
  <si>
    <t>dwxa</t>
  </si>
  <si>
    <t>dxtl</t>
  </si>
  <si>
    <t>e0l</t>
  </si>
  <si>
    <t>e5c</t>
  </si>
  <si>
    <t>ebw</t>
  </si>
  <si>
    <t>ecqd</t>
  </si>
  <si>
    <t>eecn</t>
  </si>
  <si>
    <t>eeex</t>
  </si>
  <si>
    <t>egm</t>
  </si>
  <si>
    <t>ehgf</t>
  </si>
  <si>
    <t>ejsk</t>
  </si>
  <si>
    <t>ekaz</t>
  </si>
  <si>
    <t>ekfg</t>
  </si>
  <si>
    <t>emsu</t>
  </si>
  <si>
    <t>emwn</t>
  </si>
  <si>
    <t>eqh</t>
  </si>
  <si>
    <t>eqn</t>
  </si>
  <si>
    <t>eqwe</t>
  </si>
  <si>
    <t>ergk</t>
  </si>
  <si>
    <t>esgd</t>
  </si>
  <si>
    <t>etqz</t>
  </si>
  <si>
    <t>evds</t>
  </si>
  <si>
    <t>ewck</t>
  </si>
  <si>
    <t>ewlv</t>
  </si>
  <si>
    <t>exuv</t>
  </si>
  <si>
    <t>eych</t>
  </si>
  <si>
    <t>f7q</t>
  </si>
  <si>
    <t>f8i</t>
  </si>
  <si>
    <t>favu</t>
  </si>
  <si>
    <t>fbfh</t>
  </si>
  <si>
    <t>fcfn</t>
  </si>
  <si>
    <t>fdjb</t>
  </si>
  <si>
    <t>fhvb</t>
  </si>
  <si>
    <t>fkrr</t>
  </si>
  <si>
    <t>flxd</t>
  </si>
  <si>
    <t>fmds</t>
  </si>
  <si>
    <t>fqck</t>
  </si>
  <si>
    <t>frvh</t>
  </si>
  <si>
    <t>ftsu</t>
  </si>
  <si>
    <t>fuyl</t>
  </si>
  <si>
    <t>fvfr</t>
  </si>
  <si>
    <t>fxjl</t>
  </si>
  <si>
    <t>fzyk</t>
  </si>
  <si>
    <t>g4q</t>
  </si>
  <si>
    <t>g9w</t>
  </si>
  <si>
    <t>gbgj</t>
  </si>
  <si>
    <t>gbyu</t>
  </si>
  <si>
    <t>gcdg</t>
  </si>
  <si>
    <t>gedn</t>
  </si>
  <si>
    <t>gerk</t>
  </si>
  <si>
    <t>gfe</t>
  </si>
  <si>
    <t>gfqt</t>
  </si>
  <si>
    <t>gfsf</t>
  </si>
  <si>
    <t>ghjx</t>
  </si>
  <si>
    <t>gkcr</t>
  </si>
  <si>
    <t>glvr</t>
  </si>
  <si>
    <t>glyx</t>
  </si>
  <si>
    <t>gmne</t>
  </si>
  <si>
    <t>gpkb</t>
  </si>
  <si>
    <t>gqmb</t>
  </si>
  <si>
    <t>gqxm</t>
  </si>
  <si>
    <t>gtqr</t>
  </si>
  <si>
    <t>gvxr</t>
  </si>
  <si>
    <t>gwjm</t>
  </si>
  <si>
    <t>gymp</t>
  </si>
  <si>
    <t>gzun</t>
  </si>
  <si>
    <t>hdcj</t>
  </si>
  <si>
    <t>hglq</t>
  </si>
  <si>
    <t>hgph</t>
  </si>
  <si>
    <t>hhpc</t>
  </si>
  <si>
    <t>hib</t>
  </si>
  <si>
    <t>hkcc</t>
  </si>
  <si>
    <t>hksr</t>
  </si>
  <si>
    <t>hmdz</t>
  </si>
  <si>
    <t>hmxd</t>
  </si>
  <si>
    <t>hnps</t>
  </si>
  <si>
    <t>hpkh</t>
  </si>
  <si>
    <t>hpvj</t>
  </si>
  <si>
    <t>hsph</t>
  </si>
  <si>
    <t>htq</t>
  </si>
  <si>
    <t>hvjq</t>
  </si>
  <si>
    <t>hxpp</t>
  </si>
  <si>
    <t>hydp</t>
  </si>
  <si>
    <t>hyql</t>
  </si>
  <si>
    <t>hzi</t>
  </si>
  <si>
    <t>i2l</t>
  </si>
  <si>
    <t>igb</t>
  </si>
  <si>
    <t>igx</t>
  </si>
  <si>
    <t>iim</t>
  </si>
  <si>
    <t>ijy</t>
  </si>
  <si>
    <t>ily</t>
  </si>
  <si>
    <t>imn</t>
  </si>
  <si>
    <t>in5</t>
  </si>
  <si>
    <t>iud</t>
  </si>
  <si>
    <t>ius</t>
  </si>
  <si>
    <t>ivr</t>
  </si>
  <si>
    <t>iw3</t>
  </si>
  <si>
    <t>ix5</t>
  </si>
  <si>
    <t>ixl</t>
  </si>
  <si>
    <t>j2i</t>
  </si>
  <si>
    <t>j9r</t>
  </si>
  <si>
    <t>j9s</t>
  </si>
  <si>
    <t>jbvs</t>
  </si>
  <si>
    <t>jcuz</t>
  </si>
  <si>
    <t>jdjw</t>
  </si>
  <si>
    <t>jgp</t>
  </si>
  <si>
    <t>jgu</t>
  </si>
  <si>
    <t>jhft</t>
  </si>
  <si>
    <t>jhw</t>
  </si>
  <si>
    <t>jjbs</t>
  </si>
  <si>
    <t>jjxg</t>
  </si>
  <si>
    <t>jkyt</t>
  </si>
  <si>
    <t>jllb</t>
  </si>
  <si>
    <t>jmkc</t>
  </si>
  <si>
    <t>jnpb</t>
  </si>
  <si>
    <t>jprd</t>
  </si>
  <si>
    <t>jqf</t>
  </si>
  <si>
    <t>jrkx</t>
  </si>
  <si>
    <t>jspz</t>
  </si>
  <si>
    <t>jtwg</t>
  </si>
  <si>
    <t>jui</t>
  </si>
  <si>
    <t>jvqv</t>
  </si>
  <si>
    <t>jx2</t>
  </si>
  <si>
    <t>jydu</t>
  </si>
  <si>
    <t>k9c</t>
  </si>
  <si>
    <t>kaqu</t>
  </si>
  <si>
    <t>kbtv</t>
  </si>
  <si>
    <t>kcem</t>
  </si>
  <si>
    <t>kebf</t>
  </si>
  <si>
    <t>keqd</t>
  </si>
  <si>
    <t>kgup</t>
  </si>
  <si>
    <t>khcs</t>
  </si>
  <si>
    <t>khcz</t>
  </si>
  <si>
    <t>khnx</t>
  </si>
  <si>
    <t>khry</t>
  </si>
  <si>
    <t>kix</t>
  </si>
  <si>
    <t>kjzz</t>
  </si>
  <si>
    <t>kkpe</t>
  </si>
  <si>
    <t>kkxk</t>
  </si>
  <si>
    <t>kqph</t>
  </si>
  <si>
    <t>krv</t>
  </si>
  <si>
    <t>ksze</t>
  </si>
  <si>
    <t>ktlv</t>
  </si>
  <si>
    <t>kuhz</t>
  </si>
  <si>
    <t>kvi</t>
  </si>
  <si>
    <t>kwuu</t>
  </si>
  <si>
    <t>ky1</t>
  </si>
  <si>
    <t>l1v</t>
  </si>
  <si>
    <t>l4q</t>
  </si>
  <si>
    <t>l5b</t>
  </si>
  <si>
    <t>lbfy</t>
  </si>
  <si>
    <t>lbur</t>
  </si>
  <si>
    <t>lclp</t>
  </si>
  <si>
    <t>ldhk</t>
  </si>
  <si>
    <t>levm</t>
  </si>
  <si>
    <t>lfa</t>
  </si>
  <si>
    <t>lfb</t>
  </si>
  <si>
    <t>lgrd</t>
  </si>
  <si>
    <t>lhql</t>
  </si>
  <si>
    <t>lic</t>
  </si>
  <si>
    <t>ljf</t>
  </si>
  <si>
    <t>lkxj</t>
  </si>
  <si>
    <t>lmdw</t>
  </si>
  <si>
    <t>lnwn</t>
  </si>
  <si>
    <t>lpst</t>
  </si>
  <si>
    <t>lqi</t>
  </si>
  <si>
    <t>lsew</t>
  </si>
  <si>
    <t>lsz</t>
  </si>
  <si>
    <t>ltju</t>
  </si>
  <si>
    <t>lwpy</t>
  </si>
  <si>
    <t>lwy</t>
  </si>
  <si>
    <t>lxhv</t>
  </si>
  <si>
    <t>lyps</t>
  </si>
  <si>
    <t>lz6</t>
  </si>
  <si>
    <t>lzew</t>
  </si>
  <si>
    <t>majc</t>
  </si>
  <si>
    <t>mdvc</t>
  </si>
  <si>
    <t>megh</t>
  </si>
  <si>
    <t>meqs</t>
  </si>
  <si>
    <t>mgfs</t>
  </si>
  <si>
    <t>mgjb</t>
  </si>
  <si>
    <t>mgud</t>
  </si>
  <si>
    <t>mhpf</t>
  </si>
  <si>
    <t>mjka</t>
  </si>
  <si>
    <t>mjt</t>
  </si>
  <si>
    <t>mktk</t>
  </si>
  <si>
    <t>mmkj</t>
  </si>
  <si>
    <t>mmup</t>
  </si>
  <si>
    <t>mrew</t>
  </si>
  <si>
    <t>mrvz</t>
  </si>
  <si>
    <t>mspg</t>
  </si>
  <si>
    <t>mssf</t>
  </si>
  <si>
    <t>mukk</t>
  </si>
  <si>
    <t>mvhf</t>
  </si>
  <si>
    <t>mvtb</t>
  </si>
  <si>
    <t>mvue</t>
  </si>
  <si>
    <t>mvyt</t>
  </si>
  <si>
    <t>mxgw</t>
  </si>
  <si>
    <t>mzi</t>
  </si>
  <si>
    <t>mzq</t>
  </si>
  <si>
    <t>nbkk</t>
  </si>
  <si>
    <t>nddp</t>
  </si>
  <si>
    <t>ndns</t>
  </si>
  <si>
    <t>ndyy</t>
  </si>
  <si>
    <t>nefm</t>
  </si>
  <si>
    <t>netx</t>
  </si>
  <si>
    <t>nfg</t>
  </si>
  <si>
    <t>nfsj</t>
  </si>
  <si>
    <t>nhax</t>
  </si>
  <si>
    <t>nhfp</t>
  </si>
  <si>
    <t>nhnv</t>
  </si>
  <si>
    <t>njg</t>
  </si>
  <si>
    <t>njjs</t>
  </si>
  <si>
    <t>nlky</t>
  </si>
  <si>
    <t>nmzb</t>
  </si>
  <si>
    <t>nnjq</t>
  </si>
  <si>
    <t>nphn</t>
  </si>
  <si>
    <t>nptr</t>
  </si>
  <si>
    <t>numj</t>
  </si>
  <si>
    <t>nuq</t>
  </si>
  <si>
    <t>nuvn</t>
  </si>
  <si>
    <t>nvtj</t>
  </si>
  <si>
    <t>nwfb</t>
  </si>
  <si>
    <t>nxzh</t>
  </si>
  <si>
    <t>nyab</t>
  </si>
  <si>
    <t>nyo</t>
  </si>
  <si>
    <t>o08</t>
  </si>
  <si>
    <t>ogl</t>
  </si>
  <si>
    <t>oij</t>
  </si>
  <si>
    <t>oj9</t>
  </si>
  <si>
    <t>okm</t>
  </si>
  <si>
    <t>olb</t>
  </si>
  <si>
    <t>oyu</t>
  </si>
  <si>
    <t>p5f</t>
  </si>
  <si>
    <t>pahq</t>
  </si>
  <si>
    <t>pdyb</t>
  </si>
  <si>
    <t>pfay</t>
  </si>
  <si>
    <t>pgce</t>
  </si>
  <si>
    <t>pgnr</t>
  </si>
  <si>
    <t>pgps</t>
  </si>
  <si>
    <t>pjpq</t>
  </si>
  <si>
    <t>pkbu</t>
  </si>
  <si>
    <t>pmwc</t>
  </si>
  <si>
    <t>pmx</t>
  </si>
  <si>
    <t>pqbu</t>
  </si>
  <si>
    <t>pqvz</t>
  </si>
  <si>
    <t>pujn</t>
  </si>
  <si>
    <t>pwtc</t>
  </si>
  <si>
    <t>pwy</t>
  </si>
  <si>
    <t>pxhw</t>
  </si>
  <si>
    <t>pzbv</t>
  </si>
  <si>
    <t>q2z</t>
  </si>
  <si>
    <t>q4v</t>
  </si>
  <si>
    <t>q9u</t>
  </si>
  <si>
    <t>qa0</t>
  </si>
  <si>
    <t>qaxk</t>
  </si>
  <si>
    <t>qbng</t>
  </si>
  <si>
    <t>qcll</t>
  </si>
  <si>
    <t>qdrs</t>
  </si>
  <si>
    <t>qedq</t>
  </si>
  <si>
    <t>qejx</t>
  </si>
  <si>
    <t>qesg</t>
  </si>
  <si>
    <t>qez</t>
  </si>
  <si>
    <t>qgfh</t>
  </si>
  <si>
    <t>qgrw</t>
  </si>
  <si>
    <t>qjbs</t>
  </si>
  <si>
    <t>qjgl</t>
  </si>
  <si>
    <t>qjuh</t>
  </si>
  <si>
    <t>qlay</t>
  </si>
  <si>
    <t>qldv</t>
  </si>
  <si>
    <t>qlnd</t>
  </si>
  <si>
    <t>qnbs</t>
  </si>
  <si>
    <t>qnlw</t>
  </si>
  <si>
    <t>qqtr</t>
  </si>
  <si>
    <t>qszt</t>
  </si>
  <si>
    <t>qtdc</t>
  </si>
  <si>
    <t>qutk</t>
  </si>
  <si>
    <t>qv0</t>
  </si>
  <si>
    <t>qvkn</t>
  </si>
  <si>
    <t>qwn</t>
  </si>
  <si>
    <t>qyjl</t>
  </si>
  <si>
    <t>r0i</t>
  </si>
  <si>
    <t>r5n</t>
  </si>
  <si>
    <t>rbut</t>
  </si>
  <si>
    <t>rcqq</t>
  </si>
  <si>
    <t>rfyw</t>
  </si>
  <si>
    <t>rhdb</t>
  </si>
  <si>
    <t>rhr</t>
  </si>
  <si>
    <t>rhzf</t>
  </si>
  <si>
    <t>rkhz</t>
  </si>
  <si>
    <t>rlq</t>
  </si>
  <si>
    <t>rmf</t>
  </si>
  <si>
    <t>rmhn</t>
  </si>
  <si>
    <t>rmpv</t>
  </si>
  <si>
    <t>rneg</t>
  </si>
  <si>
    <t>rpkg</t>
  </si>
  <si>
    <t>rpwp</t>
  </si>
  <si>
    <t>rpyq</t>
  </si>
  <si>
    <t>rsu</t>
  </si>
  <si>
    <t>rvab</t>
  </si>
  <si>
    <t>rvfn</t>
  </si>
  <si>
    <t>rvuf</t>
  </si>
  <si>
    <t>rzuw</t>
  </si>
  <si>
    <t>s8i</t>
  </si>
  <si>
    <t>sbmz</t>
  </si>
  <si>
    <t>sbpx</t>
  </si>
  <si>
    <t>scq</t>
  </si>
  <si>
    <t>sdex</t>
  </si>
  <si>
    <t>sgex</t>
  </si>
  <si>
    <t>smjr</t>
  </si>
  <si>
    <t>snyz</t>
  </si>
  <si>
    <t>spjg</t>
  </si>
  <si>
    <t>spmw</t>
  </si>
  <si>
    <t>sqxj</t>
  </si>
  <si>
    <t>srsu</t>
  </si>
  <si>
    <t>sspb</t>
  </si>
  <si>
    <t>svjg</t>
  </si>
  <si>
    <t>svqd</t>
  </si>
  <si>
    <t>swru</t>
  </si>
  <si>
    <t>sxnk</t>
  </si>
  <si>
    <t>sy7</t>
  </si>
  <si>
    <t>tbdp</t>
  </si>
  <si>
    <t>tccm</t>
  </si>
  <si>
    <t>tclf</t>
  </si>
  <si>
    <t>tdeh</t>
  </si>
  <si>
    <t>tdwd</t>
  </si>
  <si>
    <t>tgbh</t>
  </si>
  <si>
    <t>thxb</t>
  </si>
  <si>
    <t>tjau</t>
  </si>
  <si>
    <t>tlxm</t>
  </si>
  <si>
    <t>tnae</t>
  </si>
  <si>
    <t>tuam</t>
  </si>
  <si>
    <t>tvga</t>
  </si>
  <si>
    <t>tvjf</t>
  </si>
  <si>
    <t>txgk</t>
  </si>
  <si>
    <t>txju</t>
  </si>
  <si>
    <t>tzrw</t>
  </si>
  <si>
    <t>u8f</t>
  </si>
  <si>
    <t>ubyu</t>
  </si>
  <si>
    <t>uhac</t>
  </si>
  <si>
    <t>ukp</t>
  </si>
  <si>
    <t>uldv</t>
  </si>
  <si>
    <t>uljb</t>
  </si>
  <si>
    <t>upbx</t>
  </si>
  <si>
    <t>uptq</t>
  </si>
  <si>
    <t>upvs</t>
  </si>
  <si>
    <t>uqyj</t>
  </si>
  <si>
    <t>utwy</t>
  </si>
  <si>
    <t>uvze</t>
  </si>
  <si>
    <t>uwr</t>
  </si>
  <si>
    <t>uxfv</t>
  </si>
  <si>
    <t>uxkk</t>
  </si>
  <si>
    <t>uxps</t>
  </si>
  <si>
    <t>uxtw</t>
  </si>
  <si>
    <t>uxwt</t>
  </si>
  <si>
    <t>uya</t>
  </si>
  <si>
    <t>uygl</t>
  </si>
  <si>
    <t>uzjk</t>
  </si>
  <si>
    <t>uzst</t>
  </si>
  <si>
    <t>uzwk</t>
  </si>
  <si>
    <t>vcky</t>
  </si>
  <si>
    <t>vdzp</t>
  </si>
  <si>
    <t>vei</t>
  </si>
  <si>
    <t>vfsq</t>
  </si>
  <si>
    <t>vlaf</t>
  </si>
  <si>
    <t>vlea</t>
  </si>
  <si>
    <t>vlzl</t>
  </si>
  <si>
    <t>vmp</t>
  </si>
  <si>
    <t>vms</t>
  </si>
  <si>
    <t>vpk</t>
  </si>
  <si>
    <t>vprl</t>
  </si>
  <si>
    <t>vust</t>
  </si>
  <si>
    <t>vze</t>
  </si>
  <si>
    <t>w8q</t>
  </si>
  <si>
    <t>wajg</t>
  </si>
  <si>
    <t>wbk</t>
  </si>
  <si>
    <t>wbq</t>
  </si>
  <si>
    <t>wcle</t>
  </si>
  <si>
    <t>wczn</t>
  </si>
  <si>
    <t>wdek</t>
  </si>
  <si>
    <t>wdfz</t>
  </si>
  <si>
    <t>whuu</t>
  </si>
  <si>
    <t>wjz</t>
  </si>
  <si>
    <t>wkxv</t>
  </si>
  <si>
    <t>wmvh</t>
  </si>
  <si>
    <t>wnnk</t>
  </si>
  <si>
    <t>wpfh</t>
  </si>
  <si>
    <t>wtca</t>
  </si>
  <si>
    <t>wuf</t>
  </si>
  <si>
    <t>wvp</t>
  </si>
  <si>
    <t>wwpk</t>
  </si>
  <si>
    <t>wxgc</t>
  </si>
  <si>
    <t>wxnn</t>
  </si>
  <si>
    <t>wxsu</t>
  </si>
  <si>
    <t>wymj</t>
  </si>
  <si>
    <t>wzcw</t>
  </si>
  <si>
    <t>x3w</t>
  </si>
  <si>
    <t>x4a</t>
  </si>
  <si>
    <t>xat</t>
  </si>
  <si>
    <t>xbm</t>
  </si>
  <si>
    <t>xcrb</t>
  </si>
  <si>
    <t>xdmw</t>
  </si>
  <si>
    <t>xfbe</t>
  </si>
  <si>
    <t>xg5</t>
  </si>
  <si>
    <t>xjb</t>
  </si>
  <si>
    <t>xkff</t>
  </si>
  <si>
    <t>xkze</t>
  </si>
  <si>
    <t>xld</t>
  </si>
  <si>
    <t>xlrk</t>
  </si>
  <si>
    <t>xnkc</t>
  </si>
  <si>
    <t>xo7</t>
  </si>
  <si>
    <t>xpnp</t>
  </si>
  <si>
    <t>xpq</t>
  </si>
  <si>
    <t>xpvq</t>
  </si>
  <si>
    <t>xqq</t>
  </si>
  <si>
    <t>xqze</t>
  </si>
  <si>
    <t>xrqh</t>
  </si>
  <si>
    <t>xsrt</t>
  </si>
  <si>
    <t>xtjc</t>
  </si>
  <si>
    <t>xtur</t>
  </si>
  <si>
    <t>xuln</t>
  </si>
  <si>
    <t>xuly</t>
  </si>
  <si>
    <t>xvgl</t>
  </si>
  <si>
    <t>xvk</t>
  </si>
  <si>
    <t>xxqy</t>
  </si>
  <si>
    <t>xxtv</t>
  </si>
  <si>
    <t>xzq</t>
  </si>
  <si>
    <t>y7g</t>
  </si>
  <si>
    <t>y9m</t>
  </si>
  <si>
    <t>ybme</t>
  </si>
  <si>
    <t>ybne</t>
  </si>
  <si>
    <t>ybyh</t>
  </si>
  <si>
    <t>ycjs</t>
  </si>
  <si>
    <t>yeuh</t>
  </si>
  <si>
    <t>yfw</t>
  </si>
  <si>
    <t>ygez</t>
  </si>
  <si>
    <t>ygsk</t>
  </si>
  <si>
    <t>yhay</t>
  </si>
  <si>
    <t>yip</t>
  </si>
  <si>
    <t>ykvf</t>
  </si>
  <si>
    <t>ymaz</t>
  </si>
  <si>
    <t>ypfe</t>
  </si>
  <si>
    <t>yqbj</t>
  </si>
  <si>
    <t>yqg</t>
  </si>
  <si>
    <t>yrx</t>
  </si>
  <si>
    <t>ytjh</t>
  </si>
  <si>
    <t>ytst</t>
  </si>
  <si>
    <t>ytvp</t>
  </si>
  <si>
    <t>yubw</t>
  </si>
  <si>
    <t>yvad</t>
  </si>
  <si>
    <t>ywxh</t>
  </si>
  <si>
    <t>ywyl</t>
  </si>
  <si>
    <t>yx7</t>
  </si>
  <si>
    <t>yxwt</t>
  </si>
  <si>
    <t>yzjt</t>
  </si>
  <si>
    <t>yzue</t>
  </si>
  <si>
    <t>zapx</t>
  </si>
  <si>
    <t>zbde</t>
  </si>
  <si>
    <t>zbfw</t>
  </si>
  <si>
    <t>zbmu</t>
  </si>
  <si>
    <t>zbnh</t>
  </si>
  <si>
    <t>zbpj</t>
  </si>
  <si>
    <t>zcar</t>
  </si>
  <si>
    <t>zcna</t>
  </si>
  <si>
    <t>zcxx</t>
  </si>
  <si>
    <t>zdkb</t>
  </si>
  <si>
    <t>zdwc</t>
  </si>
  <si>
    <t>zecu</t>
  </si>
  <si>
    <t>zewj</t>
  </si>
  <si>
    <t>zgkw</t>
  </si>
  <si>
    <t>zgvr</t>
  </si>
  <si>
    <t>zhjp</t>
  </si>
  <si>
    <t>zlad</t>
  </si>
  <si>
    <t>zlhl</t>
  </si>
  <si>
    <t>zlth</t>
  </si>
  <si>
    <t>zmxd</t>
  </si>
  <si>
    <t>zngj</t>
  </si>
  <si>
    <t>znhk</t>
  </si>
  <si>
    <t>zsjp</t>
  </si>
  <si>
    <t>zuue</t>
  </si>
  <si>
    <t>zvja</t>
  </si>
  <si>
    <t>zvmz</t>
  </si>
  <si>
    <t>zvst</t>
  </si>
  <si>
    <t>zwdy</t>
  </si>
  <si>
    <t>zwws</t>
  </si>
  <si>
    <t>zxeb</t>
  </si>
  <si>
    <t>zxzj</t>
  </si>
  <si>
    <t>zzpt</t>
  </si>
  <si>
    <t>zje</t>
  </si>
  <si>
    <t>BCARE</t>
  </si>
  <si>
    <t>WALA2</t>
  </si>
  <si>
    <t>KG1160</t>
  </si>
  <si>
    <t>KG1196</t>
  </si>
  <si>
    <t>KG1100</t>
  </si>
  <si>
    <t>KG1199</t>
  </si>
  <si>
    <t>KG1142</t>
  </si>
  <si>
    <t>KG1183</t>
  </si>
  <si>
    <t>KG1119</t>
  </si>
  <si>
    <t>KG1117</t>
  </si>
  <si>
    <t>KG1194</t>
  </si>
  <si>
    <t>KG1138</t>
  </si>
  <si>
    <t>KG1126</t>
  </si>
  <si>
    <t>KG1176</t>
  </si>
  <si>
    <t>KG1154</t>
  </si>
  <si>
    <t>KG1123</t>
  </si>
  <si>
    <t>KG1149</t>
  </si>
  <si>
    <t>KG1136</t>
  </si>
  <si>
    <t>KG1111</t>
  </si>
  <si>
    <t>KG1152</t>
  </si>
  <si>
    <t>KG1185</t>
  </si>
  <si>
    <t>KG1184</t>
  </si>
  <si>
    <t>KG1178</t>
  </si>
  <si>
    <t>KG1129</t>
  </si>
  <si>
    <t>KG1132</t>
  </si>
  <si>
    <t>KG1131</t>
  </si>
  <si>
    <t>KG1158</t>
  </si>
  <si>
    <t>KG1166</t>
  </si>
  <si>
    <t>KG1147</t>
  </si>
  <si>
    <t>KG1163</t>
  </si>
  <si>
    <t>KG1104</t>
  </si>
  <si>
    <t>KG1188</t>
  </si>
  <si>
    <t>KG1116</t>
  </si>
  <si>
    <t>KG1148</t>
  </si>
  <si>
    <t>KG1153</t>
  </si>
  <si>
    <t>KG1171</t>
  </si>
  <si>
    <t>KG1124</t>
  </si>
  <si>
    <t>KG1144</t>
  </si>
  <si>
    <t>KG1161</t>
  </si>
  <si>
    <t>KG1197</t>
  </si>
  <si>
    <t>KG1140</t>
  </si>
  <si>
    <t>KG1125</t>
  </si>
  <si>
    <t>KG1127</t>
  </si>
  <si>
    <t>KG1107</t>
  </si>
  <si>
    <t>KG1121</t>
  </si>
  <si>
    <t>KG1106</t>
  </si>
  <si>
    <t>KG1179</t>
  </si>
  <si>
    <t>KG1169</t>
  </si>
  <si>
    <t>KG1118</t>
  </si>
  <si>
    <t>KG1164</t>
  </si>
  <si>
    <t>KG1109</t>
  </si>
  <si>
    <t>KG1157</t>
  </si>
  <si>
    <t>KG1151</t>
  </si>
  <si>
    <t>KG1195</t>
  </si>
  <si>
    <t>KG1190</t>
  </si>
  <si>
    <t>KG1189</t>
  </si>
  <si>
    <t>KG1174</t>
  </si>
  <si>
    <t>KG1173</t>
  </si>
  <si>
    <t>KG1145</t>
  </si>
  <si>
    <t>KG1146</t>
  </si>
  <si>
    <t>KG1108</t>
  </si>
  <si>
    <t>KG1170</t>
  </si>
  <si>
    <t>KG1182</t>
  </si>
  <si>
    <t>KG1165</t>
  </si>
  <si>
    <t>KG1137</t>
  </si>
  <si>
    <t>KG1193</t>
  </si>
  <si>
    <t>KG1141</t>
  </si>
  <si>
    <t>KG1162</t>
  </si>
  <si>
    <t>KG1115</t>
  </si>
  <si>
    <t>KG1114</t>
  </si>
  <si>
    <t>KG1101</t>
  </si>
  <si>
    <t>KG1102</t>
  </si>
  <si>
    <t>KG1103</t>
  </si>
  <si>
    <t>KG1177</t>
  </si>
  <si>
    <t>KG1186</t>
  </si>
  <si>
    <t>KG1167</t>
  </si>
  <si>
    <t>KG1133</t>
  </si>
  <si>
    <t>KG1135</t>
  </si>
  <si>
    <t>KG1120</t>
  </si>
  <si>
    <t>KG1191</t>
  </si>
  <si>
    <t>KG1139</t>
  </si>
  <si>
    <t>KG1159</t>
  </si>
  <si>
    <t>KG1130</t>
  </si>
  <si>
    <t>KG1113</t>
  </si>
  <si>
    <t>KG1134</t>
  </si>
  <si>
    <t>KG1168</t>
  </si>
  <si>
    <t>KG1143</t>
  </si>
  <si>
    <t>KG1112</t>
  </si>
  <si>
    <t>KG1175</t>
  </si>
  <si>
    <t>KG1150</t>
  </si>
  <si>
    <t>KG1192</t>
  </si>
  <si>
    <t>KG1187</t>
  </si>
  <si>
    <t>KG1105</t>
  </si>
  <si>
    <t>KG1198</t>
  </si>
  <si>
    <t>KG1181</t>
  </si>
  <si>
    <t>KG1180</t>
  </si>
  <si>
    <t>KG1172</t>
  </si>
  <si>
    <t>KG1156</t>
  </si>
  <si>
    <t>KG1122</t>
  </si>
  <si>
    <t>KG1155</t>
  </si>
  <si>
    <t>KG1128</t>
  </si>
  <si>
    <t>KG1110</t>
  </si>
  <si>
    <t>inf</t>
  </si>
  <si>
    <t>DD51</t>
  </si>
  <si>
    <t>*New User:10%, Cap 50EGP *Return User: 5%, Cap  25 EGP</t>
  </si>
  <si>
    <t>DD52</t>
  </si>
  <si>
    <t>DD53</t>
  </si>
  <si>
    <t>DD54</t>
  </si>
  <si>
    <t>DD56</t>
  </si>
  <si>
    <t>DD57</t>
  </si>
  <si>
    <t>DD61</t>
  </si>
  <si>
    <t>DD62</t>
  </si>
  <si>
    <t>DD64</t>
  </si>
  <si>
    <t>DD65</t>
  </si>
  <si>
    <t>DD67</t>
  </si>
  <si>
    <t>DD69</t>
  </si>
  <si>
    <t>DD71</t>
  </si>
  <si>
    <t>DD72</t>
  </si>
  <si>
    <t>DD73</t>
  </si>
  <si>
    <t>DD74</t>
  </si>
  <si>
    <t>DD75</t>
  </si>
  <si>
    <t>DD76</t>
  </si>
  <si>
    <t>DD78</t>
  </si>
  <si>
    <t>DD81</t>
  </si>
  <si>
    <t>DD83</t>
  </si>
  <si>
    <t>DD84</t>
  </si>
  <si>
    <t>DD87</t>
  </si>
  <si>
    <t>ke7</t>
  </si>
  <si>
    <t>eb7</t>
  </si>
  <si>
    <t>bw4</t>
  </si>
  <si>
    <t>yq8</t>
  </si>
  <si>
    <t>Ex2</t>
  </si>
  <si>
    <t>fp2</t>
  </si>
  <si>
    <t>nq8</t>
  </si>
  <si>
    <t>js6</t>
  </si>
  <si>
    <t>dx9</t>
  </si>
  <si>
    <t>qe8</t>
  </si>
  <si>
    <t>jc3</t>
  </si>
  <si>
    <t>ap8</t>
  </si>
  <si>
    <t>Fe3</t>
  </si>
  <si>
    <t>J2r</t>
  </si>
  <si>
    <t>D3z</t>
  </si>
  <si>
    <t>D4z</t>
  </si>
  <si>
    <t>D5z</t>
  </si>
  <si>
    <t>Dgz</t>
  </si>
  <si>
    <t>P4k</t>
  </si>
  <si>
    <t>Xy3</t>
  </si>
  <si>
    <t>Xy7</t>
  </si>
  <si>
    <t>Xy8</t>
  </si>
  <si>
    <t>Vc3</t>
  </si>
  <si>
    <t>Fs5</t>
  </si>
  <si>
    <t>N3t</t>
  </si>
  <si>
    <t>Kjt</t>
  </si>
  <si>
    <t>Bm2</t>
  </si>
  <si>
    <t>Bm5</t>
  </si>
  <si>
    <t>Bm8</t>
  </si>
  <si>
    <t>LARVA</t>
  </si>
  <si>
    <t>LA49</t>
  </si>
  <si>
    <t>DCCV</t>
  </si>
  <si>
    <t>MNJU</t>
  </si>
  <si>
    <t>ZFZ6</t>
  </si>
  <si>
    <t>SA19</t>
  </si>
  <si>
    <t>DKKB2</t>
  </si>
  <si>
    <t>DHH2</t>
  </si>
  <si>
    <t>AQ114</t>
  </si>
  <si>
    <t>ZAA2</t>
  </si>
  <si>
    <t>NAA93</t>
  </si>
  <si>
    <t>NJA25</t>
  </si>
  <si>
    <t>RTB8</t>
  </si>
  <si>
    <t>ZS4</t>
  </si>
  <si>
    <t>BNN5</t>
  </si>
  <si>
    <t>YY99</t>
  </si>
  <si>
    <t>BR65</t>
  </si>
  <si>
    <t>JA8</t>
  </si>
  <si>
    <t>CAF88</t>
  </si>
  <si>
    <t>CAF99</t>
  </si>
  <si>
    <t>DZG3</t>
  </si>
  <si>
    <t>DG2X</t>
  </si>
  <si>
    <t>DG5M</t>
  </si>
  <si>
    <t>DZG4</t>
  </si>
  <si>
    <t>DG1Y</t>
  </si>
  <si>
    <t>DZG7</t>
  </si>
  <si>
    <t>DG6P</t>
  </si>
  <si>
    <t>DZG5V</t>
  </si>
  <si>
    <t>DG4L</t>
  </si>
  <si>
    <t>DG3X</t>
  </si>
  <si>
    <t>DZG8</t>
  </si>
  <si>
    <t>DG9S</t>
  </si>
  <si>
    <t>DG6K</t>
  </si>
  <si>
    <t>DG2T</t>
  </si>
  <si>
    <t>DZG8N</t>
  </si>
  <si>
    <t>DG1P</t>
  </si>
  <si>
    <t>DG6V</t>
  </si>
  <si>
    <t>DZG2K</t>
  </si>
  <si>
    <t>DG3L</t>
  </si>
  <si>
    <t>DG5C</t>
  </si>
  <si>
    <t>DG8R</t>
  </si>
  <si>
    <t>DG7M</t>
  </si>
  <si>
    <t>DG4J</t>
  </si>
  <si>
    <t>DG3N</t>
  </si>
  <si>
    <t>DG1C</t>
  </si>
  <si>
    <t>DG8S</t>
  </si>
  <si>
    <t>DG2B</t>
  </si>
  <si>
    <t>DG9W</t>
  </si>
  <si>
    <t>DG7X</t>
  </si>
  <si>
    <t>DG6C</t>
  </si>
  <si>
    <t>DG4R</t>
  </si>
  <si>
    <t>DG3F</t>
  </si>
  <si>
    <t>DZG1V</t>
  </si>
  <si>
    <t>DG9L</t>
  </si>
  <si>
    <t>DZG4B</t>
  </si>
  <si>
    <t>DG7J</t>
  </si>
  <si>
    <t>DG5T</t>
  </si>
  <si>
    <t>DG2Y</t>
  </si>
  <si>
    <t>DG3Q</t>
  </si>
  <si>
    <t>DG6X</t>
  </si>
  <si>
    <t>DG9P</t>
  </si>
  <si>
    <t>DZG5Y</t>
  </si>
  <si>
    <t>DG1F</t>
  </si>
  <si>
    <t>DG9X</t>
  </si>
  <si>
    <t>DG4S</t>
  </si>
  <si>
    <t>DZG3W</t>
  </si>
  <si>
    <t>DG7Q</t>
  </si>
  <si>
    <t>DZG6T</t>
  </si>
  <si>
    <t>DG5X</t>
  </si>
  <si>
    <t>DD89</t>
  </si>
  <si>
    <t>C2h</t>
  </si>
  <si>
    <t>B6y</t>
  </si>
  <si>
    <t>J6t</t>
  </si>
  <si>
    <t>gf5</t>
  </si>
  <si>
    <t>wc7</t>
  </si>
  <si>
    <t>qa9</t>
  </si>
  <si>
    <t>zv8</t>
  </si>
  <si>
    <t>de3</t>
  </si>
  <si>
    <t>pr3</t>
  </si>
  <si>
    <t>cu2</t>
  </si>
  <si>
    <t>TREND-TB</t>
  </si>
  <si>
    <t>TREND-BB</t>
  </si>
  <si>
    <t>TREND-2I</t>
  </si>
  <si>
    <t>TREND-3K</t>
  </si>
  <si>
    <t>zp4</t>
  </si>
  <si>
    <t>WD45</t>
  </si>
  <si>
    <t>ADE8</t>
  </si>
  <si>
    <t>KAA22</t>
  </si>
  <si>
    <t>QQM5</t>
  </si>
  <si>
    <t>CZM7</t>
  </si>
  <si>
    <t>VQ5</t>
  </si>
  <si>
    <t>XY56</t>
  </si>
  <si>
    <t>DD58</t>
  </si>
  <si>
    <t>DD59</t>
  </si>
  <si>
    <t>DD63</t>
  </si>
  <si>
    <t>DD68</t>
  </si>
  <si>
    <t>DD79</t>
  </si>
  <si>
    <t>DD82</t>
  </si>
  <si>
    <t>DD85</t>
  </si>
  <si>
    <t>DD86</t>
  </si>
  <si>
    <t>RF3</t>
  </si>
  <si>
    <t>RFB1a</t>
  </si>
  <si>
    <t>5% discount up to 1,000EGP off. 
Here's the link to the landing page containing the SKUs included in the promotion: Here</t>
  </si>
  <si>
    <t>RFB2b</t>
  </si>
  <si>
    <t>RFB3c</t>
  </si>
  <si>
    <t>RFB4a</t>
  </si>
  <si>
    <t>RFB5b</t>
  </si>
  <si>
    <t>RFB6c</t>
  </si>
  <si>
    <t>RFB7a</t>
  </si>
  <si>
    <t>RFB8b</t>
  </si>
  <si>
    <t>RFB9c</t>
  </si>
  <si>
    <t>RFB10a</t>
  </si>
  <si>
    <t>RFB11b</t>
  </si>
  <si>
    <t>RFB12c</t>
  </si>
  <si>
    <t>RFB13a</t>
  </si>
  <si>
    <r>
      <rPr/>
      <t xml:space="preserve">5% discount up to 1,000EGP off. 
Here's the link to the landing page containing the SKUs included in the promotion: </t>
    </r>
    <r>
      <rPr>
        <color rgb="FF1155CC"/>
        <u/>
      </rPr>
      <t xml:space="preserve">Here
</t>
    </r>
    <r>
      <rPr/>
      <t>This campaign will be running from July 23 @5pm to August 20</t>
    </r>
  </si>
  <si>
    <t>RFB14b</t>
  </si>
  <si>
    <t>RFB15c</t>
  </si>
  <si>
    <t>RFB16a</t>
  </si>
  <si>
    <t>RFB17b</t>
  </si>
  <si>
    <t>RFB18c</t>
  </si>
  <si>
    <t>RFB19a</t>
  </si>
  <si>
    <t>RFB20b</t>
  </si>
  <si>
    <t>RFB21c</t>
  </si>
  <si>
    <t>RFB22a</t>
  </si>
  <si>
    <t>RFB23b</t>
  </si>
  <si>
    <t>RFB24c</t>
  </si>
  <si>
    <t>RFB25a</t>
  </si>
  <si>
    <t>RFB26b</t>
  </si>
  <si>
    <t>RFB27c</t>
  </si>
  <si>
    <t>RFB28a</t>
  </si>
  <si>
    <t>RFB29b</t>
  </si>
  <si>
    <t>RFB30c</t>
  </si>
  <si>
    <t>HFAa71</t>
  </si>
  <si>
    <t xml:space="preserve"> flat 250 EGP discount on all products</t>
  </si>
  <si>
    <t>HFAb72</t>
  </si>
  <si>
    <t>HFAc73</t>
  </si>
  <si>
    <t>HFAa74</t>
  </si>
  <si>
    <t>HFAb75</t>
  </si>
  <si>
    <t>HFAc76</t>
  </si>
  <si>
    <t>HFAa77</t>
  </si>
  <si>
    <t>HFAb78</t>
  </si>
  <si>
    <t>HFAc79</t>
  </si>
  <si>
    <t>HFAa80</t>
  </si>
  <si>
    <t>2uf</t>
  </si>
  <si>
    <t>10% off (up to 1 AED) + FREE delivery.</t>
  </si>
  <si>
    <t>7mc</t>
  </si>
  <si>
    <t>8qz</t>
  </si>
  <si>
    <t>9le</t>
  </si>
  <si>
    <t>a5n</t>
  </si>
  <si>
    <t>aatp</t>
  </si>
  <si>
    <t>agm</t>
  </si>
  <si>
    <t>aid</t>
  </si>
  <si>
    <t>akc</t>
  </si>
  <si>
    <t>aor</t>
  </si>
  <si>
    <t>auc77</t>
  </si>
  <si>
    <t>auc80</t>
  </si>
  <si>
    <t>avg</t>
  </si>
  <si>
    <t>back</t>
  </si>
  <si>
    <t>bf116</t>
  </si>
  <si>
    <t>c1y</t>
  </si>
  <si>
    <t>cad</t>
  </si>
  <si>
    <t>dae</t>
  </si>
  <si>
    <t>dd10</t>
  </si>
  <si>
    <t>dd28</t>
  </si>
  <si>
    <t>del</t>
  </si>
  <si>
    <t>dew1</t>
  </si>
  <si>
    <t>df1</t>
  </si>
  <si>
    <t>df10</t>
  </si>
  <si>
    <t>df15</t>
  </si>
  <si>
    <t>df20</t>
  </si>
  <si>
    <t>df6</t>
  </si>
  <si>
    <t>dfl</t>
  </si>
  <si>
    <t>dgb</t>
  </si>
  <si>
    <t>dgz62</t>
  </si>
  <si>
    <t>dic</t>
  </si>
  <si>
    <t>digi</t>
  </si>
  <si>
    <t>digi1</t>
  </si>
  <si>
    <t>digi3</t>
  </si>
  <si>
    <t>dlf</t>
  </si>
  <si>
    <t>dx2</t>
  </si>
  <si>
    <t>dx5</t>
  </si>
  <si>
    <t>dxs</t>
  </si>
  <si>
    <t>eqg</t>
  </si>
  <si>
    <t>fati</t>
  </si>
  <si>
    <t>g20</t>
  </si>
  <si>
    <t>gbt</t>
  </si>
  <si>
    <t>gd2</t>
  </si>
  <si>
    <t>gep</t>
  </si>
  <si>
    <t>gft</t>
  </si>
  <si>
    <t>gnh</t>
  </si>
  <si>
    <t>ine</t>
  </si>
  <si>
    <t>iwd10</t>
  </si>
  <si>
    <t>k70</t>
  </si>
  <si>
    <t>l2a</t>
  </si>
  <si>
    <t>l8n</t>
  </si>
  <si>
    <t>lr9</t>
  </si>
  <si>
    <t>mr1</t>
  </si>
  <si>
    <t>mr2</t>
  </si>
  <si>
    <t>nd4</t>
  </si>
  <si>
    <t>npw</t>
  </si>
  <si>
    <t>nur</t>
  </si>
  <si>
    <t>olf</t>
  </si>
  <si>
    <t>pv4</t>
  </si>
  <si>
    <t>r10</t>
  </si>
  <si>
    <t>r11</t>
  </si>
  <si>
    <t>r14</t>
  </si>
  <si>
    <t>r20</t>
  </si>
  <si>
    <t>r24</t>
  </si>
  <si>
    <t>r33</t>
  </si>
  <si>
    <t>r50</t>
  </si>
  <si>
    <t>rmd</t>
  </si>
  <si>
    <t>sev</t>
  </si>
  <si>
    <t>sx5</t>
  </si>
  <si>
    <t>txy</t>
  </si>
  <si>
    <t>uiu</t>
  </si>
  <si>
    <t>wx5</t>
  </si>
  <si>
    <t>xdbs</t>
  </si>
  <si>
    <t>ypp</t>
  </si>
  <si>
    <t>zk1</t>
  </si>
  <si>
    <t>zmt</t>
  </si>
  <si>
    <t>zxk</t>
  </si>
  <si>
    <t xml:space="preserve">OTL </t>
  </si>
  <si>
    <t>arabi clicks</t>
  </si>
  <si>
    <t>CC26</t>
  </si>
  <si>
    <t>CC171</t>
  </si>
  <si>
    <t>CC266</t>
  </si>
  <si>
    <t>CC272</t>
  </si>
  <si>
    <t>CC285</t>
  </si>
  <si>
    <t>CC418</t>
  </si>
  <si>
    <t>CC490</t>
  </si>
  <si>
    <t>AB301</t>
  </si>
  <si>
    <t>AB304</t>
  </si>
  <si>
    <t>AB305</t>
  </si>
  <si>
    <t>AB306</t>
  </si>
  <si>
    <t>AB307</t>
  </si>
  <si>
    <t>AB308</t>
  </si>
  <si>
    <t>AB309</t>
  </si>
  <si>
    <t>AB312</t>
  </si>
  <si>
    <t>AB314</t>
  </si>
  <si>
    <t>AB335</t>
  </si>
  <si>
    <t>AB336</t>
  </si>
  <si>
    <t>AB341</t>
  </si>
  <si>
    <t>AB343</t>
  </si>
  <si>
    <t>AB345</t>
  </si>
  <si>
    <t>AB346</t>
  </si>
  <si>
    <t>AB347</t>
  </si>
  <si>
    <t>AB348</t>
  </si>
  <si>
    <t>AB351</t>
  </si>
  <si>
    <t>AB354</t>
  </si>
  <si>
    <t>AB356</t>
  </si>
  <si>
    <t>AB357</t>
  </si>
  <si>
    <t>AB359</t>
  </si>
  <si>
    <t>AB360</t>
  </si>
  <si>
    <t>AB361</t>
  </si>
  <si>
    <t>AB363</t>
  </si>
  <si>
    <t>AB364</t>
  </si>
  <si>
    <t>AB366</t>
  </si>
  <si>
    <t>AB369</t>
  </si>
  <si>
    <t>AB370</t>
  </si>
  <si>
    <t>AB372</t>
  </si>
  <si>
    <t>AB375</t>
  </si>
  <si>
    <t>AB376</t>
  </si>
  <si>
    <t>AB377</t>
  </si>
  <si>
    <t>AB378</t>
  </si>
  <si>
    <t>AX34</t>
  </si>
  <si>
    <t>CF1</t>
  </si>
  <si>
    <t>CF2</t>
  </si>
  <si>
    <t>AT57</t>
  </si>
  <si>
    <t>AT64</t>
  </si>
  <si>
    <t>AT78</t>
  </si>
  <si>
    <t>AT112</t>
  </si>
  <si>
    <t>AT113</t>
  </si>
  <si>
    <t>AT114</t>
  </si>
  <si>
    <t>AT156</t>
  </si>
  <si>
    <t>AT178</t>
  </si>
  <si>
    <t>AT245</t>
  </si>
  <si>
    <t>AK30</t>
  </si>
  <si>
    <t>AK59</t>
  </si>
  <si>
    <t>AK75</t>
  </si>
  <si>
    <t>AK84</t>
  </si>
  <si>
    <t>AK86</t>
  </si>
  <si>
    <t>AK94</t>
  </si>
  <si>
    <t>AK98</t>
  </si>
  <si>
    <t>AK106</t>
  </si>
  <si>
    <t>AK110</t>
  </si>
  <si>
    <t>AK112</t>
  </si>
  <si>
    <t>AK113</t>
  </si>
  <si>
    <t>AK114</t>
  </si>
  <si>
    <t>AK118</t>
  </si>
  <si>
    <t>AK119</t>
  </si>
  <si>
    <t>AK121</t>
  </si>
  <si>
    <t>AK123</t>
  </si>
  <si>
    <t>AK125</t>
  </si>
  <si>
    <t>AK126</t>
  </si>
  <si>
    <t>AK127</t>
  </si>
  <si>
    <t>AK129</t>
  </si>
  <si>
    <t>AK130</t>
  </si>
  <si>
    <t>AK131</t>
  </si>
  <si>
    <t>AK132</t>
  </si>
  <si>
    <t>AK134</t>
  </si>
  <si>
    <t>AK135</t>
  </si>
  <si>
    <t>AK137</t>
  </si>
  <si>
    <t>AK139</t>
  </si>
  <si>
    <t>AK142</t>
  </si>
  <si>
    <t>AK146</t>
  </si>
  <si>
    <t>AK148</t>
  </si>
  <si>
    <t>AK149</t>
  </si>
  <si>
    <t>AK150</t>
  </si>
  <si>
    <t>AK152</t>
  </si>
  <si>
    <t>AK153</t>
  </si>
  <si>
    <t>AK154</t>
  </si>
  <si>
    <t>AK156</t>
  </si>
  <si>
    <t>AK157</t>
  </si>
  <si>
    <t>AK158</t>
  </si>
  <si>
    <t>AK159</t>
  </si>
  <si>
    <t>AK160</t>
  </si>
  <si>
    <t>AK161</t>
  </si>
  <si>
    <t>AK162</t>
  </si>
  <si>
    <t>AK173</t>
  </si>
  <si>
    <t>AK187</t>
  </si>
  <si>
    <t>AK188</t>
  </si>
  <si>
    <t>AK191</t>
  </si>
  <si>
    <t>AK192</t>
  </si>
  <si>
    <t>AK193</t>
  </si>
  <si>
    <t>AK194</t>
  </si>
  <si>
    <t>AK197</t>
  </si>
  <si>
    <t>AK198</t>
  </si>
  <si>
    <t>AK199</t>
  </si>
  <si>
    <t>AK201</t>
  </si>
  <si>
    <t>AK202</t>
  </si>
  <si>
    <t>AK203</t>
  </si>
  <si>
    <t>AK204</t>
  </si>
  <si>
    <t>AK205</t>
  </si>
  <si>
    <t>AK206</t>
  </si>
  <si>
    <t>AK209</t>
  </si>
  <si>
    <t>AK211</t>
  </si>
  <si>
    <t>AK212</t>
  </si>
  <si>
    <t>AK213</t>
  </si>
  <si>
    <t>AK214</t>
  </si>
  <si>
    <t>AK215</t>
  </si>
  <si>
    <t>AK217</t>
  </si>
  <si>
    <t>AK218</t>
  </si>
  <si>
    <t>AK219</t>
  </si>
  <si>
    <t>AK220</t>
  </si>
  <si>
    <t>AK221</t>
  </si>
  <si>
    <t>AK223</t>
  </si>
  <si>
    <t>AK224</t>
  </si>
  <si>
    <t>AK227</t>
  </si>
  <si>
    <t>AK229</t>
  </si>
  <si>
    <t>AK231</t>
  </si>
  <si>
    <t>AK232</t>
  </si>
  <si>
    <t>AK234</t>
  </si>
  <si>
    <t>AK236</t>
  </si>
  <si>
    <t>AK237</t>
  </si>
  <si>
    <t>AK238</t>
  </si>
  <si>
    <t>AK239</t>
  </si>
  <si>
    <t>AK240</t>
  </si>
  <si>
    <t>AK241</t>
  </si>
  <si>
    <t>AK242</t>
  </si>
  <si>
    <t>AK243</t>
  </si>
  <si>
    <t>AK244</t>
  </si>
  <si>
    <t>AK245</t>
  </si>
  <si>
    <t>AK246</t>
  </si>
  <si>
    <t>AK249</t>
  </si>
  <si>
    <t>AK251</t>
  </si>
  <si>
    <t>AK252</t>
  </si>
  <si>
    <t>AK253</t>
  </si>
  <si>
    <t>AK254</t>
  </si>
  <si>
    <t>AK255</t>
  </si>
  <si>
    <t>AK256</t>
  </si>
  <si>
    <t>AK257</t>
  </si>
  <si>
    <t>AK258</t>
  </si>
  <si>
    <t>AK259</t>
  </si>
  <si>
    <t>AK261</t>
  </si>
  <si>
    <t>AK262</t>
  </si>
  <si>
    <t>AK263</t>
  </si>
  <si>
    <t>AK264</t>
  </si>
  <si>
    <t>AK265</t>
  </si>
  <si>
    <t>AK266</t>
  </si>
  <si>
    <t>AK267</t>
  </si>
  <si>
    <t>AK269</t>
  </si>
  <si>
    <t>AG51</t>
  </si>
  <si>
    <t>AG61</t>
  </si>
  <si>
    <t>AN38</t>
  </si>
  <si>
    <t>AN42</t>
  </si>
  <si>
    <t>AN57</t>
  </si>
  <si>
    <t>AN64</t>
  </si>
  <si>
    <t>AN72</t>
  </si>
  <si>
    <t>AN74</t>
  </si>
  <si>
    <t>AN77</t>
  </si>
  <si>
    <t>AN81</t>
  </si>
  <si>
    <t>AN89</t>
  </si>
  <si>
    <t>AN93</t>
  </si>
  <si>
    <t>AN99</t>
  </si>
  <si>
    <t>FA991</t>
  </si>
  <si>
    <t>SP601</t>
  </si>
  <si>
    <t>SP602</t>
  </si>
  <si>
    <t>SP603</t>
  </si>
  <si>
    <t>SP604</t>
  </si>
  <si>
    <t>SP605</t>
  </si>
  <si>
    <t>SP606</t>
  </si>
  <si>
    <t>SP607</t>
  </si>
  <si>
    <t>SP608</t>
  </si>
  <si>
    <t>SP609</t>
  </si>
  <si>
    <t>SP611</t>
  </si>
  <si>
    <t>SP612</t>
  </si>
  <si>
    <t>SP615</t>
  </si>
  <si>
    <t>SP616</t>
  </si>
  <si>
    <t>SP617</t>
  </si>
  <si>
    <t>SP618</t>
  </si>
  <si>
    <t>SP619</t>
  </si>
  <si>
    <t>SP620</t>
  </si>
  <si>
    <t>SP621</t>
  </si>
  <si>
    <t>SP622</t>
  </si>
  <si>
    <t>SP623</t>
  </si>
  <si>
    <t>SP624</t>
  </si>
  <si>
    <t>SP625</t>
  </si>
  <si>
    <t>SP626</t>
  </si>
  <si>
    <t>SP627</t>
  </si>
  <si>
    <t>SP628</t>
  </si>
  <si>
    <t>SP629</t>
  </si>
  <si>
    <t>SP630</t>
  </si>
  <si>
    <t>SP631</t>
  </si>
  <si>
    <t>SP632</t>
  </si>
  <si>
    <t>SP633</t>
  </si>
  <si>
    <t>SP634</t>
  </si>
  <si>
    <t>SP635</t>
  </si>
  <si>
    <t>SP636</t>
  </si>
  <si>
    <t>SP637</t>
  </si>
  <si>
    <t>SP638</t>
  </si>
  <si>
    <t>SP639</t>
  </si>
  <si>
    <t>SP640</t>
  </si>
  <si>
    <t>SP641</t>
  </si>
  <si>
    <t>SP642</t>
  </si>
  <si>
    <t>SP643</t>
  </si>
  <si>
    <t>SP644</t>
  </si>
  <si>
    <t>SP645</t>
  </si>
  <si>
    <t>SP646</t>
  </si>
  <si>
    <t>SP647</t>
  </si>
  <si>
    <t>SP648</t>
  </si>
  <si>
    <t>SP649</t>
  </si>
  <si>
    <t>SP650</t>
  </si>
  <si>
    <t>SP651</t>
  </si>
  <si>
    <t>SP652</t>
  </si>
  <si>
    <t>SP653</t>
  </si>
  <si>
    <t>SP654</t>
  </si>
  <si>
    <t>SP655</t>
  </si>
  <si>
    <t>SP656</t>
  </si>
  <si>
    <t>SP657</t>
  </si>
  <si>
    <t>SP658</t>
  </si>
  <si>
    <t>SP659</t>
  </si>
  <si>
    <t>SP660</t>
  </si>
  <si>
    <t>SP661</t>
  </si>
  <si>
    <t>SP662</t>
  </si>
  <si>
    <t>SP663</t>
  </si>
  <si>
    <t>SP665</t>
  </si>
  <si>
    <t>SP666</t>
  </si>
  <si>
    <t>SP667</t>
  </si>
  <si>
    <t>SP668</t>
  </si>
  <si>
    <t>SP669</t>
  </si>
  <si>
    <t>SP670</t>
  </si>
  <si>
    <t>SP671</t>
  </si>
  <si>
    <t>SP672</t>
  </si>
  <si>
    <t>SP673</t>
  </si>
  <si>
    <t>SP674</t>
  </si>
  <si>
    <t>SP675</t>
  </si>
  <si>
    <t>SP676</t>
  </si>
  <si>
    <t>SP677</t>
  </si>
  <si>
    <t>SP678</t>
  </si>
  <si>
    <t>SP679</t>
  </si>
  <si>
    <t>SP680</t>
  </si>
  <si>
    <t>SP681</t>
  </si>
  <si>
    <t>SP682</t>
  </si>
  <si>
    <t>SP683</t>
  </si>
  <si>
    <t>SP684</t>
  </si>
  <si>
    <t>SP685</t>
  </si>
  <si>
    <t>SP686</t>
  </si>
  <si>
    <t>SP687</t>
  </si>
  <si>
    <t>SP688</t>
  </si>
  <si>
    <t>SP689</t>
  </si>
  <si>
    <t>SP690</t>
  </si>
  <si>
    <t>SP691</t>
  </si>
  <si>
    <t>SP692</t>
  </si>
  <si>
    <t>SP693</t>
  </si>
  <si>
    <t>SP694</t>
  </si>
  <si>
    <t>SP695</t>
  </si>
  <si>
    <t>SP696</t>
  </si>
  <si>
    <t>SP697</t>
  </si>
  <si>
    <t>SP698</t>
  </si>
  <si>
    <t>SP699</t>
  </si>
  <si>
    <t>SP703</t>
  </si>
  <si>
    <t>SP704</t>
  </si>
  <si>
    <t>SP705</t>
  </si>
  <si>
    <t>SP706</t>
  </si>
  <si>
    <t>SP707</t>
  </si>
  <si>
    <t>SP708</t>
  </si>
  <si>
    <t>SP709</t>
  </si>
  <si>
    <t>SP710</t>
  </si>
  <si>
    <t>SP711</t>
  </si>
  <si>
    <t>SP712</t>
  </si>
  <si>
    <t>SP713</t>
  </si>
  <si>
    <t>SP714</t>
  </si>
  <si>
    <t>SP715</t>
  </si>
  <si>
    <t>SP716</t>
  </si>
  <si>
    <t>SP717</t>
  </si>
  <si>
    <t>SP718</t>
  </si>
  <si>
    <t>SP719</t>
  </si>
  <si>
    <t>SP720</t>
  </si>
  <si>
    <t>SP721</t>
  </si>
  <si>
    <t>SP722</t>
  </si>
  <si>
    <t>SP723</t>
  </si>
  <si>
    <t>SP724</t>
  </si>
  <si>
    <t>SP725</t>
  </si>
  <si>
    <t>SP726</t>
  </si>
  <si>
    <t>SP727</t>
  </si>
  <si>
    <t>SP728</t>
  </si>
  <si>
    <t>SP729</t>
  </si>
  <si>
    <t>SP730</t>
  </si>
  <si>
    <t>SP731</t>
  </si>
  <si>
    <t>SP732</t>
  </si>
  <si>
    <t>SP733</t>
  </si>
  <si>
    <t>SP734</t>
  </si>
  <si>
    <t>SP735</t>
  </si>
  <si>
    <t>SP736</t>
  </si>
  <si>
    <t>SP737</t>
  </si>
  <si>
    <t>SP738</t>
  </si>
  <si>
    <t>SP739</t>
  </si>
  <si>
    <t>SP740</t>
  </si>
  <si>
    <t>SP741</t>
  </si>
  <si>
    <t>SP742</t>
  </si>
  <si>
    <t>SP743</t>
  </si>
  <si>
    <t>SP744</t>
  </si>
  <si>
    <t>SP745</t>
  </si>
  <si>
    <t>SP746</t>
  </si>
  <si>
    <t>SP747</t>
  </si>
  <si>
    <t>SP748</t>
  </si>
  <si>
    <t>SP749</t>
  </si>
  <si>
    <t>SP750</t>
  </si>
  <si>
    <t>SP751</t>
  </si>
  <si>
    <t>SP752</t>
  </si>
  <si>
    <t>SP753</t>
  </si>
  <si>
    <t>SP754</t>
  </si>
  <si>
    <t>SP755</t>
  </si>
  <si>
    <t>SP756</t>
  </si>
  <si>
    <t>SP757</t>
  </si>
  <si>
    <t>SP758</t>
  </si>
  <si>
    <t>SP759</t>
  </si>
  <si>
    <t>SP760</t>
  </si>
  <si>
    <t>SP761</t>
  </si>
  <si>
    <t>SP762</t>
  </si>
  <si>
    <t>SP763</t>
  </si>
  <si>
    <t>SP764</t>
  </si>
  <si>
    <t>SP765</t>
  </si>
  <si>
    <t>SP766</t>
  </si>
  <si>
    <t>SP767</t>
  </si>
  <si>
    <t>SP768</t>
  </si>
  <si>
    <t>SP769</t>
  </si>
  <si>
    <t>SP770</t>
  </si>
  <si>
    <t>SP771</t>
  </si>
  <si>
    <t>SP772</t>
  </si>
  <si>
    <t>SP773</t>
  </si>
  <si>
    <t>SP774</t>
  </si>
  <si>
    <t>SP775</t>
  </si>
  <si>
    <t>SP776</t>
  </si>
  <si>
    <t>SP777</t>
  </si>
  <si>
    <t>SP778</t>
  </si>
  <si>
    <t>SP779</t>
  </si>
  <si>
    <t>SP780</t>
  </si>
  <si>
    <t>SP781</t>
  </si>
  <si>
    <t>SP782</t>
  </si>
  <si>
    <t>SP783</t>
  </si>
  <si>
    <t>SP784</t>
  </si>
  <si>
    <t>SP785</t>
  </si>
  <si>
    <t>SP786</t>
  </si>
  <si>
    <t>SP787</t>
  </si>
  <si>
    <t>SP788</t>
  </si>
  <si>
    <t>SP789</t>
  </si>
  <si>
    <t>SP790</t>
  </si>
  <si>
    <t>SP791</t>
  </si>
  <si>
    <t>SP792</t>
  </si>
  <si>
    <t>SP793</t>
  </si>
  <si>
    <t>SP794</t>
  </si>
  <si>
    <t>SP795</t>
  </si>
  <si>
    <t>SP796</t>
  </si>
  <si>
    <t>SP797</t>
  </si>
  <si>
    <t>SP798</t>
  </si>
  <si>
    <t>SP799</t>
  </si>
  <si>
    <t>SP800</t>
  </si>
  <si>
    <t>SP801</t>
  </si>
  <si>
    <t>SP802</t>
  </si>
  <si>
    <t>SP803</t>
  </si>
  <si>
    <t>SP804</t>
  </si>
  <si>
    <t>SP805</t>
  </si>
  <si>
    <t>SP806</t>
  </si>
  <si>
    <t>SP807</t>
  </si>
  <si>
    <t>SP808</t>
  </si>
  <si>
    <t>SP809</t>
  </si>
  <si>
    <t>SP810</t>
  </si>
  <si>
    <t>SP811</t>
  </si>
  <si>
    <t>SP812</t>
  </si>
  <si>
    <t>SP813</t>
  </si>
  <si>
    <t>SP814</t>
  </si>
  <si>
    <t>SP815</t>
  </si>
  <si>
    <t>SP816</t>
  </si>
  <si>
    <t>SP817</t>
  </si>
  <si>
    <t>SP818</t>
  </si>
  <si>
    <t>SP819</t>
  </si>
  <si>
    <t>SP820</t>
  </si>
  <si>
    <t>SP821</t>
  </si>
  <si>
    <t>SP822</t>
  </si>
  <si>
    <t>SP823</t>
  </si>
  <si>
    <t>SP824</t>
  </si>
  <si>
    <t>SP825</t>
  </si>
  <si>
    <t>SP826</t>
  </si>
  <si>
    <t>SP827</t>
  </si>
  <si>
    <t>SP828</t>
  </si>
  <si>
    <t>SP829</t>
  </si>
  <si>
    <t>SP830</t>
  </si>
  <si>
    <t>SP831</t>
  </si>
  <si>
    <t>SP832</t>
  </si>
  <si>
    <t>SP833</t>
  </si>
  <si>
    <t>SP834</t>
  </si>
  <si>
    <t>SP835</t>
  </si>
  <si>
    <t>SP836</t>
  </si>
  <si>
    <t>SP837</t>
  </si>
  <si>
    <t>SP838</t>
  </si>
  <si>
    <t>SP839</t>
  </si>
  <si>
    <t>SP840</t>
  </si>
  <si>
    <t>SP841</t>
  </si>
  <si>
    <t>SP842</t>
  </si>
  <si>
    <t>SP843</t>
  </si>
  <si>
    <t>SP844</t>
  </si>
  <si>
    <t>SP845</t>
  </si>
  <si>
    <t>SP846</t>
  </si>
  <si>
    <t>SP847</t>
  </si>
  <si>
    <t>SP848</t>
  </si>
  <si>
    <t>SP849</t>
  </si>
  <si>
    <t>SP850</t>
  </si>
  <si>
    <t>sp150</t>
  </si>
  <si>
    <t>sp151</t>
  </si>
  <si>
    <t>sp152</t>
  </si>
  <si>
    <t>sp153</t>
  </si>
  <si>
    <t>sp154</t>
  </si>
  <si>
    <t>sp155</t>
  </si>
  <si>
    <t>sp156</t>
  </si>
  <si>
    <t>sp157</t>
  </si>
  <si>
    <t>sp158</t>
  </si>
  <si>
    <t>sp159</t>
  </si>
  <si>
    <t>sp160</t>
  </si>
  <si>
    <t>sp161</t>
  </si>
  <si>
    <t>sp162</t>
  </si>
  <si>
    <t>sp163</t>
  </si>
  <si>
    <t>sp164</t>
  </si>
  <si>
    <t>sp165</t>
  </si>
  <si>
    <t>sp166</t>
  </si>
  <si>
    <t>sp167</t>
  </si>
  <si>
    <t>sp168</t>
  </si>
  <si>
    <t>sp169</t>
  </si>
  <si>
    <t>sp170</t>
  </si>
  <si>
    <t>sp171</t>
  </si>
  <si>
    <t>sp172</t>
  </si>
  <si>
    <t>sp173</t>
  </si>
  <si>
    <t>sp174</t>
  </si>
  <si>
    <t>sp175</t>
  </si>
  <si>
    <t>sp176</t>
  </si>
  <si>
    <t>sp177</t>
  </si>
  <si>
    <t>sp178</t>
  </si>
  <si>
    <t>sp179</t>
  </si>
  <si>
    <t>sp180</t>
  </si>
  <si>
    <t>sp181</t>
  </si>
  <si>
    <t>sp182</t>
  </si>
  <si>
    <t>sp183</t>
  </si>
  <si>
    <t>sp184</t>
  </si>
  <si>
    <t>sp185</t>
  </si>
  <si>
    <t>sp186</t>
  </si>
  <si>
    <t>sp187</t>
  </si>
  <si>
    <t>sp188</t>
  </si>
  <si>
    <t>sp189</t>
  </si>
  <si>
    <t>sp190</t>
  </si>
  <si>
    <t>sp191</t>
  </si>
  <si>
    <t>sp192</t>
  </si>
  <si>
    <t>sp193</t>
  </si>
  <si>
    <t>sp194</t>
  </si>
  <si>
    <t>sp195</t>
  </si>
  <si>
    <t>sp196</t>
  </si>
  <si>
    <t>sp197</t>
  </si>
  <si>
    <t>sp198</t>
  </si>
  <si>
    <t>sp199</t>
  </si>
  <si>
    <t>sp200</t>
  </si>
  <si>
    <t>AG452</t>
  </si>
  <si>
    <t>AG518</t>
  </si>
  <si>
    <t>AG519</t>
  </si>
  <si>
    <t>AG526</t>
  </si>
  <si>
    <t>AG529</t>
  </si>
  <si>
    <t>AG530</t>
  </si>
  <si>
    <t>AG538</t>
  </si>
  <si>
    <t>AG562</t>
  </si>
  <si>
    <t>AG605</t>
  </si>
  <si>
    <t>AG606</t>
  </si>
  <si>
    <t>AG610</t>
  </si>
  <si>
    <t>AG615</t>
  </si>
  <si>
    <t>AG620</t>
  </si>
  <si>
    <t>AG625</t>
  </si>
  <si>
    <t>AG626</t>
  </si>
  <si>
    <t>AG634</t>
  </si>
  <si>
    <t>AG635</t>
  </si>
  <si>
    <t>AG657</t>
  </si>
  <si>
    <t>AG674</t>
  </si>
  <si>
    <t>AG679</t>
  </si>
  <si>
    <t>AG696</t>
  </si>
  <si>
    <t>AG730</t>
  </si>
  <si>
    <t>AG736</t>
  </si>
  <si>
    <t>AG753</t>
  </si>
  <si>
    <t>AG757</t>
  </si>
  <si>
    <t>AG759</t>
  </si>
  <si>
    <t>AG782</t>
  </si>
  <si>
    <t>AG793</t>
  </si>
  <si>
    <t>AG804</t>
  </si>
  <si>
    <t>AG807</t>
  </si>
  <si>
    <t>AG814</t>
  </si>
  <si>
    <t>AG815</t>
  </si>
  <si>
    <t>AG823</t>
  </si>
  <si>
    <t>AG826</t>
  </si>
  <si>
    <t>AG842</t>
  </si>
  <si>
    <t>AG873</t>
  </si>
  <si>
    <t>AG875</t>
  </si>
  <si>
    <t>AG876</t>
  </si>
  <si>
    <t>AG879</t>
  </si>
  <si>
    <t>AG881</t>
  </si>
  <si>
    <t>AG882</t>
  </si>
  <si>
    <t>AG887</t>
  </si>
  <si>
    <t>AG889</t>
  </si>
  <si>
    <t>AG902</t>
  </si>
  <si>
    <t>AN323</t>
  </si>
  <si>
    <t>AN333</t>
  </si>
  <si>
    <t>AN368</t>
  </si>
  <si>
    <t>AN382</t>
  </si>
  <si>
    <t>AN445</t>
  </si>
  <si>
    <t>AN480</t>
  </si>
  <si>
    <t>AN492</t>
  </si>
  <si>
    <t>FA115</t>
  </si>
  <si>
    <t>FA132</t>
  </si>
  <si>
    <t>FA134</t>
  </si>
  <si>
    <t>FA135</t>
  </si>
  <si>
    <t>FA139</t>
  </si>
  <si>
    <t>FA149</t>
  </si>
  <si>
    <t>FA174</t>
  </si>
  <si>
    <t>FA381</t>
  </si>
  <si>
    <t>FA481</t>
  </si>
  <si>
    <t>FA508</t>
  </si>
  <si>
    <t>FA517</t>
  </si>
  <si>
    <t>FA536</t>
  </si>
  <si>
    <t>FA584</t>
  </si>
  <si>
    <t>FA681</t>
  </si>
  <si>
    <t>FA735</t>
  </si>
  <si>
    <t>FA822</t>
  </si>
  <si>
    <t>FA828</t>
  </si>
  <si>
    <t>CMX</t>
  </si>
  <si>
    <t>pro499</t>
  </si>
  <si>
    <t>top258</t>
  </si>
  <si>
    <t>top264</t>
  </si>
  <si>
    <t>top265</t>
  </si>
  <si>
    <t>top266</t>
  </si>
  <si>
    <t>top268</t>
  </si>
  <si>
    <t>top269</t>
  </si>
  <si>
    <t>top270</t>
  </si>
  <si>
    <t>top271</t>
  </si>
  <si>
    <t>top272</t>
  </si>
  <si>
    <t>top273</t>
  </si>
  <si>
    <t>top274</t>
  </si>
  <si>
    <t>top275</t>
  </si>
  <si>
    <t>top276</t>
  </si>
  <si>
    <t>top279</t>
  </si>
  <si>
    <t>top280</t>
  </si>
  <si>
    <t>top281</t>
  </si>
  <si>
    <t>top282</t>
  </si>
  <si>
    <t>top291</t>
  </si>
  <si>
    <t>top293</t>
  </si>
  <si>
    <t>top295</t>
  </si>
  <si>
    <t>top296</t>
  </si>
  <si>
    <t>top297</t>
  </si>
  <si>
    <t>top304</t>
  </si>
  <si>
    <t>top308</t>
  </si>
  <si>
    <t>top309</t>
  </si>
  <si>
    <t>top312</t>
  </si>
  <si>
    <t>top313</t>
  </si>
  <si>
    <t>top314</t>
  </si>
  <si>
    <t>top316</t>
  </si>
  <si>
    <t>top317</t>
  </si>
  <si>
    <t>top320</t>
  </si>
  <si>
    <t>top321</t>
  </si>
  <si>
    <t>top324</t>
  </si>
  <si>
    <t>top327</t>
  </si>
  <si>
    <t>top328</t>
  </si>
  <si>
    <t>top332</t>
  </si>
  <si>
    <t>top334</t>
  </si>
  <si>
    <t>top338</t>
  </si>
  <si>
    <t>top339</t>
  </si>
  <si>
    <t>top345</t>
  </si>
  <si>
    <t>top346</t>
  </si>
  <si>
    <t>top347</t>
  </si>
  <si>
    <t>top351</t>
  </si>
  <si>
    <t>top352</t>
  </si>
  <si>
    <t>top362</t>
  </si>
  <si>
    <t>top472</t>
  </si>
  <si>
    <t>AN501</t>
  </si>
  <si>
    <t>AT65</t>
  </si>
  <si>
    <t>DX102</t>
  </si>
  <si>
    <t>AZ15</t>
  </si>
  <si>
    <t>AZ16</t>
  </si>
  <si>
    <t>AZ18</t>
  </si>
  <si>
    <t>AZ25</t>
  </si>
  <si>
    <t>AZ26</t>
  </si>
  <si>
    <t>AZ32</t>
  </si>
  <si>
    <t>AZ36</t>
  </si>
  <si>
    <t>AZ38</t>
  </si>
  <si>
    <t>AZ46</t>
  </si>
  <si>
    <t>AZ47</t>
  </si>
  <si>
    <t>AZ52</t>
  </si>
  <si>
    <t>AZ54</t>
  </si>
  <si>
    <t>AZ57</t>
  </si>
  <si>
    <t>AZ58</t>
  </si>
  <si>
    <t>AZ59</t>
  </si>
  <si>
    <t>AZ63</t>
  </si>
  <si>
    <t>AZ64</t>
  </si>
  <si>
    <t>AZ77</t>
  </si>
  <si>
    <t>AZ81</t>
  </si>
  <si>
    <t>AZ83</t>
  </si>
  <si>
    <t>AZ86</t>
  </si>
  <si>
    <t>AZ87</t>
  </si>
  <si>
    <t>AZ88</t>
  </si>
  <si>
    <t>AZ89</t>
  </si>
  <si>
    <t>AZ92</t>
  </si>
  <si>
    <t>AZ94</t>
  </si>
  <si>
    <t>AZ96</t>
  </si>
  <si>
    <t>AZ97</t>
  </si>
  <si>
    <t>AZ98</t>
  </si>
  <si>
    <t>AZ99</t>
  </si>
  <si>
    <t>AZ102</t>
  </si>
  <si>
    <t>AZ105</t>
  </si>
  <si>
    <t>AZ112</t>
  </si>
  <si>
    <t>AZ113</t>
  </si>
  <si>
    <t>AZ115</t>
  </si>
  <si>
    <t>AZ116</t>
  </si>
  <si>
    <t>AZ118</t>
  </si>
  <si>
    <t>AZ121</t>
  </si>
  <si>
    <t>AZ123</t>
  </si>
  <si>
    <t>AZ124</t>
  </si>
  <si>
    <t>AZ125</t>
  </si>
  <si>
    <t>AZ131</t>
  </si>
  <si>
    <t>AZ132</t>
  </si>
  <si>
    <t>AZ133</t>
  </si>
  <si>
    <t>AZ139</t>
  </si>
  <si>
    <t>AZ145</t>
  </si>
  <si>
    <t>AZ147</t>
  </si>
  <si>
    <t>AZ150</t>
  </si>
  <si>
    <t>AZ152</t>
  </si>
  <si>
    <t>AZ167</t>
  </si>
  <si>
    <t>AZ170</t>
  </si>
  <si>
    <t>AZ178</t>
  </si>
  <si>
    <t>AZ188</t>
  </si>
  <si>
    <t>AZ199</t>
  </si>
  <si>
    <t>AZ202</t>
  </si>
  <si>
    <t>AZ208</t>
  </si>
  <si>
    <t>AZ213</t>
  </si>
  <si>
    <t>AZ215</t>
  </si>
  <si>
    <t>AZ219</t>
  </si>
  <si>
    <t>AZ225</t>
  </si>
  <si>
    <t>AZ231</t>
  </si>
  <si>
    <t>AZ235</t>
  </si>
  <si>
    <t>AZ269</t>
  </si>
  <si>
    <t>AZ275</t>
  </si>
  <si>
    <t>AZ316</t>
  </si>
  <si>
    <t>AZ319</t>
  </si>
  <si>
    <t>AZ320</t>
  </si>
  <si>
    <t>AZ321</t>
  </si>
  <si>
    <t>AZ322</t>
  </si>
  <si>
    <t>AZ323</t>
  </si>
  <si>
    <t>AZ325</t>
  </si>
  <si>
    <t>AZ330</t>
  </si>
  <si>
    <t>AZ331</t>
  </si>
  <si>
    <t>AZ334</t>
  </si>
  <si>
    <t>AZ337</t>
  </si>
  <si>
    <t>AZ339</t>
  </si>
  <si>
    <t>AZ343</t>
  </si>
  <si>
    <t>AZ350</t>
  </si>
  <si>
    <t>AZ351</t>
  </si>
  <si>
    <t>AZ355</t>
  </si>
  <si>
    <t>AZ360</t>
  </si>
  <si>
    <t>AZ363</t>
  </si>
  <si>
    <t>AZ373</t>
  </si>
  <si>
    <t>AZ398</t>
  </si>
  <si>
    <t>AZ410</t>
  </si>
  <si>
    <t>AZ433</t>
  </si>
  <si>
    <t>AZ455</t>
  </si>
  <si>
    <t>AZ456</t>
  </si>
  <si>
    <t>AZ462</t>
  </si>
  <si>
    <t>AZ468</t>
  </si>
  <si>
    <t>AZ478</t>
  </si>
  <si>
    <t>AZ485</t>
  </si>
  <si>
    <t>AZ492</t>
  </si>
  <si>
    <t>AZ536</t>
  </si>
  <si>
    <t>AZ541</t>
  </si>
  <si>
    <t>AZ542</t>
  </si>
  <si>
    <t>AZ547</t>
  </si>
  <si>
    <t>AZ550</t>
  </si>
  <si>
    <t>AZ561</t>
  </si>
  <si>
    <t>AZ563</t>
  </si>
  <si>
    <t>AZ578</t>
  </si>
  <si>
    <t>AZ580</t>
  </si>
  <si>
    <t>AZ616</t>
  </si>
  <si>
    <t>AZ632</t>
  </si>
  <si>
    <t>AZ643</t>
  </si>
  <si>
    <t>AZ644</t>
  </si>
  <si>
    <t>AZ646</t>
  </si>
  <si>
    <t>AZ650</t>
  </si>
  <si>
    <t>AZ651</t>
  </si>
  <si>
    <t>AZ653</t>
  </si>
  <si>
    <t>AZ654</t>
  </si>
  <si>
    <t>AZ668</t>
  </si>
  <si>
    <t>AZ689</t>
  </si>
  <si>
    <t>AZ699</t>
  </si>
  <si>
    <t>AZ721</t>
  </si>
  <si>
    <t>AZ722</t>
  </si>
  <si>
    <t>AZ724</t>
  </si>
  <si>
    <t>AZ745</t>
  </si>
  <si>
    <t>AZ749</t>
  </si>
  <si>
    <t>AZ750</t>
  </si>
  <si>
    <t>AZ751</t>
  </si>
  <si>
    <t>AZ756</t>
  </si>
  <si>
    <t>AZ765</t>
  </si>
  <si>
    <t>AZ767</t>
  </si>
  <si>
    <t>AZ775</t>
  </si>
  <si>
    <t>AZ785</t>
  </si>
  <si>
    <t>AZ789</t>
  </si>
  <si>
    <t>AZ793</t>
  </si>
  <si>
    <t>AZ848</t>
  </si>
  <si>
    <t>AZ852</t>
  </si>
  <si>
    <t>AZ857</t>
  </si>
  <si>
    <t>AZ858</t>
  </si>
  <si>
    <t>AZ875</t>
  </si>
  <si>
    <t>AZ876</t>
  </si>
  <si>
    <t>AZ885</t>
  </si>
  <si>
    <t>AZ887</t>
  </si>
  <si>
    <t>AZ888</t>
  </si>
  <si>
    <t>AZ890</t>
  </si>
  <si>
    <t>AZ904</t>
  </si>
  <si>
    <t>AZ915</t>
  </si>
  <si>
    <t>AZ918</t>
  </si>
  <si>
    <t>AZ935</t>
  </si>
  <si>
    <t>AZ943</t>
  </si>
  <si>
    <t>AZ953</t>
  </si>
  <si>
    <t>AZ993</t>
  </si>
  <si>
    <t>AZ995</t>
  </si>
  <si>
    <t>AZ996</t>
  </si>
  <si>
    <t>AZ998</t>
  </si>
  <si>
    <t>AB102</t>
  </si>
  <si>
    <t>AB110</t>
  </si>
  <si>
    <t>AB118</t>
  </si>
  <si>
    <t>AB120</t>
  </si>
  <si>
    <t>AB123</t>
  </si>
  <si>
    <t>AB124</t>
  </si>
  <si>
    <t>AB125</t>
  </si>
  <si>
    <t>AB129</t>
  </si>
  <si>
    <t>AB132</t>
  </si>
  <si>
    <t>AB164</t>
  </si>
  <si>
    <t>AB168</t>
  </si>
  <si>
    <t>AB172</t>
  </si>
  <si>
    <t>AB174</t>
  </si>
  <si>
    <t>AB183</t>
  </si>
  <si>
    <t>AB200</t>
  </si>
  <si>
    <t>AB202</t>
  </si>
  <si>
    <t>AB219</t>
  </si>
  <si>
    <t>AB223</t>
  </si>
  <si>
    <t>AB241</t>
  </si>
  <si>
    <t>AB249</t>
  </si>
  <si>
    <t>AB253</t>
  </si>
  <si>
    <t>AB27</t>
  </si>
  <si>
    <t>AB270</t>
  </si>
  <si>
    <t>AB271</t>
  </si>
  <si>
    <t>AB274</t>
  </si>
  <si>
    <t>AB275</t>
  </si>
  <si>
    <t>AB28</t>
  </si>
  <si>
    <t>AB280</t>
  </si>
  <si>
    <t>AB281</t>
  </si>
  <si>
    <t>AB284</t>
  </si>
  <si>
    <t>AB285</t>
  </si>
  <si>
    <t>AB286</t>
  </si>
  <si>
    <t>AB29</t>
  </si>
  <si>
    <t>AB296</t>
  </si>
  <si>
    <t>AB31</t>
  </si>
  <si>
    <t>AB313</t>
  </si>
  <si>
    <t>AB326</t>
  </si>
  <si>
    <t>AB327</t>
  </si>
  <si>
    <t>AB333</t>
  </si>
  <si>
    <t>AB499</t>
  </si>
  <si>
    <t>AB57</t>
  </si>
  <si>
    <t>AB58</t>
  </si>
  <si>
    <t>AB64</t>
  </si>
  <si>
    <t>AB72</t>
  </si>
  <si>
    <t>AB73</t>
  </si>
  <si>
    <t>AB76</t>
  </si>
  <si>
    <t>AB78</t>
  </si>
  <si>
    <t>AB81</t>
  </si>
  <si>
    <t>AB94</t>
  </si>
  <si>
    <t>ABC11</t>
  </si>
  <si>
    <t>ABC12</t>
  </si>
  <si>
    <t>ABC13</t>
  </si>
  <si>
    <t>ABC14</t>
  </si>
  <si>
    <t>ABC17</t>
  </si>
  <si>
    <t>ABC20</t>
  </si>
  <si>
    <t>ABC29</t>
  </si>
  <si>
    <t>ABC50</t>
  </si>
  <si>
    <t>ABC96</t>
  </si>
  <si>
    <t>AG23</t>
  </si>
  <si>
    <t>AG25</t>
  </si>
  <si>
    <t>AG26</t>
  </si>
  <si>
    <t>AG27</t>
  </si>
  <si>
    <t>AG28</t>
  </si>
  <si>
    <t>AG32</t>
  </si>
  <si>
    <t>AG33</t>
  </si>
  <si>
    <t>AG36</t>
  </si>
  <si>
    <t>AG37</t>
  </si>
  <si>
    <t>AG39</t>
  </si>
  <si>
    <t>AG43</t>
  </si>
  <si>
    <t>AG44</t>
  </si>
  <si>
    <t>AG45</t>
  </si>
  <si>
    <t>AG46</t>
  </si>
  <si>
    <t>AG48</t>
  </si>
  <si>
    <t>AG49</t>
  </si>
  <si>
    <t>AG55</t>
  </si>
  <si>
    <t>AG56</t>
  </si>
  <si>
    <t>AG57</t>
  </si>
  <si>
    <t>AG59</t>
  </si>
  <si>
    <t>AG60</t>
  </si>
  <si>
    <t>AG62</t>
  </si>
  <si>
    <t>AG66</t>
  </si>
  <si>
    <t>AG68</t>
  </si>
  <si>
    <t>AG71</t>
  </si>
  <si>
    <t>AG72</t>
  </si>
  <si>
    <t>AG73</t>
  </si>
  <si>
    <t>AG75</t>
  </si>
  <si>
    <t>AG76</t>
  </si>
  <si>
    <t>AG77</t>
  </si>
  <si>
    <t>AG78</t>
  </si>
  <si>
    <t>AG79</t>
  </si>
  <si>
    <t>AG80</t>
  </si>
  <si>
    <t>AG81</t>
  </si>
  <si>
    <t>AG82</t>
  </si>
  <si>
    <t>AM55</t>
  </si>
  <si>
    <t>AN494</t>
  </si>
  <si>
    <t>ASD33</t>
  </si>
  <si>
    <t>ASD45</t>
  </si>
  <si>
    <t>BN125</t>
  </si>
  <si>
    <t>BN158</t>
  </si>
  <si>
    <t>BN175</t>
  </si>
  <si>
    <t>BN254</t>
  </si>
  <si>
    <t>BN288</t>
  </si>
  <si>
    <t>BN312</t>
  </si>
  <si>
    <t>BN349</t>
  </si>
  <si>
    <t>BN407</t>
  </si>
  <si>
    <t>BN456</t>
  </si>
  <si>
    <t>CC109</t>
  </si>
  <si>
    <t>CC169</t>
  </si>
  <si>
    <t>CC211</t>
  </si>
  <si>
    <t>CC387</t>
  </si>
  <si>
    <t>CC486</t>
  </si>
  <si>
    <t>CC489</t>
  </si>
  <si>
    <t>CD111</t>
  </si>
  <si>
    <t>CD172</t>
  </si>
  <si>
    <t>CD332</t>
  </si>
  <si>
    <t>CD444</t>
  </si>
  <si>
    <t>EG90</t>
  </si>
  <si>
    <t>MAX1</t>
  </si>
  <si>
    <t>MAX11</t>
  </si>
  <si>
    <t>MAX163</t>
  </si>
  <si>
    <t>MAX177</t>
  </si>
  <si>
    <t>MAX19</t>
  </si>
  <si>
    <t>MAX20</t>
  </si>
  <si>
    <t>MAX200</t>
  </si>
  <si>
    <t>MAX214</t>
  </si>
  <si>
    <t>MAX22</t>
  </si>
  <si>
    <t>MAX24</t>
  </si>
  <si>
    <t>MAX241</t>
  </si>
  <si>
    <t>MAX300</t>
  </si>
  <si>
    <t>MAX307</t>
  </si>
  <si>
    <t>MAX342</t>
  </si>
  <si>
    <t>MAX35</t>
  </si>
  <si>
    <t>MAX350</t>
  </si>
  <si>
    <t>MAX37</t>
  </si>
  <si>
    <t>MAX44</t>
  </si>
  <si>
    <t>MAX45</t>
  </si>
  <si>
    <t>MAX466</t>
  </si>
  <si>
    <t>MAX5</t>
  </si>
  <si>
    <t>MAX56</t>
  </si>
  <si>
    <t>MAX57</t>
  </si>
  <si>
    <t>MAX60</t>
  </si>
  <si>
    <t>MAX61</t>
  </si>
  <si>
    <t>MAX65</t>
  </si>
  <si>
    <t>MAX66</t>
  </si>
  <si>
    <t>MAX7</t>
  </si>
  <si>
    <t>MAX70</t>
  </si>
  <si>
    <t>MAX74</t>
  </si>
  <si>
    <t>MAX75</t>
  </si>
  <si>
    <t>MAX78</t>
  </si>
  <si>
    <t>MAX79</t>
  </si>
  <si>
    <t>MAX80</t>
  </si>
  <si>
    <t>MAX85</t>
  </si>
  <si>
    <t>MAX87</t>
  </si>
  <si>
    <t>MAX90</t>
  </si>
  <si>
    <t>MAX93</t>
  </si>
  <si>
    <t>MAX94</t>
  </si>
  <si>
    <t>MAX95</t>
  </si>
  <si>
    <t>MAX96</t>
  </si>
  <si>
    <t>MAX98</t>
  </si>
  <si>
    <t>MAX99</t>
  </si>
  <si>
    <t>OU111</t>
  </si>
  <si>
    <t>OU212</t>
  </si>
  <si>
    <t>OU226</t>
  </si>
  <si>
    <t>OU294</t>
  </si>
  <si>
    <t>OU301</t>
  </si>
  <si>
    <t>OU318</t>
  </si>
  <si>
    <t>OU344</t>
  </si>
  <si>
    <t>OU345</t>
  </si>
  <si>
    <t>OU398</t>
  </si>
  <si>
    <t>OU457</t>
  </si>
  <si>
    <t>PLUS20</t>
  </si>
  <si>
    <t>PLUS21</t>
  </si>
  <si>
    <t>PLUS22</t>
  </si>
  <si>
    <t>PLUS23</t>
  </si>
  <si>
    <t>PLUS3</t>
  </si>
  <si>
    <t>PLUS40</t>
  </si>
  <si>
    <t>PLUS5</t>
  </si>
  <si>
    <t>PLUS50</t>
  </si>
  <si>
    <t>PLUS55</t>
  </si>
  <si>
    <t>PLUS57</t>
  </si>
  <si>
    <t>PLUS80</t>
  </si>
  <si>
    <t>PLUS97</t>
  </si>
  <si>
    <t>SA31</t>
  </si>
  <si>
    <t>SA34</t>
  </si>
  <si>
    <t>SA47</t>
  </si>
  <si>
    <t>SA62</t>
  </si>
  <si>
    <t>SA67</t>
  </si>
  <si>
    <t>TY238</t>
  </si>
  <si>
    <t>TY240</t>
  </si>
  <si>
    <t>TY395</t>
  </si>
  <si>
    <t>TY427</t>
  </si>
  <si>
    <t>TY488</t>
  </si>
  <si>
    <t>YH98</t>
  </si>
  <si>
    <t>YU255</t>
  </si>
  <si>
    <t>YU268</t>
  </si>
  <si>
    <t>YU274</t>
  </si>
  <si>
    <t>YU296</t>
  </si>
  <si>
    <t>YU324</t>
  </si>
  <si>
    <t>YU353</t>
  </si>
  <si>
    <t>YU365</t>
  </si>
  <si>
    <t>RT50</t>
  </si>
  <si>
    <t>RT49</t>
  </si>
  <si>
    <t>RT48</t>
  </si>
  <si>
    <t>RT47</t>
  </si>
  <si>
    <t>RT46</t>
  </si>
  <si>
    <t>DD50</t>
  </si>
  <si>
    <t xml:space="preserve">DZ1 </t>
  </si>
  <si>
    <t>17/2/2025</t>
  </si>
  <si>
    <t>DD26</t>
  </si>
  <si>
    <t>DD27</t>
  </si>
  <si>
    <t>DD28</t>
  </si>
  <si>
    <t>DD29</t>
  </si>
  <si>
    <t>DD30</t>
  </si>
  <si>
    <t>DD31</t>
  </si>
  <si>
    <t>DD32</t>
  </si>
  <si>
    <t>DD33</t>
  </si>
  <si>
    <t>DD34</t>
  </si>
  <si>
    <t>DD35</t>
  </si>
  <si>
    <t>SHANA1</t>
  </si>
  <si>
    <t>FATI</t>
  </si>
  <si>
    <t>K1</t>
  </si>
  <si>
    <t>K2</t>
  </si>
  <si>
    <t>K3</t>
  </si>
  <si>
    <t>K4</t>
  </si>
  <si>
    <t>K6</t>
  </si>
  <si>
    <t>K11</t>
  </si>
  <si>
    <t>K12</t>
  </si>
  <si>
    <t>K13</t>
  </si>
  <si>
    <t>K14</t>
  </si>
  <si>
    <t>K15</t>
  </si>
  <si>
    <t>K16</t>
  </si>
  <si>
    <t>K17</t>
  </si>
  <si>
    <t>K18</t>
  </si>
  <si>
    <t>K19</t>
  </si>
  <si>
    <t>K20</t>
  </si>
  <si>
    <t>K21</t>
  </si>
  <si>
    <t>K22</t>
  </si>
  <si>
    <t>K23</t>
  </si>
  <si>
    <t>K24</t>
  </si>
  <si>
    <t>K25</t>
  </si>
  <si>
    <t>K26</t>
  </si>
  <si>
    <t>K27</t>
  </si>
  <si>
    <t>K28</t>
  </si>
  <si>
    <t>K29</t>
  </si>
  <si>
    <t>K30</t>
  </si>
  <si>
    <t>K31</t>
  </si>
  <si>
    <t>K32</t>
  </si>
  <si>
    <t>K35</t>
  </si>
  <si>
    <t>K36</t>
  </si>
  <si>
    <t>K37</t>
  </si>
  <si>
    <t>K38</t>
  </si>
  <si>
    <t>K39</t>
  </si>
  <si>
    <t>K40</t>
  </si>
  <si>
    <t>K41</t>
  </si>
  <si>
    <t>K42</t>
  </si>
  <si>
    <t>K43</t>
  </si>
  <si>
    <t>K44</t>
  </si>
  <si>
    <t>K45</t>
  </si>
  <si>
    <t>K46</t>
  </si>
  <si>
    <t>K47</t>
  </si>
  <si>
    <t>K48</t>
  </si>
  <si>
    <t>K49</t>
  </si>
  <si>
    <t>K50</t>
  </si>
  <si>
    <t>K7</t>
  </si>
  <si>
    <t>K8</t>
  </si>
  <si>
    <t>K9</t>
  </si>
  <si>
    <t>K33</t>
  </si>
  <si>
    <t>K34</t>
  </si>
  <si>
    <t>Code end_Date</t>
  </si>
  <si>
    <t xml:space="preserve">10% off (with 10 SAR cap)
</t>
  </si>
  <si>
    <t>LEAPP1</t>
  </si>
  <si>
    <t>CK2</t>
  </si>
  <si>
    <t>CK22</t>
  </si>
  <si>
    <t>CK25</t>
  </si>
  <si>
    <t>CK33</t>
  </si>
  <si>
    <t>Special Payout for top afflilates</t>
  </si>
  <si>
    <t xml:space="preserve">all </t>
  </si>
  <si>
    <t>VM12</t>
  </si>
  <si>
    <t>5% discount on discounted items and 10% of full price.</t>
  </si>
  <si>
    <t>VJRA</t>
  </si>
  <si>
    <t>VNLW</t>
  </si>
  <si>
    <t>V7IJ</t>
  </si>
  <si>
    <t>VLG8</t>
  </si>
  <si>
    <t>VEWS</t>
  </si>
  <si>
    <t>VNOO</t>
  </si>
  <si>
    <t>VQQN</t>
  </si>
  <si>
    <t>VERF</t>
  </si>
  <si>
    <t>VYME</t>
  </si>
  <si>
    <t>VUL1</t>
  </si>
  <si>
    <t>V0TR</t>
  </si>
  <si>
    <t>VJHZ</t>
  </si>
  <si>
    <t>VJ6Q</t>
  </si>
  <si>
    <t>VEJZ</t>
  </si>
  <si>
    <t>V19T</t>
  </si>
  <si>
    <t>VMUM</t>
  </si>
  <si>
    <t>VGQB</t>
  </si>
  <si>
    <t>VR0X</t>
  </si>
  <si>
    <t>VD1A</t>
  </si>
  <si>
    <t>VF24</t>
  </si>
  <si>
    <t>VZI5</t>
  </si>
  <si>
    <t>VBDV</t>
  </si>
  <si>
    <t>VMAC</t>
  </si>
  <si>
    <t>VQ74</t>
  </si>
  <si>
    <t>VHIA</t>
  </si>
  <si>
    <t>V8O6</t>
  </si>
  <si>
    <t>VMDP</t>
  </si>
  <si>
    <t>VANQ</t>
  </si>
  <si>
    <t>VW1H</t>
  </si>
  <si>
    <t>VCJF</t>
  </si>
  <si>
    <t>VFC5</t>
  </si>
  <si>
    <t>VMNF</t>
  </si>
  <si>
    <t>VD3A</t>
  </si>
  <si>
    <t>V0CD</t>
  </si>
  <si>
    <t>VXQW</t>
  </si>
  <si>
    <t>V8WJ</t>
  </si>
  <si>
    <t>VD2U</t>
  </si>
  <si>
    <t>VIRT</t>
  </si>
  <si>
    <t>VNTA</t>
  </si>
  <si>
    <t>VFSR</t>
  </si>
  <si>
    <t>VTJ4</t>
  </si>
  <si>
    <t>VRUK</t>
  </si>
  <si>
    <t>VVM2</t>
  </si>
  <si>
    <t>VHQ3</t>
  </si>
  <si>
    <t>V0HJ</t>
  </si>
  <si>
    <t>VGP6</t>
  </si>
  <si>
    <t>VDLW</t>
  </si>
  <si>
    <t>VO50</t>
  </si>
  <si>
    <t>VFHP</t>
  </si>
  <si>
    <t>VPO0</t>
  </si>
  <si>
    <t>VYCL</t>
  </si>
  <si>
    <t>V0SG</t>
  </si>
  <si>
    <t>VXK7</t>
  </si>
  <si>
    <t>VIOR</t>
  </si>
  <si>
    <t>VFH0</t>
  </si>
  <si>
    <t>VYB0</t>
  </si>
  <si>
    <t>VSR1</t>
  </si>
  <si>
    <t>VHED</t>
  </si>
  <si>
    <t>V8KB</t>
  </si>
  <si>
    <t>VQN4</t>
  </si>
  <si>
    <t>VER2</t>
  </si>
  <si>
    <t>VHWR</t>
  </si>
  <si>
    <t>VF29</t>
  </si>
  <si>
    <t>VWWR</t>
  </si>
  <si>
    <t>VL8Z</t>
  </si>
  <si>
    <t>V9M6</t>
  </si>
  <si>
    <t>V8GW</t>
  </si>
  <si>
    <t>VKGQ</t>
  </si>
  <si>
    <t>VG4R</t>
  </si>
  <si>
    <t>V0AC</t>
  </si>
  <si>
    <t>VEND</t>
  </si>
  <si>
    <t>V79Y</t>
  </si>
  <si>
    <t>V1I6</t>
  </si>
  <si>
    <t>VWEI</t>
  </si>
  <si>
    <t>V9PN</t>
  </si>
  <si>
    <t>VISX</t>
  </si>
  <si>
    <t>VE62</t>
  </si>
  <si>
    <t>VHD9</t>
  </si>
  <si>
    <t>VXXU</t>
  </si>
  <si>
    <t>VC27</t>
  </si>
  <si>
    <t>VRJG</t>
  </si>
  <si>
    <t>V2PV</t>
  </si>
  <si>
    <t>VHP9</t>
  </si>
  <si>
    <t>VTD2</t>
  </si>
  <si>
    <t>VAC0</t>
  </si>
  <si>
    <t>VKRA</t>
  </si>
  <si>
    <t>V9GG</t>
  </si>
  <si>
    <t>VVHC</t>
  </si>
  <si>
    <t>V3T6</t>
  </si>
  <si>
    <t>VIJI</t>
  </si>
  <si>
    <t>V4D3</t>
  </si>
  <si>
    <t>VTXK</t>
  </si>
  <si>
    <t>VIRI</t>
  </si>
  <si>
    <t>VNN8</t>
  </si>
  <si>
    <t>V466</t>
  </si>
  <si>
    <t>VN3F</t>
  </si>
  <si>
    <t>VOKZ</t>
  </si>
  <si>
    <t>V85N</t>
  </si>
  <si>
    <t>VGAP</t>
  </si>
  <si>
    <t>V5WK</t>
  </si>
  <si>
    <t>VC7S</t>
  </si>
  <si>
    <t>VFJA</t>
  </si>
  <si>
    <t>VWZW</t>
  </si>
  <si>
    <t>VHM7</t>
  </si>
  <si>
    <t>VVPG</t>
  </si>
  <si>
    <t>V42E</t>
  </si>
  <si>
    <t>VSYG</t>
  </si>
  <si>
    <t>VO0L</t>
  </si>
  <si>
    <t>V3Q6</t>
  </si>
  <si>
    <t>VYAN</t>
  </si>
  <si>
    <t>VZAU</t>
  </si>
  <si>
    <t>VGJ7</t>
  </si>
  <si>
    <t>VSOI</t>
  </si>
  <si>
    <t>VF8X</t>
  </si>
  <si>
    <t>VPHJ</t>
  </si>
  <si>
    <t>V6GI</t>
  </si>
  <si>
    <t>VUV5</t>
  </si>
  <si>
    <t>V6DW</t>
  </si>
  <si>
    <t>VRL1</t>
  </si>
  <si>
    <t>VWDA</t>
  </si>
  <si>
    <t>VEFO</t>
  </si>
  <si>
    <t>VB8H</t>
  </si>
  <si>
    <t>V70F</t>
  </si>
  <si>
    <t>VSQ4</t>
  </si>
  <si>
    <t>V09V</t>
  </si>
  <si>
    <t>VM97</t>
  </si>
  <si>
    <t>VVZC</t>
  </si>
  <si>
    <t>V5ZC</t>
  </si>
  <si>
    <t>VDRV</t>
  </si>
  <si>
    <t>VW5F</t>
  </si>
  <si>
    <t>V30U</t>
  </si>
  <si>
    <t>VD21</t>
  </si>
  <si>
    <t>VPFN</t>
  </si>
  <si>
    <t>VGH2</t>
  </si>
  <si>
    <t>VNGG</t>
  </si>
  <si>
    <t>V2GI</t>
  </si>
  <si>
    <t>VB07</t>
  </si>
  <si>
    <t>VLW4</t>
  </si>
  <si>
    <t>V5QT</t>
  </si>
  <si>
    <t>V2JL</t>
  </si>
  <si>
    <t>VWTC</t>
  </si>
  <si>
    <t>VLM5</t>
  </si>
  <si>
    <t>VW6H</t>
  </si>
  <si>
    <t>VGHQ</t>
  </si>
  <si>
    <t>VK59</t>
  </si>
  <si>
    <t>V3AK</t>
  </si>
  <si>
    <t>VGLU</t>
  </si>
  <si>
    <t>VEHP</t>
  </si>
  <si>
    <t>V02T</t>
  </si>
  <si>
    <t>V83R</t>
  </si>
  <si>
    <t>V39Y</t>
  </si>
  <si>
    <t>V12H</t>
  </si>
  <si>
    <t>VJRL</t>
  </si>
  <si>
    <t>V90B</t>
  </si>
  <si>
    <t>VTEX</t>
  </si>
  <si>
    <t>VVFW</t>
  </si>
  <si>
    <t>V86D</t>
  </si>
  <si>
    <t>VJ3F</t>
  </si>
  <si>
    <t>VJ6I</t>
  </si>
  <si>
    <t>VUCT</t>
  </si>
  <si>
    <t>VBNV</t>
  </si>
  <si>
    <t>VZ5R</t>
  </si>
  <si>
    <t>VPK4</t>
  </si>
  <si>
    <t>V7T5</t>
  </si>
  <si>
    <t>VEK2</t>
  </si>
  <si>
    <t>V5AK</t>
  </si>
  <si>
    <t>VP2Z</t>
  </si>
  <si>
    <t>VB5R</t>
  </si>
  <si>
    <t>VGFQ</t>
  </si>
  <si>
    <t>VWMO</t>
  </si>
  <si>
    <t>V1MP</t>
  </si>
  <si>
    <t>V7KZ</t>
  </si>
  <si>
    <t>VMFE</t>
  </si>
  <si>
    <t>VZND</t>
  </si>
  <si>
    <t>VFGP</t>
  </si>
  <si>
    <t>V1K1</t>
  </si>
  <si>
    <t>VV99</t>
  </si>
  <si>
    <t>VTM1</t>
  </si>
  <si>
    <t>VROL</t>
  </si>
  <si>
    <t>VXHK</t>
  </si>
  <si>
    <t>VAX5</t>
  </si>
  <si>
    <t>VATQ</t>
  </si>
  <si>
    <t>VDAV</t>
  </si>
  <si>
    <t>VH32</t>
  </si>
  <si>
    <t>VCC2</t>
  </si>
  <si>
    <t>VE3S</t>
  </si>
  <si>
    <t>V0V7</t>
  </si>
  <si>
    <t>V0KR</t>
  </si>
  <si>
    <t>VILV</t>
  </si>
  <si>
    <t>V6HI</t>
  </si>
  <si>
    <t>V1EM</t>
  </si>
  <si>
    <t>VQAL</t>
  </si>
  <si>
    <t>VP8C</t>
  </si>
  <si>
    <t>VZEJ</t>
  </si>
  <si>
    <t>VEFZ</t>
  </si>
  <si>
    <t>V29C</t>
  </si>
  <si>
    <t>VMX1</t>
  </si>
  <si>
    <t>VOYR</t>
  </si>
  <si>
    <t>VLCG</t>
  </si>
  <si>
    <t>VVO9</t>
  </si>
  <si>
    <t>VCPR</t>
  </si>
  <si>
    <t>VNWZ</t>
  </si>
  <si>
    <t>V5IO</t>
  </si>
  <si>
    <t>VUY9</t>
  </si>
  <si>
    <t>VJ7T</t>
  </si>
  <si>
    <t>V8DM</t>
  </si>
  <si>
    <t>V1F1</t>
  </si>
  <si>
    <t>VS2G</t>
  </si>
  <si>
    <t>VLJD</t>
  </si>
  <si>
    <t>VRFJ</t>
  </si>
  <si>
    <t>V84I</t>
  </si>
  <si>
    <t>VBF7</t>
  </si>
  <si>
    <t>V7TP</t>
  </si>
  <si>
    <t>VDT7</t>
  </si>
  <si>
    <t>VH5H</t>
  </si>
  <si>
    <t>VKTI</t>
  </si>
  <si>
    <t>V16E</t>
  </si>
  <si>
    <t>VQY4</t>
  </si>
  <si>
    <t>VA46</t>
  </si>
  <si>
    <t>V8FT</t>
  </si>
  <si>
    <t>VGF9</t>
  </si>
  <si>
    <t>VE86</t>
  </si>
  <si>
    <t>VD3C</t>
  </si>
  <si>
    <t>V8EM</t>
  </si>
  <si>
    <t>VI1A</t>
  </si>
  <si>
    <t>V9WN</t>
  </si>
  <si>
    <t>VFP1</t>
  </si>
  <si>
    <t>VIU2</t>
  </si>
  <si>
    <t>VAZ9</t>
  </si>
  <si>
    <t>VV35</t>
  </si>
  <si>
    <t>VFYA</t>
  </si>
  <si>
    <t>VWF1</t>
  </si>
  <si>
    <t>V982</t>
  </si>
  <si>
    <t>VFYJ</t>
  </si>
  <si>
    <t>VS2O</t>
  </si>
  <si>
    <t>V80K</t>
  </si>
  <si>
    <t>VYE9</t>
  </si>
  <si>
    <t>V37H</t>
  </si>
  <si>
    <t>V9Q2</t>
  </si>
  <si>
    <t>VKN4</t>
  </si>
  <si>
    <t>V8VH</t>
  </si>
  <si>
    <t>VR6T</t>
  </si>
  <si>
    <t>VS6Y</t>
  </si>
  <si>
    <t>VZK7</t>
  </si>
  <si>
    <t>V01N</t>
  </si>
  <si>
    <t>V48J</t>
  </si>
  <si>
    <t>VCCO</t>
  </si>
  <si>
    <t>VP6H</t>
  </si>
  <si>
    <t>VA5Z</t>
  </si>
  <si>
    <t>VUXF</t>
  </si>
  <si>
    <t>V37D</t>
  </si>
  <si>
    <t>VMG6</t>
  </si>
  <si>
    <t>V7WM</t>
  </si>
  <si>
    <t>VR90</t>
  </si>
  <si>
    <t>VYB7</t>
  </si>
  <si>
    <t>V3UT</t>
  </si>
  <si>
    <t>V4TU</t>
  </si>
  <si>
    <t>VGMJ</t>
  </si>
  <si>
    <t>VKBA</t>
  </si>
  <si>
    <t>V5NE</t>
  </si>
  <si>
    <t>V5N2</t>
  </si>
  <si>
    <t>VFYV</t>
  </si>
  <si>
    <t>V70B</t>
  </si>
  <si>
    <t>V0J8</t>
  </si>
  <si>
    <t>V7ME</t>
  </si>
  <si>
    <t>VZLN</t>
  </si>
  <si>
    <t>VVTG</t>
  </si>
  <si>
    <t>VMUQ</t>
  </si>
  <si>
    <t>VM1U</t>
  </si>
  <si>
    <t>VPZN</t>
  </si>
  <si>
    <t>VLQN</t>
  </si>
  <si>
    <t>V43H</t>
  </si>
  <si>
    <t>VBBS</t>
  </si>
  <si>
    <t>V8IW</t>
  </si>
  <si>
    <t>VCY0</t>
  </si>
  <si>
    <t>VKBK</t>
  </si>
  <si>
    <t>V8OP</t>
  </si>
  <si>
    <t>V7IW</t>
  </si>
  <si>
    <t>VMMO</t>
  </si>
  <si>
    <t>V3TW</t>
  </si>
  <si>
    <t>VF2A</t>
  </si>
  <si>
    <t>VCXQ</t>
  </si>
  <si>
    <t>VX45</t>
  </si>
  <si>
    <t>VNPD</t>
  </si>
  <si>
    <t>VUFI</t>
  </si>
  <si>
    <t>VNAF</t>
  </si>
  <si>
    <t>V6HA</t>
  </si>
  <si>
    <t>V74A</t>
  </si>
  <si>
    <t>VAYO</t>
  </si>
  <si>
    <t>VHIN</t>
  </si>
  <si>
    <t>VPZX</t>
  </si>
  <si>
    <t>VXOP</t>
  </si>
  <si>
    <t>V13C</t>
  </si>
  <si>
    <t>VC4W</t>
  </si>
  <si>
    <t>VABV</t>
  </si>
  <si>
    <t>VN29</t>
  </si>
  <si>
    <t>V2HK</t>
  </si>
  <si>
    <t>VZS8</t>
  </si>
  <si>
    <t>V3FM</t>
  </si>
  <si>
    <t>VYAQ</t>
  </si>
  <si>
    <t>VEVD</t>
  </si>
  <si>
    <t>VLYS</t>
  </si>
  <si>
    <t>VWQ1</t>
  </si>
  <si>
    <t>V3WO</t>
  </si>
  <si>
    <t>VR8F</t>
  </si>
  <si>
    <t>VT5E</t>
  </si>
  <si>
    <t>VY69</t>
  </si>
  <si>
    <t>V8XH</t>
  </si>
  <si>
    <t>V2YF</t>
  </si>
  <si>
    <t>V8QJ</t>
  </si>
  <si>
    <t>VF1Z</t>
  </si>
  <si>
    <t>VGG8</t>
  </si>
  <si>
    <t>VQB5</t>
  </si>
  <si>
    <t>VEIZ</t>
  </si>
  <si>
    <t>VL61</t>
  </si>
  <si>
    <t>VIF1</t>
  </si>
  <si>
    <t>V2LQ</t>
  </si>
  <si>
    <t>V402</t>
  </si>
  <si>
    <t>VJFM</t>
  </si>
  <si>
    <t>VBYX</t>
  </si>
  <si>
    <t>VR8I</t>
  </si>
  <si>
    <t>V5SQ</t>
  </si>
  <si>
    <t>V8HJ</t>
  </si>
  <si>
    <t>VVHQ</t>
  </si>
  <si>
    <t>VIG4</t>
  </si>
  <si>
    <t>VQEE</t>
  </si>
  <si>
    <t>VEJ3</t>
  </si>
  <si>
    <t>V5NP</t>
  </si>
  <si>
    <t>VC1A</t>
  </si>
  <si>
    <t>VZDS</t>
  </si>
  <si>
    <t>V300</t>
  </si>
  <si>
    <t>VSFM</t>
  </si>
  <si>
    <t>VS4H</t>
  </si>
  <si>
    <t>VW3B</t>
  </si>
  <si>
    <t>VSRO</t>
  </si>
  <si>
    <t>V5IK</t>
  </si>
  <si>
    <t>V7NU</t>
  </si>
  <si>
    <t>VW0R</t>
  </si>
  <si>
    <t>V3RY</t>
  </si>
  <si>
    <t>V3W0</t>
  </si>
  <si>
    <t>VWMS</t>
  </si>
  <si>
    <t>VT9I</t>
  </si>
  <si>
    <t>V3FP</t>
  </si>
  <si>
    <t>V00X</t>
  </si>
  <si>
    <t>VI27</t>
  </si>
  <si>
    <t>V62C</t>
  </si>
  <si>
    <t>VYBQ</t>
  </si>
  <si>
    <t>VI81</t>
  </si>
  <si>
    <t>VJHL</t>
  </si>
  <si>
    <t>VG9P</t>
  </si>
  <si>
    <t>VAM8</t>
  </si>
  <si>
    <t>VI10</t>
  </si>
  <si>
    <t>VP7L</t>
  </si>
  <si>
    <t>VSJJ</t>
  </si>
  <si>
    <t>VAU9</t>
  </si>
  <si>
    <t>VMPG</t>
  </si>
  <si>
    <t>VBDC</t>
  </si>
  <si>
    <t>VVCB</t>
  </si>
  <si>
    <t>V5LM</t>
  </si>
  <si>
    <t>VWEF</t>
  </si>
  <si>
    <t>V7LJ</t>
  </si>
  <si>
    <t>V1A0</t>
  </si>
  <si>
    <t>VFM2</t>
  </si>
  <si>
    <t>V9LB</t>
  </si>
  <si>
    <t>VTCX</t>
  </si>
  <si>
    <t>V6QR</t>
  </si>
  <si>
    <t>VE7D</t>
  </si>
  <si>
    <t>VBIU</t>
  </si>
  <si>
    <t>VSJA</t>
  </si>
  <si>
    <t>V5TN</t>
  </si>
  <si>
    <t>VNCV</t>
  </si>
  <si>
    <t>VZI4</t>
  </si>
  <si>
    <t>V16J</t>
  </si>
  <si>
    <t>VZQJ</t>
  </si>
  <si>
    <t>V5A7</t>
  </si>
  <si>
    <t>VGHA</t>
  </si>
  <si>
    <t>VDNU</t>
  </si>
  <si>
    <t>VC39</t>
  </si>
  <si>
    <t>VPK5</t>
  </si>
  <si>
    <t>V9N0</t>
  </si>
  <si>
    <t>V41R</t>
  </si>
  <si>
    <t>V2E3</t>
  </si>
  <si>
    <t>VBBD</t>
  </si>
  <si>
    <t>VUZ7</t>
  </si>
  <si>
    <t>VJF2</t>
  </si>
  <si>
    <t>VPCZ</t>
  </si>
  <si>
    <t>VD2B</t>
  </si>
  <si>
    <t>V9YP</t>
  </si>
  <si>
    <t>VY8Z</t>
  </si>
  <si>
    <t>VPI1</t>
  </si>
  <si>
    <t>V6XE</t>
  </si>
  <si>
    <t>VFAQ</t>
  </si>
  <si>
    <t>V2X7</t>
  </si>
  <si>
    <t>V3LX</t>
  </si>
  <si>
    <t>VLPA</t>
  </si>
  <si>
    <t>VHAB</t>
  </si>
  <si>
    <t>VTPG</t>
  </si>
  <si>
    <t>VR7E</t>
  </si>
  <si>
    <t>V7AV</t>
  </si>
  <si>
    <t>VLZ8</t>
  </si>
  <si>
    <t>VNKH</t>
  </si>
  <si>
    <t>VZKD</t>
  </si>
  <si>
    <t>VMD0</t>
  </si>
  <si>
    <t>VJ15</t>
  </si>
  <si>
    <t>V1CT</t>
  </si>
  <si>
    <t>V1NG</t>
  </si>
  <si>
    <t>VXGJ</t>
  </si>
  <si>
    <t>V3BB</t>
  </si>
  <si>
    <t>VLK4</t>
  </si>
  <si>
    <t>VBQ9</t>
  </si>
  <si>
    <t>VUV2</t>
  </si>
  <si>
    <t>VVHX</t>
  </si>
  <si>
    <t>VHUI</t>
  </si>
  <si>
    <t>VYKC</t>
  </si>
  <si>
    <t>VA6R</t>
  </si>
  <si>
    <t>VVI2</t>
  </si>
  <si>
    <t>VLL0</t>
  </si>
  <si>
    <t>VQ1R</t>
  </si>
  <si>
    <t>VADN</t>
  </si>
  <si>
    <t>VUSV</t>
  </si>
  <si>
    <t>VIE4</t>
  </si>
  <si>
    <t>VI4B</t>
  </si>
  <si>
    <t>VMLJ</t>
  </si>
  <si>
    <t>VQGE</t>
  </si>
  <si>
    <t>V5I4</t>
  </si>
  <si>
    <t>V885</t>
  </si>
  <si>
    <t>VI9K</t>
  </si>
  <si>
    <t>VHVZ</t>
  </si>
  <si>
    <t>V1E2</t>
  </si>
  <si>
    <t>VFH3</t>
  </si>
  <si>
    <t>VTOG</t>
  </si>
  <si>
    <t>V49R</t>
  </si>
  <si>
    <t>V7XF</t>
  </si>
  <si>
    <t>VKHX</t>
  </si>
  <si>
    <t>VTMQ</t>
  </si>
  <si>
    <t>VK53</t>
  </si>
  <si>
    <t>VBC4</t>
  </si>
  <si>
    <t>V3EU</t>
  </si>
  <si>
    <t>VJJT</t>
  </si>
  <si>
    <t>V74K</t>
  </si>
  <si>
    <t>V5CV</t>
  </si>
  <si>
    <t>VTTB</t>
  </si>
  <si>
    <t>VRQC</t>
  </si>
  <si>
    <t>VU7I</t>
  </si>
  <si>
    <t>VFS4</t>
  </si>
  <si>
    <t>VLLB</t>
  </si>
  <si>
    <t>VA68</t>
  </si>
  <si>
    <t>V1K9</t>
  </si>
  <si>
    <t>VHQQ</t>
  </si>
  <si>
    <t>VPVB</t>
  </si>
  <si>
    <t>VHG9</t>
  </si>
  <si>
    <t>V610</t>
  </si>
  <si>
    <t>VH4P</t>
  </si>
  <si>
    <t>VQ0P</t>
  </si>
  <si>
    <t>VSQ6</t>
  </si>
  <si>
    <t>V5FT</t>
  </si>
  <si>
    <t>VI0B</t>
  </si>
  <si>
    <t>V0ZU</t>
  </si>
  <si>
    <t>V160</t>
  </si>
  <si>
    <t>V0N1</t>
  </si>
  <si>
    <t>V95K</t>
  </si>
  <si>
    <t>VFCP</t>
  </si>
  <si>
    <t>VF9F</t>
  </si>
  <si>
    <t>VXC8</t>
  </si>
  <si>
    <t>VUF8</t>
  </si>
  <si>
    <t>V59G</t>
  </si>
  <si>
    <t>VGP5</t>
  </si>
  <si>
    <t>VFFS</t>
  </si>
  <si>
    <t>VDTU</t>
  </si>
  <si>
    <t>VX4W</t>
  </si>
  <si>
    <t>V2AS</t>
  </si>
  <si>
    <t>V4LN</t>
  </si>
  <si>
    <t>VZSK</t>
  </si>
  <si>
    <t>VJOX</t>
  </si>
  <si>
    <t>VO3P</t>
  </si>
  <si>
    <t>VRX1</t>
  </si>
  <si>
    <t>VKZD</t>
  </si>
  <si>
    <t>V3ZY</t>
  </si>
  <si>
    <t>VKKH</t>
  </si>
  <si>
    <t>VVNT</t>
  </si>
  <si>
    <t>VT8W</t>
  </si>
  <si>
    <t>VZYI</t>
  </si>
  <si>
    <t>V03O</t>
  </si>
  <si>
    <t>VF3N</t>
  </si>
  <si>
    <t>VY81</t>
  </si>
  <si>
    <t>V8TQ</t>
  </si>
  <si>
    <t>VB7X</t>
  </si>
  <si>
    <t>VJBR</t>
  </si>
  <si>
    <t>VXV3</t>
  </si>
  <si>
    <t>V8IQ</t>
  </si>
  <si>
    <t>VTKH</t>
  </si>
  <si>
    <t>VZRF</t>
  </si>
  <si>
    <t>VOFZ</t>
  </si>
  <si>
    <t>VI85</t>
  </si>
  <si>
    <t>VY02</t>
  </si>
  <si>
    <t>VKDV</t>
  </si>
  <si>
    <t>VBRN</t>
  </si>
  <si>
    <t>VBJC</t>
  </si>
  <si>
    <t>VJT6</t>
  </si>
  <si>
    <t>VTZB</t>
  </si>
  <si>
    <t>VNBO</t>
  </si>
  <si>
    <t>V23R</t>
  </si>
  <si>
    <t>VAPO</t>
  </si>
  <si>
    <t>VL2C</t>
  </si>
  <si>
    <t>VFC2</t>
  </si>
  <si>
    <t>VOU0</t>
  </si>
  <si>
    <t>VCM5</t>
  </si>
  <si>
    <t>VYVP</t>
  </si>
  <si>
    <t>VZIJ</t>
  </si>
  <si>
    <t>VTTX</t>
  </si>
  <si>
    <t>VB5A</t>
  </si>
  <si>
    <t>VVJK</t>
  </si>
  <si>
    <t>VFGZ</t>
  </si>
  <si>
    <t>V38G</t>
  </si>
  <si>
    <t>V4Y6</t>
  </si>
  <si>
    <t>V7F9</t>
  </si>
  <si>
    <t>VUK0</t>
  </si>
  <si>
    <t>VOLO</t>
  </si>
  <si>
    <t>V956</t>
  </si>
  <si>
    <t>VSD5</t>
  </si>
  <si>
    <t>V2LL</t>
  </si>
  <si>
    <t>VPPC</t>
  </si>
  <si>
    <t>VNA5</t>
  </si>
  <si>
    <t>VDVW</t>
  </si>
  <si>
    <t>VKDB</t>
  </si>
  <si>
    <t>VNCG</t>
  </si>
  <si>
    <t>V5SA</t>
  </si>
  <si>
    <t>VZFC</t>
  </si>
  <si>
    <t>VM4Y</t>
  </si>
  <si>
    <t>VQBO</t>
  </si>
  <si>
    <t>VL6C</t>
  </si>
  <si>
    <t>VW1C</t>
  </si>
  <si>
    <t>VRMJ</t>
  </si>
  <si>
    <t>VN8A</t>
  </si>
  <si>
    <t>VHME</t>
  </si>
  <si>
    <t>VENW</t>
  </si>
  <si>
    <t>VZIX</t>
  </si>
  <si>
    <t>VHFU</t>
  </si>
  <si>
    <t>VBL4</t>
  </si>
  <si>
    <t>VWK6</t>
  </si>
  <si>
    <t>V03G</t>
  </si>
  <si>
    <t>VEQ4</t>
  </si>
  <si>
    <t>VV3U</t>
  </si>
  <si>
    <t>V15M</t>
  </si>
  <si>
    <t>VJTQ</t>
  </si>
  <si>
    <t>VFEI</t>
  </si>
  <si>
    <t>V45Q</t>
  </si>
  <si>
    <t>VUO1</t>
  </si>
  <si>
    <t>VJ3J</t>
  </si>
  <si>
    <t>VYSG</t>
  </si>
  <si>
    <t>VTCR</t>
  </si>
  <si>
    <t>VAGV</t>
  </si>
  <si>
    <t>VB2R</t>
  </si>
  <si>
    <t>VBVX</t>
  </si>
  <si>
    <t>VW9S</t>
  </si>
  <si>
    <t>VJS5</t>
  </si>
  <si>
    <t>V0NJ</t>
  </si>
  <si>
    <t>VO7Y</t>
  </si>
  <si>
    <t>VQQ9</t>
  </si>
  <si>
    <t>V2VU</t>
  </si>
  <si>
    <t>VDGZ</t>
  </si>
  <si>
    <t>VQG8</t>
  </si>
  <si>
    <t>VWC2</t>
  </si>
  <si>
    <t>VKTQ</t>
  </si>
  <si>
    <t>VYWA</t>
  </si>
  <si>
    <t>V5LT</t>
  </si>
  <si>
    <t>V81V</t>
  </si>
  <si>
    <t>V6RI</t>
  </si>
  <si>
    <t>VOXD</t>
  </si>
  <si>
    <t>VVX0</t>
  </si>
  <si>
    <t>VJ8L</t>
  </si>
  <si>
    <t>V7AM</t>
  </si>
  <si>
    <t>VNB3</t>
  </si>
  <si>
    <t>VFF5</t>
  </si>
  <si>
    <t>VAAG</t>
  </si>
  <si>
    <t>V27N</t>
  </si>
  <si>
    <t>VY79</t>
  </si>
  <si>
    <t>VKKG</t>
  </si>
  <si>
    <t>V4Q1</t>
  </si>
  <si>
    <t>VNR1</t>
  </si>
  <si>
    <t>V4QM</t>
  </si>
  <si>
    <t>VVP6</t>
  </si>
  <si>
    <t>VEUN</t>
  </si>
  <si>
    <t>VVMZ</t>
  </si>
  <si>
    <t>V3SM</t>
  </si>
  <si>
    <t>VMX4</t>
  </si>
  <si>
    <t>VGE7</t>
  </si>
  <si>
    <t>VST7</t>
  </si>
  <si>
    <t>VXCG</t>
  </si>
  <si>
    <t>VCV9</t>
  </si>
  <si>
    <t>VFOC</t>
  </si>
  <si>
    <t>VVTL</t>
  </si>
  <si>
    <t>VKJV</t>
  </si>
  <si>
    <t>V255</t>
  </si>
  <si>
    <t>VI8W</t>
  </si>
  <si>
    <t>V1GO</t>
  </si>
  <si>
    <t>VXWZ</t>
  </si>
  <si>
    <t>VDTM</t>
  </si>
  <si>
    <t>VFHU</t>
  </si>
  <si>
    <t>VZ80</t>
  </si>
  <si>
    <t>V62Q</t>
  </si>
  <si>
    <t>VNFC</t>
  </si>
  <si>
    <t>VMHG</t>
  </si>
  <si>
    <t>VBT9</t>
  </si>
  <si>
    <t>VC5B</t>
  </si>
  <si>
    <t>V0RD</t>
  </si>
  <si>
    <t>VIXY</t>
  </si>
  <si>
    <t>VFEC</t>
  </si>
  <si>
    <t>VQSL</t>
  </si>
  <si>
    <t>VV1E</t>
  </si>
  <si>
    <t>V9HJ</t>
  </si>
  <si>
    <t>VDA3</t>
  </si>
  <si>
    <t>VRQ8</t>
  </si>
  <si>
    <t>VZ9Y</t>
  </si>
  <si>
    <t>V0YF</t>
  </si>
  <si>
    <t>VP6L</t>
  </si>
  <si>
    <t>VHYK</t>
  </si>
  <si>
    <t>VB20</t>
  </si>
  <si>
    <t>VVD6</t>
  </si>
  <si>
    <t>VUN6</t>
  </si>
  <si>
    <t>VSZV</t>
  </si>
  <si>
    <t>V0W3</t>
  </si>
  <si>
    <t>VT3U</t>
  </si>
  <si>
    <t>VPKM</t>
  </si>
  <si>
    <t>VNZ1</t>
  </si>
  <si>
    <t>VPSX</t>
  </si>
  <si>
    <t>VL9Q</t>
  </si>
  <si>
    <t>VDYD</t>
  </si>
  <si>
    <t>VI76</t>
  </si>
  <si>
    <t>V7O8</t>
  </si>
  <si>
    <t>V0KJ</t>
  </si>
  <si>
    <t>V57M</t>
  </si>
  <si>
    <t>VVGN</t>
  </si>
  <si>
    <t>V2EP</t>
  </si>
  <si>
    <t>VTEM</t>
  </si>
  <si>
    <t>VV9C</t>
  </si>
  <si>
    <t>VIWX</t>
  </si>
  <si>
    <t>V77H</t>
  </si>
  <si>
    <t>VT3E</t>
  </si>
  <si>
    <t>VZK8</t>
  </si>
  <si>
    <t>VV31</t>
  </si>
  <si>
    <t>V30B</t>
  </si>
  <si>
    <t>VI6F</t>
  </si>
  <si>
    <t>VQLQ</t>
  </si>
  <si>
    <t>VICU</t>
  </si>
  <si>
    <t>VG7Q</t>
  </si>
  <si>
    <t>V4QO</t>
  </si>
  <si>
    <t>VKSI</t>
  </si>
  <si>
    <t>V89C</t>
  </si>
  <si>
    <t>VF8J</t>
  </si>
  <si>
    <t>VIDX</t>
  </si>
  <si>
    <t>VQ9D</t>
  </si>
  <si>
    <t>VB35</t>
  </si>
  <si>
    <t>VS6X</t>
  </si>
  <si>
    <t>VEN6</t>
  </si>
  <si>
    <t>VFMK</t>
  </si>
  <si>
    <t>V0VN</t>
  </si>
  <si>
    <t>V092</t>
  </si>
  <si>
    <t>VY7U</t>
  </si>
  <si>
    <t>V4IV</t>
  </si>
  <si>
    <t>VA9L</t>
  </si>
  <si>
    <t>VJDJ</t>
  </si>
  <si>
    <t>VBIR</t>
  </si>
  <si>
    <t>VN5S</t>
  </si>
  <si>
    <t>V636</t>
  </si>
  <si>
    <t>VKIE</t>
  </si>
  <si>
    <t>VXNT</t>
  </si>
  <si>
    <t>VDJ2</t>
  </si>
  <si>
    <t>VWIK</t>
  </si>
  <si>
    <t>VBL0</t>
  </si>
  <si>
    <t>VCV7</t>
  </si>
  <si>
    <t>VPRU</t>
  </si>
  <si>
    <t>VSZJ</t>
  </si>
  <si>
    <t>VWX3</t>
  </si>
  <si>
    <t>VJAB</t>
  </si>
  <si>
    <t>VDWA</t>
  </si>
  <si>
    <t>VB8L</t>
  </si>
  <si>
    <t>V9P6</t>
  </si>
  <si>
    <t>VDRP</t>
  </si>
  <si>
    <t>VKA0</t>
  </si>
  <si>
    <t>V5F3</t>
  </si>
  <si>
    <t>VDSP</t>
  </si>
  <si>
    <t>V54Q</t>
  </si>
  <si>
    <t>VKGD</t>
  </si>
  <si>
    <t>VIBI</t>
  </si>
  <si>
    <t>VDFY</t>
  </si>
  <si>
    <t>VKAE</t>
  </si>
  <si>
    <t>VGAQ</t>
  </si>
  <si>
    <t>V11U</t>
  </si>
  <si>
    <t>V9Q1</t>
  </si>
  <si>
    <t>VMEK</t>
  </si>
  <si>
    <t>VBFV</t>
  </si>
  <si>
    <t>V4A9</t>
  </si>
  <si>
    <t>VSX5</t>
  </si>
  <si>
    <t>VLC1</t>
  </si>
  <si>
    <t>VO2T</t>
  </si>
  <si>
    <t>VQ99</t>
  </si>
  <si>
    <t>V1MM</t>
  </si>
  <si>
    <t>VTTA</t>
  </si>
  <si>
    <t>V34G</t>
  </si>
  <si>
    <t>VYIW</t>
  </si>
  <si>
    <t>VPH6</t>
  </si>
  <si>
    <t>VTDM</t>
  </si>
  <si>
    <t>VOIE</t>
  </si>
  <si>
    <t>V9R1</t>
  </si>
  <si>
    <t>V3XF</t>
  </si>
  <si>
    <t>VKKV</t>
  </si>
  <si>
    <t>VRK3</t>
  </si>
  <si>
    <t>VOI1</t>
  </si>
  <si>
    <t>V72U</t>
  </si>
  <si>
    <t>VZOM</t>
  </si>
  <si>
    <t>VMGP</t>
  </si>
  <si>
    <t>V0Q4</t>
  </si>
  <si>
    <t>VCP3</t>
  </si>
  <si>
    <t>VUBX</t>
  </si>
  <si>
    <t>VSP4</t>
  </si>
  <si>
    <t>VDRB</t>
  </si>
  <si>
    <t>V2VR</t>
  </si>
  <si>
    <t>V6TH</t>
  </si>
  <si>
    <t>VJ1N</t>
  </si>
  <si>
    <t>VCZ8</t>
  </si>
  <si>
    <t>VGST</t>
  </si>
  <si>
    <t>V56Q</t>
  </si>
  <si>
    <t>VG5M</t>
  </si>
  <si>
    <t>VSYN</t>
  </si>
  <si>
    <t>VEGH</t>
  </si>
  <si>
    <t>V007</t>
  </si>
  <si>
    <t>V250</t>
  </si>
  <si>
    <t>VSJ2</t>
  </si>
  <si>
    <t>VE6N</t>
  </si>
  <si>
    <t>V40N</t>
  </si>
  <si>
    <t>VA7X</t>
  </si>
  <si>
    <t>VMO4</t>
  </si>
  <si>
    <t>VF7V</t>
  </si>
  <si>
    <t>VH3B</t>
  </si>
  <si>
    <t>VG58</t>
  </si>
  <si>
    <t>V5OP</t>
  </si>
  <si>
    <t>V940</t>
  </si>
  <si>
    <t>V11G</t>
  </si>
  <si>
    <t>VPON</t>
  </si>
  <si>
    <t>VPX0</t>
  </si>
  <si>
    <t>VCAI</t>
  </si>
  <si>
    <t>VZYF</t>
  </si>
  <si>
    <t>VNPR</t>
  </si>
  <si>
    <t>V74S</t>
  </si>
  <si>
    <t>V6JW</t>
  </si>
  <si>
    <t>VRC2</t>
  </si>
  <si>
    <t>VBF5</t>
  </si>
  <si>
    <t>VKYL</t>
  </si>
  <si>
    <t>V4GZ</t>
  </si>
  <si>
    <t>VHYX</t>
  </si>
  <si>
    <t>VX3Q</t>
  </si>
  <si>
    <t>VAQ3</t>
  </si>
  <si>
    <t>VBOP</t>
  </si>
  <si>
    <t>V7KY</t>
  </si>
  <si>
    <t>VTJA</t>
  </si>
  <si>
    <t>VNHQ</t>
  </si>
  <si>
    <t>V3HG</t>
  </si>
  <si>
    <t>VZEF</t>
  </si>
  <si>
    <t>VUNV</t>
  </si>
  <si>
    <t>VOGG</t>
  </si>
  <si>
    <t>VP9I</t>
  </si>
  <si>
    <t>V9Q8</t>
  </si>
  <si>
    <t>VU70</t>
  </si>
  <si>
    <t>VV66</t>
  </si>
  <si>
    <t>V6OC</t>
  </si>
  <si>
    <t>VRJD</t>
  </si>
  <si>
    <t>VU1P</t>
  </si>
  <si>
    <t>V4HM</t>
  </si>
  <si>
    <t>VM15</t>
  </si>
  <si>
    <t>VGAW</t>
  </si>
  <si>
    <t>VK4C</t>
  </si>
  <si>
    <t>VFFM</t>
  </si>
  <si>
    <t>VTKB</t>
  </si>
  <si>
    <t>V6F3</t>
  </si>
  <si>
    <t>VOQI</t>
  </si>
  <si>
    <t>VA3C</t>
  </si>
  <si>
    <t>VTAQ</t>
  </si>
  <si>
    <t>VOFJ</t>
  </si>
  <si>
    <t>VKBW</t>
  </si>
  <si>
    <t>VGVJ</t>
  </si>
  <si>
    <t>VCVH</t>
  </si>
  <si>
    <t>VM8L</t>
  </si>
  <si>
    <t>V6FE</t>
  </si>
  <si>
    <t>V59M</t>
  </si>
  <si>
    <t>V09P</t>
  </si>
  <si>
    <t>VCEK</t>
  </si>
  <si>
    <t>VE98</t>
  </si>
  <si>
    <t>V80Q</t>
  </si>
  <si>
    <t>VKZX</t>
  </si>
  <si>
    <t>VFRK</t>
  </si>
  <si>
    <t>VN9E</t>
  </si>
  <si>
    <t>VZ2H</t>
  </si>
  <si>
    <t>VTX5</t>
  </si>
  <si>
    <t>VNMH</t>
  </si>
  <si>
    <t>V785</t>
  </si>
  <si>
    <t>V92S</t>
  </si>
  <si>
    <t>VH01</t>
  </si>
  <si>
    <t>VUT2</t>
  </si>
  <si>
    <t>VKCT</t>
  </si>
  <si>
    <t>VRJ8</t>
  </si>
  <si>
    <t>VJ58</t>
  </si>
  <si>
    <t>V6Q4</t>
  </si>
  <si>
    <t>VQDA</t>
  </si>
  <si>
    <t>V8HT</t>
  </si>
  <si>
    <t>VZUI</t>
  </si>
  <si>
    <t>VZBD</t>
  </si>
  <si>
    <t>V87N</t>
  </si>
  <si>
    <t>VVN4</t>
  </si>
  <si>
    <t>VTFB</t>
  </si>
  <si>
    <t>VS2J</t>
  </si>
  <si>
    <t>V5BJ</t>
  </si>
  <si>
    <t>V4Q2</t>
  </si>
  <si>
    <t>V17S</t>
  </si>
  <si>
    <t>VOYT</t>
  </si>
  <si>
    <t>V8C7</t>
  </si>
  <si>
    <t>VBUX</t>
  </si>
  <si>
    <t>VEX8</t>
  </si>
  <si>
    <t>VF0N</t>
  </si>
  <si>
    <t>V1AG</t>
  </si>
  <si>
    <t>V1AU</t>
  </si>
  <si>
    <t>VK1S</t>
  </si>
  <si>
    <t>VSWZ</t>
  </si>
  <si>
    <t>VPOP</t>
  </si>
  <si>
    <t>V02U</t>
  </si>
  <si>
    <t>VJIJ</t>
  </si>
  <si>
    <t>VJ9J</t>
  </si>
  <si>
    <t>VDMO</t>
  </si>
  <si>
    <t>VPY3</t>
  </si>
  <si>
    <t>V4XR</t>
  </si>
  <si>
    <t>VL3I</t>
  </si>
  <si>
    <t>VKAN</t>
  </si>
  <si>
    <t>VDHX</t>
  </si>
  <si>
    <t>VBEU</t>
  </si>
  <si>
    <t>VFGN</t>
  </si>
  <si>
    <t>VGSJ</t>
  </si>
  <si>
    <t>V61N</t>
  </si>
  <si>
    <t>V5TE</t>
  </si>
  <si>
    <t>VHM8</t>
  </si>
  <si>
    <t>V8R8</t>
  </si>
  <si>
    <t>V0K1</t>
  </si>
  <si>
    <t>VKO7</t>
  </si>
  <si>
    <t>VF84</t>
  </si>
  <si>
    <t>VIRX</t>
  </si>
  <si>
    <t>VT1F</t>
  </si>
  <si>
    <t>VZ8N</t>
  </si>
  <si>
    <t>VXWW</t>
  </si>
  <si>
    <t>VIMA</t>
  </si>
  <si>
    <t>VH3H</t>
  </si>
  <si>
    <t>VQZE</t>
  </si>
  <si>
    <t>VTQW</t>
  </si>
  <si>
    <t>VHY5</t>
  </si>
  <si>
    <t>VDM7</t>
  </si>
  <si>
    <t>VMU5</t>
  </si>
  <si>
    <t>V4HL</t>
  </si>
  <si>
    <t>VKGR</t>
  </si>
  <si>
    <t>V9RR</t>
  </si>
  <si>
    <t>VNIX</t>
  </si>
  <si>
    <t>VQ83</t>
  </si>
  <si>
    <t>VJY2</t>
  </si>
  <si>
    <t>V6Z8</t>
  </si>
  <si>
    <t>V4T1</t>
  </si>
  <si>
    <t>VC55</t>
  </si>
  <si>
    <t>VQRU</t>
  </si>
  <si>
    <t>VCQ3</t>
  </si>
  <si>
    <t>V9W1</t>
  </si>
  <si>
    <t>VHU4</t>
  </si>
  <si>
    <t>VHNE</t>
  </si>
  <si>
    <t>VABJ</t>
  </si>
  <si>
    <t>VX4I</t>
  </si>
  <si>
    <t>VVC1</t>
  </si>
  <si>
    <t>VEVM</t>
  </si>
  <si>
    <t>V84A</t>
  </si>
  <si>
    <t>VPBS</t>
  </si>
  <si>
    <t>VQWP</t>
  </si>
  <si>
    <t>VB5I</t>
  </si>
  <si>
    <t>VNY3</t>
  </si>
  <si>
    <t>VSM0</t>
  </si>
  <si>
    <t>V317</t>
  </si>
  <si>
    <t>V1H2</t>
  </si>
  <si>
    <t>VTRA</t>
  </si>
  <si>
    <t>VJHF</t>
  </si>
  <si>
    <t>VEJH</t>
  </si>
  <si>
    <t>VY55</t>
  </si>
  <si>
    <t>VOEZ</t>
  </si>
  <si>
    <t>VPJT</t>
  </si>
  <si>
    <t>VH82</t>
  </si>
  <si>
    <t>VBJX</t>
  </si>
  <si>
    <t>VGEQ</t>
  </si>
  <si>
    <t>VED6</t>
  </si>
  <si>
    <t>VFU7</t>
  </si>
  <si>
    <t>VK7B</t>
  </si>
  <si>
    <t>V6D8</t>
  </si>
  <si>
    <t>V2AQ</t>
  </si>
  <si>
    <t>VTYZ</t>
  </si>
  <si>
    <t>VS1W</t>
  </si>
  <si>
    <t>VCAR</t>
  </si>
  <si>
    <t>V3C6</t>
  </si>
  <si>
    <t>VJKH</t>
  </si>
  <si>
    <t>VVB5</t>
  </si>
  <si>
    <t>VKHQ</t>
  </si>
  <si>
    <t>VDF3</t>
  </si>
  <si>
    <t>VABL</t>
  </si>
  <si>
    <t>V7Y8</t>
  </si>
  <si>
    <t>VOHU</t>
  </si>
  <si>
    <t>VEMG</t>
  </si>
  <si>
    <t>VO4W</t>
  </si>
  <si>
    <t>VJJR</t>
  </si>
  <si>
    <t>VDL1</t>
  </si>
  <si>
    <t>V4H9</t>
  </si>
  <si>
    <t>VMLI</t>
  </si>
  <si>
    <t>VFB5</t>
  </si>
  <si>
    <t>V1N9</t>
  </si>
  <si>
    <t>VYWQ</t>
  </si>
  <si>
    <t>VU3D</t>
  </si>
  <si>
    <t>V7V0</t>
  </si>
  <si>
    <t>VLCY</t>
  </si>
  <si>
    <t>VNV4</t>
  </si>
  <si>
    <t>V7O2</t>
  </si>
  <si>
    <t>VD3E</t>
  </si>
  <si>
    <t>V6PA</t>
  </si>
  <si>
    <t>VLXN</t>
  </si>
  <si>
    <t>VPC2</t>
  </si>
  <si>
    <t>VNQO</t>
  </si>
  <si>
    <t>VFB4</t>
  </si>
  <si>
    <t>VIF8</t>
  </si>
  <si>
    <t>VAOQ</t>
  </si>
  <si>
    <t>VLV5</t>
  </si>
  <si>
    <t>VF4N</t>
  </si>
  <si>
    <t>VZTL</t>
  </si>
  <si>
    <t>VMZC</t>
  </si>
  <si>
    <t>V5Y2</t>
  </si>
  <si>
    <t>VOOU</t>
  </si>
  <si>
    <t>VJMH</t>
  </si>
  <si>
    <t>VWL5</t>
  </si>
  <si>
    <t>VY38</t>
  </si>
  <si>
    <t>VIKW</t>
  </si>
  <si>
    <t>V72Z</t>
  </si>
  <si>
    <t>VFGU</t>
  </si>
  <si>
    <t>VYUA</t>
  </si>
  <si>
    <t>V035</t>
  </si>
  <si>
    <t>V981</t>
  </si>
  <si>
    <t>VHUF</t>
  </si>
  <si>
    <t>VO2R</t>
  </si>
  <si>
    <t>VPEE</t>
  </si>
  <si>
    <t>VQSJ</t>
  </si>
  <si>
    <t>VDCI</t>
  </si>
  <si>
    <t>VMGX</t>
  </si>
  <si>
    <t>VEL5</t>
  </si>
  <si>
    <t>VS58</t>
  </si>
  <si>
    <t>V7JX</t>
  </si>
  <si>
    <t>VPXC</t>
  </si>
  <si>
    <t>V15F</t>
  </si>
  <si>
    <t>V7LA</t>
  </si>
  <si>
    <t>VGGN</t>
  </si>
  <si>
    <t>VCXJ</t>
  </si>
  <si>
    <t>VODF</t>
  </si>
  <si>
    <t>VL76</t>
  </si>
  <si>
    <t>VMTL</t>
  </si>
  <si>
    <t>VDU5</t>
  </si>
  <si>
    <t>VJMT</t>
  </si>
  <si>
    <t>VQ7S</t>
  </si>
  <si>
    <t>VKQP</t>
  </si>
  <si>
    <t>V8QG</t>
  </si>
  <si>
    <t>V765</t>
  </si>
  <si>
    <t>VYOL</t>
  </si>
  <si>
    <t>VZPR</t>
  </si>
  <si>
    <t>VQA0</t>
  </si>
  <si>
    <t>VG54</t>
  </si>
  <si>
    <t>VTN3</t>
  </si>
  <si>
    <t>VBHA</t>
  </si>
  <si>
    <t>VU0E</t>
  </si>
  <si>
    <t>VK4O</t>
  </si>
  <si>
    <t>VJUL</t>
  </si>
  <si>
    <t>VRGL</t>
  </si>
  <si>
    <t>VGA1</t>
  </si>
  <si>
    <t>VSE4</t>
  </si>
  <si>
    <t>VDUP</t>
  </si>
  <si>
    <t>VPFD</t>
  </si>
  <si>
    <t>V50R</t>
  </si>
  <si>
    <t>V7G3</t>
  </si>
  <si>
    <t>VE63</t>
  </si>
  <si>
    <t>V6WC</t>
  </si>
  <si>
    <t>VXPH</t>
  </si>
  <si>
    <t>VKU3</t>
  </si>
  <si>
    <t>VKPG</t>
  </si>
  <si>
    <t>VH25</t>
  </si>
  <si>
    <t>V4FW</t>
  </si>
  <si>
    <t>VZAA</t>
  </si>
  <si>
    <t>V5L4</t>
  </si>
  <si>
    <t>VBDB</t>
  </si>
  <si>
    <t>VQ6C</t>
  </si>
  <si>
    <t>VD3K</t>
  </si>
  <si>
    <t>VKCM</t>
  </si>
  <si>
    <t>VEIB</t>
  </si>
  <si>
    <t>VXX6</t>
  </si>
  <si>
    <t>VL05</t>
  </si>
  <si>
    <t>VF55</t>
  </si>
  <si>
    <t>VU58</t>
  </si>
  <si>
    <t>VVUX</t>
  </si>
  <si>
    <t>VFYD</t>
  </si>
  <si>
    <t>VHUA</t>
  </si>
  <si>
    <t>V4CN</t>
  </si>
  <si>
    <t>VHX4</t>
  </si>
  <si>
    <t>VSOK</t>
  </si>
  <si>
    <t>VL9H</t>
  </si>
  <si>
    <t>VOD4</t>
  </si>
  <si>
    <t>VKY3</t>
  </si>
  <si>
    <t>VYR9</t>
  </si>
  <si>
    <t>VYGQ</t>
  </si>
  <si>
    <t>VZIE</t>
  </si>
  <si>
    <t>VZQ7</t>
  </si>
  <si>
    <t>V0Q8</t>
  </si>
  <si>
    <t>VTCB</t>
  </si>
  <si>
    <t>VSSX</t>
  </si>
  <si>
    <t>VMZ7</t>
  </si>
  <si>
    <t xml:space="preserve">new codes </t>
  </si>
  <si>
    <t>VG1T</t>
  </si>
  <si>
    <t>V202</t>
  </si>
  <si>
    <t>VLYN</t>
  </si>
  <si>
    <t>V3R4</t>
  </si>
  <si>
    <t>VXDT</t>
  </si>
  <si>
    <t>VDJZ</t>
  </si>
  <si>
    <t>VVKI</t>
  </si>
  <si>
    <t>VXND</t>
  </si>
  <si>
    <t>V4LV</t>
  </si>
  <si>
    <t>VLYE</t>
  </si>
  <si>
    <t>VMRG</t>
  </si>
  <si>
    <t>VJQF</t>
  </si>
  <si>
    <t>VBHD</t>
  </si>
  <si>
    <t>VXBH</t>
  </si>
  <si>
    <t>VRLI</t>
  </si>
  <si>
    <t>V5PE</t>
  </si>
  <si>
    <t>VU1Q</t>
  </si>
  <si>
    <t>V73Y</t>
  </si>
  <si>
    <t>VEH0</t>
  </si>
  <si>
    <t>V2DN</t>
  </si>
  <si>
    <t>VDOY</t>
  </si>
  <si>
    <t>VDUU</t>
  </si>
  <si>
    <t>VI3W</t>
  </si>
  <si>
    <t>VJQ2</t>
  </si>
  <si>
    <t>VLA0</t>
  </si>
  <si>
    <t>VQSO</t>
  </si>
  <si>
    <t>VK3G</t>
  </si>
  <si>
    <t>V9S2</t>
  </si>
  <si>
    <t>VV1R</t>
  </si>
  <si>
    <t>VS0E</t>
  </si>
  <si>
    <t>V14V</t>
  </si>
  <si>
    <t>VAMH</t>
  </si>
  <si>
    <t>VBY9</t>
  </si>
  <si>
    <t>V8KA</t>
  </si>
  <si>
    <t>V56Y</t>
  </si>
  <si>
    <t>V96U</t>
  </si>
  <si>
    <t>V9GQ</t>
  </si>
  <si>
    <t>VPV4</t>
  </si>
  <si>
    <t>VB3Z</t>
  </si>
  <si>
    <t>VRMB</t>
  </si>
  <si>
    <t>VTW7</t>
  </si>
  <si>
    <t>VLH5</t>
  </si>
  <si>
    <t>V84W</t>
  </si>
  <si>
    <t>VDM3</t>
  </si>
  <si>
    <t>VAH3</t>
  </si>
  <si>
    <t>VQ7E</t>
  </si>
  <si>
    <t>VGOB</t>
  </si>
  <si>
    <t>VDYZ</t>
  </si>
  <si>
    <t>VMTH</t>
  </si>
  <si>
    <t>VJZ3</t>
  </si>
  <si>
    <t>VX27</t>
  </si>
  <si>
    <t>V78I</t>
  </si>
  <si>
    <t>V6IK</t>
  </si>
  <si>
    <t>VA7K</t>
  </si>
  <si>
    <t>VYI7</t>
  </si>
  <si>
    <t>VH4V</t>
  </si>
  <si>
    <t>VEEI</t>
  </si>
  <si>
    <t>VMGJ</t>
  </si>
  <si>
    <t>V3F0</t>
  </si>
  <si>
    <t>V6L2</t>
  </si>
  <si>
    <t>VWNO</t>
  </si>
  <si>
    <t>VHV3</t>
  </si>
  <si>
    <t>VFE3</t>
  </si>
  <si>
    <t>VOHX</t>
  </si>
  <si>
    <t>VWZK</t>
  </si>
  <si>
    <t>VKEO</t>
  </si>
  <si>
    <t>VD7E</t>
  </si>
  <si>
    <t>VBMC</t>
  </si>
  <si>
    <t>VOMA</t>
  </si>
  <si>
    <t>V1T6</t>
  </si>
  <si>
    <t>VZN2</t>
  </si>
  <si>
    <t>V57R</t>
  </si>
  <si>
    <t>V2NW</t>
  </si>
  <si>
    <t>VA0V</t>
  </si>
  <si>
    <t>V9YC</t>
  </si>
  <si>
    <t>VM3E</t>
  </si>
  <si>
    <t>VT33</t>
  </si>
  <si>
    <t>VX3A</t>
  </si>
  <si>
    <t>VQG2</t>
  </si>
  <si>
    <t>V4UG</t>
  </si>
  <si>
    <t>VKCJ</t>
  </si>
  <si>
    <t>VWE4</t>
  </si>
  <si>
    <t>VTUV</t>
  </si>
  <si>
    <t>V5UG</t>
  </si>
  <si>
    <t>VW8D</t>
  </si>
  <si>
    <t>VDGC</t>
  </si>
  <si>
    <t>V4FC</t>
  </si>
  <si>
    <t>V8TR</t>
  </si>
  <si>
    <t>VWDP</t>
  </si>
  <si>
    <t>V8YZ</t>
  </si>
  <si>
    <t>VODM</t>
  </si>
  <si>
    <t>VQ22</t>
  </si>
  <si>
    <t>VS40</t>
  </si>
  <si>
    <t>VDQA</t>
  </si>
  <si>
    <t>V6EQ</t>
  </si>
  <si>
    <t>V10Y</t>
  </si>
  <si>
    <t>VWVF</t>
  </si>
  <si>
    <t>VNUD</t>
  </si>
  <si>
    <t>VT7G</t>
  </si>
  <si>
    <t>VF2Z</t>
  </si>
  <si>
    <t>VHYZ</t>
  </si>
  <si>
    <t>VUGC</t>
  </si>
  <si>
    <t>VGJB</t>
  </si>
  <si>
    <t>V3Z9</t>
  </si>
  <si>
    <t>VS87</t>
  </si>
  <si>
    <t>VG7K</t>
  </si>
  <si>
    <t>VJLZ</t>
  </si>
  <si>
    <t>V7ZH</t>
  </si>
  <si>
    <t>V5QI</t>
  </si>
  <si>
    <t>VR9N</t>
  </si>
  <si>
    <t>VQLL</t>
  </si>
  <si>
    <t>V4J1</t>
  </si>
  <si>
    <t>VCWE</t>
  </si>
  <si>
    <t>VFX0</t>
  </si>
  <si>
    <t>VG3Z</t>
  </si>
  <si>
    <t>VJCF</t>
  </si>
  <si>
    <t>V6AK</t>
  </si>
  <si>
    <t>VXXI</t>
  </si>
  <si>
    <t>VW2U</t>
  </si>
  <si>
    <t>VF9Z</t>
  </si>
  <si>
    <t>VJY6</t>
  </si>
  <si>
    <t>V3SK</t>
  </si>
  <si>
    <t>VPBJ</t>
  </si>
  <si>
    <t>VAAS</t>
  </si>
  <si>
    <t>VH9Q</t>
  </si>
  <si>
    <t>VYJ0</t>
  </si>
  <si>
    <t>VMFD</t>
  </si>
  <si>
    <t>VIBH</t>
  </si>
  <si>
    <t>VP3W</t>
  </si>
  <si>
    <t>VJL6</t>
  </si>
  <si>
    <t>VT1G</t>
  </si>
  <si>
    <t>VC2V</t>
  </si>
  <si>
    <t>V82T</t>
  </si>
  <si>
    <t>VSVB</t>
  </si>
  <si>
    <t>VL54</t>
  </si>
  <si>
    <t>VF1J</t>
  </si>
  <si>
    <t>VNT2</t>
  </si>
  <si>
    <t>V075</t>
  </si>
  <si>
    <t>VVTI</t>
  </si>
  <si>
    <t>V3TM</t>
  </si>
  <si>
    <t>V8E0</t>
  </si>
  <si>
    <t>V4K5</t>
  </si>
  <si>
    <t>VTVF</t>
  </si>
  <si>
    <t>VN99</t>
  </si>
  <si>
    <t>VZMR</t>
  </si>
  <si>
    <t>VCTM</t>
  </si>
  <si>
    <t>VV83</t>
  </si>
  <si>
    <t>V866</t>
  </si>
  <si>
    <t>VJOG</t>
  </si>
  <si>
    <t>VIMR</t>
  </si>
  <si>
    <t>VXVX</t>
  </si>
  <si>
    <t>VW4P</t>
  </si>
  <si>
    <t>V390</t>
  </si>
  <si>
    <t>VFFD</t>
  </si>
  <si>
    <t>VNN1</t>
  </si>
  <si>
    <t>VC3V</t>
  </si>
  <si>
    <t>VKCA</t>
  </si>
  <si>
    <t>VYZ8</t>
  </si>
  <si>
    <t>VM5J</t>
  </si>
  <si>
    <t>VCRD</t>
  </si>
  <si>
    <t>VTQJ</t>
  </si>
  <si>
    <t>VQJG</t>
  </si>
  <si>
    <t>V9E2</t>
  </si>
  <si>
    <t>VBHV</t>
  </si>
  <si>
    <t>VC05</t>
  </si>
  <si>
    <t>VOKQ</t>
  </si>
  <si>
    <t>VRBZ</t>
  </si>
  <si>
    <t>VW7T</t>
  </si>
  <si>
    <t>V7GI</t>
  </si>
  <si>
    <t>VYYO</t>
  </si>
  <si>
    <t>VNWC</t>
  </si>
  <si>
    <t>VR7A</t>
  </si>
  <si>
    <t>V9VG</t>
  </si>
  <si>
    <t>V0BY</t>
  </si>
  <si>
    <t>VQYR</t>
  </si>
  <si>
    <t>VSON</t>
  </si>
  <si>
    <t>VWZ9</t>
  </si>
  <si>
    <t>VBKG</t>
  </si>
  <si>
    <t>V9AK</t>
  </si>
  <si>
    <t>VKIJ</t>
  </si>
  <si>
    <t>V17C</t>
  </si>
  <si>
    <t>VCMP</t>
  </si>
  <si>
    <t>V0QV</t>
  </si>
  <si>
    <t>VILH</t>
  </si>
  <si>
    <t>VQPF</t>
  </si>
  <si>
    <t>V55H</t>
  </si>
  <si>
    <t>VS0V</t>
  </si>
  <si>
    <t>V3EJ</t>
  </si>
  <si>
    <t>V538</t>
  </si>
  <si>
    <t>VG6D</t>
  </si>
  <si>
    <t>V3F2</t>
  </si>
  <si>
    <t>VQP4</t>
  </si>
  <si>
    <t>V472</t>
  </si>
  <si>
    <t>VMLV</t>
  </si>
  <si>
    <t>VBCM</t>
  </si>
  <si>
    <t>VCEM</t>
  </si>
  <si>
    <t>VHH9</t>
  </si>
  <si>
    <t>VWBI</t>
  </si>
  <si>
    <t>VOMZ</t>
  </si>
  <si>
    <t>VCVP</t>
  </si>
  <si>
    <t>V656</t>
  </si>
  <si>
    <t>V31H</t>
  </si>
  <si>
    <t>V19O</t>
  </si>
  <si>
    <t>VEHS</t>
  </si>
  <si>
    <t>V9R3</t>
  </si>
  <si>
    <t>VXMS</t>
  </si>
  <si>
    <t>VK84</t>
  </si>
  <si>
    <t>VNHM</t>
  </si>
  <si>
    <t>VGIN</t>
  </si>
  <si>
    <t>VC9X</t>
  </si>
  <si>
    <t>V0TQ</t>
  </si>
  <si>
    <t>V2BY</t>
  </si>
  <si>
    <t>VY6E</t>
  </si>
  <si>
    <t>VIC0</t>
  </si>
  <si>
    <t>VYTA</t>
  </si>
  <si>
    <t>VIYF</t>
  </si>
  <si>
    <t>VO79</t>
  </si>
  <si>
    <t>V1NT</t>
  </si>
  <si>
    <t>V6WJ</t>
  </si>
  <si>
    <t>VIFM</t>
  </si>
  <si>
    <t>VZ9F</t>
  </si>
  <si>
    <t>V97A</t>
  </si>
  <si>
    <t>VMXN</t>
  </si>
  <si>
    <t>VPCK</t>
  </si>
  <si>
    <t>VTQ2</t>
  </si>
  <si>
    <t>VV8B</t>
  </si>
  <si>
    <t>VR0O</t>
  </si>
  <si>
    <t>VAID</t>
  </si>
  <si>
    <t>VKL1</t>
  </si>
  <si>
    <t>VFYY</t>
  </si>
  <si>
    <t>VI64</t>
  </si>
  <si>
    <t>VCOT</t>
  </si>
  <si>
    <t>VOJX</t>
  </si>
  <si>
    <t>VNSY</t>
  </si>
  <si>
    <t>V60E</t>
  </si>
  <si>
    <t>VLQD</t>
  </si>
  <si>
    <t>VJ9K</t>
  </si>
  <si>
    <t>VA6A</t>
  </si>
  <si>
    <t>V80A</t>
  </si>
  <si>
    <t>VYET</t>
  </si>
  <si>
    <t>V9P2</t>
  </si>
  <si>
    <t>VALZ</t>
  </si>
  <si>
    <t>VES7</t>
  </si>
  <si>
    <t>VH1B</t>
  </si>
  <si>
    <t>VPG0</t>
  </si>
  <si>
    <t>V1Z7</t>
  </si>
  <si>
    <t>V31T</t>
  </si>
  <si>
    <t>VVZA</t>
  </si>
  <si>
    <t>VLX4</t>
  </si>
  <si>
    <t>VU8I</t>
  </si>
  <si>
    <t>VBLO</t>
  </si>
  <si>
    <t>VDYE</t>
  </si>
  <si>
    <t>V0IR</t>
  </si>
  <si>
    <t>V5VA</t>
  </si>
  <si>
    <t>VATP</t>
  </si>
  <si>
    <t>VRRD</t>
  </si>
  <si>
    <t>V4N7</t>
  </si>
  <si>
    <t>VI1U</t>
  </si>
  <si>
    <t>VAS9</t>
  </si>
  <si>
    <t>VLOI</t>
  </si>
  <si>
    <t>VZ0J</t>
  </si>
  <si>
    <t>VUKJ</t>
  </si>
  <si>
    <t>VXAP</t>
  </si>
  <si>
    <t>VU7J</t>
  </si>
  <si>
    <t>VX9Q</t>
  </si>
  <si>
    <t>VMJJ</t>
  </si>
  <si>
    <t>VM8C</t>
  </si>
  <si>
    <t>VH2U</t>
  </si>
  <si>
    <t>V1UW</t>
  </si>
  <si>
    <t>VKJ2</t>
  </si>
  <si>
    <t>VOT5</t>
  </si>
  <si>
    <t>VND9</t>
  </si>
  <si>
    <t>VZ68</t>
  </si>
  <si>
    <t>VS3M</t>
  </si>
  <si>
    <t>VFRW</t>
  </si>
  <si>
    <t>VEI5</t>
  </si>
  <si>
    <t>VDND</t>
  </si>
  <si>
    <t>VJ40</t>
  </si>
  <si>
    <t>VF16</t>
  </si>
  <si>
    <t>V6K4</t>
  </si>
  <si>
    <t>VU74</t>
  </si>
  <si>
    <t>V0G2</t>
  </si>
  <si>
    <t>V61B</t>
  </si>
  <si>
    <t>VP0R</t>
  </si>
  <si>
    <t>VUAD</t>
  </si>
  <si>
    <t>V5AX</t>
  </si>
  <si>
    <t>V768</t>
  </si>
  <si>
    <t>VHVX</t>
  </si>
  <si>
    <t>VQKK</t>
  </si>
  <si>
    <t>V3WC</t>
  </si>
  <si>
    <t>VN7M</t>
  </si>
  <si>
    <t>V3AL</t>
  </si>
  <si>
    <t>VAZD</t>
  </si>
  <si>
    <t>VQ4M</t>
  </si>
  <si>
    <t>VYJH</t>
  </si>
  <si>
    <t>V2KE</t>
  </si>
  <si>
    <t>VBNL</t>
  </si>
  <si>
    <t>VHER</t>
  </si>
  <si>
    <t>V8IV</t>
  </si>
  <si>
    <t>VLW1</t>
  </si>
  <si>
    <t>VFJ0</t>
  </si>
  <si>
    <t>V7GH</t>
  </si>
  <si>
    <t>V9XA</t>
  </si>
  <si>
    <t>V9DF</t>
  </si>
  <si>
    <t>V4F1</t>
  </si>
  <si>
    <t>VXOV</t>
  </si>
  <si>
    <t>VAJK</t>
  </si>
  <si>
    <t>V201</t>
  </si>
  <si>
    <t>VBGQ</t>
  </si>
  <si>
    <t>V51F</t>
  </si>
  <si>
    <t>V8A9</t>
  </si>
  <si>
    <t>VZ9L</t>
  </si>
  <si>
    <t>VWQX</t>
  </si>
  <si>
    <t>VKOK</t>
  </si>
  <si>
    <t>VL2J</t>
  </si>
  <si>
    <t>V43K</t>
  </si>
  <si>
    <t>V3M5</t>
  </si>
  <si>
    <t>VJ85</t>
  </si>
  <si>
    <t>VB4E</t>
  </si>
  <si>
    <t>VOOA</t>
  </si>
  <si>
    <t>VHA3</t>
  </si>
  <si>
    <t>VGNU</t>
  </si>
  <si>
    <t>V2Q6</t>
  </si>
  <si>
    <t>VG1C</t>
  </si>
  <si>
    <t>VF3W</t>
  </si>
  <si>
    <t>VO55</t>
  </si>
  <si>
    <t>VSIZ</t>
  </si>
  <si>
    <t>VSPE</t>
  </si>
  <si>
    <t>VCNG</t>
  </si>
  <si>
    <t>VSA1</t>
  </si>
  <si>
    <t>VDW7</t>
  </si>
  <si>
    <t>VUNJ</t>
  </si>
  <si>
    <t>VYHY</t>
  </si>
  <si>
    <t>VOSJ</t>
  </si>
  <si>
    <t>VILP</t>
  </si>
  <si>
    <t>V950</t>
  </si>
  <si>
    <t>VIFR</t>
  </si>
  <si>
    <t>V4YB</t>
  </si>
  <si>
    <t>VEPV</t>
  </si>
  <si>
    <t>V210</t>
  </si>
  <si>
    <t>VJHB</t>
  </si>
  <si>
    <t>VX3S</t>
  </si>
  <si>
    <t>VCXE</t>
  </si>
  <si>
    <t>VIDE</t>
  </si>
  <si>
    <t>VS88</t>
  </si>
  <si>
    <t>VPL3</t>
  </si>
  <si>
    <t>VECI</t>
  </si>
  <si>
    <t>VILU</t>
  </si>
  <si>
    <t>V57O</t>
  </si>
  <si>
    <t>VTUE</t>
  </si>
  <si>
    <t>VDOH</t>
  </si>
  <si>
    <t>V3AJ</t>
  </si>
  <si>
    <t>VUW3</t>
  </si>
  <si>
    <t>VXD3</t>
  </si>
  <si>
    <t>VLNQ</t>
  </si>
  <si>
    <t>V812</t>
  </si>
  <si>
    <t>VDT8</t>
  </si>
  <si>
    <t>VRZL</t>
  </si>
  <si>
    <t>VWYC</t>
  </si>
  <si>
    <t>VS8F</t>
  </si>
  <si>
    <t>VQ1W</t>
  </si>
  <si>
    <t>V5IJ</t>
  </si>
  <si>
    <t>VZN6</t>
  </si>
  <si>
    <t>VW1N</t>
  </si>
  <si>
    <t>VHBJ</t>
  </si>
  <si>
    <t>VX4C</t>
  </si>
  <si>
    <t>VBS8</t>
  </si>
  <si>
    <t>VQTW</t>
  </si>
  <si>
    <t>VYVW</t>
  </si>
  <si>
    <t>V3YJ</t>
  </si>
  <si>
    <t>VH0K</t>
  </si>
  <si>
    <t>VEWO</t>
  </si>
  <si>
    <t>VUFA</t>
  </si>
  <si>
    <t>VWYI</t>
  </si>
  <si>
    <t>VR6H</t>
  </si>
  <si>
    <t>VAZW</t>
  </si>
  <si>
    <t>VA9Z</t>
  </si>
  <si>
    <t>VA2U</t>
  </si>
  <si>
    <t>VXBQ</t>
  </si>
  <si>
    <t>VJLA</t>
  </si>
  <si>
    <t>VVRZ</t>
  </si>
  <si>
    <t>VJQR</t>
  </si>
  <si>
    <t>VNSR</t>
  </si>
  <si>
    <t>V6CL</t>
  </si>
  <si>
    <t>VHS9</t>
  </si>
  <si>
    <t>V3EV</t>
  </si>
  <si>
    <t>VAEY</t>
  </si>
  <si>
    <t>VB03</t>
  </si>
  <si>
    <t>VEQB</t>
  </si>
  <si>
    <t>VCKW</t>
  </si>
  <si>
    <t>VDW8</t>
  </si>
  <si>
    <t>VP32</t>
  </si>
  <si>
    <t>VFBB</t>
  </si>
  <si>
    <t>VWK9</t>
  </si>
  <si>
    <t>VJKV</t>
  </si>
  <si>
    <t>VMKS</t>
  </si>
  <si>
    <t>VJ03</t>
  </si>
  <si>
    <t>VRRZ</t>
  </si>
  <si>
    <t>V9UH</t>
  </si>
  <si>
    <t>VJBK</t>
  </si>
  <si>
    <t>VQUL</t>
  </si>
  <si>
    <t>VTX4</t>
  </si>
  <si>
    <t>VVVT</t>
  </si>
  <si>
    <t>VOD6</t>
  </si>
  <si>
    <t>V7RY</t>
  </si>
  <si>
    <t>VE8F</t>
  </si>
  <si>
    <t>VD8M</t>
  </si>
  <si>
    <t>V7YJ</t>
  </si>
  <si>
    <t>V6BP</t>
  </si>
  <si>
    <t>VXYB</t>
  </si>
  <si>
    <t>VGSE</t>
  </si>
  <si>
    <t>V0UE</t>
  </si>
  <si>
    <t>VIVG</t>
  </si>
  <si>
    <t>VEX9</t>
  </si>
  <si>
    <t>VKJE</t>
  </si>
  <si>
    <t>VLYL</t>
  </si>
  <si>
    <t>VB06</t>
  </si>
  <si>
    <t>V0O9</t>
  </si>
  <si>
    <t>V2HW</t>
  </si>
  <si>
    <t>VK79</t>
  </si>
  <si>
    <t>V8G9</t>
  </si>
  <si>
    <t>V96D</t>
  </si>
  <si>
    <t>VVG9</t>
  </si>
  <si>
    <t>V8WO</t>
  </si>
  <si>
    <t>VJAJ</t>
  </si>
  <si>
    <t>VTVW</t>
  </si>
  <si>
    <t>VY5N</t>
  </si>
  <si>
    <t>VMV5</t>
  </si>
  <si>
    <t>V2QE</t>
  </si>
  <si>
    <t>VHZI</t>
  </si>
  <si>
    <t>VF60</t>
  </si>
  <si>
    <t>V606</t>
  </si>
  <si>
    <t>V60I</t>
  </si>
  <si>
    <t>VJ5Z</t>
  </si>
  <si>
    <t>VNYD</t>
  </si>
  <si>
    <t>V2JN</t>
  </si>
  <si>
    <t>VRXM</t>
  </si>
  <si>
    <t>VQ38</t>
  </si>
  <si>
    <t>VVRU</t>
  </si>
  <si>
    <t>V8M8</t>
  </si>
  <si>
    <t>VSZI</t>
  </si>
  <si>
    <t>VMK9</t>
  </si>
  <si>
    <t>VS3J</t>
  </si>
  <si>
    <t>V9NG</t>
  </si>
  <si>
    <t>VQY2</t>
  </si>
  <si>
    <t>VJ2T</t>
  </si>
  <si>
    <t>VHNI</t>
  </si>
  <si>
    <t>VU3B</t>
  </si>
  <si>
    <t>V2OG</t>
  </si>
  <si>
    <t>VQYA</t>
  </si>
  <si>
    <t>VQ0Z</t>
  </si>
  <si>
    <t>VX7K</t>
  </si>
  <si>
    <t>VSPP</t>
  </si>
  <si>
    <t>VJBA</t>
  </si>
  <si>
    <t>VVCA</t>
  </si>
  <si>
    <t>VA7W</t>
  </si>
  <si>
    <t>VF3E</t>
  </si>
  <si>
    <t>V46M</t>
  </si>
  <si>
    <t>VN3Z</t>
  </si>
  <si>
    <t>VMVY</t>
  </si>
  <si>
    <t>VVNM</t>
  </si>
  <si>
    <t>V8C8</t>
  </si>
  <si>
    <t>VQ8M</t>
  </si>
  <si>
    <t>V3DH</t>
  </si>
  <si>
    <t>VX1L</t>
  </si>
  <si>
    <t>VG33</t>
  </si>
  <si>
    <t>VEJY</t>
  </si>
  <si>
    <t>V0J1</t>
  </si>
  <si>
    <t>VXMM</t>
  </si>
  <si>
    <t>VM56</t>
  </si>
  <si>
    <t>VNP1</t>
  </si>
  <si>
    <t>VXSJ</t>
  </si>
  <si>
    <t>VFAS</t>
  </si>
  <si>
    <t>VHNK</t>
  </si>
  <si>
    <t>VU38</t>
  </si>
  <si>
    <t>V169</t>
  </si>
  <si>
    <t>VRUL</t>
  </si>
  <si>
    <t>V349</t>
  </si>
  <si>
    <t>V6GZ</t>
  </si>
  <si>
    <t>VA3M</t>
  </si>
  <si>
    <t>VAQS</t>
  </si>
  <si>
    <t>VVEC</t>
  </si>
  <si>
    <t>VN4P</t>
  </si>
  <si>
    <t>V2UU</t>
  </si>
  <si>
    <t>V25I</t>
  </si>
  <si>
    <t>VWM1</t>
  </si>
  <si>
    <t>V1YU</t>
  </si>
  <si>
    <t>VA0C</t>
  </si>
  <si>
    <t>VS9D</t>
  </si>
  <si>
    <t>VS0I</t>
  </si>
  <si>
    <t>VZ3S</t>
  </si>
  <si>
    <t>VF7P</t>
  </si>
  <si>
    <t>VTPZ</t>
  </si>
  <si>
    <t>VTSH</t>
  </si>
  <si>
    <t>VB4Z</t>
  </si>
  <si>
    <t>VU1H</t>
  </si>
  <si>
    <t>VY6U</t>
  </si>
  <si>
    <t>VI6H</t>
  </si>
  <si>
    <t>VC9V</t>
  </si>
  <si>
    <t>VJ63</t>
  </si>
  <si>
    <t>VU4F</t>
  </si>
  <si>
    <t>VWBW</t>
  </si>
  <si>
    <t>VMY1</t>
  </si>
  <si>
    <t>V2JY</t>
  </si>
  <si>
    <t>VVHO</t>
  </si>
  <si>
    <t>VXKR</t>
  </si>
  <si>
    <t>VFUK</t>
  </si>
  <si>
    <t>V5W3</t>
  </si>
  <si>
    <t>VI58</t>
  </si>
  <si>
    <t>VDJB</t>
  </si>
  <si>
    <t>V5RX</t>
  </si>
  <si>
    <t>VBC9</t>
  </si>
  <si>
    <t>V4L3</t>
  </si>
  <si>
    <t>VQ4A</t>
  </si>
  <si>
    <t>VQB7</t>
  </si>
  <si>
    <t>VOGS</t>
  </si>
  <si>
    <t>VTNX</t>
  </si>
  <si>
    <t>VOPQ</t>
  </si>
  <si>
    <t>VME7</t>
  </si>
  <si>
    <t>VD0R</t>
  </si>
  <si>
    <t>VUFH</t>
  </si>
  <si>
    <t>VDQ5</t>
  </si>
  <si>
    <t>VD0A</t>
  </si>
  <si>
    <t>VWDC</t>
  </si>
  <si>
    <t>V62F</t>
  </si>
  <si>
    <t>VWJF</t>
  </si>
  <si>
    <t>V7EK</t>
  </si>
  <si>
    <t>VSXH</t>
  </si>
  <si>
    <t>V3A3</t>
  </si>
  <si>
    <t>VCZQ</t>
  </si>
  <si>
    <t>VZGM</t>
  </si>
  <si>
    <t>VXYO</t>
  </si>
  <si>
    <t>VTM6</t>
  </si>
  <si>
    <t>VV5F</t>
  </si>
  <si>
    <t>VZVS</t>
  </si>
  <si>
    <t>VJHP</t>
  </si>
  <si>
    <t>VOFA</t>
  </si>
  <si>
    <t>VUGS</t>
  </si>
  <si>
    <t>VSUJ</t>
  </si>
  <si>
    <t>V2UR</t>
  </si>
  <si>
    <t>VBCA</t>
  </si>
  <si>
    <t>VRK0</t>
  </si>
  <si>
    <t>VO8Y</t>
  </si>
  <si>
    <t>V3US</t>
  </si>
  <si>
    <t>V8DV</t>
  </si>
  <si>
    <t>VKYK</t>
  </si>
  <si>
    <t>VMYV</t>
  </si>
  <si>
    <t>VSJZ</t>
  </si>
  <si>
    <t>VYPK</t>
  </si>
  <si>
    <t>VCK1</t>
  </si>
  <si>
    <t>VW7K</t>
  </si>
  <si>
    <t>VC2B</t>
  </si>
  <si>
    <t>VB4G</t>
  </si>
  <si>
    <t>VMCT</t>
  </si>
  <si>
    <t>VZMK</t>
  </si>
  <si>
    <t>VRT2</t>
  </si>
  <si>
    <t>VOYL</t>
  </si>
  <si>
    <t>VJ78</t>
  </si>
  <si>
    <t>VCTV</t>
  </si>
  <si>
    <t>VXRK</t>
  </si>
  <si>
    <t>V69Q</t>
  </si>
  <si>
    <t>VNR8</t>
  </si>
  <si>
    <t>V6RP</t>
  </si>
  <si>
    <t>VAZ4</t>
  </si>
  <si>
    <t>VUYT</t>
  </si>
  <si>
    <t>VAZH</t>
  </si>
  <si>
    <t>VXVY</t>
  </si>
  <si>
    <t>VZSF</t>
  </si>
  <si>
    <t>V0R8</t>
  </si>
  <si>
    <t>VSOO</t>
  </si>
  <si>
    <t>VWLV</t>
  </si>
  <si>
    <t>VD1U</t>
  </si>
  <si>
    <t>VFZY</t>
  </si>
  <si>
    <t>VNPA</t>
  </si>
  <si>
    <t>VEX5</t>
  </si>
  <si>
    <t>VO2J</t>
  </si>
  <si>
    <t>VMPA</t>
  </si>
  <si>
    <t>VEAK</t>
  </si>
  <si>
    <t>VN5T</t>
  </si>
  <si>
    <t>VMAT</t>
  </si>
  <si>
    <t>VHZ8</t>
  </si>
  <si>
    <t>7% discount</t>
  </si>
  <si>
    <t>TT101</t>
  </si>
  <si>
    <t>TT109</t>
  </si>
  <si>
    <t>TT110</t>
  </si>
  <si>
    <t>TT111</t>
  </si>
  <si>
    <t>TT112</t>
  </si>
  <si>
    <t>TT113</t>
  </si>
  <si>
    <t>TT114</t>
  </si>
  <si>
    <t>TT115</t>
  </si>
  <si>
    <t>TT116</t>
  </si>
  <si>
    <t>TT117</t>
  </si>
  <si>
    <t>TT118</t>
  </si>
  <si>
    <t>TT119</t>
  </si>
  <si>
    <t>TT120</t>
  </si>
  <si>
    <t>TT121</t>
  </si>
  <si>
    <t>TT122</t>
  </si>
  <si>
    <t>TT123</t>
  </si>
  <si>
    <t>TT124</t>
  </si>
  <si>
    <t>TT125</t>
  </si>
  <si>
    <t>TT126</t>
  </si>
  <si>
    <t>TT127</t>
  </si>
  <si>
    <t>TT128</t>
  </si>
  <si>
    <t>TT129</t>
  </si>
  <si>
    <t>TT130</t>
  </si>
  <si>
    <t>TT131</t>
  </si>
  <si>
    <t>TT132</t>
  </si>
  <si>
    <t>TT133</t>
  </si>
  <si>
    <t>TT134</t>
  </si>
  <si>
    <t>TT135</t>
  </si>
  <si>
    <t>TT136</t>
  </si>
  <si>
    <t>TT137</t>
  </si>
  <si>
    <t>TT138</t>
  </si>
  <si>
    <t>TT139</t>
  </si>
  <si>
    <t>TT140</t>
  </si>
  <si>
    <t>TT141</t>
  </si>
  <si>
    <t>TT142</t>
  </si>
  <si>
    <t>TT143</t>
  </si>
  <si>
    <t>TT144</t>
  </si>
  <si>
    <t>TT145</t>
  </si>
  <si>
    <t>TT146</t>
  </si>
  <si>
    <t>TT147</t>
  </si>
  <si>
    <t>TT148</t>
  </si>
  <si>
    <t>TT149</t>
  </si>
  <si>
    <t>TT150</t>
  </si>
  <si>
    <t>RS1</t>
  </si>
  <si>
    <t>RS2</t>
  </si>
  <si>
    <t>RS3</t>
  </si>
  <si>
    <t>RS4</t>
  </si>
  <si>
    <t>RS5</t>
  </si>
  <si>
    <t>RS24</t>
  </si>
  <si>
    <t>RS25</t>
  </si>
  <si>
    <t>RS26</t>
  </si>
  <si>
    <t>RS27</t>
  </si>
  <si>
    <t>RS28</t>
  </si>
  <si>
    <t>RS29</t>
  </si>
  <si>
    <t>RS30</t>
  </si>
  <si>
    <t>RS31</t>
  </si>
  <si>
    <t>RS32</t>
  </si>
  <si>
    <t>RS33</t>
  </si>
  <si>
    <t>RS34</t>
  </si>
  <si>
    <t>RS35</t>
  </si>
  <si>
    <t>RS36</t>
  </si>
  <si>
    <t>RS37</t>
  </si>
  <si>
    <t>RS38</t>
  </si>
  <si>
    <t>RS39</t>
  </si>
  <si>
    <t>RS40</t>
  </si>
  <si>
    <t>RS41</t>
  </si>
  <si>
    <t>RS42</t>
  </si>
  <si>
    <t>RS43</t>
  </si>
  <si>
    <t>RS44</t>
  </si>
  <si>
    <t>RS45</t>
  </si>
  <si>
    <t>RS46</t>
  </si>
  <si>
    <t>RS47</t>
  </si>
  <si>
    <t>RS49</t>
  </si>
  <si>
    <t>RS50</t>
  </si>
  <si>
    <t>RS51</t>
  </si>
  <si>
    <t>RS52</t>
  </si>
  <si>
    <t>RS53</t>
  </si>
  <si>
    <t>RS54</t>
  </si>
  <si>
    <t>RS55</t>
  </si>
  <si>
    <t>RS56</t>
  </si>
  <si>
    <t>RS57</t>
  </si>
  <si>
    <t>RS58</t>
  </si>
  <si>
    <t>RS59</t>
  </si>
  <si>
    <t>RS60</t>
  </si>
  <si>
    <t>RS61</t>
  </si>
  <si>
    <t>RS62</t>
  </si>
  <si>
    <t>RS63</t>
  </si>
  <si>
    <t>RS64</t>
  </si>
  <si>
    <t>RS65</t>
  </si>
  <si>
    <t>RS66</t>
  </si>
  <si>
    <t>RS67</t>
  </si>
  <si>
    <t>RS68</t>
  </si>
  <si>
    <t>RS69</t>
  </si>
  <si>
    <t>RS70</t>
  </si>
  <si>
    <t>RS71</t>
  </si>
  <si>
    <t>RS72</t>
  </si>
  <si>
    <t>RS73</t>
  </si>
  <si>
    <t>RS74</t>
  </si>
  <si>
    <t>RS75</t>
  </si>
  <si>
    <t>RS76</t>
  </si>
  <si>
    <t>RS77</t>
  </si>
  <si>
    <t>RS78</t>
  </si>
  <si>
    <t>RS79</t>
  </si>
  <si>
    <t>RS80</t>
  </si>
  <si>
    <t>RS81</t>
  </si>
  <si>
    <t>RS82</t>
  </si>
  <si>
    <t>RS83</t>
  </si>
  <si>
    <t>RS84</t>
  </si>
  <si>
    <t>RS85</t>
  </si>
  <si>
    <t>RS86</t>
  </si>
  <si>
    <t>RS87</t>
  </si>
  <si>
    <t>RS88</t>
  </si>
  <si>
    <t>RS89</t>
  </si>
  <si>
    <t>RS90</t>
  </si>
  <si>
    <t>RS91</t>
  </si>
  <si>
    <t>RS92</t>
  </si>
  <si>
    <t>RS93</t>
  </si>
  <si>
    <t>RS94</t>
  </si>
  <si>
    <t>RS95</t>
  </si>
  <si>
    <t>RS96</t>
  </si>
  <si>
    <t>RS97</t>
  </si>
  <si>
    <t>RS98</t>
  </si>
  <si>
    <t>RS99</t>
  </si>
  <si>
    <t>RS100</t>
  </si>
  <si>
    <t>TT102</t>
  </si>
  <si>
    <t>TT103</t>
  </si>
  <si>
    <t>TT104</t>
  </si>
  <si>
    <t>TT105</t>
  </si>
  <si>
    <t>TT106</t>
  </si>
  <si>
    <t>TT107</t>
  </si>
  <si>
    <t>TT108</t>
  </si>
  <si>
    <t>RS6</t>
  </si>
  <si>
    <t>RS8</t>
  </si>
  <si>
    <t>RS9</t>
  </si>
  <si>
    <t>RS10</t>
  </si>
  <si>
    <t>RS11</t>
  </si>
  <si>
    <t>RS12</t>
  </si>
  <si>
    <t>RS13</t>
  </si>
  <si>
    <t>RS14</t>
  </si>
  <si>
    <t>RS15</t>
  </si>
  <si>
    <t>RS16</t>
  </si>
  <si>
    <t>RS17</t>
  </si>
  <si>
    <t>RS18</t>
  </si>
  <si>
    <t>RS19</t>
  </si>
  <si>
    <t>RS20</t>
  </si>
  <si>
    <t>RS21</t>
  </si>
  <si>
    <t>RS22</t>
  </si>
  <si>
    <t>RS23</t>
  </si>
  <si>
    <t xml:space="preserve"> 10% with a cap Up to 15SAR
</t>
  </si>
  <si>
    <t>DI20</t>
  </si>
  <si>
    <t>DI33</t>
  </si>
  <si>
    <t>DI34</t>
  </si>
  <si>
    <t>DI35</t>
  </si>
  <si>
    <t>DI36</t>
  </si>
  <si>
    <t>DI37</t>
  </si>
  <si>
    <t>DI38</t>
  </si>
  <si>
    <t>DI39</t>
  </si>
  <si>
    <t>DI40</t>
  </si>
  <si>
    <t>DI41</t>
  </si>
  <si>
    <t>DI42</t>
  </si>
  <si>
    <t>DI43</t>
  </si>
  <si>
    <t>DI44</t>
  </si>
  <si>
    <t>DI45</t>
  </si>
  <si>
    <t>DI46</t>
  </si>
  <si>
    <t>DI47</t>
  </si>
  <si>
    <t>DI48</t>
  </si>
  <si>
    <t>DI49</t>
  </si>
  <si>
    <t>DI50</t>
  </si>
  <si>
    <t>DI51</t>
  </si>
  <si>
    <t>DI52</t>
  </si>
  <si>
    <t>DI53</t>
  </si>
  <si>
    <t>DI54</t>
  </si>
  <si>
    <t>DI55</t>
  </si>
  <si>
    <t>DI56</t>
  </si>
  <si>
    <t>DI57</t>
  </si>
  <si>
    <t>DI58</t>
  </si>
  <si>
    <t>DI59</t>
  </si>
  <si>
    <t>DI60</t>
  </si>
  <si>
    <t>DI61</t>
  </si>
  <si>
    <t>DI62</t>
  </si>
  <si>
    <t>DI63</t>
  </si>
  <si>
    <t>DI64</t>
  </si>
  <si>
    <t>DI65</t>
  </si>
  <si>
    <t>DI66</t>
  </si>
  <si>
    <t>DI67</t>
  </si>
  <si>
    <t>DI68</t>
  </si>
  <si>
    <t>DI69</t>
  </si>
  <si>
    <t>DI70</t>
  </si>
  <si>
    <t>DI71</t>
  </si>
  <si>
    <t>DI72</t>
  </si>
  <si>
    <t>DI73</t>
  </si>
  <si>
    <t>DI74</t>
  </si>
  <si>
    <t>DI75</t>
  </si>
  <si>
    <t>DI76</t>
  </si>
  <si>
    <t>DI77</t>
  </si>
  <si>
    <t>DI78</t>
  </si>
  <si>
    <t>DI79</t>
  </si>
  <si>
    <t>DI80</t>
  </si>
  <si>
    <t>DI81</t>
  </si>
  <si>
    <t>DI82</t>
  </si>
  <si>
    <t>DI83</t>
  </si>
  <si>
    <t>DI84</t>
  </si>
  <si>
    <t>DI85</t>
  </si>
  <si>
    <t>DI86</t>
  </si>
  <si>
    <t>DI87</t>
  </si>
  <si>
    <t>DI88</t>
  </si>
  <si>
    <t>DI89</t>
  </si>
  <si>
    <t>DI90</t>
  </si>
  <si>
    <t>DI91</t>
  </si>
  <si>
    <t>DI92</t>
  </si>
  <si>
    <t>DI93</t>
  </si>
  <si>
    <t>DI94</t>
  </si>
  <si>
    <t>DI95</t>
  </si>
  <si>
    <t>DI96</t>
  </si>
  <si>
    <t>DI97</t>
  </si>
  <si>
    <t>DI98</t>
  </si>
  <si>
    <t>DI99</t>
  </si>
  <si>
    <t>DI100</t>
  </si>
  <si>
    <t>bcare1</t>
  </si>
  <si>
    <t>CK5</t>
  </si>
  <si>
    <t>CK15</t>
  </si>
  <si>
    <t>Discount %</t>
  </si>
  <si>
    <t>X09</t>
  </si>
  <si>
    <t>X10</t>
  </si>
  <si>
    <t>X11</t>
  </si>
  <si>
    <t>X16</t>
  </si>
  <si>
    <t>X17</t>
  </si>
  <si>
    <t>X18</t>
  </si>
  <si>
    <t>X20</t>
  </si>
  <si>
    <t>X22</t>
  </si>
  <si>
    <t>X24</t>
  </si>
  <si>
    <t>X27</t>
  </si>
  <si>
    <t>X40</t>
  </si>
  <si>
    <t>Up to 10%</t>
  </si>
  <si>
    <t>X50</t>
  </si>
  <si>
    <t>X60</t>
  </si>
  <si>
    <t>X66</t>
  </si>
  <si>
    <t>X72</t>
  </si>
  <si>
    <t>X88</t>
  </si>
  <si>
    <t>X90</t>
  </si>
  <si>
    <t>X98</t>
  </si>
  <si>
    <t>X151</t>
  </si>
  <si>
    <t>W01</t>
  </si>
  <si>
    <t>W02</t>
  </si>
  <si>
    <t>W03</t>
  </si>
  <si>
    <t>W06</t>
  </si>
  <si>
    <t>W07</t>
  </si>
  <si>
    <t>W08</t>
  </si>
  <si>
    <t>W10</t>
  </si>
  <si>
    <t>W11</t>
  </si>
  <si>
    <t>W12</t>
  </si>
  <si>
    <t>W16</t>
  </si>
  <si>
    <t>W18</t>
  </si>
  <si>
    <t>W19</t>
  </si>
  <si>
    <t>W20</t>
  </si>
  <si>
    <t>W21</t>
  </si>
  <si>
    <t>W22</t>
  </si>
  <si>
    <t>W23</t>
  </si>
  <si>
    <t>W25</t>
  </si>
  <si>
    <t>W30</t>
  </si>
  <si>
    <t>W31</t>
  </si>
  <si>
    <t>W33</t>
  </si>
  <si>
    <t>W35</t>
  </si>
  <si>
    <t>W39</t>
  </si>
  <si>
    <t>W40</t>
  </si>
  <si>
    <t>W44</t>
  </si>
  <si>
    <t>W52</t>
  </si>
  <si>
    <t>W55</t>
  </si>
  <si>
    <t>W60</t>
  </si>
  <si>
    <t>W61</t>
  </si>
  <si>
    <t>W62</t>
  </si>
  <si>
    <t>W63</t>
  </si>
  <si>
    <t>W68</t>
  </si>
  <si>
    <t>W64</t>
  </si>
  <si>
    <t>W72</t>
  </si>
  <si>
    <t>W65</t>
  </si>
  <si>
    <t>W66</t>
  </si>
  <si>
    <t>W67</t>
  </si>
  <si>
    <t>W90</t>
  </si>
  <si>
    <t>W97</t>
  </si>
  <si>
    <t>W74</t>
  </si>
  <si>
    <t>W75</t>
  </si>
  <si>
    <t>W77</t>
  </si>
  <si>
    <t>W78</t>
  </si>
  <si>
    <t>W86</t>
  </si>
  <si>
    <t>W87</t>
  </si>
  <si>
    <t>W88</t>
  </si>
  <si>
    <t>W89</t>
  </si>
  <si>
    <t>W98</t>
  </si>
  <si>
    <t>W91</t>
  </si>
  <si>
    <t>W92</t>
  </si>
  <si>
    <t>W93</t>
  </si>
  <si>
    <t>W123</t>
  </si>
  <si>
    <t>W142</t>
  </si>
  <si>
    <t>W99</t>
  </si>
  <si>
    <t>W111</t>
  </si>
  <si>
    <t>W112</t>
  </si>
  <si>
    <t>W114</t>
  </si>
  <si>
    <t>W144</t>
  </si>
  <si>
    <t>W116</t>
  </si>
  <si>
    <t>W117</t>
  </si>
  <si>
    <t>W118</t>
  </si>
  <si>
    <t>W120</t>
  </si>
  <si>
    <t>W121</t>
  </si>
  <si>
    <t>W165</t>
  </si>
  <si>
    <t>W124</t>
  </si>
  <si>
    <t>W125</t>
  </si>
  <si>
    <t>W126</t>
  </si>
  <si>
    <t>W127</t>
  </si>
  <si>
    <t>W128</t>
  </si>
  <si>
    <t>W135</t>
  </si>
  <si>
    <t>W136</t>
  </si>
  <si>
    <t>W138</t>
  </si>
  <si>
    <t>W175</t>
  </si>
  <si>
    <t>CR7</t>
  </si>
  <si>
    <t>W156</t>
  </si>
  <si>
    <t>W157</t>
  </si>
  <si>
    <t>W158</t>
  </si>
  <si>
    <t>W159</t>
  </si>
  <si>
    <t>W160</t>
  </si>
  <si>
    <t>W161</t>
  </si>
  <si>
    <t>W162</t>
  </si>
  <si>
    <t>W163</t>
  </si>
  <si>
    <t>W164</t>
  </si>
  <si>
    <t>Q8</t>
  </si>
  <si>
    <t>W166</t>
  </si>
  <si>
    <t>W167</t>
  </si>
  <si>
    <t>W168</t>
  </si>
  <si>
    <t>W169</t>
  </si>
  <si>
    <t>Q9</t>
  </si>
  <si>
    <t>W176</t>
  </si>
  <si>
    <t>W179</t>
  </si>
  <si>
    <t>W180</t>
  </si>
  <si>
    <t>W188</t>
  </si>
  <si>
    <t>W193</t>
  </si>
  <si>
    <t>W199</t>
  </si>
  <si>
    <t>Q11</t>
  </si>
  <si>
    <t>jeel</t>
  </si>
  <si>
    <t>10% , higher payout</t>
  </si>
  <si>
    <t>Discount 10% , higher payout</t>
  </si>
  <si>
    <t>Q10</t>
  </si>
  <si>
    <t>OTC</t>
  </si>
  <si>
    <t>Q12</t>
  </si>
  <si>
    <t>WAD</t>
  </si>
  <si>
    <t>QA10</t>
  </si>
  <si>
    <t>MN1</t>
  </si>
  <si>
    <t>FS4</t>
  </si>
  <si>
    <t>AH</t>
  </si>
  <si>
    <t>FS8</t>
  </si>
  <si>
    <t>bebaalfarsy</t>
  </si>
  <si>
    <t>SA7SE7</t>
  </si>
  <si>
    <t>https://www.instagram.com/beuty_arwa/</t>
  </si>
  <si>
    <t>MN2</t>
  </si>
  <si>
    <t>revenue 12%, payout 80%</t>
  </si>
  <si>
    <t>ALC4</t>
  </si>
  <si>
    <t>FS3</t>
  </si>
  <si>
    <t>FS9</t>
  </si>
  <si>
    <t>Re7ab.saad</t>
  </si>
  <si>
    <t>naifah_choices</t>
  </si>
  <si>
    <t>FS7</t>
  </si>
  <si>
    <t>ام هتان</t>
  </si>
  <si>
    <t>ALM10</t>
  </si>
  <si>
    <t>W26</t>
  </si>
  <si>
    <t>W27</t>
  </si>
  <si>
    <t>W130</t>
  </si>
  <si>
    <t>W137</t>
  </si>
  <si>
    <t>W140</t>
  </si>
  <si>
    <t>BG5</t>
  </si>
  <si>
    <t>DR5</t>
  </si>
  <si>
    <t>FS1</t>
  </si>
  <si>
    <t>FS2</t>
  </si>
  <si>
    <t>FS5</t>
  </si>
  <si>
    <t>FS6</t>
  </si>
  <si>
    <t>BL4</t>
  </si>
  <si>
    <t>JU11</t>
  </si>
  <si>
    <t>DN</t>
  </si>
  <si>
    <t>LODY</t>
  </si>
  <si>
    <t>BUSH</t>
  </si>
  <si>
    <t>JHN10</t>
  </si>
  <si>
    <t>MU10</t>
  </si>
  <si>
    <t>CLAIRE</t>
  </si>
  <si>
    <t>PA</t>
  </si>
  <si>
    <t xml:space="preserve">New user: 30% for Non-discounted items &amp; 15% for discounted items. Old user: 15% for Non-discounted items &amp; 10% for discounted items. With a discount cap 50 SAR/AED </t>
  </si>
  <si>
    <t>ZF</t>
  </si>
  <si>
    <t>TO</t>
  </si>
  <si>
    <t>NZ</t>
  </si>
  <si>
    <t>WI</t>
  </si>
  <si>
    <t>9N</t>
  </si>
  <si>
    <t>0O</t>
  </si>
  <si>
    <t>RY</t>
  </si>
  <si>
    <t>VH</t>
  </si>
  <si>
    <t>NG</t>
  </si>
  <si>
    <t>NV</t>
  </si>
  <si>
    <t>NI</t>
  </si>
  <si>
    <t>3D</t>
  </si>
  <si>
    <t>BS12</t>
  </si>
  <si>
    <t>SARA77</t>
  </si>
  <si>
    <t>SHO2</t>
  </si>
  <si>
    <t>BAG2</t>
  </si>
  <si>
    <t>HAYA20</t>
  </si>
  <si>
    <t>Recycle from 1/3/2024</t>
  </si>
  <si>
    <t>DF11</t>
  </si>
  <si>
    <t>Waiting list</t>
  </si>
  <si>
    <t>DF12</t>
  </si>
  <si>
    <t>DF13</t>
  </si>
  <si>
    <t>DF14</t>
  </si>
  <si>
    <t>DF15</t>
  </si>
  <si>
    <t>DF16</t>
  </si>
  <si>
    <t>DF17</t>
  </si>
  <si>
    <t>DF18</t>
  </si>
  <si>
    <t>DF19</t>
  </si>
  <si>
    <t>DF20</t>
  </si>
  <si>
    <t>DF21</t>
  </si>
  <si>
    <t>DF22</t>
  </si>
  <si>
    <t>DF23</t>
  </si>
  <si>
    <t>DF24</t>
  </si>
  <si>
    <t>DF25</t>
  </si>
  <si>
    <t>DF26</t>
  </si>
  <si>
    <t>DF27</t>
  </si>
  <si>
    <t>DF28</t>
  </si>
  <si>
    <t>DF29</t>
  </si>
  <si>
    <t>DF30</t>
  </si>
  <si>
    <t>DF31</t>
  </si>
  <si>
    <t>DF32</t>
  </si>
  <si>
    <t>DF33</t>
  </si>
  <si>
    <t>DF34</t>
  </si>
  <si>
    <t>DF35</t>
  </si>
  <si>
    <t>DF36</t>
  </si>
  <si>
    <t>DF37</t>
  </si>
  <si>
    <t>DF38</t>
  </si>
  <si>
    <t>DF39</t>
  </si>
  <si>
    <t>DF40</t>
  </si>
  <si>
    <t>DF41</t>
  </si>
  <si>
    <t>DF42</t>
  </si>
  <si>
    <t>DF43</t>
  </si>
  <si>
    <t>DF44</t>
  </si>
  <si>
    <t>DF45</t>
  </si>
  <si>
    <t>DF46</t>
  </si>
  <si>
    <t>DF47</t>
  </si>
  <si>
    <t>DF48</t>
  </si>
  <si>
    <t>DF49</t>
  </si>
  <si>
    <t>DF50</t>
  </si>
  <si>
    <t>DF51</t>
  </si>
  <si>
    <t>DF52</t>
  </si>
  <si>
    <t>DF53</t>
  </si>
  <si>
    <t>DF54</t>
  </si>
  <si>
    <t>DF55</t>
  </si>
  <si>
    <t>DF56</t>
  </si>
  <si>
    <t>DF57</t>
  </si>
  <si>
    <t>DF58</t>
  </si>
  <si>
    <t>DF59</t>
  </si>
  <si>
    <t>DF60</t>
  </si>
  <si>
    <t>Customers</t>
  </si>
  <si>
    <t>Discount  (SAR or AED)</t>
  </si>
  <si>
    <t>New</t>
  </si>
  <si>
    <t>2YL</t>
  </si>
  <si>
    <t>3HN- New</t>
  </si>
  <si>
    <t>3M4- New</t>
  </si>
  <si>
    <t>3MT - New</t>
  </si>
  <si>
    <t>3PU- New</t>
  </si>
  <si>
    <t>4NP- New</t>
  </si>
  <si>
    <t>4NU  - new</t>
  </si>
  <si>
    <t>7PC</t>
  </si>
  <si>
    <t>KZY  - all</t>
  </si>
  <si>
    <t>ALL</t>
  </si>
  <si>
    <t xml:space="preserve">L2A </t>
  </si>
  <si>
    <t>LR9 - All</t>
  </si>
  <si>
    <t xml:space="preserve">LXQ - All </t>
  </si>
  <si>
    <t>M6T- All</t>
  </si>
  <si>
    <t>MU4- All</t>
  </si>
  <si>
    <t>N8B- All</t>
  </si>
  <si>
    <t>NFG- All</t>
  </si>
  <si>
    <t>NG1- All</t>
  </si>
  <si>
    <t>U8F</t>
  </si>
  <si>
    <t>ZZ05</t>
  </si>
  <si>
    <t>ZZ04</t>
  </si>
  <si>
    <t>ZZ02</t>
  </si>
  <si>
    <t>TH11</t>
  </si>
  <si>
    <t>ZZ03</t>
  </si>
  <si>
    <t>ZZ01</t>
  </si>
  <si>
    <t>TH48</t>
  </si>
  <si>
    <t>TH42</t>
  </si>
  <si>
    <t>TH36</t>
  </si>
  <si>
    <t>TH35</t>
  </si>
  <si>
    <t>TH31</t>
  </si>
  <si>
    <t>TH28</t>
  </si>
  <si>
    <t>TH24</t>
  </si>
  <si>
    <t>TH23</t>
  </si>
  <si>
    <t>TH22</t>
  </si>
  <si>
    <t>TH18</t>
  </si>
  <si>
    <t>TH15</t>
  </si>
  <si>
    <t>TH13</t>
  </si>
  <si>
    <t>TH50</t>
  </si>
  <si>
    <t>TH49</t>
  </si>
  <si>
    <t>TH47</t>
  </si>
  <si>
    <t>TH46</t>
  </si>
  <si>
    <t>TH45</t>
  </si>
  <si>
    <t>TH44</t>
  </si>
  <si>
    <t>TH43</t>
  </si>
  <si>
    <t>TH41</t>
  </si>
  <si>
    <t>TH40</t>
  </si>
  <si>
    <t>TH39</t>
  </si>
  <si>
    <t>TH38</t>
  </si>
  <si>
    <t>TH37</t>
  </si>
  <si>
    <t>TH34</t>
  </si>
  <si>
    <t>TH33</t>
  </si>
  <si>
    <t>TH32</t>
  </si>
  <si>
    <t>TH30</t>
  </si>
  <si>
    <t>TH29</t>
  </si>
  <si>
    <t>TH27</t>
  </si>
  <si>
    <t>TH26</t>
  </si>
  <si>
    <t>TH25</t>
  </si>
  <si>
    <t>TH21</t>
  </si>
  <si>
    <t>TH19</t>
  </si>
  <si>
    <t>TH16</t>
  </si>
  <si>
    <t>TH14</t>
  </si>
  <si>
    <t>TH12</t>
  </si>
  <si>
    <t>TH10</t>
  </si>
  <si>
    <t>MAGED</t>
  </si>
  <si>
    <t>ABOALY</t>
  </si>
  <si>
    <t>ZWIW</t>
  </si>
  <si>
    <t>ZTABO</t>
  </si>
  <si>
    <t>ZRGY</t>
  </si>
  <si>
    <t>ZOGO</t>
  </si>
  <si>
    <t>YPABD</t>
  </si>
  <si>
    <t>XXABS</t>
  </si>
  <si>
    <t>WWTS</t>
  </si>
  <si>
    <t>WRGP</t>
  </si>
  <si>
    <t>WHOD</t>
  </si>
  <si>
    <t>UUKK</t>
  </si>
  <si>
    <t>UNEE</t>
  </si>
  <si>
    <t>UKOV</t>
  </si>
  <si>
    <t>UFGL</t>
  </si>
  <si>
    <t>TWTAB</t>
  </si>
  <si>
    <t>TKZI</t>
  </si>
  <si>
    <t>THFZ</t>
  </si>
  <si>
    <t>RABPZ</t>
  </si>
  <si>
    <t>QQZT</t>
  </si>
  <si>
    <t>PKMX</t>
  </si>
  <si>
    <t>PEWH</t>
  </si>
  <si>
    <t>OOMAB</t>
  </si>
  <si>
    <t>OEIX</t>
  </si>
  <si>
    <t>NLXQ</t>
  </si>
  <si>
    <t>NGVI</t>
  </si>
  <si>
    <t>MKEV</t>
  </si>
  <si>
    <t>KXLF</t>
  </si>
  <si>
    <t>KHAIRY</t>
  </si>
  <si>
    <t>JQVG</t>
  </si>
  <si>
    <t>JODX</t>
  </si>
  <si>
    <t>IFXQ</t>
  </si>
  <si>
    <t>IFOO</t>
  </si>
  <si>
    <t>HQWK</t>
  </si>
  <si>
    <t>HOVP</t>
  </si>
  <si>
    <t>GRUK</t>
  </si>
  <si>
    <t>GMGJ</t>
  </si>
  <si>
    <t>GGGZ</t>
  </si>
  <si>
    <t>GABED</t>
  </si>
  <si>
    <t>GABDV</t>
  </si>
  <si>
    <t>FRVI</t>
  </si>
  <si>
    <t>FKOZ</t>
  </si>
  <si>
    <t>FKJN</t>
  </si>
  <si>
    <t>FIHN</t>
  </si>
  <si>
    <t>EFME</t>
  </si>
  <si>
    <t>DTIK</t>
  </si>
  <si>
    <t>CZLG</t>
  </si>
  <si>
    <t>CNHK</t>
  </si>
  <si>
    <t>CLQY</t>
  </si>
  <si>
    <t>CGOK</t>
  </si>
  <si>
    <t>CDTW</t>
  </si>
  <si>
    <t>ABUGZ</t>
  </si>
  <si>
    <t>ZZLI</t>
  </si>
  <si>
    <t>ZPHR</t>
  </si>
  <si>
    <t>ZAP9</t>
  </si>
  <si>
    <t>ZAP6</t>
  </si>
  <si>
    <t>ZAP5</t>
  </si>
  <si>
    <t>ZAP49</t>
  </si>
  <si>
    <t>ZAP44</t>
  </si>
  <si>
    <t>ZAP42</t>
  </si>
  <si>
    <t>ZAP4</t>
  </si>
  <si>
    <t>ZAP34</t>
  </si>
  <si>
    <t>ZAP33</t>
  </si>
  <si>
    <t>ZAP3</t>
  </si>
  <si>
    <t>ZAP29</t>
  </si>
  <si>
    <t>ZAP27</t>
  </si>
  <si>
    <t>ZAP25</t>
  </si>
  <si>
    <t>ZAP24</t>
  </si>
  <si>
    <t>ZAP23</t>
  </si>
  <si>
    <t>ZAP21</t>
  </si>
  <si>
    <t>ZAP19</t>
  </si>
  <si>
    <t>ZAP18</t>
  </si>
  <si>
    <t>ZAP15</t>
  </si>
  <si>
    <t>ZAP14</t>
  </si>
  <si>
    <t>ZAP10</t>
  </si>
  <si>
    <t>YXKL</t>
  </si>
  <si>
    <t>YVPO</t>
  </si>
  <si>
    <t>YHYD</t>
  </si>
  <si>
    <t>XOXS</t>
  </si>
  <si>
    <t>XMMJ</t>
  </si>
  <si>
    <t>XEIZ</t>
  </si>
  <si>
    <t>WWXV</t>
  </si>
  <si>
    <t>WMEV</t>
  </si>
  <si>
    <t>WKVF</t>
  </si>
  <si>
    <t>WICH</t>
  </si>
  <si>
    <t>WHATE</t>
  </si>
  <si>
    <t>UIZC</t>
  </si>
  <si>
    <t>UEYU</t>
  </si>
  <si>
    <t>TISW</t>
  </si>
  <si>
    <t>STNQ</t>
  </si>
  <si>
    <t>SRWG</t>
  </si>
  <si>
    <t>SRGE</t>
  </si>
  <si>
    <t>RKABC</t>
  </si>
  <si>
    <t>QXJE</t>
  </si>
  <si>
    <t>QIRM</t>
  </si>
  <si>
    <t>PPLC</t>
  </si>
  <si>
    <t>PNJO</t>
  </si>
  <si>
    <t>PEMY</t>
  </si>
  <si>
    <t>OUGY</t>
  </si>
  <si>
    <t>OHGE</t>
  </si>
  <si>
    <t>NZFE</t>
  </si>
  <si>
    <t>MKDH</t>
  </si>
  <si>
    <t>KMDN</t>
  </si>
  <si>
    <t>KIJU</t>
  </si>
  <si>
    <t>KHQH</t>
  </si>
  <si>
    <t>JXFV</t>
  </si>
  <si>
    <t>JVHZ</t>
  </si>
  <si>
    <t>JNCS</t>
  </si>
  <si>
    <t>JLRN</t>
  </si>
  <si>
    <t>JHTF</t>
  </si>
  <si>
    <t>JABGN</t>
  </si>
  <si>
    <t>IQOX</t>
  </si>
  <si>
    <t>HPMAB</t>
  </si>
  <si>
    <t>HIQT</t>
  </si>
  <si>
    <t>HEJU</t>
  </si>
  <si>
    <t>GHQU</t>
  </si>
  <si>
    <t>FHPAB</t>
  </si>
  <si>
    <t>ECLQ</t>
  </si>
  <si>
    <t>DVXV</t>
  </si>
  <si>
    <t>DOYJ</t>
  </si>
  <si>
    <t>DEIO</t>
  </si>
  <si>
    <t>CONC</t>
  </si>
  <si>
    <t>ABSOK</t>
  </si>
  <si>
    <t>ABMJJ</t>
  </si>
  <si>
    <t>ABKGR</t>
  </si>
  <si>
    <t>ZAP8</t>
  </si>
  <si>
    <t>ZAP7</t>
  </si>
  <si>
    <t>ZAP48</t>
  </si>
  <si>
    <t>ZAP47</t>
  </si>
  <si>
    <t>ZAP46</t>
  </si>
  <si>
    <t>ZAP45</t>
  </si>
  <si>
    <t>ZAP43</t>
  </si>
  <si>
    <t>ZAP41</t>
  </si>
  <si>
    <t>ZAP40</t>
  </si>
  <si>
    <t>ZAP39</t>
  </si>
  <si>
    <t>ZAP38</t>
  </si>
  <si>
    <t>ZAP37</t>
  </si>
  <si>
    <t>ZAP36</t>
  </si>
  <si>
    <t>ZAP35</t>
  </si>
  <si>
    <t>ZAP32</t>
  </si>
  <si>
    <t>ZAP31</t>
  </si>
  <si>
    <t>ZAP30</t>
  </si>
  <si>
    <t>ZAP28</t>
  </si>
  <si>
    <t>ZAP26</t>
  </si>
  <si>
    <t>ZAP22</t>
  </si>
  <si>
    <t>ZAP20</t>
  </si>
  <si>
    <t>ZAP2</t>
  </si>
  <si>
    <t>ZAP17</t>
  </si>
  <si>
    <t>ZAP16</t>
  </si>
  <si>
    <t>ZAP13</t>
  </si>
  <si>
    <t>ZAP12</t>
  </si>
  <si>
    <t>ZAP11</t>
  </si>
  <si>
    <t>ZAP1</t>
  </si>
  <si>
    <t>DG110</t>
  </si>
  <si>
    <t>DG111</t>
  </si>
  <si>
    <t>DG112</t>
  </si>
  <si>
    <t>DG113</t>
  </si>
  <si>
    <t>DG114</t>
  </si>
  <si>
    <t>N1N</t>
  </si>
  <si>
    <t>sho2</t>
  </si>
  <si>
    <t>sho3</t>
  </si>
  <si>
    <t>SVV270</t>
  </si>
  <si>
    <t>SVV271</t>
  </si>
  <si>
    <t>SVV272</t>
  </si>
  <si>
    <t>SVV273</t>
  </si>
  <si>
    <t>SVV274</t>
  </si>
  <si>
    <t>SVV275</t>
  </si>
  <si>
    <t>SVV276</t>
  </si>
  <si>
    <t>SVV277</t>
  </si>
  <si>
    <t>SVV278</t>
  </si>
  <si>
    <t>SVV279</t>
  </si>
  <si>
    <t>SVV280</t>
  </si>
  <si>
    <t>SVV281</t>
  </si>
  <si>
    <t>SVV282</t>
  </si>
  <si>
    <t>SVV283</t>
  </si>
  <si>
    <t>SVV284</t>
  </si>
  <si>
    <t>srt11</t>
  </si>
  <si>
    <t>srt12</t>
  </si>
  <si>
    <t>srt13</t>
  </si>
  <si>
    <t>srt14</t>
  </si>
  <si>
    <t>srt15</t>
  </si>
  <si>
    <t>srt16</t>
  </si>
  <si>
    <t>srt17</t>
  </si>
  <si>
    <t>srt18</t>
  </si>
  <si>
    <t>srt19</t>
  </si>
  <si>
    <t>srt20</t>
  </si>
  <si>
    <t>srt21</t>
  </si>
  <si>
    <t>srt22</t>
  </si>
  <si>
    <t>srt23</t>
  </si>
  <si>
    <t>srt25</t>
  </si>
  <si>
    <t>srt26</t>
  </si>
  <si>
    <t>srt27</t>
  </si>
  <si>
    <t>srt28</t>
  </si>
  <si>
    <t>srt29</t>
  </si>
  <si>
    <t>srt3</t>
  </si>
  <si>
    <t>srt30</t>
  </si>
  <si>
    <t>srt31</t>
  </si>
  <si>
    <t>srt32</t>
  </si>
  <si>
    <t>srt33</t>
  </si>
  <si>
    <t>srt34</t>
  </si>
  <si>
    <t>srt35</t>
  </si>
  <si>
    <t>srt36</t>
  </si>
  <si>
    <t>srt37</t>
  </si>
  <si>
    <t>srt38</t>
  </si>
  <si>
    <t>srt39</t>
  </si>
  <si>
    <t>srt4</t>
  </si>
  <si>
    <t>srt40</t>
  </si>
  <si>
    <t>srt41</t>
  </si>
  <si>
    <t>srt42</t>
  </si>
  <si>
    <t>srt43</t>
  </si>
  <si>
    <t>srt44</t>
  </si>
  <si>
    <t>srt45</t>
  </si>
  <si>
    <t>srt46</t>
  </si>
  <si>
    <t>srt47</t>
  </si>
  <si>
    <t>srt48</t>
  </si>
  <si>
    <t>zfz15</t>
  </si>
  <si>
    <t>zfz16</t>
  </si>
  <si>
    <t>zfz17</t>
  </si>
  <si>
    <t>zfz18</t>
  </si>
  <si>
    <t>zfz19</t>
  </si>
  <si>
    <t>zfz2</t>
  </si>
  <si>
    <t>zfz3</t>
  </si>
  <si>
    <t>zfz4</t>
  </si>
  <si>
    <t>DGS1</t>
  </si>
  <si>
    <t>DGS2</t>
  </si>
  <si>
    <t>DGS3</t>
  </si>
  <si>
    <t>DGS4</t>
  </si>
  <si>
    <t>DGS5</t>
  </si>
  <si>
    <t>DGS6</t>
  </si>
  <si>
    <t>DGS7</t>
  </si>
  <si>
    <t>DGS8</t>
  </si>
  <si>
    <t>DGS9</t>
  </si>
  <si>
    <t>DGS10</t>
  </si>
  <si>
    <t>DGS11</t>
  </si>
  <si>
    <t>DGS12</t>
  </si>
  <si>
    <t>DGS13</t>
  </si>
  <si>
    <t>DGS14</t>
  </si>
  <si>
    <t>DGS15</t>
  </si>
  <si>
    <t>DGS16</t>
  </si>
  <si>
    <t>DGS17</t>
  </si>
  <si>
    <t>DGS18</t>
  </si>
  <si>
    <t>DGS19</t>
  </si>
  <si>
    <t>DGS20</t>
  </si>
  <si>
    <t>DGS21</t>
  </si>
  <si>
    <t>DGS22</t>
  </si>
  <si>
    <t>DGS23</t>
  </si>
  <si>
    <t>DGS24</t>
  </si>
  <si>
    <t>DGS25</t>
  </si>
  <si>
    <t>DGS26</t>
  </si>
  <si>
    <t>DGS27</t>
  </si>
  <si>
    <t>DGS28</t>
  </si>
  <si>
    <t>DGS29</t>
  </si>
  <si>
    <t>DGS30</t>
  </si>
  <si>
    <t>DGS31</t>
  </si>
  <si>
    <t>DGS32</t>
  </si>
  <si>
    <t>DGS33</t>
  </si>
  <si>
    <t>DGS34</t>
  </si>
  <si>
    <t>DGS35</t>
  </si>
  <si>
    <t>DGS36</t>
  </si>
  <si>
    <t>DGS37</t>
  </si>
  <si>
    <t>DGS38</t>
  </si>
  <si>
    <t>DGS39</t>
  </si>
  <si>
    <t>DGS40</t>
  </si>
  <si>
    <t>DGS41</t>
  </si>
  <si>
    <t>DGS42</t>
  </si>
  <si>
    <t>DGS43</t>
  </si>
  <si>
    <t>DGS44</t>
  </si>
  <si>
    <t>DGS45</t>
  </si>
  <si>
    <t>DGS46</t>
  </si>
  <si>
    <t>DGS47</t>
  </si>
  <si>
    <t>DGS48</t>
  </si>
  <si>
    <t>DGS49</t>
  </si>
  <si>
    <t>DGS50</t>
  </si>
  <si>
    <t>DGS51</t>
  </si>
  <si>
    <t>DGS52</t>
  </si>
  <si>
    <t>DGS53</t>
  </si>
  <si>
    <t>DGS54</t>
  </si>
  <si>
    <t>DGS55</t>
  </si>
  <si>
    <t>DGS56</t>
  </si>
  <si>
    <t>DGS57</t>
  </si>
  <si>
    <t>DGS58</t>
  </si>
  <si>
    <t>DGS59</t>
  </si>
  <si>
    <t>DGS60</t>
  </si>
  <si>
    <t>DGS61</t>
  </si>
  <si>
    <t>DGS62</t>
  </si>
  <si>
    <t>DGS63</t>
  </si>
  <si>
    <t>DGS64</t>
  </si>
  <si>
    <t>DGS65</t>
  </si>
  <si>
    <t>DGS66</t>
  </si>
  <si>
    <t>DGS67</t>
  </si>
  <si>
    <t>DGS68</t>
  </si>
  <si>
    <t>DGS69</t>
  </si>
  <si>
    <t>DGS70</t>
  </si>
  <si>
    <t>DGS71</t>
  </si>
  <si>
    <t>DGS72</t>
  </si>
  <si>
    <t>DGS73</t>
  </si>
  <si>
    <t>DGS74</t>
  </si>
  <si>
    <t>DGS75</t>
  </si>
  <si>
    <t>DGS76</t>
  </si>
  <si>
    <t>DGS77</t>
  </si>
  <si>
    <t>DGS78</t>
  </si>
  <si>
    <t>DGS79</t>
  </si>
  <si>
    <t>DGS80</t>
  </si>
  <si>
    <t>DGS81</t>
  </si>
  <si>
    <t>DGS82</t>
  </si>
  <si>
    <t>DGS83</t>
  </si>
  <si>
    <t>DGS84</t>
  </si>
  <si>
    <t>DGS85</t>
  </si>
  <si>
    <t>DGS86</t>
  </si>
  <si>
    <t>DGS87</t>
  </si>
  <si>
    <t>DGS88</t>
  </si>
  <si>
    <t>DGS89</t>
  </si>
  <si>
    <t>DGS90</t>
  </si>
  <si>
    <t>DGS91</t>
  </si>
  <si>
    <t>DGS92</t>
  </si>
  <si>
    <t>DGS93</t>
  </si>
  <si>
    <t>DGS94</t>
  </si>
  <si>
    <t>DGS95</t>
  </si>
  <si>
    <t>DGS96</t>
  </si>
  <si>
    <t>DGS97</t>
  </si>
  <si>
    <t>DGS98</t>
  </si>
  <si>
    <t>DGS99</t>
  </si>
  <si>
    <t>DGR20</t>
  </si>
  <si>
    <t>DGR21</t>
  </si>
  <si>
    <t>DGR22</t>
  </si>
  <si>
    <t>DGR23</t>
  </si>
  <si>
    <t>DGR24</t>
  </si>
  <si>
    <t>DGR25</t>
  </si>
  <si>
    <t>DGR26</t>
  </si>
  <si>
    <t>DGR27</t>
  </si>
  <si>
    <t>DGR28</t>
  </si>
  <si>
    <t>DGR29</t>
  </si>
  <si>
    <t>DGR30</t>
  </si>
  <si>
    <t>DGR31</t>
  </si>
  <si>
    <t>DGR32</t>
  </si>
  <si>
    <t>DGR33</t>
  </si>
  <si>
    <t>DGR34</t>
  </si>
  <si>
    <t>DGR35</t>
  </si>
  <si>
    <t>DGR36</t>
  </si>
  <si>
    <t>DGR37</t>
  </si>
  <si>
    <t>DGR38</t>
  </si>
  <si>
    <t>DGR39</t>
  </si>
  <si>
    <t>DGR40</t>
  </si>
  <si>
    <t>DGR41</t>
  </si>
  <si>
    <t>DGR42</t>
  </si>
  <si>
    <t>DGR43</t>
  </si>
  <si>
    <t>DGR44</t>
  </si>
  <si>
    <t>DGR45</t>
  </si>
  <si>
    <t>DGR46</t>
  </si>
  <si>
    <t>DGR47</t>
  </si>
  <si>
    <t>DGR48</t>
  </si>
  <si>
    <t>DGR49</t>
  </si>
  <si>
    <t>DGR50</t>
  </si>
  <si>
    <t>DGR51</t>
  </si>
  <si>
    <t>DGR52</t>
  </si>
  <si>
    <t>DGR53</t>
  </si>
  <si>
    <t>DGR54</t>
  </si>
  <si>
    <t>DGR55</t>
  </si>
  <si>
    <t>DGR56</t>
  </si>
  <si>
    <t>DGR57</t>
  </si>
  <si>
    <t>DGR58</t>
  </si>
  <si>
    <t>DGR59</t>
  </si>
  <si>
    <t>DGR60</t>
  </si>
  <si>
    <t>DGR61</t>
  </si>
  <si>
    <t>DGR62</t>
  </si>
  <si>
    <t>DGR63</t>
  </si>
  <si>
    <t>DGR64</t>
  </si>
  <si>
    <t>DGR65</t>
  </si>
  <si>
    <t>DGR66</t>
  </si>
  <si>
    <t>DGR67</t>
  </si>
  <si>
    <t>DGR68</t>
  </si>
  <si>
    <t>DGR69</t>
  </si>
  <si>
    <t>DGR70</t>
  </si>
  <si>
    <t>DGR71</t>
  </si>
  <si>
    <t>DGR72</t>
  </si>
  <si>
    <t>DGR73</t>
  </si>
  <si>
    <t>DGR74</t>
  </si>
  <si>
    <t>DGR75</t>
  </si>
  <si>
    <t>DGR76</t>
  </si>
  <si>
    <t>DGR77</t>
  </si>
  <si>
    <t>DGR78</t>
  </si>
  <si>
    <t>DGR79</t>
  </si>
  <si>
    <t>DGR80</t>
  </si>
  <si>
    <t>DGR81</t>
  </si>
  <si>
    <t>DGR82</t>
  </si>
  <si>
    <t>DGR83</t>
  </si>
  <si>
    <t>DGR84</t>
  </si>
  <si>
    <t>DGR85</t>
  </si>
  <si>
    <t>DGR86</t>
  </si>
  <si>
    <t>DGR87</t>
  </si>
  <si>
    <t>DGR88</t>
  </si>
  <si>
    <t>DGR89</t>
  </si>
  <si>
    <t>DGR90</t>
  </si>
  <si>
    <t>DGR91</t>
  </si>
  <si>
    <t>DGR92</t>
  </si>
  <si>
    <t>DGR93</t>
  </si>
  <si>
    <t>DGR94</t>
  </si>
  <si>
    <t>DGR95</t>
  </si>
  <si>
    <t>DGR96</t>
  </si>
  <si>
    <t>DGR97</t>
  </si>
  <si>
    <t>DGR98</t>
  </si>
  <si>
    <t>DGR99</t>
  </si>
  <si>
    <t>IBBY</t>
  </si>
  <si>
    <t>WF</t>
  </si>
  <si>
    <t>BLU20</t>
  </si>
  <si>
    <t>DD36</t>
  </si>
  <si>
    <t>DD37</t>
  </si>
  <si>
    <t>DD38</t>
  </si>
  <si>
    <t>DD39</t>
  </si>
  <si>
    <t>DD40</t>
  </si>
  <si>
    <t>Non-Discounted items</t>
  </si>
  <si>
    <t>DGG1</t>
  </si>
  <si>
    <t>Min Cart Value: Aed 350 Discount Offered: 10% FLAT on Discounted Products only Discount Capped at: Aed 100 Eligibility: Discounted Products Only</t>
  </si>
  <si>
    <t>DGG2</t>
  </si>
  <si>
    <t>DGG3</t>
  </si>
  <si>
    <t>DGG4</t>
  </si>
  <si>
    <t>DGG5</t>
  </si>
  <si>
    <t>DGG6</t>
  </si>
  <si>
    <t>DGG7</t>
  </si>
  <si>
    <t>DGG8</t>
  </si>
  <si>
    <t>DGG9</t>
  </si>
  <si>
    <t>DGG10</t>
  </si>
  <si>
    <t>DGG11</t>
  </si>
  <si>
    <t>DGG12</t>
  </si>
  <si>
    <t>DGG13</t>
  </si>
  <si>
    <t>DGG14</t>
  </si>
  <si>
    <t>DGG15</t>
  </si>
  <si>
    <t>DGG16</t>
  </si>
  <si>
    <t>DGG17</t>
  </si>
  <si>
    <t>DGG18</t>
  </si>
  <si>
    <t>DGG19</t>
  </si>
  <si>
    <t>DGG21</t>
  </si>
  <si>
    <t>DGG22</t>
  </si>
  <si>
    <t>DGG23</t>
  </si>
  <si>
    <t>DGG24</t>
  </si>
  <si>
    <t>DGG25</t>
  </si>
  <si>
    <t>DGG26</t>
  </si>
  <si>
    <t>DGG27</t>
  </si>
  <si>
    <t>DGG28</t>
  </si>
  <si>
    <t>DGG29</t>
  </si>
  <si>
    <t>DGG30</t>
  </si>
  <si>
    <t>DGG31</t>
  </si>
  <si>
    <t>DGG32</t>
  </si>
  <si>
    <t>DGG33</t>
  </si>
  <si>
    <t>DGG34</t>
  </si>
  <si>
    <t>DGG35</t>
  </si>
  <si>
    <t>DGG36</t>
  </si>
  <si>
    <t>DGG37</t>
  </si>
  <si>
    <t>DGG38</t>
  </si>
  <si>
    <t>DGG39</t>
  </si>
  <si>
    <t>DGG40</t>
  </si>
  <si>
    <t>DGG41</t>
  </si>
  <si>
    <t>DGG42</t>
  </si>
  <si>
    <t>DGG43</t>
  </si>
  <si>
    <t>DGG44</t>
  </si>
  <si>
    <t>DGG45</t>
  </si>
  <si>
    <t>DGG46</t>
  </si>
  <si>
    <t>DGG47</t>
  </si>
  <si>
    <t>DGG48</t>
  </si>
  <si>
    <t>DGG49</t>
  </si>
  <si>
    <t>DGG50</t>
  </si>
  <si>
    <t>SC</t>
  </si>
  <si>
    <t>5SMM</t>
  </si>
  <si>
    <t>DGR1</t>
  </si>
  <si>
    <t>DGR2</t>
  </si>
  <si>
    <t>DGR3</t>
  </si>
  <si>
    <t>DGR4</t>
  </si>
  <si>
    <t>DGR5</t>
  </si>
  <si>
    <t>DGR6</t>
  </si>
  <si>
    <t>DGR7</t>
  </si>
  <si>
    <t>DGR8</t>
  </si>
  <si>
    <t>DGR9</t>
  </si>
  <si>
    <t>DGR10</t>
  </si>
  <si>
    <t>DGR11</t>
  </si>
  <si>
    <t>DGR12</t>
  </si>
  <si>
    <t>DGR13</t>
  </si>
  <si>
    <t>DGR14</t>
  </si>
  <si>
    <t>DGR15</t>
  </si>
  <si>
    <t>DGR16</t>
  </si>
  <si>
    <t>DGR17</t>
  </si>
  <si>
    <t>DGR18</t>
  </si>
  <si>
    <t>DGR19</t>
  </si>
  <si>
    <t>LBNA10</t>
  </si>
  <si>
    <t>ANS10</t>
  </si>
  <si>
    <t>WAAD10</t>
  </si>
  <si>
    <t>KHL10</t>
  </si>
  <si>
    <t>HMD10</t>
  </si>
  <si>
    <t>DGG20</t>
  </si>
  <si>
    <t>15% OFF with 30AED cap (1 time per user) Only for loggedin customers Not applicable on discounted orders</t>
  </si>
  <si>
    <t>GY50</t>
  </si>
  <si>
    <t xml:space="preserve">New Users Codes :30% off Basket (Minimum Basket 35 SAR), One month subscription , 50 SAR Cashback </t>
  </si>
  <si>
    <t>TDD1</t>
  </si>
  <si>
    <t>GY51</t>
  </si>
  <si>
    <t>TDD2</t>
  </si>
  <si>
    <t>GY52</t>
  </si>
  <si>
    <t>TDD3</t>
  </si>
  <si>
    <t>GY53</t>
  </si>
  <si>
    <t>TDD4</t>
  </si>
  <si>
    <t>GY54</t>
  </si>
  <si>
    <t>TDD5</t>
  </si>
  <si>
    <t>GY55</t>
  </si>
  <si>
    <t>TDD6</t>
  </si>
  <si>
    <t>GY56</t>
  </si>
  <si>
    <t>TDD7</t>
  </si>
  <si>
    <t>GY57</t>
  </si>
  <si>
    <t>TDD8</t>
  </si>
  <si>
    <t>GY58</t>
  </si>
  <si>
    <t>TDD9</t>
  </si>
  <si>
    <t>GY59</t>
  </si>
  <si>
    <t>TDD10</t>
  </si>
  <si>
    <t>GY60</t>
  </si>
  <si>
    <t>TDD11</t>
  </si>
  <si>
    <t>GY61</t>
  </si>
  <si>
    <t>TDD12</t>
  </si>
  <si>
    <t>GY62</t>
  </si>
  <si>
    <t>TDD13</t>
  </si>
  <si>
    <t>GY63</t>
  </si>
  <si>
    <t>TDD14</t>
  </si>
  <si>
    <t>GY64</t>
  </si>
  <si>
    <t>TDD15</t>
  </si>
  <si>
    <t>GY65</t>
  </si>
  <si>
    <t>TDD16</t>
  </si>
  <si>
    <t>GY66</t>
  </si>
  <si>
    <t>TDD17</t>
  </si>
  <si>
    <t>GY67</t>
  </si>
  <si>
    <t>TDD18</t>
  </si>
  <si>
    <t>GY68</t>
  </si>
  <si>
    <t>TDD19</t>
  </si>
  <si>
    <t>GY69</t>
  </si>
  <si>
    <t>TDD20</t>
  </si>
  <si>
    <t>GY70</t>
  </si>
  <si>
    <t>TDD21</t>
  </si>
  <si>
    <t>GY71</t>
  </si>
  <si>
    <t>TDD22</t>
  </si>
  <si>
    <t>GY72</t>
  </si>
  <si>
    <t>TDD23</t>
  </si>
  <si>
    <t>GY73</t>
  </si>
  <si>
    <t>TDD24</t>
  </si>
  <si>
    <t>GY74</t>
  </si>
  <si>
    <t>TDD25</t>
  </si>
  <si>
    <t>GY75</t>
  </si>
  <si>
    <t>TDD26</t>
  </si>
  <si>
    <t>GY76</t>
  </si>
  <si>
    <t>TDD27</t>
  </si>
  <si>
    <t>GY77</t>
  </si>
  <si>
    <t>TDD28</t>
  </si>
  <si>
    <t>GY78</t>
  </si>
  <si>
    <t>TDD29</t>
  </si>
  <si>
    <t>GY79</t>
  </si>
  <si>
    <t>TDD30</t>
  </si>
  <si>
    <t>GY80</t>
  </si>
  <si>
    <t>TDD31</t>
  </si>
  <si>
    <t>GY81</t>
  </si>
  <si>
    <t>TDD32</t>
  </si>
  <si>
    <t>GY82</t>
  </si>
  <si>
    <t>TDD33</t>
  </si>
  <si>
    <t>GY83</t>
  </si>
  <si>
    <t>TDD34</t>
  </si>
  <si>
    <t>GY84</t>
  </si>
  <si>
    <t>TDD35</t>
  </si>
  <si>
    <t>GY85</t>
  </si>
  <si>
    <t>TDD36</t>
  </si>
  <si>
    <t>GY86</t>
  </si>
  <si>
    <t>TDD37</t>
  </si>
  <si>
    <t>GY87</t>
  </si>
  <si>
    <t>TDD38</t>
  </si>
  <si>
    <t>GY88</t>
  </si>
  <si>
    <t>TDD39</t>
  </si>
  <si>
    <t>GY89</t>
  </si>
  <si>
    <t>TDD40</t>
  </si>
  <si>
    <t>GY90</t>
  </si>
  <si>
    <t>TDD41</t>
  </si>
  <si>
    <t>GY91</t>
  </si>
  <si>
    <t>TDD42</t>
  </si>
  <si>
    <t>GY92</t>
  </si>
  <si>
    <t>TDD43</t>
  </si>
  <si>
    <t>GY93</t>
  </si>
  <si>
    <t>TDD44</t>
  </si>
  <si>
    <t>GY94</t>
  </si>
  <si>
    <t>TDD45</t>
  </si>
  <si>
    <t>GY95</t>
  </si>
  <si>
    <t>TDD46</t>
  </si>
  <si>
    <t>GY96</t>
  </si>
  <si>
    <t>TDD47</t>
  </si>
  <si>
    <t>GY97</t>
  </si>
  <si>
    <t>TDD48</t>
  </si>
  <si>
    <t>GY98</t>
  </si>
  <si>
    <t>TDD49</t>
  </si>
  <si>
    <t>GY99</t>
  </si>
  <si>
    <t>TDD50</t>
  </si>
  <si>
    <t>GY100</t>
  </si>
  <si>
    <t>SD1</t>
  </si>
  <si>
    <t>SD2</t>
  </si>
  <si>
    <t>SD3</t>
  </si>
  <si>
    <t>SD4</t>
  </si>
  <si>
    <t>SD5</t>
  </si>
  <si>
    <t>SD6</t>
  </si>
  <si>
    <t>Urpay</t>
  </si>
  <si>
    <t>SD7</t>
  </si>
  <si>
    <t>SD8</t>
  </si>
  <si>
    <t xml:space="preserve">All Users Codes :Free Delivery ( Minimum Basket 49 SAR) </t>
  </si>
  <si>
    <t>SD9</t>
  </si>
  <si>
    <t>SD10</t>
  </si>
  <si>
    <t>SD11</t>
  </si>
  <si>
    <t>SD12</t>
  </si>
  <si>
    <t>SD13</t>
  </si>
  <si>
    <t>SD14</t>
  </si>
  <si>
    <t>SD15</t>
  </si>
  <si>
    <t>SD16</t>
  </si>
  <si>
    <t>SD17</t>
  </si>
  <si>
    <t>SD18</t>
  </si>
  <si>
    <t>SD19</t>
  </si>
  <si>
    <t>SD20</t>
  </si>
  <si>
    <t>SD21</t>
  </si>
  <si>
    <t>SD22</t>
  </si>
  <si>
    <t>SD23</t>
  </si>
  <si>
    <t>SD24</t>
  </si>
  <si>
    <t>SD25</t>
  </si>
  <si>
    <t>SD26</t>
  </si>
  <si>
    <t>SD27</t>
  </si>
  <si>
    <t>SD28</t>
  </si>
  <si>
    <t>SD29</t>
  </si>
  <si>
    <t>SD30</t>
  </si>
  <si>
    <t>SD31</t>
  </si>
  <si>
    <t>SD32</t>
  </si>
  <si>
    <t>SD33</t>
  </si>
  <si>
    <t>SD34</t>
  </si>
  <si>
    <t>SD35</t>
  </si>
  <si>
    <t>SD36</t>
  </si>
  <si>
    <t>SD37</t>
  </si>
  <si>
    <t>SD38</t>
  </si>
  <si>
    <t>SD39</t>
  </si>
  <si>
    <t>SD40</t>
  </si>
  <si>
    <t>SD41</t>
  </si>
  <si>
    <t>SD42</t>
  </si>
  <si>
    <t>SD43</t>
  </si>
  <si>
    <t>SD44</t>
  </si>
  <si>
    <t>SD45</t>
  </si>
  <si>
    <t>SD46</t>
  </si>
  <si>
    <t>SD47</t>
  </si>
  <si>
    <t>SD48</t>
  </si>
  <si>
    <t>SD49</t>
  </si>
  <si>
    <t>SD50</t>
  </si>
  <si>
    <t>SD51</t>
  </si>
  <si>
    <t>SD52</t>
  </si>
  <si>
    <t>SD53</t>
  </si>
  <si>
    <t>SD54</t>
  </si>
  <si>
    <t>SD55</t>
  </si>
  <si>
    <t>SD56</t>
  </si>
  <si>
    <t>SD57</t>
  </si>
  <si>
    <t>SD58</t>
  </si>
  <si>
    <t>SD59</t>
  </si>
  <si>
    <t>SD60</t>
  </si>
  <si>
    <t>SD61</t>
  </si>
  <si>
    <t>SD62</t>
  </si>
  <si>
    <t>SD63</t>
  </si>
  <si>
    <t>SD64</t>
  </si>
  <si>
    <t>SD65</t>
  </si>
  <si>
    <t>SD66</t>
  </si>
  <si>
    <t>SD67</t>
  </si>
  <si>
    <t>SD68</t>
  </si>
  <si>
    <t>SD69</t>
  </si>
  <si>
    <t>SD70</t>
  </si>
  <si>
    <t>SD71</t>
  </si>
  <si>
    <t>SD72</t>
  </si>
  <si>
    <t>SD73</t>
  </si>
  <si>
    <t>SD74</t>
  </si>
  <si>
    <t>SD75</t>
  </si>
  <si>
    <t>SD76</t>
  </si>
  <si>
    <t>SD77</t>
  </si>
  <si>
    <t>SD78</t>
  </si>
  <si>
    <t>SD79</t>
  </si>
  <si>
    <t>SD80</t>
  </si>
  <si>
    <t>SD81</t>
  </si>
  <si>
    <t>SD82</t>
  </si>
  <si>
    <t>SD83</t>
  </si>
  <si>
    <t>SD84</t>
  </si>
  <si>
    <t>SD85</t>
  </si>
  <si>
    <t>SD86</t>
  </si>
  <si>
    <t>SD87</t>
  </si>
  <si>
    <t>SD88</t>
  </si>
  <si>
    <t>SD89</t>
  </si>
  <si>
    <t>SD90</t>
  </si>
  <si>
    <t>SD91</t>
  </si>
  <si>
    <t>SD92</t>
  </si>
  <si>
    <t>SD93</t>
  </si>
  <si>
    <t>SD94</t>
  </si>
  <si>
    <t>SD95</t>
  </si>
  <si>
    <t>SD96</t>
  </si>
  <si>
    <t>SD97</t>
  </si>
  <si>
    <t>SD98</t>
  </si>
  <si>
    <t>SD99</t>
  </si>
  <si>
    <t>SD100</t>
  </si>
  <si>
    <t>SD101</t>
  </si>
  <si>
    <t>SD102</t>
  </si>
  <si>
    <t>SD103</t>
  </si>
  <si>
    <t>SD104</t>
  </si>
  <si>
    <t>SD105</t>
  </si>
  <si>
    <t>SD106</t>
  </si>
  <si>
    <t>SD107</t>
  </si>
  <si>
    <t>SD108</t>
  </si>
  <si>
    <t>SD109</t>
  </si>
  <si>
    <t>SD110</t>
  </si>
  <si>
    <t>SD111</t>
  </si>
  <si>
    <t>SD112</t>
  </si>
  <si>
    <t>SD113</t>
  </si>
  <si>
    <t>SD114</t>
  </si>
  <si>
    <t>SD115</t>
  </si>
  <si>
    <t>SD116</t>
  </si>
  <si>
    <t>SD117</t>
  </si>
  <si>
    <t>SD118</t>
  </si>
  <si>
    <t>SD119</t>
  </si>
  <si>
    <t>SD120</t>
  </si>
  <si>
    <t>SD121</t>
  </si>
  <si>
    <t>SD122</t>
  </si>
  <si>
    <t>SD123</t>
  </si>
  <si>
    <t>SD124</t>
  </si>
  <si>
    <t>SD125</t>
  </si>
  <si>
    <t>SD126</t>
  </si>
  <si>
    <t>SD127</t>
  </si>
  <si>
    <t>SD128</t>
  </si>
  <si>
    <t>SD129</t>
  </si>
  <si>
    <t>SD130</t>
  </si>
  <si>
    <t>SD131</t>
  </si>
  <si>
    <t>SD132</t>
  </si>
  <si>
    <t>SD133</t>
  </si>
  <si>
    <t>SD134</t>
  </si>
  <si>
    <t>SD135</t>
  </si>
  <si>
    <t>SD136</t>
  </si>
  <si>
    <t>SD137</t>
  </si>
  <si>
    <t>SD138</t>
  </si>
  <si>
    <t>SD139</t>
  </si>
  <si>
    <t>SD140</t>
  </si>
  <si>
    <t>SD141</t>
  </si>
  <si>
    <t>SD142</t>
  </si>
  <si>
    <t>SD143</t>
  </si>
  <si>
    <t>SD144</t>
  </si>
  <si>
    <t>SD145</t>
  </si>
  <si>
    <t>SD146</t>
  </si>
  <si>
    <t>SD147</t>
  </si>
  <si>
    <t>SD148</t>
  </si>
  <si>
    <t>SD149</t>
  </si>
  <si>
    <t>SD150</t>
  </si>
  <si>
    <t>SD151</t>
  </si>
  <si>
    <t>SD152</t>
  </si>
  <si>
    <t>SD153</t>
  </si>
  <si>
    <t>SD154</t>
  </si>
  <si>
    <t>SD155</t>
  </si>
  <si>
    <t>SD156</t>
  </si>
  <si>
    <t>SD157</t>
  </si>
  <si>
    <t>SD158</t>
  </si>
  <si>
    <t>SD159</t>
  </si>
  <si>
    <t>SD160</t>
  </si>
  <si>
    <t>SD161</t>
  </si>
  <si>
    <t>SD162</t>
  </si>
  <si>
    <t>SD163</t>
  </si>
  <si>
    <t>SD164</t>
  </si>
  <si>
    <t>SD165</t>
  </si>
  <si>
    <t>SD166</t>
  </si>
  <si>
    <t>SD167</t>
  </si>
  <si>
    <t>SD168</t>
  </si>
  <si>
    <t>SD169</t>
  </si>
  <si>
    <t>SD170</t>
  </si>
  <si>
    <t>SD171</t>
  </si>
  <si>
    <t>SD172</t>
  </si>
  <si>
    <t>SD173</t>
  </si>
  <si>
    <t>SD174</t>
  </si>
  <si>
    <t>SD175</t>
  </si>
  <si>
    <t>SD176</t>
  </si>
  <si>
    <t>SD177</t>
  </si>
  <si>
    <t>SD178</t>
  </si>
  <si>
    <t>SD179</t>
  </si>
  <si>
    <t>SD180</t>
  </si>
  <si>
    <t>SD194</t>
  </si>
  <si>
    <t>SD195</t>
  </si>
  <si>
    <t>SD196</t>
  </si>
  <si>
    <t>SD197</t>
  </si>
  <si>
    <t>SD198</t>
  </si>
  <si>
    <t>SD199</t>
  </si>
  <si>
    <t>SD200</t>
  </si>
  <si>
    <t>GY3</t>
  </si>
  <si>
    <t>GY4</t>
  </si>
  <si>
    <t>GY5</t>
  </si>
  <si>
    <t>GY6</t>
  </si>
  <si>
    <t>GY7</t>
  </si>
  <si>
    <t>GY8</t>
  </si>
  <si>
    <t>GY9</t>
  </si>
  <si>
    <t>GY10</t>
  </si>
  <si>
    <t>GY11</t>
  </si>
  <si>
    <t>GY12</t>
  </si>
  <si>
    <t>GY13</t>
  </si>
  <si>
    <t>GY14</t>
  </si>
  <si>
    <t>GY15</t>
  </si>
  <si>
    <t>GY16</t>
  </si>
  <si>
    <t>GY17</t>
  </si>
  <si>
    <t>GY18</t>
  </si>
  <si>
    <t>GY19</t>
  </si>
  <si>
    <t>GY20</t>
  </si>
  <si>
    <t>GY21</t>
  </si>
  <si>
    <t>GY27</t>
  </si>
  <si>
    <t>GY28</t>
  </si>
  <si>
    <t>GY29</t>
  </si>
  <si>
    <t>GY30</t>
  </si>
  <si>
    <t>GY31</t>
  </si>
  <si>
    <t>GY32</t>
  </si>
  <si>
    <t>GY33</t>
  </si>
  <si>
    <t>GY34</t>
  </si>
  <si>
    <t>GY35</t>
  </si>
  <si>
    <t>GY36</t>
  </si>
  <si>
    <t>GY37</t>
  </si>
  <si>
    <t>GY38</t>
  </si>
  <si>
    <t>GY39</t>
  </si>
  <si>
    <t>GY40</t>
  </si>
  <si>
    <t>GY41</t>
  </si>
  <si>
    <t>GY42</t>
  </si>
  <si>
    <t>GY43</t>
  </si>
  <si>
    <t>GY44</t>
  </si>
  <si>
    <t>GY45</t>
  </si>
  <si>
    <t>GY46</t>
  </si>
  <si>
    <t>GY47</t>
  </si>
  <si>
    <t>GY48</t>
  </si>
  <si>
    <t>GY49</t>
  </si>
  <si>
    <t>SD181</t>
  </si>
  <si>
    <t>SD182</t>
  </si>
  <si>
    <t>SD183</t>
  </si>
  <si>
    <t>SD184</t>
  </si>
  <si>
    <t>SD185</t>
  </si>
  <si>
    <t>SD186</t>
  </si>
  <si>
    <t>SD187</t>
  </si>
  <si>
    <t>SD188</t>
  </si>
  <si>
    <t>SD189</t>
  </si>
  <si>
    <t>SD190</t>
  </si>
  <si>
    <t>SD191</t>
  </si>
  <si>
    <t>SD192</t>
  </si>
  <si>
    <t>SD193</t>
  </si>
  <si>
    <t>GY22</t>
  </si>
  <si>
    <t>GY23</t>
  </si>
  <si>
    <t>GY24</t>
  </si>
  <si>
    <t>GY25</t>
  </si>
  <si>
    <t>GY26</t>
  </si>
  <si>
    <t>Shareid</t>
  </si>
  <si>
    <t xml:space="preserve">Traffic source URL </t>
  </si>
  <si>
    <t>UAE- KSA</t>
  </si>
  <si>
    <t>acw505028</t>
  </si>
  <si>
    <t>https://temu.to/k/el73auxyuk1</t>
  </si>
  <si>
    <t>https://www.walaplus.com/</t>
  </si>
  <si>
    <t>acr953339</t>
  </si>
  <si>
    <t>acw607562</t>
  </si>
  <si>
    <t>https://temu.to/k/eeehn2ai7pv</t>
  </si>
  <si>
    <t>https://www.sahseh.co/</t>
  </si>
  <si>
    <t>act516194</t>
  </si>
  <si>
    <t xml:space="preserve">Deep link </t>
  </si>
  <si>
    <t>acw551565</t>
  </si>
  <si>
    <t>https://temu.to/k/e4sf8a391kn</t>
  </si>
  <si>
    <t>https://saudi.alcoupon.com/en/discount-codes</t>
  </si>
  <si>
    <t>acu953339</t>
  </si>
  <si>
    <t>acx123276</t>
  </si>
  <si>
    <t>https://temu.to/k/e663livttqy</t>
  </si>
  <si>
    <t>https://app.temu.com/m/nqy5z3q3di8</t>
  </si>
  <si>
    <t>acw878480</t>
  </si>
  <si>
    <t>https://temu.to/k/exvicjn3djv</t>
  </si>
  <si>
    <t>https://x.com/eh12__?s=21&amp;t=PYye7_SRvjkqV5lajsIufA</t>
  </si>
  <si>
    <t>acq752917</t>
  </si>
  <si>
    <t>acw115192</t>
  </si>
  <si>
    <t>https://temu.to/k/epx3toovs00</t>
  </si>
  <si>
    <t>https://app.temu.com/m/ny0vr1y77l5</t>
  </si>
  <si>
    <t>acw537620</t>
  </si>
  <si>
    <t>https://temu.to/k/entoyxe4ttf</t>
  </si>
  <si>
    <t>https://www.facebook.com/groups/2607398122895215/</t>
  </si>
  <si>
    <t>acs975181</t>
  </si>
  <si>
    <t>acy245084</t>
  </si>
  <si>
    <t>https://temu.to/k/e47uhsqevhz</t>
  </si>
  <si>
    <t>https://app.temu.com/m/nxj4lyroyno</t>
  </si>
  <si>
    <t>acw938752</t>
  </si>
  <si>
    <t>https://temu.to/k/e95k1uyx91g</t>
  </si>
  <si>
    <t>https://copon5sm.com/en/</t>
  </si>
  <si>
    <t>acs764247</t>
  </si>
  <si>
    <t>acx115192</t>
  </si>
  <si>
    <t>https://temu.to/k/emr643iapfa</t>
  </si>
  <si>
    <t>https://app.temu.com/m/no4itbltb78</t>
  </si>
  <si>
    <t>acv649757</t>
  </si>
  <si>
    <t>https://temu.to/k/e2s0f234fk2</t>
  </si>
  <si>
    <t>https://codekhasm.com/</t>
  </si>
  <si>
    <t>acq935792</t>
  </si>
  <si>
    <t>acw456810</t>
  </si>
  <si>
    <t>https://temu.to/k/ec223lv3lef</t>
  </si>
  <si>
    <t>https://app.temu.com/m/nobr23rvzqp</t>
  </si>
  <si>
    <t>acw735768</t>
  </si>
  <si>
    <t>https://temu.to/k/eyjo8s7iaww</t>
  </si>
  <si>
    <t>https://x.com/ll_2066?s=21&amp;t=unwp2Mw1QC__AmlHnLMqsA</t>
  </si>
  <si>
    <t>acq764247</t>
  </si>
  <si>
    <t>acw245084</t>
  </si>
  <si>
    <t>https://temu.to/k/e6526f551pk</t>
  </si>
  <si>
    <t>https://app.temu.com/m/nkujkzlippm</t>
  </si>
  <si>
    <t>acw696872</t>
  </si>
  <si>
    <t>https://temu.to/k/edzy6udo7bo</t>
  </si>
  <si>
    <t>https://x.com/a8tp9?s=21</t>
  </si>
  <si>
    <t>acq503078</t>
  </si>
  <si>
    <t>acw116221</t>
  </si>
  <si>
    <t>https://temu.to/k/er15yjy5t10</t>
  </si>
  <si>
    <t>https://app.temu.com/m/nqc128wwr8r</t>
  </si>
  <si>
    <t>acv755308</t>
  </si>
  <si>
    <t>https://temu.to/k/ed1pgzre94h</t>
  </si>
  <si>
    <t>https://x.com/a123m32?t=duu4MWkRf3ZMjdVf1F1fsA&amp;s=08</t>
  </si>
  <si>
    <t>acq691878</t>
  </si>
  <si>
    <t>acx456810</t>
  </si>
  <si>
    <t>https://temu.to/k/eqr25atcewv</t>
  </si>
  <si>
    <t>https://app.temu.com/m/nifubiw9rzt</t>
  </si>
  <si>
    <t>acv520654</t>
  </si>
  <si>
    <t>https://temu.to/k/et92g8p34ms</t>
  </si>
  <si>
    <t>https://x.com/7lme_1990?t=RF9FRAA4WNAJc2sAazS5mQ&amp;s=08</t>
  </si>
  <si>
    <t>acr754879</t>
  </si>
  <si>
    <t>acy116221</t>
  </si>
  <si>
    <t>https://temu.to/k/e08aj47griv</t>
  </si>
  <si>
    <t>https://app.temu.com/m/nt8e6uzxqhr</t>
  </si>
  <si>
    <t>acw866309</t>
  </si>
  <si>
    <t>https://temu.to/k/ev30745kbhk</t>
  </si>
  <si>
    <t>https://www.tiktok.com/@sh_bloggernw?_t=ZS-8uOxDq5G2C8&amp;_r=1</t>
  </si>
  <si>
    <t>acu839476</t>
  </si>
  <si>
    <t>acy456810</t>
  </si>
  <si>
    <t>https://temu.to/k/ebetq56vb8b</t>
  </si>
  <si>
    <t>https://app.temu.com/m/n38xob0cbfb</t>
  </si>
  <si>
    <t>acw551492</t>
  </si>
  <si>
    <t>https://temu.to/k/e0osa04gskx</t>
  </si>
  <si>
    <t>https://ksacouponz.com/</t>
  </si>
  <si>
    <t>acs736498</t>
  </si>
  <si>
    <t>acx245084</t>
  </si>
  <si>
    <t>https://temu.to/k/e7qy6msr6kb</t>
  </si>
  <si>
    <t>https://app.temu.com/m/naef0kg9guu</t>
  </si>
  <si>
    <t>acv705683</t>
  </si>
  <si>
    <t>https://temu.to/k/eyxwf8zkvoe</t>
  </si>
  <si>
    <t>https://www.tiktok.com/@oday.zagha_?_t=ZS-8uGgZRFF0wj&amp;_r=1</t>
  </si>
  <si>
    <t>act754879</t>
  </si>
  <si>
    <t>acy366556</t>
  </si>
  <si>
    <t>https://temu.to/k/ea9nf169ki1</t>
  </si>
  <si>
    <t>https://app.temu.com/m/nvyvxlbezga</t>
  </si>
  <si>
    <t>acw508267</t>
  </si>
  <si>
    <t>https://temu.to/k/eyppragcxfd</t>
  </si>
  <si>
    <t>https://t.me/codeksaGcc</t>
  </si>
  <si>
    <t>acu754879</t>
  </si>
  <si>
    <t>acw366556</t>
  </si>
  <si>
    <t>https://temu.to/k/e28vlh1wgps</t>
  </si>
  <si>
    <t>https://app.temu.com/m/nyv461gnlu4</t>
  </si>
  <si>
    <t>acv869733</t>
  </si>
  <si>
    <t>https://temu.to/k/eac853mceym</t>
  </si>
  <si>
    <t>https://apps.apple.com/om/app/%D9%85%D9%82%D8%B3%D9%88%D9%85-%D9%83%D9%88%D8%A8%D9%88%D9%86%D8%A7%D8%AA-%D8%AE%D8%B5%D9%85/id1532867311?l=ar</t>
  </si>
  <si>
    <t>acr544714</t>
  </si>
  <si>
    <t>acw030837</t>
  </si>
  <si>
    <t>https://temu.to/k/eu585ej4jte</t>
  </si>
  <si>
    <t>https://app.temu.com/m/nik81dfz5li</t>
  </si>
  <si>
    <t>acw705683</t>
  </si>
  <si>
    <t>https://temu.to/k/e38akwiyd8j</t>
  </si>
  <si>
    <t>https://www.coupons-hub.com/</t>
  </si>
  <si>
    <t>acq726650</t>
  </si>
  <si>
    <t>acx436784</t>
  </si>
  <si>
    <t>https://temu.to/k/ezkos9v2qjd</t>
  </si>
  <si>
    <t>https://app.temu.com/m/nvegoliwkyg</t>
  </si>
  <si>
    <t>acw778685</t>
  </si>
  <si>
    <t>https://temu.to/k/e8d5ue2qe5k</t>
  </si>
  <si>
    <t>http://ksa-voucher.com/</t>
  </si>
  <si>
    <t>act726650</t>
  </si>
  <si>
    <t>acy308050</t>
  </si>
  <si>
    <t>https://temu.to/k/ewyo7o7krnf</t>
  </si>
  <si>
    <t>https://app.temu.com/m/nmmguxwx266</t>
  </si>
  <si>
    <t>acv778685</t>
  </si>
  <si>
    <t>https://temu.to/k/ecf5vr1dk0k</t>
  </si>
  <si>
    <t>https://www.instagram.com/pilotramadan?igsh=MWEydjlubXZvNjJ4Yg==</t>
  </si>
  <si>
    <t>acr942516</t>
  </si>
  <si>
    <t>T43EM</t>
  </si>
  <si>
    <t>https://temu.to/k/elq8yqkckip</t>
  </si>
  <si>
    <t>https://app.temu.com/m/ngr3ebkj2o3</t>
  </si>
  <si>
    <t>acw697071</t>
  </si>
  <si>
    <t>https://temu.to/k/eyli4m62eps</t>
  </si>
  <si>
    <t>beauty_reviews70</t>
  </si>
  <si>
    <t>acs726650</t>
  </si>
  <si>
    <t>T97EM</t>
  </si>
  <si>
    <t>https://temu.to/k/e98zvlwflll</t>
  </si>
  <si>
    <t>https://app.temu.com/m/nravpk69rc7</t>
  </si>
  <si>
    <t>acv325125</t>
  </si>
  <si>
    <t>https://temu.to/k/ek8kl1qpqxt</t>
  </si>
  <si>
    <t>www.t3alaonline.com/#google_vignette</t>
  </si>
  <si>
    <t>acu726650</t>
  </si>
  <si>
    <t>T60EM</t>
  </si>
  <si>
    <t>https://temu.to/k/elm8kcc0lgi</t>
  </si>
  <si>
    <t>https://app.temu.com/m/nbjcx1im62o</t>
  </si>
  <si>
    <t>acg647695</t>
  </si>
  <si>
    <t>https://temu.to/k/e37duiwpwly</t>
  </si>
  <si>
    <t>https://www.tiktok.com/@discount_code_coupons?_t=ZS-8vKz3gOrTRy&amp;_r=1</t>
  </si>
  <si>
    <t>acs942516</t>
  </si>
  <si>
    <t>T18EM</t>
  </si>
  <si>
    <t>https://temu.to/k/ecqnswrq5jk</t>
  </si>
  <si>
    <t>https://app.temu.com/m/ntdugvhmh61</t>
  </si>
  <si>
    <t>alb436660</t>
  </si>
  <si>
    <t>https://temu.to/k/ez8ai7a3o9p</t>
  </si>
  <si>
    <r>
      <rPr>
        <color rgb="FF1155CC"/>
        <u/>
      </rPr>
      <t>https://www.tiktok.com/@coupons.vibe?_t=ZS-8vkHpewycIK&amp;_r=1</t>
    </r>
  </si>
  <si>
    <t>act724086</t>
  </si>
  <si>
    <t>T09EM</t>
  </si>
  <si>
    <t>https://temu.to/k/ek2uj900kka</t>
  </si>
  <si>
    <t>https://app.temu.com/m/n513w2eg6od</t>
  </si>
  <si>
    <t>ale387746</t>
  </si>
  <si>
    <t>https://temu.to/k/e5od2ucomjs</t>
  </si>
  <si>
    <t>https://www.facebook.com/share/g/1AfhJSDmRo/</t>
  </si>
  <si>
    <t>acr724086</t>
  </si>
  <si>
    <t>T77EM</t>
  </si>
  <si>
    <t>https://temu.to/k/epbuvdm8sl8</t>
  </si>
  <si>
    <t>https://app.temu.com/m/nadi58pxzwv</t>
  </si>
  <si>
    <t>ali142243</t>
  </si>
  <si>
    <t>https://temu.to/k/evnt7nqkn22</t>
  </si>
  <si>
    <t>https://www.facebook.com/people/%D8%B9%D8%B1%D9%88%D8%B6-%D8%AD%D8%B5%D8%B1%D9%8A%D8%A9-%D9%80-special-offers/100082745047841/</t>
  </si>
  <si>
    <t>act942516</t>
  </si>
  <si>
    <t>T96EM</t>
  </si>
  <si>
    <t>https://temu.to/k/el6yy36w0j6</t>
  </si>
  <si>
    <t>https://app.temu.com/m/nvq56x005ao</t>
  </si>
  <si>
    <t>NONO</t>
  </si>
  <si>
    <t>SAIII</t>
  </si>
  <si>
    <t>ULL</t>
  </si>
  <si>
    <t>TREMCCN</t>
  </si>
  <si>
    <t>SHOPPING</t>
  </si>
  <si>
    <t>ACAC</t>
  </si>
  <si>
    <t>TRENDYM</t>
  </si>
  <si>
    <t>STORIE</t>
  </si>
  <si>
    <t>FIOV</t>
  </si>
  <si>
    <t>SAUWCZX</t>
  </si>
  <si>
    <t>IMEM</t>
  </si>
  <si>
    <t>EMANEL</t>
  </si>
  <si>
    <t>HUDDA</t>
  </si>
  <si>
    <t>WSSSS</t>
  </si>
  <si>
    <t>XXXXX</t>
  </si>
  <si>
    <t>SHAHIR</t>
  </si>
  <si>
    <t>MNI</t>
  </si>
  <si>
    <t>NOOOO</t>
  </si>
  <si>
    <t>ANNF</t>
  </si>
  <si>
    <t>MJM</t>
  </si>
  <si>
    <t>ASMAAX</t>
  </si>
  <si>
    <t>ARABS</t>
  </si>
  <si>
    <t>TJAR</t>
  </si>
  <si>
    <t>ALKA</t>
  </si>
  <si>
    <t>SARDNZD</t>
  </si>
  <si>
    <t>YOSF</t>
  </si>
  <si>
    <t>DRHASN</t>
  </si>
  <si>
    <t>OROOD</t>
  </si>
  <si>
    <t>ISHAAI</t>
  </si>
  <si>
    <t>OSAM</t>
  </si>
  <si>
    <t>BAT</t>
  </si>
  <si>
    <t>BES</t>
  </si>
  <si>
    <t>OMARY</t>
  </si>
  <si>
    <t>MARIAMA</t>
  </si>
  <si>
    <t>HIJABS</t>
  </si>
  <si>
    <t>ROA</t>
  </si>
  <si>
    <t>MOFB</t>
  </si>
  <si>
    <t>SOSOH</t>
  </si>
  <si>
    <t>LIX</t>
  </si>
  <si>
    <t>RSST</t>
  </si>
  <si>
    <t>HONS</t>
  </si>
  <si>
    <t>SHEIN</t>
  </si>
  <si>
    <t>GLOB</t>
  </si>
  <si>
    <t>TRENDG</t>
  </si>
  <si>
    <t>MARIA</t>
  </si>
  <si>
    <t>NJED</t>
  </si>
  <si>
    <t>DICX</t>
  </si>
  <si>
    <t>UDA</t>
  </si>
  <si>
    <t>YASOOM</t>
  </si>
  <si>
    <t>NEA</t>
  </si>
  <si>
    <t>TODAYAI</t>
  </si>
  <si>
    <t>RAAYAA</t>
  </si>
  <si>
    <t>OMZ</t>
  </si>
  <si>
    <t>MAGO</t>
  </si>
  <si>
    <t>LENA</t>
  </si>
  <si>
    <t>HANIN</t>
  </si>
  <si>
    <t>XOX</t>
  </si>
  <si>
    <t>TODAYYOO</t>
  </si>
  <si>
    <t>COUPO</t>
  </si>
  <si>
    <t>DOSK</t>
  </si>
  <si>
    <t>AHMMHZJ</t>
  </si>
  <si>
    <t>AESTH</t>
  </si>
  <si>
    <t>TIO</t>
  </si>
  <si>
    <t>RZHH</t>
  </si>
  <si>
    <t>STYHXSS</t>
  </si>
  <si>
    <t>BODY</t>
  </si>
  <si>
    <t>MMM</t>
  </si>
  <si>
    <t>ARYAM</t>
  </si>
  <si>
    <t>TRY</t>
  </si>
  <si>
    <t>OUDA</t>
  </si>
  <si>
    <t>LON</t>
  </si>
  <si>
    <t>OUD</t>
  </si>
  <si>
    <t>ASEELT</t>
  </si>
  <si>
    <t>WHWH</t>
  </si>
  <si>
    <t>KIKO</t>
  </si>
  <si>
    <t>TRN</t>
  </si>
  <si>
    <t>ESLAMT</t>
  </si>
  <si>
    <t>LLIXX</t>
  </si>
  <si>
    <t>NAJDS</t>
  </si>
  <si>
    <t>CAFTA</t>
  </si>
  <si>
    <t>ALAASX</t>
  </si>
  <si>
    <t>KHAZA</t>
  </si>
  <si>
    <t>COINS</t>
  </si>
  <si>
    <t>MARIAMM</t>
  </si>
  <si>
    <t>LOLL</t>
  </si>
  <si>
    <t>LLK</t>
  </si>
  <si>
    <t>HYD</t>
  </si>
  <si>
    <t>ACC</t>
  </si>
  <si>
    <t>SUGAA</t>
  </si>
  <si>
    <t>MAGDYE</t>
  </si>
  <si>
    <t>SAADSX</t>
  </si>
  <si>
    <t>LODYX</t>
  </si>
  <si>
    <t>IXD</t>
  </si>
  <si>
    <t>AMRJ</t>
  </si>
  <si>
    <t>VAX</t>
  </si>
  <si>
    <t>TODAJOY</t>
  </si>
  <si>
    <t>PLI</t>
  </si>
  <si>
    <t>IHV</t>
  </si>
  <si>
    <t>RIIXA</t>
  </si>
  <si>
    <t>SMAXX</t>
  </si>
  <si>
    <t>AIISH</t>
  </si>
  <si>
    <t>JOOX</t>
  </si>
  <si>
    <t>MNE</t>
  </si>
  <si>
    <t>EYG</t>
  </si>
  <si>
    <t>XZI</t>
  </si>
  <si>
    <t>HEBAXX</t>
  </si>
  <si>
    <t>JII</t>
  </si>
  <si>
    <t>ALAAXX</t>
  </si>
  <si>
    <t>TROL</t>
  </si>
  <si>
    <t>MBRO</t>
  </si>
  <si>
    <t>TODAKMY</t>
  </si>
  <si>
    <t>AALO</t>
  </si>
  <si>
    <t>TODAYTE</t>
  </si>
  <si>
    <t>REIII</t>
  </si>
  <si>
    <t>HANTZWL</t>
  </si>
  <si>
    <t>RRAL</t>
  </si>
  <si>
    <t>TODAQWY</t>
  </si>
  <si>
    <t>TRF</t>
  </si>
  <si>
    <t>SIBA</t>
  </si>
  <si>
    <t>FTO</t>
  </si>
  <si>
    <t>FATQVQB</t>
  </si>
  <si>
    <t>FROZ</t>
  </si>
  <si>
    <t>ROUD</t>
  </si>
  <si>
    <t>BEAUTYK</t>
  </si>
  <si>
    <t>YMO</t>
  </si>
  <si>
    <t>HHH</t>
  </si>
  <si>
    <t>TANJ</t>
  </si>
  <si>
    <t>LIVR</t>
  </si>
  <si>
    <t>TODAJEY</t>
  </si>
  <si>
    <t>VZOLX</t>
  </si>
  <si>
    <t>ESY</t>
  </si>
  <si>
    <t>PRIC</t>
  </si>
  <si>
    <t>TODAXEY</t>
  </si>
  <si>
    <t>LIS</t>
  </si>
  <si>
    <t>PATROL</t>
  </si>
  <si>
    <t>MIDOG</t>
  </si>
  <si>
    <t>AZIM</t>
  </si>
  <si>
    <t>ZEKA</t>
  </si>
  <si>
    <t>MANOS</t>
  </si>
  <si>
    <t>MAINA</t>
  </si>
  <si>
    <t>NWR</t>
  </si>
  <si>
    <t>NNAATT</t>
  </si>
  <si>
    <t>ARRO</t>
  </si>
  <si>
    <t>IOU</t>
  </si>
  <si>
    <t>FASHXXX</t>
  </si>
  <si>
    <t>ITR</t>
  </si>
  <si>
    <t>SHERIF</t>
  </si>
  <si>
    <t>QTR</t>
  </si>
  <si>
    <t>NLXXX</t>
  </si>
  <si>
    <t>SSD</t>
  </si>
  <si>
    <t>VOI</t>
  </si>
  <si>
    <t>LAL</t>
  </si>
  <si>
    <t>AMRA</t>
  </si>
  <si>
    <t>GHAIDAA</t>
  </si>
  <si>
    <t>ASASD</t>
  </si>
  <si>
    <t>REMXX</t>
  </si>
  <si>
    <t>NOURANO</t>
  </si>
  <si>
    <t>AHMEDKH</t>
  </si>
  <si>
    <t>JUDYR</t>
  </si>
  <si>
    <t>FARIS</t>
  </si>
  <si>
    <t>SLLI</t>
  </si>
  <si>
    <t>DDX</t>
  </si>
  <si>
    <t>FWN</t>
  </si>
  <si>
    <t>GHADAJ</t>
  </si>
  <si>
    <t>ZAHO</t>
  </si>
  <si>
    <t>SNQ</t>
  </si>
  <si>
    <t>REVA</t>
  </si>
  <si>
    <t>TODAYIM</t>
  </si>
  <si>
    <t>AMIYYDC</t>
  </si>
  <si>
    <t>AIIS</t>
  </si>
  <si>
    <t>AMIRAAH</t>
  </si>
  <si>
    <t>ALALX</t>
  </si>
  <si>
    <t>DXI</t>
  </si>
  <si>
    <t>ELIZAX</t>
  </si>
  <si>
    <t>JOODX</t>
  </si>
  <si>
    <t>YCI</t>
  </si>
  <si>
    <t>RIYFTMB</t>
  </si>
  <si>
    <t>RXX</t>
  </si>
  <si>
    <t>SDII</t>
  </si>
  <si>
    <t>GODY</t>
  </si>
  <si>
    <t>TWINSM</t>
  </si>
  <si>
    <t>ASASY</t>
  </si>
  <si>
    <t>LLIA</t>
  </si>
  <si>
    <t>TOADAY</t>
  </si>
  <si>
    <t>IAMER</t>
  </si>
  <si>
    <t>SHUQ</t>
  </si>
  <si>
    <t>TODANY</t>
  </si>
  <si>
    <t>XIIXXX</t>
  </si>
  <si>
    <t>HHI</t>
  </si>
  <si>
    <t>XNR</t>
  </si>
  <si>
    <t>ZOZ</t>
  </si>
  <si>
    <t>TOOTX</t>
  </si>
  <si>
    <t>FAKH</t>
  </si>
  <si>
    <t>SAHABX</t>
  </si>
  <si>
    <t>TODAOOY</t>
  </si>
  <si>
    <t>XER</t>
  </si>
  <si>
    <t>ALJAWX</t>
  </si>
  <si>
    <t>IOR</t>
  </si>
  <si>
    <t>IEZR</t>
  </si>
  <si>
    <t>JAW</t>
  </si>
  <si>
    <t>SSRR</t>
  </si>
  <si>
    <t>HANAM</t>
  </si>
  <si>
    <t>FFL</t>
  </si>
  <si>
    <t>JUD</t>
  </si>
  <si>
    <t>RAF</t>
  </si>
  <si>
    <t>WOWO</t>
  </si>
  <si>
    <t>SAFX</t>
  </si>
  <si>
    <t>ROOZA</t>
  </si>
  <si>
    <t>IBNA</t>
  </si>
  <si>
    <t>ASEL</t>
  </si>
  <si>
    <t>NAFISA</t>
  </si>
  <si>
    <t>MRSS</t>
  </si>
  <si>
    <t>YOUR</t>
  </si>
  <si>
    <t>MOM</t>
  </si>
  <si>
    <t>kirtij</t>
  </si>
  <si>
    <t>DESIX</t>
  </si>
  <si>
    <t>MAUKHA</t>
  </si>
  <si>
    <t>WITHW</t>
  </si>
  <si>
    <t>SDU</t>
  </si>
  <si>
    <t>MALAKMO</t>
  </si>
  <si>
    <t>OFC</t>
  </si>
  <si>
    <t>SAJAX</t>
  </si>
  <si>
    <t>ZEE</t>
  </si>
  <si>
    <t>THEBXSN</t>
  </si>
  <si>
    <t>GAD</t>
  </si>
  <si>
    <t>MAQ</t>
  </si>
  <si>
    <t>MAGICX</t>
  </si>
  <si>
    <t>RMAD</t>
  </si>
  <si>
    <t>SARASE</t>
  </si>
  <si>
    <t>ANOO</t>
  </si>
  <si>
    <t>DDKK</t>
  </si>
  <si>
    <t>SILAST</t>
  </si>
  <si>
    <t>IBAX</t>
  </si>
  <si>
    <t>ILXXX</t>
  </si>
  <si>
    <t>LIFEWI</t>
  </si>
  <si>
    <t>SMOOO</t>
  </si>
  <si>
    <t>RAGHDX</t>
  </si>
  <si>
    <t>DINAAA</t>
  </si>
  <si>
    <t>ANX</t>
  </si>
  <si>
    <t>ADEE</t>
  </si>
  <si>
    <t>DIIX</t>
  </si>
  <si>
    <t>RANIAXX</t>
  </si>
  <si>
    <t>COACHR</t>
  </si>
  <si>
    <t>UAEGO</t>
  </si>
  <si>
    <t>UMF</t>
  </si>
  <si>
    <t>DIAPDLL</t>
  </si>
  <si>
    <t>QUELDBH</t>
  </si>
  <si>
    <t>YASBSWR</t>
  </si>
  <si>
    <t>DOK</t>
  </si>
  <si>
    <t>NOOFH</t>
  </si>
  <si>
    <t>BLOCFXD</t>
  </si>
  <si>
    <t>XNV</t>
  </si>
  <si>
    <t>NAEV</t>
  </si>
  <si>
    <t>YAQ</t>
  </si>
  <si>
    <t>IIMX</t>
  </si>
  <si>
    <t>TAGA</t>
  </si>
  <si>
    <t>VCR</t>
  </si>
  <si>
    <t>LALH</t>
  </si>
  <si>
    <t>XIIX</t>
  </si>
  <si>
    <t>SEBA</t>
  </si>
  <si>
    <t>TODAYIN</t>
  </si>
  <si>
    <t>RENA</t>
  </si>
  <si>
    <t>TZD</t>
  </si>
  <si>
    <t>ILLA</t>
  </si>
  <si>
    <t>IAMQLVK</t>
  </si>
  <si>
    <t>VZOAX</t>
  </si>
  <si>
    <t>COFFEEL</t>
  </si>
  <si>
    <t>IVAN</t>
  </si>
  <si>
    <t>XWE</t>
  </si>
  <si>
    <t>WLI</t>
  </si>
  <si>
    <t>AZIZ</t>
  </si>
  <si>
    <t>HIIN</t>
  </si>
  <si>
    <t>COFFEE</t>
  </si>
  <si>
    <t>HNOA</t>
  </si>
  <si>
    <t>NMR</t>
  </si>
  <si>
    <t>AMAPBBC</t>
  </si>
  <si>
    <t>OOIM</t>
  </si>
  <si>
    <t>TOTAX</t>
  </si>
  <si>
    <t>JRII</t>
  </si>
  <si>
    <t>INNJ</t>
  </si>
  <si>
    <t>FVG</t>
  </si>
  <si>
    <t>NAAL</t>
  </si>
  <si>
    <t>SHROUD</t>
  </si>
  <si>
    <t>RAIX</t>
  </si>
  <si>
    <t>LIIXXX</t>
  </si>
  <si>
    <t>UROFFER</t>
  </si>
  <si>
    <t>Z</t>
  </si>
  <si>
    <t>MISSD</t>
  </si>
  <si>
    <t>VVI</t>
  </si>
  <si>
    <t>LAVE</t>
  </si>
  <si>
    <t>jiivnz</t>
  </si>
  <si>
    <t>SEE</t>
  </si>
  <si>
    <t>HOTC</t>
  </si>
  <si>
    <t>USC</t>
  </si>
  <si>
    <t>AMXX</t>
  </si>
  <si>
    <t>CAND</t>
  </si>
  <si>
    <t>KSAST</t>
  </si>
  <si>
    <t>SINGL</t>
  </si>
  <si>
    <t>SHXXX</t>
  </si>
  <si>
    <t>SIXXX</t>
  </si>
  <si>
    <t>IVL</t>
  </si>
  <si>
    <t>SOSOO</t>
  </si>
  <si>
    <t>OMAREE</t>
  </si>
  <si>
    <t>HXX</t>
  </si>
  <si>
    <t>VOOW</t>
  </si>
  <si>
    <t>IIRA</t>
  </si>
  <si>
    <t>AYD</t>
  </si>
  <si>
    <t>TODAYAB</t>
  </si>
  <si>
    <t>IPH</t>
  </si>
  <si>
    <t>ORAN</t>
  </si>
  <si>
    <t>RHAX</t>
  </si>
  <si>
    <t>JOJOOX</t>
  </si>
  <si>
    <t>KKK</t>
  </si>
  <si>
    <t>AHLAMD</t>
  </si>
  <si>
    <t>AMAAN</t>
  </si>
  <si>
    <t>STYLS</t>
  </si>
  <si>
    <t>NAJAH</t>
  </si>
  <si>
    <t>ERO</t>
  </si>
  <si>
    <t>TODAYCK</t>
  </si>
  <si>
    <t>MOONXXX</t>
  </si>
  <si>
    <t>HRX</t>
  </si>
  <si>
    <t>OFFERSD</t>
  </si>
  <si>
    <t>TODAYBA</t>
  </si>
  <si>
    <t>SIXX</t>
  </si>
  <si>
    <t>MOTHEX</t>
  </si>
  <si>
    <t>QWET</t>
  </si>
  <si>
    <t>TALAX</t>
  </si>
  <si>
    <t>MONIC</t>
  </si>
  <si>
    <t>MHAW</t>
  </si>
  <si>
    <t>HERF</t>
  </si>
  <si>
    <t>PHOTO</t>
  </si>
  <si>
    <t>GHALIX</t>
  </si>
  <si>
    <t>OFFERZS</t>
  </si>
  <si>
    <t>DRAMI</t>
  </si>
  <si>
    <t>OFX</t>
  </si>
  <si>
    <t>LIFFE</t>
  </si>
  <si>
    <t>NOURHXXX</t>
  </si>
  <si>
    <t>AFNANA</t>
  </si>
  <si>
    <t>ABOSK</t>
  </si>
  <si>
    <t>SDI</t>
  </si>
  <si>
    <t>NOOORX</t>
  </si>
  <si>
    <t>WAFFA</t>
  </si>
  <si>
    <t>MARE</t>
  </si>
  <si>
    <t>SHAW</t>
  </si>
  <si>
    <t>BARA</t>
  </si>
  <si>
    <t>ALIII</t>
  </si>
  <si>
    <t>NFA</t>
  </si>
  <si>
    <t>HOOR</t>
  </si>
  <si>
    <t>HNX</t>
  </si>
  <si>
    <t>UAEST</t>
  </si>
  <si>
    <t>SARAHK</t>
  </si>
  <si>
    <t>SHAMSKA</t>
  </si>
  <si>
    <t>TAIFXX</t>
  </si>
  <si>
    <t>IAMS</t>
  </si>
  <si>
    <t>REABS</t>
  </si>
  <si>
    <t>HILA</t>
  </si>
  <si>
    <t>HALF</t>
  </si>
  <si>
    <t>ALREE</t>
  </si>
  <si>
    <t>TAGT</t>
  </si>
  <si>
    <t>IBRAH</t>
  </si>
  <si>
    <t>TAGH</t>
  </si>
  <si>
    <t>TWINS</t>
  </si>
  <si>
    <t>HIJ</t>
  </si>
  <si>
    <t>TOOA</t>
  </si>
  <si>
    <t>Delete</t>
  </si>
  <si>
    <t>RSHO</t>
  </si>
  <si>
    <t>AARE</t>
  </si>
  <si>
    <t>ALAU</t>
  </si>
  <si>
    <t>WAFF</t>
  </si>
  <si>
    <t>ALRE</t>
  </si>
  <si>
    <t>HAYAMH</t>
  </si>
  <si>
    <t>STL</t>
  </si>
  <si>
    <t>SARAHOMX</t>
  </si>
  <si>
    <t>OIO</t>
  </si>
  <si>
    <t>BIO</t>
  </si>
  <si>
    <t>MEMAC</t>
  </si>
  <si>
    <t>NJOOM</t>
  </si>
  <si>
    <t>TODAYUU</t>
  </si>
  <si>
    <t>GULFP</t>
  </si>
  <si>
    <t>SUN</t>
  </si>
  <si>
    <t>ANIK</t>
  </si>
  <si>
    <t>SHI</t>
  </si>
  <si>
    <t>COZ</t>
  </si>
  <si>
    <t>MANAR</t>
  </si>
  <si>
    <t>HALAM</t>
  </si>
  <si>
    <t>loof</t>
  </si>
  <si>
    <t>Esraa nabil</t>
  </si>
  <si>
    <t>AZF</t>
  </si>
  <si>
    <t>AYAMM</t>
  </si>
  <si>
    <t>MANALLX</t>
  </si>
  <si>
    <t>DD</t>
  </si>
  <si>
    <t>SOD</t>
  </si>
  <si>
    <t>SAVE</t>
  </si>
  <si>
    <t>KAUR</t>
  </si>
  <si>
    <t>PPPP</t>
  </si>
  <si>
    <t>WTS</t>
  </si>
  <si>
    <t>ASLX</t>
  </si>
  <si>
    <t>OAXI</t>
  </si>
  <si>
    <t>TODAYFM</t>
  </si>
  <si>
    <t>MOHXXX</t>
  </si>
  <si>
    <t>LND</t>
  </si>
  <si>
    <t>HAANN</t>
  </si>
  <si>
    <t>IOD</t>
  </si>
  <si>
    <t>soosoo772 nov</t>
  </si>
  <si>
    <t>IILLI</t>
  </si>
  <si>
    <t>BONUS</t>
  </si>
  <si>
    <t>VIPN</t>
  </si>
  <si>
    <t>ARWASH</t>
  </si>
  <si>
    <t>SEVEN</t>
  </si>
  <si>
    <t>MORY</t>
  </si>
  <si>
    <t>HIK</t>
  </si>
  <si>
    <t>TODAYEQ</t>
  </si>
  <si>
    <t>AAHB</t>
  </si>
  <si>
    <t>FOREV</t>
  </si>
  <si>
    <t>STAYL</t>
  </si>
  <si>
    <t>YASINN</t>
  </si>
  <si>
    <t>REMIX</t>
  </si>
  <si>
    <t>THEKW</t>
  </si>
  <si>
    <t>KHLOO</t>
  </si>
  <si>
    <t>HWAA</t>
  </si>
  <si>
    <t>SAAB</t>
  </si>
  <si>
    <t>TODAYLL</t>
  </si>
  <si>
    <t>MIXJ</t>
  </si>
  <si>
    <t>FABI</t>
  </si>
  <si>
    <t>HANOH</t>
  </si>
  <si>
    <t>MAHYM</t>
  </si>
  <si>
    <t>AALL</t>
  </si>
  <si>
    <t>uu</t>
  </si>
  <si>
    <t>IIME</t>
  </si>
  <si>
    <t>IND</t>
  </si>
  <si>
    <t>BYAA</t>
  </si>
  <si>
    <t>SS</t>
  </si>
  <si>
    <t>BAND</t>
  </si>
  <si>
    <t>shosho</t>
  </si>
  <si>
    <t>ASMAHA</t>
  </si>
  <si>
    <t>GG</t>
  </si>
  <si>
    <t>AMALAX</t>
  </si>
  <si>
    <t>MIAS</t>
  </si>
  <si>
    <t>RLIC</t>
  </si>
  <si>
    <t>TIPT</t>
  </si>
  <si>
    <t>XJO</t>
  </si>
  <si>
    <t>BABY</t>
  </si>
  <si>
    <t>SOKA</t>
  </si>
  <si>
    <t>MAHAXX</t>
  </si>
  <si>
    <t>SAMIAJ</t>
  </si>
  <si>
    <t>AMS</t>
  </si>
  <si>
    <t>RAWAA</t>
  </si>
  <si>
    <t>GOOD</t>
  </si>
  <si>
    <t>GOGO</t>
  </si>
  <si>
    <t>SHEYFHM</t>
  </si>
  <si>
    <t>AMRO</t>
  </si>
  <si>
    <t>YASOO</t>
  </si>
  <si>
    <t>OFFERZ</t>
  </si>
  <si>
    <t>TODAYY</t>
  </si>
  <si>
    <t>SARAAXX</t>
  </si>
  <si>
    <t>MOMOX</t>
  </si>
  <si>
    <t>SARAT</t>
  </si>
  <si>
    <t>ALLL</t>
  </si>
  <si>
    <t>HODA</t>
  </si>
  <si>
    <t>COQ</t>
  </si>
  <si>
    <t>SHAIMAF</t>
  </si>
  <si>
    <t>ANC</t>
  </si>
  <si>
    <t>IHS</t>
  </si>
  <si>
    <t>INDIAX</t>
  </si>
  <si>
    <t>JDV</t>
  </si>
  <si>
    <t>MARB</t>
  </si>
  <si>
    <t>SHOO</t>
  </si>
  <si>
    <t>HES</t>
  </si>
  <si>
    <t>ALFA</t>
  </si>
  <si>
    <t>EIIQ</t>
  </si>
  <si>
    <t>SSS</t>
  </si>
  <si>
    <t>Gaz</t>
  </si>
  <si>
    <t>SWI</t>
  </si>
  <si>
    <t>SWEETT</t>
  </si>
  <si>
    <t>LINAN</t>
  </si>
  <si>
    <t>RRX</t>
  </si>
  <si>
    <t>HALAL</t>
  </si>
  <si>
    <t>ALLM</t>
  </si>
  <si>
    <t>OMALL</t>
  </si>
  <si>
    <t>NEWA</t>
  </si>
  <si>
    <t>RYA</t>
  </si>
  <si>
    <t>MOA</t>
  </si>
  <si>
    <t>WOL</t>
  </si>
  <si>
    <t>COSN</t>
  </si>
  <si>
    <t>MSX</t>
  </si>
  <si>
    <t>OTB</t>
  </si>
  <si>
    <t>IIR</t>
  </si>
  <si>
    <t>HAK</t>
  </si>
  <si>
    <t>JUSTMA</t>
  </si>
  <si>
    <t>GAN</t>
  </si>
  <si>
    <t>WALL</t>
  </si>
  <si>
    <t>TRENDLY</t>
  </si>
  <si>
    <t>AMLH</t>
  </si>
  <si>
    <t>SAKE</t>
  </si>
  <si>
    <t>DALIAX</t>
  </si>
  <si>
    <t>MNM</t>
  </si>
  <si>
    <t>MALLAK</t>
  </si>
  <si>
    <t>LIVKZMQ</t>
  </si>
  <si>
    <t>IRAGH</t>
  </si>
  <si>
    <t>DXX</t>
  </si>
  <si>
    <t>RASHIR</t>
  </si>
  <si>
    <t>AAXX</t>
  </si>
  <si>
    <t>NOUD</t>
  </si>
  <si>
    <t>WMI</t>
  </si>
  <si>
    <t>ALKHO</t>
  </si>
  <si>
    <t>AMAAL</t>
  </si>
  <si>
    <t>NARI</t>
  </si>
  <si>
    <t>JANAS</t>
  </si>
  <si>
    <t>ATM</t>
  </si>
  <si>
    <t>DALOO</t>
  </si>
  <si>
    <t>AHLA</t>
  </si>
  <si>
    <t>SALMAD</t>
  </si>
  <si>
    <t>TOOMD</t>
  </si>
  <si>
    <t>ZOOZX</t>
  </si>
  <si>
    <t>UWF</t>
  </si>
  <si>
    <t>KSAA</t>
  </si>
  <si>
    <t>URO</t>
  </si>
  <si>
    <t>ABAY</t>
  </si>
  <si>
    <t>SHINEX</t>
  </si>
  <si>
    <t>ANDC</t>
  </si>
  <si>
    <t>CODE</t>
  </si>
  <si>
    <t>AMAZ</t>
  </si>
  <si>
    <t>DOR</t>
  </si>
  <si>
    <t xml:space="preserve">Id </t>
  </si>
  <si>
    <t>recycle 2/8/2023</t>
  </si>
  <si>
    <t xml:space="preserve">yes </t>
  </si>
  <si>
    <t>DM1</t>
  </si>
  <si>
    <t>DM2</t>
  </si>
  <si>
    <t>DM3</t>
  </si>
  <si>
    <t>DM4</t>
  </si>
  <si>
    <t>DM5</t>
  </si>
  <si>
    <t>DM6</t>
  </si>
  <si>
    <t>DM7</t>
  </si>
  <si>
    <t>DM8</t>
  </si>
  <si>
    <t>DM9</t>
  </si>
  <si>
    <t>DM10</t>
  </si>
  <si>
    <t>DM11</t>
  </si>
  <si>
    <t>DM12</t>
  </si>
  <si>
    <t>DM13</t>
  </si>
  <si>
    <t>DM14</t>
  </si>
  <si>
    <t>DM15</t>
  </si>
  <si>
    <t>DM16</t>
  </si>
  <si>
    <t>DM17</t>
  </si>
  <si>
    <t>DM18</t>
  </si>
  <si>
    <t>DM19</t>
  </si>
  <si>
    <t>DM20</t>
  </si>
  <si>
    <t>DM21</t>
  </si>
  <si>
    <t>DM22</t>
  </si>
  <si>
    <t>DM23</t>
  </si>
  <si>
    <t>DM24</t>
  </si>
  <si>
    <t>DM25</t>
  </si>
  <si>
    <t>DM26</t>
  </si>
  <si>
    <t>DM27</t>
  </si>
  <si>
    <t>DM28</t>
  </si>
  <si>
    <t>DM29</t>
  </si>
  <si>
    <t>DM30</t>
  </si>
  <si>
    <t>DM31</t>
  </si>
  <si>
    <t>DM32</t>
  </si>
  <si>
    <t>DM33</t>
  </si>
  <si>
    <t>DM34</t>
  </si>
  <si>
    <t>DM35</t>
  </si>
  <si>
    <t>DM36</t>
  </si>
  <si>
    <t>DM37</t>
  </si>
  <si>
    <t>DM38</t>
  </si>
  <si>
    <t>DM39</t>
  </si>
  <si>
    <t>DM40</t>
  </si>
  <si>
    <t>DM41</t>
  </si>
  <si>
    <t>DM42</t>
  </si>
  <si>
    <t>DM43</t>
  </si>
  <si>
    <t>DM44</t>
  </si>
  <si>
    <t>DM45</t>
  </si>
  <si>
    <t>DM46</t>
  </si>
  <si>
    <t>DM47</t>
  </si>
  <si>
    <t>DM48</t>
  </si>
  <si>
    <t>DM49</t>
  </si>
  <si>
    <t>DM50</t>
  </si>
  <si>
    <t>`</t>
  </si>
  <si>
    <t>DD41</t>
  </si>
  <si>
    <t>DD42</t>
  </si>
  <si>
    <t>DD43</t>
  </si>
  <si>
    <t>DD44</t>
  </si>
  <si>
    <t>DD45</t>
  </si>
  <si>
    <t>DD46</t>
  </si>
  <si>
    <t>DD47</t>
  </si>
  <si>
    <t>DD48</t>
  </si>
  <si>
    <t>DD49</t>
  </si>
  <si>
    <t>DD55</t>
  </si>
  <si>
    <t>DD60</t>
  </si>
  <si>
    <t>DD66</t>
  </si>
  <si>
    <t>DD70</t>
  </si>
  <si>
    <t>DD77</t>
  </si>
  <si>
    <t>DD80</t>
  </si>
  <si>
    <t>DD88</t>
  </si>
  <si>
    <t>DD90</t>
  </si>
  <si>
    <t>DD91</t>
  </si>
  <si>
    <t>DD92</t>
  </si>
  <si>
    <t>DD93</t>
  </si>
  <si>
    <t>DD94</t>
  </si>
  <si>
    <t>DD95</t>
  </si>
  <si>
    <t>DD96</t>
  </si>
  <si>
    <t>DD97</t>
  </si>
  <si>
    <t>DD98</t>
  </si>
  <si>
    <t>DD99</t>
  </si>
  <si>
    <t>DD100</t>
  </si>
  <si>
    <t>TD1</t>
  </si>
  <si>
    <t>TD2</t>
  </si>
  <si>
    <t>TD3</t>
  </si>
  <si>
    <t>TD4</t>
  </si>
  <si>
    <t>TD14</t>
  </si>
  <si>
    <t>TD15</t>
  </si>
  <si>
    <t>TD16</t>
  </si>
  <si>
    <t>TD17</t>
  </si>
  <si>
    <t>TD18</t>
  </si>
  <si>
    <t>TD19</t>
  </si>
  <si>
    <t>TD20</t>
  </si>
  <si>
    <t>TD21</t>
  </si>
  <si>
    <t>TD22</t>
  </si>
  <si>
    <t>TD23</t>
  </si>
  <si>
    <t>TD24</t>
  </si>
  <si>
    <t>TD25</t>
  </si>
  <si>
    <t>TD26</t>
  </si>
  <si>
    <t>Digizag</t>
  </si>
  <si>
    <t>TD27</t>
  </si>
  <si>
    <t>TD28</t>
  </si>
  <si>
    <t>TD29</t>
  </si>
  <si>
    <t>TD30</t>
  </si>
  <si>
    <t>TD31</t>
  </si>
  <si>
    <t>TD32</t>
  </si>
  <si>
    <t>TD33</t>
  </si>
  <si>
    <t>TD34</t>
  </si>
  <si>
    <t>TD35</t>
  </si>
  <si>
    <t>TD36</t>
  </si>
  <si>
    <t>TD37</t>
  </si>
  <si>
    <t>TD38</t>
  </si>
  <si>
    <t>TD39</t>
  </si>
  <si>
    <t>TD40</t>
  </si>
  <si>
    <t>TD41</t>
  </si>
  <si>
    <t>TD42</t>
  </si>
  <si>
    <t>TD43</t>
  </si>
  <si>
    <t>TD44</t>
  </si>
  <si>
    <t>TD45</t>
  </si>
  <si>
    <t>TD46</t>
  </si>
  <si>
    <t>TD47</t>
  </si>
  <si>
    <t>TD48</t>
  </si>
  <si>
    <t>TD49</t>
  </si>
  <si>
    <t>TD50</t>
  </si>
  <si>
    <t>TD51</t>
  </si>
  <si>
    <t>TD52</t>
  </si>
  <si>
    <t>TD53</t>
  </si>
  <si>
    <t>TD54</t>
  </si>
  <si>
    <t>TD55</t>
  </si>
  <si>
    <t>TD56</t>
  </si>
  <si>
    <t>TD57</t>
  </si>
  <si>
    <t>TD58</t>
  </si>
  <si>
    <t>TD59</t>
  </si>
  <si>
    <t>TD60</t>
  </si>
  <si>
    <t>TD61</t>
  </si>
  <si>
    <t>TD62</t>
  </si>
  <si>
    <t>TD63</t>
  </si>
  <si>
    <t>TD64</t>
  </si>
  <si>
    <t>TD65</t>
  </si>
  <si>
    <t>TD66</t>
  </si>
  <si>
    <t>TD67</t>
  </si>
  <si>
    <t>TD68</t>
  </si>
  <si>
    <t>TD69</t>
  </si>
  <si>
    <t>TD70</t>
  </si>
  <si>
    <t>TD71</t>
  </si>
  <si>
    <t>TD72</t>
  </si>
  <si>
    <t>TD73</t>
  </si>
  <si>
    <t>TD74</t>
  </si>
  <si>
    <t>TD75</t>
  </si>
  <si>
    <t>TD76</t>
  </si>
  <si>
    <t>TD77</t>
  </si>
  <si>
    <t>TD78</t>
  </si>
  <si>
    <t>TD79</t>
  </si>
  <si>
    <t>TD80</t>
  </si>
  <si>
    <t>TD81</t>
  </si>
  <si>
    <t>TD82</t>
  </si>
  <si>
    <t>TD83</t>
  </si>
  <si>
    <t>TD84</t>
  </si>
  <si>
    <t>TD85</t>
  </si>
  <si>
    <t>TD86</t>
  </si>
  <si>
    <t>TD87</t>
  </si>
  <si>
    <t>TD88</t>
  </si>
  <si>
    <t>TD89</t>
  </si>
  <si>
    <t>TD90</t>
  </si>
  <si>
    <t>TD91</t>
  </si>
  <si>
    <t>TD92</t>
  </si>
  <si>
    <t>TD93</t>
  </si>
  <si>
    <t>TD94</t>
  </si>
  <si>
    <t>TD95</t>
  </si>
  <si>
    <t>TD96</t>
  </si>
  <si>
    <t>TD97</t>
  </si>
  <si>
    <t>TD98</t>
  </si>
  <si>
    <t>TD99</t>
  </si>
  <si>
    <t>TD100</t>
  </si>
  <si>
    <t>TD7</t>
  </si>
  <si>
    <t>TD8</t>
  </si>
  <si>
    <t>TD9</t>
  </si>
  <si>
    <t>TD10</t>
  </si>
  <si>
    <t>TD11</t>
  </si>
  <si>
    <t>TD12</t>
  </si>
  <si>
    <t>TD13</t>
  </si>
  <si>
    <t>sp</t>
  </si>
  <si>
    <t>CODES</t>
  </si>
  <si>
    <t>AB1</t>
  </si>
  <si>
    <t>AB2</t>
  </si>
  <si>
    <t>AB3</t>
  </si>
  <si>
    <t>AB4</t>
  </si>
  <si>
    <t>AB5</t>
  </si>
  <si>
    <t>AB6</t>
  </si>
  <si>
    <t>AB7</t>
  </si>
  <si>
    <t>AB8</t>
  </si>
  <si>
    <t>AB9</t>
  </si>
  <si>
    <t>AB10</t>
  </si>
  <si>
    <t>AB11</t>
  </si>
  <si>
    <t>AB12</t>
  </si>
  <si>
    <t>AB13</t>
  </si>
  <si>
    <t>AB14</t>
  </si>
  <si>
    <t>AB15</t>
  </si>
  <si>
    <t>AB16</t>
  </si>
  <si>
    <t>AB17</t>
  </si>
  <si>
    <t>AB18</t>
  </si>
  <si>
    <t>AB19</t>
  </si>
  <si>
    <t>AB20</t>
  </si>
  <si>
    <t>AB21</t>
  </si>
  <si>
    <t>AB22</t>
  </si>
  <si>
    <t>AB23</t>
  </si>
  <si>
    <t>AB24</t>
  </si>
  <si>
    <t>AB25</t>
  </si>
  <si>
    <t>AB26</t>
  </si>
  <si>
    <t>AB30</t>
  </si>
  <si>
    <t>AB32</t>
  </si>
  <si>
    <t>AB33</t>
  </si>
  <si>
    <t>AB34</t>
  </si>
  <si>
    <t>AB35</t>
  </si>
  <si>
    <t>AB36</t>
  </si>
  <si>
    <t>AB37</t>
  </si>
  <si>
    <t>AB38</t>
  </si>
  <si>
    <t>AB39</t>
  </si>
  <si>
    <t>AB40</t>
  </si>
  <si>
    <t>AB41</t>
  </si>
  <si>
    <t>AB42</t>
  </si>
  <si>
    <t>AB43</t>
  </si>
  <si>
    <t>AB44</t>
  </si>
  <si>
    <t>AB45</t>
  </si>
  <si>
    <t>AB46</t>
  </si>
  <si>
    <t>AB47</t>
  </si>
  <si>
    <t>AB48</t>
  </si>
  <si>
    <t>AB49</t>
  </si>
  <si>
    <t>AB50</t>
  </si>
  <si>
    <t>AB51</t>
  </si>
  <si>
    <t>AB52</t>
  </si>
  <si>
    <t>AB53</t>
  </si>
  <si>
    <t>AB54</t>
  </si>
  <si>
    <t>AB55</t>
  </si>
  <si>
    <t>AB56</t>
  </si>
  <si>
    <t>AB59</t>
  </si>
  <si>
    <t>AB60</t>
  </si>
  <si>
    <t>AB61</t>
  </si>
  <si>
    <t>AB62</t>
  </si>
  <si>
    <t>AB63</t>
  </si>
  <si>
    <t>AB65</t>
  </si>
  <si>
    <t>AB66</t>
  </si>
  <si>
    <t>AB67</t>
  </si>
  <si>
    <t>AB68</t>
  </si>
  <si>
    <t>AB69</t>
  </si>
  <si>
    <t>AB70</t>
  </si>
  <si>
    <t>AB71</t>
  </si>
  <si>
    <t>AB74</t>
  </si>
  <si>
    <t>AB75</t>
  </si>
  <si>
    <t>AB77</t>
  </si>
  <si>
    <t>AB79</t>
  </si>
  <si>
    <t>AB80</t>
  </si>
  <si>
    <t>AB82</t>
  </si>
  <si>
    <t>AB83</t>
  </si>
  <si>
    <t>AB84</t>
  </si>
  <si>
    <t>AB85</t>
  </si>
  <si>
    <t>AB86</t>
  </si>
  <si>
    <t>AB87</t>
  </si>
  <si>
    <t>AB88</t>
  </si>
  <si>
    <t>AB89</t>
  </si>
  <si>
    <t>AB90</t>
  </si>
  <si>
    <t>AB91</t>
  </si>
  <si>
    <t>AB92</t>
  </si>
  <si>
    <t>AB93</t>
  </si>
  <si>
    <t>AB95</t>
  </si>
  <si>
    <t>AB96</t>
  </si>
  <si>
    <t>AB97</t>
  </si>
  <si>
    <t>AB98</t>
  </si>
  <si>
    <t>AB99</t>
  </si>
  <si>
    <t>AB100</t>
  </si>
  <si>
    <t>AB101</t>
  </si>
  <si>
    <t>AB103</t>
  </si>
  <si>
    <t>AB104</t>
  </si>
  <si>
    <t>AB105</t>
  </si>
  <si>
    <t>AB106</t>
  </si>
  <si>
    <t>AB107</t>
  </si>
  <si>
    <t>AB108</t>
  </si>
  <si>
    <t>AB109</t>
  </si>
  <si>
    <t>AB111</t>
  </si>
  <si>
    <t>AB112</t>
  </si>
  <si>
    <t>AB113</t>
  </si>
  <si>
    <t>AB127</t>
  </si>
  <si>
    <t>AB128</t>
  </si>
  <si>
    <t>AB130</t>
  </si>
  <si>
    <t>AB131</t>
  </si>
  <si>
    <t>AB133</t>
  </si>
  <si>
    <t>AB134</t>
  </si>
  <si>
    <t>AB135</t>
  </si>
  <si>
    <t>AB136</t>
  </si>
  <si>
    <t>AB137</t>
  </si>
  <si>
    <t>AB138</t>
  </si>
  <si>
    <t>AB139</t>
  </si>
  <si>
    <t>AB140</t>
  </si>
  <si>
    <t>AB141</t>
  </si>
  <si>
    <t>AB142</t>
  </si>
  <si>
    <t>AB143</t>
  </si>
  <si>
    <t>AB144</t>
  </si>
  <si>
    <t>AB145</t>
  </si>
  <si>
    <t>AB146</t>
  </si>
  <si>
    <t>AB147</t>
  </si>
  <si>
    <t>AB148</t>
  </si>
  <si>
    <t>AB149</t>
  </si>
  <si>
    <t>AB150</t>
  </si>
  <si>
    <t>AB151</t>
  </si>
  <si>
    <t>AB152</t>
  </si>
  <si>
    <t>AB153</t>
  </si>
  <si>
    <t>AB154</t>
  </si>
  <si>
    <t>AB155</t>
  </si>
  <si>
    <t>AB156</t>
  </si>
  <si>
    <t>AB157</t>
  </si>
  <si>
    <t>AB158</t>
  </si>
  <si>
    <t>AB159</t>
  </si>
  <si>
    <t>AB160</t>
  </si>
  <si>
    <t>AB161</t>
  </si>
  <si>
    <t>AB162</t>
  </si>
  <si>
    <t>AB163</t>
  </si>
  <si>
    <t>AB165</t>
  </si>
  <si>
    <t>AB166</t>
  </si>
  <si>
    <t>AB167</t>
  </si>
  <si>
    <t>AB169</t>
  </si>
  <si>
    <t>AB170</t>
  </si>
  <si>
    <t>AB171</t>
  </si>
  <si>
    <t>AB173</t>
  </si>
  <si>
    <t>AB175</t>
  </si>
  <si>
    <t>AB176</t>
  </si>
  <si>
    <t>AB177</t>
  </si>
  <si>
    <t>AB178</t>
  </si>
  <si>
    <t>AB179</t>
  </si>
  <si>
    <t>AB180</t>
  </si>
  <si>
    <t>AB181</t>
  </si>
  <si>
    <t>AB182</t>
  </si>
  <si>
    <t>AB184</t>
  </si>
  <si>
    <t>AB185</t>
  </si>
  <si>
    <t>AB186</t>
  </si>
  <si>
    <t>AB187</t>
  </si>
  <si>
    <t>AB188</t>
  </si>
  <si>
    <t>AB189</t>
  </si>
  <si>
    <t>AB190</t>
  </si>
  <si>
    <t>AB191</t>
  </si>
  <si>
    <t>AB192</t>
  </si>
  <si>
    <t>AB193</t>
  </si>
  <si>
    <t>AB194</t>
  </si>
  <si>
    <t>AB195</t>
  </si>
  <si>
    <t>AB196</t>
  </si>
  <si>
    <t>AB197</t>
  </si>
  <si>
    <t>AB198</t>
  </si>
  <si>
    <t>AB199</t>
  </si>
  <si>
    <t>SHANA</t>
  </si>
  <si>
    <t>AB114</t>
  </si>
  <si>
    <t>AB115</t>
  </si>
  <si>
    <t>AB116</t>
  </si>
  <si>
    <t>AB117</t>
  </si>
  <si>
    <t>AB119</t>
  </si>
  <si>
    <t>AB121</t>
  </si>
  <si>
    <t>AB122</t>
  </si>
  <si>
    <t>AB126</t>
  </si>
  <si>
    <t>Special Payout</t>
  </si>
  <si>
    <t>EB1</t>
  </si>
  <si>
    <t>Min Cart Value: AED 350 Discount - 15% on Full Priced Capped at AED 100</t>
  </si>
  <si>
    <t>EB2</t>
  </si>
  <si>
    <t>EB3</t>
  </si>
  <si>
    <t>EB4</t>
  </si>
  <si>
    <t>EB5</t>
  </si>
  <si>
    <t>EB6</t>
  </si>
  <si>
    <t>EB7</t>
  </si>
  <si>
    <t>EB8</t>
  </si>
  <si>
    <t>EB9</t>
  </si>
  <si>
    <t>EB10</t>
  </si>
  <si>
    <t>WW1</t>
  </si>
  <si>
    <t>EB11</t>
  </si>
  <si>
    <t>WW11</t>
  </si>
  <si>
    <t>EB12</t>
  </si>
  <si>
    <t>WW3</t>
  </si>
  <si>
    <t>EB13</t>
  </si>
  <si>
    <t>WW4</t>
  </si>
  <si>
    <t>EB14</t>
  </si>
  <si>
    <t>WW5</t>
  </si>
  <si>
    <t>EB15</t>
  </si>
  <si>
    <t>WW6</t>
  </si>
  <si>
    <t>EB16</t>
  </si>
  <si>
    <t>WW7</t>
  </si>
  <si>
    <t>EB17</t>
  </si>
  <si>
    <t>WW8</t>
  </si>
  <si>
    <t>EB18</t>
  </si>
  <si>
    <t>WW9</t>
  </si>
  <si>
    <t>EB19</t>
  </si>
  <si>
    <t>WW10</t>
  </si>
  <si>
    <t>EB20</t>
  </si>
  <si>
    <t>EB21</t>
  </si>
  <si>
    <t>EB22</t>
  </si>
  <si>
    <t>EB23</t>
  </si>
  <si>
    <t>EB24</t>
  </si>
  <si>
    <t>EB25</t>
  </si>
  <si>
    <t>EB26</t>
  </si>
  <si>
    <t>EB27</t>
  </si>
  <si>
    <t>EB28</t>
  </si>
  <si>
    <t>EB29</t>
  </si>
  <si>
    <t>EB30</t>
  </si>
  <si>
    <t>EB31</t>
  </si>
  <si>
    <t>EB32</t>
  </si>
  <si>
    <t>EB33</t>
  </si>
  <si>
    <t>EB34</t>
  </si>
  <si>
    <t>EB35</t>
  </si>
  <si>
    <t>EB36</t>
  </si>
  <si>
    <t>EB37</t>
  </si>
  <si>
    <t>EB38</t>
  </si>
  <si>
    <t>EB39</t>
  </si>
  <si>
    <t>EB40</t>
  </si>
  <si>
    <t>EB41</t>
  </si>
  <si>
    <t>EB42</t>
  </si>
  <si>
    <t>EB43</t>
  </si>
  <si>
    <t>EB44</t>
  </si>
  <si>
    <t>EB45</t>
  </si>
  <si>
    <t>EB46</t>
  </si>
  <si>
    <t>EB47</t>
  </si>
  <si>
    <t>EB48</t>
  </si>
  <si>
    <t>EB49</t>
  </si>
  <si>
    <t>EB50</t>
  </si>
  <si>
    <t>EB51</t>
  </si>
  <si>
    <t>EB52</t>
  </si>
  <si>
    <t>EB53</t>
  </si>
  <si>
    <t>EB54</t>
  </si>
  <si>
    <t>EB55</t>
  </si>
  <si>
    <t>EB56</t>
  </si>
  <si>
    <t>EB57</t>
  </si>
  <si>
    <t>EB58</t>
  </si>
  <si>
    <t>EB59</t>
  </si>
  <si>
    <t>EB60</t>
  </si>
  <si>
    <t>EB61</t>
  </si>
  <si>
    <t>EB62</t>
  </si>
  <si>
    <t>EB63</t>
  </si>
  <si>
    <t>EB64</t>
  </si>
  <si>
    <t>EB65</t>
  </si>
  <si>
    <t>EB66</t>
  </si>
  <si>
    <t>EB67</t>
  </si>
  <si>
    <t>EB68</t>
  </si>
  <si>
    <t>EB69</t>
  </si>
  <si>
    <t>EB70</t>
  </si>
  <si>
    <t>EB71</t>
  </si>
  <si>
    <t>EB72</t>
  </si>
  <si>
    <t>EB73</t>
  </si>
  <si>
    <t>EB74</t>
  </si>
  <si>
    <t>EB75</t>
  </si>
  <si>
    <t>EB76</t>
  </si>
  <si>
    <t>EB77</t>
  </si>
  <si>
    <t>EB78</t>
  </si>
  <si>
    <t>EB88</t>
  </si>
  <si>
    <t>EB89</t>
  </si>
  <si>
    <t>EB90</t>
  </si>
  <si>
    <t>EB91</t>
  </si>
  <si>
    <t>EB92</t>
  </si>
  <si>
    <t>EB93</t>
  </si>
  <si>
    <t>EB94</t>
  </si>
  <si>
    <t>EB95</t>
  </si>
  <si>
    <t>EB96</t>
  </si>
  <si>
    <t>EB97</t>
  </si>
  <si>
    <t>EB98</t>
  </si>
  <si>
    <t>EB99</t>
  </si>
  <si>
    <t>EB79</t>
  </si>
  <si>
    <t>EB80</t>
  </si>
  <si>
    <t>EB81</t>
  </si>
  <si>
    <t>EB82</t>
  </si>
  <si>
    <t>EB83</t>
  </si>
  <si>
    <t>EB84</t>
  </si>
  <si>
    <t>EB85</t>
  </si>
  <si>
    <t>EB86</t>
  </si>
  <si>
    <t>EB87</t>
  </si>
  <si>
    <t>WY1</t>
  </si>
  <si>
    <t>WY4</t>
  </si>
  <si>
    <t>WY5</t>
  </si>
  <si>
    <t>WY6</t>
  </si>
  <si>
    <t>WY8</t>
  </si>
  <si>
    <t>WY9</t>
  </si>
  <si>
    <t>WY24</t>
  </si>
  <si>
    <t>WY25</t>
  </si>
  <si>
    <t>WY26</t>
  </si>
  <si>
    <t>WY27</t>
  </si>
  <si>
    <t>WY28</t>
  </si>
  <si>
    <t>WY29</t>
  </si>
  <si>
    <t>WY30</t>
  </si>
  <si>
    <t>WY31</t>
  </si>
  <si>
    <t>WY32</t>
  </si>
  <si>
    <t>WY33</t>
  </si>
  <si>
    <t>WY34</t>
  </si>
  <si>
    <t>WY35</t>
  </si>
  <si>
    <t>WY36</t>
  </si>
  <si>
    <t>WY37</t>
  </si>
  <si>
    <t>WY38</t>
  </si>
  <si>
    <t>WY39</t>
  </si>
  <si>
    <t>WY40</t>
  </si>
  <si>
    <t>WY41</t>
  </si>
  <si>
    <t>WY42</t>
  </si>
  <si>
    <t>WY43</t>
  </si>
  <si>
    <t>WY44</t>
  </si>
  <si>
    <t>WY45</t>
  </si>
  <si>
    <t>WY46</t>
  </si>
  <si>
    <t>WY47</t>
  </si>
  <si>
    <t>WY48</t>
  </si>
  <si>
    <t>WY49</t>
  </si>
  <si>
    <t>WY50</t>
  </si>
  <si>
    <t>WY51</t>
  </si>
  <si>
    <t>WY52</t>
  </si>
  <si>
    <t>WY53</t>
  </si>
  <si>
    <t>WY54</t>
  </si>
  <si>
    <t>WY55</t>
  </si>
  <si>
    <t>WY56</t>
  </si>
  <si>
    <t>WY57</t>
  </si>
  <si>
    <t>WY58</t>
  </si>
  <si>
    <t>WY59</t>
  </si>
  <si>
    <t>WY60</t>
  </si>
  <si>
    <t>WY61</t>
  </si>
  <si>
    <t>WY62</t>
  </si>
  <si>
    <t>WY63</t>
  </si>
  <si>
    <t>WY64</t>
  </si>
  <si>
    <t>WY65</t>
  </si>
  <si>
    <t>WY66</t>
  </si>
  <si>
    <t>WY67</t>
  </si>
  <si>
    <t>WY68</t>
  </si>
  <si>
    <t>WY69</t>
  </si>
  <si>
    <t>WY70</t>
  </si>
  <si>
    <t>WY71</t>
  </si>
  <si>
    <t>WY72</t>
  </si>
  <si>
    <t>WY73</t>
  </si>
  <si>
    <t>WY74</t>
  </si>
  <si>
    <t>WY75</t>
  </si>
  <si>
    <t>WY76</t>
  </si>
  <si>
    <t>WY77</t>
  </si>
  <si>
    <t>WY78</t>
  </si>
  <si>
    <t>WY79</t>
  </si>
  <si>
    <t>WY80</t>
  </si>
  <si>
    <t>WY81</t>
  </si>
  <si>
    <t>WY82</t>
  </si>
  <si>
    <t>WY83</t>
  </si>
  <si>
    <t>WY84</t>
  </si>
  <si>
    <t>WY85</t>
  </si>
  <si>
    <t>WY86</t>
  </si>
  <si>
    <t>WY87</t>
  </si>
  <si>
    <t>WY88</t>
  </si>
  <si>
    <t>WY89</t>
  </si>
  <si>
    <t>WY90</t>
  </si>
  <si>
    <t>WY91</t>
  </si>
  <si>
    <t>WY92</t>
  </si>
  <si>
    <t>WY93</t>
  </si>
  <si>
    <t>WY94</t>
  </si>
  <si>
    <t>WY95</t>
  </si>
  <si>
    <t>WY96</t>
  </si>
  <si>
    <t>WY97</t>
  </si>
  <si>
    <t>WY98</t>
  </si>
  <si>
    <t>WY99</t>
  </si>
  <si>
    <t>WY100</t>
  </si>
  <si>
    <t>WY10</t>
  </si>
  <si>
    <t>WY11</t>
  </si>
  <si>
    <t>WY12</t>
  </si>
  <si>
    <t>WY13</t>
  </si>
  <si>
    <t>WY14</t>
  </si>
  <si>
    <t>WY15</t>
  </si>
  <si>
    <t>WY16</t>
  </si>
  <si>
    <t>WY17</t>
  </si>
  <si>
    <t>WY18</t>
  </si>
  <si>
    <t>WY19</t>
  </si>
  <si>
    <t>WY20</t>
  </si>
  <si>
    <t>WY21</t>
  </si>
  <si>
    <t>WY22</t>
  </si>
  <si>
    <t>WY23</t>
  </si>
  <si>
    <t>Habib</t>
  </si>
  <si>
    <t xml:space="preserve">Code ( direct) </t>
  </si>
  <si>
    <t>V37C</t>
  </si>
  <si>
    <t>VN3U8</t>
  </si>
  <si>
    <t>V8GG</t>
  </si>
  <si>
    <t>VKNVH</t>
  </si>
  <si>
    <t>V6ZG</t>
  </si>
  <si>
    <t>VLOWN</t>
  </si>
  <si>
    <t>VRR3</t>
  </si>
  <si>
    <t>VGR0Q</t>
  </si>
  <si>
    <t>VBLP</t>
  </si>
  <si>
    <t>V730D</t>
  </si>
  <si>
    <t>VVLY</t>
  </si>
  <si>
    <t>V8YIA</t>
  </si>
  <si>
    <t>VUFG</t>
  </si>
  <si>
    <t>VKTA2</t>
  </si>
  <si>
    <t>VLRA</t>
  </si>
  <si>
    <t>VLD13</t>
  </si>
  <si>
    <t>VIRJ</t>
  </si>
  <si>
    <t>V1P25</t>
  </si>
  <si>
    <t>VGH6</t>
  </si>
  <si>
    <t>V3ST0</t>
  </si>
  <si>
    <t>V912</t>
  </si>
  <si>
    <t>V3UZB</t>
  </si>
  <si>
    <t>VJIA3</t>
  </si>
  <si>
    <t>VH5R</t>
  </si>
  <si>
    <t>VOJY5</t>
  </si>
  <si>
    <t>VFR9</t>
  </si>
  <si>
    <t>VW2PE</t>
  </si>
  <si>
    <t>V1LF</t>
  </si>
  <si>
    <t>VZVQE</t>
  </si>
  <si>
    <t>VUYQ</t>
  </si>
  <si>
    <t>V5Q1P</t>
  </si>
  <si>
    <t>VVF8</t>
  </si>
  <si>
    <t>V6247</t>
  </si>
  <si>
    <t>VCUX</t>
  </si>
  <si>
    <t>VGUUH</t>
  </si>
  <si>
    <t>VVGY</t>
  </si>
  <si>
    <t>VWKJ5</t>
  </si>
  <si>
    <t>VCDR</t>
  </si>
  <si>
    <t>V9R65</t>
  </si>
  <si>
    <t>VZ1R</t>
  </si>
  <si>
    <t>VY0WI</t>
  </si>
  <si>
    <t>VLI4</t>
  </si>
  <si>
    <t>VD0SY</t>
  </si>
  <si>
    <t>V5G5</t>
  </si>
  <si>
    <t>V59RR</t>
  </si>
  <si>
    <t>VFOQ</t>
  </si>
  <si>
    <t>V0Z6N</t>
  </si>
  <si>
    <t>V9UW</t>
  </si>
  <si>
    <t>VP3AJ</t>
  </si>
  <si>
    <t>VQAN</t>
  </si>
  <si>
    <t>VZUJS</t>
  </si>
  <si>
    <t>V8E9</t>
  </si>
  <si>
    <t>VW0BG</t>
  </si>
  <si>
    <t>VF1JZ</t>
  </si>
  <si>
    <t>VT3K</t>
  </si>
  <si>
    <t>VM1T9</t>
  </si>
  <si>
    <t>VEKZ</t>
  </si>
  <si>
    <t>VMMVS</t>
  </si>
  <si>
    <t>VVYM</t>
  </si>
  <si>
    <t>VSIHD</t>
  </si>
  <si>
    <t>VDCW</t>
  </si>
  <si>
    <t>VQZ86</t>
  </si>
  <si>
    <t>VVSH</t>
  </si>
  <si>
    <t>VTMQM</t>
  </si>
  <si>
    <t>VF5G</t>
  </si>
  <si>
    <t>V8V4B</t>
  </si>
  <si>
    <t>VLW2</t>
  </si>
  <si>
    <t>V9FHK</t>
  </si>
  <si>
    <t>V75J</t>
  </si>
  <si>
    <t>VBNEC</t>
  </si>
  <si>
    <t>V0ST</t>
  </si>
  <si>
    <t>VWUGD</t>
  </si>
  <si>
    <t>V7HV</t>
  </si>
  <si>
    <t>VFO3Y</t>
  </si>
  <si>
    <t>VEDI</t>
  </si>
  <si>
    <t>VQN75</t>
  </si>
  <si>
    <t>VUVW</t>
  </si>
  <si>
    <t>VK313</t>
  </si>
  <si>
    <t>VXTRX</t>
  </si>
  <si>
    <t>V7SZ</t>
  </si>
  <si>
    <t>VWF1Z</t>
  </si>
  <si>
    <t>VPUG</t>
  </si>
  <si>
    <t>VBD7G</t>
  </si>
  <si>
    <t>VLPL</t>
  </si>
  <si>
    <t>VOUSH</t>
  </si>
  <si>
    <t>VSDH</t>
  </si>
  <si>
    <t>V2E34</t>
  </si>
  <si>
    <t>VESTH</t>
  </si>
  <si>
    <t>VBSB</t>
  </si>
  <si>
    <t>VNBPK</t>
  </si>
  <si>
    <t>V0H7</t>
  </si>
  <si>
    <t>VMMLA</t>
  </si>
  <si>
    <t>VBEP</t>
  </si>
  <si>
    <t>VDPEN</t>
  </si>
  <si>
    <t>VW6D</t>
  </si>
  <si>
    <t>V1U3P</t>
  </si>
  <si>
    <t>VCBV</t>
  </si>
  <si>
    <t>V7823</t>
  </si>
  <si>
    <t>V23U</t>
  </si>
  <si>
    <t>VBD6O</t>
  </si>
  <si>
    <t>VNLWQ</t>
  </si>
  <si>
    <t>VTFM</t>
  </si>
  <si>
    <t>VDHP1</t>
  </si>
  <si>
    <t>V4RHM</t>
  </si>
  <si>
    <t>VMDI</t>
  </si>
  <si>
    <t>VFJEQ</t>
  </si>
  <si>
    <t>VZVF</t>
  </si>
  <si>
    <t>V9HZI</t>
  </si>
  <si>
    <t>VSBM</t>
  </si>
  <si>
    <t>VI4WU</t>
  </si>
  <si>
    <t>V78T</t>
  </si>
  <si>
    <t>V09M0</t>
  </si>
  <si>
    <t>VH8D</t>
  </si>
  <si>
    <t>VILJ4</t>
  </si>
  <si>
    <t>VQAG</t>
  </si>
  <si>
    <t>VM39K</t>
  </si>
  <si>
    <t>VYLY</t>
  </si>
  <si>
    <t>VEYEE</t>
  </si>
  <si>
    <t>V7ICM</t>
  </si>
  <si>
    <t>VE5B</t>
  </si>
  <si>
    <t>VNRY3</t>
  </si>
  <si>
    <t>V4C2</t>
  </si>
  <si>
    <t>VUPP5</t>
  </si>
  <si>
    <t>VYZ62</t>
  </si>
  <si>
    <t>VBOV</t>
  </si>
  <si>
    <t>V1E7L</t>
  </si>
  <si>
    <t>VGHF</t>
  </si>
  <si>
    <t>V94MK</t>
  </si>
  <si>
    <t>VD0O</t>
  </si>
  <si>
    <t>VAIGT</t>
  </si>
  <si>
    <t>VCSG</t>
  </si>
  <si>
    <t>V6NDD</t>
  </si>
  <si>
    <t>VYA1</t>
  </si>
  <si>
    <t>VDV8Y</t>
  </si>
  <si>
    <t>V07M</t>
  </si>
  <si>
    <t>V4BXU</t>
  </si>
  <si>
    <t>VZHF</t>
  </si>
  <si>
    <t>VBAC6</t>
  </si>
  <si>
    <t>VOHE</t>
  </si>
  <si>
    <t>VR7R3</t>
  </si>
  <si>
    <t>VFHN</t>
  </si>
  <si>
    <t>VEKX4</t>
  </si>
  <si>
    <t>VIBL</t>
  </si>
  <si>
    <t>VPAYD</t>
  </si>
  <si>
    <t>VE8T</t>
  </si>
  <si>
    <t>VUJXK</t>
  </si>
  <si>
    <t>VXIF</t>
  </si>
  <si>
    <t>VXDG9</t>
  </si>
  <si>
    <t>VZS0</t>
  </si>
  <si>
    <t>V3I9J</t>
  </si>
  <si>
    <t>VXAY</t>
  </si>
  <si>
    <t>V8NQJ</t>
  </si>
  <si>
    <t>VXFQ</t>
  </si>
  <si>
    <t>VOI2B</t>
  </si>
  <si>
    <t>VV84</t>
  </si>
  <si>
    <t>VW3HJ</t>
  </si>
  <si>
    <t>VO74</t>
  </si>
  <si>
    <t>V4V12</t>
  </si>
  <si>
    <t>VUUO</t>
  </si>
  <si>
    <t>V6F2J</t>
  </si>
  <si>
    <t>V5N7</t>
  </si>
  <si>
    <t>VD74N</t>
  </si>
  <si>
    <t>VHRE</t>
  </si>
  <si>
    <t>V9NYI</t>
  </si>
  <si>
    <t>VD18</t>
  </si>
  <si>
    <t>VFU4M</t>
  </si>
  <si>
    <t>VYRR</t>
  </si>
  <si>
    <t>V9RD7</t>
  </si>
  <si>
    <t>VOKT2</t>
  </si>
  <si>
    <t>V6S7</t>
  </si>
  <si>
    <t>V0MJQ</t>
  </si>
  <si>
    <t>VV5Y</t>
  </si>
  <si>
    <t>VRH24</t>
  </si>
  <si>
    <t>VBD3</t>
  </si>
  <si>
    <t>VZ8LP</t>
  </si>
  <si>
    <t>VBYC</t>
  </si>
  <si>
    <t>V6UHJ</t>
  </si>
  <si>
    <t>VP6G</t>
  </si>
  <si>
    <t>VEFNB</t>
  </si>
  <si>
    <t>V0BR</t>
  </si>
  <si>
    <t>VLTGU</t>
  </si>
  <si>
    <t>VM24</t>
  </si>
  <si>
    <t>VHYCJ</t>
  </si>
  <si>
    <t>VB7I</t>
  </si>
  <si>
    <t>VQUJY</t>
  </si>
  <si>
    <t>VI5G</t>
  </si>
  <si>
    <t>VTZ8L</t>
  </si>
  <si>
    <t>V4M8</t>
  </si>
  <si>
    <t>VQ5OO</t>
  </si>
  <si>
    <t>V27K</t>
  </si>
  <si>
    <t>VSSJK</t>
  </si>
  <si>
    <t>VHWS</t>
  </si>
  <si>
    <t>V9QRE</t>
  </si>
  <si>
    <t>VPO6</t>
  </si>
  <si>
    <t>V0XYP</t>
  </si>
  <si>
    <t>V5YJ</t>
  </si>
  <si>
    <t>VBAGB</t>
  </si>
  <si>
    <t>VKBR</t>
  </si>
  <si>
    <t>VPHG8</t>
  </si>
  <si>
    <t>VO6Y</t>
  </si>
  <si>
    <t>VVLU6</t>
  </si>
  <si>
    <t>VBCD</t>
  </si>
  <si>
    <t>VVU39</t>
  </si>
  <si>
    <t>VKJ0</t>
  </si>
  <si>
    <t>VK62K</t>
  </si>
  <si>
    <t>VZ3K</t>
  </si>
  <si>
    <t>V0VV6</t>
  </si>
  <si>
    <t>V0NE</t>
  </si>
  <si>
    <t>V826W</t>
  </si>
  <si>
    <t>V4S5</t>
  </si>
  <si>
    <t>VPOGA</t>
  </si>
  <si>
    <t>VONC</t>
  </si>
  <si>
    <t>VEJB0</t>
  </si>
  <si>
    <t>VUJA8</t>
  </si>
  <si>
    <t>V661</t>
  </si>
  <si>
    <t>VDNPM</t>
  </si>
  <si>
    <t>V3C1</t>
  </si>
  <si>
    <t>VUWLL</t>
  </si>
  <si>
    <t>V9UZ0</t>
  </si>
  <si>
    <t>VZA0</t>
  </si>
  <si>
    <t>VZETB</t>
  </si>
  <si>
    <t>VZSIZ</t>
  </si>
  <si>
    <t>VTIQ</t>
  </si>
  <si>
    <t>VVC9R</t>
  </si>
  <si>
    <t>VBIC1</t>
  </si>
  <si>
    <t>V657</t>
  </si>
  <si>
    <t>VRZGK</t>
  </si>
  <si>
    <t>V3PO</t>
  </si>
  <si>
    <t>V0CNT</t>
  </si>
  <si>
    <t>VHDG</t>
  </si>
  <si>
    <t>V1L2F</t>
  </si>
  <si>
    <t>V4UP</t>
  </si>
  <si>
    <t>VXZB1</t>
  </si>
  <si>
    <t>VJFV</t>
  </si>
  <si>
    <t>VYU87</t>
  </si>
  <si>
    <t>VOHKV</t>
  </si>
  <si>
    <t>VDEK</t>
  </si>
  <si>
    <t>V4U8Y</t>
  </si>
  <si>
    <t>VBI8</t>
  </si>
  <si>
    <t>V3JCL</t>
  </si>
  <si>
    <t>VIR6</t>
  </si>
  <si>
    <t>VKG0P</t>
  </si>
  <si>
    <t>V9OV</t>
  </si>
  <si>
    <t>VBOPK</t>
  </si>
  <si>
    <t>VCG1</t>
  </si>
  <si>
    <t>VTR0</t>
  </si>
  <si>
    <t>V60ZW</t>
  </si>
  <si>
    <t>VYQH</t>
  </si>
  <si>
    <t>VDPT8</t>
  </si>
  <si>
    <t>VZTQ</t>
  </si>
  <si>
    <t>VNA7D</t>
  </si>
  <si>
    <t>VHOZG</t>
  </si>
  <si>
    <t>VAM4</t>
  </si>
  <si>
    <t>VLFHM</t>
  </si>
  <si>
    <t>VKNY</t>
  </si>
  <si>
    <t>VV7IB</t>
  </si>
  <si>
    <t>VDOM</t>
  </si>
  <si>
    <t>VBTJK</t>
  </si>
  <si>
    <t>VXTA</t>
  </si>
  <si>
    <t>VOKE4</t>
  </si>
  <si>
    <t>VB2E</t>
  </si>
  <si>
    <t>VXYBG</t>
  </si>
  <si>
    <t>VQNS</t>
  </si>
  <si>
    <t>V194S</t>
  </si>
  <si>
    <t>VF4ZI</t>
  </si>
  <si>
    <t>VPIV</t>
  </si>
  <si>
    <t>VT7DN</t>
  </si>
  <si>
    <t>V5PB</t>
  </si>
  <si>
    <t>VGXYG</t>
  </si>
  <si>
    <t>VKZ1</t>
  </si>
  <si>
    <t>V45N6</t>
  </si>
  <si>
    <t>VRVL</t>
  </si>
  <si>
    <t>VEEU5</t>
  </si>
  <si>
    <t>VOKP</t>
  </si>
  <si>
    <t>VZ15R</t>
  </si>
  <si>
    <t>VKP5</t>
  </si>
  <si>
    <t>VEGMU</t>
  </si>
  <si>
    <t>VIVH</t>
  </si>
  <si>
    <t>VPEUO</t>
  </si>
  <si>
    <t>VKNF</t>
  </si>
  <si>
    <t>VPF0G</t>
  </si>
  <si>
    <t>V5WO</t>
  </si>
  <si>
    <t>VVN0C</t>
  </si>
  <si>
    <t>V7J48</t>
  </si>
  <si>
    <t>VAL8</t>
  </si>
  <si>
    <t>VP61V</t>
  </si>
  <si>
    <t>V78E</t>
  </si>
  <si>
    <t>V6XYN</t>
  </si>
  <si>
    <t>VHYF</t>
  </si>
  <si>
    <t>VI1IW</t>
  </si>
  <si>
    <t>VK7C</t>
  </si>
  <si>
    <t>VLG4G</t>
  </si>
  <si>
    <t>VI00</t>
  </si>
  <si>
    <t>VBS4W</t>
  </si>
  <si>
    <t>VP4M</t>
  </si>
  <si>
    <t>VY1JV</t>
  </si>
  <si>
    <t>V4PT</t>
  </si>
  <si>
    <t>VZ6QU</t>
  </si>
  <si>
    <t>VKQ4</t>
  </si>
  <si>
    <t>V11TG</t>
  </si>
  <si>
    <t>VGP7</t>
  </si>
  <si>
    <t>VZR9J</t>
  </si>
  <si>
    <t>V120</t>
  </si>
  <si>
    <t>VXCC1</t>
  </si>
  <si>
    <t>V9J2</t>
  </si>
  <si>
    <t>VWYKQ</t>
  </si>
  <si>
    <t>V3HT</t>
  </si>
  <si>
    <t>VO88W</t>
  </si>
  <si>
    <t>VQUE</t>
  </si>
  <si>
    <t>VJMGP</t>
  </si>
  <si>
    <t>VW68</t>
  </si>
  <si>
    <t>VUWV3</t>
  </si>
  <si>
    <t>VTTG</t>
  </si>
  <si>
    <t>V76NP</t>
  </si>
  <si>
    <t>V3WV</t>
  </si>
  <si>
    <t>VAYM7</t>
  </si>
  <si>
    <t>VEGX</t>
  </si>
  <si>
    <t>VL0FC</t>
  </si>
  <si>
    <t>VBD1</t>
  </si>
  <si>
    <t>V3R5X</t>
  </si>
  <si>
    <t>VX2Z</t>
  </si>
  <si>
    <t>VQ5DI</t>
  </si>
  <si>
    <t>VUTQ</t>
  </si>
  <si>
    <t>VX9ZH</t>
  </si>
  <si>
    <t>VYQ1</t>
  </si>
  <si>
    <t>VN9XV</t>
  </si>
  <si>
    <t>V91K</t>
  </si>
  <si>
    <t>VI28I</t>
  </si>
  <si>
    <t>VGDC</t>
  </si>
  <si>
    <t>VVYP9</t>
  </si>
  <si>
    <t>VOWF</t>
  </si>
  <si>
    <t>V532P</t>
  </si>
  <si>
    <t>VAS8</t>
  </si>
  <si>
    <t>VP9EA</t>
  </si>
  <si>
    <t>VE6M</t>
  </si>
  <si>
    <t>VVP6H</t>
  </si>
  <si>
    <t>V4D6</t>
  </si>
  <si>
    <t>VZNDE</t>
  </si>
  <si>
    <t>VT69</t>
  </si>
  <si>
    <t>VQ0S6</t>
  </si>
  <si>
    <t>VA0S</t>
  </si>
  <si>
    <t>V1KT1</t>
  </si>
  <si>
    <t>VU0O</t>
  </si>
  <si>
    <t>VZZ56</t>
  </si>
  <si>
    <t>V5PL</t>
  </si>
  <si>
    <t>VPNPX</t>
  </si>
  <si>
    <t>VOAW</t>
  </si>
  <si>
    <t>VT1KX</t>
  </si>
  <si>
    <t>V0IA</t>
  </si>
  <si>
    <t>V2XVM</t>
  </si>
  <si>
    <t>VT6K</t>
  </si>
  <si>
    <t>VK706</t>
  </si>
  <si>
    <t>V75S</t>
  </si>
  <si>
    <t>VQRM5</t>
  </si>
  <si>
    <t>VR82</t>
  </si>
  <si>
    <t>VCXTX</t>
  </si>
  <si>
    <t>VK5Y</t>
  </si>
  <si>
    <t>VRAEF</t>
  </si>
  <si>
    <t>V1YJ</t>
  </si>
  <si>
    <t>VIFXF</t>
  </si>
  <si>
    <t>VHT5A</t>
  </si>
  <si>
    <t>V8ZX</t>
  </si>
  <si>
    <t>VTSO0</t>
  </si>
  <si>
    <t>VL8C</t>
  </si>
  <si>
    <t>VDB1F</t>
  </si>
  <si>
    <t>VB7L</t>
  </si>
  <si>
    <t>VY9EQ</t>
  </si>
  <si>
    <t>VN6TM</t>
  </si>
  <si>
    <t>VCSD</t>
  </si>
  <si>
    <t>VVZ2T</t>
  </si>
  <si>
    <t>VD0H</t>
  </si>
  <si>
    <t>VPVEQ</t>
  </si>
  <si>
    <t>VQK4V</t>
  </si>
  <si>
    <t>VJXC</t>
  </si>
  <si>
    <t>VGGLS</t>
  </si>
  <si>
    <t>VD1K</t>
  </si>
  <si>
    <t>VRLYF</t>
  </si>
  <si>
    <t>VNOV</t>
  </si>
  <si>
    <t>VC7KL</t>
  </si>
  <si>
    <t>VFQG</t>
  </si>
  <si>
    <t>dd8d</t>
  </si>
  <si>
    <t>VIB0</t>
  </si>
  <si>
    <t>daa2</t>
  </si>
  <si>
    <t>V7SU</t>
  </si>
  <si>
    <t>new codes</t>
  </si>
  <si>
    <t>VEIE</t>
  </si>
  <si>
    <t>VK1KU</t>
  </si>
  <si>
    <t>VFSX</t>
  </si>
  <si>
    <t>VOY56</t>
  </si>
  <si>
    <t>VBKS</t>
  </si>
  <si>
    <t>V8TVN</t>
  </si>
  <si>
    <t>VS8K</t>
  </si>
  <si>
    <t>VVJXF</t>
  </si>
  <si>
    <t>VVU5</t>
  </si>
  <si>
    <t>VU1CV</t>
  </si>
  <si>
    <t>VBJW</t>
  </si>
  <si>
    <t>VLHKO</t>
  </si>
  <si>
    <t>VQ9E</t>
  </si>
  <si>
    <t>V2ALP</t>
  </si>
  <si>
    <t>VF66</t>
  </si>
  <si>
    <t>VABVH</t>
  </si>
  <si>
    <t>VTB2</t>
  </si>
  <si>
    <t>VJ3HN</t>
  </si>
  <si>
    <t>VQECO</t>
  </si>
  <si>
    <t>V6SL</t>
  </si>
  <si>
    <t>VIZLS</t>
  </si>
  <si>
    <t>V0XC</t>
  </si>
  <si>
    <t>V54ZC</t>
  </si>
  <si>
    <t>VVNX</t>
  </si>
  <si>
    <t>VB87T</t>
  </si>
  <si>
    <t>VY93</t>
  </si>
  <si>
    <t>VTSNS</t>
  </si>
  <si>
    <t>VH3U</t>
  </si>
  <si>
    <t>VWSSB</t>
  </si>
  <si>
    <t>VLGF</t>
  </si>
  <si>
    <t>VJ8C6</t>
  </si>
  <si>
    <t>VO9A1</t>
  </si>
  <si>
    <t>VLUS</t>
  </si>
  <si>
    <t>VOZ8L</t>
  </si>
  <si>
    <t>VJH7</t>
  </si>
  <si>
    <t>V10L8</t>
  </si>
  <si>
    <t>VEWH</t>
  </si>
  <si>
    <t>VFMUN</t>
  </si>
  <si>
    <t>VT7L</t>
  </si>
  <si>
    <t>VJ660</t>
  </si>
  <si>
    <t>V93T</t>
  </si>
  <si>
    <t>VA82Q</t>
  </si>
  <si>
    <t>VB0S</t>
  </si>
  <si>
    <t>V2QN5</t>
  </si>
  <si>
    <t>VRU9</t>
  </si>
  <si>
    <t>VO5MN</t>
  </si>
  <si>
    <t>VUFV</t>
  </si>
  <si>
    <t>V1KA7</t>
  </si>
  <si>
    <t>V9E7H</t>
  </si>
  <si>
    <t>V6XFN</t>
  </si>
  <si>
    <t>VIZT</t>
  </si>
  <si>
    <t>V0NNB</t>
  </si>
  <si>
    <t>V8UN</t>
  </si>
  <si>
    <t>VB7AP</t>
  </si>
  <si>
    <t>VP6V</t>
  </si>
  <si>
    <t>VIHCQ</t>
  </si>
  <si>
    <t>V9NO</t>
  </si>
  <si>
    <t>VTCNU</t>
  </si>
  <si>
    <t>V9BE</t>
  </si>
  <si>
    <t>VLUJV</t>
  </si>
  <si>
    <t>V3B7</t>
  </si>
  <si>
    <t>V4FYT</t>
  </si>
  <si>
    <t>VU34</t>
  </si>
  <si>
    <t>V7EUI</t>
  </si>
  <si>
    <t>VZYQ</t>
  </si>
  <si>
    <t>VSPBL</t>
  </si>
  <si>
    <t>VEHE</t>
  </si>
  <si>
    <t>VB64B</t>
  </si>
  <si>
    <t>VPGB</t>
  </si>
  <si>
    <t>VDFBW</t>
  </si>
  <si>
    <t>VZTV</t>
  </si>
  <si>
    <t>V455C</t>
  </si>
  <si>
    <t>VFGS</t>
  </si>
  <si>
    <t>VHVD2</t>
  </si>
  <si>
    <t>VLGO</t>
  </si>
  <si>
    <t>VBJ9Y</t>
  </si>
  <si>
    <t>VX3P</t>
  </si>
  <si>
    <t>VYPBY</t>
  </si>
  <si>
    <t>VUSA</t>
  </si>
  <si>
    <t>VXMZX</t>
  </si>
  <si>
    <t>VH8F</t>
  </si>
  <si>
    <t>VRHWA</t>
  </si>
  <si>
    <t>VJ33</t>
  </si>
  <si>
    <t>V7OFA</t>
  </si>
  <si>
    <t>V0R0</t>
  </si>
  <si>
    <t>VRMDI</t>
  </si>
  <si>
    <t>VPC7</t>
  </si>
  <si>
    <t>VFNET</t>
  </si>
  <si>
    <t>V632</t>
  </si>
  <si>
    <t>VAUBL</t>
  </si>
  <si>
    <t>V441</t>
  </si>
  <si>
    <t>VAJOM</t>
  </si>
  <si>
    <t>VUZ6P</t>
  </si>
  <si>
    <t>VJPG</t>
  </si>
  <si>
    <t>V5KMS</t>
  </si>
  <si>
    <t>VU9WX</t>
  </si>
  <si>
    <t>V8BP</t>
  </si>
  <si>
    <t>V1RJN</t>
  </si>
  <si>
    <t>VTM4</t>
  </si>
  <si>
    <t>VOMJC</t>
  </si>
  <si>
    <t>VOVHC</t>
  </si>
  <si>
    <t>V522</t>
  </si>
  <si>
    <t>V77NK</t>
  </si>
  <si>
    <t>VIM7</t>
  </si>
  <si>
    <t>VEWJL</t>
  </si>
  <si>
    <t>VD7T</t>
  </si>
  <si>
    <t>VKJP1</t>
  </si>
  <si>
    <t>VE05</t>
  </si>
  <si>
    <t>VHNE4</t>
  </si>
  <si>
    <t>V80ME</t>
  </si>
  <si>
    <t>VLKP</t>
  </si>
  <si>
    <t>V9HE7</t>
  </si>
  <si>
    <t>V9M0</t>
  </si>
  <si>
    <t>VADV3</t>
  </si>
  <si>
    <t>VHIHI</t>
  </si>
  <si>
    <t>VZDN</t>
  </si>
  <si>
    <t>V7A2N</t>
  </si>
  <si>
    <t>VDQ7</t>
  </si>
  <si>
    <t>VKNCK</t>
  </si>
  <si>
    <t>VKCF</t>
  </si>
  <si>
    <t>VG6XM</t>
  </si>
  <si>
    <t>VYQO</t>
  </si>
  <si>
    <t>VM83G</t>
  </si>
  <si>
    <t>V4NP</t>
  </si>
  <si>
    <t>V8M8R</t>
  </si>
  <si>
    <t>V4WI</t>
  </si>
  <si>
    <t>V8GHY</t>
  </si>
  <si>
    <t>V63I</t>
  </si>
  <si>
    <t>VH6UZ</t>
  </si>
  <si>
    <t>VG7R</t>
  </si>
  <si>
    <t>V3AGG</t>
  </si>
  <si>
    <t>VMDV</t>
  </si>
  <si>
    <t>VJVVB</t>
  </si>
  <si>
    <t>VOYTA</t>
  </si>
  <si>
    <t>VWD9</t>
  </si>
  <si>
    <t>VW6AL</t>
  </si>
  <si>
    <t>VUO9</t>
  </si>
  <si>
    <t>V721N</t>
  </si>
  <si>
    <t>VWMD</t>
  </si>
  <si>
    <t>VVF4Y</t>
  </si>
  <si>
    <t>VBST</t>
  </si>
  <si>
    <t>V2WTA</t>
  </si>
  <si>
    <t>VX9P</t>
  </si>
  <si>
    <t>V0TQA</t>
  </si>
  <si>
    <t>VQH4</t>
  </si>
  <si>
    <t>V6FYB</t>
  </si>
  <si>
    <t>VSX8I</t>
  </si>
  <si>
    <t>VD8R</t>
  </si>
  <si>
    <t>VI76D</t>
  </si>
  <si>
    <t>VF65</t>
  </si>
  <si>
    <t>VNA8U</t>
  </si>
  <si>
    <t>VCX4</t>
  </si>
  <si>
    <t>VRLUV</t>
  </si>
  <si>
    <t>VECA</t>
  </si>
  <si>
    <t>VA614</t>
  </si>
  <si>
    <t>VGQW</t>
  </si>
  <si>
    <t>VRS83</t>
  </si>
  <si>
    <t>VHSG</t>
  </si>
  <si>
    <t>VP51S</t>
  </si>
  <si>
    <t>VS2B</t>
  </si>
  <si>
    <t>VKYMS</t>
  </si>
  <si>
    <t>VQPC</t>
  </si>
  <si>
    <t>VLR71</t>
  </si>
  <si>
    <t>VJ2Q</t>
  </si>
  <si>
    <t>VX656</t>
  </si>
  <si>
    <t>VFHX</t>
  </si>
  <si>
    <t>V6HCK</t>
  </si>
  <si>
    <t>V8GL</t>
  </si>
  <si>
    <t>V1IHK</t>
  </si>
  <si>
    <t>VXP18</t>
  </si>
  <si>
    <t>VMJUD</t>
  </si>
  <si>
    <t>VCD1</t>
  </si>
  <si>
    <t>V3WTA</t>
  </si>
  <si>
    <t>VD6K</t>
  </si>
  <si>
    <t>V47EN</t>
  </si>
  <si>
    <t>V1O3</t>
  </si>
  <si>
    <t>VR5P5</t>
  </si>
  <si>
    <t>VVKZ</t>
  </si>
  <si>
    <t>VMGHY</t>
  </si>
  <si>
    <t>VZUF</t>
  </si>
  <si>
    <t>VOHWZ</t>
  </si>
  <si>
    <t>VCH9</t>
  </si>
  <si>
    <t>VRL7Q</t>
  </si>
  <si>
    <t>V7VL</t>
  </si>
  <si>
    <t>VIOI9</t>
  </si>
  <si>
    <t>VHR6S</t>
  </si>
  <si>
    <t>V4LI</t>
  </si>
  <si>
    <t>VVOUR</t>
  </si>
  <si>
    <t>V50Y</t>
  </si>
  <si>
    <t>V1ORY</t>
  </si>
  <si>
    <t>VO24Y</t>
  </si>
  <si>
    <t>VLCH</t>
  </si>
  <si>
    <t>V8K1R</t>
  </si>
  <si>
    <t>VTVM</t>
  </si>
  <si>
    <t>VU8V5</t>
  </si>
  <si>
    <t>VRI9</t>
  </si>
  <si>
    <t>VR4B1</t>
  </si>
  <si>
    <t>VQ8N</t>
  </si>
  <si>
    <t>VCO5F</t>
  </si>
  <si>
    <t>VGWO</t>
  </si>
  <si>
    <t>VR0LK</t>
  </si>
  <si>
    <t>V95L</t>
  </si>
  <si>
    <t>VW1T9</t>
  </si>
  <si>
    <t>VNLN</t>
  </si>
  <si>
    <t>VWE60</t>
  </si>
  <si>
    <t>V9CI</t>
  </si>
  <si>
    <t>VTFNA</t>
  </si>
  <si>
    <t>VTBY</t>
  </si>
  <si>
    <t>VQTCE</t>
  </si>
  <si>
    <t>VG4M</t>
  </si>
  <si>
    <t>VJ95S</t>
  </si>
  <si>
    <t>V2QG</t>
  </si>
  <si>
    <t>VUYYG</t>
  </si>
  <si>
    <t>VL55</t>
  </si>
  <si>
    <t>V8XEE</t>
  </si>
  <si>
    <t>VHKF</t>
  </si>
  <si>
    <t>VLF0Y</t>
  </si>
  <si>
    <t>VFVF</t>
  </si>
  <si>
    <t>VCCK6</t>
  </si>
  <si>
    <t>VSVM</t>
  </si>
  <si>
    <t>V8UJ8</t>
  </si>
  <si>
    <t>V9UE</t>
  </si>
  <si>
    <t>VW566</t>
  </si>
  <si>
    <t>VN4BU</t>
  </si>
  <si>
    <t>VNZME</t>
  </si>
  <si>
    <t>VV17</t>
  </si>
  <si>
    <t>VJK0T</t>
  </si>
  <si>
    <t>VL1F</t>
  </si>
  <si>
    <t>V9SCI</t>
  </si>
  <si>
    <t>V0M0</t>
  </si>
  <si>
    <t>VPKFD</t>
  </si>
  <si>
    <t>VEM2</t>
  </si>
  <si>
    <t>VX5EC</t>
  </si>
  <si>
    <t>VS7P1</t>
  </si>
  <si>
    <t>VQ7H</t>
  </si>
  <si>
    <t>VL6RR</t>
  </si>
  <si>
    <t>VGNCR</t>
  </si>
  <si>
    <t>VDAEJ</t>
  </si>
  <si>
    <t>V8KS</t>
  </si>
  <si>
    <t>VZGK7</t>
  </si>
  <si>
    <t>V64L</t>
  </si>
  <si>
    <t>VTYUT</t>
  </si>
  <si>
    <t>VEY7</t>
  </si>
  <si>
    <t>VU1QI</t>
  </si>
  <si>
    <t>VN0I</t>
  </si>
  <si>
    <t>VI6MV</t>
  </si>
  <si>
    <t>V6XU</t>
  </si>
  <si>
    <t>VVUYF</t>
  </si>
  <si>
    <t>VKLM</t>
  </si>
  <si>
    <t>VK9LQ</t>
  </si>
  <si>
    <t>V947</t>
  </si>
  <si>
    <t>V747A</t>
  </si>
  <si>
    <t>V55Y</t>
  </si>
  <si>
    <t>VD6KF</t>
  </si>
  <si>
    <t>V89G</t>
  </si>
  <si>
    <t>VO32Z</t>
  </si>
  <si>
    <t>VZQ2</t>
  </si>
  <si>
    <t>VY54W</t>
  </si>
  <si>
    <t>VGU55</t>
  </si>
  <si>
    <t>VYSQ</t>
  </si>
  <si>
    <t>V0M72</t>
  </si>
  <si>
    <t>VIP7</t>
  </si>
  <si>
    <t>VWIT7</t>
  </si>
  <si>
    <t>V4E3</t>
  </si>
  <si>
    <t>VP1FX</t>
  </si>
  <si>
    <t>V43L</t>
  </si>
  <si>
    <t>VBD91</t>
  </si>
  <si>
    <t>V43Y</t>
  </si>
  <si>
    <t>VMRYD</t>
  </si>
  <si>
    <t>V2MS</t>
  </si>
  <si>
    <t>V8D2J</t>
  </si>
  <si>
    <t>V9G1</t>
  </si>
  <si>
    <t>VFDFL</t>
  </si>
  <si>
    <t>VOZU</t>
  </si>
  <si>
    <t>VWIAW</t>
  </si>
  <si>
    <t>VQIB</t>
  </si>
  <si>
    <t>VG9EV</t>
  </si>
  <si>
    <t>V2CS</t>
  </si>
  <si>
    <t>VTHSC</t>
  </si>
  <si>
    <t>VT9M</t>
  </si>
  <si>
    <t>VVRJX</t>
  </si>
  <si>
    <t>VIEJ</t>
  </si>
  <si>
    <t>VQHWU</t>
  </si>
  <si>
    <t>VXM9</t>
  </si>
  <si>
    <t>V1ITE</t>
  </si>
  <si>
    <t>V81B</t>
  </si>
  <si>
    <t>VA6TY</t>
  </si>
  <si>
    <t>V9HL9</t>
  </si>
  <si>
    <t>V89R</t>
  </si>
  <si>
    <t>V6WMP</t>
  </si>
  <si>
    <t>VLVR</t>
  </si>
  <si>
    <t>VCGWT</t>
  </si>
  <si>
    <t>VZFIX</t>
  </si>
  <si>
    <t>VNPU</t>
  </si>
  <si>
    <t>VP3V5</t>
  </si>
  <si>
    <t>VOR1</t>
  </si>
  <si>
    <t>VJZ0Z</t>
  </si>
  <si>
    <t>VXAS</t>
  </si>
  <si>
    <t>V80D8</t>
  </si>
  <si>
    <t>V3QD3</t>
  </si>
  <si>
    <t>VJWM</t>
  </si>
  <si>
    <t>VY1FS</t>
  </si>
  <si>
    <t>VIEM</t>
  </si>
  <si>
    <t>VGM48</t>
  </si>
  <si>
    <t>VMXY</t>
  </si>
  <si>
    <t>VM5EN</t>
  </si>
  <si>
    <t>VWI4</t>
  </si>
  <si>
    <t>VUVZH</t>
  </si>
  <si>
    <t>VS1J</t>
  </si>
  <si>
    <t>VTANW</t>
  </si>
  <si>
    <t>V81A</t>
  </si>
  <si>
    <t>VZTTF</t>
  </si>
  <si>
    <t>VJYX</t>
  </si>
  <si>
    <t>VW5I0</t>
  </si>
  <si>
    <t>VQJP</t>
  </si>
  <si>
    <t>VQD9H</t>
  </si>
  <si>
    <t>VYQU</t>
  </si>
  <si>
    <t>V86AX</t>
  </si>
  <si>
    <t>VA5B</t>
  </si>
  <si>
    <t>VJ19J</t>
  </si>
  <si>
    <t>VA3U</t>
  </si>
  <si>
    <t>VC34F</t>
  </si>
  <si>
    <t>V7YL</t>
  </si>
  <si>
    <t>VZ0Y4</t>
  </si>
  <si>
    <t>V1TA</t>
  </si>
  <si>
    <t>VCPWM</t>
  </si>
  <si>
    <t>VY5I</t>
  </si>
  <si>
    <t>VJFNY</t>
  </si>
  <si>
    <t>VS7R</t>
  </si>
  <si>
    <t>VJAP8</t>
  </si>
  <si>
    <t>V8TG</t>
  </si>
  <si>
    <t>V5OAN</t>
  </si>
  <si>
    <t>VXCR</t>
  </si>
  <si>
    <t>VQD3T</t>
  </si>
  <si>
    <t>VSP8</t>
  </si>
  <si>
    <t>V2P0Y</t>
  </si>
  <si>
    <t>VVLR</t>
  </si>
  <si>
    <t>V60KB</t>
  </si>
  <si>
    <t>VGQP</t>
  </si>
  <si>
    <t>VN83O</t>
  </si>
  <si>
    <t>VJWH</t>
  </si>
  <si>
    <t>VAUIP</t>
  </si>
  <si>
    <t>VMVA</t>
  </si>
  <si>
    <t>VIGOA</t>
  </si>
  <si>
    <t>V0YW</t>
  </si>
  <si>
    <t>V0QPO</t>
  </si>
  <si>
    <t>VZ1B</t>
  </si>
  <si>
    <t>VZ06Y</t>
  </si>
  <si>
    <t>VJ42</t>
  </si>
  <si>
    <t>VLW8Q</t>
  </si>
  <si>
    <t>VIDB</t>
  </si>
  <si>
    <t>V2X0A</t>
  </si>
  <si>
    <t>VO19</t>
  </si>
  <si>
    <t>VS09R</t>
  </si>
  <si>
    <t>V1WB</t>
  </si>
  <si>
    <t>V19UE</t>
  </si>
  <si>
    <t>V3TL</t>
  </si>
  <si>
    <t>VP2QY</t>
  </si>
  <si>
    <t>VFFK</t>
  </si>
  <si>
    <t>VCSXS</t>
  </si>
  <si>
    <t>VL04</t>
  </si>
  <si>
    <t>VBFVY</t>
  </si>
  <si>
    <t>V68O</t>
  </si>
  <si>
    <t>VBPBR</t>
  </si>
  <si>
    <t>V1QE</t>
  </si>
  <si>
    <t>VUDV5</t>
  </si>
  <si>
    <t>VWTT</t>
  </si>
  <si>
    <t>V5XR2</t>
  </si>
  <si>
    <t>VZJB</t>
  </si>
  <si>
    <t>VNQTX</t>
  </si>
  <si>
    <t>VQS1</t>
  </si>
  <si>
    <t>V0K9O</t>
  </si>
  <si>
    <t>VENF</t>
  </si>
  <si>
    <t>V5OPN</t>
  </si>
  <si>
    <t>V1SZP</t>
  </si>
  <si>
    <t>V63A</t>
  </si>
  <si>
    <t>VXQH6</t>
  </si>
  <si>
    <t>V609</t>
  </si>
  <si>
    <t>V0RE1</t>
  </si>
  <si>
    <t>VF1O</t>
  </si>
  <si>
    <t>VQLHS</t>
  </si>
  <si>
    <t>V74I</t>
  </si>
  <si>
    <t>VAZVW</t>
  </si>
  <si>
    <t>VVQI</t>
  </si>
  <si>
    <t>VRN03</t>
  </si>
  <si>
    <t>VSSH</t>
  </si>
  <si>
    <t>VBP7H</t>
  </si>
  <si>
    <t>VX0T</t>
  </si>
  <si>
    <t>VPU7G</t>
  </si>
  <si>
    <t>VXME</t>
  </si>
  <si>
    <t>V5BBA</t>
  </si>
  <si>
    <t>V9LK</t>
  </si>
  <si>
    <t>VP5D7</t>
  </si>
  <si>
    <t>V1LQ</t>
  </si>
  <si>
    <t>V9LLS</t>
  </si>
  <si>
    <t>VJBBR</t>
  </si>
  <si>
    <t>VN8M</t>
  </si>
  <si>
    <t>VH2YR</t>
  </si>
  <si>
    <t>VOG2</t>
  </si>
  <si>
    <t>V72B8</t>
  </si>
  <si>
    <t>VVQ3</t>
  </si>
  <si>
    <t>VFBWO</t>
  </si>
  <si>
    <t>VPO7</t>
  </si>
  <si>
    <t>VJZCH</t>
  </si>
  <si>
    <t>V9SD</t>
  </si>
  <si>
    <t>VY89M</t>
  </si>
  <si>
    <t>VLFT</t>
  </si>
  <si>
    <t>V8UXZ</t>
  </si>
  <si>
    <t>VJAU</t>
  </si>
  <si>
    <t>V8O74</t>
  </si>
  <si>
    <t>V0C5</t>
  </si>
  <si>
    <t>VANAI</t>
  </si>
  <si>
    <t>VLCOA</t>
  </si>
  <si>
    <t>VJO1</t>
  </si>
  <si>
    <t>V0PH9</t>
  </si>
  <si>
    <t>VNGA</t>
  </si>
  <si>
    <t>VT5YK</t>
  </si>
  <si>
    <t>VMXZ</t>
  </si>
  <si>
    <t>VMDA1</t>
  </si>
  <si>
    <t>V0R6</t>
  </si>
  <si>
    <t>V5LIB</t>
  </si>
  <si>
    <t>VDG0</t>
  </si>
  <si>
    <t>V4TW4</t>
  </si>
  <si>
    <t>VYS5</t>
  </si>
  <si>
    <t>V74GH</t>
  </si>
  <si>
    <t>V4HO</t>
  </si>
  <si>
    <t>VXWC7</t>
  </si>
  <si>
    <t>V4NU</t>
  </si>
  <si>
    <t>VOX8J</t>
  </si>
  <si>
    <t>VJ1O</t>
  </si>
  <si>
    <t>VQ9I0</t>
  </si>
  <si>
    <t>V758</t>
  </si>
  <si>
    <t>VMT9C</t>
  </si>
  <si>
    <t>VDVX</t>
  </si>
  <si>
    <t>V1640</t>
  </si>
  <si>
    <t>VDYW</t>
  </si>
  <si>
    <t>VYK9E</t>
  </si>
  <si>
    <t>VR9T</t>
  </si>
  <si>
    <t>VR6IU</t>
  </si>
  <si>
    <t>VJJP</t>
  </si>
  <si>
    <t>VYHDI</t>
  </si>
  <si>
    <t>VKFD</t>
  </si>
  <si>
    <t>VSSOB</t>
  </si>
  <si>
    <t>VTYL</t>
  </si>
  <si>
    <t>V90Z1</t>
  </si>
  <si>
    <t>VEXA</t>
  </si>
  <si>
    <t>VQXE9</t>
  </si>
  <si>
    <t>VAXV</t>
  </si>
  <si>
    <t>V37ML</t>
  </si>
  <si>
    <t>VDHV</t>
  </si>
  <si>
    <t>VH7ZW</t>
  </si>
  <si>
    <t>VQGT</t>
  </si>
  <si>
    <t>VA9XT</t>
  </si>
  <si>
    <t>VWL9</t>
  </si>
  <si>
    <t>VAQVH</t>
  </si>
  <si>
    <t>V29I</t>
  </si>
  <si>
    <t>VQ9TL</t>
  </si>
  <si>
    <t>V32FE</t>
  </si>
  <si>
    <t>VBLK</t>
  </si>
  <si>
    <t>VT5J8</t>
  </si>
  <si>
    <t>VUJ7A</t>
  </si>
  <si>
    <t>VAK7</t>
  </si>
  <si>
    <t>VLWXD</t>
  </si>
  <si>
    <t>VQV2Y</t>
  </si>
  <si>
    <t>V8BU</t>
  </si>
  <si>
    <t>VL85B</t>
  </si>
  <si>
    <t>VA01</t>
  </si>
  <si>
    <t>VPNL7</t>
  </si>
  <si>
    <t>VNSP</t>
  </si>
  <si>
    <t>V9SVH</t>
  </si>
  <si>
    <t>V3ZN</t>
  </si>
  <si>
    <t>VEKZG</t>
  </si>
  <si>
    <t>V675</t>
  </si>
  <si>
    <t>VSMN8</t>
  </si>
  <si>
    <t>VPYN</t>
  </si>
  <si>
    <t>V30VY</t>
  </si>
  <si>
    <t>V2GN</t>
  </si>
  <si>
    <t>VRW26</t>
  </si>
  <si>
    <t>VRVI</t>
  </si>
  <si>
    <t>VQ0NP</t>
  </si>
  <si>
    <t>VVGK</t>
  </si>
  <si>
    <t>VN2Q6</t>
  </si>
  <si>
    <t>VINA</t>
  </si>
  <si>
    <t>VVQ64</t>
  </si>
  <si>
    <t>V1751</t>
  </si>
  <si>
    <t>VUIF</t>
  </si>
  <si>
    <t>V6O91</t>
  </si>
  <si>
    <t>VCC8</t>
  </si>
  <si>
    <t>V2LOA</t>
  </si>
  <si>
    <t>VY9G</t>
  </si>
  <si>
    <t>V512O</t>
  </si>
  <si>
    <t>VYDC</t>
  </si>
  <si>
    <t>VMRDP</t>
  </si>
  <si>
    <t>VB72</t>
  </si>
  <si>
    <t>V647K</t>
  </si>
  <si>
    <t>VHOX</t>
  </si>
  <si>
    <t>VHH07</t>
  </si>
  <si>
    <t>V0KQ</t>
  </si>
  <si>
    <t>VTFQ3</t>
  </si>
  <si>
    <t>V4LJ</t>
  </si>
  <si>
    <t>VIYW9</t>
  </si>
  <si>
    <t>V426</t>
  </si>
  <si>
    <t>VJXW7</t>
  </si>
  <si>
    <t>V58A</t>
  </si>
  <si>
    <t>VATUU</t>
  </si>
  <si>
    <t>VKTZ</t>
  </si>
  <si>
    <t>V4MW8</t>
  </si>
  <si>
    <t>V0SF</t>
  </si>
  <si>
    <t>VNSCL</t>
  </si>
  <si>
    <t>VOO3</t>
  </si>
  <si>
    <t>VROB7</t>
  </si>
  <si>
    <t>VLMJ</t>
  </si>
  <si>
    <t>VYZ1O</t>
  </si>
  <si>
    <t>V4DJ</t>
  </si>
  <si>
    <t>VF2VQ</t>
  </si>
  <si>
    <t>VFKK</t>
  </si>
  <si>
    <t>VD7TP</t>
  </si>
  <si>
    <t>V84P</t>
  </si>
  <si>
    <t>VTUEX</t>
  </si>
  <si>
    <t>V2CO</t>
  </si>
  <si>
    <t>VLFKA</t>
  </si>
  <si>
    <t>V68KD</t>
  </si>
  <si>
    <t>V6DM8</t>
  </si>
  <si>
    <t>VKQM</t>
  </si>
  <si>
    <t>V8E24</t>
  </si>
  <si>
    <t>V4SU</t>
  </si>
  <si>
    <t>VZM1M</t>
  </si>
  <si>
    <t>VUJ1</t>
  </si>
  <si>
    <t>V1CMT</t>
  </si>
  <si>
    <t>VAYB</t>
  </si>
  <si>
    <t>VPP2P</t>
  </si>
  <si>
    <t>VF8V</t>
  </si>
  <si>
    <t>V1N9S</t>
  </si>
  <si>
    <t>V6W1</t>
  </si>
  <si>
    <t>VEKIK</t>
  </si>
  <si>
    <t>VFI8</t>
  </si>
  <si>
    <t>VDEUV</t>
  </si>
  <si>
    <t>VMQO</t>
  </si>
  <si>
    <t>VRDID</t>
  </si>
  <si>
    <t>VY0QL</t>
  </si>
  <si>
    <t>V9R8</t>
  </si>
  <si>
    <t>V7XJG</t>
  </si>
  <si>
    <t>VQH9</t>
  </si>
  <si>
    <t>VE2IW</t>
  </si>
  <si>
    <t>VVB7</t>
  </si>
  <si>
    <t>V4PLY</t>
  </si>
  <si>
    <t>VC3I</t>
  </si>
  <si>
    <t>V3W8V</t>
  </si>
  <si>
    <t>V4EX</t>
  </si>
  <si>
    <t>VD9CS</t>
  </si>
  <si>
    <t>VRUY</t>
  </si>
  <si>
    <t>VCDM5</t>
  </si>
  <si>
    <t>VZ6N</t>
  </si>
  <si>
    <t>VQZWZ</t>
  </si>
  <si>
    <t>VZ9V</t>
  </si>
  <si>
    <t>VQQLW</t>
  </si>
  <si>
    <t>VD4Y</t>
  </si>
  <si>
    <t>VYCTR</t>
  </si>
  <si>
    <t>VVCTQ</t>
  </si>
  <si>
    <t>5% Not including medicine + Mama &amp; Baby. No Min Spend</t>
  </si>
  <si>
    <t>tt1</t>
  </si>
  <si>
    <t>tt2</t>
  </si>
  <si>
    <t>tt3</t>
  </si>
  <si>
    <t>tt4</t>
  </si>
  <si>
    <t>tt5</t>
  </si>
  <si>
    <t>tt6</t>
  </si>
  <si>
    <t>tt7</t>
  </si>
  <si>
    <t>tt8</t>
  </si>
  <si>
    <t>tt9</t>
  </si>
  <si>
    <t>Affiliate ID</t>
  </si>
  <si>
    <t>DIFR</t>
  </si>
  <si>
    <t>20% above AED/SAR 100  30% above AED/SAR 700 &amp; SAR/AED 800 Egypt: 2% - 4%</t>
  </si>
  <si>
    <t>dd99</t>
  </si>
  <si>
    <t>DIGG</t>
  </si>
  <si>
    <t>b252</t>
  </si>
  <si>
    <t>DIHQ</t>
  </si>
  <si>
    <t>dijy</t>
  </si>
  <si>
    <t>DIJY</t>
  </si>
  <si>
    <t>zg34</t>
  </si>
  <si>
    <t>DIRJ</t>
  </si>
  <si>
    <t>hq</t>
  </si>
  <si>
    <t>DITU</t>
  </si>
  <si>
    <t>mm</t>
  </si>
  <si>
    <t>DIWX</t>
  </si>
  <si>
    <t>zag5</t>
  </si>
  <si>
    <t>DIZF</t>
  </si>
  <si>
    <t>diwx</t>
  </si>
  <si>
    <t>ITI</t>
  </si>
  <si>
    <t>zg88</t>
  </si>
  <si>
    <t>BAO</t>
  </si>
  <si>
    <t>zag12</t>
  </si>
  <si>
    <t>OJF</t>
  </si>
  <si>
    <t>ge0</t>
  </si>
  <si>
    <t>IFW</t>
  </si>
  <si>
    <t>eee</t>
  </si>
  <si>
    <t>ULV</t>
  </si>
  <si>
    <t>dzg4</t>
  </si>
  <si>
    <t>NFZH</t>
  </si>
  <si>
    <t>dd77</t>
  </si>
  <si>
    <t>ALGC</t>
  </si>
  <si>
    <t>zg40</t>
  </si>
  <si>
    <t>UPPL</t>
  </si>
  <si>
    <t>9w2</t>
  </si>
  <si>
    <t>IRLS</t>
  </si>
  <si>
    <t>bb</t>
  </si>
  <si>
    <t>NLKC</t>
  </si>
  <si>
    <t>6uc</t>
  </si>
  <si>
    <t>GZDK</t>
  </si>
  <si>
    <t>IUNM</t>
  </si>
  <si>
    <t>et6</t>
  </si>
  <si>
    <t>QBOY</t>
  </si>
  <si>
    <t>iti</t>
  </si>
  <si>
    <t>SEVS</t>
  </si>
  <si>
    <t>zag3</t>
  </si>
  <si>
    <t>KKFL</t>
  </si>
  <si>
    <t>nn</t>
  </si>
  <si>
    <t>DIGR</t>
  </si>
  <si>
    <t>vv</t>
  </si>
  <si>
    <t>DILB</t>
  </si>
  <si>
    <t>dd88</t>
  </si>
  <si>
    <t>DIMM</t>
  </si>
  <si>
    <t>dd7</t>
  </si>
  <si>
    <t>H5X</t>
  </si>
  <si>
    <t>zag13</t>
  </si>
  <si>
    <t>IX4</t>
  </si>
  <si>
    <t>dzg3</t>
  </si>
  <si>
    <t>LV5</t>
  </si>
  <si>
    <t>zg60</t>
  </si>
  <si>
    <t>HFB</t>
  </si>
  <si>
    <t>bbx</t>
  </si>
  <si>
    <t>ZFV</t>
  </si>
  <si>
    <t>dd44</t>
  </si>
  <si>
    <t>QBY</t>
  </si>
  <si>
    <t>zg85</t>
  </si>
  <si>
    <t>06Z</t>
  </si>
  <si>
    <t>VA6</t>
  </si>
  <si>
    <t>dd66</t>
  </si>
  <si>
    <t>5RW</t>
  </si>
  <si>
    <t>zag9</t>
  </si>
  <si>
    <t>BBX</t>
  </si>
  <si>
    <t>lv5</t>
  </si>
  <si>
    <t>DXJ</t>
  </si>
  <si>
    <t>zag10</t>
  </si>
  <si>
    <t>hfb</t>
  </si>
  <si>
    <t>5PW</t>
  </si>
  <si>
    <t>aeb</t>
  </si>
  <si>
    <t>39P</t>
  </si>
  <si>
    <t>56ss</t>
  </si>
  <si>
    <t>ZZ0</t>
  </si>
  <si>
    <t>gzdk</t>
  </si>
  <si>
    <t>8VH</t>
  </si>
  <si>
    <t>dd22</t>
  </si>
  <si>
    <t>HJ2</t>
  </si>
  <si>
    <t>mizw</t>
  </si>
  <si>
    <t>WX0</t>
  </si>
  <si>
    <t>nlkc</t>
  </si>
  <si>
    <t>O5O</t>
  </si>
  <si>
    <t>3yz</t>
  </si>
  <si>
    <t>GNS</t>
  </si>
  <si>
    <t>cfa2</t>
  </si>
  <si>
    <t>EYC</t>
  </si>
  <si>
    <t>dxj</t>
  </si>
  <si>
    <t>9UQ</t>
  </si>
  <si>
    <t>h3d</t>
  </si>
  <si>
    <t>dd33</t>
  </si>
  <si>
    <t>EEE</t>
  </si>
  <si>
    <t>cow</t>
  </si>
  <si>
    <t>10% flat during 7-31 of july</t>
  </si>
  <si>
    <t>dzg2</t>
  </si>
  <si>
    <t>DiAX</t>
  </si>
  <si>
    <t>lwv1</t>
  </si>
  <si>
    <t>DiIP</t>
  </si>
  <si>
    <t>zz0</t>
  </si>
  <si>
    <t>85EN</t>
  </si>
  <si>
    <t>digg</t>
  </si>
  <si>
    <t>1QLI</t>
  </si>
  <si>
    <t>zg42</t>
  </si>
  <si>
    <t>0Y7Y</t>
  </si>
  <si>
    <t>z47</t>
  </si>
  <si>
    <t>8M1R</t>
  </si>
  <si>
    <t>ccc</t>
  </si>
  <si>
    <t>YPEI</t>
  </si>
  <si>
    <t>io9</t>
  </si>
  <si>
    <t>LVGO</t>
  </si>
  <si>
    <t>rwn</t>
  </si>
  <si>
    <t>G9AM</t>
  </si>
  <si>
    <t>qqq</t>
  </si>
  <si>
    <t>NH7B</t>
  </si>
  <si>
    <t>z78</t>
  </si>
  <si>
    <t>V26Z</t>
  </si>
  <si>
    <t>kkfl</t>
  </si>
  <si>
    <t>V73S</t>
  </si>
  <si>
    <t>qboy</t>
  </si>
  <si>
    <t>GO8O</t>
  </si>
  <si>
    <t>dilb</t>
  </si>
  <si>
    <t>9SC7</t>
  </si>
  <si>
    <t>zg33</t>
  </si>
  <si>
    <t>535E</t>
  </si>
  <si>
    <t>va6</t>
  </si>
  <si>
    <t>TBPO</t>
  </si>
  <si>
    <t>0jn</t>
  </si>
  <si>
    <t>GSXQ</t>
  </si>
  <si>
    <t>zag15</t>
  </si>
  <si>
    <t>51B8</t>
  </si>
  <si>
    <t>kk3</t>
  </si>
  <si>
    <t>CFA2</t>
  </si>
  <si>
    <t>dzg1</t>
  </si>
  <si>
    <t>L7QZ</t>
  </si>
  <si>
    <t>zag4</t>
  </si>
  <si>
    <t>4Q3X</t>
  </si>
  <si>
    <t>sgo</t>
  </si>
  <si>
    <t>Q7J9</t>
  </si>
  <si>
    <t>hgr</t>
  </si>
  <si>
    <t>LWV1</t>
  </si>
  <si>
    <t>wo1</t>
  </si>
  <si>
    <t>TVMP</t>
  </si>
  <si>
    <t>qby</t>
  </si>
  <si>
    <t>ADA4</t>
  </si>
  <si>
    <t>fur</t>
  </si>
  <si>
    <t>B252</t>
  </si>
  <si>
    <t>4q3x</t>
  </si>
  <si>
    <t>L6F3</t>
  </si>
  <si>
    <t>ojf</t>
  </si>
  <si>
    <t>JMZT</t>
  </si>
  <si>
    <t>zag2</t>
  </si>
  <si>
    <t>56SS</t>
  </si>
  <si>
    <t>zb</t>
  </si>
  <si>
    <t>H7FC</t>
  </si>
  <si>
    <t>dd8</t>
  </si>
  <si>
    <t>MIZW</t>
  </si>
  <si>
    <t>ant</t>
  </si>
  <si>
    <t>778B</t>
  </si>
  <si>
    <t>ada4</t>
  </si>
  <si>
    <t>DD00</t>
  </si>
  <si>
    <t>zag11</t>
  </si>
  <si>
    <t>ditu</t>
  </si>
  <si>
    <t>gld</t>
  </si>
  <si>
    <t>dd1</t>
  </si>
  <si>
    <t>l7qz</t>
  </si>
  <si>
    <t>DD551</t>
  </si>
  <si>
    <t>uppl</t>
  </si>
  <si>
    <t>nbt</t>
  </si>
  <si>
    <t>ix4</t>
  </si>
  <si>
    <t>zg13</t>
  </si>
  <si>
    <t>zag7</t>
  </si>
  <si>
    <t>DZG0</t>
  </si>
  <si>
    <t>dzg5</t>
  </si>
  <si>
    <t>DZG1</t>
  </si>
  <si>
    <t>gns</t>
  </si>
  <si>
    <t>DZG2</t>
  </si>
  <si>
    <t>dd</t>
  </si>
  <si>
    <t>a60</t>
  </si>
  <si>
    <t>9uq</t>
  </si>
  <si>
    <t>DZG5</t>
  </si>
  <si>
    <t>dihq</t>
  </si>
  <si>
    <t>diax</t>
  </si>
  <si>
    <t>dd4</t>
  </si>
  <si>
    <t>ulv</t>
  </si>
  <si>
    <t>4dg</t>
  </si>
  <si>
    <t>Zag1</t>
  </si>
  <si>
    <t>h5x</t>
  </si>
  <si>
    <t>Zag2</t>
  </si>
  <si>
    <t>x8x</t>
  </si>
  <si>
    <t>Zag3</t>
  </si>
  <si>
    <t>qn9</t>
  </si>
  <si>
    <t>Zag4</t>
  </si>
  <si>
    <t>5dp</t>
  </si>
  <si>
    <t>Zag5</t>
  </si>
  <si>
    <t>tg1</t>
  </si>
  <si>
    <t>Zag6</t>
  </si>
  <si>
    <t>dd5</t>
  </si>
  <si>
    <t>Zag7</t>
  </si>
  <si>
    <t>zg49</t>
  </si>
  <si>
    <t>Zag8</t>
  </si>
  <si>
    <t>ifw</t>
  </si>
  <si>
    <t>Zag9</t>
  </si>
  <si>
    <t>dd2</t>
  </si>
  <si>
    <t>Zag10</t>
  </si>
  <si>
    <t>dd551</t>
  </si>
  <si>
    <t>Zag11</t>
  </si>
  <si>
    <t>swu</t>
  </si>
  <si>
    <t>Zag12</t>
  </si>
  <si>
    <t>rdq</t>
  </si>
  <si>
    <t>Zag13</t>
  </si>
  <si>
    <t>hj2</t>
  </si>
  <si>
    <t>Zag14</t>
  </si>
  <si>
    <t>zg24</t>
  </si>
  <si>
    <t>Zag15</t>
  </si>
  <si>
    <t>dzg7</t>
  </si>
  <si>
    <t>DZAG1</t>
  </si>
  <si>
    <t>q7j9</t>
  </si>
  <si>
    <t>DZAG2</t>
  </si>
  <si>
    <t>9jl</t>
  </si>
  <si>
    <t>DZAG3</t>
  </si>
  <si>
    <t>o3p</t>
  </si>
  <si>
    <t>DZAG4</t>
  </si>
  <si>
    <t>8n4</t>
  </si>
  <si>
    <t>DZAG5</t>
  </si>
  <si>
    <t>dzg8</t>
  </si>
  <si>
    <t>DZAG6</t>
  </si>
  <si>
    <t>vt5</t>
  </si>
  <si>
    <t>DZAG7</t>
  </si>
  <si>
    <t>a50</t>
  </si>
  <si>
    <t>DZAG8</t>
  </si>
  <si>
    <t>zg08</t>
  </si>
  <si>
    <t>DZAG9</t>
  </si>
  <si>
    <t>DZAG10</t>
  </si>
  <si>
    <t>DZAG11</t>
  </si>
  <si>
    <t>DZAG12</t>
  </si>
  <si>
    <t>DZAG13</t>
  </si>
  <si>
    <t>DZAG14</t>
  </si>
  <si>
    <t>DZAG15</t>
  </si>
  <si>
    <t>ZG77</t>
  </si>
  <si>
    <t>ZG85</t>
  </si>
  <si>
    <t>ZG09</t>
  </si>
  <si>
    <t>ZG01</t>
  </si>
  <si>
    <t>ZG90</t>
  </si>
  <si>
    <t>ZG60</t>
  </si>
  <si>
    <t>ZG32</t>
  </si>
  <si>
    <t>ZG13</t>
  </si>
  <si>
    <t>ZG24</t>
  </si>
  <si>
    <t>ZG34</t>
  </si>
  <si>
    <t>ZG42</t>
  </si>
  <si>
    <t>ZG88</t>
  </si>
  <si>
    <t>ZG40</t>
  </si>
  <si>
    <t>ZG39</t>
  </si>
  <si>
    <t>ZG17</t>
  </si>
  <si>
    <t>ZG49</t>
  </si>
  <si>
    <t>ZG79</t>
  </si>
  <si>
    <t>ZG96</t>
  </si>
  <si>
    <t>ZG08</t>
  </si>
  <si>
    <t>ZG33</t>
  </si>
  <si>
    <t>LJ9</t>
  </si>
  <si>
    <t>6UC</t>
  </si>
  <si>
    <t>AEB</t>
  </si>
  <si>
    <t>5JK</t>
  </si>
  <si>
    <t>JPM</t>
  </si>
  <si>
    <t>D9H</t>
  </si>
  <si>
    <t>88J</t>
  </si>
  <si>
    <t>0QC</t>
  </si>
  <si>
    <t>X92</t>
  </si>
  <si>
    <t>PKG</t>
  </si>
  <si>
    <t>38U</t>
  </si>
  <si>
    <t>ILG</t>
  </si>
  <si>
    <t>TG1</t>
  </si>
  <si>
    <t>QR7</t>
  </si>
  <si>
    <t>0UK</t>
  </si>
  <si>
    <t>6N1</t>
  </si>
  <si>
    <t>1QH</t>
  </si>
  <si>
    <t>O3P</t>
  </si>
  <si>
    <t>JU6</t>
  </si>
  <si>
    <t>0VG</t>
  </si>
  <si>
    <t>4DG</t>
  </si>
  <si>
    <t>QKK</t>
  </si>
  <si>
    <t>9ZQ</t>
  </si>
  <si>
    <t>5UL</t>
  </si>
  <si>
    <t>ULQ</t>
  </si>
  <si>
    <t>25S</t>
  </si>
  <si>
    <t>QDC</t>
  </si>
  <si>
    <t>AV7</t>
  </si>
  <si>
    <t>0SE</t>
  </si>
  <si>
    <t>I9Y</t>
  </si>
  <si>
    <t>RDQ</t>
  </si>
  <si>
    <t>A50</t>
  </si>
  <si>
    <t>5DP</t>
  </si>
  <si>
    <t>M8M</t>
  </si>
  <si>
    <t>C1J</t>
  </si>
  <si>
    <t>2OC</t>
  </si>
  <si>
    <t>WD8</t>
  </si>
  <si>
    <t>8UX</t>
  </si>
  <si>
    <t>YQL</t>
  </si>
  <si>
    <t>9JL</t>
  </si>
  <si>
    <t>8N4</t>
  </si>
  <si>
    <t>2SX</t>
  </si>
  <si>
    <t>LYU</t>
  </si>
  <si>
    <t>MKE</t>
  </si>
  <si>
    <t>3YZ</t>
  </si>
  <si>
    <t>1AQ</t>
  </si>
  <si>
    <t>VKL</t>
  </si>
  <si>
    <t>II3</t>
  </si>
  <si>
    <t>7CW</t>
  </si>
  <si>
    <t>G9T</t>
  </si>
  <si>
    <t>C2L</t>
  </si>
  <si>
    <t>85P</t>
  </si>
  <si>
    <t>ZV0</t>
  </si>
  <si>
    <t>OAD</t>
  </si>
  <si>
    <t>ET6</t>
  </si>
  <si>
    <t>8KG</t>
  </si>
  <si>
    <t>GE0</t>
  </si>
  <si>
    <t>F9D</t>
  </si>
  <si>
    <t>S2W</t>
  </si>
  <si>
    <t>GHS</t>
  </si>
  <si>
    <t>APY</t>
  </si>
  <si>
    <t>IQF</t>
  </si>
  <si>
    <t>MJY</t>
  </si>
  <si>
    <t>N9S</t>
  </si>
  <si>
    <t>YKN</t>
  </si>
  <si>
    <t>4K2</t>
  </si>
  <si>
    <t>WF4</t>
  </si>
  <si>
    <t>VT5</t>
  </si>
  <si>
    <t>0JN</t>
  </si>
  <si>
    <t>X8X</t>
  </si>
  <si>
    <t>SGO</t>
  </si>
  <si>
    <t>QN9</t>
  </si>
  <si>
    <t>IO9</t>
  </si>
  <si>
    <t>WO1</t>
  </si>
  <si>
    <t>NBT</t>
  </si>
  <si>
    <t>SWU</t>
  </si>
  <si>
    <t>GLD</t>
  </si>
  <si>
    <t>9W2</t>
  </si>
  <si>
    <t>RNT</t>
  </si>
  <si>
    <t>P1D</t>
  </si>
  <si>
    <t>3SL</t>
  </si>
  <si>
    <t>86C</t>
  </si>
  <si>
    <t>YYK</t>
  </si>
  <si>
    <t>1HL</t>
  </si>
  <si>
    <t>SPV</t>
  </si>
  <si>
    <t>H3D</t>
  </si>
  <si>
    <t>WX3</t>
  </si>
  <si>
    <t>G4I</t>
  </si>
  <si>
    <t>3H8</t>
  </si>
  <si>
    <t>zz</t>
  </si>
  <si>
    <t>za</t>
  </si>
  <si>
    <t>dz</t>
  </si>
  <si>
    <t xml:space="preserve">special code </t>
  </si>
  <si>
    <t>dd0</t>
  </si>
  <si>
    <t>dd3</t>
  </si>
  <si>
    <t>dd6</t>
  </si>
  <si>
    <t>dd9</t>
  </si>
  <si>
    <t>DZAG88</t>
  </si>
  <si>
    <t xml:space="preserve">DZAG99 </t>
  </si>
  <si>
    <t>DZAG101</t>
  </si>
  <si>
    <t>DZAG102</t>
  </si>
  <si>
    <t>DZAG103</t>
  </si>
  <si>
    <t>DZAG104</t>
  </si>
  <si>
    <t>DZAG105</t>
  </si>
  <si>
    <t>DZAG106</t>
  </si>
  <si>
    <t>DZAG107</t>
  </si>
  <si>
    <t>DZAG108</t>
  </si>
  <si>
    <t>DZAG109</t>
  </si>
  <si>
    <t>DZAG110</t>
  </si>
  <si>
    <t>DZAG111</t>
  </si>
  <si>
    <t>DZAG112</t>
  </si>
  <si>
    <t>DZAG113</t>
  </si>
  <si>
    <t>izg1</t>
  </si>
  <si>
    <t>izg2</t>
  </si>
  <si>
    <t>izg3</t>
  </si>
  <si>
    <t>izg4</t>
  </si>
  <si>
    <t>izg5</t>
  </si>
  <si>
    <t>izg6</t>
  </si>
  <si>
    <t>izg7</t>
  </si>
  <si>
    <t>izg8</t>
  </si>
  <si>
    <t>izg9</t>
  </si>
  <si>
    <t>izg10</t>
  </si>
  <si>
    <t>izg11</t>
  </si>
  <si>
    <t>izg12</t>
  </si>
  <si>
    <t>izg13</t>
  </si>
  <si>
    <t>izg14</t>
  </si>
  <si>
    <t>izg15</t>
  </si>
  <si>
    <t>izg16</t>
  </si>
  <si>
    <t>izg17</t>
  </si>
  <si>
    <t>izg18</t>
  </si>
  <si>
    <t>izg19</t>
  </si>
  <si>
    <t>izg20</t>
  </si>
  <si>
    <t>ZD1</t>
  </si>
  <si>
    <t>ZD2</t>
  </si>
  <si>
    <t>ZD3</t>
  </si>
  <si>
    <t>ZD4</t>
  </si>
  <si>
    <t>ZD5</t>
  </si>
  <si>
    <t>ZD6</t>
  </si>
  <si>
    <t>ZD7</t>
  </si>
  <si>
    <t>ZD88</t>
  </si>
  <si>
    <t>ZD9</t>
  </si>
  <si>
    <t>ZD10</t>
  </si>
  <si>
    <t>HHH1</t>
  </si>
  <si>
    <t>HAA</t>
  </si>
  <si>
    <t>CD1</t>
  </si>
  <si>
    <t>CD2</t>
  </si>
  <si>
    <t>CD3</t>
  </si>
  <si>
    <t>CD4</t>
  </si>
  <si>
    <t>CD5</t>
  </si>
  <si>
    <t>TALA7</t>
  </si>
  <si>
    <t>0IR</t>
  </si>
  <si>
    <t>0PZ</t>
  </si>
  <si>
    <t>0Q2</t>
  </si>
  <si>
    <t>1SO</t>
  </si>
  <si>
    <t>29O</t>
  </si>
  <si>
    <t>2RD</t>
  </si>
  <si>
    <t>2RZ</t>
  </si>
  <si>
    <t>3RP</t>
  </si>
  <si>
    <t>4BD</t>
  </si>
  <si>
    <t>4D7</t>
  </si>
  <si>
    <t>5CB</t>
  </si>
  <si>
    <t>83O</t>
  </si>
  <si>
    <t>9D7</t>
  </si>
  <si>
    <t>9I4</t>
  </si>
  <si>
    <t>BAR</t>
  </si>
  <si>
    <t>BNA</t>
  </si>
  <si>
    <t>BX4</t>
  </si>
  <si>
    <t>CDF</t>
  </si>
  <si>
    <t>CIB</t>
  </si>
  <si>
    <t>EBJ</t>
  </si>
  <si>
    <t>ERV</t>
  </si>
  <si>
    <t>GOB</t>
  </si>
  <si>
    <t>HTO</t>
  </si>
  <si>
    <t>JZ4</t>
  </si>
  <si>
    <t>MRR</t>
  </si>
  <si>
    <t>N2E</t>
  </si>
  <si>
    <t>OT8</t>
  </si>
  <si>
    <t>PH6</t>
  </si>
  <si>
    <t>QAT</t>
  </si>
  <si>
    <t>R9B</t>
  </si>
  <si>
    <t>SO9</t>
  </si>
  <si>
    <t>T5B</t>
  </si>
  <si>
    <t>UAO</t>
  </si>
  <si>
    <t>UN5</t>
  </si>
  <si>
    <t>WAQ</t>
  </si>
  <si>
    <t>X47</t>
  </si>
  <si>
    <t>XC3</t>
  </si>
  <si>
    <t>Y92</t>
  </si>
  <si>
    <t>YI0</t>
  </si>
  <si>
    <t>YXS</t>
  </si>
  <si>
    <t>ZYL</t>
  </si>
  <si>
    <t>ZMN</t>
  </si>
  <si>
    <t>EAQ</t>
  </si>
  <si>
    <t>1HK</t>
  </si>
  <si>
    <t>B9J</t>
  </si>
  <si>
    <t>CR5</t>
  </si>
  <si>
    <t>YH6</t>
  </si>
  <si>
    <t>4RL</t>
  </si>
  <si>
    <t>UII</t>
  </si>
  <si>
    <t>VH3</t>
  </si>
  <si>
    <t>LE6</t>
  </si>
  <si>
    <t>VZZ</t>
  </si>
  <si>
    <t>LUD</t>
  </si>
  <si>
    <t>73H</t>
  </si>
  <si>
    <t>53P</t>
  </si>
  <si>
    <t>NAB</t>
  </si>
  <si>
    <t>8BA</t>
  </si>
  <si>
    <t>XK1</t>
  </si>
  <si>
    <t>3N2</t>
  </si>
  <si>
    <t>Z4J</t>
  </si>
  <si>
    <t xml:space="preserve">dont use </t>
  </si>
  <si>
    <t>S6L</t>
  </si>
  <si>
    <t>VL8</t>
  </si>
  <si>
    <t>PU5</t>
  </si>
  <si>
    <t>2HF</t>
  </si>
  <si>
    <t>8KP</t>
  </si>
  <si>
    <t>TCH</t>
  </si>
  <si>
    <t>PM1</t>
  </si>
  <si>
    <t>8NL</t>
  </si>
  <si>
    <t>BEZ</t>
  </si>
  <si>
    <t>74C</t>
  </si>
  <si>
    <t>1JO</t>
  </si>
  <si>
    <t>WXY</t>
  </si>
  <si>
    <t>06Y</t>
  </si>
  <si>
    <t>H3Q</t>
  </si>
  <si>
    <t>34K</t>
  </si>
  <si>
    <t>E6G</t>
  </si>
  <si>
    <t>iBBY2</t>
  </si>
  <si>
    <t>SAX</t>
  </si>
  <si>
    <t>JLD</t>
  </si>
  <si>
    <t>TGP</t>
  </si>
  <si>
    <t>LGC</t>
  </si>
  <si>
    <t>WVZ</t>
  </si>
  <si>
    <t>BCO</t>
  </si>
  <si>
    <t>NTZ</t>
  </si>
  <si>
    <t>LGL</t>
  </si>
  <si>
    <t>WVO</t>
  </si>
  <si>
    <t>JKC</t>
  </si>
  <si>
    <t>XPL</t>
  </si>
  <si>
    <t>TJX</t>
  </si>
  <si>
    <t>LEB</t>
  </si>
  <si>
    <t>BAZ</t>
  </si>
  <si>
    <t>EIY</t>
  </si>
  <si>
    <t>GGY</t>
  </si>
  <si>
    <t>FXN</t>
  </si>
  <si>
    <t>OST</t>
  </si>
  <si>
    <t>TTN</t>
  </si>
  <si>
    <t>CNL</t>
  </si>
  <si>
    <t>KYN</t>
  </si>
  <si>
    <t>UEX</t>
  </si>
  <si>
    <t>ABF</t>
  </si>
  <si>
    <t>EGA</t>
  </si>
  <si>
    <t>ZRO</t>
  </si>
  <si>
    <t>XAW</t>
  </si>
  <si>
    <t>DZD</t>
  </si>
  <si>
    <t>QLC</t>
  </si>
  <si>
    <t>IEW</t>
  </si>
  <si>
    <t>FUJ</t>
  </si>
  <si>
    <t>RTA1</t>
  </si>
  <si>
    <t>DF1</t>
  </si>
  <si>
    <t>DF2</t>
  </si>
  <si>
    <t>DF3</t>
  </si>
  <si>
    <t>DF5</t>
  </si>
  <si>
    <t>DF6</t>
  </si>
  <si>
    <t>DF7</t>
  </si>
  <si>
    <t>DF9</t>
  </si>
  <si>
    <t>DF10</t>
  </si>
  <si>
    <t>J988</t>
  </si>
  <si>
    <t>13P8</t>
  </si>
  <si>
    <t>U90F</t>
  </si>
  <si>
    <t>WKKW</t>
  </si>
  <si>
    <t>N5A0</t>
  </si>
  <si>
    <t>CS3L</t>
  </si>
  <si>
    <t>RWP6</t>
  </si>
  <si>
    <t>TNSR</t>
  </si>
  <si>
    <t>T6AG</t>
  </si>
  <si>
    <t>Q0E9</t>
  </si>
  <si>
    <t>0H94</t>
  </si>
  <si>
    <t>FO7H</t>
  </si>
  <si>
    <t>TDTO</t>
  </si>
  <si>
    <t>DHVQ</t>
  </si>
  <si>
    <t>OI5K</t>
  </si>
  <si>
    <t>B5RS</t>
  </si>
  <si>
    <t>SQWR</t>
  </si>
  <si>
    <t>M3M2</t>
  </si>
  <si>
    <t>B83F</t>
  </si>
  <si>
    <t>OM41</t>
  </si>
  <si>
    <t>98IE</t>
  </si>
  <si>
    <t>NLYI</t>
  </si>
  <si>
    <t>N6JT</t>
  </si>
  <si>
    <t>FPUL</t>
  </si>
  <si>
    <t>ZVEP</t>
  </si>
  <si>
    <t>P4EJ</t>
  </si>
  <si>
    <t>66NU</t>
  </si>
  <si>
    <t>N3L2</t>
  </si>
  <si>
    <t>3NHH</t>
  </si>
  <si>
    <t>5QNF</t>
  </si>
  <si>
    <t>WAYR</t>
  </si>
  <si>
    <t>SL2F</t>
  </si>
  <si>
    <t>CCHD</t>
  </si>
  <si>
    <t>8WC9</t>
  </si>
  <si>
    <t>LY71</t>
  </si>
  <si>
    <t>O1S8</t>
  </si>
  <si>
    <t>QNI6</t>
  </si>
  <si>
    <t>3QCW</t>
  </si>
  <si>
    <t>8G1N</t>
  </si>
  <si>
    <t>75KU</t>
  </si>
  <si>
    <t>AQO4</t>
  </si>
  <si>
    <t>ZQ0Q</t>
  </si>
  <si>
    <t>IPAX</t>
  </si>
  <si>
    <t>X9T0</t>
  </si>
  <si>
    <t>CB9G</t>
  </si>
  <si>
    <t>QMY1</t>
  </si>
  <si>
    <t>XF1X</t>
  </si>
  <si>
    <t>93HS</t>
  </si>
  <si>
    <t>9UF4</t>
  </si>
  <si>
    <t>PNFL</t>
  </si>
  <si>
    <t>WTRK</t>
  </si>
  <si>
    <t>2G7O</t>
  </si>
  <si>
    <t>QYAW</t>
  </si>
  <si>
    <t>PMXI</t>
  </si>
  <si>
    <t>A3C0</t>
  </si>
  <si>
    <t>88ME</t>
  </si>
  <si>
    <t>0KX1</t>
  </si>
  <si>
    <t>UC3U</t>
  </si>
  <si>
    <t>X2TI</t>
  </si>
  <si>
    <t>BVVG</t>
  </si>
  <si>
    <t>DRSJ</t>
  </si>
  <si>
    <t>27VJ</t>
  </si>
  <si>
    <t>4Y8G</t>
  </si>
  <si>
    <t>0J17</t>
  </si>
  <si>
    <t>J4GS</t>
  </si>
  <si>
    <t>YF46</t>
  </si>
  <si>
    <t>3RGH</t>
  </si>
  <si>
    <t>2DSB</t>
  </si>
  <si>
    <t>1GSS</t>
  </si>
  <si>
    <t>4E6I</t>
  </si>
  <si>
    <t>7OAO</t>
  </si>
  <si>
    <t>TDIL</t>
  </si>
  <si>
    <t>TNPE</t>
  </si>
  <si>
    <t>XR25</t>
  </si>
  <si>
    <t>Z53L</t>
  </si>
  <si>
    <t>ZKY2</t>
  </si>
  <si>
    <t>2R1N</t>
  </si>
  <si>
    <t>X27B</t>
  </si>
  <si>
    <t>PF47</t>
  </si>
  <si>
    <t>ZCIJ</t>
  </si>
  <si>
    <t>SMNA</t>
  </si>
  <si>
    <t>08N2</t>
  </si>
  <si>
    <t>AG0Q</t>
  </si>
  <si>
    <t>44NP</t>
  </si>
  <si>
    <t>L20K</t>
  </si>
  <si>
    <t>YBAV</t>
  </si>
  <si>
    <t>B8Z3</t>
  </si>
  <si>
    <t>ET9W</t>
  </si>
  <si>
    <t>G915</t>
  </si>
  <si>
    <t>LXPI</t>
  </si>
  <si>
    <t>EHSU</t>
  </si>
  <si>
    <t>GN9C</t>
  </si>
  <si>
    <t>HRZP</t>
  </si>
  <si>
    <t>OVSD</t>
  </si>
  <si>
    <t>4ZBI</t>
  </si>
  <si>
    <t>1V3F</t>
  </si>
  <si>
    <t>NJAZ</t>
  </si>
  <si>
    <t>C9AJ</t>
  </si>
  <si>
    <t>V5J8</t>
  </si>
  <si>
    <t>NH9L</t>
  </si>
  <si>
    <t>EXVO</t>
  </si>
  <si>
    <t>HIOA</t>
  </si>
  <si>
    <t>O6BF</t>
  </si>
  <si>
    <t>GC6E</t>
  </si>
  <si>
    <t>4ELL</t>
  </si>
  <si>
    <t>FQUT</t>
  </si>
  <si>
    <t>MO1G</t>
  </si>
  <si>
    <t>W78O</t>
  </si>
  <si>
    <t>O1U3</t>
  </si>
  <si>
    <t>7QDK</t>
  </si>
  <si>
    <t>AND3</t>
  </si>
  <si>
    <t>EHXW</t>
  </si>
  <si>
    <t>PDCI</t>
  </si>
  <si>
    <t>7X0G</t>
  </si>
  <si>
    <t>VMC7</t>
  </si>
  <si>
    <t>CCZ2</t>
  </si>
  <si>
    <t>QLX8</t>
  </si>
  <si>
    <t>TNMW</t>
  </si>
  <si>
    <t>CD84</t>
  </si>
  <si>
    <t>44XQ</t>
  </si>
  <si>
    <t>L0LY</t>
  </si>
  <si>
    <t>D5O6</t>
  </si>
  <si>
    <t>82CX</t>
  </si>
  <si>
    <t>JGQZ</t>
  </si>
  <si>
    <t>BKVX</t>
  </si>
  <si>
    <t>EGG5</t>
  </si>
  <si>
    <t>7TX4</t>
  </si>
  <si>
    <t>E1EA</t>
  </si>
  <si>
    <t>BSNJ</t>
  </si>
  <si>
    <t>EKON</t>
  </si>
  <si>
    <t>1C4D</t>
  </si>
  <si>
    <t>IXTJ</t>
  </si>
  <si>
    <t>JGTX</t>
  </si>
  <si>
    <t>64BR</t>
  </si>
  <si>
    <t>ODFL</t>
  </si>
  <si>
    <t>WH6D</t>
  </si>
  <si>
    <t>R6FR</t>
  </si>
  <si>
    <t>QQQB</t>
  </si>
  <si>
    <t>U7SM</t>
  </si>
  <si>
    <t>ZIDH</t>
  </si>
  <si>
    <t>9CNI</t>
  </si>
  <si>
    <t>9O0G</t>
  </si>
  <si>
    <t>8Z6U</t>
  </si>
  <si>
    <t>AZO9</t>
  </si>
  <si>
    <t>3D5K</t>
  </si>
  <si>
    <t>FF7K</t>
  </si>
  <si>
    <t>7XMY</t>
  </si>
  <si>
    <t>V1R3</t>
  </si>
  <si>
    <t>GE01</t>
  </si>
  <si>
    <t>KZMW</t>
  </si>
  <si>
    <t>0VT1</t>
  </si>
  <si>
    <t>YNF1</t>
  </si>
  <si>
    <t>C0KP</t>
  </si>
  <si>
    <t>140V</t>
  </si>
  <si>
    <t>GBSV</t>
  </si>
  <si>
    <t>L1BD</t>
  </si>
  <si>
    <t>OHL7</t>
  </si>
  <si>
    <t>HDFC</t>
  </si>
  <si>
    <t>Q2I2</t>
  </si>
  <si>
    <t>UKPH</t>
  </si>
  <si>
    <t>9JJS</t>
  </si>
  <si>
    <t>DZO5</t>
  </si>
  <si>
    <t>3OF5</t>
  </si>
  <si>
    <t>J0XC</t>
  </si>
  <si>
    <t>I5QB</t>
  </si>
  <si>
    <t>DSCM</t>
  </si>
  <si>
    <t>2QJH</t>
  </si>
  <si>
    <t>TPXI</t>
  </si>
  <si>
    <t>ONYL</t>
  </si>
  <si>
    <t>F8OA</t>
  </si>
  <si>
    <t>PP6T</t>
  </si>
  <si>
    <t>AGIL</t>
  </si>
  <si>
    <t>N4ZE</t>
  </si>
  <si>
    <t>LJ4F</t>
  </si>
  <si>
    <t>QEZ8</t>
  </si>
  <si>
    <t>TCQY</t>
  </si>
  <si>
    <t>1R72</t>
  </si>
  <si>
    <t>TB5H</t>
  </si>
  <si>
    <t>39OF</t>
  </si>
  <si>
    <t>8BKS</t>
  </si>
  <si>
    <t>8NCX</t>
  </si>
  <si>
    <t>OT9T</t>
  </si>
  <si>
    <t>ITD4</t>
  </si>
  <si>
    <t>J7S6</t>
  </si>
  <si>
    <t>2EZ3</t>
  </si>
  <si>
    <t>PTI4</t>
  </si>
  <si>
    <t>2Q0A</t>
  </si>
  <si>
    <t>F5W9</t>
  </si>
  <si>
    <t>VQ03</t>
  </si>
  <si>
    <t>7A03</t>
  </si>
  <si>
    <t>LVQ7</t>
  </si>
  <si>
    <t>SGTV</t>
  </si>
  <si>
    <t>NTZX</t>
  </si>
  <si>
    <t>1H1H</t>
  </si>
  <si>
    <t>F6S4</t>
  </si>
  <si>
    <t>VA3R</t>
  </si>
  <si>
    <t>4JY</t>
  </si>
  <si>
    <t>A7J</t>
  </si>
  <si>
    <t>IMP</t>
  </si>
  <si>
    <t>YWT</t>
  </si>
  <si>
    <t>HERSMT</t>
  </si>
  <si>
    <t>CK55</t>
  </si>
  <si>
    <t>OHX</t>
  </si>
  <si>
    <t>DS8</t>
  </si>
  <si>
    <t>86Z</t>
  </si>
  <si>
    <t>97C</t>
  </si>
  <si>
    <t>DHR</t>
  </si>
  <si>
    <t>1GU</t>
  </si>
  <si>
    <t>0TK</t>
  </si>
  <si>
    <t>OZG</t>
  </si>
  <si>
    <t>BO3</t>
  </si>
  <si>
    <t>M03</t>
  </si>
  <si>
    <t>6NO</t>
  </si>
  <si>
    <t>JG0</t>
  </si>
  <si>
    <t>11Z</t>
  </si>
  <si>
    <t>XXU</t>
  </si>
  <si>
    <t>8OS</t>
  </si>
  <si>
    <t>FBP</t>
  </si>
  <si>
    <t>BPY</t>
  </si>
  <si>
    <t>OKX</t>
  </si>
  <si>
    <t>KCU</t>
  </si>
  <si>
    <t>QKT</t>
  </si>
  <si>
    <t>NIX</t>
  </si>
  <si>
    <t>BPW</t>
  </si>
  <si>
    <t>QRZ</t>
  </si>
  <si>
    <t>FGT</t>
  </si>
  <si>
    <t>ZLC</t>
  </si>
  <si>
    <t>HDZ</t>
  </si>
  <si>
    <t>AXC</t>
  </si>
  <si>
    <t>PIV</t>
  </si>
  <si>
    <t>DED</t>
  </si>
  <si>
    <t>NYP</t>
  </si>
  <si>
    <t>MKV</t>
  </si>
  <si>
    <t>EYP</t>
  </si>
  <si>
    <t>QRP</t>
  </si>
  <si>
    <t>LAY15</t>
  </si>
  <si>
    <t>LGJ</t>
  </si>
  <si>
    <t>pcgcc</t>
  </si>
  <si>
    <t>jdd1</t>
  </si>
  <si>
    <t>jdd2</t>
  </si>
  <si>
    <t>jdd3</t>
  </si>
  <si>
    <t>jdd4</t>
  </si>
  <si>
    <t>jdd5</t>
  </si>
  <si>
    <t>jdd6</t>
  </si>
  <si>
    <t>jdd7</t>
  </si>
  <si>
    <t>jdd8</t>
  </si>
  <si>
    <t>jdd9</t>
  </si>
  <si>
    <t>jdd10</t>
  </si>
  <si>
    <t>jdd11</t>
  </si>
  <si>
    <t>jdd12</t>
  </si>
  <si>
    <t>jdd13</t>
  </si>
  <si>
    <t>jdd14</t>
  </si>
  <si>
    <t>jdd15</t>
  </si>
  <si>
    <t>HABIBI1</t>
  </si>
  <si>
    <t xml:space="preserve">old codes </t>
  </si>
  <si>
    <t>VT83</t>
  </si>
  <si>
    <t>V966</t>
  </si>
  <si>
    <t>VL83</t>
  </si>
  <si>
    <t>VMJP</t>
  </si>
  <si>
    <t>VD2J</t>
  </si>
  <si>
    <t>VAA4</t>
  </si>
  <si>
    <t>VMSU</t>
  </si>
  <si>
    <t>VUGN</t>
  </si>
  <si>
    <t>V3UC</t>
  </si>
  <si>
    <t>VT2O</t>
  </si>
  <si>
    <t>V10V</t>
  </si>
  <si>
    <t>VNCM</t>
  </si>
  <si>
    <t>VHUJ</t>
  </si>
  <si>
    <t>V0ND</t>
  </si>
  <si>
    <t>VIKO</t>
  </si>
  <si>
    <t>VU1W</t>
  </si>
  <si>
    <t>V41N</t>
  </si>
  <si>
    <t>V1VJ</t>
  </si>
  <si>
    <t>VV8K</t>
  </si>
  <si>
    <t>VG1F</t>
  </si>
  <si>
    <t>VL14</t>
  </si>
  <si>
    <t>VBG1</t>
  </si>
  <si>
    <t>VLEO</t>
  </si>
  <si>
    <t>VDTH</t>
  </si>
  <si>
    <t>VOGX</t>
  </si>
  <si>
    <t>VNBJ</t>
  </si>
  <si>
    <t>V1KX</t>
  </si>
  <si>
    <t>VMMK</t>
  </si>
  <si>
    <t>V3S3</t>
  </si>
  <si>
    <t>VAW6</t>
  </si>
  <si>
    <t>VS77</t>
  </si>
  <si>
    <t>VDDW</t>
  </si>
  <si>
    <t>VDWC</t>
  </si>
  <si>
    <t>VVH6</t>
  </si>
  <si>
    <t>VE81</t>
  </si>
  <si>
    <t>V0O4</t>
  </si>
  <si>
    <t>V66X</t>
  </si>
  <si>
    <t>VQNA</t>
  </si>
  <si>
    <t>VDR1</t>
  </si>
  <si>
    <t>VDD3</t>
  </si>
  <si>
    <t>VZHZ</t>
  </si>
  <si>
    <t>VIJL</t>
  </si>
  <si>
    <t>VVDR</t>
  </si>
  <si>
    <t>V1YX</t>
  </si>
  <si>
    <t>V9A1</t>
  </si>
  <si>
    <t>V67N</t>
  </si>
  <si>
    <t>VRJI</t>
  </si>
  <si>
    <t>VENR</t>
  </si>
  <si>
    <t>VN4K</t>
  </si>
  <si>
    <t>V23E</t>
  </si>
  <si>
    <t>VDZM</t>
  </si>
  <si>
    <t>VHVT</t>
  </si>
  <si>
    <t>VQCB</t>
  </si>
  <si>
    <t>V9RF</t>
  </si>
  <si>
    <t>VJ5L</t>
  </si>
  <si>
    <t>V2SI</t>
  </si>
  <si>
    <t>VVAG</t>
  </si>
  <si>
    <t>VFW8</t>
  </si>
  <si>
    <t>VVY0</t>
  </si>
  <si>
    <t>VFUI</t>
  </si>
  <si>
    <t>VA9C</t>
  </si>
  <si>
    <t>V730</t>
  </si>
  <si>
    <t>VGV9</t>
  </si>
  <si>
    <t>V0Y5</t>
  </si>
  <si>
    <t>VG0U</t>
  </si>
  <si>
    <t>VXN3</t>
  </si>
  <si>
    <t>VRGW</t>
  </si>
  <si>
    <t>V377</t>
  </si>
  <si>
    <t>VDFV</t>
  </si>
  <si>
    <t>V6KZ</t>
  </si>
  <si>
    <t>V2M6</t>
  </si>
  <si>
    <t>VUBI</t>
  </si>
  <si>
    <t>VMVN</t>
  </si>
  <si>
    <t>VC5L</t>
  </si>
  <si>
    <t>VGLZ</t>
  </si>
  <si>
    <t>VJ9D</t>
  </si>
  <si>
    <t>VGKL</t>
  </si>
  <si>
    <t>V24N</t>
  </si>
  <si>
    <t>V5I2</t>
  </si>
  <si>
    <t>V7YR</t>
  </si>
  <si>
    <t>VEOU</t>
  </si>
  <si>
    <t>V89B</t>
  </si>
  <si>
    <t>V56F</t>
  </si>
  <si>
    <t>V83J</t>
  </si>
  <si>
    <t>V69M</t>
  </si>
  <si>
    <t>VW7J</t>
  </si>
  <si>
    <t>VCEE</t>
  </si>
  <si>
    <t>VQUZ</t>
  </si>
  <si>
    <t>VZDO</t>
  </si>
  <si>
    <t>VU1A</t>
  </si>
  <si>
    <t>V1M0</t>
  </si>
  <si>
    <t>VG3U</t>
  </si>
  <si>
    <t>V7NT</t>
  </si>
  <si>
    <t>V6T6</t>
  </si>
  <si>
    <t>VL0S</t>
  </si>
  <si>
    <t>V6ER</t>
  </si>
  <si>
    <t>V0CX</t>
  </si>
  <si>
    <t>VVT5</t>
  </si>
  <si>
    <t>VTKX</t>
  </si>
  <si>
    <t>VYZG</t>
  </si>
  <si>
    <t>VYAB</t>
  </si>
  <si>
    <t>V5M3</t>
  </si>
  <si>
    <t>VA3X</t>
  </si>
  <si>
    <t>VC07</t>
  </si>
  <si>
    <t>VDJI</t>
  </si>
  <si>
    <t>VGLF</t>
  </si>
  <si>
    <t>VPVX</t>
  </si>
  <si>
    <t>VC30</t>
  </si>
  <si>
    <t>V9OM</t>
  </si>
  <si>
    <t>VW4K</t>
  </si>
  <si>
    <t>V86Q</t>
  </si>
  <si>
    <t>V9FO</t>
  </si>
  <si>
    <t>VHTQ</t>
  </si>
  <si>
    <t>VV52</t>
  </si>
  <si>
    <t>VUSS</t>
  </si>
  <si>
    <t>VUW8</t>
  </si>
  <si>
    <t>VLSG</t>
  </si>
  <si>
    <t>VG6N</t>
  </si>
  <si>
    <t>VYZD</t>
  </si>
  <si>
    <t>VYYR</t>
  </si>
  <si>
    <t>V5EQ</t>
  </si>
  <si>
    <t>V6MC</t>
  </si>
  <si>
    <t>V9EW</t>
  </si>
  <si>
    <t>VDU3</t>
  </si>
  <si>
    <t>VI0D</t>
  </si>
  <si>
    <t>V23C</t>
  </si>
  <si>
    <t>VK65</t>
  </si>
  <si>
    <t>V5XI</t>
  </si>
  <si>
    <t>VFS7</t>
  </si>
  <si>
    <t>VU9T</t>
  </si>
  <si>
    <t>VL6Y</t>
  </si>
  <si>
    <t>VR76</t>
  </si>
  <si>
    <t>VMW0</t>
  </si>
  <si>
    <t>V7HG</t>
  </si>
  <si>
    <t>VWHZ</t>
  </si>
  <si>
    <t>VF1N</t>
  </si>
  <si>
    <t>VMFR</t>
  </si>
  <si>
    <t>VG6E</t>
  </si>
  <si>
    <t>VHPY</t>
  </si>
  <si>
    <t>V78Y</t>
  </si>
  <si>
    <t>VK46</t>
  </si>
  <si>
    <t>VRXU</t>
  </si>
  <si>
    <t>VYDX</t>
  </si>
  <si>
    <t>VY68</t>
  </si>
  <si>
    <t>VAHU</t>
  </si>
  <si>
    <t>VOUD</t>
  </si>
  <si>
    <t>VCFP</t>
  </si>
  <si>
    <t>VMSR</t>
  </si>
  <si>
    <t>VDSC</t>
  </si>
  <si>
    <t>VC0S</t>
  </si>
  <si>
    <t>VOHV</t>
  </si>
  <si>
    <t>V6CP</t>
  </si>
  <si>
    <t>VOIW</t>
  </si>
  <si>
    <t>VZZ9</t>
  </si>
  <si>
    <t>V2SN</t>
  </si>
  <si>
    <t>V2IF</t>
  </si>
  <si>
    <t>V0UI</t>
  </si>
  <si>
    <t>V7XP</t>
  </si>
  <si>
    <t>VX79</t>
  </si>
  <si>
    <t>V5ZA</t>
  </si>
  <si>
    <t>VMLG</t>
  </si>
  <si>
    <t>V4BB</t>
  </si>
  <si>
    <t>V0JU</t>
  </si>
  <si>
    <t>VKG5</t>
  </si>
  <si>
    <t>V4QU</t>
  </si>
  <si>
    <t>VPRJ</t>
  </si>
  <si>
    <t>V9F9</t>
  </si>
  <si>
    <t>VZ0N</t>
  </si>
  <si>
    <t>VIR4</t>
  </si>
  <si>
    <t>VPLU</t>
  </si>
  <si>
    <t>VGDF</t>
  </si>
  <si>
    <t>VUOZ</t>
  </si>
  <si>
    <t>VC1L</t>
  </si>
  <si>
    <t>V5IV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</si>
</sst>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m/d/yyyy"/>
    <numFmt numFmtId="165" formatCode="M/d/yyyy"/>
    <numFmt numFmtId="166" formatCode="d/m/yyyy"/>
  </numFmts>
  <fonts count="81">
    <font>
      <sz val="10.0"/>
      <color rgb="FF000000"/>
      <name val="Arial"/>
      <scheme val="minor"/>
    </font>
    <font>
      <b/>
      <color theme="1"/>
      <name val="Arial"/>
    </font>
    <font>
      <sz val="12.0"/>
      <color theme="1"/>
      <name val="Arial"/>
      <scheme val="minor"/>
    </font>
    <font>
      <color theme="1"/>
      <name val="Arial"/>
    </font>
    <font>
      <sz val="11.0"/>
      <color rgb="FF20252D"/>
      <name val="Nunito"/>
    </font>
    <font>
      <color theme="1"/>
      <name val="Arial"/>
      <scheme val="minor"/>
    </font>
    <font>
      <sz val="11.0"/>
      <color theme="1"/>
      <name val="Arial"/>
      <scheme val="minor"/>
    </font>
    <font>
      <sz val="11.0"/>
      <color theme="1"/>
      <name val="Arial"/>
    </font>
    <font>
      <sz val="11.0"/>
      <color rgb="FF000000"/>
      <name val="Calibri"/>
    </font>
    <font>
      <sz val="11.0"/>
      <color theme="1"/>
      <name val="Calibri"/>
    </font>
    <font>
      <sz val="12.0"/>
      <color theme="1"/>
      <name val="Aptos Narrow"/>
    </font>
    <font>
      <sz val="12.0"/>
      <color rgb="FF000000"/>
      <name val="&quot;Aptos Narrow&quot;"/>
    </font>
    <font>
      <u/>
      <color rgb="FF0000FF"/>
    </font>
    <font>
      <u/>
      <color rgb="FF0000FF"/>
    </font>
    <font>
      <b/>
      <sz val="12.0"/>
      <color theme="1"/>
      <name val="Arial"/>
    </font>
    <font>
      <i/>
      <sz val="11.0"/>
      <color rgb="FF3C4043"/>
      <name val="Roboto"/>
    </font>
    <font>
      <sz val="12.0"/>
      <color theme="1"/>
      <name val="Arial"/>
    </font>
    <font>
      <sz val="11.0"/>
      <color rgb="FF3C4043"/>
      <name val="Roboto"/>
    </font>
    <font>
      <sz val="11.0"/>
      <color rgb="FF20252D"/>
      <name val="Roboto"/>
    </font>
    <font>
      <sz val="11.0"/>
      <color rgb="FF222222"/>
      <name val="Arial"/>
    </font>
    <font>
      <color rgb="FF222222"/>
      <name val="Arial"/>
    </font>
    <font>
      <sz val="12.0"/>
      <color rgb="FF000000"/>
      <name val="Calibri"/>
    </font>
    <font>
      <sz val="11.0"/>
      <color rgb="FF000000"/>
      <name val="Arial"/>
    </font>
    <font>
      <sz val="11.0"/>
      <color rgb="FF000000"/>
      <name val="Arial"/>
      <scheme val="minor"/>
    </font>
    <font>
      <color rgb="FF000000"/>
      <name val="Arial"/>
      <scheme val="minor"/>
    </font>
    <font>
      <color theme="1"/>
      <name val="Nunito"/>
    </font>
    <font>
      <sz val="11.0"/>
      <color rgb="FF2A2E34"/>
      <name val="-apple-system"/>
    </font>
    <font>
      <sz val="11.0"/>
      <color rgb="FF000000"/>
      <name val="Roboto"/>
    </font>
    <font>
      <sz val="14.0"/>
      <color theme="1"/>
      <name val="Arial"/>
    </font>
    <font>
      <color rgb="FF000000"/>
      <name val="Arial"/>
    </font>
    <font>
      <sz val="18.0"/>
      <color theme="1"/>
      <name val="Arial"/>
      <scheme val="minor"/>
    </font>
    <font>
      <b/>
      <sz val="11.0"/>
      <color theme="1"/>
      <name val="Arial"/>
      <scheme val="minor"/>
    </font>
    <font>
      <u/>
      <color rgb="FF0000FF"/>
    </font>
    <font>
      <b/>
      <i/>
      <u/>
      <sz val="9.0"/>
      <color rgb="FF212322"/>
      <name val="Roboto"/>
    </font>
    <font>
      <u/>
      <color rgb="FF0000FF"/>
      <name val="Arial"/>
    </font>
    <font>
      <u/>
      <color rgb="FF0000FF"/>
    </font>
    <font>
      <u/>
      <color rgb="FF0000FF"/>
    </font>
    <font>
      <b/>
      <color theme="1"/>
      <name val="Arial"/>
      <scheme val="minor"/>
    </font>
    <font>
      <sz val="18.0"/>
      <color theme="1"/>
      <name val="Arial"/>
    </font>
    <font>
      <b/>
      <sz val="11.0"/>
      <color theme="1"/>
      <name val="Arial"/>
    </font>
    <font>
      <u/>
      <color rgb="FF1155CC"/>
      <name val="Arial"/>
    </font>
    <font>
      <u/>
      <color rgb="FF1155CC"/>
      <name val="Arial"/>
    </font>
    <font>
      <u/>
      <color rgb="FF0000FF"/>
      <name val="Arial"/>
    </font>
    <font>
      <b/>
      <sz val="13.0"/>
      <color rgb="FF000000"/>
      <name val="Calibri"/>
    </font>
    <font>
      <sz val="11.0"/>
      <color rgb="FF1F1F1F"/>
      <name val="&quot;Google Sans&quot;"/>
    </font>
    <font>
      <sz val="9.0"/>
      <color rgb="FF1F1F1F"/>
      <name val="&quot;Google Sans&quot;"/>
    </font>
    <font>
      <sz val="11.0"/>
      <color rgb="FF313131"/>
      <name val="Arial"/>
    </font>
    <font>
      <color rgb="FF313131"/>
      <name val="Arial"/>
    </font>
    <font>
      <sz val="11.0"/>
      <color rgb="FF242128"/>
      <name val="Arial"/>
    </font>
    <font>
      <sz val="11.0"/>
      <color theme="1"/>
      <name val="Aptos Narrow"/>
    </font>
    <font>
      <sz val="12.0"/>
      <color rgb="FF000000"/>
      <name val="Arial"/>
    </font>
    <font>
      <sz val="16.0"/>
      <color rgb="FF000000"/>
      <name val="&quot;Calibri Light&quot;"/>
    </font>
    <font>
      <sz val="16.0"/>
      <color rgb="FF000000"/>
      <name val="Arial"/>
    </font>
    <font>
      <sz val="8.0"/>
      <color theme="1"/>
      <name val="Arial"/>
    </font>
    <font>
      <b/>
      <sz val="9.0"/>
      <color theme="1"/>
      <name val="Aptos Narrow"/>
    </font>
    <font>
      <sz val="11.0"/>
      <color theme="1"/>
      <name val="&quot;Aptos Narrow&quot;"/>
    </font>
    <font>
      <u/>
      <sz val="11.0"/>
      <color rgb="FF0000FF"/>
    </font>
    <font>
      <b/>
      <sz val="11.0"/>
      <color rgb="FF222222"/>
      <name val="Arial"/>
    </font>
    <font>
      <b/>
      <color rgb="FF222222"/>
      <name val="Arial"/>
    </font>
    <font>
      <b/>
      <sz val="11.0"/>
      <color rgb="FF000000"/>
      <name val="Calibri"/>
    </font>
    <font>
      <sz val="12.0"/>
      <color theme="1"/>
      <name val="Calibri"/>
    </font>
    <font>
      <u/>
      <color rgb="FF0000FF"/>
    </font>
    <font>
      <sz val="11.0"/>
      <color rgb="FF000000"/>
      <name val="&quot;Aptos Narrow&quot;"/>
    </font>
    <font>
      <sz val="9.0"/>
      <color theme="1"/>
      <name val="Calibri"/>
    </font>
    <font>
      <b/>
      <sz val="12.0"/>
      <color theme="1"/>
      <name val="Arial"/>
      <scheme val="minor"/>
    </font>
    <font>
      <b/>
      <color rgb="FF37455B"/>
      <name val="Nunito"/>
    </font>
    <font>
      <u/>
      <sz val="11.0"/>
      <color rgb="FF1155CC"/>
      <name val="Arial"/>
    </font>
    <font>
      <u/>
      <sz val="11.0"/>
      <color rgb="FF1155CC"/>
      <name val="Arial"/>
    </font>
    <font>
      <u/>
      <color rgb="FF1155CC"/>
      <name val="Arial"/>
    </font>
    <font>
      <u/>
      <sz val="11.0"/>
      <color rgb="FF1155CC"/>
      <name val="Arial"/>
    </font>
    <font>
      <u/>
      <color rgb="FF1155CC"/>
      <name val="Arial"/>
    </font>
    <font>
      <u/>
      <color rgb="FF1155CC"/>
      <name val="Arial"/>
    </font>
    <font>
      <color theme="0"/>
      <name val="Arial"/>
      <scheme val="minor"/>
    </font>
    <font>
      <sz val="11.0"/>
      <color theme="1"/>
      <name val="-apple-system"/>
    </font>
    <font>
      <color rgb="FF000000"/>
      <name val="Montserrat"/>
    </font>
    <font>
      <u/>
      <color rgb="FF0000FF"/>
    </font>
    <font>
      <u/>
      <color rgb="FF1155CC"/>
      <name val="Arial"/>
    </font>
    <font>
      <sz val="11.0"/>
      <color rgb="FF222222"/>
      <name val="Miui"/>
    </font>
    <font>
      <color rgb="FFFFFFFF"/>
      <name val="Arial"/>
      <scheme val="minor"/>
    </font>
    <font>
      <b/>
      <sz val="12.0"/>
      <color rgb="FF000000"/>
      <name val="Arial"/>
    </font>
    <font>
      <b/>
      <sz val="11.0"/>
      <color rgb="FF000000"/>
      <name val="Arial"/>
    </font>
  </fonts>
  <fills count="32">
    <fill>
      <patternFill patternType="none"/>
    </fill>
    <fill>
      <patternFill patternType="lightGray"/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B7B7B7"/>
        <bgColor rgb="FFB7B7B7"/>
      </patternFill>
    </fill>
    <fill>
      <patternFill patternType="solid">
        <fgColor rgb="FFD9EAD3"/>
        <bgColor rgb="FFD9EAD3"/>
      </patternFill>
    </fill>
    <fill>
      <patternFill patternType="solid">
        <fgColor rgb="FF999999"/>
        <bgColor rgb="FF999999"/>
      </patternFill>
    </fill>
    <fill>
      <patternFill patternType="solid">
        <fgColor rgb="FFCCCCCC"/>
        <bgColor rgb="FFCCCCCC"/>
      </patternFill>
    </fill>
    <fill>
      <patternFill patternType="solid">
        <fgColor rgb="FFFFE599"/>
        <bgColor rgb="FFFFE599"/>
      </patternFill>
    </fill>
    <fill>
      <patternFill patternType="solid">
        <fgColor rgb="FF00FF00"/>
        <bgColor rgb="FF00FF00"/>
      </patternFill>
    </fill>
    <fill>
      <patternFill patternType="solid">
        <fgColor rgb="FFFBBC04"/>
        <bgColor rgb="FFFBBC04"/>
      </patternFill>
    </fill>
    <fill>
      <patternFill patternType="solid">
        <fgColor rgb="FFFF0000"/>
        <bgColor rgb="FFFF0000"/>
      </patternFill>
    </fill>
    <fill>
      <patternFill patternType="solid">
        <fgColor rgb="FFFFFF00"/>
        <bgColor rgb="FFFFFF00"/>
      </patternFill>
    </fill>
    <fill>
      <patternFill patternType="solid">
        <fgColor theme="6"/>
        <bgColor theme="6"/>
      </patternFill>
    </fill>
    <fill>
      <patternFill patternType="solid">
        <fgColor rgb="FFFFD966"/>
        <bgColor rgb="FFFFD966"/>
      </patternFill>
    </fill>
    <fill>
      <patternFill patternType="solid">
        <fgColor rgb="FFB6D7A8"/>
        <bgColor rgb="FFB6D7A8"/>
      </patternFill>
    </fill>
    <fill>
      <patternFill patternType="solid">
        <fgColor rgb="FFF2F6F8"/>
        <bgColor rgb="FFF2F6F8"/>
      </patternFill>
    </fill>
    <fill>
      <patternFill patternType="solid">
        <fgColor rgb="FFF9F9F9"/>
        <bgColor rgb="FFF9F9F9"/>
      </patternFill>
    </fill>
    <fill>
      <patternFill patternType="solid">
        <fgColor rgb="FFF4CCCC"/>
        <bgColor rgb="FFF4CCCC"/>
      </patternFill>
    </fill>
    <fill>
      <patternFill patternType="solid">
        <fgColor rgb="FFC9DAF8"/>
        <bgColor rgb="FFC9DAF8"/>
      </patternFill>
    </fill>
    <fill>
      <patternFill patternType="solid">
        <fgColor rgb="FFEA9999"/>
        <bgColor rgb="FFEA9999"/>
      </patternFill>
    </fill>
    <fill>
      <patternFill patternType="solid">
        <fgColor rgb="FFE06666"/>
        <bgColor rgb="FFE06666"/>
      </patternFill>
    </fill>
    <fill>
      <patternFill patternType="solid">
        <fgColor rgb="FFF9F8FA"/>
        <bgColor rgb="FFF9F8FA"/>
      </patternFill>
    </fill>
    <fill>
      <patternFill patternType="solid">
        <fgColor rgb="FFF1C232"/>
        <bgColor rgb="FFF1C232"/>
      </patternFill>
    </fill>
    <fill>
      <patternFill patternType="solid">
        <fgColor rgb="FFF3F3F3"/>
        <bgColor rgb="FFF3F3F3"/>
      </patternFill>
    </fill>
    <fill>
      <patternFill patternType="solid">
        <fgColor rgb="FFFCE5CD"/>
        <bgColor rgb="FFFCE5CD"/>
      </patternFill>
    </fill>
    <fill>
      <patternFill patternType="solid">
        <fgColor rgb="FFD9D9D9"/>
        <bgColor rgb="FFD9D9D9"/>
      </patternFill>
    </fill>
    <fill>
      <patternFill patternType="solid">
        <fgColor rgb="FF6AA84F"/>
        <bgColor rgb="FF6AA84F"/>
      </patternFill>
    </fill>
    <fill>
      <patternFill patternType="solid">
        <fgColor rgb="FF00FFFF"/>
        <bgColor rgb="FF00FFFF"/>
      </patternFill>
    </fill>
    <fill>
      <patternFill patternType="solid">
        <fgColor rgb="FF93C47D"/>
        <bgColor rgb="FF93C47D"/>
      </patternFill>
    </fill>
    <fill>
      <patternFill patternType="solid">
        <fgColor theme="0"/>
        <bgColor theme="0"/>
      </patternFill>
    </fill>
    <fill>
      <patternFill patternType="solid">
        <fgColor rgb="FF000000"/>
        <bgColor rgb="FF000000"/>
      </patternFill>
    </fill>
  </fills>
  <borders count="13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DADCE0"/>
      </left>
      <right style="thin">
        <color rgb="FFDADCE0"/>
      </right>
      <top style="thin">
        <color rgb="FFDADCE0"/>
      </top>
      <bottom style="thin">
        <color rgb="FFDADCE0"/>
      </bottom>
    </border>
    <border>
      <top style="thin">
        <color rgb="FFC1C5CD"/>
      </top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D2D2DF"/>
      </left>
      <right style="thin">
        <color rgb="FFD2D2DF"/>
      </right>
      <top style="thin">
        <color rgb="FFD2D2DF"/>
      </top>
      <bottom style="thin">
        <color rgb="FFD2D2DF"/>
      </bottom>
    </border>
    <border>
      <left style="thin">
        <color rgb="FFDADCE0"/>
      </left>
      <top style="thin">
        <color rgb="FFDADCE0"/>
      </top>
      <bottom style="thin">
        <color rgb="FFDADCE0"/>
      </bottom>
    </border>
    <border>
      <left style="thin">
        <color rgb="FF000000"/>
      </left>
      <bottom style="thin">
        <color rgb="FF000000"/>
      </bottom>
    </border>
    <border>
      <top style="thin">
        <color rgb="FF000000"/>
      </top>
    </border>
  </borders>
  <cellStyleXfs count="1">
    <xf borderId="0" fillId="0" fontId="0" numFmtId="0" applyAlignment="1" applyFont="1"/>
  </cellStyleXfs>
  <cellXfs count="773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bottom"/>
    </xf>
    <xf borderId="0" fillId="2" fontId="2" numFmtId="0" xfId="0" applyAlignment="1" applyFill="1" applyFont="1">
      <alignment readingOrder="0"/>
    </xf>
    <xf borderId="1" fillId="0" fontId="3" numFmtId="0" xfId="0" applyAlignment="1" applyBorder="1" applyFont="1">
      <alignment horizontal="center" vertical="bottom"/>
    </xf>
    <xf borderId="1" fillId="0" fontId="3" numFmtId="0" xfId="0" applyAlignment="1" applyBorder="1" applyFont="1">
      <alignment horizontal="center" vertical="bottom"/>
    </xf>
    <xf borderId="0" fillId="0" fontId="3" numFmtId="0" xfId="0" applyAlignment="1" applyFont="1">
      <alignment horizontal="center" vertical="bottom"/>
    </xf>
    <xf borderId="1" fillId="3" fontId="4" numFmtId="0" xfId="0" applyAlignment="1" applyBorder="1" applyFill="1" applyFont="1">
      <alignment horizontal="center" vertical="bottom"/>
    </xf>
    <xf borderId="0" fillId="0" fontId="3" numFmtId="0" xfId="0" applyAlignment="1" applyFont="1">
      <alignment vertical="bottom"/>
    </xf>
    <xf borderId="0" fillId="0" fontId="3" numFmtId="0" xfId="0" applyAlignment="1" applyFont="1">
      <alignment horizontal="center" vertical="bottom"/>
    </xf>
    <xf borderId="0" fillId="0" fontId="5" numFmtId="0" xfId="0" applyAlignment="1" applyFont="1">
      <alignment horizontal="center" readingOrder="0"/>
    </xf>
    <xf borderId="0" fillId="0" fontId="5" numFmtId="0" xfId="0" applyAlignment="1" applyFont="1">
      <alignment horizontal="center"/>
    </xf>
    <xf borderId="0" fillId="0" fontId="5" numFmtId="0" xfId="0" applyAlignment="1" applyFont="1">
      <alignment readingOrder="0"/>
    </xf>
    <xf borderId="0" fillId="4" fontId="6" numFmtId="0" xfId="0" applyAlignment="1" applyFill="1" applyFont="1">
      <alignment horizontal="left" readingOrder="0"/>
    </xf>
    <xf borderId="0" fillId="5" fontId="5" numFmtId="0" xfId="0" applyAlignment="1" applyFill="1" applyFont="1">
      <alignment readingOrder="0"/>
    </xf>
    <xf borderId="0" fillId="5" fontId="5" numFmtId="0" xfId="0" applyFont="1"/>
    <xf borderId="0" fillId="0" fontId="3" numFmtId="4" xfId="0" applyAlignment="1" applyFont="1" applyNumberFormat="1">
      <alignment horizontal="right" vertical="bottom"/>
    </xf>
    <xf borderId="0" fillId="3" fontId="4" numFmtId="0" xfId="0" applyAlignment="1" applyFont="1">
      <alignment readingOrder="0"/>
    </xf>
    <xf borderId="0" fillId="0" fontId="3" numFmtId="0" xfId="0" applyAlignment="1" applyFont="1">
      <alignment horizontal="center" readingOrder="0" vertical="bottom"/>
    </xf>
    <xf borderId="0" fillId="0" fontId="5" numFmtId="0" xfId="0" applyFont="1"/>
    <xf borderId="0" fillId="4" fontId="7" numFmtId="0" xfId="0" applyAlignment="1" applyFont="1">
      <alignment horizontal="left" readingOrder="0" vertical="bottom"/>
    </xf>
    <xf borderId="0" fillId="4" fontId="7" numFmtId="0" xfId="0" applyAlignment="1" applyFont="1">
      <alignment horizontal="center" readingOrder="0" vertical="bottom"/>
    </xf>
    <xf borderId="0" fillId="0" fontId="8" numFmtId="0" xfId="0" applyAlignment="1" applyFont="1">
      <alignment readingOrder="0" shrinkToFit="0" vertical="bottom" wrapText="0"/>
    </xf>
    <xf borderId="0" fillId="6" fontId="5" numFmtId="0" xfId="0" applyAlignment="1" applyFill="1" applyFont="1">
      <alignment readingOrder="0"/>
    </xf>
    <xf borderId="0" fillId="6" fontId="5" numFmtId="0" xfId="0" applyAlignment="1" applyFont="1">
      <alignment horizontal="right" readingOrder="0"/>
    </xf>
    <xf borderId="0" fillId="3" fontId="8" numFmtId="0" xfId="0" applyAlignment="1" applyFont="1">
      <alignment horizontal="left" readingOrder="0"/>
    </xf>
    <xf borderId="0" fillId="3" fontId="6" numFmtId="0" xfId="0" applyAlignment="1" applyFont="1">
      <alignment horizontal="left" readingOrder="0"/>
    </xf>
    <xf borderId="0" fillId="0" fontId="5" numFmtId="9" xfId="0" applyAlignment="1" applyFont="1" applyNumberFormat="1">
      <alignment horizontal="center" readingOrder="0"/>
    </xf>
    <xf borderId="0" fillId="3" fontId="9" numFmtId="0" xfId="0" applyAlignment="1" applyFont="1">
      <alignment horizontal="center" readingOrder="0" vertical="bottom"/>
    </xf>
    <xf borderId="0" fillId="3" fontId="9" numFmtId="164" xfId="0" applyAlignment="1" applyFont="1" applyNumberFormat="1">
      <alignment horizontal="center" readingOrder="0" vertical="bottom"/>
    </xf>
    <xf borderId="0" fillId="0" fontId="10" numFmtId="0" xfId="0" applyAlignment="1" applyFont="1">
      <alignment horizontal="right" vertical="bottom"/>
    </xf>
    <xf borderId="0" fillId="0" fontId="8" numFmtId="0" xfId="0" applyAlignment="1" applyFont="1">
      <alignment readingOrder="0"/>
    </xf>
    <xf borderId="0" fillId="3" fontId="9" numFmtId="9" xfId="0" applyAlignment="1" applyFont="1" applyNumberFormat="1">
      <alignment horizontal="center" readingOrder="0" vertical="bottom"/>
    </xf>
    <xf borderId="0" fillId="3" fontId="8" numFmtId="0" xfId="0" applyAlignment="1" applyFont="1">
      <alignment readingOrder="0"/>
    </xf>
    <xf borderId="0" fillId="0" fontId="11" numFmtId="0" xfId="0" applyAlignment="1" applyFont="1">
      <alignment horizontal="left" readingOrder="0" shrinkToFit="0" vertical="bottom" wrapText="0"/>
    </xf>
    <xf borderId="0" fillId="2" fontId="8" numFmtId="0" xfId="0" applyAlignment="1" applyFont="1">
      <alignment readingOrder="0"/>
    </xf>
    <xf borderId="0" fillId="2" fontId="5" numFmtId="0" xfId="0" applyAlignment="1" applyFont="1">
      <alignment readingOrder="0"/>
    </xf>
    <xf borderId="0" fillId="2" fontId="5" numFmtId="0" xfId="0" applyFont="1"/>
    <xf borderId="0" fillId="3" fontId="5" numFmtId="0" xfId="0" applyAlignment="1" applyFont="1">
      <alignment readingOrder="0"/>
    </xf>
    <xf borderId="0" fillId="3" fontId="6" numFmtId="9" xfId="0" applyAlignment="1" applyFont="1" applyNumberFormat="1">
      <alignment horizontal="center" readingOrder="0"/>
    </xf>
    <xf borderId="0" fillId="0" fontId="10" numFmtId="0" xfId="0" applyAlignment="1" applyFont="1">
      <alignment horizontal="right" vertical="bottom"/>
    </xf>
    <xf borderId="0" fillId="0" fontId="8" numFmtId="0" xfId="0" applyAlignment="1" applyFont="1">
      <alignment shrinkToFit="0" vertical="bottom" wrapText="0"/>
    </xf>
    <xf borderId="0" fillId="0" fontId="11" numFmtId="0" xfId="0" applyAlignment="1" applyFont="1">
      <alignment shrinkToFit="0" vertical="bottom" wrapText="0"/>
    </xf>
    <xf borderId="0" fillId="3" fontId="4" numFmtId="0" xfId="0" applyAlignment="1" applyFont="1">
      <alignment horizontal="left" readingOrder="0"/>
    </xf>
    <xf borderId="0" fillId="2" fontId="4" numFmtId="0" xfId="0" applyAlignment="1" applyFont="1">
      <alignment readingOrder="0"/>
    </xf>
    <xf borderId="0" fillId="3" fontId="9" numFmtId="0" xfId="0" applyAlignment="1" applyFont="1">
      <alignment horizontal="left" readingOrder="0" vertical="bottom"/>
    </xf>
    <xf borderId="0" fillId="3" fontId="5" numFmtId="0" xfId="0" applyFont="1"/>
    <xf borderId="0" fillId="7" fontId="5" numFmtId="0" xfId="0" applyFill="1" applyFont="1"/>
    <xf borderId="0" fillId="7" fontId="11" numFmtId="0" xfId="0" applyAlignment="1" applyFont="1">
      <alignment shrinkToFit="0" vertical="bottom" wrapText="0"/>
    </xf>
    <xf borderId="0" fillId="0" fontId="12" numFmtId="0" xfId="0" applyAlignment="1" applyFont="1">
      <alignment readingOrder="0"/>
    </xf>
    <xf borderId="0" fillId="0" fontId="13" numFmtId="0" xfId="0" applyAlignment="1" applyFont="1">
      <alignment readingOrder="0"/>
    </xf>
    <xf borderId="0" fillId="0" fontId="5" numFmtId="164" xfId="0" applyAlignment="1" applyFont="1" applyNumberFormat="1">
      <alignment horizontal="center" readingOrder="0"/>
    </xf>
    <xf borderId="0" fillId="3" fontId="3" numFmtId="0" xfId="0" applyAlignment="1" applyFont="1">
      <alignment horizontal="center" vertical="bottom"/>
    </xf>
    <xf borderId="0" fillId="3" fontId="5" numFmtId="0" xfId="0" applyAlignment="1" applyFont="1">
      <alignment horizontal="center"/>
    </xf>
    <xf borderId="0" fillId="3" fontId="5" numFmtId="0" xfId="0" applyAlignment="1" applyFont="1">
      <alignment horizontal="center" readingOrder="0"/>
    </xf>
    <xf borderId="0" fillId="0" fontId="3" numFmtId="9" xfId="0" applyAlignment="1" applyFont="1" applyNumberFormat="1">
      <alignment horizontal="center" vertical="bottom"/>
    </xf>
    <xf borderId="0" fillId="3" fontId="3" numFmtId="0" xfId="0" applyAlignment="1" applyFont="1">
      <alignment horizontal="center" readingOrder="0" vertical="bottom"/>
    </xf>
    <xf borderId="0" fillId="7" fontId="6" numFmtId="0" xfId="0" applyAlignment="1" applyFont="1">
      <alignment horizontal="left" readingOrder="0"/>
    </xf>
    <xf borderId="0" fillId="3" fontId="7" numFmtId="0" xfId="0" applyAlignment="1" applyFont="1">
      <alignment horizontal="left" readingOrder="0" vertical="bottom"/>
    </xf>
    <xf borderId="0" fillId="3" fontId="14" numFmtId="0" xfId="0" applyAlignment="1" applyFont="1">
      <alignment horizontal="center" readingOrder="0" vertical="bottom"/>
    </xf>
    <xf borderId="0" fillId="0" fontId="5" numFmtId="164" xfId="0" applyAlignment="1" applyFont="1" applyNumberFormat="1">
      <alignment readingOrder="0"/>
    </xf>
    <xf borderId="0" fillId="0" fontId="5" numFmtId="0" xfId="0" applyAlignment="1" applyFont="1">
      <alignment horizontal="left" readingOrder="0"/>
    </xf>
    <xf borderId="0" fillId="3" fontId="15" numFmtId="0" xfId="0" applyAlignment="1" applyFont="1">
      <alignment horizontal="left" readingOrder="0"/>
    </xf>
    <xf borderId="0" fillId="3" fontId="9" numFmtId="9" xfId="0" applyAlignment="1" applyFont="1" applyNumberFormat="1">
      <alignment horizontal="left" readingOrder="0" vertical="bottom"/>
    </xf>
    <xf borderId="0" fillId="3" fontId="3" numFmtId="9" xfId="0" applyAlignment="1" applyFont="1" applyNumberFormat="1">
      <alignment readingOrder="0" vertical="bottom"/>
    </xf>
    <xf borderId="0" fillId="3" fontId="3" numFmtId="0" xfId="0" applyAlignment="1" applyFont="1">
      <alignment horizontal="right" readingOrder="0" vertical="bottom"/>
    </xf>
    <xf borderId="0" fillId="0" fontId="3" numFmtId="0" xfId="0" applyAlignment="1" applyFont="1">
      <alignment vertical="bottom"/>
    </xf>
    <xf borderId="0" fillId="0" fontId="3" numFmtId="0" xfId="0" applyAlignment="1" applyFont="1">
      <alignment horizontal="right" vertical="bottom"/>
    </xf>
    <xf borderId="0" fillId="3" fontId="7" numFmtId="0" xfId="0" applyAlignment="1" applyFont="1">
      <alignment horizontal="left" vertical="bottom"/>
    </xf>
    <xf borderId="0" fillId="8" fontId="15" numFmtId="0" xfId="0" applyAlignment="1" applyFill="1" applyFont="1">
      <alignment vertical="bottom"/>
    </xf>
    <xf borderId="0" fillId="8" fontId="3" numFmtId="0" xfId="0" applyAlignment="1" applyFont="1">
      <alignment horizontal="right" vertical="bottom"/>
    </xf>
    <xf borderId="0" fillId="8" fontId="3" numFmtId="0" xfId="0" applyAlignment="1" applyFont="1">
      <alignment horizontal="center" vertical="bottom"/>
    </xf>
    <xf borderId="0" fillId="0" fontId="3" numFmtId="165" xfId="0" applyAlignment="1" applyFont="1" applyNumberFormat="1">
      <alignment vertical="bottom"/>
    </xf>
    <xf borderId="0" fillId="3" fontId="3" numFmtId="0" xfId="0" applyAlignment="1" applyFont="1">
      <alignment horizontal="right" vertical="bottom"/>
    </xf>
    <xf borderId="0" fillId="8" fontId="3" numFmtId="0" xfId="0" applyAlignment="1" applyFont="1">
      <alignment vertical="bottom"/>
    </xf>
    <xf borderId="0" fillId="0" fontId="5" numFmtId="9" xfId="0" applyAlignment="1" applyFont="1" applyNumberFormat="1">
      <alignment readingOrder="0"/>
    </xf>
    <xf borderId="0" fillId="0" fontId="10" numFmtId="9" xfId="0" applyAlignment="1" applyFont="1" applyNumberFormat="1">
      <alignment readingOrder="0" vertical="bottom"/>
    </xf>
    <xf borderId="0" fillId="0" fontId="5" numFmtId="10" xfId="0" applyAlignment="1" applyFont="1" applyNumberFormat="1">
      <alignment readingOrder="0"/>
    </xf>
    <xf borderId="0" fillId="0" fontId="10" numFmtId="10" xfId="0" applyAlignment="1" applyFont="1" applyNumberFormat="1">
      <alignment readingOrder="0" vertical="bottom"/>
    </xf>
    <xf borderId="0" fillId="3" fontId="6" numFmtId="0" xfId="0" applyAlignment="1" applyFont="1">
      <alignment horizontal="left"/>
    </xf>
    <xf borderId="1" fillId="3" fontId="4" numFmtId="0" xfId="0" applyAlignment="1" applyBorder="1" applyFont="1">
      <alignment horizontal="left" readingOrder="0"/>
    </xf>
    <xf borderId="1" fillId="3" fontId="4" numFmtId="0" xfId="0" applyAlignment="1" applyBorder="1" applyFont="1">
      <alignment horizontal="right" vertical="bottom"/>
    </xf>
    <xf borderId="0" fillId="0" fontId="8" numFmtId="0" xfId="0" applyAlignment="1" applyFont="1">
      <alignment horizontal="right" readingOrder="0" shrinkToFit="0" vertical="bottom" wrapText="0"/>
    </xf>
    <xf borderId="0" fillId="3" fontId="4" numFmtId="0" xfId="0" applyAlignment="1" applyFont="1">
      <alignment horizontal="right" vertical="bottom"/>
    </xf>
    <xf borderId="0" fillId="0" fontId="5" numFmtId="10" xfId="0" applyAlignment="1" applyFont="1" applyNumberFormat="1">
      <alignment horizontal="center" readingOrder="0"/>
    </xf>
    <xf borderId="0" fillId="0" fontId="3" numFmtId="0" xfId="0" applyAlignment="1" applyFont="1">
      <alignment horizontal="right" vertical="bottom"/>
    </xf>
    <xf borderId="0" fillId="9" fontId="3" numFmtId="0" xfId="0" applyAlignment="1" applyFill="1" applyFont="1">
      <alignment vertical="bottom"/>
    </xf>
    <xf borderId="0" fillId="9" fontId="5" numFmtId="0" xfId="0" applyFont="1"/>
    <xf borderId="0" fillId="0" fontId="5" numFmtId="0" xfId="0" applyFont="1"/>
    <xf borderId="0" fillId="0" fontId="5" numFmtId="0" xfId="0" applyFont="1"/>
    <xf borderId="1" fillId="0" fontId="3" numFmtId="0" xfId="0" applyAlignment="1" applyBorder="1" applyFont="1">
      <alignment horizontal="center"/>
    </xf>
    <xf borderId="1" fillId="4" fontId="7" numFmtId="0" xfId="0" applyAlignment="1" applyBorder="1" applyFont="1">
      <alignment horizontal="left" readingOrder="0" vertical="bottom"/>
    </xf>
    <xf borderId="1" fillId="4" fontId="7" numFmtId="0" xfId="0" applyAlignment="1" applyBorder="1" applyFont="1">
      <alignment horizontal="left" vertical="bottom"/>
    </xf>
    <xf borderId="1" fillId="10" fontId="3" numFmtId="0" xfId="0" applyAlignment="1" applyBorder="1" applyFill="1" applyFont="1">
      <alignment vertical="bottom"/>
    </xf>
    <xf borderId="2" fillId="3" fontId="6" numFmtId="0" xfId="0" applyAlignment="1" applyBorder="1" applyFont="1">
      <alignment horizontal="left" readingOrder="0"/>
    </xf>
    <xf borderId="0" fillId="0" fontId="9" numFmtId="9" xfId="0" applyAlignment="1" applyFont="1" applyNumberFormat="1">
      <alignment horizontal="left" readingOrder="0" vertical="bottom"/>
    </xf>
    <xf borderId="0" fillId="0" fontId="3" numFmtId="9" xfId="0" applyAlignment="1" applyFont="1" applyNumberFormat="1">
      <alignment readingOrder="0" vertical="bottom"/>
    </xf>
    <xf borderId="0" fillId="0" fontId="10" numFmtId="164" xfId="0" applyAlignment="1" applyFont="1" applyNumberFormat="1">
      <alignment horizontal="right" readingOrder="0" vertical="bottom"/>
    </xf>
    <xf borderId="1" fillId="0" fontId="5" numFmtId="0" xfId="0" applyAlignment="1" applyBorder="1" applyFont="1">
      <alignment readingOrder="0"/>
    </xf>
    <xf borderId="1" fillId="2" fontId="5" numFmtId="0" xfId="0" applyAlignment="1" applyBorder="1" applyFont="1">
      <alignment readingOrder="0"/>
    </xf>
    <xf borderId="0" fillId="0" fontId="3" numFmtId="10" xfId="0" applyAlignment="1" applyFont="1" applyNumberFormat="1">
      <alignment readingOrder="0" vertical="bottom"/>
    </xf>
    <xf borderId="0" fillId="3" fontId="16" numFmtId="10" xfId="0" applyAlignment="1" applyFont="1" applyNumberFormat="1">
      <alignment readingOrder="0" vertical="bottom"/>
    </xf>
    <xf borderId="0" fillId="3" fontId="7" numFmtId="0" xfId="0" applyAlignment="1" applyFont="1">
      <alignment horizontal="left" vertical="bottom"/>
    </xf>
    <xf borderId="1" fillId="2" fontId="3" numFmtId="0" xfId="0" applyAlignment="1" applyBorder="1" applyFont="1">
      <alignment vertical="bottom"/>
    </xf>
    <xf borderId="0" fillId="0" fontId="8" numFmtId="10" xfId="0" applyAlignment="1" applyFont="1" applyNumberFormat="1">
      <alignment readingOrder="0" shrinkToFit="0" vertical="bottom" wrapText="0"/>
    </xf>
    <xf borderId="1" fillId="0" fontId="3" numFmtId="0" xfId="0" applyAlignment="1" applyBorder="1" applyFont="1">
      <alignment vertical="bottom"/>
    </xf>
    <xf borderId="0" fillId="0" fontId="16" numFmtId="9" xfId="0" applyAlignment="1" applyFont="1" applyNumberFormat="1">
      <alignment readingOrder="0" vertical="bottom"/>
    </xf>
    <xf borderId="0" fillId="11" fontId="6" numFmtId="0" xfId="0" applyAlignment="1" applyFill="1" applyFont="1">
      <alignment horizontal="left" readingOrder="0"/>
    </xf>
    <xf borderId="1" fillId="12" fontId="5" numFmtId="0" xfId="0" applyAlignment="1" applyBorder="1" applyFill="1" applyFont="1">
      <alignment readingOrder="0"/>
    </xf>
    <xf borderId="1" fillId="2" fontId="3" numFmtId="0" xfId="0" applyAlignment="1" applyBorder="1" applyFont="1">
      <alignment vertical="bottom"/>
    </xf>
    <xf borderId="0" fillId="2" fontId="5" numFmtId="0" xfId="0" applyAlignment="1" applyFont="1">
      <alignment horizontal="right" readingOrder="0"/>
    </xf>
    <xf borderId="0" fillId="0" fontId="11" numFmtId="10" xfId="0" applyAlignment="1" applyFont="1" applyNumberFormat="1">
      <alignment readingOrder="0" shrinkToFit="0" vertical="bottom" wrapText="0"/>
    </xf>
    <xf borderId="0" fillId="2" fontId="5" numFmtId="0" xfId="0" applyAlignment="1" applyFont="1">
      <alignment horizontal="center" readingOrder="0"/>
    </xf>
    <xf borderId="0" fillId="3" fontId="3" numFmtId="0" xfId="0" applyAlignment="1" applyFont="1">
      <alignment readingOrder="0" vertical="bottom"/>
    </xf>
    <xf borderId="0" fillId="4" fontId="6" numFmtId="0" xfId="0" applyAlignment="1" applyFont="1">
      <alignment readingOrder="0"/>
    </xf>
    <xf borderId="0" fillId="9" fontId="3" numFmtId="0" xfId="0" applyAlignment="1" applyFont="1">
      <alignment horizontal="center" readingOrder="0" vertical="bottom"/>
    </xf>
    <xf borderId="0" fillId="13" fontId="5" numFmtId="0" xfId="0" applyAlignment="1" applyFill="1" applyFont="1">
      <alignment readingOrder="0"/>
    </xf>
    <xf borderId="0" fillId="13" fontId="5" numFmtId="0" xfId="0" applyAlignment="1" applyFont="1">
      <alignment horizontal="left" readingOrder="0"/>
    </xf>
    <xf borderId="0" fillId="3" fontId="6" numFmtId="0" xfId="0" applyAlignment="1" applyFont="1">
      <alignment readingOrder="0"/>
    </xf>
    <xf borderId="0" fillId="0" fontId="8" numFmtId="0" xfId="0" applyAlignment="1" applyFont="1">
      <alignment shrinkToFit="0" vertical="bottom" wrapText="0"/>
    </xf>
    <xf borderId="0" fillId="3" fontId="17" numFmtId="0" xfId="0" applyAlignment="1" applyFont="1">
      <alignment readingOrder="0"/>
    </xf>
    <xf borderId="3" fillId="3" fontId="6" numFmtId="0" xfId="0" applyAlignment="1" applyBorder="1" applyFont="1">
      <alignment readingOrder="0"/>
    </xf>
    <xf borderId="3" fillId="3" fontId="17" numFmtId="0" xfId="0" applyAlignment="1" applyBorder="1" applyFont="1">
      <alignment readingOrder="0"/>
    </xf>
    <xf borderId="0" fillId="3" fontId="18" numFmtId="0" xfId="0" applyAlignment="1" applyFont="1">
      <alignment readingOrder="0"/>
    </xf>
    <xf borderId="0" fillId="3" fontId="19" numFmtId="0" xfId="0" applyAlignment="1" applyFont="1">
      <alignment readingOrder="0"/>
    </xf>
    <xf borderId="0" fillId="2" fontId="18" numFmtId="0" xfId="0" applyAlignment="1" applyFont="1">
      <alignment readingOrder="0"/>
    </xf>
    <xf borderId="0" fillId="3" fontId="20" numFmtId="0" xfId="0" applyAlignment="1" applyFont="1">
      <alignment readingOrder="0"/>
    </xf>
    <xf borderId="0" fillId="0" fontId="21" numFmtId="0" xfId="0" applyAlignment="1" applyFont="1">
      <alignment horizontal="left" readingOrder="0" shrinkToFit="0" vertical="bottom" wrapText="0"/>
    </xf>
    <xf borderId="0" fillId="2" fontId="20" numFmtId="0" xfId="0" applyAlignment="1" applyFont="1">
      <alignment readingOrder="0"/>
    </xf>
    <xf borderId="0" fillId="0" fontId="16" numFmtId="0" xfId="0" applyAlignment="1" applyFont="1">
      <alignment vertical="bottom"/>
    </xf>
    <xf borderId="0" fillId="0" fontId="3" numFmtId="0" xfId="0" applyAlignment="1" applyFont="1">
      <alignment horizontal="right" readingOrder="0" vertical="bottom"/>
    </xf>
    <xf borderId="0" fillId="0" fontId="10" numFmtId="0" xfId="0" applyAlignment="1" applyFont="1">
      <alignment vertical="bottom"/>
    </xf>
    <xf borderId="0" fillId="3" fontId="6" numFmtId="0" xfId="0" applyAlignment="1" applyFont="1">
      <alignment horizontal="right" readingOrder="0"/>
    </xf>
    <xf borderId="1" fillId="3" fontId="6" numFmtId="0" xfId="0" applyAlignment="1" applyBorder="1" applyFont="1">
      <alignment readingOrder="0"/>
    </xf>
    <xf borderId="0" fillId="3" fontId="8" numFmtId="0" xfId="0" applyAlignment="1" applyFont="1">
      <alignment horizontal="right" readingOrder="0" shrinkToFit="0" vertical="bottom" wrapText="0"/>
    </xf>
    <xf borderId="0" fillId="3" fontId="6" numFmtId="0" xfId="0" applyAlignment="1" applyFont="1">
      <alignment horizontal="center" readingOrder="0"/>
    </xf>
    <xf borderId="0" fillId="2" fontId="8" numFmtId="0" xfId="0" applyAlignment="1" applyFont="1">
      <alignment horizontal="right" readingOrder="0" shrinkToFit="0" vertical="bottom" wrapText="0"/>
    </xf>
    <xf borderId="0" fillId="3" fontId="8" numFmtId="0" xfId="0" applyAlignment="1" applyFont="1">
      <alignment horizontal="left" readingOrder="0" shrinkToFit="0" vertical="bottom" wrapText="0"/>
    </xf>
    <xf borderId="0" fillId="4" fontId="6" numFmtId="0" xfId="0" applyAlignment="1" applyFont="1">
      <alignment horizontal="center" readingOrder="0"/>
    </xf>
    <xf borderId="0" fillId="3" fontId="22" numFmtId="0" xfId="0" applyAlignment="1" applyFont="1">
      <alignment horizontal="center" readingOrder="0" shrinkToFit="0" vertical="bottom" wrapText="0"/>
    </xf>
    <xf borderId="0" fillId="3" fontId="3" numFmtId="9" xfId="0" applyAlignment="1" applyFont="1" applyNumberFormat="1">
      <alignment horizontal="center" readingOrder="0" vertical="bottom"/>
    </xf>
    <xf borderId="0" fillId="3" fontId="16" numFmtId="0" xfId="0" applyAlignment="1" applyFont="1">
      <alignment horizontal="center" vertical="bottom"/>
    </xf>
    <xf borderId="0" fillId="0" fontId="8" numFmtId="0" xfId="0" applyAlignment="1" applyFont="1">
      <alignment horizontal="center" readingOrder="0" shrinkToFit="0" vertical="bottom" wrapText="0"/>
    </xf>
    <xf borderId="0" fillId="0" fontId="10" numFmtId="0" xfId="0" applyAlignment="1" applyFont="1">
      <alignment horizontal="center" vertical="bottom"/>
    </xf>
    <xf borderId="0" fillId="2" fontId="7" numFmtId="0" xfId="0" applyAlignment="1" applyFont="1">
      <alignment horizontal="center" vertical="bottom"/>
    </xf>
    <xf borderId="0" fillId="2" fontId="3" numFmtId="0" xfId="0" applyAlignment="1" applyFont="1">
      <alignment horizontal="center" vertical="bottom"/>
    </xf>
    <xf borderId="0" fillId="0" fontId="7" numFmtId="0" xfId="0" applyAlignment="1" applyFont="1">
      <alignment horizontal="center" vertical="bottom"/>
    </xf>
    <xf borderId="0" fillId="0" fontId="11" numFmtId="0" xfId="0" applyAlignment="1" applyFont="1">
      <alignment horizontal="center" readingOrder="0" shrinkToFit="0" vertical="bottom" wrapText="0"/>
    </xf>
    <xf borderId="0" fillId="3" fontId="5" numFmtId="9" xfId="0" applyAlignment="1" applyFont="1" applyNumberFormat="1">
      <alignment horizontal="center" readingOrder="0"/>
    </xf>
    <xf borderId="0" fillId="3" fontId="5" numFmtId="10" xfId="0" applyAlignment="1" applyFont="1" applyNumberFormat="1">
      <alignment horizontal="center" readingOrder="0"/>
    </xf>
    <xf borderId="1" fillId="3" fontId="4" numFmtId="0" xfId="0" applyAlignment="1" applyBorder="1" applyFont="1">
      <alignment horizontal="center" readingOrder="0"/>
    </xf>
    <xf borderId="1" fillId="3" fontId="4" numFmtId="0" xfId="0" applyAlignment="1" applyBorder="1" applyFont="1">
      <alignment horizontal="center" vertical="bottom"/>
    </xf>
    <xf borderId="0" fillId="3" fontId="18" numFmtId="0" xfId="0" applyAlignment="1" applyFont="1">
      <alignment horizontal="center" readingOrder="0"/>
    </xf>
    <xf borderId="0" fillId="2" fontId="18" numFmtId="0" xfId="0" applyAlignment="1" applyFont="1">
      <alignment horizontal="center" vertical="bottom"/>
    </xf>
    <xf borderId="0" fillId="3" fontId="4" numFmtId="0" xfId="0" applyAlignment="1" applyFont="1">
      <alignment horizontal="center" readingOrder="0"/>
    </xf>
    <xf borderId="0" fillId="2" fontId="4" numFmtId="0" xfId="0" applyAlignment="1" applyFont="1">
      <alignment horizontal="center" vertical="bottom"/>
    </xf>
    <xf borderId="0" fillId="3" fontId="6" numFmtId="0" xfId="0" applyAlignment="1" applyFont="1">
      <alignment horizontal="center"/>
    </xf>
    <xf borderId="0" fillId="3" fontId="23" numFmtId="0" xfId="0" applyAlignment="1" applyFont="1">
      <alignment horizontal="center" readingOrder="0"/>
    </xf>
    <xf borderId="0" fillId="0" fontId="22" numFmtId="0" xfId="0" applyAlignment="1" applyFont="1">
      <alignment horizontal="center" readingOrder="0" shrinkToFit="0" vertical="bottom" wrapText="0"/>
    </xf>
    <xf borderId="0" fillId="0" fontId="5" numFmtId="0" xfId="0" applyAlignment="1" applyFont="1">
      <alignment horizontal="right" readingOrder="0"/>
    </xf>
    <xf borderId="0" fillId="0" fontId="22" numFmtId="0" xfId="0" applyAlignment="1" applyFont="1">
      <alignment readingOrder="0" shrinkToFit="0" vertical="bottom" wrapText="0"/>
    </xf>
    <xf borderId="0" fillId="0" fontId="5" numFmtId="0" xfId="0" applyAlignment="1" applyFont="1">
      <alignment horizontal="right"/>
    </xf>
    <xf borderId="1" fillId="3" fontId="4" numFmtId="0" xfId="0" applyAlignment="1" applyBorder="1" applyFont="1">
      <alignment horizontal="right" readingOrder="0"/>
    </xf>
    <xf borderId="0" fillId="3" fontId="18" numFmtId="0" xfId="0" applyAlignment="1" applyFont="1">
      <alignment horizontal="right" readingOrder="0"/>
    </xf>
    <xf borderId="0" fillId="3" fontId="4" numFmtId="0" xfId="0" applyAlignment="1" applyFont="1">
      <alignment horizontal="right" readingOrder="0"/>
    </xf>
    <xf borderId="0" fillId="0" fontId="24" numFmtId="0" xfId="0" applyAlignment="1" applyFont="1">
      <alignment horizontal="right" readingOrder="0"/>
    </xf>
    <xf borderId="1" fillId="0" fontId="14" numFmtId="0" xfId="0" applyAlignment="1" applyBorder="1" applyFont="1">
      <alignment horizontal="center" vertical="bottom"/>
    </xf>
    <xf borderId="1" fillId="0" fontId="14" numFmtId="0" xfId="0" applyAlignment="1" applyBorder="1" applyFont="1">
      <alignment horizontal="center" readingOrder="0" vertical="bottom"/>
    </xf>
    <xf borderId="0" fillId="0" fontId="9" numFmtId="0" xfId="0" applyAlignment="1" applyFont="1">
      <alignment horizontal="left" readingOrder="0" vertical="bottom"/>
    </xf>
    <xf borderId="1" fillId="0" fontId="16" numFmtId="0" xfId="0" applyAlignment="1" applyBorder="1" applyFont="1">
      <alignment vertical="bottom"/>
    </xf>
    <xf borderId="1" fillId="0" fontId="3" numFmtId="0" xfId="0" applyAlignment="1" applyBorder="1" applyFont="1">
      <alignment horizontal="right" readingOrder="0" vertical="bottom"/>
    </xf>
    <xf borderId="0" fillId="14" fontId="6" numFmtId="0" xfId="0" applyAlignment="1" applyFill="1" applyFont="1">
      <alignment horizontal="left" readingOrder="0"/>
    </xf>
    <xf borderId="1" fillId="7" fontId="3" numFmtId="0" xfId="0" applyAlignment="1" applyBorder="1" applyFont="1">
      <alignment horizontal="right" readingOrder="0" vertical="bottom"/>
    </xf>
    <xf borderId="1" fillId="14" fontId="3" numFmtId="0" xfId="0" applyAlignment="1" applyBorder="1" applyFont="1">
      <alignment readingOrder="0" vertical="bottom"/>
    </xf>
    <xf borderId="1" fillId="11" fontId="3" numFmtId="0" xfId="0" applyAlignment="1" applyBorder="1" applyFont="1">
      <alignment horizontal="right" readingOrder="0" vertical="bottom"/>
    </xf>
    <xf borderId="0" fillId="0" fontId="10" numFmtId="0" xfId="0" applyAlignment="1" applyFont="1">
      <alignment vertical="bottom"/>
    </xf>
    <xf borderId="0" fillId="0" fontId="6" numFmtId="0" xfId="0" applyAlignment="1" applyFont="1">
      <alignment horizontal="left" readingOrder="0"/>
    </xf>
    <xf borderId="0" fillId="3" fontId="22" numFmtId="0" xfId="0" applyAlignment="1" applyFont="1">
      <alignment horizontal="left" readingOrder="0" shrinkToFit="0" vertical="bottom" wrapText="0"/>
    </xf>
    <xf borderId="0" fillId="3" fontId="5" numFmtId="10" xfId="0" applyAlignment="1" applyFont="1" applyNumberFormat="1">
      <alignment readingOrder="0"/>
    </xf>
    <xf borderId="0" fillId="3" fontId="8" numFmtId="10" xfId="0" applyAlignment="1" applyFont="1" applyNumberFormat="1">
      <alignment readingOrder="0" shrinkToFit="0" vertical="bottom" wrapText="0"/>
    </xf>
    <xf borderId="0" fillId="3" fontId="5" numFmtId="9" xfId="0" applyAlignment="1" applyFont="1" applyNumberFormat="1">
      <alignment readingOrder="0"/>
    </xf>
    <xf borderId="4" fillId="3" fontId="25" numFmtId="0" xfId="0" applyAlignment="1" applyBorder="1" applyFont="1">
      <alignment horizontal="left" readingOrder="0" vertical="top"/>
    </xf>
    <xf borderId="0" fillId="3" fontId="22" numFmtId="0" xfId="0" applyAlignment="1" applyFont="1">
      <alignment readingOrder="0" shrinkToFit="0" vertical="bottom" wrapText="0"/>
    </xf>
    <xf borderId="0" fillId="3" fontId="5" numFmtId="0" xfId="0" applyAlignment="1" applyFont="1">
      <alignment horizontal="right" readingOrder="0"/>
    </xf>
    <xf borderId="0" fillId="4" fontId="7" numFmtId="0" xfId="0" applyAlignment="1" applyFont="1">
      <alignment horizontal="left" vertical="bottom"/>
    </xf>
    <xf borderId="0" fillId="10" fontId="3" numFmtId="0" xfId="0" applyAlignment="1" applyFont="1">
      <alignment vertical="bottom"/>
    </xf>
    <xf borderId="1" fillId="0" fontId="3" numFmtId="0" xfId="0" applyAlignment="1" applyBorder="1" applyFont="1">
      <alignment horizontal="center" shrinkToFit="0" wrapText="1"/>
    </xf>
    <xf borderId="0" fillId="3" fontId="3" numFmtId="0" xfId="0" applyAlignment="1" applyFont="1">
      <alignment horizontal="center"/>
    </xf>
    <xf borderId="0" fillId="3" fontId="3" numFmtId="0" xfId="0" applyFont="1"/>
    <xf borderId="0" fillId="3" fontId="3" numFmtId="0" xfId="0" applyAlignment="1" applyFont="1">
      <alignment horizontal="center" shrinkToFit="0" wrapText="1"/>
    </xf>
    <xf borderId="0" fillId="3" fontId="4" numFmtId="0" xfId="0" applyAlignment="1" applyFont="1">
      <alignment horizontal="center"/>
    </xf>
    <xf borderId="0" fillId="0" fontId="7" numFmtId="0" xfId="0" applyAlignment="1" applyFont="1">
      <alignment horizontal="center"/>
    </xf>
    <xf borderId="1" fillId="3" fontId="3" numFmtId="0" xfId="0" applyAlignment="1" applyBorder="1" applyFont="1">
      <alignment horizontal="center" vertical="bottom"/>
    </xf>
    <xf borderId="0" fillId="11" fontId="5" numFmtId="0" xfId="0" applyAlignment="1" applyFont="1">
      <alignment readingOrder="0"/>
    </xf>
    <xf borderId="0" fillId="15" fontId="8" numFmtId="0" xfId="0" applyAlignment="1" applyFill="1" applyFont="1">
      <alignment readingOrder="0" shrinkToFit="0" vertical="bottom" wrapText="0"/>
    </xf>
    <xf borderId="0" fillId="15" fontId="5" numFmtId="0" xfId="0" applyAlignment="1" applyFont="1">
      <alignment readingOrder="0"/>
    </xf>
    <xf borderId="0" fillId="0" fontId="3" numFmtId="0" xfId="0" applyAlignment="1" applyFont="1">
      <alignment readingOrder="0" vertical="bottom"/>
    </xf>
    <xf borderId="1" fillId="3" fontId="4" numFmtId="0" xfId="0" applyAlignment="1" applyBorder="1" applyFont="1">
      <alignment readingOrder="0"/>
    </xf>
    <xf borderId="0" fillId="0" fontId="9" numFmtId="0" xfId="0" applyAlignment="1" applyFont="1">
      <alignment vertical="bottom"/>
    </xf>
    <xf borderId="0" fillId="0" fontId="3" numFmtId="0" xfId="0" applyFont="1"/>
    <xf borderId="0" fillId="0" fontId="3" numFmtId="0" xfId="0" applyAlignment="1" applyFont="1">
      <alignment horizontal="center" shrinkToFit="0" wrapText="1"/>
    </xf>
    <xf borderId="0" fillId="0" fontId="11" numFmtId="165" xfId="0" applyAlignment="1" applyFont="1" applyNumberFormat="1">
      <alignment horizontal="left" readingOrder="0" shrinkToFit="0" vertical="bottom" wrapText="0"/>
    </xf>
    <xf borderId="0" fillId="0" fontId="11" numFmtId="0" xfId="0" applyAlignment="1" applyFont="1">
      <alignment readingOrder="0" shrinkToFit="0" vertical="bottom" wrapText="0"/>
    </xf>
    <xf borderId="0" fillId="3" fontId="3" numFmtId="0" xfId="0" applyAlignment="1" applyFont="1">
      <alignment vertical="bottom"/>
    </xf>
    <xf borderId="0" fillId="3" fontId="3" numFmtId="0" xfId="0" applyAlignment="1" applyFont="1">
      <alignment vertical="bottom"/>
    </xf>
    <xf borderId="0" fillId="2" fontId="4" numFmtId="0" xfId="0" applyAlignment="1" applyFont="1">
      <alignment horizontal="right" readingOrder="0"/>
    </xf>
    <xf borderId="0" fillId="2" fontId="3" numFmtId="0" xfId="0" applyAlignment="1" applyFont="1">
      <alignment horizontal="right" readingOrder="0" vertical="bottom"/>
    </xf>
    <xf borderId="0" fillId="2" fontId="5" numFmtId="0" xfId="0" applyAlignment="1" applyFont="1">
      <alignment horizontal="right"/>
    </xf>
    <xf borderId="0" fillId="3" fontId="7" numFmtId="0" xfId="0" applyAlignment="1" applyFont="1">
      <alignment horizontal="left" shrinkToFit="0" wrapText="1"/>
    </xf>
    <xf borderId="0" fillId="2" fontId="3" numFmtId="0" xfId="0" applyAlignment="1" applyFont="1">
      <alignment vertical="bottom"/>
    </xf>
    <xf borderId="0" fillId="2" fontId="3" numFmtId="0" xfId="0" applyAlignment="1" applyFont="1">
      <alignment horizontal="center" shrinkToFit="0" wrapText="1"/>
    </xf>
    <xf borderId="0" fillId="3" fontId="5" numFmtId="0" xfId="0" applyAlignment="1" applyFont="1">
      <alignment horizontal="right"/>
    </xf>
    <xf borderId="0" fillId="0" fontId="5" numFmtId="10" xfId="0" applyAlignment="1" applyFont="1" applyNumberFormat="1">
      <alignment horizontal="left" readingOrder="0"/>
    </xf>
    <xf borderId="0" fillId="3" fontId="26" numFmtId="0" xfId="0" applyAlignment="1" applyFont="1">
      <alignment vertical="bottom"/>
    </xf>
    <xf borderId="0" fillId="3" fontId="26" numFmtId="0" xfId="0" applyAlignment="1" applyFont="1">
      <alignment readingOrder="0"/>
    </xf>
    <xf borderId="2" fillId="4" fontId="1" numFmtId="0" xfId="0" applyAlignment="1" applyBorder="1" applyFont="1">
      <alignment vertical="bottom"/>
    </xf>
    <xf borderId="1" fillId="3" fontId="5" numFmtId="0" xfId="0" applyAlignment="1" applyBorder="1" applyFont="1">
      <alignment horizontal="center" readingOrder="0" vertical="center"/>
    </xf>
    <xf borderId="0" fillId="0" fontId="3" numFmtId="0" xfId="0" applyAlignment="1" applyFont="1">
      <alignment horizontal="center"/>
    </xf>
    <xf borderId="0" fillId="16" fontId="27" numFmtId="0" xfId="0" applyAlignment="1" applyFill="1" applyFont="1">
      <alignment readingOrder="0"/>
    </xf>
    <xf borderId="0" fillId="0" fontId="28" numFmtId="0" xfId="0" applyAlignment="1" applyFont="1">
      <alignment horizontal="center" vertical="bottom"/>
    </xf>
    <xf borderId="1" fillId="4" fontId="1" numFmtId="0" xfId="0" applyAlignment="1" applyBorder="1" applyFont="1">
      <alignment vertical="bottom"/>
    </xf>
    <xf borderId="1" fillId="0" fontId="3" numFmtId="0" xfId="0" applyAlignment="1" applyBorder="1" applyFont="1">
      <alignment vertical="bottom"/>
    </xf>
    <xf borderId="0" fillId="0" fontId="3" numFmtId="0" xfId="0" applyFont="1"/>
    <xf borderId="0" fillId="0" fontId="9" numFmtId="0" xfId="0" applyAlignment="1" applyFont="1">
      <alignment horizontal="center" vertical="bottom"/>
    </xf>
    <xf borderId="0" fillId="11" fontId="5" numFmtId="0" xfId="0" applyFont="1"/>
    <xf borderId="0" fillId="0" fontId="29" numFmtId="0" xfId="0" applyAlignment="1" applyFont="1">
      <alignment horizontal="right" readingOrder="0" vertical="bottom"/>
    </xf>
    <xf borderId="1" fillId="14" fontId="5" numFmtId="0" xfId="0" applyAlignment="1" applyBorder="1" applyFont="1">
      <alignment readingOrder="0"/>
    </xf>
    <xf borderId="5" fillId="0" fontId="5" numFmtId="0" xfId="0" applyAlignment="1" applyBorder="1" applyFont="1">
      <alignment readingOrder="0"/>
    </xf>
    <xf borderId="5" fillId="0" fontId="5" numFmtId="0" xfId="0" applyBorder="1" applyFont="1"/>
    <xf borderId="0" fillId="0" fontId="14" numFmtId="0" xfId="0" applyAlignment="1" applyFont="1">
      <alignment horizontal="center" vertical="bottom"/>
    </xf>
    <xf borderId="0" fillId="0" fontId="16" numFmtId="0" xfId="0" applyAlignment="1" applyFont="1">
      <alignment readingOrder="0" vertical="bottom"/>
    </xf>
    <xf borderId="0" fillId="11" fontId="6" numFmtId="0" xfId="0" applyAlignment="1" applyFont="1">
      <alignment horizontal="left"/>
    </xf>
    <xf borderId="0" fillId="0" fontId="6" numFmtId="0" xfId="0" applyAlignment="1" applyFont="1">
      <alignment horizontal="left"/>
    </xf>
    <xf borderId="0" fillId="0" fontId="4" numFmtId="0" xfId="0" applyAlignment="1" applyFont="1">
      <alignment readingOrder="0"/>
    </xf>
    <xf borderId="0" fillId="14" fontId="30" numFmtId="0" xfId="0" applyAlignment="1" applyFont="1">
      <alignment readingOrder="0"/>
    </xf>
    <xf borderId="0" fillId="0" fontId="31" numFmtId="0" xfId="0" applyAlignment="1" applyFont="1">
      <alignment readingOrder="0"/>
    </xf>
    <xf borderId="0" fillId="0" fontId="32" numFmtId="0" xfId="0" applyAlignment="1" applyFont="1">
      <alignment horizontal="left"/>
    </xf>
    <xf borderId="0" fillId="0" fontId="5" numFmtId="0" xfId="0" applyAlignment="1" applyFont="1">
      <alignment horizontal="left"/>
    </xf>
    <xf borderId="0" fillId="17" fontId="33" numFmtId="0" xfId="0" applyAlignment="1" applyFill="1" applyFont="1">
      <alignment readingOrder="0"/>
    </xf>
    <xf borderId="6" fillId="0" fontId="34" numFmtId="0" xfId="0" applyAlignment="1" applyBorder="1" applyFont="1">
      <alignment horizontal="left" readingOrder="0" vertical="bottom"/>
    </xf>
    <xf borderId="0" fillId="0" fontId="35" numFmtId="0" xfId="0" applyAlignment="1" applyFont="1">
      <alignment horizontal="left" readingOrder="0"/>
    </xf>
    <xf borderId="0" fillId="0" fontId="36" numFmtId="0" xfId="0" applyAlignment="1" applyFont="1">
      <alignment horizontal="left" readingOrder="0"/>
    </xf>
    <xf borderId="0" fillId="14" fontId="3" numFmtId="0" xfId="0" applyAlignment="1" applyFont="1">
      <alignment vertical="bottom"/>
    </xf>
    <xf borderId="0" fillId="3" fontId="3" numFmtId="0" xfId="0" applyAlignment="1" applyFont="1">
      <alignment readingOrder="0"/>
    </xf>
    <xf borderId="0" fillId="3" fontId="9" numFmtId="0" xfId="0" applyAlignment="1" applyFont="1">
      <alignment vertical="bottom"/>
    </xf>
    <xf borderId="0" fillId="0" fontId="7" numFmtId="0" xfId="0" applyAlignment="1" applyFont="1">
      <alignment vertical="bottom"/>
    </xf>
    <xf borderId="0" fillId="0" fontId="8" numFmtId="0" xfId="0" applyAlignment="1" applyFont="1">
      <alignment horizontal="left" readingOrder="0" shrinkToFit="0" vertical="bottom" wrapText="0"/>
    </xf>
    <xf borderId="0" fillId="2" fontId="7" numFmtId="0" xfId="0" applyAlignment="1" applyFont="1">
      <alignment vertical="bottom"/>
    </xf>
    <xf borderId="0" fillId="3" fontId="7" numFmtId="0" xfId="0" applyAlignment="1" applyFont="1">
      <alignment vertical="bottom"/>
    </xf>
    <xf borderId="0" fillId="7" fontId="7" numFmtId="0" xfId="0" applyAlignment="1" applyFont="1">
      <alignment horizontal="left" readingOrder="0" vertical="bottom"/>
    </xf>
    <xf borderId="0" fillId="13" fontId="37" numFmtId="0" xfId="0" applyAlignment="1" applyFont="1">
      <alignment horizontal="left" readingOrder="0"/>
    </xf>
    <xf borderId="0" fillId="3" fontId="23" numFmtId="0" xfId="0" applyAlignment="1" applyFont="1">
      <alignment horizontal="left" readingOrder="0"/>
    </xf>
    <xf borderId="0" fillId="2" fontId="24" numFmtId="0" xfId="0" applyAlignment="1" applyFont="1">
      <alignment readingOrder="0"/>
    </xf>
    <xf borderId="0" fillId="3" fontId="18" numFmtId="0" xfId="0" applyAlignment="1" applyFont="1">
      <alignment horizontal="left" readingOrder="0"/>
    </xf>
    <xf borderId="0" fillId="3" fontId="9" numFmtId="0" xfId="0" applyAlignment="1" applyFont="1">
      <alignment horizontal="left" vertical="bottom"/>
    </xf>
    <xf borderId="0" fillId="3" fontId="19" numFmtId="0" xfId="0" applyAlignment="1" applyFont="1">
      <alignment horizontal="left" readingOrder="0"/>
    </xf>
    <xf borderId="0" fillId="3" fontId="17" numFmtId="0" xfId="0" applyAlignment="1" applyFont="1">
      <alignment horizontal="left" readingOrder="0"/>
    </xf>
    <xf borderId="3" fillId="2" fontId="17" numFmtId="0" xfId="0" applyAlignment="1" applyBorder="1" applyFont="1">
      <alignment readingOrder="0"/>
    </xf>
    <xf borderId="0" fillId="2" fontId="17" numFmtId="0" xfId="0" applyAlignment="1" applyFont="1">
      <alignment readingOrder="0"/>
    </xf>
    <xf borderId="0" fillId="3" fontId="26" numFmtId="0" xfId="0" applyAlignment="1" applyFont="1">
      <alignment shrinkToFit="0" vertical="bottom" wrapText="1"/>
    </xf>
    <xf borderId="0" fillId="3" fontId="26" numFmtId="0" xfId="0" applyAlignment="1" applyFont="1">
      <alignment readingOrder="0" shrinkToFit="0" vertical="bottom" wrapText="1"/>
    </xf>
    <xf borderId="7" fillId="3" fontId="8" numFmtId="0" xfId="0" applyAlignment="1" applyBorder="1" applyFont="1">
      <alignment horizontal="right" readingOrder="0" shrinkToFit="0" vertical="bottom" wrapText="0"/>
    </xf>
    <xf borderId="0" fillId="0" fontId="22" numFmtId="0" xfId="0" applyAlignment="1" applyFont="1">
      <alignment horizontal="right" readingOrder="0" shrinkToFit="0" vertical="bottom" wrapText="0"/>
    </xf>
    <xf borderId="0" fillId="3" fontId="22" numFmtId="0" xfId="0" applyAlignment="1" applyFont="1">
      <alignment horizontal="left" readingOrder="0" vertical="bottom"/>
    </xf>
    <xf borderId="0" fillId="3" fontId="22" numFmtId="0" xfId="0" applyAlignment="1" applyFont="1">
      <alignment horizontal="left" readingOrder="0"/>
    </xf>
    <xf borderId="0" fillId="3" fontId="22" numFmtId="0" xfId="0" applyAlignment="1" applyFont="1">
      <alignment horizontal="right" readingOrder="0" shrinkToFit="0" vertical="bottom" wrapText="0"/>
    </xf>
    <xf borderId="1" fillId="3" fontId="3" numFmtId="0" xfId="0" applyAlignment="1" applyBorder="1" applyFont="1">
      <alignment horizontal="center" shrinkToFit="0" vertical="bottom" wrapText="1"/>
    </xf>
    <xf borderId="1" fillId="3" fontId="14" numFmtId="0" xfId="0" applyAlignment="1" applyBorder="1" applyFont="1">
      <alignment horizontal="center" vertical="bottom"/>
    </xf>
    <xf borderId="1" fillId="3" fontId="14" numFmtId="0" xfId="0" applyAlignment="1" applyBorder="1" applyFont="1">
      <alignment horizontal="center" readingOrder="0" vertical="bottom"/>
    </xf>
    <xf borderId="1" fillId="3" fontId="16" numFmtId="0" xfId="0" applyAlignment="1" applyBorder="1" applyFont="1">
      <alignment vertical="bottom"/>
    </xf>
    <xf borderId="1" fillId="3" fontId="3" numFmtId="0" xfId="0" applyAlignment="1" applyBorder="1" applyFont="1">
      <alignment horizontal="right" readingOrder="0" vertical="bottom"/>
    </xf>
    <xf borderId="0" fillId="3" fontId="10" numFmtId="0" xfId="0" applyAlignment="1" applyFont="1">
      <alignment horizontal="right" vertical="bottom"/>
    </xf>
    <xf borderId="0" fillId="3" fontId="3" numFmtId="164" xfId="0" applyAlignment="1" applyFont="1" applyNumberFormat="1">
      <alignment readingOrder="0" vertical="bottom"/>
    </xf>
    <xf borderId="1" fillId="3" fontId="3" numFmtId="0" xfId="0" applyAlignment="1" applyBorder="1" applyFont="1">
      <alignment readingOrder="0" vertical="bottom"/>
    </xf>
    <xf borderId="0" fillId="3" fontId="10" numFmtId="0" xfId="0" applyAlignment="1" applyFont="1">
      <alignment vertical="bottom"/>
    </xf>
    <xf borderId="0" fillId="3" fontId="5" numFmtId="164" xfId="0" applyAlignment="1" applyFont="1" applyNumberFormat="1">
      <alignment readingOrder="0"/>
    </xf>
    <xf borderId="0" fillId="3" fontId="10" numFmtId="0" xfId="0" applyAlignment="1" applyFont="1">
      <alignment vertical="bottom"/>
    </xf>
    <xf borderId="0" fillId="14" fontId="38" numFmtId="0" xfId="0" applyAlignment="1" applyFont="1">
      <alignment vertical="bottom"/>
    </xf>
    <xf borderId="0" fillId="7" fontId="8" numFmtId="0" xfId="0" applyAlignment="1" applyFont="1">
      <alignment readingOrder="0" shrinkToFit="0" vertical="bottom" wrapText="0"/>
    </xf>
    <xf borderId="0" fillId="7" fontId="6" numFmtId="0" xfId="0" applyAlignment="1" applyFont="1">
      <alignment readingOrder="0"/>
    </xf>
    <xf borderId="0" fillId="18" fontId="5" numFmtId="0" xfId="0" applyAlignment="1" applyFill="1" applyFont="1">
      <alignment readingOrder="0"/>
    </xf>
    <xf borderId="0" fillId="18" fontId="5" numFmtId="0" xfId="0" applyFont="1"/>
    <xf borderId="0" fillId="0" fontId="39" numFmtId="0" xfId="0" applyAlignment="1" applyFont="1">
      <alignment vertical="bottom"/>
    </xf>
    <xf borderId="0" fillId="0" fontId="7" numFmtId="0" xfId="0" applyAlignment="1" applyFont="1">
      <alignment vertical="bottom"/>
    </xf>
    <xf borderId="0" fillId="0" fontId="6" numFmtId="0" xfId="0" applyFont="1"/>
    <xf borderId="0" fillId="0" fontId="9" numFmtId="0" xfId="0" applyAlignment="1" applyFont="1">
      <alignment horizontal="left" vertical="bottom"/>
    </xf>
    <xf borderId="0" fillId="18" fontId="29" numFmtId="0" xfId="0" applyAlignment="1" applyFont="1">
      <alignment horizontal="left" readingOrder="0" shrinkToFit="0" vertical="bottom" wrapText="0"/>
    </xf>
    <xf borderId="0" fillId="18" fontId="29" numFmtId="0" xfId="0" applyAlignment="1" applyFont="1">
      <alignment shrinkToFit="0" vertical="bottom" wrapText="0"/>
    </xf>
    <xf borderId="0" fillId="2" fontId="3" numFmtId="0" xfId="0" applyAlignment="1" applyFont="1">
      <alignment readingOrder="0" vertical="bottom"/>
    </xf>
    <xf borderId="0" fillId="0" fontId="40" numFmtId="0" xfId="0" applyAlignment="1" applyFont="1">
      <alignment vertical="bottom"/>
    </xf>
    <xf borderId="0" fillId="0" fontId="6" numFmtId="0" xfId="0" applyAlignment="1" applyFont="1">
      <alignment readingOrder="0"/>
    </xf>
    <xf borderId="0" fillId="18" fontId="22" numFmtId="0" xfId="0" applyAlignment="1" applyFont="1">
      <alignment horizontal="left" readingOrder="0" shrinkToFit="0" vertical="bottom" wrapText="0"/>
    </xf>
    <xf borderId="0" fillId="18" fontId="29" numFmtId="0" xfId="0" applyAlignment="1" applyFont="1">
      <alignment horizontal="right" readingOrder="0" shrinkToFit="0" vertical="bottom" wrapText="0"/>
    </xf>
    <xf borderId="0" fillId="0" fontId="41" numFmtId="0" xfId="0" applyAlignment="1" applyFont="1">
      <alignment readingOrder="0" vertical="bottom"/>
    </xf>
    <xf borderId="0" fillId="0" fontId="42" numFmtId="0" xfId="0" applyAlignment="1" applyFont="1">
      <alignment readingOrder="0" vertical="bottom"/>
    </xf>
    <xf borderId="0" fillId="2" fontId="6" numFmtId="0" xfId="0" applyAlignment="1" applyFont="1">
      <alignment readingOrder="0"/>
    </xf>
    <xf borderId="0" fillId="10" fontId="3" numFmtId="0" xfId="0" applyAlignment="1" applyFont="1">
      <alignment horizontal="center" vertical="bottom"/>
    </xf>
    <xf borderId="0" fillId="7" fontId="7" numFmtId="0" xfId="0" applyAlignment="1" applyFont="1">
      <alignment horizontal="left" vertical="bottom"/>
    </xf>
    <xf borderId="0" fillId="0" fontId="6" numFmtId="0" xfId="0" applyAlignment="1" applyFont="1">
      <alignment horizontal="center" readingOrder="0"/>
    </xf>
    <xf borderId="0" fillId="0" fontId="22" numFmtId="0" xfId="0" applyAlignment="1" applyFont="1">
      <alignment horizontal="center" readingOrder="0"/>
    </xf>
    <xf borderId="0" fillId="3" fontId="29" numFmtId="0" xfId="0" applyAlignment="1" applyFont="1">
      <alignment horizontal="center" readingOrder="0"/>
    </xf>
    <xf borderId="0" fillId="2" fontId="8" numFmtId="0" xfId="0" applyAlignment="1" applyFont="1">
      <alignment horizontal="center" readingOrder="0" shrinkToFit="0" vertical="bottom" wrapText="0"/>
    </xf>
    <xf borderId="0" fillId="2" fontId="4" numFmtId="0" xfId="0" applyAlignment="1" applyFont="1">
      <alignment horizontal="center" readingOrder="0"/>
    </xf>
    <xf borderId="0" fillId="2" fontId="8" numFmtId="0" xfId="0" applyAlignment="1" applyFont="1">
      <alignment readingOrder="0" shrinkToFit="0" vertical="bottom" wrapText="0"/>
    </xf>
    <xf borderId="0" fillId="2" fontId="5" numFmtId="0" xfId="0" applyAlignment="1" applyFont="1">
      <alignment horizontal="center"/>
    </xf>
    <xf borderId="0" fillId="0" fontId="6" numFmtId="0" xfId="0" applyAlignment="1" applyFont="1">
      <alignment horizontal="right" readingOrder="0"/>
    </xf>
    <xf borderId="0" fillId="0" fontId="4" numFmtId="0" xfId="0" applyAlignment="1" applyFont="1">
      <alignment horizontal="right" vertical="bottom"/>
    </xf>
    <xf borderId="1" fillId="0" fontId="3" numFmtId="0" xfId="0" applyAlignment="1" applyBorder="1" applyFont="1">
      <alignment horizontal="center" shrinkToFit="0" vertical="bottom" wrapText="0"/>
    </xf>
    <xf borderId="0" fillId="0" fontId="6" numFmtId="0" xfId="0" applyAlignment="1" applyFont="1">
      <alignment horizontal="center"/>
    </xf>
    <xf borderId="1" fillId="13" fontId="5" numFmtId="0" xfId="0" applyAlignment="1" applyBorder="1" applyFont="1">
      <alignment horizontal="left" readingOrder="0"/>
    </xf>
    <xf borderId="1" fillId="13" fontId="5" numFmtId="0" xfId="0" applyAlignment="1" applyBorder="1" applyFont="1">
      <alignment readingOrder="0"/>
    </xf>
    <xf borderId="1" fillId="0" fontId="1" numFmtId="0" xfId="0" applyAlignment="1" applyBorder="1" applyFont="1">
      <alignment readingOrder="0" vertical="bottom"/>
    </xf>
    <xf borderId="0" fillId="3" fontId="16" numFmtId="0" xfId="0" applyAlignment="1" applyFont="1">
      <alignment vertical="bottom"/>
    </xf>
    <xf borderId="1" fillId="0" fontId="8" numFmtId="0" xfId="0" applyAlignment="1" applyBorder="1" applyFont="1">
      <alignment readingOrder="0"/>
    </xf>
    <xf borderId="1" fillId="2" fontId="8" numFmtId="0" xfId="0" applyAlignment="1" applyBorder="1" applyFont="1">
      <alignment readingOrder="0"/>
    </xf>
    <xf borderId="0" fillId="12" fontId="5" numFmtId="0" xfId="0" applyAlignment="1" applyFont="1">
      <alignment readingOrder="0"/>
    </xf>
    <xf borderId="1" fillId="0" fontId="8" numFmtId="0" xfId="0" applyAlignment="1" applyBorder="1" applyFont="1">
      <alignment horizontal="left" readingOrder="0"/>
    </xf>
    <xf borderId="1" fillId="0" fontId="8" numFmtId="0" xfId="0" applyAlignment="1" applyBorder="1" applyFont="1">
      <alignment readingOrder="0" shrinkToFit="0" vertical="bottom" wrapText="0"/>
    </xf>
    <xf borderId="1" fillId="0" fontId="5" numFmtId="0" xfId="0" applyBorder="1" applyFont="1"/>
    <xf borderId="0" fillId="0" fontId="8" numFmtId="0" xfId="0" applyAlignment="1" applyFont="1">
      <alignment horizontal="left" readingOrder="0"/>
    </xf>
    <xf borderId="0" fillId="0" fontId="43" numFmtId="0" xfId="0" applyAlignment="1" applyFont="1">
      <alignment readingOrder="0"/>
    </xf>
    <xf borderId="1" fillId="2" fontId="8" numFmtId="0" xfId="0" applyAlignment="1" applyBorder="1" applyFont="1">
      <alignment horizontal="left" readingOrder="0"/>
    </xf>
    <xf borderId="0" fillId="3" fontId="16" numFmtId="0" xfId="0" applyAlignment="1" applyFont="1">
      <alignment horizontal="center" readingOrder="0" vertical="bottom"/>
    </xf>
    <xf borderId="0" fillId="19" fontId="6" numFmtId="0" xfId="0" applyAlignment="1" applyFill="1" applyFont="1">
      <alignment horizontal="left" readingOrder="0"/>
    </xf>
    <xf borderId="0" fillId="2" fontId="1" numFmtId="0" xfId="0" applyAlignment="1" applyFont="1">
      <alignment readingOrder="0" vertical="bottom"/>
    </xf>
    <xf borderId="0" fillId="3" fontId="31" numFmtId="0" xfId="0" applyAlignment="1" applyFont="1">
      <alignment horizontal="left" readingOrder="0"/>
    </xf>
    <xf borderId="0" fillId="2" fontId="1" numFmtId="0" xfId="0" applyAlignment="1" applyFont="1">
      <alignment vertical="bottom"/>
    </xf>
    <xf borderId="0" fillId="0" fontId="2" numFmtId="0" xfId="0" applyFont="1"/>
    <xf borderId="0" fillId="11" fontId="7" numFmtId="0" xfId="0" applyAlignment="1" applyFont="1">
      <alignment horizontal="left" vertical="bottom"/>
    </xf>
    <xf borderId="0" fillId="20" fontId="5" numFmtId="0" xfId="0" applyAlignment="1" applyFill="1" applyFont="1">
      <alignment readingOrder="0"/>
    </xf>
    <xf borderId="0" fillId="20" fontId="5" numFmtId="0" xfId="0" applyFont="1"/>
    <xf borderId="0" fillId="21" fontId="5" numFmtId="0" xfId="0" applyAlignment="1" applyFill="1" applyFont="1">
      <alignment readingOrder="0"/>
    </xf>
    <xf borderId="0" fillId="21" fontId="5" numFmtId="0" xfId="0" applyFont="1"/>
    <xf borderId="0" fillId="3" fontId="44" numFmtId="0" xfId="0" applyAlignment="1" applyFont="1">
      <alignment horizontal="left" readingOrder="0"/>
    </xf>
    <xf borderId="0" fillId="2" fontId="45" numFmtId="0" xfId="0" applyAlignment="1" applyFont="1">
      <alignment readingOrder="0"/>
    </xf>
    <xf borderId="0" fillId="9" fontId="6" numFmtId="0" xfId="0" applyAlignment="1" applyFont="1">
      <alignment horizontal="left" readingOrder="0"/>
    </xf>
    <xf borderId="0" fillId="2" fontId="5" numFmtId="0" xfId="0" applyAlignment="1" applyFont="1">
      <alignment horizontal="left" readingOrder="0"/>
    </xf>
    <xf borderId="0" fillId="0" fontId="2" numFmtId="9" xfId="0" applyAlignment="1" applyFont="1" applyNumberFormat="1">
      <alignment readingOrder="0"/>
    </xf>
    <xf borderId="0" fillId="9" fontId="7" numFmtId="0" xfId="0" applyAlignment="1" applyFont="1">
      <alignment horizontal="left" vertical="bottom"/>
    </xf>
    <xf borderId="0" fillId="11" fontId="3" numFmtId="0" xfId="0" applyAlignment="1" applyFont="1">
      <alignment vertical="bottom"/>
    </xf>
    <xf borderId="0" fillId="19" fontId="3" numFmtId="0" xfId="0" applyAlignment="1" applyFont="1">
      <alignment vertical="bottom"/>
    </xf>
    <xf borderId="0" fillId="9" fontId="3" numFmtId="0" xfId="0" applyAlignment="1" applyFont="1">
      <alignment vertical="bottom"/>
    </xf>
    <xf borderId="0" fillId="3" fontId="46" numFmtId="0" xfId="0" applyAlignment="1" applyFont="1">
      <alignment vertical="bottom"/>
    </xf>
    <xf borderId="0" fillId="9" fontId="47" numFmtId="0" xfId="0" applyAlignment="1" applyFont="1">
      <alignment vertical="bottom"/>
    </xf>
    <xf borderId="0" fillId="22" fontId="48" numFmtId="0" xfId="0" applyAlignment="1" applyFill="1" applyFont="1">
      <alignment vertical="bottom"/>
    </xf>
    <xf borderId="0" fillId="9" fontId="48" numFmtId="0" xfId="0" applyAlignment="1" applyFont="1">
      <alignment vertical="bottom"/>
    </xf>
    <xf borderId="0" fillId="12" fontId="3" numFmtId="0" xfId="0" applyAlignment="1" applyFont="1">
      <alignment vertical="bottom"/>
    </xf>
    <xf borderId="0" fillId="19" fontId="3" numFmtId="0" xfId="0" applyAlignment="1" applyFont="1">
      <alignment readingOrder="0" vertical="bottom"/>
    </xf>
    <xf borderId="1" fillId="19" fontId="49" numFmtId="0" xfId="0" applyAlignment="1" applyBorder="1" applyFont="1">
      <alignment horizontal="center" vertical="center"/>
    </xf>
    <xf borderId="0" fillId="3" fontId="2" numFmtId="0" xfId="0" applyAlignment="1" applyFont="1">
      <alignment horizontal="center" readingOrder="0"/>
    </xf>
    <xf borderId="0" fillId="3" fontId="50" numFmtId="0" xfId="0" applyAlignment="1" applyFont="1">
      <alignment horizontal="center" readingOrder="0" shrinkToFit="0" vertical="bottom" wrapText="0"/>
    </xf>
    <xf borderId="0" fillId="2" fontId="3" numFmtId="0" xfId="0" applyAlignment="1" applyFont="1">
      <alignment horizontal="right" vertical="bottom"/>
    </xf>
    <xf borderId="0" fillId="7" fontId="5" numFmtId="0" xfId="0" applyAlignment="1" applyFont="1">
      <alignment horizontal="left" readingOrder="0"/>
    </xf>
    <xf borderId="0" fillId="0" fontId="50" numFmtId="0" xfId="0" applyAlignment="1" applyFont="1">
      <alignment horizontal="center" readingOrder="0" shrinkToFit="0" vertical="bottom" wrapText="0"/>
    </xf>
    <xf borderId="1" fillId="0" fontId="5" numFmtId="0" xfId="0" applyAlignment="1" applyBorder="1" applyFont="1">
      <alignment horizontal="left" readingOrder="0"/>
    </xf>
    <xf borderId="0" fillId="3" fontId="5" numFmtId="0" xfId="0" applyAlignment="1" applyFont="1">
      <alignment horizontal="left" readingOrder="0"/>
    </xf>
    <xf borderId="0" fillId="0" fontId="2" numFmtId="0" xfId="0" applyAlignment="1" applyFont="1">
      <alignment horizontal="center" readingOrder="0"/>
    </xf>
    <xf borderId="1" fillId="0" fontId="5" numFmtId="10" xfId="0" applyAlignment="1" applyBorder="1" applyFont="1" applyNumberFormat="1">
      <alignment horizontal="left" readingOrder="0"/>
    </xf>
    <xf borderId="0" fillId="0" fontId="16" numFmtId="0" xfId="0" applyAlignment="1" applyFont="1">
      <alignment horizontal="center" readingOrder="0" vertical="bottom"/>
    </xf>
    <xf borderId="0" fillId="0" fontId="21" numFmtId="0" xfId="0" applyAlignment="1" applyFont="1">
      <alignment readingOrder="0" shrinkToFit="0" vertical="bottom" wrapText="0"/>
    </xf>
    <xf borderId="0" fillId="0" fontId="21" numFmtId="0" xfId="0" applyAlignment="1" applyFont="1">
      <alignment horizontal="center" readingOrder="0" shrinkToFit="0" vertical="bottom" wrapText="0"/>
    </xf>
    <xf borderId="0" fillId="0" fontId="8" numFmtId="9" xfId="0" applyAlignment="1" applyFont="1" applyNumberFormat="1">
      <alignment readingOrder="0" shrinkToFit="0" vertical="bottom" wrapText="0"/>
    </xf>
    <xf borderId="0" fillId="3" fontId="3" numFmtId="0" xfId="0" applyAlignment="1" applyFont="1">
      <alignment horizontal="left" vertical="bottom"/>
    </xf>
    <xf borderId="0" fillId="3" fontId="5" numFmtId="0" xfId="0" applyAlignment="1" applyFont="1">
      <alignment horizontal="left"/>
    </xf>
    <xf borderId="0" fillId="3" fontId="20" numFmtId="0" xfId="0" applyAlignment="1" applyFont="1">
      <alignment horizontal="left" readingOrder="0"/>
    </xf>
    <xf borderId="1" fillId="3" fontId="3" numFmtId="0" xfId="0" applyAlignment="1" applyBorder="1" applyFont="1">
      <alignment horizontal="center" shrinkToFit="0" vertical="bottom" wrapText="0"/>
    </xf>
    <xf borderId="0" fillId="0" fontId="3" numFmtId="164" xfId="0" applyAlignment="1" applyFont="1" applyNumberFormat="1">
      <alignment readingOrder="0" vertical="bottom"/>
    </xf>
    <xf borderId="1" fillId="0" fontId="3" numFmtId="0" xfId="0" applyAlignment="1" applyBorder="1" applyFont="1">
      <alignment readingOrder="0" vertical="bottom"/>
    </xf>
    <xf borderId="0" fillId="4" fontId="8" numFmtId="0" xfId="0" applyAlignment="1" applyFont="1">
      <alignment horizontal="left" readingOrder="0"/>
    </xf>
    <xf borderId="0" fillId="23" fontId="8" numFmtId="0" xfId="0" applyAlignment="1" applyFill="1" applyFont="1">
      <alignment horizontal="left" readingOrder="0"/>
    </xf>
    <xf borderId="1" fillId="7" fontId="3" numFmtId="0" xfId="0" applyAlignment="1" applyBorder="1" applyFont="1">
      <alignment readingOrder="0" vertical="bottom"/>
    </xf>
    <xf borderId="0" fillId="23" fontId="6" numFmtId="0" xfId="0" applyAlignment="1" applyFont="1">
      <alignment horizontal="left" readingOrder="0"/>
    </xf>
    <xf borderId="0" fillId="2" fontId="8" numFmtId="0" xfId="0" applyAlignment="1" applyFont="1">
      <alignment horizontal="left" readingOrder="0"/>
    </xf>
    <xf borderId="1" fillId="2" fontId="5" numFmtId="0" xfId="0" applyAlignment="1" applyBorder="1" applyFont="1">
      <alignment horizontal="right" readingOrder="0"/>
    </xf>
    <xf borderId="1" fillId="2" fontId="7" numFmtId="0" xfId="0" applyAlignment="1" applyBorder="1" applyFont="1">
      <alignment horizontal="center" vertical="bottom"/>
    </xf>
    <xf borderId="1" fillId="2" fontId="49" numFmtId="0" xfId="0" applyAlignment="1" applyBorder="1" applyFont="1">
      <alignment horizontal="center" vertical="bottom"/>
    </xf>
    <xf borderId="1" fillId="2" fontId="20" numFmtId="0" xfId="0" applyAlignment="1" applyBorder="1" applyFont="1">
      <alignment readingOrder="0"/>
    </xf>
    <xf borderId="1" fillId="2" fontId="5" numFmtId="0" xfId="0" applyBorder="1" applyFont="1"/>
    <xf borderId="0" fillId="23" fontId="9" numFmtId="0" xfId="0" applyAlignment="1" applyFont="1">
      <alignment horizontal="left" vertical="bottom"/>
    </xf>
    <xf borderId="0" fillId="23" fontId="7" numFmtId="0" xfId="0" applyAlignment="1" applyFont="1">
      <alignment horizontal="left" vertical="bottom"/>
    </xf>
    <xf borderId="1" fillId="0" fontId="9" numFmtId="0" xfId="0" applyAlignment="1" applyBorder="1" applyFont="1">
      <alignment vertical="bottom"/>
    </xf>
    <xf borderId="1" fillId="0" fontId="3" numFmtId="0" xfId="0" applyAlignment="1" applyBorder="1" applyFont="1">
      <alignment horizontal="right" vertical="bottom"/>
    </xf>
    <xf borderId="7" fillId="2" fontId="9" numFmtId="0" xfId="0" applyAlignment="1" applyBorder="1" applyFont="1">
      <alignment vertical="bottom"/>
    </xf>
    <xf borderId="1" fillId="2" fontId="3" numFmtId="0" xfId="0" applyAlignment="1" applyBorder="1" applyFont="1">
      <alignment horizontal="right" vertical="bottom"/>
    </xf>
    <xf borderId="1" fillId="2" fontId="9" numFmtId="0" xfId="0" applyAlignment="1" applyBorder="1" applyFont="1">
      <alignment vertical="bottom"/>
    </xf>
    <xf borderId="7" fillId="0" fontId="9" numFmtId="0" xfId="0" applyAlignment="1" applyBorder="1" applyFont="1">
      <alignment vertical="bottom"/>
    </xf>
    <xf borderId="8" fillId="10" fontId="3" numFmtId="0" xfId="0" applyAlignment="1" applyBorder="1" applyFont="1">
      <alignment vertical="bottom"/>
    </xf>
    <xf borderId="1" fillId="12" fontId="51" numFmtId="0" xfId="0" applyAlignment="1" applyBorder="1" applyFont="1">
      <alignment horizontal="center" readingOrder="0" vertical="bottom"/>
    </xf>
    <xf borderId="1" fillId="7" fontId="49" numFmtId="0" xfId="0" applyAlignment="1" applyBorder="1" applyFont="1">
      <alignment horizontal="left" vertical="bottom"/>
    </xf>
    <xf borderId="1" fillId="0" fontId="2" numFmtId="0" xfId="0" applyAlignment="1" applyBorder="1" applyFont="1">
      <alignment horizontal="center" readingOrder="0"/>
    </xf>
    <xf borderId="1" fillId="0" fontId="50" numFmtId="0" xfId="0" applyAlignment="1" applyBorder="1" applyFont="1">
      <alignment horizontal="center" readingOrder="0" shrinkToFit="0" vertical="bottom" wrapText="0"/>
    </xf>
    <xf borderId="7" fillId="0" fontId="51" numFmtId="0" xfId="0" applyAlignment="1" applyBorder="1" applyFont="1">
      <alignment readingOrder="0"/>
    </xf>
    <xf borderId="1" fillId="14" fontId="7" numFmtId="0" xfId="0" applyAlignment="1" applyBorder="1" applyFont="1">
      <alignment horizontal="left" vertical="bottom"/>
    </xf>
    <xf borderId="1" fillId="14" fontId="6" numFmtId="0" xfId="0" applyAlignment="1" applyBorder="1" applyFont="1">
      <alignment horizontal="left" readingOrder="0"/>
    </xf>
    <xf borderId="1" fillId="0" fontId="2" numFmtId="0" xfId="0" applyAlignment="1" applyBorder="1" applyFont="1">
      <alignment readingOrder="0"/>
    </xf>
    <xf borderId="1" fillId="0" fontId="7" numFmtId="0" xfId="0" applyAlignment="1" applyBorder="1" applyFont="1">
      <alignment horizontal="left" vertical="bottom"/>
    </xf>
    <xf borderId="1" fillId="7" fontId="16" numFmtId="0" xfId="0" applyAlignment="1" applyBorder="1" applyFont="1">
      <alignment horizontal="center" readingOrder="0" vertical="bottom"/>
    </xf>
    <xf borderId="1" fillId="14" fontId="16" numFmtId="0" xfId="0" applyAlignment="1" applyBorder="1" applyFont="1">
      <alignment horizontal="center" readingOrder="0" vertical="bottom"/>
    </xf>
    <xf borderId="1" fillId="11" fontId="21" numFmtId="0" xfId="0" applyAlignment="1" applyBorder="1" applyFont="1">
      <alignment horizontal="center" readingOrder="0" shrinkToFit="0" vertical="bottom" wrapText="0"/>
    </xf>
    <xf borderId="1" fillId="0" fontId="6" numFmtId="0" xfId="0" applyAlignment="1" applyBorder="1" applyFont="1">
      <alignment horizontal="left" readingOrder="0"/>
    </xf>
    <xf borderId="1" fillId="24" fontId="5" numFmtId="0" xfId="0" applyAlignment="1" applyBorder="1" applyFill="1" applyFont="1">
      <alignment readingOrder="0"/>
    </xf>
    <xf borderId="5" fillId="14" fontId="6" numFmtId="0" xfId="0" applyAlignment="1" applyBorder="1" applyFont="1">
      <alignment horizontal="left" readingOrder="0"/>
    </xf>
    <xf borderId="7" fillId="0" fontId="52" numFmtId="0" xfId="0" applyAlignment="1" applyBorder="1" applyFont="1">
      <alignment readingOrder="0"/>
    </xf>
    <xf borderId="5" fillId="0" fontId="6" numFmtId="0" xfId="0" applyAlignment="1" applyBorder="1" applyFont="1">
      <alignment horizontal="left" readingOrder="0"/>
    </xf>
    <xf borderId="5" fillId="24" fontId="5" numFmtId="0" xfId="0" applyAlignment="1" applyBorder="1" applyFont="1">
      <alignment readingOrder="0"/>
    </xf>
    <xf borderId="9" fillId="0" fontId="53" numFmtId="0" xfId="0" applyAlignment="1" applyBorder="1" applyFont="1">
      <alignment vertical="bottom"/>
    </xf>
    <xf borderId="0" fillId="0" fontId="3" numFmtId="0" xfId="0" applyAlignment="1" applyFont="1">
      <alignment shrinkToFit="0" wrapText="1"/>
    </xf>
    <xf borderId="5" fillId="7" fontId="49" numFmtId="0" xfId="0" applyAlignment="1" applyBorder="1" applyFont="1">
      <alignment horizontal="left" vertical="bottom"/>
    </xf>
    <xf borderId="8" fillId="24" fontId="54" numFmtId="0" xfId="0" applyAlignment="1" applyBorder="1" applyFont="1">
      <alignment vertical="bottom"/>
    </xf>
    <xf borderId="1" fillId="24" fontId="54" numFmtId="0" xfId="0" applyAlignment="1" applyBorder="1" applyFont="1">
      <alignment vertical="bottom"/>
    </xf>
    <xf borderId="1" fillId="3" fontId="7" numFmtId="0" xfId="0" applyAlignment="1" applyBorder="1" applyFont="1">
      <alignment horizontal="left" readingOrder="0" vertical="bottom"/>
    </xf>
    <xf borderId="5" fillId="3" fontId="6" numFmtId="0" xfId="0" applyAlignment="1" applyBorder="1" applyFont="1">
      <alignment horizontal="left" readingOrder="0"/>
    </xf>
    <xf borderId="0" fillId="3" fontId="2" numFmtId="0" xfId="0" applyAlignment="1" applyFont="1">
      <alignment readingOrder="0"/>
    </xf>
    <xf borderId="8" fillId="24" fontId="53" numFmtId="0" xfId="0" applyAlignment="1" applyBorder="1" applyFont="1">
      <alignment vertical="bottom"/>
    </xf>
    <xf borderId="8" fillId="2" fontId="53" numFmtId="0" xfId="0" applyAlignment="1" applyBorder="1" applyFont="1">
      <alignment vertical="bottom"/>
    </xf>
    <xf borderId="0" fillId="3" fontId="21" numFmtId="0" xfId="0" applyAlignment="1" applyFont="1">
      <alignment horizontal="center" readingOrder="0" shrinkToFit="0" vertical="bottom" wrapText="0"/>
    </xf>
    <xf borderId="1" fillId="3" fontId="7" numFmtId="0" xfId="0" applyAlignment="1" applyBorder="1" applyFont="1">
      <alignment vertical="bottom"/>
    </xf>
    <xf borderId="0" fillId="0" fontId="3" numFmtId="0" xfId="0" applyAlignment="1" applyFont="1">
      <alignment readingOrder="0"/>
    </xf>
    <xf borderId="0" fillId="3" fontId="55" numFmtId="0" xfId="0" applyAlignment="1" applyFont="1">
      <alignment horizontal="left" vertical="bottom"/>
    </xf>
    <xf borderId="0" fillId="3" fontId="49" numFmtId="0" xfId="0" applyAlignment="1" applyFont="1">
      <alignment vertical="bottom"/>
    </xf>
    <xf borderId="0" fillId="3" fontId="5" numFmtId="0" xfId="0" applyAlignment="1" applyFont="1">
      <alignment horizontal="center" readingOrder="0" vertical="center"/>
    </xf>
    <xf borderId="0" fillId="3" fontId="5" numFmtId="9" xfId="0" applyAlignment="1" applyFont="1" applyNumberFormat="1">
      <alignment horizontal="center" readingOrder="0" vertical="center"/>
    </xf>
    <xf borderId="5" fillId="3" fontId="4" numFmtId="0" xfId="0" applyAlignment="1" applyBorder="1" applyFont="1">
      <alignment horizontal="left" readingOrder="0"/>
    </xf>
    <xf borderId="10" fillId="3" fontId="17" numFmtId="0" xfId="0" applyAlignment="1" applyBorder="1" applyFont="1">
      <alignment horizontal="left"/>
    </xf>
    <xf borderId="0" fillId="3" fontId="9" numFmtId="0" xfId="0" applyAlignment="1" applyFont="1">
      <alignment vertical="bottom"/>
    </xf>
    <xf borderId="0" fillId="3" fontId="3" numFmtId="0" xfId="0" applyAlignment="1" applyFont="1">
      <alignment horizontal="center"/>
    </xf>
    <xf borderId="0" fillId="3" fontId="3" numFmtId="0" xfId="0" applyFont="1"/>
    <xf borderId="0" fillId="3" fontId="7" numFmtId="0" xfId="0" applyAlignment="1" applyFont="1">
      <alignment readingOrder="0" vertical="bottom"/>
    </xf>
    <xf borderId="0" fillId="0" fontId="8" numFmtId="165" xfId="0" applyAlignment="1" applyFont="1" applyNumberFormat="1">
      <alignment readingOrder="0" shrinkToFit="0" vertical="bottom" wrapText="0"/>
    </xf>
    <xf borderId="0" fillId="0" fontId="7" numFmtId="0" xfId="0" applyAlignment="1" applyFont="1">
      <alignment readingOrder="0" vertical="bottom"/>
    </xf>
    <xf borderId="0" fillId="0" fontId="3" numFmtId="0" xfId="0" applyAlignment="1" applyFont="1">
      <alignment shrinkToFit="0" vertical="bottom" wrapText="1"/>
    </xf>
    <xf borderId="0" fillId="0" fontId="16" numFmtId="0" xfId="0" applyAlignment="1" applyFont="1">
      <alignment horizontal="right" readingOrder="0" vertical="bottom"/>
    </xf>
    <xf borderId="0" fillId="3" fontId="56" numFmtId="0" xfId="0" applyAlignment="1" applyFont="1">
      <alignment readingOrder="0"/>
    </xf>
    <xf borderId="0" fillId="3" fontId="23" numFmtId="0" xfId="0" applyAlignment="1" applyFont="1">
      <alignment readingOrder="0"/>
    </xf>
    <xf borderId="0" fillId="0" fontId="24" numFmtId="0" xfId="0" applyAlignment="1" applyFont="1">
      <alignment readingOrder="0"/>
    </xf>
    <xf borderId="0" fillId="12" fontId="20" numFmtId="0" xfId="0" applyAlignment="1" applyFont="1">
      <alignment readingOrder="0"/>
    </xf>
    <xf borderId="0" fillId="3" fontId="6" numFmtId="1" xfId="0" applyAlignment="1" applyFont="1" applyNumberFormat="1">
      <alignment readingOrder="0"/>
    </xf>
    <xf borderId="0" fillId="0" fontId="5" numFmtId="1" xfId="0" applyAlignment="1" applyFont="1" applyNumberFormat="1">
      <alignment readingOrder="0"/>
    </xf>
    <xf borderId="1" fillId="3" fontId="7" numFmtId="0" xfId="0" applyAlignment="1" applyBorder="1" applyFont="1">
      <alignment readingOrder="0" vertical="bottom"/>
    </xf>
    <xf borderId="0" fillId="11" fontId="20" numFmtId="0" xfId="0" applyAlignment="1" applyFont="1">
      <alignment readingOrder="0"/>
    </xf>
    <xf borderId="0" fillId="0" fontId="5" numFmtId="0" xfId="0" applyAlignment="1" applyFont="1">
      <alignment readingOrder="0" vertical="center"/>
    </xf>
    <xf borderId="0" fillId="25" fontId="57" numFmtId="0" xfId="0" applyAlignment="1" applyFill="1" applyFont="1">
      <alignment readingOrder="0"/>
    </xf>
    <xf borderId="0" fillId="25" fontId="6" numFmtId="0" xfId="0" applyFont="1"/>
    <xf borderId="0" fillId="25" fontId="6" numFmtId="0" xfId="0" applyAlignment="1" applyFont="1">
      <alignment readingOrder="0"/>
    </xf>
    <xf borderId="0" fillId="0" fontId="3" numFmtId="0" xfId="0" applyAlignment="1" applyFont="1">
      <alignment horizontal="center" readingOrder="0"/>
    </xf>
    <xf borderId="0" fillId="3" fontId="58" numFmtId="0" xfId="0" applyAlignment="1" applyFont="1">
      <alignment readingOrder="0"/>
    </xf>
    <xf borderId="0" fillId="11" fontId="6" numFmtId="0" xfId="0" applyAlignment="1" applyFont="1">
      <alignment readingOrder="0"/>
    </xf>
    <xf borderId="0" fillId="0" fontId="5" numFmtId="0" xfId="0" applyAlignment="1" applyFont="1">
      <alignment horizontal="center" readingOrder="0" vertical="center"/>
    </xf>
    <xf borderId="0" fillId="3" fontId="58" numFmtId="0" xfId="0" applyAlignment="1" applyFont="1">
      <alignment horizontal="center" vertical="bottom"/>
    </xf>
    <xf borderId="0" fillId="2" fontId="8" numFmtId="0" xfId="0" applyAlignment="1" applyFont="1">
      <alignment horizontal="center" readingOrder="0"/>
    </xf>
    <xf borderId="0" fillId="3" fontId="2" numFmtId="0" xfId="0" applyFont="1"/>
    <xf borderId="0" fillId="0" fontId="9" numFmtId="165" xfId="0" applyAlignment="1" applyFont="1" applyNumberFormat="1">
      <alignment horizontal="right" vertical="bottom"/>
    </xf>
    <xf borderId="0" fillId="0" fontId="8" numFmtId="0" xfId="0" applyAlignment="1" applyFont="1">
      <alignment horizontal="center" readingOrder="0"/>
    </xf>
    <xf borderId="0" fillId="0" fontId="16" numFmtId="164" xfId="0" applyAlignment="1" applyFont="1" applyNumberFormat="1">
      <alignment readingOrder="0" vertical="bottom"/>
    </xf>
    <xf borderId="0" fillId="0" fontId="9" numFmtId="0" xfId="0" applyAlignment="1" applyFont="1">
      <alignment horizontal="right" readingOrder="0" vertical="bottom"/>
    </xf>
    <xf borderId="0" fillId="2" fontId="9" numFmtId="0" xfId="0" applyAlignment="1" applyFont="1">
      <alignment horizontal="right" readingOrder="0" vertical="bottom"/>
    </xf>
    <xf borderId="0" fillId="0" fontId="8" numFmtId="165" xfId="0" applyAlignment="1" applyFont="1" applyNumberFormat="1">
      <alignment horizontal="right" readingOrder="0" shrinkToFit="0" vertical="bottom" wrapText="0"/>
    </xf>
    <xf borderId="0" fillId="7" fontId="6" numFmtId="0" xfId="0" applyAlignment="1" applyFont="1">
      <alignment horizontal="left" readingOrder="0" vertical="center"/>
    </xf>
    <xf borderId="0" fillId="0" fontId="7" numFmtId="0" xfId="0" applyAlignment="1" applyFont="1">
      <alignment horizontal="left" vertical="bottom"/>
    </xf>
    <xf borderId="0" fillId="18" fontId="3" numFmtId="0" xfId="0" applyAlignment="1" applyFont="1">
      <alignment vertical="bottom"/>
    </xf>
    <xf borderId="0" fillId="0" fontId="55" numFmtId="0" xfId="0" applyAlignment="1" applyFont="1">
      <alignment vertical="bottom"/>
    </xf>
    <xf borderId="0" fillId="14" fontId="7" numFmtId="0" xfId="0" applyAlignment="1" applyFont="1">
      <alignment horizontal="left" vertical="bottom"/>
    </xf>
    <xf borderId="0" fillId="14" fontId="6" numFmtId="0" xfId="0" applyAlignment="1" applyFont="1">
      <alignment horizontal="left" readingOrder="0" vertical="center"/>
    </xf>
    <xf borderId="0" fillId="18" fontId="5" numFmtId="0" xfId="0" applyAlignment="1" applyFont="1">
      <alignment horizontal="center" readingOrder="0" vertical="center"/>
    </xf>
    <xf borderId="0" fillId="11" fontId="7" numFmtId="0" xfId="0" applyAlignment="1" applyFont="1">
      <alignment vertical="bottom"/>
    </xf>
    <xf borderId="0" fillId="4" fontId="6" numFmtId="0" xfId="0" applyAlignment="1" applyFont="1">
      <alignment horizontal="left" readingOrder="0" vertical="center"/>
    </xf>
    <xf borderId="0" fillId="0" fontId="6" numFmtId="0" xfId="0" applyAlignment="1" applyFont="1">
      <alignment horizontal="left" readingOrder="0" vertical="center"/>
    </xf>
    <xf borderId="0" fillId="11" fontId="5" numFmtId="0" xfId="0" applyAlignment="1" applyFont="1">
      <alignment horizontal="center"/>
    </xf>
    <xf borderId="0" fillId="0" fontId="29" numFmtId="0" xfId="0" applyAlignment="1" applyFont="1">
      <alignment horizontal="center" readingOrder="0" shrinkToFit="0" vertical="bottom" wrapText="0"/>
    </xf>
    <xf borderId="0" fillId="14" fontId="18" numFmtId="0" xfId="0" applyAlignment="1" applyFont="1">
      <alignment horizontal="left" readingOrder="0" vertical="center"/>
    </xf>
    <xf borderId="0" fillId="18" fontId="3" numFmtId="0" xfId="0" applyAlignment="1" applyFont="1">
      <alignment horizontal="left" vertical="bottom"/>
    </xf>
    <xf borderId="0" fillId="14" fontId="44" numFmtId="0" xfId="0" applyAlignment="1" applyFont="1">
      <alignment horizontal="left" readingOrder="0" vertical="center"/>
    </xf>
    <xf borderId="0" fillId="18" fontId="18" numFmtId="0" xfId="0" applyAlignment="1" applyFont="1">
      <alignment horizontal="center" readingOrder="0" vertical="center"/>
    </xf>
    <xf borderId="0" fillId="4" fontId="18" numFmtId="0" xfId="0" applyAlignment="1" applyFont="1">
      <alignment horizontal="left" readingOrder="0" vertical="center"/>
    </xf>
    <xf borderId="0" fillId="14" fontId="59" numFmtId="0" xfId="0" applyAlignment="1" applyFont="1">
      <alignment horizontal="left" readingOrder="0" vertical="bottom"/>
    </xf>
    <xf borderId="0" fillId="0" fontId="59" numFmtId="0" xfId="0" applyAlignment="1" applyFont="1">
      <alignment horizontal="left" readingOrder="0" vertical="bottom"/>
    </xf>
    <xf borderId="0" fillId="0" fontId="29" numFmtId="9" xfId="0" applyAlignment="1" applyFont="1" applyNumberFormat="1">
      <alignment horizontal="center" readingOrder="0" shrinkToFit="0" vertical="bottom" wrapText="0"/>
    </xf>
    <xf borderId="0" fillId="4" fontId="59" numFmtId="0" xfId="0" applyAlignment="1" applyFont="1">
      <alignment horizontal="left" readingOrder="0" vertical="bottom"/>
    </xf>
    <xf borderId="0" fillId="0" fontId="21" numFmtId="0" xfId="0" applyAlignment="1" applyFont="1">
      <alignment horizontal="right" readingOrder="0" shrinkToFit="0" vertical="bottom" wrapText="0"/>
    </xf>
    <xf borderId="0" fillId="14" fontId="19" numFmtId="0" xfId="0" applyAlignment="1" applyFont="1">
      <alignment horizontal="left" readingOrder="0"/>
    </xf>
    <xf borderId="0" fillId="18" fontId="5" numFmtId="0" xfId="0" applyAlignment="1" applyFont="1">
      <alignment horizontal="center"/>
    </xf>
    <xf borderId="0" fillId="18" fontId="5" numFmtId="0" xfId="0" applyAlignment="1" applyFont="1">
      <alignment horizontal="center" vertical="center"/>
    </xf>
    <xf borderId="0" fillId="18" fontId="3" numFmtId="0" xfId="0" applyAlignment="1" applyFont="1">
      <alignment horizontal="center" readingOrder="0" vertical="center"/>
    </xf>
    <xf borderId="0" fillId="18" fontId="5" numFmtId="0" xfId="0" applyAlignment="1" applyFont="1">
      <alignment horizontal="center" readingOrder="0"/>
    </xf>
    <xf borderId="0" fillId="18" fontId="3" numFmtId="0" xfId="0" applyAlignment="1" applyFont="1">
      <alignment horizontal="center" readingOrder="0" vertical="bottom"/>
    </xf>
    <xf borderId="0" fillId="18" fontId="21" numFmtId="0" xfId="0" applyAlignment="1" applyFont="1">
      <alignment readingOrder="0" shrinkToFit="0" vertical="bottom" wrapText="0"/>
    </xf>
    <xf borderId="0" fillId="18" fontId="3" numFmtId="0" xfId="0" applyFont="1"/>
    <xf borderId="0" fillId="14" fontId="8" numFmtId="0" xfId="0" applyAlignment="1" applyFont="1">
      <alignment horizontal="left" readingOrder="0" shrinkToFit="0" vertical="bottom" wrapText="0"/>
    </xf>
    <xf borderId="0" fillId="2" fontId="5" numFmtId="0" xfId="0" applyAlignment="1" applyFont="1">
      <alignment horizontal="center" readingOrder="0" vertical="center"/>
    </xf>
    <xf borderId="0" fillId="0" fontId="6" numFmtId="0" xfId="0" applyAlignment="1" applyFont="1">
      <alignment horizontal="left" vertical="center"/>
    </xf>
    <xf borderId="0" fillId="14" fontId="4" numFmtId="0" xfId="0" applyAlignment="1" applyFont="1">
      <alignment horizontal="left" readingOrder="0"/>
    </xf>
    <xf borderId="0" fillId="0" fontId="3" numFmtId="0" xfId="0" applyAlignment="1" applyFont="1">
      <alignment horizontal="left" vertical="bottom"/>
    </xf>
    <xf borderId="0" fillId="2" fontId="3" numFmtId="0" xfId="0" applyAlignment="1" applyFont="1">
      <alignment horizontal="left" vertical="bottom"/>
    </xf>
    <xf borderId="0" fillId="2" fontId="18" numFmtId="0" xfId="0" applyAlignment="1" applyFont="1">
      <alignment horizontal="center" readingOrder="0" vertical="center"/>
    </xf>
    <xf borderId="0" fillId="2" fontId="45" numFmtId="0" xfId="0" applyAlignment="1" applyFont="1">
      <alignment horizontal="center" readingOrder="0" vertical="center"/>
    </xf>
    <xf borderId="0" fillId="3" fontId="18" numFmtId="0" xfId="0" applyAlignment="1" applyFont="1">
      <alignment horizontal="center" readingOrder="0" vertical="center"/>
    </xf>
    <xf borderId="0" fillId="2" fontId="59" numFmtId="0" xfId="0" applyAlignment="1" applyFont="1">
      <alignment horizontal="left" readingOrder="0" vertical="bottom"/>
    </xf>
    <xf borderId="0" fillId="3" fontId="59" numFmtId="0" xfId="0" applyAlignment="1" applyFont="1">
      <alignment horizontal="left" readingOrder="0" vertical="bottom"/>
    </xf>
    <xf borderId="0" fillId="0" fontId="7" numFmtId="0" xfId="0" applyAlignment="1" applyFont="1">
      <alignment horizontal="left" readingOrder="0" vertical="bottom"/>
    </xf>
    <xf borderId="6" fillId="0" fontId="5" numFmtId="0" xfId="0" applyAlignment="1" applyBorder="1" applyFont="1">
      <alignment horizontal="center" readingOrder="0"/>
    </xf>
    <xf borderId="6" fillId="0" fontId="5" numFmtId="0" xfId="0" applyAlignment="1" applyBorder="1" applyFont="1">
      <alignment horizontal="center" readingOrder="0" vertical="center"/>
    </xf>
    <xf borderId="0" fillId="18" fontId="7" numFmtId="0" xfId="0" applyAlignment="1" applyFont="1">
      <alignment horizontal="left" vertical="bottom"/>
    </xf>
    <xf borderId="0" fillId="18" fontId="6" numFmtId="0" xfId="0" applyAlignment="1" applyFont="1">
      <alignment horizontal="left" readingOrder="0"/>
    </xf>
    <xf borderId="0" fillId="2" fontId="21" numFmtId="0" xfId="0" applyAlignment="1" applyFont="1">
      <alignment readingOrder="0" shrinkToFit="0" vertical="bottom" wrapText="0"/>
    </xf>
    <xf borderId="0" fillId="2" fontId="5" numFmtId="0" xfId="0" applyAlignment="1" applyFont="1">
      <alignment horizontal="center" vertical="center"/>
    </xf>
    <xf borderId="0" fillId="0" fontId="21" numFmtId="0" xfId="0" applyAlignment="1" applyFont="1">
      <alignment shrinkToFit="0" vertical="bottom" wrapText="0"/>
    </xf>
    <xf borderId="0" fillId="18" fontId="8" numFmtId="0" xfId="0" applyAlignment="1" applyFont="1">
      <alignment horizontal="left" readingOrder="0" shrinkToFit="0" vertical="bottom" wrapText="0"/>
    </xf>
    <xf borderId="0" fillId="18" fontId="7" numFmtId="0" xfId="0" applyAlignment="1" applyFont="1">
      <alignment horizontal="left"/>
    </xf>
    <xf borderId="0" fillId="0" fontId="5" numFmtId="0" xfId="0" applyAlignment="1" applyFont="1">
      <alignment horizontal="center" vertical="center"/>
    </xf>
    <xf borderId="0" fillId="0" fontId="7" numFmtId="0" xfId="0" applyAlignment="1" applyFont="1">
      <alignment shrinkToFit="0" wrapText="1"/>
    </xf>
    <xf borderId="0" fillId="9" fontId="7" numFmtId="0" xfId="0" applyAlignment="1" applyFont="1">
      <alignment shrinkToFit="0" wrapText="1"/>
    </xf>
    <xf borderId="0" fillId="9" fontId="3" numFmtId="0" xfId="0" applyFont="1"/>
    <xf borderId="0" fillId="0" fontId="60" numFmtId="0" xfId="0" applyAlignment="1" applyFont="1">
      <alignment vertical="bottom"/>
    </xf>
    <xf borderId="1" fillId="0" fontId="5" numFmtId="0" xfId="0" applyAlignment="1" applyBorder="1" applyFont="1">
      <alignment horizontal="center" readingOrder="0"/>
    </xf>
    <xf borderId="0" fillId="3" fontId="8" numFmtId="0" xfId="0" applyAlignment="1" applyFont="1">
      <alignment readingOrder="0" shrinkToFit="0" vertical="bottom" wrapText="0"/>
    </xf>
    <xf borderId="0" fillId="3" fontId="2" numFmtId="9" xfId="0" applyAlignment="1" applyFont="1" applyNumberFormat="1">
      <alignment readingOrder="0"/>
    </xf>
    <xf borderId="0" fillId="3" fontId="6" numFmtId="0" xfId="0" applyFont="1"/>
    <xf borderId="0" fillId="3" fontId="9" numFmtId="0" xfId="0" applyAlignment="1" applyFont="1">
      <alignment horizontal="center" vertical="bottom"/>
    </xf>
    <xf borderId="0" fillId="4" fontId="5" numFmtId="0" xfId="0" applyAlignment="1" applyFont="1">
      <alignment horizontal="left" readingOrder="0"/>
    </xf>
    <xf borderId="2" fillId="26" fontId="5" numFmtId="0" xfId="0" applyAlignment="1" applyBorder="1" applyFill="1" applyFont="1">
      <alignment horizontal="left" readingOrder="0"/>
    </xf>
    <xf borderId="2" fillId="26" fontId="5" numFmtId="0" xfId="0" applyAlignment="1" applyBorder="1" applyFont="1">
      <alignment readingOrder="0"/>
    </xf>
    <xf borderId="0" fillId="26" fontId="5" numFmtId="0" xfId="0" applyAlignment="1" applyFont="1">
      <alignment readingOrder="0"/>
    </xf>
    <xf borderId="0" fillId="0" fontId="49" numFmtId="0" xfId="0" applyAlignment="1" applyFont="1">
      <alignment vertical="bottom"/>
    </xf>
    <xf borderId="0" fillId="12" fontId="8" numFmtId="0" xfId="0" applyAlignment="1" applyFont="1">
      <alignment readingOrder="0" shrinkToFit="0" vertical="bottom" wrapText="0"/>
    </xf>
    <xf borderId="0" fillId="0" fontId="9" numFmtId="0" xfId="0" applyAlignment="1" applyFont="1">
      <alignment readingOrder="0" vertical="bottom"/>
    </xf>
    <xf borderId="0" fillId="0" fontId="20" numFmtId="0" xfId="0" applyAlignment="1" applyFont="1">
      <alignment readingOrder="0"/>
    </xf>
    <xf borderId="0" fillId="0" fontId="9" numFmtId="0" xfId="0" applyAlignment="1" applyFont="1">
      <alignment readingOrder="0" shrinkToFit="0" vertical="bottom" wrapText="0"/>
    </xf>
    <xf borderId="0" fillId="0" fontId="24" numFmtId="0" xfId="0" applyAlignment="1" applyFont="1">
      <alignment readingOrder="0"/>
    </xf>
    <xf borderId="0" fillId="0" fontId="49" numFmtId="0" xfId="0" applyAlignment="1" applyFont="1">
      <alignment vertical="bottom"/>
    </xf>
    <xf borderId="0" fillId="11" fontId="49" numFmtId="0" xfId="0" applyAlignment="1" applyFont="1">
      <alignment vertical="bottom"/>
    </xf>
    <xf borderId="0" fillId="0" fontId="49" numFmtId="0" xfId="0" applyAlignment="1" applyFont="1">
      <alignment horizontal="center" vertical="bottom"/>
    </xf>
    <xf borderId="1" fillId="4" fontId="6" numFmtId="0" xfId="0" applyAlignment="1" applyBorder="1" applyFont="1">
      <alignment horizontal="center" readingOrder="0"/>
    </xf>
    <xf borderId="0" fillId="0" fontId="21" numFmtId="0" xfId="0" applyAlignment="1" applyFont="1">
      <alignment horizontal="center" readingOrder="0" vertical="bottom"/>
    </xf>
    <xf borderId="0" fillId="0" fontId="29" numFmtId="0" xfId="0" applyAlignment="1" applyFont="1">
      <alignment vertical="bottom"/>
    </xf>
    <xf borderId="0" fillId="0" fontId="29" numFmtId="9" xfId="0" applyAlignment="1" applyFont="1" applyNumberFormat="1">
      <alignment horizontal="center" readingOrder="0" shrinkToFit="0" vertical="bottom" wrapText="0"/>
    </xf>
    <xf borderId="0" fillId="11" fontId="9" numFmtId="0" xfId="0" applyAlignment="1" applyFont="1">
      <alignment horizontal="center" vertical="bottom"/>
    </xf>
    <xf borderId="0" fillId="11" fontId="7" numFmtId="0" xfId="0" applyAlignment="1" applyFont="1">
      <alignment horizontal="center" vertical="bottom"/>
    </xf>
    <xf borderId="1" fillId="0" fontId="5" numFmtId="0" xfId="0" applyAlignment="1" applyBorder="1" applyFont="1">
      <alignment horizontal="center"/>
    </xf>
    <xf borderId="0" fillId="11" fontId="3" numFmtId="0" xfId="0" applyAlignment="1" applyFont="1">
      <alignment horizontal="center" vertical="bottom"/>
    </xf>
    <xf borderId="0" fillId="11" fontId="7" numFmtId="0" xfId="0" applyAlignment="1" applyFont="1">
      <alignment horizontal="center" vertical="bottom"/>
    </xf>
    <xf borderId="0" fillId="0" fontId="29" numFmtId="0" xfId="0" applyAlignment="1" applyFont="1">
      <alignment vertical="bottom"/>
    </xf>
    <xf borderId="1" fillId="0" fontId="5" numFmtId="0" xfId="0" applyAlignment="1" applyBorder="1" applyFont="1">
      <alignment horizontal="center"/>
    </xf>
    <xf borderId="0" fillId="0" fontId="21" numFmtId="0" xfId="0" applyAlignment="1" applyFont="1">
      <alignment horizontal="center" vertical="bottom"/>
    </xf>
    <xf borderId="1" fillId="3" fontId="5" numFmtId="0" xfId="0" applyAlignment="1" applyBorder="1" applyFont="1">
      <alignment horizontal="center" readingOrder="0" shrinkToFit="0" vertical="center" wrapText="1"/>
    </xf>
    <xf borderId="0" fillId="0" fontId="29" numFmtId="0" xfId="0" applyAlignment="1" applyFont="1">
      <alignment horizontal="center" readingOrder="0" vertical="bottom"/>
    </xf>
    <xf borderId="0" fillId="0" fontId="29" numFmtId="0" xfId="0" applyAlignment="1" applyFont="1">
      <alignment readingOrder="0" vertical="bottom"/>
    </xf>
    <xf borderId="0" fillId="0" fontId="9" numFmtId="0" xfId="0" applyAlignment="1" applyFont="1">
      <alignment horizontal="center" readingOrder="0" vertical="bottom"/>
    </xf>
    <xf borderId="1" fillId="0" fontId="3" numFmtId="0" xfId="0" applyAlignment="1" applyBorder="1" applyFont="1">
      <alignment horizontal="center"/>
    </xf>
    <xf borderId="0" fillId="0" fontId="29" numFmtId="9" xfId="0" applyAlignment="1" applyFont="1" applyNumberFormat="1">
      <alignment readingOrder="0" shrinkToFit="0" vertical="bottom" wrapText="0"/>
    </xf>
    <xf borderId="0" fillId="9" fontId="5" numFmtId="0" xfId="0" applyAlignment="1" applyFont="1">
      <alignment readingOrder="0"/>
    </xf>
    <xf borderId="0" fillId="9" fontId="61" numFmtId="0" xfId="0" applyAlignment="1" applyFont="1">
      <alignment horizontal="center" readingOrder="0"/>
    </xf>
    <xf borderId="0" fillId="27" fontId="5" numFmtId="0" xfId="0" applyAlignment="1" applyFill="1" applyFont="1">
      <alignment readingOrder="0"/>
    </xf>
    <xf borderId="0" fillId="27" fontId="5" numFmtId="0" xfId="0" applyFont="1"/>
    <xf borderId="0" fillId="3" fontId="5" numFmtId="0" xfId="0" applyAlignment="1" applyFont="1">
      <alignment horizontal="center" readingOrder="0"/>
    </xf>
    <xf borderId="0" fillId="0" fontId="29" numFmtId="0" xfId="0" applyAlignment="1" applyFont="1">
      <alignment horizontal="left" readingOrder="0" shrinkToFit="0" vertical="bottom" wrapText="0"/>
    </xf>
    <xf borderId="0" fillId="0" fontId="62" numFmtId="0" xfId="0" applyAlignment="1" applyFont="1">
      <alignment horizontal="left" readingOrder="0" shrinkToFit="0" vertical="bottom" wrapText="0"/>
    </xf>
    <xf borderId="0" fillId="0" fontId="11" numFmtId="0" xfId="0" applyAlignment="1" applyFont="1">
      <alignment shrinkToFit="0" vertical="bottom" wrapText="0"/>
    </xf>
    <xf borderId="0" fillId="3" fontId="45" numFmtId="0" xfId="0" applyAlignment="1" applyFont="1">
      <alignment readingOrder="0"/>
    </xf>
    <xf borderId="0" fillId="0" fontId="8" numFmtId="0" xfId="0" applyAlignment="1" applyFont="1">
      <alignment readingOrder="0" vertical="bottom"/>
    </xf>
    <xf borderId="1" fillId="2" fontId="5" numFmtId="0" xfId="0" applyAlignment="1" applyBorder="1" applyFont="1">
      <alignment horizontal="left" readingOrder="0"/>
    </xf>
    <xf borderId="0" fillId="11" fontId="21" numFmtId="0" xfId="0" applyAlignment="1" applyFont="1">
      <alignment horizontal="center" readingOrder="0" shrinkToFit="0" vertical="bottom" wrapText="0"/>
    </xf>
    <xf borderId="0" fillId="7" fontId="6" numFmtId="0" xfId="0" applyAlignment="1" applyFont="1">
      <alignment horizontal="right" readingOrder="0"/>
    </xf>
    <xf borderId="1" fillId="3" fontId="2" numFmtId="0" xfId="0" applyAlignment="1" applyBorder="1" applyFont="1">
      <alignment horizontal="center" readingOrder="0"/>
    </xf>
    <xf borderId="0" fillId="0" fontId="63" numFmtId="0" xfId="0" applyAlignment="1" applyFont="1">
      <alignment horizontal="center" vertical="bottom"/>
    </xf>
    <xf borderId="0" fillId="0" fontId="3" numFmtId="9" xfId="0" applyAlignment="1" applyFont="1" applyNumberFormat="1">
      <alignment horizontal="right" readingOrder="0" vertical="bottom"/>
    </xf>
    <xf borderId="0" fillId="0" fontId="3" numFmtId="166" xfId="0" applyAlignment="1" applyFont="1" applyNumberFormat="1">
      <alignment horizontal="right" vertical="bottom"/>
    </xf>
    <xf borderId="0" fillId="28" fontId="3" numFmtId="0" xfId="0" applyAlignment="1" applyFill="1" applyFont="1">
      <alignment horizontal="right" readingOrder="0" vertical="bottom"/>
    </xf>
    <xf borderId="0" fillId="0" fontId="63" numFmtId="0" xfId="0" applyAlignment="1" applyFont="1">
      <alignment horizontal="center" vertical="bottom"/>
    </xf>
    <xf borderId="0" fillId="0" fontId="63" numFmtId="0" xfId="0" applyAlignment="1" applyFont="1">
      <alignment horizontal="center" readingOrder="0" vertical="bottom"/>
    </xf>
    <xf borderId="0" fillId="4" fontId="6" numFmtId="0" xfId="0" applyAlignment="1" applyFont="1">
      <alignment horizontal="left"/>
    </xf>
    <xf borderId="0" fillId="0" fontId="37" numFmtId="0" xfId="0" applyFont="1"/>
    <xf borderId="0" fillId="9" fontId="18" numFmtId="0" xfId="0" applyAlignment="1" applyFont="1">
      <alignment readingOrder="0"/>
    </xf>
    <xf borderId="3" fillId="3" fontId="17" numFmtId="0" xfId="0" applyBorder="1" applyFont="1"/>
    <xf borderId="0" fillId="9" fontId="64" numFmtId="0" xfId="0" applyAlignment="1" applyFont="1">
      <alignment readingOrder="0"/>
    </xf>
    <xf borderId="0" fillId="3" fontId="22" numFmtId="0" xfId="0" applyAlignment="1" applyFont="1">
      <alignment horizontal="left" shrinkToFit="0" vertical="bottom" wrapText="0"/>
    </xf>
    <xf borderId="0" fillId="7" fontId="6" numFmtId="0" xfId="0" applyAlignment="1" applyFont="1">
      <alignment horizontal="left"/>
    </xf>
    <xf borderId="1" fillId="0" fontId="5" numFmtId="9" xfId="0" applyAlignment="1" applyBorder="1" applyFont="1" applyNumberFormat="1">
      <alignment horizontal="center" readingOrder="0"/>
    </xf>
    <xf borderId="0" fillId="3" fontId="6" numFmtId="9" xfId="0" applyAlignment="1" applyFont="1" applyNumberFormat="1">
      <alignment readingOrder="0"/>
    </xf>
    <xf borderId="7" fillId="0" fontId="3" numFmtId="0" xfId="0" applyAlignment="1" applyBorder="1" applyFont="1">
      <alignment horizontal="center" vertical="bottom"/>
    </xf>
    <xf borderId="0" fillId="0" fontId="65" numFmtId="4" xfId="0" applyAlignment="1" applyFont="1" applyNumberFormat="1">
      <alignment horizontal="right" readingOrder="0"/>
    </xf>
    <xf borderId="1" fillId="3" fontId="4" numFmtId="0" xfId="0" applyAlignment="1" applyBorder="1" applyFont="1">
      <alignment horizontal="center"/>
    </xf>
    <xf borderId="0" fillId="3" fontId="11" numFmtId="0" xfId="0" applyAlignment="1" applyFont="1">
      <alignment horizontal="right" readingOrder="0" shrinkToFit="0" vertical="bottom" wrapText="0"/>
    </xf>
    <xf borderId="0" fillId="0" fontId="11" numFmtId="0" xfId="0" applyAlignment="1" applyFont="1">
      <alignment horizontal="right" readingOrder="0" shrinkToFit="0" vertical="bottom" wrapText="0"/>
    </xf>
    <xf borderId="0" fillId="15" fontId="5" numFmtId="0" xfId="0" applyAlignment="1" applyFont="1">
      <alignment horizontal="right" readingOrder="0"/>
    </xf>
    <xf borderId="0" fillId="15" fontId="5" numFmtId="0" xfId="0" applyAlignment="1" applyFont="1">
      <alignment horizontal="center" readingOrder="0"/>
    </xf>
    <xf borderId="0" fillId="3" fontId="6" numFmtId="9" xfId="0" applyAlignment="1" applyFont="1" applyNumberFormat="1">
      <alignment horizontal="left" readingOrder="0"/>
    </xf>
    <xf borderId="0" fillId="3" fontId="24" numFmtId="9" xfId="0" applyAlignment="1" applyFont="1" applyNumberFormat="1">
      <alignment readingOrder="0"/>
    </xf>
    <xf borderId="0" fillId="5" fontId="5" numFmtId="0" xfId="0" applyAlignment="1" applyFont="1">
      <alignment horizontal="right" readingOrder="0"/>
    </xf>
    <xf borderId="0" fillId="5" fontId="5" numFmtId="9" xfId="0" applyAlignment="1" applyFont="1" applyNumberFormat="1">
      <alignment horizontal="center" readingOrder="0"/>
    </xf>
    <xf borderId="0" fillId="0" fontId="29" numFmtId="0" xfId="0" applyAlignment="1" applyFont="1">
      <alignment horizontal="right" readingOrder="0" shrinkToFit="0" vertical="bottom" wrapText="0"/>
    </xf>
    <xf borderId="0" fillId="2" fontId="5" numFmtId="9" xfId="0" applyAlignment="1" applyFont="1" applyNumberFormat="1">
      <alignment horizontal="center" readingOrder="0"/>
    </xf>
    <xf borderId="0" fillId="2" fontId="29" numFmtId="0" xfId="0" applyAlignment="1" applyFont="1">
      <alignment horizontal="right" readingOrder="0" shrinkToFit="0" vertical="bottom" wrapText="0"/>
    </xf>
    <xf borderId="0" fillId="2" fontId="18" numFmtId="0" xfId="0" applyAlignment="1" applyFont="1">
      <alignment horizontal="right" readingOrder="0"/>
    </xf>
    <xf borderId="0" fillId="2" fontId="29" numFmtId="0" xfId="0" applyAlignment="1" applyFont="1">
      <alignment horizontal="center" readingOrder="0" shrinkToFit="0" vertical="bottom" wrapText="0"/>
    </xf>
    <xf borderId="0" fillId="3" fontId="24" numFmtId="9" xfId="0" applyAlignment="1" applyFont="1" applyNumberFormat="1">
      <alignment horizontal="left" readingOrder="0"/>
    </xf>
    <xf borderId="0" fillId="5" fontId="18" numFmtId="0" xfId="0" applyAlignment="1" applyFont="1">
      <alignment horizontal="right" readingOrder="0"/>
    </xf>
    <xf borderId="0" fillId="11" fontId="3" numFmtId="0" xfId="0" applyAlignment="1" applyFont="1">
      <alignment vertical="bottom"/>
    </xf>
    <xf borderId="0" fillId="11" fontId="5" numFmtId="0" xfId="0" applyAlignment="1" applyFont="1">
      <alignment horizontal="right" readingOrder="0"/>
    </xf>
    <xf borderId="0" fillId="11" fontId="5" numFmtId="9" xfId="0" applyAlignment="1" applyFont="1" applyNumberFormat="1">
      <alignment horizontal="center" readingOrder="0"/>
    </xf>
    <xf borderId="0" fillId="11" fontId="29" numFmtId="0" xfId="0" applyAlignment="1" applyFont="1">
      <alignment horizontal="center" readingOrder="0" shrinkToFit="0" vertical="bottom" wrapText="0"/>
    </xf>
    <xf borderId="0" fillId="18" fontId="5" numFmtId="0" xfId="0" applyAlignment="1" applyFont="1">
      <alignment horizontal="right" readingOrder="0"/>
    </xf>
    <xf borderId="0" fillId="3" fontId="50" numFmtId="9" xfId="0" applyAlignment="1" applyFont="1" applyNumberFormat="1">
      <alignment readingOrder="0" vertical="bottom"/>
    </xf>
    <xf borderId="0" fillId="2" fontId="24" numFmtId="0" xfId="0" applyAlignment="1" applyFont="1">
      <alignment horizontal="right" readingOrder="0"/>
    </xf>
    <xf borderId="0" fillId="2" fontId="5" numFmtId="0" xfId="0" applyAlignment="1" applyFont="1">
      <alignment horizontal="left"/>
    </xf>
    <xf borderId="0" fillId="5" fontId="5" numFmtId="0" xfId="0" applyAlignment="1" applyFont="1">
      <alignment horizontal="left" readingOrder="0"/>
    </xf>
    <xf borderId="1" fillId="5" fontId="5" numFmtId="0" xfId="0" applyAlignment="1" applyBorder="1" applyFont="1">
      <alignment horizontal="right" readingOrder="0"/>
    </xf>
    <xf borderId="0" fillId="5" fontId="8" numFmtId="0" xfId="0" applyAlignment="1" applyFont="1">
      <alignment horizontal="right" readingOrder="0" shrinkToFit="0" wrapText="0"/>
    </xf>
    <xf borderId="1" fillId="3" fontId="6" numFmtId="0" xfId="0" applyAlignment="1" applyBorder="1" applyFont="1">
      <alignment horizontal="left"/>
    </xf>
    <xf borderId="1" fillId="3" fontId="6" numFmtId="0" xfId="0" applyAlignment="1" applyBorder="1" applyFont="1">
      <alignment horizontal="left" readingOrder="0"/>
    </xf>
    <xf borderId="0" fillId="2" fontId="29" numFmtId="0" xfId="0" applyAlignment="1" applyFont="1">
      <alignment horizontal="left" readingOrder="0"/>
    </xf>
    <xf borderId="0" fillId="25" fontId="29" numFmtId="0" xfId="0" applyAlignment="1" applyFont="1">
      <alignment horizontal="left" readingOrder="0"/>
    </xf>
    <xf borderId="1" fillId="0" fontId="6" numFmtId="0" xfId="0" applyAlignment="1" applyBorder="1" applyFont="1">
      <alignment horizontal="left"/>
    </xf>
    <xf borderId="1" fillId="3" fontId="7" numFmtId="0" xfId="0" applyAlignment="1" applyBorder="1" applyFont="1">
      <alignment horizontal="left" vertical="bottom"/>
    </xf>
    <xf borderId="0" fillId="3" fontId="66" numFmtId="9" xfId="0" applyAlignment="1" applyFont="1" applyNumberFormat="1">
      <alignment horizontal="left" shrinkToFit="0" vertical="bottom" wrapText="1"/>
    </xf>
    <xf borderId="0" fillId="3" fontId="67" numFmtId="9" xfId="0" applyAlignment="1" applyFont="1" applyNumberFormat="1">
      <alignment horizontal="left" vertical="bottom"/>
    </xf>
    <xf borderId="1" fillId="29" fontId="5" numFmtId="0" xfId="0" applyAlignment="1" applyBorder="1" applyFill="1" applyFont="1">
      <alignment readingOrder="0"/>
    </xf>
    <xf borderId="5" fillId="3" fontId="6" numFmtId="0" xfId="0" applyAlignment="1" applyBorder="1" applyFont="1">
      <alignment horizontal="left"/>
    </xf>
    <xf borderId="11" fillId="3" fontId="6" numFmtId="0" xfId="0" applyAlignment="1" applyBorder="1" applyFont="1">
      <alignment horizontal="left" readingOrder="0"/>
    </xf>
    <xf borderId="7" fillId="2" fontId="68" numFmtId="9" xfId="0" applyAlignment="1" applyBorder="1" applyFont="1" applyNumberFormat="1">
      <alignment shrinkToFit="0" vertical="bottom" wrapText="1"/>
    </xf>
    <xf borderId="11" fillId="3" fontId="69" numFmtId="9" xfId="0" applyAlignment="1" applyBorder="1" applyFont="1" applyNumberFormat="1">
      <alignment horizontal="left" shrinkToFit="0" vertical="bottom" wrapText="1"/>
    </xf>
    <xf borderId="7" fillId="0" fontId="70" numFmtId="9" xfId="0" applyAlignment="1" applyBorder="1" applyFont="1" applyNumberFormat="1">
      <alignment vertical="bottom"/>
    </xf>
    <xf borderId="7" fillId="0" fontId="71" numFmtId="9" xfId="0" applyAlignment="1" applyBorder="1" applyFont="1" applyNumberFormat="1">
      <alignment shrinkToFit="0" vertical="bottom" wrapText="1"/>
    </xf>
    <xf borderId="0" fillId="3" fontId="27" numFmtId="0" xfId="0" applyAlignment="1" applyFont="1">
      <alignment readingOrder="0"/>
    </xf>
    <xf borderId="1" fillId="3" fontId="3" numFmtId="0" xfId="0" applyAlignment="1" applyBorder="1" applyFont="1">
      <alignment horizontal="center" shrinkToFit="0" wrapText="0"/>
    </xf>
    <xf borderId="0" fillId="30" fontId="72" numFmtId="0" xfId="0" applyFill="1" applyFont="1"/>
    <xf borderId="0" fillId="30" fontId="24" numFmtId="0" xfId="0" applyFont="1"/>
    <xf borderId="0" fillId="0" fontId="18" numFmtId="0" xfId="0" applyAlignment="1" applyFont="1">
      <alignment vertical="bottom"/>
    </xf>
    <xf borderId="0" fillId="0" fontId="18" numFmtId="0" xfId="0" applyAlignment="1" applyFont="1">
      <alignment horizontal="right" vertical="bottom"/>
    </xf>
    <xf borderId="0" fillId="0" fontId="60" numFmtId="0" xfId="0" applyAlignment="1" applyFont="1">
      <alignment horizontal="right" vertical="bottom"/>
    </xf>
    <xf borderId="0" fillId="0" fontId="45" numFmtId="0" xfId="0" applyAlignment="1" applyFont="1">
      <alignment vertical="bottom"/>
    </xf>
    <xf borderId="0" fillId="0" fontId="4" numFmtId="0" xfId="0" applyAlignment="1" applyFont="1">
      <alignment vertical="bottom"/>
    </xf>
    <xf borderId="0" fillId="0" fontId="3" numFmtId="0" xfId="0" applyAlignment="1" applyFont="1">
      <alignment horizontal="right"/>
    </xf>
    <xf borderId="0" fillId="0" fontId="3" numFmtId="0" xfId="0" applyAlignment="1" applyFont="1">
      <alignment horizontal="center" shrinkToFit="0" vertical="bottom" wrapText="1"/>
    </xf>
    <xf borderId="0" fillId="0" fontId="73" numFmtId="0" xfId="0" applyAlignment="1" applyFont="1">
      <alignment horizontal="center" shrinkToFit="0" vertical="bottom" wrapText="1"/>
    </xf>
    <xf borderId="0" fillId="0" fontId="15" numFmtId="0" xfId="0" applyAlignment="1" applyFont="1">
      <alignment horizontal="center" vertical="bottom"/>
    </xf>
    <xf borderId="0" fillId="0" fontId="4" numFmtId="0" xfId="0" applyAlignment="1" applyFont="1">
      <alignment horizontal="center" vertical="bottom"/>
    </xf>
    <xf borderId="0" fillId="4" fontId="22" numFmtId="0" xfId="0" applyAlignment="1" applyFont="1">
      <alignment horizontal="left" readingOrder="0" vertical="bottom"/>
    </xf>
    <xf borderId="0" fillId="2" fontId="29" numFmtId="0" xfId="0" applyAlignment="1" applyFont="1">
      <alignment readingOrder="0" vertical="bottom"/>
    </xf>
    <xf borderId="0" fillId="2" fontId="29" numFmtId="0" xfId="0" applyAlignment="1" applyFont="1">
      <alignment horizontal="right" readingOrder="0" vertical="bottom"/>
    </xf>
    <xf borderId="0" fillId="0" fontId="22" numFmtId="0" xfId="0" applyAlignment="1" applyFont="1">
      <alignment horizontal="left" readingOrder="0" vertical="bottom"/>
    </xf>
    <xf borderId="0" fillId="11" fontId="22" numFmtId="0" xfId="0" applyAlignment="1" applyFont="1">
      <alignment horizontal="left" readingOrder="0" vertical="bottom"/>
    </xf>
    <xf borderId="0" fillId="18" fontId="29" numFmtId="0" xfId="0" applyAlignment="1" applyFont="1">
      <alignment readingOrder="0" vertical="bottom"/>
    </xf>
    <xf borderId="1" fillId="2" fontId="4" numFmtId="0" xfId="0" applyAlignment="1" applyBorder="1" applyFont="1">
      <alignment readingOrder="0"/>
    </xf>
    <xf borderId="0" fillId="3" fontId="48" numFmtId="0" xfId="0" applyAlignment="1" applyFont="1">
      <alignment horizontal="left" readingOrder="0"/>
    </xf>
    <xf borderId="0" fillId="2" fontId="48" numFmtId="0" xfId="0" applyAlignment="1" applyFont="1">
      <alignment readingOrder="0"/>
    </xf>
    <xf borderId="1" fillId="0" fontId="5" numFmtId="0" xfId="0" applyAlignment="1" applyBorder="1" applyFont="1">
      <alignment horizontal="right" readingOrder="0"/>
    </xf>
    <xf borderId="0" fillId="0" fontId="62" numFmtId="0" xfId="0" applyAlignment="1" applyFont="1">
      <alignment readingOrder="0" shrinkToFit="0" vertical="bottom" wrapText="0"/>
    </xf>
    <xf borderId="0" fillId="3" fontId="47" numFmtId="0" xfId="0" applyAlignment="1" applyFont="1">
      <alignment readingOrder="0"/>
    </xf>
    <xf borderId="1" fillId="3" fontId="20" numFmtId="0" xfId="0" applyAlignment="1" applyBorder="1" applyFont="1">
      <alignment readingOrder="0"/>
    </xf>
    <xf borderId="0" fillId="11" fontId="5" numFmtId="0" xfId="0" applyAlignment="1" applyFont="1">
      <alignment horizontal="right"/>
    </xf>
    <xf borderId="0" fillId="11" fontId="5" numFmtId="0" xfId="0" applyAlignment="1" applyFont="1">
      <alignment horizontal="center" readingOrder="0"/>
    </xf>
    <xf borderId="0" fillId="11" fontId="8" numFmtId="0" xfId="0" applyAlignment="1" applyFont="1">
      <alignment readingOrder="0" shrinkToFit="0" vertical="bottom" wrapText="0"/>
    </xf>
    <xf borderId="0" fillId="11" fontId="8" numFmtId="0" xfId="0" applyAlignment="1" applyFont="1">
      <alignment readingOrder="0" vertical="bottom"/>
    </xf>
    <xf borderId="0" fillId="11" fontId="8" numFmtId="0" xfId="0" applyAlignment="1" applyFont="1">
      <alignment horizontal="right" readingOrder="0" shrinkToFit="0" vertical="bottom" wrapText="0"/>
    </xf>
    <xf borderId="0" fillId="11" fontId="3" numFmtId="0" xfId="0" applyAlignment="1" applyFont="1">
      <alignment readingOrder="0" vertical="bottom"/>
    </xf>
    <xf borderId="0" fillId="0" fontId="3" numFmtId="0" xfId="0" applyAlignment="1" applyFont="1">
      <alignment horizontal="left" vertical="bottom"/>
    </xf>
    <xf borderId="0" fillId="3" fontId="18" numFmtId="0" xfId="0" applyAlignment="1" applyFont="1">
      <alignment horizontal="right" vertical="bottom"/>
    </xf>
    <xf borderId="0" fillId="0" fontId="3" numFmtId="0" xfId="0" applyAlignment="1" applyFont="1">
      <alignment horizontal="left" readingOrder="0" vertical="bottom"/>
    </xf>
    <xf borderId="0" fillId="0" fontId="60" numFmtId="0" xfId="0" applyAlignment="1" applyFont="1">
      <alignment vertical="bottom"/>
    </xf>
    <xf borderId="0" fillId="3" fontId="4" numFmtId="0" xfId="0" applyAlignment="1" applyFont="1">
      <alignment horizontal="right" vertical="bottom"/>
    </xf>
    <xf borderId="0" fillId="4" fontId="31" numFmtId="0" xfId="0" applyAlignment="1" applyFont="1">
      <alignment horizontal="center" readingOrder="0"/>
    </xf>
    <xf borderId="0" fillId="3" fontId="5" numFmtId="0" xfId="0" applyFont="1"/>
    <xf borderId="0" fillId="3" fontId="6" numFmtId="0" xfId="0" applyAlignment="1" applyFont="1">
      <alignment horizontal="center" readingOrder="0" vertical="center"/>
    </xf>
    <xf borderId="12" fillId="3" fontId="74" numFmtId="0" xfId="0" applyAlignment="1" applyBorder="1" applyFont="1">
      <alignment horizontal="center" readingOrder="0"/>
    </xf>
    <xf borderId="0" fillId="3" fontId="22" numFmtId="0" xfId="0" applyAlignment="1" applyFont="1">
      <alignment horizontal="left" readingOrder="0" shrinkToFit="0" vertical="bottom" wrapText="0"/>
    </xf>
    <xf borderId="0" fillId="3" fontId="22" numFmtId="9" xfId="0" applyAlignment="1" applyFont="1" applyNumberFormat="1">
      <alignment horizontal="left" readingOrder="0" shrinkToFit="0" vertical="bottom" wrapText="0"/>
    </xf>
    <xf borderId="0" fillId="3" fontId="74" numFmtId="0" xfId="0" applyAlignment="1" applyFont="1">
      <alignment horizontal="center" readingOrder="0"/>
    </xf>
    <xf borderId="1" fillId="3" fontId="22" numFmtId="0" xfId="0" applyAlignment="1" applyBorder="1" applyFont="1">
      <alignment horizontal="left" readingOrder="0" shrinkToFit="0" vertical="bottom" wrapText="0"/>
    </xf>
    <xf borderId="0" fillId="3" fontId="60" numFmtId="0" xfId="0" applyAlignment="1" applyFont="1">
      <alignment horizontal="center" vertical="bottom"/>
    </xf>
    <xf borderId="1" fillId="3" fontId="5" numFmtId="0" xfId="0" applyAlignment="1" applyBorder="1" applyFont="1">
      <alignment horizontal="center" readingOrder="0"/>
    </xf>
    <xf borderId="0" fillId="0" fontId="75" numFmtId="0" xfId="0" applyAlignment="1" applyFont="1">
      <alignment horizontal="center" readingOrder="0"/>
    </xf>
    <xf borderId="0" fillId="0" fontId="3" numFmtId="0" xfId="0" applyAlignment="1" applyFont="1">
      <alignment horizontal="right"/>
    </xf>
    <xf borderId="0" fillId="0" fontId="76" numFmtId="0" xfId="0" applyAlignment="1" applyFont="1">
      <alignment vertical="bottom"/>
    </xf>
    <xf borderId="0" fillId="0" fontId="5" numFmtId="0" xfId="0" applyAlignment="1" applyFont="1">
      <alignment horizontal="center" readingOrder="0"/>
    </xf>
    <xf borderId="0" fillId="3" fontId="77" numFmtId="0" xfId="0" applyAlignment="1" applyFont="1">
      <alignment readingOrder="0"/>
    </xf>
    <xf borderId="0" fillId="0" fontId="5" numFmtId="4" xfId="0" applyAlignment="1" applyFont="1" applyNumberFormat="1">
      <alignment horizontal="center"/>
    </xf>
    <xf borderId="7" fillId="0" fontId="49" numFmtId="0" xfId="0" applyAlignment="1" applyBorder="1" applyFont="1">
      <alignment horizontal="center" vertical="bottom"/>
    </xf>
    <xf borderId="0" fillId="0" fontId="5" numFmtId="4" xfId="0" applyAlignment="1" applyFont="1" applyNumberFormat="1">
      <alignment horizontal="center" readingOrder="0"/>
    </xf>
    <xf borderId="0" fillId="31" fontId="78" numFmtId="0" xfId="0" applyAlignment="1" applyFill="1" applyFont="1">
      <alignment horizontal="center" readingOrder="0"/>
    </xf>
    <xf borderId="0" fillId="7" fontId="31" numFmtId="0" xfId="0" applyAlignment="1" applyFont="1">
      <alignment horizontal="left" readingOrder="0"/>
    </xf>
    <xf borderId="0" fillId="4" fontId="4" numFmtId="0" xfId="0" applyAlignment="1" applyFont="1">
      <alignment horizontal="left" readingOrder="0"/>
    </xf>
    <xf borderId="0" fillId="0" fontId="16" numFmtId="0" xfId="0" applyAlignment="1" applyFont="1">
      <alignment horizontal="right" vertical="bottom"/>
    </xf>
    <xf borderId="0" fillId="4" fontId="39" numFmtId="0" xfId="0" applyAlignment="1" applyFont="1">
      <alignment horizontal="left" readingOrder="0" vertical="bottom"/>
    </xf>
    <xf borderId="0" fillId="0" fontId="1" numFmtId="0" xfId="0" applyAlignment="1" applyFont="1">
      <alignment vertical="bottom"/>
    </xf>
    <xf borderId="0" fillId="3" fontId="8" numFmtId="9" xfId="0" applyAlignment="1" applyFont="1" applyNumberFormat="1">
      <alignment horizontal="left" readingOrder="0" shrinkToFit="0" vertical="bottom" wrapText="0"/>
    </xf>
    <xf borderId="1" fillId="0" fontId="5" numFmtId="9" xfId="0" applyAlignment="1" applyBorder="1" applyFont="1" applyNumberFormat="1">
      <alignment readingOrder="0"/>
    </xf>
    <xf borderId="0" fillId="2" fontId="65" numFmtId="0" xfId="0" applyAlignment="1" applyFont="1">
      <alignment horizontal="right" readingOrder="0"/>
    </xf>
    <xf borderId="0" fillId="3" fontId="57" numFmtId="0" xfId="0" applyAlignment="1" applyFont="1">
      <alignment horizontal="left" readingOrder="0"/>
    </xf>
    <xf borderId="0" fillId="2" fontId="58" numFmtId="0" xfId="0" applyAlignment="1" applyFont="1">
      <alignment readingOrder="0"/>
    </xf>
    <xf borderId="0" fillId="3" fontId="15" numFmtId="0" xfId="0" applyAlignment="1" applyFont="1">
      <alignment readingOrder="0"/>
    </xf>
    <xf borderId="0" fillId="3" fontId="20" numFmtId="0" xfId="0" applyAlignment="1" applyFont="1">
      <alignment vertical="bottom"/>
    </xf>
    <xf borderId="0" fillId="14" fontId="7" numFmtId="0" xfId="0" applyAlignment="1" applyFont="1">
      <alignment horizontal="left" readingOrder="0" vertical="bottom"/>
    </xf>
    <xf borderId="0" fillId="7" fontId="7" numFmtId="0" xfId="0" applyAlignment="1" applyFont="1">
      <alignment horizontal="center" vertical="bottom"/>
    </xf>
    <xf borderId="0" fillId="3" fontId="7" numFmtId="0" xfId="0" applyAlignment="1" applyFont="1">
      <alignment horizontal="center"/>
    </xf>
    <xf borderId="0" fillId="0" fontId="8" numFmtId="9" xfId="0" applyAlignment="1" applyFont="1" applyNumberFormat="1">
      <alignment horizontal="center" readingOrder="0" shrinkToFit="0" vertical="bottom" wrapText="0"/>
    </xf>
    <xf borderId="0" fillId="2" fontId="3" numFmtId="0" xfId="0" applyAlignment="1" applyFont="1">
      <alignment horizontal="center"/>
    </xf>
    <xf borderId="0" fillId="3" fontId="8" numFmtId="9" xfId="0" applyAlignment="1" applyFont="1" applyNumberFormat="1">
      <alignment readingOrder="0" shrinkToFit="0" vertical="bottom" wrapText="0"/>
    </xf>
    <xf borderId="0" fillId="3" fontId="19" numFmtId="0" xfId="0" applyAlignment="1" applyFont="1">
      <alignment horizontal="center" readingOrder="0"/>
    </xf>
    <xf borderId="0" fillId="2" fontId="20" numFmtId="0" xfId="0" applyAlignment="1" applyFont="1">
      <alignment horizontal="right" readingOrder="0"/>
    </xf>
    <xf borderId="7" fillId="3" fontId="3" numFmtId="0" xfId="0" applyAlignment="1" applyBorder="1" applyFont="1">
      <alignment horizontal="center" vertical="bottom"/>
    </xf>
    <xf borderId="0" fillId="0" fontId="79" numFmtId="0" xfId="0" applyAlignment="1" applyFont="1">
      <alignment horizontal="right" readingOrder="0" shrinkToFit="0" vertical="bottom" wrapText="0"/>
    </xf>
    <xf borderId="0" fillId="0" fontId="37" numFmtId="0" xfId="0" applyAlignment="1" applyFont="1">
      <alignment horizontal="center" readingOrder="0"/>
    </xf>
    <xf borderId="0" fillId="0" fontId="64" numFmtId="0" xfId="0" applyAlignment="1" applyFont="1">
      <alignment readingOrder="0"/>
    </xf>
    <xf borderId="0" fillId="0" fontId="22" numFmtId="0" xfId="0" applyAlignment="1" applyFont="1">
      <alignment horizontal="left" readingOrder="0" shrinkToFit="0" vertical="bottom" wrapText="0"/>
    </xf>
    <xf borderId="0" fillId="0" fontId="1" numFmtId="0" xfId="0" applyAlignment="1" applyFont="1">
      <alignment horizontal="center" readingOrder="0" vertical="bottom"/>
    </xf>
    <xf borderId="0" fillId="3" fontId="8" numFmtId="0" xfId="0" applyAlignment="1" applyFont="1">
      <alignment horizontal="center" readingOrder="0" shrinkToFit="0" vertical="bottom" wrapText="0"/>
    </xf>
    <xf borderId="0" fillId="0" fontId="6" numFmtId="9" xfId="0" applyAlignment="1" applyFont="1" applyNumberFormat="1">
      <alignment horizontal="left" readingOrder="0"/>
    </xf>
    <xf borderId="0" fillId="3" fontId="37" numFmtId="0" xfId="0" applyAlignment="1" applyFont="1">
      <alignment horizontal="center" readingOrder="0"/>
    </xf>
    <xf borderId="0" fillId="11" fontId="22" numFmtId="0" xfId="0" applyAlignment="1" applyFont="1">
      <alignment horizontal="left" readingOrder="0" shrinkToFit="0" vertical="bottom" wrapText="0"/>
    </xf>
    <xf borderId="0" fillId="3" fontId="49" numFmtId="0" xfId="0" applyAlignment="1" applyFont="1">
      <alignment horizontal="left" vertical="bottom"/>
    </xf>
    <xf borderId="0" fillId="3" fontId="6" numFmtId="164" xfId="0" applyAlignment="1" applyFont="1" applyNumberFormat="1">
      <alignment horizontal="left" readingOrder="0"/>
    </xf>
    <xf borderId="0" fillId="3" fontId="24" numFmtId="0" xfId="0" applyAlignment="1" applyFont="1">
      <alignment readingOrder="0"/>
    </xf>
    <xf borderId="0" fillId="3" fontId="64" numFmtId="0" xfId="0" applyAlignment="1" applyFont="1">
      <alignment readingOrder="0"/>
    </xf>
    <xf borderId="2" fillId="4" fontId="6" numFmtId="0" xfId="0" applyAlignment="1" applyBorder="1" applyFont="1">
      <alignment horizontal="center" readingOrder="0"/>
    </xf>
    <xf borderId="1" fillId="7" fontId="64" numFmtId="0" xfId="0" applyAlignment="1" applyBorder="1" applyFont="1">
      <alignment horizontal="center" readingOrder="0"/>
    </xf>
    <xf borderId="0" fillId="3" fontId="7" numFmtId="0" xfId="0" applyAlignment="1" applyFont="1">
      <alignment horizontal="center" vertical="bottom"/>
    </xf>
    <xf borderId="0" fillId="3" fontId="21" numFmtId="9" xfId="0" applyAlignment="1" applyFont="1" applyNumberFormat="1">
      <alignment horizontal="center" readingOrder="0" shrinkToFit="0" vertical="bottom" wrapText="0"/>
    </xf>
    <xf borderId="1" fillId="7" fontId="1" numFmtId="0" xfId="0" applyAlignment="1" applyBorder="1" applyFont="1">
      <alignment horizontal="center" vertical="bottom"/>
    </xf>
    <xf borderId="0" fillId="7" fontId="5" numFmtId="0" xfId="0" applyAlignment="1" applyFont="1">
      <alignment horizontal="center" readingOrder="0"/>
    </xf>
    <xf borderId="1" fillId="0" fontId="1" numFmtId="0" xfId="0" applyAlignment="1" applyBorder="1" applyFont="1">
      <alignment horizontal="center" readingOrder="0" vertical="bottom"/>
    </xf>
    <xf borderId="0" fillId="3" fontId="7" numFmtId="0" xfId="0" applyAlignment="1" applyFont="1">
      <alignment horizontal="center" readingOrder="0" vertical="bottom"/>
    </xf>
    <xf borderId="1" fillId="7" fontId="1" numFmtId="0" xfId="0" applyAlignment="1" applyBorder="1" applyFont="1">
      <alignment horizontal="center" readingOrder="0" vertical="bottom"/>
    </xf>
    <xf borderId="1" fillId="2" fontId="1" numFmtId="0" xfId="0" applyAlignment="1" applyBorder="1" applyFont="1">
      <alignment horizontal="center" vertical="bottom"/>
    </xf>
    <xf borderId="1" fillId="2" fontId="1" numFmtId="0" xfId="0" applyAlignment="1" applyBorder="1" applyFont="1">
      <alignment horizontal="center" readingOrder="0" vertical="bottom"/>
    </xf>
    <xf borderId="0" fillId="0" fontId="21" numFmtId="9" xfId="0" applyAlignment="1" applyFont="1" applyNumberFormat="1">
      <alignment horizontal="center" readingOrder="0" shrinkToFit="0" vertical="bottom" wrapText="0"/>
    </xf>
    <xf borderId="0" fillId="0" fontId="8" numFmtId="0" xfId="0" applyAlignment="1" applyFont="1">
      <alignment horizontal="center" shrinkToFit="0" vertical="bottom" wrapText="0"/>
    </xf>
    <xf borderId="0" fillId="9" fontId="7" numFmtId="0" xfId="0" applyAlignment="1" applyFont="1">
      <alignment horizontal="center" vertical="bottom"/>
    </xf>
    <xf borderId="0" fillId="9" fontId="5" numFmtId="0" xfId="0" applyAlignment="1" applyFont="1">
      <alignment horizontal="center" readingOrder="0"/>
    </xf>
    <xf borderId="0" fillId="3" fontId="8" numFmtId="0" xfId="0" applyAlignment="1" applyFont="1">
      <alignment horizontal="center" readingOrder="0" shrinkToFit="0" wrapText="0"/>
    </xf>
    <xf borderId="1" fillId="2" fontId="8" numFmtId="0" xfId="0" applyAlignment="1" applyBorder="1" applyFont="1">
      <alignment horizontal="center" readingOrder="0" shrinkToFit="0" wrapText="0"/>
    </xf>
    <xf borderId="0" fillId="0" fontId="7" numFmtId="0" xfId="0" applyAlignment="1" applyFont="1">
      <alignment horizontal="center" readingOrder="0" vertical="bottom"/>
    </xf>
    <xf borderId="0" fillId="3" fontId="19" numFmtId="0" xfId="0" applyAlignment="1" applyFont="1">
      <alignment horizontal="center" readingOrder="0"/>
    </xf>
    <xf borderId="0" fillId="7" fontId="20" numFmtId="0" xfId="0" applyAlignment="1" applyFont="1">
      <alignment horizontal="center" readingOrder="0"/>
    </xf>
    <xf borderId="0" fillId="7" fontId="8" numFmtId="0" xfId="0" applyAlignment="1" applyFont="1">
      <alignment horizontal="center" readingOrder="0" shrinkToFit="0" vertical="bottom" wrapText="0"/>
    </xf>
    <xf borderId="0" fillId="3" fontId="22" numFmtId="0" xfId="0" applyAlignment="1" applyFont="1">
      <alignment horizontal="center" readingOrder="0" vertical="bottom"/>
    </xf>
    <xf borderId="0" fillId="7" fontId="29" numFmtId="0" xfId="0" applyAlignment="1" applyFont="1">
      <alignment horizontal="center" readingOrder="0" vertical="bottom"/>
    </xf>
    <xf borderId="0" fillId="7" fontId="18" numFmtId="0" xfId="0" applyAlignment="1" applyFont="1">
      <alignment horizontal="center" readingOrder="0"/>
    </xf>
    <xf borderId="0" fillId="0" fontId="8" numFmtId="11" xfId="0" applyAlignment="1" applyFont="1" applyNumberFormat="1">
      <alignment horizontal="center" readingOrder="0" shrinkToFit="0" vertical="bottom" wrapText="0"/>
    </xf>
    <xf borderId="0" fillId="9" fontId="8" numFmtId="0" xfId="0" applyAlignment="1" applyFont="1">
      <alignment horizontal="center" readingOrder="0" shrinkToFit="0" vertical="bottom" wrapText="0"/>
    </xf>
    <xf borderId="0" fillId="7" fontId="6" numFmtId="0" xfId="0" applyAlignment="1" applyFont="1">
      <alignment horizontal="center" readingOrder="0"/>
    </xf>
    <xf borderId="0" fillId="11" fontId="8" numFmtId="0" xfId="0" applyAlignment="1" applyFont="1">
      <alignment horizontal="center" readingOrder="0" shrinkToFit="0" vertical="bottom" wrapText="0"/>
    </xf>
    <xf borderId="0" fillId="3" fontId="22" numFmtId="0" xfId="0" applyAlignment="1" applyFont="1">
      <alignment horizontal="center" readingOrder="0"/>
    </xf>
    <xf borderId="0" fillId="7" fontId="29" numFmtId="0" xfId="0" applyAlignment="1" applyFont="1">
      <alignment horizontal="center" readingOrder="0"/>
    </xf>
    <xf borderId="0" fillId="2" fontId="29" numFmtId="0" xfId="0" applyAlignment="1" applyFont="1">
      <alignment horizontal="center" readingOrder="0"/>
    </xf>
    <xf borderId="0" fillId="2" fontId="20" numFmtId="0" xfId="0" applyAlignment="1" applyFont="1">
      <alignment horizontal="center" readingOrder="0"/>
    </xf>
    <xf borderId="0" fillId="3" fontId="20" numFmtId="0" xfId="0" applyAlignment="1" applyFont="1">
      <alignment horizontal="center" readingOrder="0"/>
    </xf>
    <xf borderId="0" fillId="0" fontId="11" numFmtId="0" xfId="0" applyAlignment="1" applyFont="1">
      <alignment horizontal="center" shrinkToFit="0" vertical="bottom" wrapText="0"/>
    </xf>
    <xf borderId="0" fillId="0" fontId="21" numFmtId="0" xfId="0" applyAlignment="1" applyFont="1">
      <alignment horizontal="center" shrinkToFit="0" vertical="bottom" wrapText="0"/>
    </xf>
    <xf borderId="0" fillId="11" fontId="6" numFmtId="0" xfId="0" applyAlignment="1" applyFont="1">
      <alignment horizontal="center" readingOrder="0"/>
    </xf>
    <xf borderId="0" fillId="3" fontId="9" numFmtId="0" xfId="0" applyAlignment="1" applyFont="1">
      <alignment horizontal="center" vertical="bottom"/>
    </xf>
    <xf borderId="0" fillId="7" fontId="9" numFmtId="0" xfId="0" applyAlignment="1" applyFont="1">
      <alignment horizontal="center" vertical="bottom"/>
    </xf>
    <xf borderId="0" fillId="7" fontId="9" numFmtId="0" xfId="0" applyAlignment="1" applyFont="1">
      <alignment horizontal="center" vertical="bottom"/>
    </xf>
    <xf borderId="0" fillId="2" fontId="9" numFmtId="0" xfId="0" applyAlignment="1" applyFont="1">
      <alignment horizontal="center" vertical="bottom"/>
    </xf>
    <xf borderId="0" fillId="9" fontId="6" numFmtId="0" xfId="0" applyAlignment="1" applyFont="1">
      <alignment horizontal="center" readingOrder="0"/>
    </xf>
    <xf borderId="0" fillId="7" fontId="3" numFmtId="0" xfId="0" applyAlignment="1" applyFont="1">
      <alignment horizontal="center" readingOrder="0" vertical="bottom"/>
    </xf>
    <xf borderId="0" fillId="7" fontId="9" numFmtId="0" xfId="0" applyAlignment="1" applyFont="1">
      <alignment horizontal="center" readingOrder="0" vertical="bottom"/>
    </xf>
    <xf borderId="0" fillId="2" fontId="9" numFmtId="0" xfId="0" applyAlignment="1" applyFont="1">
      <alignment horizontal="center" readingOrder="0" vertical="bottom"/>
    </xf>
    <xf borderId="0" fillId="3" fontId="8" numFmtId="0" xfId="0" applyAlignment="1" applyFont="1">
      <alignment horizontal="center" readingOrder="0"/>
    </xf>
    <xf borderId="0" fillId="7" fontId="8" numFmtId="0" xfId="0" applyAlignment="1" applyFont="1">
      <alignment horizontal="center" readingOrder="0"/>
    </xf>
    <xf borderId="0" fillId="3" fontId="7" numFmtId="0" xfId="0" applyAlignment="1" applyFont="1">
      <alignment horizontal="center" vertical="bottom"/>
    </xf>
    <xf borderId="0" fillId="2" fontId="3" numFmtId="0" xfId="0" applyAlignment="1" applyFont="1">
      <alignment horizontal="center" vertical="bottom"/>
    </xf>
    <xf borderId="0" fillId="7" fontId="3" numFmtId="0" xfId="0" applyAlignment="1" applyFont="1">
      <alignment horizontal="center" vertical="bottom"/>
    </xf>
    <xf borderId="0" fillId="7" fontId="3" numFmtId="0" xfId="0" applyAlignment="1" applyFont="1">
      <alignment horizontal="center" vertical="bottom"/>
    </xf>
    <xf borderId="0" fillId="9" fontId="4" numFmtId="0" xfId="0" applyAlignment="1" applyFont="1">
      <alignment horizontal="center" readingOrder="0"/>
    </xf>
    <xf borderId="0" fillId="7" fontId="5" numFmtId="0" xfId="0" applyAlignment="1" applyFont="1">
      <alignment horizontal="center" readingOrder="0" vertical="center"/>
    </xf>
    <xf borderId="0" fillId="0" fontId="1" numFmtId="0" xfId="0" applyAlignment="1" applyFont="1">
      <alignment horizontal="center" vertical="bottom"/>
    </xf>
    <xf borderId="0" fillId="18" fontId="9" numFmtId="0" xfId="0" applyAlignment="1" applyFont="1">
      <alignment horizontal="center" vertical="bottom"/>
    </xf>
    <xf borderId="0" fillId="20" fontId="1" numFmtId="0" xfId="0" applyAlignment="1" applyFont="1">
      <alignment horizontal="center" vertical="bottom"/>
    </xf>
    <xf borderId="0" fillId="9" fontId="1" numFmtId="0" xfId="0" applyAlignment="1" applyFont="1">
      <alignment horizontal="center" vertical="bottom"/>
    </xf>
    <xf borderId="1" fillId="0" fontId="80" numFmtId="0" xfId="0" applyAlignment="1" applyBorder="1" applyFont="1">
      <alignment horizontal="center" readingOrder="0" shrinkToFit="0" vertical="bottom" wrapText="0"/>
    </xf>
    <xf borderId="1" fillId="4" fontId="6" numFmtId="0" xfId="0" applyAlignment="1" applyBorder="1" applyFont="1">
      <alignment horizontal="left" readingOrder="0"/>
    </xf>
    <xf borderId="1" fillId="0" fontId="64" numFmtId="0" xfId="0" applyAlignment="1" applyBorder="1" applyFont="1">
      <alignment horizontal="left" readingOrder="0"/>
    </xf>
    <xf borderId="1" fillId="0" fontId="64" numFmtId="0" xfId="0" applyAlignment="1" applyBorder="1" applyFont="1">
      <alignment horizontal="center" readingOrder="0"/>
    </xf>
    <xf borderId="1" fillId="3" fontId="3" numFmtId="0" xfId="0" applyAlignment="1" applyBorder="1" applyFont="1">
      <alignment horizontal="center" shrinkToFit="0" wrapText="1"/>
    </xf>
  </cellXfs>
  <cellStyles count="1">
    <cellStyle xfId="0" name="Normal" builtinId="0"/>
  </cellStyles>
  <dxfs count="1">
    <dxf>
      <font/>
      <fill>
        <patternFill patternType="solid">
          <fgColor rgb="FFB7E1CD"/>
          <bgColor rgb="FFB7E1CD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44" Type="http://schemas.openxmlformats.org/officeDocument/2006/relationships/worksheet" Target="worksheets/sheet41.xml"/><Relationship Id="rId43" Type="http://schemas.openxmlformats.org/officeDocument/2006/relationships/worksheet" Target="worksheets/sheet40.xml"/><Relationship Id="rId46" Type="http://schemas.openxmlformats.org/officeDocument/2006/relationships/worksheet" Target="worksheets/sheet43.xml"/><Relationship Id="rId45" Type="http://schemas.openxmlformats.org/officeDocument/2006/relationships/worksheet" Target="worksheets/sheet42.xml"/><Relationship Id="rId48" Type="http://schemas.openxmlformats.org/officeDocument/2006/relationships/worksheet" Target="worksheets/sheet45.xml"/><Relationship Id="rId47" Type="http://schemas.openxmlformats.org/officeDocument/2006/relationships/worksheet" Target="worksheets/sheet44.xml"/><Relationship Id="rId49" Type="http://schemas.openxmlformats.org/officeDocument/2006/relationships/worksheet" Target="worksheets/sheet46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33" Type="http://schemas.openxmlformats.org/officeDocument/2006/relationships/worksheet" Target="worksheets/sheet30.xml"/><Relationship Id="rId32" Type="http://schemas.openxmlformats.org/officeDocument/2006/relationships/worksheet" Target="worksheets/sheet29.xml"/><Relationship Id="rId35" Type="http://schemas.openxmlformats.org/officeDocument/2006/relationships/worksheet" Target="worksheets/sheet32.xml"/><Relationship Id="rId34" Type="http://schemas.openxmlformats.org/officeDocument/2006/relationships/worksheet" Target="worksheets/sheet31.xml"/><Relationship Id="rId37" Type="http://schemas.openxmlformats.org/officeDocument/2006/relationships/worksheet" Target="worksheets/sheet34.xml"/><Relationship Id="rId36" Type="http://schemas.openxmlformats.org/officeDocument/2006/relationships/worksheet" Target="worksheets/sheet33.xml"/><Relationship Id="rId39" Type="http://schemas.openxmlformats.org/officeDocument/2006/relationships/worksheet" Target="worksheets/sheet36.xml"/><Relationship Id="rId38" Type="http://schemas.openxmlformats.org/officeDocument/2006/relationships/worksheet" Target="worksheets/sheet35.xml"/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29" Type="http://schemas.openxmlformats.org/officeDocument/2006/relationships/worksheet" Target="worksheets/sheet26.xml"/><Relationship Id="rId95" Type="http://schemas.openxmlformats.org/officeDocument/2006/relationships/worksheet" Target="worksheets/sheet92.xml"/><Relationship Id="rId94" Type="http://schemas.openxmlformats.org/officeDocument/2006/relationships/worksheet" Target="worksheets/sheet91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91" Type="http://schemas.openxmlformats.org/officeDocument/2006/relationships/worksheet" Target="worksheets/sheet88.xml"/><Relationship Id="rId90" Type="http://schemas.openxmlformats.org/officeDocument/2006/relationships/worksheet" Target="worksheets/sheet87.xml"/><Relationship Id="rId93" Type="http://schemas.openxmlformats.org/officeDocument/2006/relationships/worksheet" Target="worksheets/sheet90.xml"/><Relationship Id="rId92" Type="http://schemas.openxmlformats.org/officeDocument/2006/relationships/worksheet" Target="worksheets/sheet8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Relationship Id="rId84" Type="http://schemas.openxmlformats.org/officeDocument/2006/relationships/worksheet" Target="worksheets/sheet81.xml"/><Relationship Id="rId83" Type="http://schemas.openxmlformats.org/officeDocument/2006/relationships/worksheet" Target="worksheets/sheet80.xml"/><Relationship Id="rId86" Type="http://schemas.openxmlformats.org/officeDocument/2006/relationships/worksheet" Target="worksheets/sheet83.xml"/><Relationship Id="rId85" Type="http://schemas.openxmlformats.org/officeDocument/2006/relationships/worksheet" Target="worksheets/sheet82.xml"/><Relationship Id="rId88" Type="http://schemas.openxmlformats.org/officeDocument/2006/relationships/worksheet" Target="worksheets/sheet85.xml"/><Relationship Id="rId87" Type="http://schemas.openxmlformats.org/officeDocument/2006/relationships/worksheet" Target="worksheets/sheet84.xml"/><Relationship Id="rId89" Type="http://schemas.openxmlformats.org/officeDocument/2006/relationships/worksheet" Target="worksheets/sheet86.xml"/><Relationship Id="rId80" Type="http://schemas.openxmlformats.org/officeDocument/2006/relationships/worksheet" Target="worksheets/sheet77.xml"/><Relationship Id="rId82" Type="http://schemas.openxmlformats.org/officeDocument/2006/relationships/worksheet" Target="worksheets/sheet79.xml"/><Relationship Id="rId81" Type="http://schemas.openxmlformats.org/officeDocument/2006/relationships/worksheet" Target="worksheets/sheet78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73" Type="http://schemas.openxmlformats.org/officeDocument/2006/relationships/worksheet" Target="worksheets/sheet70.xml"/><Relationship Id="rId72" Type="http://schemas.openxmlformats.org/officeDocument/2006/relationships/worksheet" Target="worksheets/sheet69.xml"/><Relationship Id="rId75" Type="http://schemas.openxmlformats.org/officeDocument/2006/relationships/worksheet" Target="worksheets/sheet72.xml"/><Relationship Id="rId74" Type="http://schemas.openxmlformats.org/officeDocument/2006/relationships/worksheet" Target="worksheets/sheet71.xml"/><Relationship Id="rId77" Type="http://schemas.openxmlformats.org/officeDocument/2006/relationships/worksheet" Target="worksheets/sheet74.xml"/><Relationship Id="rId76" Type="http://schemas.openxmlformats.org/officeDocument/2006/relationships/worksheet" Target="worksheets/sheet73.xml"/><Relationship Id="rId79" Type="http://schemas.openxmlformats.org/officeDocument/2006/relationships/worksheet" Target="worksheets/sheet76.xml"/><Relationship Id="rId78" Type="http://schemas.openxmlformats.org/officeDocument/2006/relationships/worksheet" Target="worksheets/sheet75.xml"/><Relationship Id="rId71" Type="http://schemas.openxmlformats.org/officeDocument/2006/relationships/worksheet" Target="worksheets/sheet68.xml"/><Relationship Id="rId70" Type="http://schemas.openxmlformats.org/officeDocument/2006/relationships/worksheet" Target="worksheets/sheet67.xml"/><Relationship Id="rId62" Type="http://schemas.openxmlformats.org/officeDocument/2006/relationships/worksheet" Target="worksheets/sheet59.xml"/><Relationship Id="rId61" Type="http://schemas.openxmlformats.org/officeDocument/2006/relationships/worksheet" Target="worksheets/sheet58.xml"/><Relationship Id="rId64" Type="http://schemas.openxmlformats.org/officeDocument/2006/relationships/worksheet" Target="worksheets/sheet61.xml"/><Relationship Id="rId63" Type="http://schemas.openxmlformats.org/officeDocument/2006/relationships/worksheet" Target="worksheets/sheet60.xml"/><Relationship Id="rId66" Type="http://schemas.openxmlformats.org/officeDocument/2006/relationships/worksheet" Target="worksheets/sheet63.xml"/><Relationship Id="rId65" Type="http://schemas.openxmlformats.org/officeDocument/2006/relationships/worksheet" Target="worksheets/sheet62.xml"/><Relationship Id="rId68" Type="http://schemas.openxmlformats.org/officeDocument/2006/relationships/worksheet" Target="worksheets/sheet65.xml"/><Relationship Id="rId67" Type="http://schemas.openxmlformats.org/officeDocument/2006/relationships/worksheet" Target="worksheets/sheet64.xml"/><Relationship Id="rId60" Type="http://schemas.openxmlformats.org/officeDocument/2006/relationships/worksheet" Target="worksheets/sheet57.xml"/><Relationship Id="rId69" Type="http://schemas.openxmlformats.org/officeDocument/2006/relationships/worksheet" Target="worksheets/sheet66.xml"/><Relationship Id="rId51" Type="http://schemas.openxmlformats.org/officeDocument/2006/relationships/worksheet" Target="worksheets/sheet48.xml"/><Relationship Id="rId50" Type="http://schemas.openxmlformats.org/officeDocument/2006/relationships/worksheet" Target="worksheets/sheet47.xml"/><Relationship Id="rId53" Type="http://schemas.openxmlformats.org/officeDocument/2006/relationships/worksheet" Target="worksheets/sheet50.xml"/><Relationship Id="rId52" Type="http://schemas.openxmlformats.org/officeDocument/2006/relationships/worksheet" Target="worksheets/sheet49.xml"/><Relationship Id="rId55" Type="http://schemas.openxmlformats.org/officeDocument/2006/relationships/worksheet" Target="worksheets/sheet52.xml"/><Relationship Id="rId54" Type="http://schemas.openxmlformats.org/officeDocument/2006/relationships/worksheet" Target="worksheets/sheet51.xml"/><Relationship Id="rId57" Type="http://schemas.openxmlformats.org/officeDocument/2006/relationships/worksheet" Target="worksheets/sheet54.xml"/><Relationship Id="rId56" Type="http://schemas.openxmlformats.org/officeDocument/2006/relationships/worksheet" Target="worksheets/sheet53.xml"/><Relationship Id="rId59" Type="http://schemas.openxmlformats.org/officeDocument/2006/relationships/worksheet" Target="worksheets/sheet56.xml"/><Relationship Id="rId58" Type="http://schemas.openxmlformats.org/officeDocument/2006/relationships/worksheet" Target="worksheets/sheet5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hyperlink" Target="https://click.linksynergy.com/deeplink?id=fFKr9m2PBw4&amp;mid=50702&amp;murl=https%3A%2F%2Fwww.adidas.ae%2F&amp;u1=14560" TargetMode="External"/><Relationship Id="rId2" Type="http://schemas.openxmlformats.org/officeDocument/2006/relationships/hyperlink" Target="https://click.linksynergy.com/deeplink?id=fFKr9m2PBw4&amp;mid=52993&amp;murl=https%3A%2F%2Fwww.adidas.sa%2Fen&amp;u1=14465" TargetMode="External"/><Relationship Id="rId3" Type="http://schemas.openxmlformats.org/officeDocument/2006/relationships/hyperlink" Target="https://click.linksynergy.com/deeplink?id=fFKr9m2PBw4&amp;mid=50702&amp;murl=https%3A%2F%2Fwww.adidas.ae%2F&amp;u1=14560" TargetMode="External"/><Relationship Id="rId4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20" Type="http://schemas.openxmlformats.org/officeDocument/2006/relationships/hyperlink" Target="https://amzn.to/4eplf9c" TargetMode="External"/><Relationship Id="rId22" Type="http://schemas.openxmlformats.org/officeDocument/2006/relationships/hyperlink" Target="https://amzn.to/3Gk3TOy" TargetMode="External"/><Relationship Id="rId21" Type="http://schemas.openxmlformats.org/officeDocument/2006/relationships/hyperlink" Target="https://amzn.to/4l8xU33" TargetMode="External"/><Relationship Id="rId24" Type="http://schemas.openxmlformats.org/officeDocument/2006/relationships/hyperlink" Target="https://amzn.to/46qg5b1" TargetMode="External"/><Relationship Id="rId23" Type="http://schemas.openxmlformats.org/officeDocument/2006/relationships/hyperlink" Target="https://amzn.to/4lDcn2k" TargetMode="External"/><Relationship Id="rId1" Type="http://schemas.openxmlformats.org/officeDocument/2006/relationships/comments" Target="../comments1.xml"/><Relationship Id="rId2" Type="http://schemas.openxmlformats.org/officeDocument/2006/relationships/hyperlink" Target="https://amzn.to/40mx22a" TargetMode="External"/><Relationship Id="rId3" Type="http://schemas.openxmlformats.org/officeDocument/2006/relationships/hyperlink" Target="https://amzn.to/45FCxwz" TargetMode="External"/><Relationship Id="rId4" Type="http://schemas.openxmlformats.org/officeDocument/2006/relationships/hyperlink" Target="https://amzn.to/4lpkOhz" TargetMode="External"/><Relationship Id="rId9" Type="http://schemas.openxmlformats.org/officeDocument/2006/relationships/hyperlink" Target="https://amzn.to/4eixOTX" TargetMode="External"/><Relationship Id="rId26" Type="http://schemas.openxmlformats.org/officeDocument/2006/relationships/hyperlink" Target="https://amzn.to/3U3BHT7" TargetMode="External"/><Relationship Id="rId25" Type="http://schemas.openxmlformats.org/officeDocument/2006/relationships/hyperlink" Target="https://amzn.to/44O4jGb" TargetMode="External"/><Relationship Id="rId28" Type="http://schemas.openxmlformats.org/officeDocument/2006/relationships/hyperlink" Target="https://amzn.to/4mfNDgH" TargetMode="External"/><Relationship Id="rId27" Type="http://schemas.openxmlformats.org/officeDocument/2006/relationships/hyperlink" Target="https://amzn.to/4mfXumW" TargetMode="External"/><Relationship Id="rId5" Type="http://schemas.openxmlformats.org/officeDocument/2006/relationships/hyperlink" Target="https://amzn.to/3TahfQf" TargetMode="External"/><Relationship Id="rId6" Type="http://schemas.openxmlformats.org/officeDocument/2006/relationships/hyperlink" Target="https://amzn.to/4nijsHb" TargetMode="External"/><Relationship Id="rId29" Type="http://schemas.openxmlformats.org/officeDocument/2006/relationships/drawing" Target="../drawings/drawing9.xml"/><Relationship Id="rId7" Type="http://schemas.openxmlformats.org/officeDocument/2006/relationships/hyperlink" Target="https://amzn.to/4kXEidf" TargetMode="External"/><Relationship Id="rId8" Type="http://schemas.openxmlformats.org/officeDocument/2006/relationships/hyperlink" Target="https://amzn.to/4lj11QF" TargetMode="External"/><Relationship Id="rId30" Type="http://schemas.openxmlformats.org/officeDocument/2006/relationships/vmlDrawing" Target="../drawings/vmlDrawing1.vml"/><Relationship Id="rId11" Type="http://schemas.openxmlformats.org/officeDocument/2006/relationships/hyperlink" Target="https://amzn.to/4l8SUGX" TargetMode="External"/><Relationship Id="rId10" Type="http://schemas.openxmlformats.org/officeDocument/2006/relationships/hyperlink" Target="https://amzn.to/40xnW2L" TargetMode="External"/><Relationship Id="rId13" Type="http://schemas.openxmlformats.org/officeDocument/2006/relationships/hyperlink" Target="https://amzn.to/4kg4K0z" TargetMode="External"/><Relationship Id="rId12" Type="http://schemas.openxmlformats.org/officeDocument/2006/relationships/hyperlink" Target="https://amzn.to/446nwmj" TargetMode="External"/><Relationship Id="rId15" Type="http://schemas.openxmlformats.org/officeDocument/2006/relationships/hyperlink" Target="https://amzn.to/44AXVC9" TargetMode="External"/><Relationship Id="rId14" Type="http://schemas.openxmlformats.org/officeDocument/2006/relationships/hyperlink" Target="https://amzn.to/3GmeMzh" TargetMode="External"/><Relationship Id="rId17" Type="http://schemas.openxmlformats.org/officeDocument/2006/relationships/hyperlink" Target="https://amzn.to/4nwvuNo" TargetMode="External"/><Relationship Id="rId16" Type="http://schemas.openxmlformats.org/officeDocument/2006/relationships/hyperlink" Target="https://amzn.to/3I5YOtN" TargetMode="External"/><Relationship Id="rId19" Type="http://schemas.openxmlformats.org/officeDocument/2006/relationships/hyperlink" Target="https://amzn.to/4kgeKXI" TargetMode="External"/><Relationship Id="rId18" Type="http://schemas.openxmlformats.org/officeDocument/2006/relationships/hyperlink" Target="https://amzn.to/3TSyiXa" TargetMode="Externa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hyperlink" Target="https://airalo.pxf.io/dOn5yj" TargetMode="External"/><Relationship Id="rId2" Type="http://schemas.openxmlformats.org/officeDocument/2006/relationships/hyperlink" Target="https://airalo.pxf.io/gOab3A" TargetMode="External"/><Relationship Id="rId3" Type="http://schemas.openxmlformats.org/officeDocument/2006/relationships/hyperlink" Target="https://airalo.pxf.io/09x74O" TargetMode="External"/><Relationship Id="rId4" Type="http://schemas.openxmlformats.org/officeDocument/2006/relationships/hyperlink" Target="https://airalo.pxf.io/K0YD2z" TargetMode="External"/><Relationship Id="rId5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13.xml"/><Relationship Id="rId3" Type="http://schemas.openxmlformats.org/officeDocument/2006/relationships/vmlDrawing" Target="../drawings/vmlDrawing2.v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20" Type="http://schemas.openxmlformats.org/officeDocument/2006/relationships/hyperlink" Target="https://digizag.go2cloud.org/aff_c?offer_id=1276&amp;aff_id=14298" TargetMode="External"/><Relationship Id="rId22" Type="http://schemas.openxmlformats.org/officeDocument/2006/relationships/hyperlink" Target="https://prf.hn/l/vwzavp5/" TargetMode="External"/><Relationship Id="rId21" Type="http://schemas.openxmlformats.org/officeDocument/2006/relationships/hyperlink" Target="https://prf.hn/click/camref:1100l3HS7p/pubref:14663" TargetMode="External"/><Relationship Id="rId24" Type="http://schemas.openxmlformats.org/officeDocument/2006/relationships/hyperlink" Target="https://prf.hn/click/camref:1100l3HS7p/pubref:14727" TargetMode="External"/><Relationship Id="rId23" Type="http://schemas.openxmlformats.org/officeDocument/2006/relationships/hyperlink" Target="https://prf.hn/click/camref:1100l3HS7p/pubref:14638" TargetMode="External"/><Relationship Id="rId1" Type="http://schemas.openxmlformats.org/officeDocument/2006/relationships/hyperlink" Target="https://prf.hn/click/camref:1100l3HS7p" TargetMode="External"/><Relationship Id="rId2" Type="http://schemas.openxmlformats.org/officeDocument/2006/relationships/hyperlink" Target="https://prf.hn/click/camref:1100l3HS7p/pubref:663" TargetMode="External"/><Relationship Id="rId3" Type="http://schemas.openxmlformats.org/officeDocument/2006/relationships/hyperlink" Target="https://prf.hn/click/camref:1100l3HS7p/pubref:7747" TargetMode="External"/><Relationship Id="rId4" Type="http://schemas.openxmlformats.org/officeDocument/2006/relationships/hyperlink" Target="https://prf.hn/click/camref:1100l3HS7p/pubref:7100" TargetMode="External"/><Relationship Id="rId9" Type="http://schemas.openxmlformats.org/officeDocument/2006/relationships/hyperlink" Target="https://prf.hn/click/camref:1100l3HS7p/pubref:9307" TargetMode="External"/><Relationship Id="rId25" Type="http://schemas.openxmlformats.org/officeDocument/2006/relationships/drawing" Target="../drawings/drawing28.xml"/><Relationship Id="rId5" Type="http://schemas.openxmlformats.org/officeDocument/2006/relationships/hyperlink" Target="https://prf.hn/click/camref:1100l3HS7p/pubref:12932" TargetMode="External"/><Relationship Id="rId6" Type="http://schemas.openxmlformats.org/officeDocument/2006/relationships/hyperlink" Target="https://prf.hn/click/camref:1100l3HS7p/pubref:6924" TargetMode="External"/><Relationship Id="rId7" Type="http://schemas.openxmlformats.org/officeDocument/2006/relationships/hyperlink" Target="https://prf.hn/click/camref:1100l3HS7p/pubref:7157" TargetMode="External"/><Relationship Id="rId8" Type="http://schemas.openxmlformats.org/officeDocument/2006/relationships/hyperlink" Target="https://prf.hn/click/camref:1100l3HS7p/pubref:8199" TargetMode="External"/><Relationship Id="rId11" Type="http://schemas.openxmlformats.org/officeDocument/2006/relationships/hyperlink" Target="https://prf.hn/click/camref:1100l3HS7p/pubref:6831" TargetMode="External"/><Relationship Id="rId10" Type="http://schemas.openxmlformats.org/officeDocument/2006/relationships/hyperlink" Target="https://prf.hn/click/camref:1100l3HS7p/pubref:6875" TargetMode="External"/><Relationship Id="rId13" Type="http://schemas.openxmlformats.org/officeDocument/2006/relationships/hyperlink" Target="https://prf.hn/click/camref:1100l3HS7p/pubref:9307" TargetMode="External"/><Relationship Id="rId12" Type="http://schemas.openxmlformats.org/officeDocument/2006/relationships/hyperlink" Target="https://prf.hn/click/camref:1100l3HS7p/pubref:2205" TargetMode="External"/><Relationship Id="rId15" Type="http://schemas.openxmlformats.org/officeDocument/2006/relationships/hyperlink" Target="https://prf.hn/click/camref:1100l3HS7p/pubref:6668" TargetMode="External"/><Relationship Id="rId14" Type="http://schemas.openxmlformats.org/officeDocument/2006/relationships/hyperlink" Target="https://prf.hn/click/camref:1100l3HS7p/pubref:9307" TargetMode="External"/><Relationship Id="rId17" Type="http://schemas.openxmlformats.org/officeDocument/2006/relationships/hyperlink" Target="https://prf.hn/click/camref:1100l3HS7p/pubref:14560" TargetMode="External"/><Relationship Id="rId16" Type="http://schemas.openxmlformats.org/officeDocument/2006/relationships/hyperlink" Target="https://prf.hn/click/camref:1100l3HS7p/pubref:7229" TargetMode="External"/><Relationship Id="rId19" Type="http://schemas.openxmlformats.org/officeDocument/2006/relationships/hyperlink" Target="https://prf.hn/click/camref:1100l3HS7p/pubref:12941" TargetMode="External"/><Relationship Id="rId18" Type="http://schemas.openxmlformats.org/officeDocument/2006/relationships/hyperlink" Target="https://prf.hn/click/camref:1100l3HS7p/pubref:189" TargetMode="Externa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hyperlink" Target="https://digizag.go2cloud.org/aff_c?offer_id=1316&amp;aff_id=1490" TargetMode="External"/><Relationship Id="rId2" Type="http://schemas.openxmlformats.org/officeDocument/2006/relationships/hyperlink" Target="https://digizag.go2cloud.org/aff_c?offer_id=1316&amp;aff_id=14298" TargetMode="External"/><Relationship Id="rId3" Type="http://schemas.openxmlformats.org/officeDocument/2006/relationships/hyperlink" Target="https://digizag.go2cloud.org/aff_c?offer_id=1316&amp;aff_id=7747" TargetMode="External"/><Relationship Id="rId4" Type="http://schemas.openxmlformats.org/officeDocument/2006/relationships/hyperlink" Target="https://digizag.go2cloud.org/aff_c?offer_id=1316&amp;aff_id=7747" TargetMode="External"/><Relationship Id="rId9" Type="http://schemas.openxmlformats.org/officeDocument/2006/relationships/drawing" Target="../drawings/drawing37.xml"/><Relationship Id="rId5" Type="http://schemas.openxmlformats.org/officeDocument/2006/relationships/hyperlink" Target="https://digizag.go2cloud.org/aff_c?offer_id=1316&amp;aff_id=7229" TargetMode="External"/><Relationship Id="rId6" Type="http://schemas.openxmlformats.org/officeDocument/2006/relationships/hyperlink" Target="https://digizag.go2cloud.org/aff_c?offer_id=1316&amp;aff_id=14560" TargetMode="External"/><Relationship Id="rId7" Type="http://schemas.openxmlformats.org/officeDocument/2006/relationships/hyperlink" Target="https://digizag.go2cloud.org/aff_c?offer_id=1316&amp;aff_id=14560" TargetMode="External"/><Relationship Id="rId8" Type="http://schemas.openxmlformats.org/officeDocument/2006/relationships/hyperlink" Target="https://digizag.go2cloud.org/aff_c?offer_id=1316&amp;aff_id=986" TargetMode="Externa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<Relationships xmlns="http://schemas.openxmlformats.org/package/2006/relationships"><Relationship Id="rId1" Type="http://schemas.openxmlformats.org/officeDocument/2006/relationships/hyperlink" Target="https://digizag.hasoffers.com/admin/affiliates/view/14417" TargetMode="External"/><Relationship Id="rId2" Type="http://schemas.openxmlformats.org/officeDocument/2006/relationships/hyperlink" Target="https://digizag.hasoffers.com/admin/affiliates/view/14417" TargetMode="External"/><Relationship Id="rId3" Type="http://schemas.openxmlformats.org/officeDocument/2006/relationships/drawing" Target="../drawings/drawing54.xml"/></Relationships>
</file>

<file path=xl/worksheets/_rels/sheet5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<Relationships xmlns="http://schemas.openxmlformats.org/package/2006/relationships"><Relationship Id="rId1" Type="http://schemas.openxmlformats.org/officeDocument/2006/relationships/hyperlink" Target="https://www.noon.com/egypt-en/eg-laptops-affordability-page/?utm_source=C1000047L&amp;utm_medium=partnerships&amp;utm_content=partnerships&amp;utm_campaign=C1000173513N_eg_en_app_categoriesrefurbishedlaptops_cpodigizag_noon_both_c1000047l_partnerships_partnerships_" TargetMode="External"/><Relationship Id="rId2" Type="http://schemas.openxmlformats.org/officeDocument/2006/relationships/drawing" Target="../drawings/drawing61.xml"/></Relationships>
</file>

<file path=xl/worksheets/_rels/sheet6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<Relationships xmlns="http://schemas.openxmlformats.org/package/2006/relationships"><Relationship Id="rId1" Type="http://schemas.openxmlformats.org/officeDocument/2006/relationships/hyperlink" Target="https://www.tiktok.com/@bebaalfarsy" TargetMode="External"/><Relationship Id="rId2" Type="http://schemas.openxmlformats.org/officeDocument/2006/relationships/hyperlink" Target="https://www.instagram.com/beuty_arwa/" TargetMode="External"/><Relationship Id="rId3" Type="http://schemas.openxmlformats.org/officeDocument/2006/relationships/hyperlink" Target="https://www.tiktok.com/@bebaalfarsy" TargetMode="External"/><Relationship Id="rId4" Type="http://schemas.openxmlformats.org/officeDocument/2006/relationships/hyperlink" Target="https://www.tiktok.com/@re7ab.saad?is_from_webapp=1&amp;sender_device=pc" TargetMode="External"/><Relationship Id="rId9" Type="http://schemas.openxmlformats.org/officeDocument/2006/relationships/hyperlink" Target="https://www.tiktok.com/@2.lx7" TargetMode="External"/><Relationship Id="rId5" Type="http://schemas.openxmlformats.org/officeDocument/2006/relationships/hyperlink" Target="https://www.tiktok.com/@re7ab.saad?is_from_webapp=1&amp;sender_device=pc" TargetMode="External"/><Relationship Id="rId6" Type="http://schemas.openxmlformats.org/officeDocument/2006/relationships/hyperlink" Target="https://www.tiktok.com/@naifah_choices" TargetMode="External"/><Relationship Id="rId7" Type="http://schemas.openxmlformats.org/officeDocument/2006/relationships/hyperlink" Target="https://www.tiktok.com/@naifah_choices" TargetMode="External"/><Relationship Id="rId8" Type="http://schemas.openxmlformats.org/officeDocument/2006/relationships/hyperlink" Target="https://www.instagram.com/beuty_arwa/" TargetMode="External"/><Relationship Id="rId11" Type="http://schemas.openxmlformats.org/officeDocument/2006/relationships/drawing" Target="../drawings/drawing71.xml"/><Relationship Id="rId10" Type="http://schemas.openxmlformats.org/officeDocument/2006/relationships/hyperlink" Target="https://www.tiktok.com/@2.lx7" TargetMode="External"/></Relationships>
</file>

<file path=xl/worksheets/_rels/sheet7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<Relationships xmlns="http://schemas.openxmlformats.org/package/2006/relationships"><Relationship Id="rId40" Type="http://schemas.openxmlformats.org/officeDocument/2006/relationships/hyperlink" Target="https://temu.to/k/e08aj47griv" TargetMode="External"/><Relationship Id="rId42" Type="http://schemas.openxmlformats.org/officeDocument/2006/relationships/hyperlink" Target="https://temu.to/k/ev30745kbhk" TargetMode="External"/><Relationship Id="rId41" Type="http://schemas.openxmlformats.org/officeDocument/2006/relationships/hyperlink" Target="https://app.temu.com/m/nt8e6uzxqhr" TargetMode="External"/><Relationship Id="rId44" Type="http://schemas.openxmlformats.org/officeDocument/2006/relationships/hyperlink" Target="https://temu.to/k/ebetq56vb8b" TargetMode="External"/><Relationship Id="rId43" Type="http://schemas.openxmlformats.org/officeDocument/2006/relationships/hyperlink" Target="https://www.tiktok.com/@sh_bloggernw?_t=ZS-8uOxDq5G2C8&amp;_r=1" TargetMode="External"/><Relationship Id="rId46" Type="http://schemas.openxmlformats.org/officeDocument/2006/relationships/hyperlink" Target="https://temu.to/k/e0osa04gskx" TargetMode="External"/><Relationship Id="rId45" Type="http://schemas.openxmlformats.org/officeDocument/2006/relationships/hyperlink" Target="https://app.temu.com/m/n38xob0cbfb" TargetMode="External"/><Relationship Id="rId48" Type="http://schemas.openxmlformats.org/officeDocument/2006/relationships/hyperlink" Target="https://temu.to/k/e7qy6msr6kb" TargetMode="External"/><Relationship Id="rId47" Type="http://schemas.openxmlformats.org/officeDocument/2006/relationships/hyperlink" Target="https://ksacouponz.com/" TargetMode="External"/><Relationship Id="rId49" Type="http://schemas.openxmlformats.org/officeDocument/2006/relationships/hyperlink" Target="https://app.temu.com/m/naef0kg9guu" TargetMode="External"/><Relationship Id="rId31" Type="http://schemas.openxmlformats.org/officeDocument/2006/relationships/hyperlink" Target="https://x.com/a8tp9?s=21" TargetMode="External"/><Relationship Id="rId30" Type="http://schemas.openxmlformats.org/officeDocument/2006/relationships/hyperlink" Target="https://temu.to/k/edzy6udo7bo" TargetMode="External"/><Relationship Id="rId33" Type="http://schemas.openxmlformats.org/officeDocument/2006/relationships/hyperlink" Target="https://app.temu.com/m/nqc128wwr8r" TargetMode="External"/><Relationship Id="rId32" Type="http://schemas.openxmlformats.org/officeDocument/2006/relationships/hyperlink" Target="https://temu.to/k/er15yjy5t10" TargetMode="External"/><Relationship Id="rId35" Type="http://schemas.openxmlformats.org/officeDocument/2006/relationships/hyperlink" Target="https://x.com/a123m32?t=duu4MWkRf3ZMjdVf1F1fsA&amp;s=08" TargetMode="External"/><Relationship Id="rId34" Type="http://schemas.openxmlformats.org/officeDocument/2006/relationships/hyperlink" Target="https://temu.to/k/ed1pgzre94h" TargetMode="External"/><Relationship Id="rId37" Type="http://schemas.openxmlformats.org/officeDocument/2006/relationships/hyperlink" Target="https://app.temu.com/m/nifubiw9rzt" TargetMode="External"/><Relationship Id="rId36" Type="http://schemas.openxmlformats.org/officeDocument/2006/relationships/hyperlink" Target="https://temu.to/k/eqr25atcewv" TargetMode="External"/><Relationship Id="rId39" Type="http://schemas.openxmlformats.org/officeDocument/2006/relationships/hyperlink" Target="https://x.com/7lme_1990?t=RF9FRAA4WNAJc2sAazS5mQ&amp;s=08" TargetMode="External"/><Relationship Id="rId38" Type="http://schemas.openxmlformats.org/officeDocument/2006/relationships/hyperlink" Target="https://temu.to/k/et92g8p34ms" TargetMode="External"/><Relationship Id="rId20" Type="http://schemas.openxmlformats.org/officeDocument/2006/relationships/hyperlink" Target="https://temu.to/k/emr643iapfa" TargetMode="External"/><Relationship Id="rId22" Type="http://schemas.openxmlformats.org/officeDocument/2006/relationships/hyperlink" Target="https://temu.to/k/e2s0f234fk2" TargetMode="External"/><Relationship Id="rId21" Type="http://schemas.openxmlformats.org/officeDocument/2006/relationships/hyperlink" Target="https://app.temu.com/m/no4itbltb78" TargetMode="External"/><Relationship Id="rId24" Type="http://schemas.openxmlformats.org/officeDocument/2006/relationships/hyperlink" Target="https://temu.to/k/ec223lv3lef" TargetMode="External"/><Relationship Id="rId23" Type="http://schemas.openxmlformats.org/officeDocument/2006/relationships/hyperlink" Target="https://codekhasm.com/" TargetMode="External"/><Relationship Id="rId26" Type="http://schemas.openxmlformats.org/officeDocument/2006/relationships/hyperlink" Target="https://temu.to/k/eyjo8s7iaww" TargetMode="External"/><Relationship Id="rId25" Type="http://schemas.openxmlformats.org/officeDocument/2006/relationships/hyperlink" Target="https://app.temu.com/m/nobr23rvzqp" TargetMode="External"/><Relationship Id="rId28" Type="http://schemas.openxmlformats.org/officeDocument/2006/relationships/hyperlink" Target="https://temu.to/k/e6526f551pk" TargetMode="External"/><Relationship Id="rId27" Type="http://schemas.openxmlformats.org/officeDocument/2006/relationships/hyperlink" Target="https://x.com/ll_2066?s=21&amp;t=unwp2Mw1QC__AmlHnLMqsA" TargetMode="External"/><Relationship Id="rId29" Type="http://schemas.openxmlformats.org/officeDocument/2006/relationships/hyperlink" Target="https://app.temu.com/m/nkujkzlippm" TargetMode="External"/><Relationship Id="rId95" Type="http://schemas.openxmlformats.org/officeDocument/2006/relationships/hyperlink" Target="https://temu.to/k/el6yy36w0j6" TargetMode="External"/><Relationship Id="rId94" Type="http://schemas.openxmlformats.org/officeDocument/2006/relationships/hyperlink" Target="https://www.facebook.com/people/%D8%B9%D8%B1%D9%88%D8%B6-%D8%AD%D8%B5%D8%B1%D9%8A%D8%A9-%D9%80-special-offers/100082745047841/" TargetMode="External"/><Relationship Id="rId97" Type="http://schemas.openxmlformats.org/officeDocument/2006/relationships/drawing" Target="../drawings/drawing79.xml"/><Relationship Id="rId96" Type="http://schemas.openxmlformats.org/officeDocument/2006/relationships/hyperlink" Target="https://app.temu.com/m/nvq56x005ao" TargetMode="External"/><Relationship Id="rId11" Type="http://schemas.openxmlformats.org/officeDocument/2006/relationships/hyperlink" Target="https://x.com/eh12__?s=21&amp;t=PYye7_SRvjkqV5lajsIufA" TargetMode="External"/><Relationship Id="rId10" Type="http://schemas.openxmlformats.org/officeDocument/2006/relationships/hyperlink" Target="https://temu.to/k/exvicjn3djv" TargetMode="External"/><Relationship Id="rId98" Type="http://schemas.openxmlformats.org/officeDocument/2006/relationships/vmlDrawing" Target="../drawings/vmlDrawing3.vml"/><Relationship Id="rId13" Type="http://schemas.openxmlformats.org/officeDocument/2006/relationships/hyperlink" Target="https://app.temu.com/m/ny0vr1y77l5" TargetMode="External"/><Relationship Id="rId12" Type="http://schemas.openxmlformats.org/officeDocument/2006/relationships/hyperlink" Target="https://temu.to/k/epx3toovs00" TargetMode="External"/><Relationship Id="rId91" Type="http://schemas.openxmlformats.org/officeDocument/2006/relationships/hyperlink" Target="https://temu.to/k/epbuvdm8sl8" TargetMode="External"/><Relationship Id="rId90" Type="http://schemas.openxmlformats.org/officeDocument/2006/relationships/hyperlink" Target="https://www.facebook.com/share/g/1AfhJSDmRo/" TargetMode="External"/><Relationship Id="rId93" Type="http://schemas.openxmlformats.org/officeDocument/2006/relationships/hyperlink" Target="https://temu.to/k/evnt7nqkn22" TargetMode="External"/><Relationship Id="rId92" Type="http://schemas.openxmlformats.org/officeDocument/2006/relationships/hyperlink" Target="https://app.temu.com/m/nadi58pxzwv" TargetMode="External"/><Relationship Id="rId15" Type="http://schemas.openxmlformats.org/officeDocument/2006/relationships/hyperlink" Target="https://www.facebook.com/groups/2607398122895215/" TargetMode="External"/><Relationship Id="rId14" Type="http://schemas.openxmlformats.org/officeDocument/2006/relationships/hyperlink" Target="https://temu.to/k/entoyxe4ttf" TargetMode="External"/><Relationship Id="rId17" Type="http://schemas.openxmlformats.org/officeDocument/2006/relationships/hyperlink" Target="https://app.temu.com/m/nxj4lyroyno" TargetMode="External"/><Relationship Id="rId16" Type="http://schemas.openxmlformats.org/officeDocument/2006/relationships/hyperlink" Target="https://temu.to/k/e47uhsqevhz" TargetMode="External"/><Relationship Id="rId19" Type="http://schemas.openxmlformats.org/officeDocument/2006/relationships/hyperlink" Target="https://copon5sm.com/en/" TargetMode="External"/><Relationship Id="rId18" Type="http://schemas.openxmlformats.org/officeDocument/2006/relationships/hyperlink" Target="https://temu.to/k/e95k1uyx91g" TargetMode="External"/><Relationship Id="rId84" Type="http://schemas.openxmlformats.org/officeDocument/2006/relationships/hyperlink" Target="https://app.temu.com/m/ntdugvhmh61" TargetMode="External"/><Relationship Id="rId83" Type="http://schemas.openxmlformats.org/officeDocument/2006/relationships/hyperlink" Target="https://temu.to/k/ecqnswrq5jk" TargetMode="External"/><Relationship Id="rId86" Type="http://schemas.openxmlformats.org/officeDocument/2006/relationships/hyperlink" Target="https://www.tiktok.com/@coupons.vibe?_t=ZS-8vkHpewycIK&amp;_r=1" TargetMode="External"/><Relationship Id="rId85" Type="http://schemas.openxmlformats.org/officeDocument/2006/relationships/hyperlink" Target="https://temu.to/k/ez8ai7a3o9p" TargetMode="External"/><Relationship Id="rId88" Type="http://schemas.openxmlformats.org/officeDocument/2006/relationships/hyperlink" Target="https://app.temu.com/m/n513w2eg6od" TargetMode="External"/><Relationship Id="rId87" Type="http://schemas.openxmlformats.org/officeDocument/2006/relationships/hyperlink" Target="https://temu.to/k/ek2uj900kka" TargetMode="External"/><Relationship Id="rId89" Type="http://schemas.openxmlformats.org/officeDocument/2006/relationships/hyperlink" Target="https://temu.to/k/e5od2ucomjs" TargetMode="External"/><Relationship Id="rId80" Type="http://schemas.openxmlformats.org/officeDocument/2006/relationships/hyperlink" Target="https://app.temu.com/m/nbjcx1im62o" TargetMode="External"/><Relationship Id="rId82" Type="http://schemas.openxmlformats.org/officeDocument/2006/relationships/hyperlink" Target="https://www.tiktok.com/@discount_code_coupons?_t=ZS-8vKz3gOrTRy&amp;_r=1" TargetMode="External"/><Relationship Id="rId81" Type="http://schemas.openxmlformats.org/officeDocument/2006/relationships/hyperlink" Target="https://temu.to/k/e37duiwpwly" TargetMode="External"/><Relationship Id="rId1" Type="http://schemas.openxmlformats.org/officeDocument/2006/relationships/comments" Target="../comments3.xml"/><Relationship Id="rId2" Type="http://schemas.openxmlformats.org/officeDocument/2006/relationships/hyperlink" Target="https://temu.to/k/el73auxyuk1" TargetMode="External"/><Relationship Id="rId3" Type="http://schemas.openxmlformats.org/officeDocument/2006/relationships/hyperlink" Target="https://www.walaplus.com/" TargetMode="External"/><Relationship Id="rId4" Type="http://schemas.openxmlformats.org/officeDocument/2006/relationships/hyperlink" Target="https://temu.to/k/eeehn2ai7pv" TargetMode="External"/><Relationship Id="rId9" Type="http://schemas.openxmlformats.org/officeDocument/2006/relationships/hyperlink" Target="https://app.temu.com/m/nqy5z3q3di8" TargetMode="External"/><Relationship Id="rId5" Type="http://schemas.openxmlformats.org/officeDocument/2006/relationships/hyperlink" Target="https://www.sahseh.co/" TargetMode="External"/><Relationship Id="rId6" Type="http://schemas.openxmlformats.org/officeDocument/2006/relationships/hyperlink" Target="https://temu.to/k/e4sf8a391kn" TargetMode="External"/><Relationship Id="rId7" Type="http://schemas.openxmlformats.org/officeDocument/2006/relationships/hyperlink" Target="https://saudi.alcoupon.com/en/discount-codes" TargetMode="External"/><Relationship Id="rId8" Type="http://schemas.openxmlformats.org/officeDocument/2006/relationships/hyperlink" Target="https://temu.to/k/e663livttqy" TargetMode="External"/><Relationship Id="rId73" Type="http://schemas.openxmlformats.org/officeDocument/2006/relationships/hyperlink" Target="https://app.temu.com/m/ngr3ebkj2o3" TargetMode="External"/><Relationship Id="rId72" Type="http://schemas.openxmlformats.org/officeDocument/2006/relationships/hyperlink" Target="https://temu.to/k/elq8yqkckip" TargetMode="External"/><Relationship Id="rId75" Type="http://schemas.openxmlformats.org/officeDocument/2006/relationships/hyperlink" Target="https://temu.to/k/e98zvlwflll" TargetMode="External"/><Relationship Id="rId74" Type="http://schemas.openxmlformats.org/officeDocument/2006/relationships/hyperlink" Target="https://temu.to/k/eyli4m62eps" TargetMode="External"/><Relationship Id="rId77" Type="http://schemas.openxmlformats.org/officeDocument/2006/relationships/hyperlink" Target="https://temu.to/k/ek8kl1qpqxt" TargetMode="External"/><Relationship Id="rId76" Type="http://schemas.openxmlformats.org/officeDocument/2006/relationships/hyperlink" Target="https://app.temu.com/m/nravpk69rc7" TargetMode="External"/><Relationship Id="rId79" Type="http://schemas.openxmlformats.org/officeDocument/2006/relationships/hyperlink" Target="https://temu.to/k/elm8kcc0lgi" TargetMode="External"/><Relationship Id="rId78" Type="http://schemas.openxmlformats.org/officeDocument/2006/relationships/hyperlink" Target="http://www.t3alaonline.com/" TargetMode="External"/><Relationship Id="rId71" Type="http://schemas.openxmlformats.org/officeDocument/2006/relationships/hyperlink" Target="https://www.instagram.com/pilotramadan?igsh=MWEydjlubXZvNjJ4Yg==" TargetMode="External"/><Relationship Id="rId70" Type="http://schemas.openxmlformats.org/officeDocument/2006/relationships/hyperlink" Target="https://temu.to/k/ecf5vr1dk0k" TargetMode="External"/><Relationship Id="rId62" Type="http://schemas.openxmlformats.org/officeDocument/2006/relationships/hyperlink" Target="https://temu.to/k/e38akwiyd8j" TargetMode="External"/><Relationship Id="rId61" Type="http://schemas.openxmlformats.org/officeDocument/2006/relationships/hyperlink" Target="https://app.temu.com/m/nik81dfz5li" TargetMode="External"/><Relationship Id="rId64" Type="http://schemas.openxmlformats.org/officeDocument/2006/relationships/hyperlink" Target="https://temu.to/k/ezkos9v2qjd" TargetMode="External"/><Relationship Id="rId63" Type="http://schemas.openxmlformats.org/officeDocument/2006/relationships/hyperlink" Target="https://www.coupons-hub.com/" TargetMode="External"/><Relationship Id="rId66" Type="http://schemas.openxmlformats.org/officeDocument/2006/relationships/hyperlink" Target="https://temu.to/k/e8d5ue2qe5k" TargetMode="External"/><Relationship Id="rId65" Type="http://schemas.openxmlformats.org/officeDocument/2006/relationships/hyperlink" Target="https://app.temu.com/m/nvegoliwkyg" TargetMode="External"/><Relationship Id="rId68" Type="http://schemas.openxmlformats.org/officeDocument/2006/relationships/hyperlink" Target="https://temu.to/k/ewyo7o7krnf" TargetMode="External"/><Relationship Id="rId67" Type="http://schemas.openxmlformats.org/officeDocument/2006/relationships/hyperlink" Target="http://ksa-voucher.com/" TargetMode="External"/><Relationship Id="rId60" Type="http://schemas.openxmlformats.org/officeDocument/2006/relationships/hyperlink" Target="https://temu.to/k/eu585ej4jte" TargetMode="External"/><Relationship Id="rId69" Type="http://schemas.openxmlformats.org/officeDocument/2006/relationships/hyperlink" Target="https://app.temu.com/m/nmmguxwx266" TargetMode="External"/><Relationship Id="rId51" Type="http://schemas.openxmlformats.org/officeDocument/2006/relationships/hyperlink" Target="https://www.tiktok.com/@oday.zagha_?_t=ZS-8uGgZRFF0wj&amp;_r=1" TargetMode="External"/><Relationship Id="rId50" Type="http://schemas.openxmlformats.org/officeDocument/2006/relationships/hyperlink" Target="https://temu.to/k/eyxwf8zkvoe" TargetMode="External"/><Relationship Id="rId53" Type="http://schemas.openxmlformats.org/officeDocument/2006/relationships/hyperlink" Target="https://app.temu.com/m/nvyvxlbezga" TargetMode="External"/><Relationship Id="rId52" Type="http://schemas.openxmlformats.org/officeDocument/2006/relationships/hyperlink" Target="https://temu.to/k/ea9nf169ki1" TargetMode="External"/><Relationship Id="rId55" Type="http://schemas.openxmlformats.org/officeDocument/2006/relationships/hyperlink" Target="https://t.me/codeksaGcc" TargetMode="External"/><Relationship Id="rId54" Type="http://schemas.openxmlformats.org/officeDocument/2006/relationships/hyperlink" Target="https://temu.to/k/eyppragcxfd" TargetMode="External"/><Relationship Id="rId57" Type="http://schemas.openxmlformats.org/officeDocument/2006/relationships/hyperlink" Target="https://app.temu.com/m/nyv461gnlu4" TargetMode="External"/><Relationship Id="rId56" Type="http://schemas.openxmlformats.org/officeDocument/2006/relationships/hyperlink" Target="https://temu.to/k/e28vlh1wgps" TargetMode="External"/><Relationship Id="rId59" Type="http://schemas.openxmlformats.org/officeDocument/2006/relationships/hyperlink" Target="https://apps.apple.com/om/app/%D9%85%D9%82%D8%B3%D9%88%D9%85-%D9%83%D9%88%D8%A8%D9%88%D9%86%D8%A7%D8%AA-%D8%AE%D8%B5%D9%85/id1532867311?l=ar" TargetMode="External"/><Relationship Id="rId58" Type="http://schemas.openxmlformats.org/officeDocument/2006/relationships/hyperlink" Target="https://temu.to/k/eac853mceym" TargetMode="External"/></Relationships>
</file>

<file path=xl/worksheets/_rels/sheet8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9" max="9" width="22.75"/>
  </cols>
  <sheetData>
    <row r="1">
      <c r="A1" s="1" t="s">
        <v>0</v>
      </c>
      <c r="B1" s="1" t="s">
        <v>1</v>
      </c>
      <c r="C1" s="1" t="s">
        <v>2</v>
      </c>
      <c r="E1" s="2" t="s">
        <v>3</v>
      </c>
    </row>
    <row r="2">
      <c r="A2" s="3" t="s">
        <v>4</v>
      </c>
      <c r="B2" s="3">
        <v>5566.0</v>
      </c>
      <c r="C2" s="3" t="s">
        <v>5</v>
      </c>
    </row>
    <row r="3">
      <c r="A3" s="3" t="s">
        <v>6</v>
      </c>
      <c r="B3" s="3">
        <v>6706.0</v>
      </c>
      <c r="C3" s="3" t="s">
        <v>7</v>
      </c>
    </row>
    <row r="4">
      <c r="A4" s="4" t="s">
        <v>8</v>
      </c>
      <c r="B4" s="4">
        <v>7010.0</v>
      </c>
      <c r="C4" s="4" t="s">
        <v>9</v>
      </c>
    </row>
    <row r="5">
      <c r="A5" s="3" t="s">
        <v>10</v>
      </c>
      <c r="B5" s="3">
        <v>6675.0</v>
      </c>
      <c r="C5" s="3" t="s">
        <v>11</v>
      </c>
      <c r="H5" s="5"/>
      <c r="I5" s="5"/>
      <c r="J5" s="5"/>
    </row>
    <row r="6">
      <c r="A6" s="6" t="s">
        <v>12</v>
      </c>
      <c r="B6" s="4">
        <v>14440.0</v>
      </c>
      <c r="C6" s="4" t="s">
        <v>13</v>
      </c>
      <c r="H6" s="5"/>
      <c r="I6" s="5"/>
      <c r="J6" s="5"/>
    </row>
    <row r="7">
      <c r="A7" s="3" t="s">
        <v>14</v>
      </c>
      <c r="B7" s="3">
        <v>189.0</v>
      </c>
      <c r="C7" s="3" t="s">
        <v>15</v>
      </c>
      <c r="H7" s="5"/>
      <c r="I7" s="5"/>
      <c r="J7" s="5"/>
    </row>
    <row r="8">
      <c r="A8" s="3" t="s">
        <v>16</v>
      </c>
      <c r="B8" s="3">
        <v>6729.0</v>
      </c>
      <c r="C8" s="3" t="s">
        <v>17</v>
      </c>
      <c r="H8" s="5"/>
      <c r="I8" s="5"/>
      <c r="J8" s="5"/>
    </row>
    <row r="9">
      <c r="A9" s="3" t="s">
        <v>16</v>
      </c>
      <c r="B9" s="3">
        <v>6729.0</v>
      </c>
      <c r="C9" s="3" t="s">
        <v>18</v>
      </c>
      <c r="H9" s="5"/>
      <c r="I9" s="5"/>
      <c r="J9" s="5"/>
    </row>
    <row r="10">
      <c r="A10" s="3" t="s">
        <v>19</v>
      </c>
      <c r="B10" s="3">
        <v>14298.0</v>
      </c>
      <c r="C10" s="3" t="s">
        <v>20</v>
      </c>
      <c r="H10" s="5"/>
      <c r="I10" s="5"/>
      <c r="J10" s="5"/>
    </row>
    <row r="11">
      <c r="A11" s="3" t="s">
        <v>19</v>
      </c>
      <c r="B11" s="3">
        <v>14298.0</v>
      </c>
      <c r="C11" s="3" t="s">
        <v>21</v>
      </c>
      <c r="H11" s="5"/>
      <c r="I11" s="5"/>
      <c r="J11" s="5"/>
    </row>
    <row r="12">
      <c r="A12" s="3" t="s">
        <v>22</v>
      </c>
      <c r="B12" s="3">
        <v>14421.0</v>
      </c>
      <c r="C12" s="3" t="s">
        <v>23</v>
      </c>
      <c r="H12" s="5"/>
      <c r="I12" s="5"/>
      <c r="J12" s="5"/>
    </row>
    <row r="13">
      <c r="A13" s="4" t="s">
        <v>24</v>
      </c>
      <c r="B13" s="4">
        <v>6557.0</v>
      </c>
      <c r="C13" s="4" t="s">
        <v>25</v>
      </c>
      <c r="H13" s="5"/>
      <c r="I13" s="5"/>
      <c r="J13" s="5"/>
    </row>
    <row r="14">
      <c r="A14" s="4" t="s">
        <v>26</v>
      </c>
      <c r="B14" s="4">
        <v>2345.0</v>
      </c>
      <c r="C14" s="4" t="s">
        <v>27</v>
      </c>
      <c r="H14" s="5"/>
      <c r="I14" s="5"/>
      <c r="J14" s="5"/>
    </row>
    <row r="15">
      <c r="A15" s="3" t="s">
        <v>28</v>
      </c>
      <c r="B15" s="3">
        <v>5458.0</v>
      </c>
      <c r="C15" s="3" t="s">
        <v>29</v>
      </c>
      <c r="H15" s="5"/>
      <c r="I15" s="5"/>
      <c r="J15" s="5"/>
    </row>
    <row r="16">
      <c r="A16" s="3" t="s">
        <v>30</v>
      </c>
      <c r="B16" s="3">
        <v>6658.0</v>
      </c>
      <c r="C16" s="3" t="s">
        <v>31</v>
      </c>
      <c r="H16" s="5"/>
      <c r="I16" s="7"/>
      <c r="J16" s="5"/>
    </row>
    <row r="17">
      <c r="A17" s="3" t="s">
        <v>32</v>
      </c>
      <c r="B17" s="4">
        <v>12346.0</v>
      </c>
      <c r="C17" s="3" t="s">
        <v>33</v>
      </c>
      <c r="H17" s="5"/>
      <c r="I17" s="7"/>
      <c r="J17" s="5"/>
    </row>
    <row r="18">
      <c r="A18" s="3" t="s">
        <v>32</v>
      </c>
      <c r="B18" s="4">
        <v>12346.0</v>
      </c>
      <c r="C18" s="3" t="s">
        <v>34</v>
      </c>
      <c r="H18" s="5"/>
      <c r="I18" s="5"/>
      <c r="J18" s="5"/>
    </row>
    <row r="19">
      <c r="A19" s="8" t="s">
        <v>35</v>
      </c>
      <c r="B19" s="4">
        <v>7747.0</v>
      </c>
      <c r="C19" s="4" t="s">
        <v>35</v>
      </c>
      <c r="H19" s="5"/>
      <c r="I19" s="5"/>
      <c r="J19" s="5"/>
    </row>
    <row r="20">
      <c r="A20" s="3" t="s">
        <v>36</v>
      </c>
      <c r="B20" s="3">
        <v>8486.0</v>
      </c>
      <c r="C20" s="3" t="s">
        <v>37</v>
      </c>
    </row>
    <row r="21">
      <c r="A21" s="3" t="s">
        <v>38</v>
      </c>
      <c r="B21" s="3">
        <v>6671.0</v>
      </c>
      <c r="C21" s="3" t="s">
        <v>39</v>
      </c>
    </row>
    <row r="22">
      <c r="A22" s="4" t="s">
        <v>40</v>
      </c>
      <c r="B22" s="4">
        <v>14465.0</v>
      </c>
      <c r="C22" s="4" t="s">
        <v>41</v>
      </c>
    </row>
    <row r="23">
      <c r="A23" s="4" t="s">
        <v>42</v>
      </c>
      <c r="B23" s="4">
        <v>14431.0</v>
      </c>
      <c r="C23" s="4" t="s">
        <v>42</v>
      </c>
    </row>
    <row r="24">
      <c r="A24" s="9" t="s">
        <v>43</v>
      </c>
      <c r="B24" s="10"/>
      <c r="C24" s="9" t="s">
        <v>43</v>
      </c>
    </row>
    <row r="25">
      <c r="A25" s="10"/>
      <c r="B25" s="10"/>
      <c r="C25" s="10"/>
    </row>
    <row r="26">
      <c r="A26" s="10"/>
      <c r="B26" s="10"/>
      <c r="C26" s="10"/>
    </row>
    <row r="27">
      <c r="A27" s="10"/>
      <c r="B27" s="10"/>
      <c r="C27" s="10"/>
    </row>
    <row r="28">
      <c r="A28" s="10"/>
      <c r="B28" s="10"/>
      <c r="C28" s="10"/>
    </row>
    <row r="29">
      <c r="A29" s="10"/>
      <c r="B29" s="10"/>
      <c r="C29" s="10"/>
    </row>
    <row r="30">
      <c r="A30" s="10"/>
      <c r="B30" s="10"/>
      <c r="C30" s="10"/>
    </row>
    <row r="31">
      <c r="A31" s="10"/>
      <c r="B31" s="10"/>
      <c r="C31" s="10"/>
    </row>
    <row r="32">
      <c r="A32" s="10"/>
      <c r="B32" s="10"/>
      <c r="C32" s="10"/>
    </row>
    <row r="33">
      <c r="A33" s="10"/>
      <c r="B33" s="10"/>
      <c r="C33" s="10"/>
    </row>
    <row r="34">
      <c r="A34" s="10"/>
      <c r="B34" s="10"/>
      <c r="C34" s="10"/>
    </row>
    <row r="35">
      <c r="A35" s="10"/>
      <c r="B35" s="10"/>
      <c r="C35" s="10"/>
    </row>
    <row r="36">
      <c r="A36" s="10"/>
      <c r="B36" s="10"/>
      <c r="C36" s="10"/>
    </row>
    <row r="37">
      <c r="A37" s="10"/>
      <c r="B37" s="10"/>
      <c r="C37" s="10"/>
    </row>
    <row r="38">
      <c r="A38" s="10"/>
      <c r="B38" s="10"/>
      <c r="C38" s="10"/>
    </row>
    <row r="39">
      <c r="A39" s="10"/>
      <c r="B39" s="10"/>
      <c r="C39" s="10"/>
    </row>
    <row r="40">
      <c r="A40" s="10"/>
      <c r="B40" s="10"/>
      <c r="C40" s="10"/>
    </row>
    <row r="41">
      <c r="A41" s="10"/>
      <c r="B41" s="10"/>
      <c r="C41" s="10"/>
    </row>
    <row r="42">
      <c r="A42" s="10"/>
      <c r="B42" s="10"/>
      <c r="C42" s="10"/>
    </row>
    <row r="43">
      <c r="A43" s="10"/>
      <c r="B43" s="10"/>
      <c r="C43" s="10"/>
    </row>
    <row r="44">
      <c r="A44" s="10"/>
      <c r="B44" s="10"/>
      <c r="C44" s="10"/>
    </row>
    <row r="45">
      <c r="A45" s="10"/>
      <c r="B45" s="10"/>
      <c r="C45" s="10"/>
    </row>
    <row r="46">
      <c r="A46" s="10"/>
      <c r="B46" s="10"/>
      <c r="C46" s="10"/>
    </row>
    <row r="47">
      <c r="A47" s="10"/>
      <c r="B47" s="10"/>
      <c r="C47" s="10"/>
    </row>
    <row r="48">
      <c r="A48" s="10"/>
      <c r="B48" s="10"/>
      <c r="C48" s="10"/>
    </row>
    <row r="49">
      <c r="A49" s="10"/>
      <c r="B49" s="10"/>
      <c r="C49" s="10"/>
    </row>
    <row r="50">
      <c r="A50" s="10"/>
      <c r="B50" s="10"/>
      <c r="C50" s="10"/>
    </row>
    <row r="51">
      <c r="A51" s="10"/>
      <c r="B51" s="10"/>
      <c r="C51" s="10"/>
    </row>
    <row r="52">
      <c r="A52" s="10"/>
      <c r="B52" s="10"/>
      <c r="C52" s="10"/>
    </row>
    <row r="53">
      <c r="A53" s="10"/>
      <c r="B53" s="10"/>
      <c r="C53" s="10"/>
    </row>
    <row r="54">
      <c r="A54" s="10"/>
      <c r="B54" s="10"/>
      <c r="C54" s="10"/>
    </row>
    <row r="55">
      <c r="A55" s="10"/>
      <c r="B55" s="10"/>
      <c r="C55" s="10"/>
    </row>
    <row r="56">
      <c r="A56" s="10"/>
      <c r="B56" s="10"/>
      <c r="C56" s="10"/>
    </row>
    <row r="57">
      <c r="A57" s="10"/>
      <c r="B57" s="10"/>
      <c r="C57" s="10"/>
    </row>
    <row r="58">
      <c r="A58" s="10"/>
      <c r="B58" s="10"/>
      <c r="C58" s="10"/>
    </row>
    <row r="59">
      <c r="A59" s="10"/>
      <c r="B59" s="10"/>
      <c r="C59" s="10"/>
    </row>
    <row r="60">
      <c r="A60" s="10"/>
      <c r="B60" s="10"/>
      <c r="C60" s="10"/>
    </row>
    <row r="61">
      <c r="A61" s="10"/>
      <c r="B61" s="10"/>
      <c r="C61" s="10"/>
    </row>
    <row r="62">
      <c r="A62" s="10"/>
      <c r="B62" s="10"/>
      <c r="C62" s="10"/>
    </row>
    <row r="63">
      <c r="A63" s="10"/>
      <c r="B63" s="10"/>
      <c r="C63" s="10"/>
    </row>
    <row r="64">
      <c r="A64" s="10"/>
      <c r="B64" s="10"/>
      <c r="C64" s="10"/>
    </row>
    <row r="65">
      <c r="A65" s="10"/>
      <c r="B65" s="10"/>
      <c r="C65" s="10"/>
    </row>
    <row r="66">
      <c r="A66" s="10"/>
      <c r="B66" s="10"/>
      <c r="C66" s="10"/>
    </row>
    <row r="67">
      <c r="A67" s="10"/>
      <c r="B67" s="10"/>
      <c r="C67" s="10"/>
    </row>
    <row r="68">
      <c r="A68" s="10"/>
      <c r="B68" s="10"/>
      <c r="C68" s="10"/>
    </row>
    <row r="69">
      <c r="A69" s="10"/>
      <c r="B69" s="10"/>
      <c r="C69" s="10"/>
    </row>
    <row r="70">
      <c r="A70" s="10"/>
      <c r="B70" s="10"/>
      <c r="C70" s="10"/>
    </row>
    <row r="71">
      <c r="A71" s="10"/>
      <c r="B71" s="10"/>
      <c r="C71" s="10"/>
    </row>
    <row r="72">
      <c r="A72" s="10"/>
      <c r="B72" s="10"/>
      <c r="C72" s="10"/>
    </row>
    <row r="73">
      <c r="A73" s="10"/>
      <c r="B73" s="10"/>
      <c r="C73" s="10"/>
    </row>
    <row r="74">
      <c r="A74" s="10"/>
      <c r="B74" s="10"/>
      <c r="C74" s="10"/>
    </row>
    <row r="75">
      <c r="A75" s="10"/>
      <c r="B75" s="10"/>
      <c r="C75" s="10"/>
    </row>
    <row r="76">
      <c r="A76" s="10"/>
      <c r="B76" s="10"/>
      <c r="C76" s="10"/>
    </row>
    <row r="77">
      <c r="A77" s="10"/>
      <c r="B77" s="10"/>
      <c r="C77" s="10"/>
    </row>
    <row r="78">
      <c r="A78" s="10"/>
      <c r="B78" s="10"/>
      <c r="C78" s="10"/>
    </row>
    <row r="79">
      <c r="A79" s="10"/>
      <c r="B79" s="10"/>
      <c r="C79" s="10"/>
    </row>
    <row r="80">
      <c r="A80" s="10"/>
      <c r="B80" s="10"/>
      <c r="C80" s="10"/>
    </row>
    <row r="81">
      <c r="A81" s="10"/>
      <c r="B81" s="10"/>
      <c r="C81" s="10"/>
    </row>
    <row r="82">
      <c r="A82" s="10"/>
      <c r="B82" s="10"/>
      <c r="C82" s="10"/>
    </row>
    <row r="83">
      <c r="A83" s="10"/>
      <c r="B83" s="10"/>
      <c r="C83" s="10"/>
    </row>
    <row r="84">
      <c r="A84" s="10"/>
      <c r="B84" s="10"/>
      <c r="C84" s="10"/>
    </row>
    <row r="85">
      <c r="A85" s="10"/>
      <c r="B85" s="10"/>
      <c r="C85" s="10"/>
    </row>
    <row r="86">
      <c r="A86" s="10"/>
      <c r="B86" s="10"/>
      <c r="C86" s="10"/>
    </row>
    <row r="87">
      <c r="A87" s="10"/>
      <c r="B87" s="10"/>
      <c r="C87" s="10"/>
    </row>
    <row r="88">
      <c r="A88" s="10"/>
      <c r="B88" s="10"/>
      <c r="C88" s="10"/>
    </row>
    <row r="89">
      <c r="A89" s="10"/>
      <c r="B89" s="10"/>
      <c r="C89" s="10"/>
    </row>
    <row r="90">
      <c r="A90" s="10"/>
      <c r="B90" s="10"/>
      <c r="C90" s="10"/>
    </row>
    <row r="91">
      <c r="A91" s="10"/>
      <c r="B91" s="10"/>
      <c r="C91" s="10"/>
    </row>
    <row r="92">
      <c r="A92" s="10"/>
      <c r="B92" s="10"/>
      <c r="C92" s="10"/>
    </row>
    <row r="93">
      <c r="A93" s="10"/>
      <c r="B93" s="10"/>
      <c r="C93" s="10"/>
    </row>
    <row r="94">
      <c r="A94" s="10"/>
      <c r="B94" s="10"/>
      <c r="C94" s="10"/>
    </row>
    <row r="95">
      <c r="A95" s="10"/>
      <c r="B95" s="10"/>
      <c r="C95" s="10"/>
    </row>
    <row r="96">
      <c r="A96" s="10"/>
      <c r="B96" s="10"/>
      <c r="C96" s="10"/>
    </row>
    <row r="97">
      <c r="A97" s="10"/>
      <c r="B97" s="10"/>
      <c r="C97" s="10"/>
    </row>
    <row r="98">
      <c r="A98" s="10"/>
      <c r="B98" s="10"/>
      <c r="C98" s="10"/>
    </row>
    <row r="99">
      <c r="A99" s="10"/>
      <c r="B99" s="10"/>
      <c r="C99" s="10"/>
    </row>
    <row r="100">
      <c r="A100" s="10"/>
      <c r="B100" s="10"/>
      <c r="C100" s="10"/>
    </row>
    <row r="101">
      <c r="A101" s="10"/>
      <c r="B101" s="10"/>
      <c r="C101" s="10"/>
    </row>
    <row r="102">
      <c r="A102" s="10"/>
      <c r="B102" s="10"/>
      <c r="C102" s="10"/>
    </row>
    <row r="103">
      <c r="A103" s="10"/>
      <c r="B103" s="10"/>
      <c r="C103" s="10"/>
    </row>
    <row r="104">
      <c r="A104" s="10"/>
      <c r="B104" s="10"/>
      <c r="C104" s="10"/>
    </row>
    <row r="105">
      <c r="A105" s="10"/>
      <c r="B105" s="10"/>
      <c r="C105" s="10"/>
    </row>
    <row r="106">
      <c r="A106" s="10"/>
      <c r="B106" s="10"/>
      <c r="C106" s="10"/>
    </row>
    <row r="107">
      <c r="A107" s="10"/>
      <c r="B107" s="10"/>
      <c r="C107" s="10"/>
    </row>
    <row r="108">
      <c r="A108" s="10"/>
      <c r="B108" s="10"/>
      <c r="C108" s="10"/>
    </row>
    <row r="109">
      <c r="A109" s="10"/>
      <c r="B109" s="10"/>
      <c r="C109" s="10"/>
    </row>
    <row r="110">
      <c r="A110" s="10"/>
      <c r="B110" s="10"/>
      <c r="C110" s="10"/>
    </row>
    <row r="111">
      <c r="A111" s="10"/>
      <c r="B111" s="10"/>
      <c r="C111" s="10"/>
    </row>
    <row r="112">
      <c r="A112" s="10"/>
      <c r="B112" s="10"/>
      <c r="C112" s="10"/>
    </row>
    <row r="113">
      <c r="A113" s="10"/>
      <c r="B113" s="10"/>
      <c r="C113" s="10"/>
    </row>
    <row r="114">
      <c r="A114" s="10"/>
      <c r="B114" s="10"/>
      <c r="C114" s="10"/>
    </row>
    <row r="115">
      <c r="A115" s="10"/>
      <c r="B115" s="10"/>
      <c r="C115" s="10"/>
    </row>
    <row r="116">
      <c r="A116" s="10"/>
      <c r="B116" s="10"/>
      <c r="C116" s="10"/>
    </row>
    <row r="117">
      <c r="A117" s="10"/>
      <c r="B117" s="10"/>
      <c r="C117" s="10"/>
    </row>
    <row r="118">
      <c r="A118" s="10"/>
      <c r="B118" s="10"/>
      <c r="C118" s="10"/>
    </row>
    <row r="119">
      <c r="A119" s="10"/>
      <c r="B119" s="10"/>
      <c r="C119" s="10"/>
    </row>
    <row r="120">
      <c r="A120" s="10"/>
      <c r="B120" s="10"/>
      <c r="C120" s="10"/>
    </row>
    <row r="121">
      <c r="A121" s="10"/>
      <c r="B121" s="10"/>
      <c r="C121" s="10"/>
    </row>
    <row r="122">
      <c r="A122" s="10"/>
      <c r="B122" s="10"/>
      <c r="C122" s="10"/>
    </row>
    <row r="123">
      <c r="A123" s="10"/>
      <c r="B123" s="10"/>
      <c r="C123" s="10"/>
    </row>
    <row r="124">
      <c r="A124" s="10"/>
      <c r="B124" s="10"/>
      <c r="C124" s="10"/>
    </row>
    <row r="125">
      <c r="A125" s="10"/>
      <c r="B125" s="10"/>
      <c r="C125" s="10"/>
    </row>
    <row r="126">
      <c r="A126" s="10"/>
      <c r="B126" s="10"/>
      <c r="C126" s="10"/>
    </row>
    <row r="127">
      <c r="A127" s="10"/>
      <c r="B127" s="10"/>
      <c r="C127" s="10"/>
    </row>
    <row r="128">
      <c r="A128" s="10"/>
      <c r="B128" s="10"/>
      <c r="C128" s="10"/>
    </row>
    <row r="129">
      <c r="A129" s="10"/>
      <c r="B129" s="10"/>
      <c r="C129" s="10"/>
    </row>
    <row r="130">
      <c r="A130" s="10"/>
      <c r="B130" s="10"/>
      <c r="C130" s="10"/>
    </row>
    <row r="131">
      <c r="A131" s="10"/>
      <c r="B131" s="10"/>
      <c r="C131" s="10"/>
    </row>
    <row r="132">
      <c r="A132" s="10"/>
      <c r="B132" s="10"/>
      <c r="C132" s="10"/>
    </row>
    <row r="133">
      <c r="A133" s="10"/>
      <c r="B133" s="10"/>
      <c r="C133" s="10"/>
    </row>
    <row r="134">
      <c r="A134" s="10"/>
      <c r="B134" s="10"/>
      <c r="C134" s="10"/>
    </row>
    <row r="135">
      <c r="A135" s="10"/>
      <c r="B135" s="10"/>
      <c r="C135" s="10"/>
    </row>
    <row r="136">
      <c r="A136" s="10"/>
      <c r="B136" s="10"/>
      <c r="C136" s="10"/>
    </row>
    <row r="137">
      <c r="A137" s="10"/>
      <c r="B137" s="10"/>
      <c r="C137" s="10"/>
    </row>
    <row r="138">
      <c r="A138" s="10"/>
      <c r="B138" s="10"/>
      <c r="C138" s="10"/>
    </row>
    <row r="139">
      <c r="A139" s="10"/>
      <c r="B139" s="10"/>
      <c r="C139" s="10"/>
    </row>
    <row r="140">
      <c r="A140" s="10"/>
      <c r="B140" s="10"/>
      <c r="C140" s="10"/>
    </row>
    <row r="141">
      <c r="A141" s="10"/>
      <c r="B141" s="10"/>
      <c r="C141" s="10"/>
    </row>
    <row r="142">
      <c r="A142" s="10"/>
      <c r="B142" s="10"/>
      <c r="C142" s="10"/>
    </row>
    <row r="143">
      <c r="A143" s="10"/>
      <c r="B143" s="10"/>
      <c r="C143" s="10"/>
    </row>
    <row r="144">
      <c r="A144" s="10"/>
      <c r="B144" s="10"/>
      <c r="C144" s="10"/>
    </row>
    <row r="145">
      <c r="A145" s="10"/>
      <c r="B145" s="10"/>
      <c r="C145" s="10"/>
    </row>
    <row r="146">
      <c r="A146" s="10"/>
      <c r="B146" s="10"/>
      <c r="C146" s="10"/>
    </row>
    <row r="147">
      <c r="A147" s="10"/>
      <c r="B147" s="10"/>
      <c r="C147" s="10"/>
    </row>
    <row r="148">
      <c r="A148" s="10"/>
      <c r="B148" s="10"/>
      <c r="C148" s="10"/>
    </row>
    <row r="149">
      <c r="A149" s="10"/>
      <c r="B149" s="10"/>
      <c r="C149" s="10"/>
    </row>
    <row r="150">
      <c r="A150" s="10"/>
      <c r="B150" s="10"/>
      <c r="C150" s="10"/>
    </row>
    <row r="151">
      <c r="A151" s="10"/>
      <c r="B151" s="10"/>
      <c r="C151" s="10"/>
    </row>
    <row r="152">
      <c r="A152" s="10"/>
      <c r="B152" s="10"/>
      <c r="C152" s="10"/>
    </row>
    <row r="153">
      <c r="A153" s="10"/>
      <c r="B153" s="10"/>
      <c r="C153" s="10"/>
    </row>
    <row r="154">
      <c r="A154" s="10"/>
      <c r="B154" s="10"/>
      <c r="C154" s="10"/>
    </row>
    <row r="155">
      <c r="A155" s="10"/>
      <c r="B155" s="10"/>
      <c r="C155" s="10"/>
    </row>
    <row r="156">
      <c r="A156" s="10"/>
      <c r="B156" s="10"/>
      <c r="C156" s="10"/>
    </row>
    <row r="157">
      <c r="A157" s="10"/>
      <c r="B157" s="10"/>
      <c r="C157" s="10"/>
    </row>
    <row r="158">
      <c r="A158" s="10"/>
      <c r="B158" s="10"/>
      <c r="C158" s="10"/>
    </row>
    <row r="159">
      <c r="A159" s="10"/>
      <c r="B159" s="10"/>
      <c r="C159" s="10"/>
    </row>
    <row r="160">
      <c r="A160" s="10"/>
      <c r="B160" s="10"/>
      <c r="C160" s="10"/>
    </row>
    <row r="161">
      <c r="A161" s="10"/>
      <c r="B161" s="10"/>
      <c r="C161" s="10"/>
    </row>
    <row r="162">
      <c r="A162" s="10"/>
      <c r="B162" s="10"/>
      <c r="C162" s="10"/>
    </row>
    <row r="163">
      <c r="A163" s="10"/>
      <c r="B163" s="10"/>
      <c r="C163" s="10"/>
    </row>
    <row r="164">
      <c r="A164" s="10"/>
      <c r="B164" s="10"/>
      <c r="C164" s="10"/>
    </row>
    <row r="165">
      <c r="A165" s="10"/>
      <c r="B165" s="10"/>
      <c r="C165" s="10"/>
    </row>
    <row r="166">
      <c r="A166" s="10"/>
      <c r="B166" s="10"/>
      <c r="C166" s="10"/>
    </row>
    <row r="167">
      <c r="A167" s="10"/>
      <c r="B167" s="10"/>
      <c r="C167" s="10"/>
    </row>
    <row r="168">
      <c r="A168" s="10"/>
      <c r="B168" s="10"/>
      <c r="C168" s="10"/>
    </row>
    <row r="169">
      <c r="A169" s="10"/>
      <c r="B169" s="10"/>
      <c r="C169" s="10"/>
    </row>
    <row r="170">
      <c r="A170" s="10"/>
      <c r="B170" s="10"/>
      <c r="C170" s="10"/>
    </row>
    <row r="171">
      <c r="A171" s="10"/>
      <c r="B171" s="10"/>
      <c r="C171" s="10"/>
    </row>
    <row r="172">
      <c r="A172" s="10"/>
      <c r="B172" s="10"/>
      <c r="C172" s="10"/>
    </row>
    <row r="173">
      <c r="A173" s="10"/>
      <c r="B173" s="10"/>
      <c r="C173" s="10"/>
    </row>
    <row r="174">
      <c r="A174" s="10"/>
      <c r="B174" s="10"/>
      <c r="C174" s="10"/>
    </row>
    <row r="175">
      <c r="A175" s="10"/>
      <c r="B175" s="10"/>
      <c r="C175" s="10"/>
    </row>
    <row r="176">
      <c r="A176" s="10"/>
      <c r="B176" s="10"/>
      <c r="C176" s="10"/>
    </row>
    <row r="177">
      <c r="A177" s="10"/>
      <c r="B177" s="10"/>
      <c r="C177" s="10"/>
    </row>
    <row r="178">
      <c r="A178" s="10"/>
      <c r="B178" s="10"/>
      <c r="C178" s="10"/>
    </row>
    <row r="179">
      <c r="A179" s="10"/>
      <c r="B179" s="10"/>
      <c r="C179" s="10"/>
    </row>
    <row r="180">
      <c r="A180" s="10"/>
      <c r="B180" s="10"/>
      <c r="C180" s="10"/>
    </row>
    <row r="181">
      <c r="A181" s="10"/>
      <c r="B181" s="10"/>
      <c r="C181" s="10"/>
    </row>
    <row r="182">
      <c r="A182" s="10"/>
      <c r="B182" s="10"/>
      <c r="C182" s="10"/>
    </row>
    <row r="183">
      <c r="A183" s="10"/>
      <c r="B183" s="10"/>
      <c r="C183" s="10"/>
    </row>
    <row r="184">
      <c r="A184" s="10"/>
      <c r="B184" s="10"/>
      <c r="C184" s="10"/>
    </row>
    <row r="185">
      <c r="A185" s="10"/>
      <c r="B185" s="10"/>
      <c r="C185" s="10"/>
    </row>
    <row r="186">
      <c r="A186" s="10"/>
      <c r="B186" s="10"/>
      <c r="C186" s="10"/>
    </row>
    <row r="187">
      <c r="A187" s="10"/>
      <c r="B187" s="10"/>
      <c r="C187" s="10"/>
    </row>
    <row r="188">
      <c r="A188" s="10"/>
      <c r="B188" s="10"/>
      <c r="C188" s="10"/>
    </row>
    <row r="189">
      <c r="A189" s="10"/>
      <c r="B189" s="10"/>
      <c r="C189" s="10"/>
    </row>
    <row r="190">
      <c r="A190" s="10"/>
      <c r="B190" s="10"/>
      <c r="C190" s="10"/>
    </row>
    <row r="191">
      <c r="A191" s="10"/>
      <c r="B191" s="10"/>
      <c r="C191" s="10"/>
    </row>
    <row r="192">
      <c r="A192" s="10"/>
      <c r="B192" s="10"/>
      <c r="C192" s="10"/>
    </row>
    <row r="193">
      <c r="A193" s="10"/>
      <c r="B193" s="10"/>
      <c r="C193" s="10"/>
    </row>
    <row r="194">
      <c r="A194" s="10"/>
      <c r="B194" s="10"/>
      <c r="C194" s="10"/>
    </row>
    <row r="195">
      <c r="A195" s="10"/>
      <c r="B195" s="10"/>
      <c r="C195" s="10"/>
    </row>
    <row r="196">
      <c r="A196" s="10"/>
      <c r="B196" s="10"/>
      <c r="C196" s="10"/>
    </row>
    <row r="197">
      <c r="A197" s="10"/>
      <c r="B197" s="10"/>
      <c r="C197" s="10"/>
    </row>
    <row r="198">
      <c r="A198" s="10"/>
      <c r="B198" s="10"/>
      <c r="C198" s="10"/>
    </row>
    <row r="199">
      <c r="A199" s="10"/>
      <c r="B199" s="10"/>
      <c r="C199" s="10"/>
    </row>
    <row r="200">
      <c r="A200" s="10"/>
      <c r="B200" s="10"/>
      <c r="C200" s="10"/>
    </row>
    <row r="201">
      <c r="A201" s="10"/>
      <c r="B201" s="10"/>
      <c r="C201" s="10"/>
    </row>
    <row r="202">
      <c r="A202" s="10"/>
      <c r="B202" s="10"/>
      <c r="C202" s="10"/>
    </row>
    <row r="203">
      <c r="A203" s="10"/>
      <c r="B203" s="10"/>
      <c r="C203" s="10"/>
    </row>
    <row r="204">
      <c r="A204" s="10"/>
      <c r="B204" s="10"/>
      <c r="C204" s="10"/>
    </row>
    <row r="205">
      <c r="A205" s="10"/>
      <c r="B205" s="10"/>
      <c r="C205" s="10"/>
    </row>
    <row r="206">
      <c r="A206" s="10"/>
      <c r="B206" s="10"/>
      <c r="C206" s="10"/>
    </row>
    <row r="207">
      <c r="A207" s="10"/>
      <c r="B207" s="10"/>
      <c r="C207" s="10"/>
    </row>
    <row r="208">
      <c r="A208" s="10"/>
      <c r="B208" s="10"/>
      <c r="C208" s="10"/>
    </row>
    <row r="209">
      <c r="A209" s="10"/>
      <c r="B209" s="10"/>
      <c r="C209" s="10"/>
    </row>
    <row r="210">
      <c r="A210" s="10"/>
      <c r="B210" s="10"/>
      <c r="C210" s="10"/>
    </row>
    <row r="211">
      <c r="A211" s="10"/>
      <c r="B211" s="10"/>
      <c r="C211" s="10"/>
    </row>
    <row r="212">
      <c r="A212" s="10"/>
      <c r="B212" s="10"/>
      <c r="C212" s="10"/>
    </row>
    <row r="213">
      <c r="A213" s="10"/>
      <c r="B213" s="10"/>
      <c r="C213" s="10"/>
    </row>
    <row r="214">
      <c r="A214" s="10"/>
      <c r="B214" s="10"/>
      <c r="C214" s="10"/>
    </row>
    <row r="215">
      <c r="A215" s="10"/>
      <c r="B215" s="10"/>
      <c r="C215" s="10"/>
    </row>
    <row r="216">
      <c r="A216" s="10"/>
      <c r="B216" s="10"/>
      <c r="C216" s="10"/>
    </row>
    <row r="217">
      <c r="A217" s="10"/>
      <c r="B217" s="10"/>
      <c r="C217" s="10"/>
    </row>
    <row r="218">
      <c r="A218" s="10"/>
      <c r="B218" s="10"/>
      <c r="C218" s="10"/>
    </row>
    <row r="219">
      <c r="A219" s="10"/>
      <c r="B219" s="10"/>
      <c r="C219" s="10"/>
    </row>
    <row r="220">
      <c r="A220" s="10"/>
      <c r="B220" s="10"/>
      <c r="C220" s="10"/>
    </row>
    <row r="221">
      <c r="A221" s="10"/>
      <c r="B221" s="10"/>
      <c r="C221" s="10"/>
    </row>
    <row r="222">
      <c r="A222" s="10"/>
      <c r="B222" s="10"/>
      <c r="C222" s="10"/>
    </row>
    <row r="223">
      <c r="A223" s="10"/>
      <c r="B223" s="10"/>
      <c r="C223" s="10"/>
    </row>
    <row r="224">
      <c r="A224" s="10"/>
      <c r="B224" s="10"/>
      <c r="C224" s="10"/>
    </row>
    <row r="225">
      <c r="A225" s="10"/>
      <c r="B225" s="10"/>
      <c r="C225" s="10"/>
    </row>
    <row r="226">
      <c r="A226" s="10"/>
      <c r="B226" s="10"/>
      <c r="C226" s="10"/>
    </row>
    <row r="227">
      <c r="A227" s="10"/>
      <c r="B227" s="10"/>
      <c r="C227" s="10"/>
    </row>
    <row r="228">
      <c r="A228" s="10"/>
      <c r="B228" s="10"/>
      <c r="C228" s="10"/>
    </row>
    <row r="229">
      <c r="A229" s="10"/>
      <c r="B229" s="10"/>
      <c r="C229" s="10"/>
    </row>
    <row r="230">
      <c r="A230" s="10"/>
      <c r="B230" s="10"/>
      <c r="C230" s="10"/>
    </row>
    <row r="231">
      <c r="A231" s="10"/>
      <c r="B231" s="10"/>
      <c r="C231" s="10"/>
    </row>
    <row r="232">
      <c r="A232" s="10"/>
      <c r="B232" s="10"/>
      <c r="C232" s="10"/>
    </row>
    <row r="233">
      <c r="A233" s="10"/>
      <c r="B233" s="10"/>
      <c r="C233" s="10"/>
    </row>
    <row r="234">
      <c r="A234" s="10"/>
      <c r="B234" s="10"/>
      <c r="C234" s="10"/>
    </row>
    <row r="235">
      <c r="A235" s="10"/>
      <c r="B235" s="10"/>
      <c r="C235" s="10"/>
    </row>
    <row r="236">
      <c r="A236" s="10"/>
      <c r="B236" s="10"/>
      <c r="C236" s="10"/>
    </row>
    <row r="237">
      <c r="A237" s="10"/>
      <c r="B237" s="10"/>
      <c r="C237" s="10"/>
    </row>
    <row r="238">
      <c r="A238" s="10"/>
      <c r="B238" s="10"/>
      <c r="C238" s="10"/>
    </row>
    <row r="239">
      <c r="A239" s="10"/>
      <c r="B239" s="10"/>
      <c r="C239" s="10"/>
    </row>
    <row r="240">
      <c r="A240" s="10"/>
      <c r="B240" s="10"/>
      <c r="C240" s="10"/>
    </row>
    <row r="241">
      <c r="A241" s="10"/>
      <c r="B241" s="10"/>
      <c r="C241" s="10"/>
    </row>
    <row r="242">
      <c r="A242" s="10"/>
      <c r="B242" s="10"/>
      <c r="C242" s="10"/>
    </row>
    <row r="243">
      <c r="A243" s="10"/>
      <c r="B243" s="10"/>
      <c r="C243" s="10"/>
    </row>
    <row r="244">
      <c r="A244" s="10"/>
      <c r="B244" s="10"/>
      <c r="C244" s="10"/>
    </row>
    <row r="245">
      <c r="A245" s="10"/>
      <c r="B245" s="10"/>
      <c r="C245" s="10"/>
    </row>
    <row r="246">
      <c r="A246" s="10"/>
      <c r="B246" s="10"/>
      <c r="C246" s="10"/>
    </row>
    <row r="247">
      <c r="A247" s="10"/>
      <c r="B247" s="10"/>
      <c r="C247" s="10"/>
    </row>
    <row r="248">
      <c r="A248" s="10"/>
      <c r="B248" s="10"/>
      <c r="C248" s="10"/>
    </row>
    <row r="249">
      <c r="A249" s="10"/>
      <c r="B249" s="10"/>
      <c r="C249" s="10"/>
    </row>
    <row r="250">
      <c r="A250" s="10"/>
      <c r="B250" s="10"/>
      <c r="C250" s="10"/>
    </row>
    <row r="251">
      <c r="A251" s="10"/>
      <c r="B251" s="10"/>
      <c r="C251" s="10"/>
    </row>
    <row r="252">
      <c r="A252" s="10"/>
      <c r="B252" s="10"/>
      <c r="C252" s="10"/>
    </row>
    <row r="253">
      <c r="A253" s="10"/>
      <c r="B253" s="10"/>
      <c r="C253" s="10"/>
    </row>
    <row r="254">
      <c r="A254" s="10"/>
      <c r="B254" s="10"/>
      <c r="C254" s="10"/>
    </row>
    <row r="255">
      <c r="A255" s="10"/>
      <c r="B255" s="10"/>
      <c r="C255" s="10"/>
    </row>
    <row r="256">
      <c r="A256" s="10"/>
      <c r="B256" s="10"/>
      <c r="C256" s="10"/>
    </row>
    <row r="257">
      <c r="A257" s="10"/>
      <c r="B257" s="10"/>
      <c r="C257" s="10"/>
    </row>
    <row r="258">
      <c r="A258" s="10"/>
      <c r="B258" s="10"/>
      <c r="C258" s="10"/>
    </row>
    <row r="259">
      <c r="A259" s="10"/>
      <c r="B259" s="10"/>
      <c r="C259" s="10"/>
    </row>
    <row r="260">
      <c r="A260" s="10"/>
      <c r="B260" s="10"/>
      <c r="C260" s="10"/>
    </row>
    <row r="261">
      <c r="A261" s="10"/>
      <c r="B261" s="10"/>
      <c r="C261" s="10"/>
    </row>
    <row r="262">
      <c r="A262" s="10"/>
      <c r="B262" s="10"/>
      <c r="C262" s="10"/>
    </row>
    <row r="263">
      <c r="A263" s="10"/>
      <c r="B263" s="10"/>
      <c r="C263" s="10"/>
    </row>
    <row r="264">
      <c r="A264" s="10"/>
      <c r="B264" s="10"/>
      <c r="C264" s="10"/>
    </row>
    <row r="265">
      <c r="A265" s="10"/>
      <c r="B265" s="10"/>
      <c r="C265" s="10"/>
    </row>
    <row r="266">
      <c r="A266" s="10"/>
      <c r="B266" s="10"/>
      <c r="C266" s="10"/>
    </row>
    <row r="267">
      <c r="A267" s="10"/>
      <c r="B267" s="10"/>
      <c r="C267" s="10"/>
    </row>
    <row r="268">
      <c r="A268" s="10"/>
      <c r="B268" s="10"/>
      <c r="C268" s="10"/>
    </row>
    <row r="269">
      <c r="A269" s="10"/>
      <c r="B269" s="10"/>
      <c r="C269" s="10"/>
    </row>
    <row r="270">
      <c r="A270" s="10"/>
      <c r="B270" s="10"/>
      <c r="C270" s="10"/>
    </row>
    <row r="271">
      <c r="A271" s="10"/>
      <c r="B271" s="10"/>
      <c r="C271" s="10"/>
    </row>
    <row r="272">
      <c r="A272" s="10"/>
      <c r="B272" s="10"/>
      <c r="C272" s="10"/>
    </row>
    <row r="273">
      <c r="A273" s="10"/>
      <c r="B273" s="10"/>
      <c r="C273" s="10"/>
    </row>
    <row r="274">
      <c r="A274" s="10"/>
      <c r="B274" s="10"/>
      <c r="C274" s="10"/>
    </row>
    <row r="275">
      <c r="A275" s="10"/>
      <c r="B275" s="10"/>
      <c r="C275" s="10"/>
    </row>
    <row r="276">
      <c r="A276" s="10"/>
      <c r="B276" s="10"/>
      <c r="C276" s="10"/>
    </row>
    <row r="277">
      <c r="A277" s="10"/>
      <c r="B277" s="10"/>
      <c r="C277" s="10"/>
    </row>
    <row r="278">
      <c r="A278" s="10"/>
      <c r="B278" s="10"/>
      <c r="C278" s="10"/>
    </row>
    <row r="279">
      <c r="A279" s="10"/>
      <c r="B279" s="10"/>
      <c r="C279" s="10"/>
    </row>
    <row r="280">
      <c r="A280" s="10"/>
      <c r="B280" s="10"/>
      <c r="C280" s="10"/>
    </row>
    <row r="281">
      <c r="A281" s="10"/>
      <c r="B281" s="10"/>
      <c r="C281" s="10"/>
    </row>
    <row r="282">
      <c r="A282" s="10"/>
      <c r="B282" s="10"/>
      <c r="C282" s="10"/>
    </row>
    <row r="283">
      <c r="A283" s="10"/>
      <c r="B283" s="10"/>
      <c r="C283" s="10"/>
    </row>
    <row r="284">
      <c r="A284" s="10"/>
      <c r="B284" s="10"/>
      <c r="C284" s="10"/>
    </row>
    <row r="285">
      <c r="A285" s="10"/>
      <c r="B285" s="10"/>
      <c r="C285" s="10"/>
    </row>
    <row r="286">
      <c r="A286" s="10"/>
      <c r="B286" s="10"/>
      <c r="C286" s="10"/>
    </row>
    <row r="287">
      <c r="A287" s="10"/>
      <c r="B287" s="10"/>
      <c r="C287" s="10"/>
    </row>
    <row r="288">
      <c r="A288" s="10"/>
      <c r="B288" s="10"/>
      <c r="C288" s="10"/>
    </row>
    <row r="289">
      <c r="A289" s="10"/>
      <c r="B289" s="10"/>
      <c r="C289" s="10"/>
    </row>
    <row r="290">
      <c r="A290" s="10"/>
      <c r="B290" s="10"/>
      <c r="C290" s="10"/>
    </row>
    <row r="291">
      <c r="A291" s="10"/>
      <c r="B291" s="10"/>
      <c r="C291" s="10"/>
    </row>
    <row r="292">
      <c r="A292" s="10"/>
      <c r="B292" s="10"/>
      <c r="C292" s="10"/>
    </row>
    <row r="293">
      <c r="A293" s="10"/>
      <c r="B293" s="10"/>
      <c r="C293" s="10"/>
    </row>
    <row r="294">
      <c r="A294" s="10"/>
      <c r="B294" s="10"/>
      <c r="C294" s="10"/>
    </row>
    <row r="295">
      <c r="A295" s="10"/>
      <c r="B295" s="10"/>
      <c r="C295" s="10"/>
    </row>
    <row r="296">
      <c r="A296" s="10"/>
      <c r="B296" s="10"/>
      <c r="C296" s="10"/>
    </row>
    <row r="297">
      <c r="A297" s="10"/>
      <c r="B297" s="10"/>
      <c r="C297" s="10"/>
    </row>
    <row r="298">
      <c r="A298" s="10"/>
      <c r="B298" s="10"/>
      <c r="C298" s="10"/>
    </row>
    <row r="299">
      <c r="A299" s="10"/>
      <c r="B299" s="10"/>
      <c r="C299" s="10"/>
    </row>
    <row r="300">
      <c r="A300" s="10"/>
      <c r="B300" s="10"/>
      <c r="C300" s="10"/>
    </row>
    <row r="301">
      <c r="A301" s="10"/>
      <c r="B301" s="10"/>
      <c r="C301" s="10"/>
    </row>
    <row r="302">
      <c r="A302" s="10"/>
      <c r="B302" s="10"/>
      <c r="C302" s="10"/>
    </row>
    <row r="303">
      <c r="A303" s="10"/>
      <c r="B303" s="10"/>
      <c r="C303" s="10"/>
    </row>
    <row r="304">
      <c r="A304" s="10"/>
      <c r="B304" s="10"/>
      <c r="C304" s="10"/>
    </row>
    <row r="305">
      <c r="A305" s="10"/>
      <c r="B305" s="10"/>
      <c r="C305" s="10"/>
    </row>
    <row r="306">
      <c r="A306" s="10"/>
      <c r="B306" s="10"/>
      <c r="C306" s="10"/>
    </row>
    <row r="307">
      <c r="A307" s="10"/>
      <c r="B307" s="10"/>
      <c r="C307" s="10"/>
    </row>
    <row r="308">
      <c r="A308" s="10"/>
      <c r="B308" s="10"/>
      <c r="C308" s="10"/>
    </row>
    <row r="309">
      <c r="A309" s="10"/>
      <c r="B309" s="10"/>
      <c r="C309" s="10"/>
    </row>
    <row r="310">
      <c r="A310" s="10"/>
      <c r="B310" s="10"/>
      <c r="C310" s="10"/>
    </row>
    <row r="311">
      <c r="A311" s="10"/>
      <c r="B311" s="10"/>
      <c r="C311" s="10"/>
    </row>
    <row r="312">
      <c r="A312" s="10"/>
      <c r="B312" s="10"/>
      <c r="C312" s="10"/>
    </row>
    <row r="313">
      <c r="A313" s="10"/>
      <c r="B313" s="10"/>
      <c r="C313" s="10"/>
    </row>
    <row r="314">
      <c r="A314" s="10"/>
      <c r="B314" s="10"/>
      <c r="C314" s="10"/>
    </row>
    <row r="315">
      <c r="A315" s="10"/>
      <c r="B315" s="10"/>
      <c r="C315" s="10"/>
    </row>
    <row r="316">
      <c r="A316" s="10"/>
      <c r="B316" s="10"/>
      <c r="C316" s="10"/>
    </row>
    <row r="317">
      <c r="A317" s="10"/>
      <c r="B317" s="10"/>
      <c r="C317" s="10"/>
    </row>
    <row r="318">
      <c r="A318" s="10"/>
      <c r="B318" s="10"/>
      <c r="C318" s="10"/>
    </row>
    <row r="319">
      <c r="A319" s="10"/>
      <c r="B319" s="10"/>
      <c r="C319" s="10"/>
    </row>
    <row r="320">
      <c r="A320" s="10"/>
      <c r="B320" s="10"/>
      <c r="C320" s="10"/>
    </row>
    <row r="321">
      <c r="A321" s="10"/>
      <c r="B321" s="10"/>
      <c r="C321" s="10"/>
    </row>
    <row r="322">
      <c r="A322" s="10"/>
      <c r="B322" s="10"/>
      <c r="C322" s="10"/>
    </row>
    <row r="323">
      <c r="A323" s="10"/>
      <c r="B323" s="10"/>
      <c r="C323" s="10"/>
    </row>
    <row r="324">
      <c r="A324" s="10"/>
      <c r="B324" s="10"/>
      <c r="C324" s="10"/>
    </row>
    <row r="325">
      <c r="A325" s="10"/>
      <c r="B325" s="10"/>
      <c r="C325" s="10"/>
    </row>
    <row r="326">
      <c r="A326" s="10"/>
      <c r="B326" s="10"/>
      <c r="C326" s="10"/>
    </row>
    <row r="327">
      <c r="A327" s="10"/>
      <c r="B327" s="10"/>
      <c r="C327" s="10"/>
    </row>
    <row r="328">
      <c r="A328" s="10"/>
      <c r="B328" s="10"/>
      <c r="C328" s="10"/>
    </row>
    <row r="329">
      <c r="A329" s="10"/>
      <c r="B329" s="10"/>
      <c r="C329" s="10"/>
    </row>
    <row r="330">
      <c r="A330" s="10"/>
      <c r="B330" s="10"/>
      <c r="C330" s="10"/>
    </row>
    <row r="331">
      <c r="A331" s="10"/>
      <c r="B331" s="10"/>
      <c r="C331" s="10"/>
    </row>
    <row r="332">
      <c r="A332" s="10"/>
      <c r="B332" s="10"/>
      <c r="C332" s="10"/>
    </row>
    <row r="333">
      <c r="A333" s="10"/>
      <c r="B333" s="10"/>
      <c r="C333" s="10"/>
    </row>
    <row r="334">
      <c r="A334" s="10"/>
      <c r="B334" s="10"/>
      <c r="C334" s="10"/>
    </row>
    <row r="335">
      <c r="A335" s="10"/>
      <c r="B335" s="10"/>
      <c r="C335" s="10"/>
    </row>
    <row r="336">
      <c r="A336" s="10"/>
      <c r="B336" s="10"/>
      <c r="C336" s="10"/>
    </row>
    <row r="337">
      <c r="A337" s="10"/>
      <c r="B337" s="10"/>
      <c r="C337" s="10"/>
    </row>
    <row r="338">
      <c r="A338" s="10"/>
      <c r="B338" s="10"/>
      <c r="C338" s="10"/>
    </row>
    <row r="339">
      <c r="A339" s="10"/>
      <c r="B339" s="10"/>
      <c r="C339" s="10"/>
    </row>
    <row r="340">
      <c r="A340" s="10"/>
      <c r="B340" s="10"/>
      <c r="C340" s="10"/>
    </row>
    <row r="341">
      <c r="A341" s="10"/>
      <c r="B341" s="10"/>
      <c r="C341" s="10"/>
    </row>
    <row r="342">
      <c r="A342" s="10"/>
      <c r="B342" s="10"/>
      <c r="C342" s="10"/>
    </row>
    <row r="343">
      <c r="A343" s="10"/>
      <c r="B343" s="10"/>
      <c r="C343" s="10"/>
    </row>
    <row r="344">
      <c r="A344" s="10"/>
      <c r="B344" s="10"/>
      <c r="C344" s="10"/>
    </row>
    <row r="345">
      <c r="A345" s="10"/>
      <c r="B345" s="10"/>
      <c r="C345" s="10"/>
    </row>
    <row r="346">
      <c r="A346" s="10"/>
      <c r="B346" s="10"/>
      <c r="C346" s="10"/>
    </row>
    <row r="347">
      <c r="A347" s="10"/>
      <c r="B347" s="10"/>
      <c r="C347" s="10"/>
    </row>
    <row r="348">
      <c r="A348" s="10"/>
      <c r="B348" s="10"/>
      <c r="C348" s="10"/>
    </row>
    <row r="349">
      <c r="A349" s="10"/>
      <c r="B349" s="10"/>
      <c r="C349" s="10"/>
    </row>
    <row r="350">
      <c r="A350" s="10"/>
      <c r="B350" s="10"/>
      <c r="C350" s="10"/>
    </row>
    <row r="351">
      <c r="A351" s="10"/>
      <c r="B351" s="10"/>
      <c r="C351" s="10"/>
    </row>
    <row r="352">
      <c r="A352" s="10"/>
      <c r="B352" s="10"/>
      <c r="C352" s="10"/>
    </row>
    <row r="353">
      <c r="A353" s="10"/>
      <c r="B353" s="10"/>
      <c r="C353" s="10"/>
    </row>
    <row r="354">
      <c r="A354" s="10"/>
      <c r="B354" s="10"/>
      <c r="C354" s="10"/>
    </row>
    <row r="355">
      <c r="A355" s="10"/>
      <c r="B355" s="10"/>
      <c r="C355" s="10"/>
    </row>
    <row r="356">
      <c r="A356" s="10"/>
      <c r="B356" s="10"/>
      <c r="C356" s="10"/>
    </row>
    <row r="357">
      <c r="A357" s="10"/>
      <c r="B357" s="10"/>
      <c r="C357" s="10"/>
    </row>
    <row r="358">
      <c r="A358" s="10"/>
      <c r="B358" s="10"/>
      <c r="C358" s="10"/>
    </row>
    <row r="359">
      <c r="A359" s="10"/>
      <c r="B359" s="10"/>
      <c r="C359" s="10"/>
    </row>
    <row r="360">
      <c r="A360" s="10"/>
      <c r="B360" s="10"/>
      <c r="C360" s="10"/>
    </row>
    <row r="361">
      <c r="A361" s="10"/>
      <c r="B361" s="10"/>
      <c r="C361" s="10"/>
    </row>
    <row r="362">
      <c r="A362" s="10"/>
      <c r="B362" s="10"/>
      <c r="C362" s="10"/>
    </row>
    <row r="363">
      <c r="A363" s="10"/>
      <c r="B363" s="10"/>
      <c r="C363" s="10"/>
    </row>
    <row r="364">
      <c r="A364" s="10"/>
      <c r="B364" s="10"/>
      <c r="C364" s="10"/>
    </row>
    <row r="365">
      <c r="A365" s="10"/>
      <c r="B365" s="10"/>
      <c r="C365" s="10"/>
    </row>
    <row r="366">
      <c r="A366" s="10"/>
      <c r="B366" s="10"/>
      <c r="C366" s="10"/>
    </row>
    <row r="367">
      <c r="A367" s="10"/>
      <c r="B367" s="10"/>
      <c r="C367" s="10"/>
    </row>
    <row r="368">
      <c r="A368" s="10"/>
      <c r="B368" s="10"/>
      <c r="C368" s="10"/>
    </row>
    <row r="369">
      <c r="A369" s="10"/>
      <c r="B369" s="10"/>
      <c r="C369" s="10"/>
    </row>
    <row r="370">
      <c r="A370" s="10"/>
      <c r="B370" s="10"/>
      <c r="C370" s="10"/>
    </row>
    <row r="371">
      <c r="A371" s="10"/>
      <c r="B371" s="10"/>
      <c r="C371" s="10"/>
    </row>
    <row r="372">
      <c r="A372" s="10"/>
      <c r="B372" s="10"/>
      <c r="C372" s="10"/>
    </row>
    <row r="373">
      <c r="A373" s="10"/>
      <c r="B373" s="10"/>
      <c r="C373" s="10"/>
    </row>
    <row r="374">
      <c r="A374" s="10"/>
      <c r="B374" s="10"/>
      <c r="C374" s="10"/>
    </row>
    <row r="375">
      <c r="A375" s="10"/>
      <c r="B375" s="10"/>
      <c r="C375" s="10"/>
    </row>
    <row r="376">
      <c r="A376" s="10"/>
      <c r="B376" s="10"/>
      <c r="C376" s="10"/>
    </row>
    <row r="377">
      <c r="A377" s="10"/>
      <c r="B377" s="10"/>
      <c r="C377" s="10"/>
    </row>
    <row r="378">
      <c r="A378" s="10"/>
      <c r="B378" s="10"/>
      <c r="C378" s="10"/>
    </row>
    <row r="379">
      <c r="A379" s="10"/>
      <c r="B379" s="10"/>
      <c r="C379" s="10"/>
    </row>
    <row r="380">
      <c r="A380" s="10"/>
      <c r="B380" s="10"/>
      <c r="C380" s="10"/>
    </row>
    <row r="381">
      <c r="A381" s="10"/>
      <c r="B381" s="10"/>
      <c r="C381" s="10"/>
    </row>
    <row r="382">
      <c r="A382" s="10"/>
      <c r="B382" s="10"/>
      <c r="C382" s="10"/>
    </row>
    <row r="383">
      <c r="A383" s="10"/>
      <c r="B383" s="10"/>
      <c r="C383" s="10"/>
    </row>
    <row r="384">
      <c r="A384" s="10"/>
      <c r="B384" s="10"/>
      <c r="C384" s="10"/>
    </row>
    <row r="385">
      <c r="A385" s="10"/>
      <c r="B385" s="10"/>
      <c r="C385" s="10"/>
    </row>
    <row r="386">
      <c r="A386" s="10"/>
      <c r="B386" s="10"/>
      <c r="C386" s="10"/>
    </row>
    <row r="387">
      <c r="A387" s="10"/>
      <c r="B387" s="10"/>
      <c r="C387" s="10"/>
    </row>
    <row r="388">
      <c r="A388" s="10"/>
      <c r="B388" s="10"/>
      <c r="C388" s="10"/>
    </row>
    <row r="389">
      <c r="A389" s="10"/>
      <c r="B389" s="10"/>
      <c r="C389" s="10"/>
    </row>
    <row r="390">
      <c r="A390" s="10"/>
      <c r="B390" s="10"/>
      <c r="C390" s="10"/>
    </row>
    <row r="391">
      <c r="A391" s="10"/>
      <c r="B391" s="10"/>
      <c r="C391" s="10"/>
    </row>
    <row r="392">
      <c r="A392" s="10"/>
      <c r="B392" s="10"/>
      <c r="C392" s="10"/>
    </row>
    <row r="393">
      <c r="A393" s="10"/>
      <c r="B393" s="10"/>
      <c r="C393" s="10"/>
    </row>
    <row r="394">
      <c r="A394" s="10"/>
      <c r="B394" s="10"/>
      <c r="C394" s="10"/>
    </row>
    <row r="395">
      <c r="A395" s="10"/>
      <c r="B395" s="10"/>
      <c r="C395" s="10"/>
    </row>
    <row r="396">
      <c r="A396" s="10"/>
      <c r="B396" s="10"/>
      <c r="C396" s="10"/>
    </row>
    <row r="397">
      <c r="A397" s="10"/>
      <c r="B397" s="10"/>
      <c r="C397" s="10"/>
    </row>
    <row r="398">
      <c r="A398" s="10"/>
      <c r="B398" s="10"/>
      <c r="C398" s="10"/>
    </row>
    <row r="399">
      <c r="A399" s="10"/>
      <c r="B399" s="10"/>
      <c r="C399" s="10"/>
    </row>
    <row r="400">
      <c r="A400" s="10"/>
      <c r="B400" s="10"/>
      <c r="C400" s="10"/>
    </row>
    <row r="401">
      <c r="A401" s="10"/>
      <c r="B401" s="10"/>
      <c r="C401" s="10"/>
    </row>
    <row r="402">
      <c r="A402" s="10"/>
      <c r="B402" s="10"/>
      <c r="C402" s="10"/>
    </row>
    <row r="403">
      <c r="A403" s="10"/>
      <c r="B403" s="10"/>
      <c r="C403" s="10"/>
    </row>
    <row r="404">
      <c r="A404" s="10"/>
      <c r="B404" s="10"/>
      <c r="C404" s="10"/>
    </row>
    <row r="405">
      <c r="A405" s="10"/>
      <c r="B405" s="10"/>
      <c r="C405" s="10"/>
    </row>
    <row r="406">
      <c r="A406" s="10"/>
      <c r="B406" s="10"/>
      <c r="C406" s="10"/>
    </row>
    <row r="407">
      <c r="A407" s="10"/>
      <c r="B407" s="10"/>
      <c r="C407" s="10"/>
    </row>
    <row r="408">
      <c r="A408" s="10"/>
      <c r="B408" s="10"/>
      <c r="C408" s="10"/>
    </row>
    <row r="409">
      <c r="A409" s="10"/>
      <c r="B409" s="10"/>
      <c r="C409" s="10"/>
    </row>
    <row r="410">
      <c r="A410" s="10"/>
      <c r="B410" s="10"/>
      <c r="C410" s="10"/>
    </row>
    <row r="411">
      <c r="A411" s="10"/>
      <c r="B411" s="10"/>
      <c r="C411" s="10"/>
    </row>
    <row r="412">
      <c r="A412" s="10"/>
      <c r="B412" s="10"/>
      <c r="C412" s="10"/>
    </row>
    <row r="413">
      <c r="A413" s="10"/>
      <c r="B413" s="10"/>
      <c r="C413" s="10"/>
    </row>
    <row r="414">
      <c r="A414" s="10"/>
      <c r="B414" s="10"/>
      <c r="C414" s="10"/>
    </row>
    <row r="415">
      <c r="A415" s="10"/>
      <c r="B415" s="10"/>
      <c r="C415" s="10"/>
    </row>
    <row r="416">
      <c r="A416" s="10"/>
      <c r="B416" s="10"/>
      <c r="C416" s="10"/>
    </row>
    <row r="417">
      <c r="A417" s="10"/>
      <c r="B417" s="10"/>
      <c r="C417" s="10"/>
    </row>
    <row r="418">
      <c r="A418" s="10"/>
      <c r="B418" s="10"/>
      <c r="C418" s="10"/>
    </row>
    <row r="419">
      <c r="A419" s="10"/>
      <c r="B419" s="10"/>
      <c r="C419" s="10"/>
    </row>
    <row r="420">
      <c r="A420" s="10"/>
      <c r="B420" s="10"/>
      <c r="C420" s="10"/>
    </row>
    <row r="421">
      <c r="A421" s="10"/>
      <c r="B421" s="10"/>
      <c r="C421" s="10"/>
    </row>
    <row r="422">
      <c r="A422" s="10"/>
      <c r="B422" s="10"/>
      <c r="C422" s="10"/>
    </row>
    <row r="423">
      <c r="A423" s="10"/>
      <c r="B423" s="10"/>
      <c r="C423" s="10"/>
    </row>
    <row r="424">
      <c r="A424" s="10"/>
      <c r="B424" s="10"/>
      <c r="C424" s="10"/>
    </row>
    <row r="425">
      <c r="A425" s="10"/>
      <c r="B425" s="10"/>
      <c r="C425" s="10"/>
    </row>
    <row r="426">
      <c r="A426" s="10"/>
      <c r="B426" s="10"/>
      <c r="C426" s="10"/>
    </row>
    <row r="427">
      <c r="A427" s="10"/>
      <c r="B427" s="10"/>
      <c r="C427" s="10"/>
    </row>
    <row r="428">
      <c r="A428" s="10"/>
      <c r="B428" s="10"/>
      <c r="C428" s="10"/>
    </row>
    <row r="429">
      <c r="A429" s="10"/>
      <c r="B429" s="10"/>
      <c r="C429" s="10"/>
    </row>
    <row r="430">
      <c r="A430" s="10"/>
      <c r="B430" s="10"/>
      <c r="C430" s="10"/>
    </row>
    <row r="431">
      <c r="A431" s="10"/>
      <c r="B431" s="10"/>
      <c r="C431" s="10"/>
    </row>
    <row r="432">
      <c r="A432" s="10"/>
      <c r="B432" s="10"/>
      <c r="C432" s="10"/>
    </row>
    <row r="433">
      <c r="A433" s="10"/>
      <c r="B433" s="10"/>
      <c r="C433" s="10"/>
    </row>
    <row r="434">
      <c r="A434" s="10"/>
      <c r="B434" s="10"/>
      <c r="C434" s="10"/>
    </row>
    <row r="435">
      <c r="A435" s="10"/>
      <c r="B435" s="10"/>
      <c r="C435" s="10"/>
    </row>
    <row r="436">
      <c r="A436" s="10"/>
      <c r="B436" s="10"/>
      <c r="C436" s="10"/>
    </row>
    <row r="437">
      <c r="A437" s="10"/>
      <c r="B437" s="10"/>
      <c r="C437" s="10"/>
    </row>
    <row r="438">
      <c r="A438" s="10"/>
      <c r="B438" s="10"/>
      <c r="C438" s="10"/>
    </row>
    <row r="439">
      <c r="A439" s="10"/>
      <c r="B439" s="10"/>
      <c r="C439" s="10"/>
    </row>
    <row r="440">
      <c r="A440" s="10"/>
      <c r="B440" s="10"/>
      <c r="C440" s="10"/>
    </row>
    <row r="441">
      <c r="A441" s="10"/>
      <c r="B441" s="10"/>
      <c r="C441" s="10"/>
    </row>
    <row r="442">
      <c r="A442" s="10"/>
      <c r="B442" s="10"/>
      <c r="C442" s="10"/>
    </row>
    <row r="443">
      <c r="A443" s="10"/>
      <c r="B443" s="10"/>
      <c r="C443" s="10"/>
    </row>
    <row r="444">
      <c r="A444" s="10"/>
      <c r="B444" s="10"/>
      <c r="C444" s="10"/>
    </row>
    <row r="445">
      <c r="A445" s="10"/>
      <c r="B445" s="10"/>
      <c r="C445" s="10"/>
    </row>
    <row r="446">
      <c r="A446" s="10"/>
      <c r="B446" s="10"/>
      <c r="C446" s="10"/>
    </row>
    <row r="447">
      <c r="A447" s="10"/>
      <c r="B447" s="10"/>
      <c r="C447" s="10"/>
    </row>
    <row r="448">
      <c r="A448" s="10"/>
      <c r="B448" s="10"/>
      <c r="C448" s="10"/>
    </row>
    <row r="449">
      <c r="A449" s="10"/>
      <c r="B449" s="10"/>
      <c r="C449" s="10"/>
    </row>
    <row r="450">
      <c r="A450" s="10"/>
      <c r="B450" s="10"/>
      <c r="C450" s="10"/>
    </row>
    <row r="451">
      <c r="A451" s="10"/>
      <c r="B451" s="10"/>
      <c r="C451" s="10"/>
    </row>
    <row r="452">
      <c r="A452" s="10"/>
      <c r="B452" s="10"/>
      <c r="C452" s="10"/>
    </row>
    <row r="453">
      <c r="A453" s="10"/>
      <c r="B453" s="10"/>
      <c r="C453" s="10"/>
    </row>
    <row r="454">
      <c r="A454" s="10"/>
      <c r="B454" s="10"/>
      <c r="C454" s="10"/>
    </row>
    <row r="455">
      <c r="A455" s="10"/>
      <c r="B455" s="10"/>
      <c r="C455" s="10"/>
    </row>
    <row r="456">
      <c r="A456" s="10"/>
      <c r="B456" s="10"/>
      <c r="C456" s="10"/>
    </row>
    <row r="457">
      <c r="A457" s="10"/>
      <c r="B457" s="10"/>
      <c r="C457" s="10"/>
    </row>
    <row r="458">
      <c r="A458" s="10"/>
      <c r="B458" s="10"/>
      <c r="C458" s="10"/>
    </row>
    <row r="459">
      <c r="A459" s="10"/>
      <c r="B459" s="10"/>
      <c r="C459" s="10"/>
    </row>
    <row r="460">
      <c r="A460" s="10"/>
      <c r="B460" s="10"/>
      <c r="C460" s="10"/>
    </row>
    <row r="461">
      <c r="A461" s="10"/>
      <c r="B461" s="10"/>
      <c r="C461" s="10"/>
    </row>
    <row r="462">
      <c r="A462" s="10"/>
      <c r="B462" s="10"/>
      <c r="C462" s="10"/>
    </row>
    <row r="463">
      <c r="A463" s="10"/>
      <c r="B463" s="10"/>
      <c r="C463" s="10"/>
    </row>
    <row r="464">
      <c r="A464" s="10"/>
      <c r="B464" s="10"/>
      <c r="C464" s="10"/>
    </row>
    <row r="465">
      <c r="A465" s="10"/>
      <c r="B465" s="10"/>
      <c r="C465" s="10"/>
    </row>
    <row r="466">
      <c r="A466" s="10"/>
      <c r="B466" s="10"/>
      <c r="C466" s="10"/>
    </row>
    <row r="467">
      <c r="A467" s="10"/>
      <c r="B467" s="10"/>
      <c r="C467" s="10"/>
    </row>
    <row r="468">
      <c r="A468" s="10"/>
      <c r="B468" s="10"/>
      <c r="C468" s="10"/>
    </row>
    <row r="469">
      <c r="A469" s="10"/>
      <c r="B469" s="10"/>
      <c r="C469" s="10"/>
    </row>
    <row r="470">
      <c r="A470" s="10"/>
      <c r="B470" s="10"/>
      <c r="C470" s="10"/>
    </row>
    <row r="471">
      <c r="A471" s="10"/>
      <c r="B471" s="10"/>
      <c r="C471" s="10"/>
    </row>
    <row r="472">
      <c r="A472" s="10"/>
      <c r="B472" s="10"/>
      <c r="C472" s="10"/>
    </row>
    <row r="473">
      <c r="A473" s="10"/>
      <c r="B473" s="10"/>
      <c r="C473" s="10"/>
    </row>
    <row r="474">
      <c r="A474" s="10"/>
      <c r="B474" s="10"/>
      <c r="C474" s="10"/>
    </row>
    <row r="475">
      <c r="A475" s="10"/>
      <c r="B475" s="10"/>
      <c r="C475" s="10"/>
    </row>
    <row r="476">
      <c r="A476" s="10"/>
      <c r="B476" s="10"/>
      <c r="C476" s="10"/>
    </row>
    <row r="477">
      <c r="A477" s="10"/>
      <c r="B477" s="10"/>
      <c r="C477" s="10"/>
    </row>
    <row r="478">
      <c r="A478" s="10"/>
      <c r="B478" s="10"/>
      <c r="C478" s="10"/>
    </row>
    <row r="479">
      <c r="A479" s="10"/>
      <c r="B479" s="10"/>
      <c r="C479" s="10"/>
    </row>
    <row r="480">
      <c r="A480" s="10"/>
      <c r="B480" s="10"/>
      <c r="C480" s="10"/>
    </row>
    <row r="481">
      <c r="A481" s="10"/>
      <c r="B481" s="10"/>
      <c r="C481" s="10"/>
    </row>
    <row r="482">
      <c r="A482" s="10"/>
      <c r="B482" s="10"/>
      <c r="C482" s="10"/>
    </row>
    <row r="483">
      <c r="A483" s="10"/>
      <c r="B483" s="10"/>
      <c r="C483" s="10"/>
    </row>
    <row r="484">
      <c r="A484" s="10"/>
      <c r="B484" s="10"/>
      <c r="C484" s="10"/>
    </row>
    <row r="485">
      <c r="A485" s="10"/>
      <c r="B485" s="10"/>
      <c r="C485" s="10"/>
    </row>
    <row r="486">
      <c r="A486" s="10"/>
      <c r="B486" s="10"/>
      <c r="C486" s="10"/>
    </row>
    <row r="487">
      <c r="A487" s="10"/>
      <c r="B487" s="10"/>
      <c r="C487" s="10"/>
    </row>
    <row r="488">
      <c r="A488" s="10"/>
      <c r="B488" s="10"/>
      <c r="C488" s="10"/>
    </row>
    <row r="489">
      <c r="A489" s="10"/>
      <c r="B489" s="10"/>
      <c r="C489" s="10"/>
    </row>
    <row r="490">
      <c r="A490" s="10"/>
      <c r="B490" s="10"/>
      <c r="C490" s="10"/>
    </row>
    <row r="491">
      <c r="A491" s="10"/>
      <c r="B491" s="10"/>
      <c r="C491" s="10"/>
    </row>
    <row r="492">
      <c r="A492" s="10"/>
      <c r="B492" s="10"/>
      <c r="C492" s="10"/>
    </row>
    <row r="493">
      <c r="A493" s="10"/>
      <c r="B493" s="10"/>
      <c r="C493" s="10"/>
    </row>
    <row r="494">
      <c r="A494" s="10"/>
      <c r="B494" s="10"/>
      <c r="C494" s="10"/>
    </row>
    <row r="495">
      <c r="A495" s="10"/>
      <c r="B495" s="10"/>
      <c r="C495" s="10"/>
    </row>
    <row r="496">
      <c r="A496" s="10"/>
      <c r="B496" s="10"/>
      <c r="C496" s="10"/>
    </row>
    <row r="497">
      <c r="A497" s="10"/>
      <c r="B497" s="10"/>
      <c r="C497" s="10"/>
    </row>
    <row r="498">
      <c r="A498" s="10"/>
      <c r="B498" s="10"/>
      <c r="C498" s="10"/>
    </row>
    <row r="499">
      <c r="A499" s="10"/>
      <c r="B499" s="10"/>
      <c r="C499" s="10"/>
    </row>
    <row r="500">
      <c r="A500" s="10"/>
      <c r="B500" s="10"/>
      <c r="C500" s="10"/>
    </row>
    <row r="501">
      <c r="A501" s="10"/>
      <c r="B501" s="10"/>
      <c r="C501" s="10"/>
    </row>
    <row r="502">
      <c r="A502" s="10"/>
      <c r="B502" s="10"/>
      <c r="C502" s="10"/>
    </row>
    <row r="503">
      <c r="A503" s="10"/>
      <c r="B503" s="10"/>
      <c r="C503" s="10"/>
    </row>
    <row r="504">
      <c r="A504" s="10"/>
      <c r="B504" s="10"/>
      <c r="C504" s="10"/>
    </row>
    <row r="505">
      <c r="A505" s="10"/>
      <c r="B505" s="10"/>
      <c r="C505" s="10"/>
    </row>
    <row r="506">
      <c r="A506" s="10"/>
      <c r="B506" s="10"/>
      <c r="C506" s="10"/>
    </row>
    <row r="507">
      <c r="A507" s="10"/>
      <c r="B507" s="10"/>
      <c r="C507" s="10"/>
    </row>
    <row r="508">
      <c r="A508" s="10"/>
      <c r="B508" s="10"/>
      <c r="C508" s="10"/>
    </row>
    <row r="509">
      <c r="A509" s="10"/>
      <c r="B509" s="10"/>
      <c r="C509" s="10"/>
    </row>
    <row r="510">
      <c r="A510" s="10"/>
      <c r="B510" s="10"/>
      <c r="C510" s="10"/>
    </row>
    <row r="511">
      <c r="A511" s="10"/>
      <c r="B511" s="10"/>
      <c r="C511" s="10"/>
    </row>
    <row r="512">
      <c r="A512" s="10"/>
      <c r="B512" s="10"/>
      <c r="C512" s="10"/>
    </row>
    <row r="513">
      <c r="A513" s="10"/>
      <c r="B513" s="10"/>
      <c r="C513" s="10"/>
    </row>
    <row r="514">
      <c r="A514" s="10"/>
      <c r="B514" s="10"/>
      <c r="C514" s="10"/>
    </row>
    <row r="515">
      <c r="A515" s="10"/>
      <c r="B515" s="10"/>
      <c r="C515" s="10"/>
    </row>
    <row r="516">
      <c r="A516" s="10"/>
      <c r="B516" s="10"/>
      <c r="C516" s="10"/>
    </row>
    <row r="517">
      <c r="A517" s="10"/>
      <c r="B517" s="10"/>
      <c r="C517" s="10"/>
    </row>
    <row r="518">
      <c r="A518" s="10"/>
      <c r="B518" s="10"/>
      <c r="C518" s="10"/>
    </row>
    <row r="519">
      <c r="A519" s="10"/>
      <c r="B519" s="10"/>
      <c r="C519" s="10"/>
    </row>
    <row r="520">
      <c r="A520" s="10"/>
      <c r="B520" s="10"/>
      <c r="C520" s="10"/>
    </row>
    <row r="521">
      <c r="A521" s="10"/>
      <c r="B521" s="10"/>
      <c r="C521" s="10"/>
    </row>
    <row r="522">
      <c r="A522" s="10"/>
      <c r="B522" s="10"/>
      <c r="C522" s="10"/>
    </row>
    <row r="523">
      <c r="A523" s="10"/>
      <c r="B523" s="10"/>
      <c r="C523" s="10"/>
    </row>
    <row r="524">
      <c r="A524" s="10"/>
      <c r="B524" s="10"/>
      <c r="C524" s="10"/>
    </row>
    <row r="525">
      <c r="A525" s="10"/>
      <c r="B525" s="10"/>
      <c r="C525" s="10"/>
    </row>
    <row r="526">
      <c r="A526" s="10"/>
      <c r="B526" s="10"/>
      <c r="C526" s="10"/>
    </row>
    <row r="527">
      <c r="A527" s="10"/>
      <c r="B527" s="10"/>
      <c r="C527" s="10"/>
    </row>
    <row r="528">
      <c r="A528" s="10"/>
      <c r="B528" s="10"/>
      <c r="C528" s="10"/>
    </row>
    <row r="529">
      <c r="A529" s="10"/>
      <c r="B529" s="10"/>
      <c r="C529" s="10"/>
    </row>
    <row r="530">
      <c r="A530" s="10"/>
      <c r="B530" s="10"/>
      <c r="C530" s="10"/>
    </row>
    <row r="531">
      <c r="A531" s="10"/>
      <c r="B531" s="10"/>
      <c r="C531" s="10"/>
    </row>
    <row r="532">
      <c r="A532" s="10"/>
      <c r="B532" s="10"/>
      <c r="C532" s="10"/>
    </row>
    <row r="533">
      <c r="A533" s="10"/>
      <c r="B533" s="10"/>
      <c r="C533" s="10"/>
    </row>
    <row r="534">
      <c r="A534" s="10"/>
      <c r="B534" s="10"/>
      <c r="C534" s="10"/>
    </row>
    <row r="535">
      <c r="A535" s="10"/>
      <c r="B535" s="10"/>
      <c r="C535" s="10"/>
    </row>
    <row r="536">
      <c r="A536" s="10"/>
      <c r="B536" s="10"/>
      <c r="C536" s="10"/>
    </row>
    <row r="537">
      <c r="A537" s="10"/>
      <c r="B537" s="10"/>
      <c r="C537" s="10"/>
    </row>
    <row r="538">
      <c r="A538" s="10"/>
      <c r="B538" s="10"/>
      <c r="C538" s="10"/>
    </row>
    <row r="539">
      <c r="A539" s="10"/>
      <c r="B539" s="10"/>
      <c r="C539" s="10"/>
    </row>
    <row r="540">
      <c r="A540" s="10"/>
      <c r="B540" s="10"/>
      <c r="C540" s="10"/>
    </row>
    <row r="541">
      <c r="A541" s="10"/>
      <c r="B541" s="10"/>
      <c r="C541" s="10"/>
    </row>
    <row r="542">
      <c r="A542" s="10"/>
      <c r="B542" s="10"/>
      <c r="C542" s="10"/>
    </row>
    <row r="543">
      <c r="A543" s="10"/>
      <c r="B543" s="10"/>
      <c r="C543" s="10"/>
    </row>
    <row r="544">
      <c r="A544" s="10"/>
      <c r="B544" s="10"/>
      <c r="C544" s="10"/>
    </row>
    <row r="545">
      <c r="A545" s="10"/>
      <c r="B545" s="10"/>
      <c r="C545" s="10"/>
    </row>
    <row r="546">
      <c r="A546" s="10"/>
      <c r="B546" s="10"/>
      <c r="C546" s="10"/>
    </row>
    <row r="547">
      <c r="A547" s="10"/>
      <c r="B547" s="10"/>
      <c r="C547" s="10"/>
    </row>
    <row r="548">
      <c r="A548" s="10"/>
      <c r="B548" s="10"/>
      <c r="C548" s="10"/>
    </row>
    <row r="549">
      <c r="A549" s="10"/>
      <c r="B549" s="10"/>
      <c r="C549" s="10"/>
    </row>
    <row r="550">
      <c r="A550" s="10"/>
      <c r="B550" s="10"/>
      <c r="C550" s="10"/>
    </row>
    <row r="551">
      <c r="A551" s="10"/>
      <c r="B551" s="10"/>
      <c r="C551" s="10"/>
    </row>
    <row r="552">
      <c r="A552" s="10"/>
      <c r="B552" s="10"/>
      <c r="C552" s="10"/>
    </row>
    <row r="553">
      <c r="A553" s="10"/>
      <c r="B553" s="10"/>
      <c r="C553" s="10"/>
    </row>
    <row r="554">
      <c r="A554" s="10"/>
      <c r="B554" s="10"/>
      <c r="C554" s="10"/>
    </row>
    <row r="555">
      <c r="A555" s="10"/>
      <c r="B555" s="10"/>
      <c r="C555" s="10"/>
    </row>
    <row r="556">
      <c r="A556" s="10"/>
      <c r="B556" s="10"/>
      <c r="C556" s="10"/>
    </row>
    <row r="557">
      <c r="A557" s="10"/>
      <c r="B557" s="10"/>
      <c r="C557" s="10"/>
    </row>
    <row r="558">
      <c r="A558" s="10"/>
      <c r="B558" s="10"/>
      <c r="C558" s="10"/>
    </row>
    <row r="559">
      <c r="A559" s="10"/>
      <c r="B559" s="10"/>
      <c r="C559" s="10"/>
    </row>
    <row r="560">
      <c r="A560" s="10"/>
      <c r="B560" s="10"/>
      <c r="C560" s="10"/>
    </row>
    <row r="561">
      <c r="A561" s="10"/>
      <c r="B561" s="10"/>
      <c r="C561" s="10"/>
    </row>
    <row r="562">
      <c r="A562" s="10"/>
      <c r="B562" s="10"/>
      <c r="C562" s="10"/>
    </row>
    <row r="563">
      <c r="A563" s="10"/>
      <c r="B563" s="10"/>
      <c r="C563" s="10"/>
    </row>
    <row r="564">
      <c r="A564" s="10"/>
      <c r="B564" s="10"/>
      <c r="C564" s="10"/>
    </row>
    <row r="565">
      <c r="A565" s="10"/>
      <c r="B565" s="10"/>
      <c r="C565" s="10"/>
    </row>
    <row r="566">
      <c r="A566" s="10"/>
      <c r="B566" s="10"/>
      <c r="C566" s="10"/>
    </row>
    <row r="567">
      <c r="A567" s="10"/>
      <c r="B567" s="10"/>
      <c r="C567" s="10"/>
    </row>
    <row r="568">
      <c r="A568" s="10"/>
      <c r="B568" s="10"/>
      <c r="C568" s="10"/>
    </row>
    <row r="569">
      <c r="A569" s="10"/>
      <c r="B569" s="10"/>
      <c r="C569" s="10"/>
    </row>
    <row r="570">
      <c r="A570" s="10"/>
      <c r="B570" s="10"/>
      <c r="C570" s="10"/>
    </row>
    <row r="571">
      <c r="A571" s="10"/>
      <c r="B571" s="10"/>
      <c r="C571" s="10"/>
    </row>
    <row r="572">
      <c r="A572" s="10"/>
      <c r="B572" s="10"/>
      <c r="C572" s="10"/>
    </row>
    <row r="573">
      <c r="A573" s="10"/>
      <c r="B573" s="10"/>
      <c r="C573" s="10"/>
    </row>
    <row r="574">
      <c r="A574" s="10"/>
      <c r="B574" s="10"/>
      <c r="C574" s="10"/>
    </row>
    <row r="575">
      <c r="A575" s="10"/>
      <c r="B575" s="10"/>
      <c r="C575" s="10"/>
    </row>
    <row r="576">
      <c r="A576" s="10"/>
      <c r="B576" s="10"/>
      <c r="C576" s="10"/>
    </row>
    <row r="577">
      <c r="A577" s="10"/>
      <c r="B577" s="10"/>
      <c r="C577" s="10"/>
    </row>
    <row r="578">
      <c r="A578" s="10"/>
      <c r="B578" s="10"/>
      <c r="C578" s="10"/>
    </row>
    <row r="579">
      <c r="A579" s="10"/>
      <c r="B579" s="10"/>
      <c r="C579" s="10"/>
    </row>
    <row r="580">
      <c r="A580" s="10"/>
      <c r="B580" s="10"/>
      <c r="C580" s="10"/>
    </row>
    <row r="581">
      <c r="A581" s="10"/>
      <c r="B581" s="10"/>
      <c r="C581" s="10"/>
    </row>
    <row r="582">
      <c r="A582" s="10"/>
      <c r="B582" s="10"/>
      <c r="C582" s="10"/>
    </row>
    <row r="583">
      <c r="A583" s="10"/>
      <c r="B583" s="10"/>
      <c r="C583" s="10"/>
    </row>
    <row r="584">
      <c r="A584" s="10"/>
      <c r="B584" s="10"/>
      <c r="C584" s="10"/>
    </row>
    <row r="585">
      <c r="A585" s="10"/>
      <c r="B585" s="10"/>
      <c r="C585" s="10"/>
    </row>
    <row r="586">
      <c r="A586" s="10"/>
      <c r="B586" s="10"/>
      <c r="C586" s="10"/>
    </row>
    <row r="587">
      <c r="A587" s="10"/>
      <c r="B587" s="10"/>
      <c r="C587" s="10"/>
    </row>
    <row r="588">
      <c r="A588" s="10"/>
      <c r="B588" s="10"/>
      <c r="C588" s="10"/>
    </row>
    <row r="589">
      <c r="A589" s="10"/>
      <c r="B589" s="10"/>
      <c r="C589" s="10"/>
    </row>
    <row r="590">
      <c r="A590" s="10"/>
      <c r="B590" s="10"/>
      <c r="C590" s="10"/>
    </row>
    <row r="591">
      <c r="A591" s="10"/>
      <c r="B591" s="10"/>
      <c r="C591" s="10"/>
    </row>
    <row r="592">
      <c r="A592" s="10"/>
      <c r="B592" s="10"/>
      <c r="C592" s="10"/>
    </row>
    <row r="593">
      <c r="A593" s="10"/>
      <c r="B593" s="10"/>
      <c r="C593" s="10"/>
    </row>
    <row r="594">
      <c r="A594" s="10"/>
      <c r="B594" s="10"/>
      <c r="C594" s="10"/>
    </row>
    <row r="595">
      <c r="A595" s="10"/>
      <c r="B595" s="10"/>
      <c r="C595" s="10"/>
    </row>
    <row r="596">
      <c r="A596" s="10"/>
      <c r="B596" s="10"/>
      <c r="C596" s="10"/>
    </row>
    <row r="597">
      <c r="A597" s="10"/>
      <c r="B597" s="10"/>
      <c r="C597" s="10"/>
    </row>
    <row r="598">
      <c r="A598" s="10"/>
      <c r="B598" s="10"/>
      <c r="C598" s="10"/>
    </row>
    <row r="599">
      <c r="A599" s="10"/>
      <c r="B599" s="10"/>
      <c r="C599" s="10"/>
    </row>
    <row r="600">
      <c r="A600" s="10"/>
      <c r="B600" s="10"/>
      <c r="C600" s="10"/>
    </row>
    <row r="601">
      <c r="A601" s="10"/>
      <c r="B601" s="10"/>
      <c r="C601" s="10"/>
    </row>
    <row r="602">
      <c r="A602" s="10"/>
      <c r="B602" s="10"/>
      <c r="C602" s="10"/>
    </row>
    <row r="603">
      <c r="A603" s="10"/>
      <c r="B603" s="10"/>
      <c r="C603" s="10"/>
    </row>
    <row r="604">
      <c r="A604" s="10"/>
      <c r="B604" s="10"/>
      <c r="C604" s="10"/>
    </row>
    <row r="605">
      <c r="A605" s="10"/>
      <c r="B605" s="10"/>
      <c r="C605" s="10"/>
    </row>
    <row r="606">
      <c r="A606" s="10"/>
      <c r="B606" s="10"/>
      <c r="C606" s="10"/>
    </row>
    <row r="607">
      <c r="A607" s="10"/>
      <c r="B607" s="10"/>
      <c r="C607" s="10"/>
    </row>
    <row r="608">
      <c r="A608" s="10"/>
      <c r="B608" s="10"/>
      <c r="C608" s="10"/>
    </row>
    <row r="609">
      <c r="A609" s="10"/>
      <c r="B609" s="10"/>
      <c r="C609" s="10"/>
    </row>
    <row r="610">
      <c r="A610" s="10"/>
      <c r="B610" s="10"/>
      <c r="C610" s="10"/>
    </row>
    <row r="611">
      <c r="A611" s="10"/>
      <c r="B611" s="10"/>
      <c r="C611" s="10"/>
    </row>
    <row r="612">
      <c r="A612" s="10"/>
      <c r="B612" s="10"/>
      <c r="C612" s="10"/>
    </row>
    <row r="613">
      <c r="A613" s="10"/>
      <c r="B613" s="10"/>
      <c r="C613" s="10"/>
    </row>
    <row r="614">
      <c r="A614" s="10"/>
      <c r="B614" s="10"/>
      <c r="C614" s="10"/>
    </row>
    <row r="615">
      <c r="A615" s="10"/>
      <c r="B615" s="10"/>
      <c r="C615" s="10"/>
    </row>
    <row r="616">
      <c r="A616" s="10"/>
      <c r="B616" s="10"/>
      <c r="C616" s="10"/>
    </row>
    <row r="617">
      <c r="A617" s="10"/>
      <c r="B617" s="10"/>
      <c r="C617" s="10"/>
    </row>
    <row r="618">
      <c r="A618" s="10"/>
      <c r="B618" s="10"/>
      <c r="C618" s="10"/>
    </row>
    <row r="619">
      <c r="A619" s="10"/>
      <c r="B619" s="10"/>
      <c r="C619" s="10"/>
    </row>
    <row r="620">
      <c r="A620" s="10"/>
      <c r="B620" s="10"/>
      <c r="C620" s="10"/>
    </row>
    <row r="621">
      <c r="A621" s="10"/>
      <c r="B621" s="10"/>
      <c r="C621" s="10"/>
    </row>
    <row r="622">
      <c r="A622" s="10"/>
      <c r="B622" s="10"/>
      <c r="C622" s="10"/>
    </row>
    <row r="623">
      <c r="A623" s="10"/>
      <c r="B623" s="10"/>
      <c r="C623" s="10"/>
    </row>
    <row r="624">
      <c r="A624" s="10"/>
      <c r="B624" s="10"/>
      <c r="C624" s="10"/>
    </row>
    <row r="625">
      <c r="A625" s="10"/>
      <c r="B625" s="10"/>
      <c r="C625" s="10"/>
    </row>
    <row r="626">
      <c r="A626" s="10"/>
      <c r="B626" s="10"/>
      <c r="C626" s="10"/>
    </row>
    <row r="627">
      <c r="A627" s="10"/>
      <c r="B627" s="10"/>
      <c r="C627" s="10"/>
    </row>
    <row r="628">
      <c r="A628" s="10"/>
      <c r="B628" s="10"/>
      <c r="C628" s="10"/>
    </row>
    <row r="629">
      <c r="A629" s="10"/>
      <c r="B629" s="10"/>
      <c r="C629" s="10"/>
    </row>
    <row r="630">
      <c r="A630" s="10"/>
      <c r="B630" s="10"/>
      <c r="C630" s="10"/>
    </row>
    <row r="631">
      <c r="A631" s="10"/>
      <c r="B631" s="10"/>
      <c r="C631" s="10"/>
    </row>
    <row r="632">
      <c r="A632" s="10"/>
      <c r="B632" s="10"/>
      <c r="C632" s="10"/>
    </row>
    <row r="633">
      <c r="A633" s="10"/>
      <c r="B633" s="10"/>
      <c r="C633" s="10"/>
    </row>
    <row r="634">
      <c r="A634" s="10"/>
      <c r="B634" s="10"/>
      <c r="C634" s="10"/>
    </row>
    <row r="635">
      <c r="A635" s="10"/>
      <c r="B635" s="10"/>
      <c r="C635" s="10"/>
    </row>
    <row r="636">
      <c r="A636" s="10"/>
      <c r="B636" s="10"/>
      <c r="C636" s="10"/>
    </row>
    <row r="637">
      <c r="A637" s="10"/>
      <c r="B637" s="10"/>
      <c r="C637" s="10"/>
    </row>
    <row r="638">
      <c r="A638" s="10"/>
      <c r="B638" s="10"/>
      <c r="C638" s="10"/>
    </row>
    <row r="639">
      <c r="A639" s="10"/>
      <c r="B639" s="10"/>
      <c r="C639" s="10"/>
    </row>
    <row r="640">
      <c r="A640" s="10"/>
      <c r="B640" s="10"/>
      <c r="C640" s="10"/>
    </row>
    <row r="641">
      <c r="A641" s="10"/>
      <c r="B641" s="10"/>
      <c r="C641" s="10"/>
    </row>
    <row r="642">
      <c r="A642" s="10"/>
      <c r="B642" s="10"/>
      <c r="C642" s="10"/>
    </row>
    <row r="643">
      <c r="A643" s="10"/>
      <c r="B643" s="10"/>
      <c r="C643" s="10"/>
    </row>
    <row r="644">
      <c r="A644" s="10"/>
      <c r="B644" s="10"/>
      <c r="C644" s="10"/>
    </row>
    <row r="645">
      <c r="A645" s="10"/>
      <c r="B645" s="10"/>
      <c r="C645" s="10"/>
    </row>
    <row r="646">
      <c r="A646" s="10"/>
      <c r="B646" s="10"/>
      <c r="C646" s="10"/>
    </row>
    <row r="647">
      <c r="A647" s="10"/>
      <c r="B647" s="10"/>
      <c r="C647" s="10"/>
    </row>
    <row r="648">
      <c r="A648" s="10"/>
      <c r="B648" s="10"/>
      <c r="C648" s="10"/>
    </row>
    <row r="649">
      <c r="A649" s="10"/>
      <c r="B649" s="10"/>
      <c r="C649" s="10"/>
    </row>
    <row r="650">
      <c r="A650" s="10"/>
      <c r="B650" s="10"/>
      <c r="C650" s="10"/>
    </row>
    <row r="651">
      <c r="A651" s="10"/>
      <c r="B651" s="10"/>
      <c r="C651" s="10"/>
    </row>
    <row r="652">
      <c r="A652" s="10"/>
      <c r="B652" s="10"/>
      <c r="C652" s="10"/>
    </row>
    <row r="653">
      <c r="A653" s="10"/>
      <c r="B653" s="10"/>
      <c r="C653" s="10"/>
    </row>
    <row r="654">
      <c r="A654" s="10"/>
      <c r="B654" s="10"/>
      <c r="C654" s="10"/>
    </row>
    <row r="655">
      <c r="A655" s="10"/>
      <c r="B655" s="10"/>
      <c r="C655" s="10"/>
    </row>
    <row r="656">
      <c r="A656" s="10"/>
      <c r="B656" s="10"/>
      <c r="C656" s="10"/>
    </row>
    <row r="657">
      <c r="A657" s="10"/>
      <c r="B657" s="10"/>
      <c r="C657" s="10"/>
    </row>
    <row r="658">
      <c r="A658" s="10"/>
      <c r="B658" s="10"/>
      <c r="C658" s="10"/>
    </row>
    <row r="659">
      <c r="A659" s="10"/>
      <c r="B659" s="10"/>
      <c r="C659" s="10"/>
    </row>
    <row r="660">
      <c r="A660" s="10"/>
      <c r="B660" s="10"/>
      <c r="C660" s="10"/>
    </row>
    <row r="661">
      <c r="A661" s="10"/>
      <c r="B661" s="10"/>
      <c r="C661" s="10"/>
    </row>
    <row r="662">
      <c r="A662" s="10"/>
      <c r="B662" s="10"/>
      <c r="C662" s="10"/>
    </row>
    <row r="663">
      <c r="A663" s="10"/>
      <c r="B663" s="10"/>
      <c r="C663" s="10"/>
    </row>
    <row r="664">
      <c r="A664" s="10"/>
      <c r="B664" s="10"/>
      <c r="C664" s="10"/>
    </row>
    <row r="665">
      <c r="A665" s="10"/>
      <c r="B665" s="10"/>
      <c r="C665" s="10"/>
    </row>
    <row r="666">
      <c r="A666" s="10"/>
      <c r="B666" s="10"/>
      <c r="C666" s="10"/>
    </row>
    <row r="667">
      <c r="A667" s="10"/>
      <c r="B667" s="10"/>
      <c r="C667" s="10"/>
    </row>
    <row r="668">
      <c r="A668" s="10"/>
      <c r="B668" s="10"/>
      <c r="C668" s="10"/>
    </row>
    <row r="669">
      <c r="A669" s="10"/>
      <c r="B669" s="10"/>
      <c r="C669" s="10"/>
    </row>
    <row r="670">
      <c r="A670" s="10"/>
      <c r="B670" s="10"/>
      <c r="C670" s="10"/>
    </row>
    <row r="671">
      <c r="A671" s="10"/>
      <c r="B671" s="10"/>
      <c r="C671" s="10"/>
    </row>
    <row r="672">
      <c r="A672" s="10"/>
      <c r="B672" s="10"/>
      <c r="C672" s="10"/>
    </row>
    <row r="673">
      <c r="A673" s="10"/>
      <c r="B673" s="10"/>
      <c r="C673" s="10"/>
    </row>
    <row r="674">
      <c r="A674" s="10"/>
      <c r="B674" s="10"/>
      <c r="C674" s="10"/>
    </row>
    <row r="675">
      <c r="A675" s="10"/>
      <c r="B675" s="10"/>
      <c r="C675" s="10"/>
    </row>
    <row r="676">
      <c r="A676" s="10"/>
      <c r="B676" s="10"/>
      <c r="C676" s="10"/>
    </row>
    <row r="677">
      <c r="A677" s="10"/>
      <c r="B677" s="10"/>
      <c r="C677" s="10"/>
    </row>
    <row r="678">
      <c r="A678" s="10"/>
      <c r="B678" s="10"/>
      <c r="C678" s="10"/>
    </row>
    <row r="679">
      <c r="A679" s="10"/>
      <c r="B679" s="10"/>
      <c r="C679" s="10"/>
    </row>
    <row r="680">
      <c r="A680" s="10"/>
      <c r="B680" s="10"/>
      <c r="C680" s="10"/>
    </row>
    <row r="681">
      <c r="A681" s="10"/>
      <c r="B681" s="10"/>
      <c r="C681" s="10"/>
    </row>
    <row r="682">
      <c r="A682" s="10"/>
      <c r="B682" s="10"/>
      <c r="C682" s="10"/>
    </row>
    <row r="683">
      <c r="A683" s="10"/>
      <c r="B683" s="10"/>
      <c r="C683" s="10"/>
    </row>
    <row r="684">
      <c r="A684" s="10"/>
      <c r="B684" s="10"/>
      <c r="C684" s="10"/>
    </row>
    <row r="685">
      <c r="A685" s="10"/>
      <c r="B685" s="10"/>
      <c r="C685" s="10"/>
    </row>
    <row r="686">
      <c r="A686" s="10"/>
      <c r="B686" s="10"/>
      <c r="C686" s="10"/>
    </row>
    <row r="687">
      <c r="A687" s="10"/>
      <c r="B687" s="10"/>
      <c r="C687" s="10"/>
    </row>
    <row r="688">
      <c r="A688" s="10"/>
      <c r="B688" s="10"/>
      <c r="C688" s="10"/>
    </row>
    <row r="689">
      <c r="A689" s="10"/>
      <c r="B689" s="10"/>
      <c r="C689" s="10"/>
    </row>
    <row r="690">
      <c r="A690" s="10"/>
      <c r="B690" s="10"/>
      <c r="C690" s="10"/>
    </row>
    <row r="691">
      <c r="A691" s="10"/>
      <c r="B691" s="10"/>
      <c r="C691" s="10"/>
    </row>
    <row r="692">
      <c r="A692" s="10"/>
      <c r="B692" s="10"/>
      <c r="C692" s="10"/>
    </row>
    <row r="693">
      <c r="A693" s="10"/>
      <c r="B693" s="10"/>
      <c r="C693" s="10"/>
    </row>
    <row r="694">
      <c r="A694" s="10"/>
      <c r="B694" s="10"/>
      <c r="C694" s="10"/>
    </row>
    <row r="695">
      <c r="A695" s="10"/>
      <c r="B695" s="10"/>
      <c r="C695" s="10"/>
    </row>
    <row r="696">
      <c r="A696" s="10"/>
      <c r="B696" s="10"/>
      <c r="C696" s="10"/>
    </row>
    <row r="697">
      <c r="A697" s="10"/>
      <c r="B697" s="10"/>
      <c r="C697" s="10"/>
    </row>
    <row r="698">
      <c r="A698" s="10"/>
      <c r="B698" s="10"/>
      <c r="C698" s="10"/>
    </row>
    <row r="699">
      <c r="A699" s="10"/>
      <c r="B699" s="10"/>
      <c r="C699" s="10"/>
    </row>
    <row r="700">
      <c r="A700" s="10"/>
      <c r="B700" s="10"/>
      <c r="C700" s="10"/>
    </row>
    <row r="701">
      <c r="A701" s="10"/>
      <c r="B701" s="10"/>
      <c r="C701" s="10"/>
    </row>
    <row r="702">
      <c r="A702" s="10"/>
      <c r="B702" s="10"/>
      <c r="C702" s="10"/>
    </row>
    <row r="703">
      <c r="A703" s="10"/>
      <c r="B703" s="10"/>
      <c r="C703" s="10"/>
    </row>
    <row r="704">
      <c r="A704" s="10"/>
      <c r="B704" s="10"/>
      <c r="C704" s="10"/>
    </row>
    <row r="705">
      <c r="A705" s="10"/>
      <c r="B705" s="10"/>
      <c r="C705" s="10"/>
    </row>
    <row r="706">
      <c r="A706" s="10"/>
      <c r="B706" s="10"/>
      <c r="C706" s="10"/>
    </row>
    <row r="707">
      <c r="A707" s="10"/>
      <c r="B707" s="10"/>
      <c r="C707" s="10"/>
    </row>
    <row r="708">
      <c r="A708" s="10"/>
      <c r="B708" s="10"/>
      <c r="C708" s="10"/>
    </row>
    <row r="709">
      <c r="A709" s="10"/>
      <c r="B709" s="10"/>
      <c r="C709" s="10"/>
    </row>
    <row r="710">
      <c r="A710" s="10"/>
      <c r="B710" s="10"/>
      <c r="C710" s="10"/>
    </row>
    <row r="711">
      <c r="A711" s="10"/>
      <c r="B711" s="10"/>
      <c r="C711" s="10"/>
    </row>
    <row r="712">
      <c r="A712" s="10"/>
      <c r="B712" s="10"/>
      <c r="C712" s="10"/>
    </row>
    <row r="713">
      <c r="A713" s="10"/>
      <c r="B713" s="10"/>
      <c r="C713" s="10"/>
    </row>
    <row r="714">
      <c r="A714" s="10"/>
      <c r="B714" s="10"/>
      <c r="C714" s="10"/>
    </row>
    <row r="715">
      <c r="A715" s="10"/>
      <c r="B715" s="10"/>
      <c r="C715" s="10"/>
    </row>
    <row r="716">
      <c r="A716" s="10"/>
      <c r="B716" s="10"/>
      <c r="C716" s="10"/>
    </row>
    <row r="717">
      <c r="A717" s="10"/>
      <c r="B717" s="10"/>
      <c r="C717" s="10"/>
    </row>
    <row r="718">
      <c r="A718" s="10"/>
      <c r="B718" s="10"/>
      <c r="C718" s="10"/>
    </row>
    <row r="719">
      <c r="A719" s="10"/>
      <c r="B719" s="10"/>
      <c r="C719" s="10"/>
    </row>
    <row r="720">
      <c r="A720" s="10"/>
      <c r="B720" s="10"/>
      <c r="C720" s="10"/>
    </row>
    <row r="721">
      <c r="A721" s="10"/>
      <c r="B721" s="10"/>
      <c r="C721" s="10"/>
    </row>
    <row r="722">
      <c r="A722" s="10"/>
      <c r="B722" s="10"/>
      <c r="C722" s="10"/>
    </row>
    <row r="723">
      <c r="A723" s="10"/>
      <c r="B723" s="10"/>
      <c r="C723" s="10"/>
    </row>
    <row r="724">
      <c r="A724" s="10"/>
      <c r="B724" s="10"/>
      <c r="C724" s="10"/>
    </row>
    <row r="725">
      <c r="A725" s="10"/>
      <c r="B725" s="10"/>
      <c r="C725" s="10"/>
    </row>
    <row r="726">
      <c r="A726" s="10"/>
      <c r="B726" s="10"/>
      <c r="C726" s="10"/>
    </row>
    <row r="727">
      <c r="A727" s="10"/>
      <c r="B727" s="10"/>
      <c r="C727" s="10"/>
    </row>
    <row r="728">
      <c r="A728" s="10"/>
      <c r="B728" s="10"/>
      <c r="C728" s="10"/>
    </row>
    <row r="729">
      <c r="A729" s="10"/>
      <c r="B729" s="10"/>
      <c r="C729" s="10"/>
    </row>
    <row r="730">
      <c r="A730" s="10"/>
      <c r="B730" s="10"/>
      <c r="C730" s="10"/>
    </row>
    <row r="731">
      <c r="A731" s="10"/>
      <c r="B731" s="10"/>
      <c r="C731" s="10"/>
    </row>
    <row r="732">
      <c r="A732" s="10"/>
      <c r="B732" s="10"/>
      <c r="C732" s="10"/>
    </row>
    <row r="733">
      <c r="A733" s="10"/>
      <c r="B733" s="10"/>
      <c r="C733" s="10"/>
    </row>
    <row r="734">
      <c r="A734" s="10"/>
      <c r="B734" s="10"/>
      <c r="C734" s="10"/>
    </row>
    <row r="735">
      <c r="A735" s="10"/>
      <c r="B735" s="10"/>
      <c r="C735" s="10"/>
    </row>
    <row r="736">
      <c r="A736" s="10"/>
      <c r="B736" s="10"/>
      <c r="C736" s="10"/>
    </row>
    <row r="737">
      <c r="A737" s="10"/>
      <c r="B737" s="10"/>
      <c r="C737" s="10"/>
    </row>
    <row r="738">
      <c r="A738" s="10"/>
      <c r="B738" s="10"/>
      <c r="C738" s="10"/>
    </row>
    <row r="739">
      <c r="A739" s="10"/>
      <c r="B739" s="10"/>
      <c r="C739" s="10"/>
    </row>
    <row r="740">
      <c r="A740" s="10"/>
      <c r="B740" s="10"/>
      <c r="C740" s="10"/>
    </row>
    <row r="741">
      <c r="A741" s="10"/>
      <c r="B741" s="10"/>
      <c r="C741" s="10"/>
    </row>
    <row r="742">
      <c r="A742" s="10"/>
      <c r="B742" s="10"/>
      <c r="C742" s="10"/>
    </row>
    <row r="743">
      <c r="A743" s="10"/>
      <c r="B743" s="10"/>
      <c r="C743" s="10"/>
    </row>
    <row r="744">
      <c r="A744" s="10"/>
      <c r="B744" s="10"/>
      <c r="C744" s="10"/>
    </row>
    <row r="745">
      <c r="A745" s="10"/>
      <c r="B745" s="10"/>
      <c r="C745" s="10"/>
    </row>
    <row r="746">
      <c r="A746" s="10"/>
      <c r="B746" s="10"/>
      <c r="C746" s="10"/>
    </row>
    <row r="747">
      <c r="A747" s="10"/>
      <c r="B747" s="10"/>
      <c r="C747" s="10"/>
    </row>
    <row r="748">
      <c r="A748" s="10"/>
      <c r="B748" s="10"/>
      <c r="C748" s="10"/>
    </row>
    <row r="749">
      <c r="A749" s="10"/>
      <c r="B749" s="10"/>
      <c r="C749" s="10"/>
    </row>
    <row r="750">
      <c r="A750" s="10"/>
      <c r="B750" s="10"/>
      <c r="C750" s="10"/>
    </row>
    <row r="751">
      <c r="A751" s="10"/>
      <c r="B751" s="10"/>
      <c r="C751" s="10"/>
    </row>
    <row r="752">
      <c r="A752" s="10"/>
      <c r="B752" s="10"/>
      <c r="C752" s="10"/>
    </row>
    <row r="753">
      <c r="A753" s="10"/>
      <c r="B753" s="10"/>
      <c r="C753" s="10"/>
    </row>
    <row r="754">
      <c r="A754" s="10"/>
      <c r="B754" s="10"/>
      <c r="C754" s="10"/>
    </row>
    <row r="755">
      <c r="A755" s="10"/>
      <c r="B755" s="10"/>
      <c r="C755" s="10"/>
    </row>
    <row r="756">
      <c r="A756" s="10"/>
      <c r="B756" s="10"/>
      <c r="C756" s="10"/>
    </row>
    <row r="757">
      <c r="A757" s="10"/>
      <c r="B757" s="10"/>
      <c r="C757" s="10"/>
    </row>
    <row r="758">
      <c r="A758" s="10"/>
      <c r="B758" s="10"/>
      <c r="C758" s="10"/>
    </row>
    <row r="759">
      <c r="A759" s="10"/>
      <c r="B759" s="10"/>
      <c r="C759" s="10"/>
    </row>
    <row r="760">
      <c r="A760" s="10"/>
      <c r="B760" s="10"/>
      <c r="C760" s="10"/>
    </row>
    <row r="761">
      <c r="A761" s="10"/>
      <c r="B761" s="10"/>
      <c r="C761" s="10"/>
    </row>
    <row r="762">
      <c r="A762" s="10"/>
      <c r="B762" s="10"/>
      <c r="C762" s="10"/>
    </row>
    <row r="763">
      <c r="A763" s="10"/>
      <c r="B763" s="10"/>
      <c r="C763" s="10"/>
    </row>
    <row r="764">
      <c r="A764" s="10"/>
      <c r="B764" s="10"/>
      <c r="C764" s="10"/>
    </row>
    <row r="765">
      <c r="A765" s="10"/>
      <c r="B765" s="10"/>
      <c r="C765" s="10"/>
    </row>
    <row r="766">
      <c r="A766" s="10"/>
      <c r="B766" s="10"/>
      <c r="C766" s="10"/>
    </row>
    <row r="767">
      <c r="A767" s="10"/>
      <c r="B767" s="10"/>
      <c r="C767" s="10"/>
    </row>
    <row r="768">
      <c r="A768" s="10"/>
      <c r="B768" s="10"/>
      <c r="C768" s="10"/>
    </row>
    <row r="769">
      <c r="A769" s="10"/>
      <c r="B769" s="10"/>
      <c r="C769" s="10"/>
    </row>
    <row r="770">
      <c r="A770" s="10"/>
      <c r="B770" s="10"/>
      <c r="C770" s="10"/>
    </row>
    <row r="771">
      <c r="A771" s="10"/>
      <c r="B771" s="10"/>
      <c r="C771" s="10"/>
    </row>
    <row r="772">
      <c r="A772" s="10"/>
      <c r="B772" s="10"/>
      <c r="C772" s="10"/>
    </row>
    <row r="773">
      <c r="A773" s="10"/>
      <c r="B773" s="10"/>
      <c r="C773" s="10"/>
    </row>
    <row r="774">
      <c r="A774" s="10"/>
      <c r="B774" s="10"/>
      <c r="C774" s="10"/>
    </row>
    <row r="775">
      <c r="A775" s="10"/>
      <c r="B775" s="10"/>
      <c r="C775" s="10"/>
    </row>
    <row r="776">
      <c r="A776" s="10"/>
      <c r="B776" s="10"/>
      <c r="C776" s="10"/>
    </row>
    <row r="777">
      <c r="A777" s="10"/>
      <c r="B777" s="10"/>
      <c r="C777" s="10"/>
    </row>
    <row r="778">
      <c r="A778" s="10"/>
      <c r="B778" s="10"/>
      <c r="C778" s="10"/>
    </row>
    <row r="779">
      <c r="A779" s="10"/>
      <c r="B779" s="10"/>
      <c r="C779" s="10"/>
    </row>
    <row r="780">
      <c r="A780" s="10"/>
      <c r="B780" s="10"/>
      <c r="C780" s="10"/>
    </row>
    <row r="781">
      <c r="A781" s="10"/>
      <c r="B781" s="10"/>
      <c r="C781" s="10"/>
    </row>
    <row r="782">
      <c r="A782" s="10"/>
      <c r="B782" s="10"/>
      <c r="C782" s="10"/>
    </row>
    <row r="783">
      <c r="A783" s="10"/>
      <c r="B783" s="10"/>
      <c r="C783" s="10"/>
    </row>
    <row r="784">
      <c r="A784" s="10"/>
      <c r="B784" s="10"/>
      <c r="C784" s="10"/>
    </row>
    <row r="785">
      <c r="A785" s="10"/>
      <c r="B785" s="10"/>
      <c r="C785" s="10"/>
    </row>
    <row r="786">
      <c r="A786" s="10"/>
      <c r="B786" s="10"/>
      <c r="C786" s="10"/>
    </row>
    <row r="787">
      <c r="A787" s="10"/>
      <c r="B787" s="10"/>
      <c r="C787" s="10"/>
    </row>
    <row r="788">
      <c r="A788" s="10"/>
      <c r="B788" s="10"/>
      <c r="C788" s="10"/>
    </row>
    <row r="789">
      <c r="A789" s="10"/>
      <c r="B789" s="10"/>
      <c r="C789" s="10"/>
    </row>
    <row r="790">
      <c r="A790" s="10"/>
      <c r="B790" s="10"/>
      <c r="C790" s="10"/>
    </row>
    <row r="791">
      <c r="A791" s="10"/>
      <c r="B791" s="10"/>
      <c r="C791" s="10"/>
    </row>
    <row r="792">
      <c r="A792" s="10"/>
      <c r="B792" s="10"/>
      <c r="C792" s="10"/>
    </row>
    <row r="793">
      <c r="A793" s="10"/>
      <c r="B793" s="10"/>
      <c r="C793" s="10"/>
    </row>
    <row r="794">
      <c r="A794" s="10"/>
      <c r="B794" s="10"/>
      <c r="C794" s="10"/>
    </row>
    <row r="795">
      <c r="A795" s="10"/>
      <c r="B795" s="10"/>
      <c r="C795" s="10"/>
    </row>
    <row r="796">
      <c r="A796" s="10"/>
      <c r="B796" s="10"/>
      <c r="C796" s="10"/>
    </row>
    <row r="797">
      <c r="A797" s="10"/>
      <c r="B797" s="10"/>
      <c r="C797" s="10"/>
    </row>
    <row r="798">
      <c r="A798" s="10"/>
      <c r="B798" s="10"/>
      <c r="C798" s="10"/>
    </row>
    <row r="799">
      <c r="A799" s="10"/>
      <c r="B799" s="10"/>
      <c r="C799" s="10"/>
    </row>
    <row r="800">
      <c r="A800" s="10"/>
      <c r="B800" s="10"/>
      <c r="C800" s="10"/>
    </row>
    <row r="801">
      <c r="A801" s="10"/>
      <c r="B801" s="10"/>
      <c r="C801" s="10"/>
    </row>
    <row r="802">
      <c r="A802" s="10"/>
      <c r="B802" s="10"/>
      <c r="C802" s="10"/>
    </row>
    <row r="803">
      <c r="A803" s="10"/>
      <c r="B803" s="10"/>
      <c r="C803" s="10"/>
    </row>
    <row r="804">
      <c r="A804" s="10"/>
      <c r="B804" s="10"/>
      <c r="C804" s="10"/>
    </row>
    <row r="805">
      <c r="A805" s="10"/>
      <c r="B805" s="10"/>
      <c r="C805" s="10"/>
    </row>
    <row r="806">
      <c r="A806" s="10"/>
      <c r="B806" s="10"/>
      <c r="C806" s="10"/>
    </row>
    <row r="807">
      <c r="A807" s="10"/>
      <c r="B807" s="10"/>
      <c r="C807" s="10"/>
    </row>
    <row r="808">
      <c r="A808" s="10"/>
      <c r="B808" s="10"/>
      <c r="C808" s="10"/>
    </row>
    <row r="809">
      <c r="A809" s="10"/>
      <c r="B809" s="10"/>
      <c r="C809" s="10"/>
    </row>
    <row r="810">
      <c r="A810" s="10"/>
      <c r="B810" s="10"/>
      <c r="C810" s="10"/>
    </row>
    <row r="811">
      <c r="A811" s="10"/>
      <c r="B811" s="10"/>
      <c r="C811" s="10"/>
    </row>
    <row r="812">
      <c r="A812" s="10"/>
      <c r="B812" s="10"/>
      <c r="C812" s="10"/>
    </row>
    <row r="813">
      <c r="A813" s="10"/>
      <c r="B813" s="10"/>
      <c r="C813" s="10"/>
    </row>
    <row r="814">
      <c r="A814" s="10"/>
      <c r="B814" s="10"/>
      <c r="C814" s="10"/>
    </row>
    <row r="815">
      <c r="A815" s="10"/>
      <c r="B815" s="10"/>
      <c r="C815" s="10"/>
    </row>
    <row r="816">
      <c r="A816" s="10"/>
      <c r="B816" s="10"/>
      <c r="C816" s="10"/>
    </row>
    <row r="817">
      <c r="A817" s="10"/>
      <c r="B817" s="10"/>
      <c r="C817" s="10"/>
    </row>
    <row r="818">
      <c r="A818" s="10"/>
      <c r="B818" s="10"/>
      <c r="C818" s="10"/>
    </row>
    <row r="819">
      <c r="A819" s="10"/>
      <c r="B819" s="10"/>
      <c r="C819" s="10"/>
    </row>
    <row r="820">
      <c r="A820" s="10"/>
      <c r="B820" s="10"/>
      <c r="C820" s="10"/>
    </row>
    <row r="821">
      <c r="A821" s="10"/>
      <c r="B821" s="10"/>
      <c r="C821" s="10"/>
    </row>
    <row r="822">
      <c r="A822" s="10"/>
      <c r="B822" s="10"/>
      <c r="C822" s="10"/>
    </row>
    <row r="823">
      <c r="A823" s="10"/>
      <c r="B823" s="10"/>
      <c r="C823" s="10"/>
    </row>
    <row r="824">
      <c r="A824" s="10"/>
      <c r="B824" s="10"/>
      <c r="C824" s="10"/>
    </row>
    <row r="825">
      <c r="A825" s="10"/>
      <c r="B825" s="10"/>
      <c r="C825" s="10"/>
    </row>
    <row r="826">
      <c r="A826" s="10"/>
      <c r="B826" s="10"/>
      <c r="C826" s="10"/>
    </row>
    <row r="827">
      <c r="A827" s="10"/>
      <c r="B827" s="10"/>
      <c r="C827" s="10"/>
    </row>
    <row r="828">
      <c r="A828" s="10"/>
      <c r="B828" s="10"/>
      <c r="C828" s="10"/>
    </row>
    <row r="829">
      <c r="A829" s="10"/>
      <c r="B829" s="10"/>
      <c r="C829" s="10"/>
    </row>
    <row r="830">
      <c r="A830" s="10"/>
      <c r="B830" s="10"/>
      <c r="C830" s="10"/>
    </row>
    <row r="831">
      <c r="A831" s="10"/>
      <c r="B831" s="10"/>
      <c r="C831" s="10"/>
    </row>
    <row r="832">
      <c r="A832" s="10"/>
      <c r="B832" s="10"/>
      <c r="C832" s="10"/>
    </row>
    <row r="833">
      <c r="A833" s="10"/>
      <c r="B833" s="10"/>
      <c r="C833" s="10"/>
    </row>
    <row r="834">
      <c r="A834" s="10"/>
      <c r="B834" s="10"/>
      <c r="C834" s="10"/>
    </row>
    <row r="835">
      <c r="A835" s="10"/>
      <c r="B835" s="10"/>
      <c r="C835" s="10"/>
    </row>
    <row r="836">
      <c r="A836" s="10"/>
      <c r="B836" s="10"/>
      <c r="C836" s="10"/>
    </row>
    <row r="837">
      <c r="A837" s="10"/>
      <c r="B837" s="10"/>
      <c r="C837" s="10"/>
    </row>
    <row r="838">
      <c r="A838" s="10"/>
      <c r="B838" s="10"/>
      <c r="C838" s="10"/>
    </row>
    <row r="839">
      <c r="A839" s="10"/>
      <c r="B839" s="10"/>
      <c r="C839" s="10"/>
    </row>
    <row r="840">
      <c r="A840" s="10"/>
      <c r="B840" s="10"/>
      <c r="C840" s="10"/>
    </row>
    <row r="841">
      <c r="A841" s="10"/>
      <c r="B841" s="10"/>
      <c r="C841" s="10"/>
    </row>
    <row r="842">
      <c r="A842" s="10"/>
      <c r="B842" s="10"/>
      <c r="C842" s="10"/>
    </row>
    <row r="843">
      <c r="A843" s="10"/>
      <c r="B843" s="10"/>
      <c r="C843" s="10"/>
    </row>
    <row r="844">
      <c r="A844" s="10"/>
      <c r="B844" s="10"/>
      <c r="C844" s="10"/>
    </row>
    <row r="845">
      <c r="A845" s="10"/>
      <c r="B845" s="10"/>
      <c r="C845" s="10"/>
    </row>
    <row r="846">
      <c r="A846" s="10"/>
      <c r="B846" s="10"/>
      <c r="C846" s="10"/>
    </row>
    <row r="847">
      <c r="A847" s="10"/>
      <c r="B847" s="10"/>
      <c r="C847" s="10"/>
    </row>
    <row r="848">
      <c r="A848" s="10"/>
      <c r="B848" s="10"/>
      <c r="C848" s="10"/>
    </row>
    <row r="849">
      <c r="A849" s="10"/>
      <c r="B849" s="10"/>
      <c r="C849" s="10"/>
    </row>
    <row r="850">
      <c r="A850" s="10"/>
      <c r="B850" s="10"/>
      <c r="C850" s="10"/>
    </row>
    <row r="851">
      <c r="A851" s="10"/>
      <c r="B851" s="10"/>
      <c r="C851" s="10"/>
    </row>
    <row r="852">
      <c r="A852" s="10"/>
      <c r="B852" s="10"/>
      <c r="C852" s="10"/>
    </row>
    <row r="853">
      <c r="A853" s="10"/>
      <c r="B853" s="10"/>
      <c r="C853" s="10"/>
    </row>
    <row r="854">
      <c r="A854" s="10"/>
      <c r="B854" s="10"/>
      <c r="C854" s="10"/>
    </row>
    <row r="855">
      <c r="A855" s="10"/>
      <c r="B855" s="10"/>
      <c r="C855" s="10"/>
    </row>
    <row r="856">
      <c r="A856" s="10"/>
      <c r="B856" s="10"/>
      <c r="C856" s="10"/>
    </row>
    <row r="857">
      <c r="A857" s="10"/>
      <c r="B857" s="10"/>
      <c r="C857" s="10"/>
    </row>
    <row r="858">
      <c r="A858" s="10"/>
      <c r="B858" s="10"/>
      <c r="C858" s="10"/>
    </row>
    <row r="859">
      <c r="A859" s="10"/>
      <c r="B859" s="10"/>
      <c r="C859" s="10"/>
    </row>
    <row r="860">
      <c r="A860" s="10"/>
      <c r="B860" s="10"/>
      <c r="C860" s="10"/>
    </row>
    <row r="861">
      <c r="A861" s="10"/>
      <c r="B861" s="10"/>
      <c r="C861" s="10"/>
    </row>
    <row r="862">
      <c r="A862" s="10"/>
      <c r="B862" s="10"/>
      <c r="C862" s="10"/>
    </row>
    <row r="863">
      <c r="A863" s="10"/>
      <c r="B863" s="10"/>
      <c r="C863" s="10"/>
    </row>
    <row r="864">
      <c r="A864" s="10"/>
      <c r="B864" s="10"/>
      <c r="C864" s="10"/>
    </row>
    <row r="865">
      <c r="A865" s="10"/>
      <c r="B865" s="10"/>
      <c r="C865" s="10"/>
    </row>
    <row r="866">
      <c r="A866" s="10"/>
      <c r="B866" s="10"/>
      <c r="C866" s="10"/>
    </row>
    <row r="867">
      <c r="A867" s="10"/>
      <c r="B867" s="10"/>
      <c r="C867" s="10"/>
    </row>
    <row r="868">
      <c r="A868" s="10"/>
      <c r="B868" s="10"/>
      <c r="C868" s="10"/>
    </row>
    <row r="869">
      <c r="A869" s="10"/>
      <c r="B869" s="10"/>
      <c r="C869" s="10"/>
    </row>
    <row r="870">
      <c r="A870" s="10"/>
      <c r="B870" s="10"/>
      <c r="C870" s="10"/>
    </row>
    <row r="871">
      <c r="A871" s="10"/>
      <c r="B871" s="10"/>
      <c r="C871" s="10"/>
    </row>
    <row r="872">
      <c r="A872" s="10"/>
      <c r="B872" s="10"/>
      <c r="C872" s="10"/>
    </row>
    <row r="873">
      <c r="A873" s="10"/>
      <c r="B873" s="10"/>
      <c r="C873" s="10"/>
    </row>
    <row r="874">
      <c r="A874" s="10"/>
      <c r="B874" s="10"/>
      <c r="C874" s="10"/>
    </row>
    <row r="875">
      <c r="A875" s="10"/>
      <c r="B875" s="10"/>
      <c r="C875" s="10"/>
    </row>
    <row r="876">
      <c r="A876" s="10"/>
      <c r="B876" s="10"/>
      <c r="C876" s="10"/>
    </row>
    <row r="877">
      <c r="A877" s="10"/>
      <c r="B877" s="10"/>
      <c r="C877" s="10"/>
    </row>
    <row r="878">
      <c r="A878" s="10"/>
      <c r="B878" s="10"/>
      <c r="C878" s="10"/>
    </row>
    <row r="879">
      <c r="A879" s="10"/>
      <c r="B879" s="10"/>
      <c r="C879" s="10"/>
    </row>
    <row r="880">
      <c r="A880" s="10"/>
      <c r="B880" s="10"/>
      <c r="C880" s="10"/>
    </row>
    <row r="881">
      <c r="A881" s="10"/>
      <c r="B881" s="10"/>
      <c r="C881" s="10"/>
    </row>
    <row r="882">
      <c r="A882" s="10"/>
      <c r="B882" s="10"/>
      <c r="C882" s="10"/>
    </row>
    <row r="883">
      <c r="A883" s="10"/>
      <c r="B883" s="10"/>
      <c r="C883" s="10"/>
    </row>
    <row r="884">
      <c r="A884" s="10"/>
      <c r="B884" s="10"/>
      <c r="C884" s="10"/>
    </row>
    <row r="885">
      <c r="A885" s="10"/>
      <c r="B885" s="10"/>
      <c r="C885" s="10"/>
    </row>
    <row r="886">
      <c r="A886" s="10"/>
      <c r="B886" s="10"/>
      <c r="C886" s="10"/>
    </row>
    <row r="887">
      <c r="A887" s="10"/>
      <c r="B887" s="10"/>
      <c r="C887" s="10"/>
    </row>
    <row r="888">
      <c r="A888" s="10"/>
      <c r="B888" s="10"/>
      <c r="C888" s="10"/>
    </row>
    <row r="889">
      <c r="A889" s="10"/>
      <c r="B889" s="10"/>
      <c r="C889" s="10"/>
    </row>
    <row r="890">
      <c r="A890" s="10"/>
      <c r="B890" s="10"/>
      <c r="C890" s="10"/>
    </row>
    <row r="891">
      <c r="A891" s="10"/>
      <c r="B891" s="10"/>
      <c r="C891" s="10"/>
    </row>
    <row r="892">
      <c r="A892" s="10"/>
      <c r="B892" s="10"/>
      <c r="C892" s="10"/>
    </row>
    <row r="893">
      <c r="A893" s="10"/>
      <c r="B893" s="10"/>
      <c r="C893" s="10"/>
    </row>
    <row r="894">
      <c r="A894" s="10"/>
      <c r="B894" s="10"/>
      <c r="C894" s="10"/>
    </row>
    <row r="895">
      <c r="A895" s="10"/>
      <c r="B895" s="10"/>
      <c r="C895" s="10"/>
    </row>
    <row r="896">
      <c r="A896" s="10"/>
      <c r="B896" s="10"/>
      <c r="C896" s="10"/>
    </row>
    <row r="897">
      <c r="A897" s="10"/>
      <c r="B897" s="10"/>
      <c r="C897" s="10"/>
    </row>
    <row r="898">
      <c r="A898" s="10"/>
      <c r="B898" s="10"/>
      <c r="C898" s="10"/>
    </row>
    <row r="899">
      <c r="A899" s="10"/>
      <c r="B899" s="10"/>
      <c r="C899" s="10"/>
    </row>
    <row r="900">
      <c r="A900" s="10"/>
      <c r="B900" s="10"/>
      <c r="C900" s="10"/>
    </row>
    <row r="901">
      <c r="A901" s="10"/>
      <c r="B901" s="10"/>
      <c r="C901" s="10"/>
    </row>
    <row r="902">
      <c r="A902" s="10"/>
      <c r="B902" s="10"/>
      <c r="C902" s="10"/>
    </row>
    <row r="903">
      <c r="A903" s="10"/>
      <c r="B903" s="10"/>
      <c r="C903" s="10"/>
    </row>
    <row r="904">
      <c r="A904" s="10"/>
      <c r="B904" s="10"/>
      <c r="C904" s="10"/>
    </row>
    <row r="905">
      <c r="A905" s="10"/>
      <c r="B905" s="10"/>
      <c r="C905" s="10"/>
    </row>
    <row r="906">
      <c r="A906" s="10"/>
      <c r="B906" s="10"/>
      <c r="C906" s="10"/>
    </row>
    <row r="907">
      <c r="A907" s="10"/>
      <c r="B907" s="10"/>
      <c r="C907" s="10"/>
    </row>
    <row r="908">
      <c r="A908" s="10"/>
      <c r="B908" s="10"/>
      <c r="C908" s="10"/>
    </row>
    <row r="909">
      <c r="A909" s="10"/>
      <c r="B909" s="10"/>
      <c r="C909" s="10"/>
    </row>
    <row r="910">
      <c r="A910" s="10"/>
      <c r="B910" s="10"/>
      <c r="C910" s="10"/>
    </row>
    <row r="911">
      <c r="A911" s="10"/>
      <c r="B911" s="10"/>
      <c r="C911" s="10"/>
    </row>
    <row r="912">
      <c r="A912" s="10"/>
      <c r="B912" s="10"/>
      <c r="C912" s="10"/>
    </row>
    <row r="913">
      <c r="A913" s="10"/>
      <c r="B913" s="10"/>
      <c r="C913" s="10"/>
    </row>
    <row r="914">
      <c r="A914" s="10"/>
      <c r="B914" s="10"/>
      <c r="C914" s="10"/>
    </row>
    <row r="915">
      <c r="A915" s="10"/>
      <c r="B915" s="10"/>
      <c r="C915" s="10"/>
    </row>
    <row r="916">
      <c r="A916" s="10"/>
      <c r="B916" s="10"/>
      <c r="C916" s="10"/>
    </row>
    <row r="917">
      <c r="A917" s="10"/>
      <c r="B917" s="10"/>
      <c r="C917" s="10"/>
    </row>
    <row r="918">
      <c r="A918" s="10"/>
      <c r="B918" s="10"/>
      <c r="C918" s="10"/>
    </row>
    <row r="919">
      <c r="A919" s="10"/>
      <c r="B919" s="10"/>
      <c r="C919" s="10"/>
    </row>
    <row r="920">
      <c r="A920" s="10"/>
      <c r="B920" s="10"/>
      <c r="C920" s="10"/>
    </row>
    <row r="921">
      <c r="A921" s="10"/>
      <c r="B921" s="10"/>
      <c r="C921" s="10"/>
    </row>
    <row r="922">
      <c r="A922" s="10"/>
      <c r="B922" s="10"/>
      <c r="C922" s="10"/>
    </row>
    <row r="923">
      <c r="A923" s="10"/>
      <c r="B923" s="10"/>
      <c r="C923" s="10"/>
    </row>
    <row r="924">
      <c r="A924" s="10"/>
      <c r="B924" s="10"/>
      <c r="C924" s="10"/>
    </row>
    <row r="925">
      <c r="A925" s="10"/>
      <c r="B925" s="10"/>
      <c r="C925" s="10"/>
    </row>
    <row r="926">
      <c r="A926" s="10"/>
      <c r="B926" s="10"/>
      <c r="C926" s="10"/>
    </row>
    <row r="927">
      <c r="A927" s="10"/>
      <c r="B927" s="10"/>
      <c r="C927" s="10"/>
    </row>
    <row r="928">
      <c r="A928" s="10"/>
      <c r="B928" s="10"/>
      <c r="C928" s="10"/>
    </row>
    <row r="929">
      <c r="A929" s="10"/>
      <c r="B929" s="10"/>
      <c r="C929" s="10"/>
    </row>
    <row r="930">
      <c r="A930" s="10"/>
      <c r="B930" s="10"/>
      <c r="C930" s="10"/>
    </row>
    <row r="931">
      <c r="A931" s="10"/>
      <c r="B931" s="10"/>
      <c r="C931" s="10"/>
    </row>
    <row r="932">
      <c r="A932" s="10"/>
      <c r="B932" s="10"/>
      <c r="C932" s="10"/>
    </row>
    <row r="933">
      <c r="A933" s="10"/>
      <c r="B933" s="10"/>
      <c r="C933" s="10"/>
    </row>
    <row r="934">
      <c r="A934" s="10"/>
      <c r="B934" s="10"/>
      <c r="C934" s="10"/>
    </row>
    <row r="935">
      <c r="A935" s="10"/>
      <c r="B935" s="10"/>
      <c r="C935" s="10"/>
    </row>
    <row r="936">
      <c r="A936" s="10"/>
      <c r="B936" s="10"/>
      <c r="C936" s="10"/>
    </row>
    <row r="937">
      <c r="A937" s="10"/>
      <c r="B937" s="10"/>
      <c r="C937" s="10"/>
    </row>
    <row r="938">
      <c r="A938" s="10"/>
      <c r="B938" s="10"/>
      <c r="C938" s="10"/>
    </row>
    <row r="939">
      <c r="A939" s="10"/>
      <c r="B939" s="10"/>
      <c r="C939" s="10"/>
    </row>
    <row r="940">
      <c r="A940" s="10"/>
      <c r="B940" s="10"/>
      <c r="C940" s="10"/>
    </row>
    <row r="941">
      <c r="A941" s="10"/>
      <c r="B941" s="10"/>
      <c r="C941" s="10"/>
    </row>
    <row r="942">
      <c r="A942" s="10"/>
      <c r="B942" s="10"/>
      <c r="C942" s="10"/>
    </row>
    <row r="943">
      <c r="A943" s="10"/>
      <c r="B943" s="10"/>
      <c r="C943" s="10"/>
    </row>
    <row r="944">
      <c r="A944" s="10"/>
      <c r="B944" s="10"/>
      <c r="C944" s="10"/>
    </row>
    <row r="945">
      <c r="A945" s="10"/>
      <c r="B945" s="10"/>
      <c r="C945" s="10"/>
    </row>
    <row r="946">
      <c r="A946" s="10"/>
      <c r="B946" s="10"/>
      <c r="C946" s="10"/>
    </row>
    <row r="947">
      <c r="A947" s="10"/>
      <c r="B947" s="10"/>
      <c r="C947" s="10"/>
    </row>
    <row r="948">
      <c r="A948" s="10"/>
      <c r="B948" s="10"/>
      <c r="C948" s="10"/>
    </row>
    <row r="949">
      <c r="A949" s="10"/>
      <c r="B949" s="10"/>
      <c r="C949" s="10"/>
    </row>
    <row r="950">
      <c r="A950" s="10"/>
      <c r="B950" s="10"/>
      <c r="C950" s="10"/>
    </row>
    <row r="951">
      <c r="A951" s="10"/>
      <c r="B951" s="10"/>
      <c r="C951" s="10"/>
    </row>
    <row r="952">
      <c r="A952" s="10"/>
      <c r="B952" s="10"/>
      <c r="C952" s="10"/>
    </row>
    <row r="953">
      <c r="A953" s="10"/>
      <c r="B953" s="10"/>
      <c r="C953" s="10"/>
    </row>
    <row r="954">
      <c r="A954" s="10"/>
      <c r="B954" s="10"/>
      <c r="C954" s="10"/>
    </row>
    <row r="955">
      <c r="A955" s="10"/>
      <c r="B955" s="10"/>
      <c r="C955" s="10"/>
    </row>
    <row r="956">
      <c r="A956" s="10"/>
      <c r="B956" s="10"/>
      <c r="C956" s="10"/>
    </row>
    <row r="957">
      <c r="A957" s="10"/>
      <c r="B957" s="10"/>
      <c r="C957" s="10"/>
    </row>
    <row r="958">
      <c r="A958" s="10"/>
      <c r="B958" s="10"/>
      <c r="C958" s="10"/>
    </row>
    <row r="959">
      <c r="A959" s="10"/>
      <c r="B959" s="10"/>
      <c r="C959" s="10"/>
    </row>
    <row r="960">
      <c r="A960" s="10"/>
      <c r="B960" s="10"/>
      <c r="C960" s="10"/>
    </row>
    <row r="961">
      <c r="A961" s="10"/>
      <c r="B961" s="10"/>
      <c r="C961" s="10"/>
    </row>
    <row r="962">
      <c r="A962" s="10"/>
      <c r="B962" s="10"/>
      <c r="C962" s="10"/>
    </row>
    <row r="963">
      <c r="A963" s="10"/>
      <c r="B963" s="10"/>
      <c r="C963" s="10"/>
    </row>
    <row r="964">
      <c r="A964" s="10"/>
      <c r="B964" s="10"/>
      <c r="C964" s="10"/>
    </row>
    <row r="965">
      <c r="A965" s="10"/>
      <c r="B965" s="10"/>
      <c r="C965" s="10"/>
    </row>
    <row r="966">
      <c r="A966" s="10"/>
      <c r="B966" s="10"/>
      <c r="C966" s="10"/>
    </row>
    <row r="967">
      <c r="A967" s="10"/>
      <c r="B967" s="10"/>
      <c r="C967" s="10"/>
    </row>
    <row r="968">
      <c r="A968" s="10"/>
      <c r="B968" s="10"/>
      <c r="C968" s="10"/>
    </row>
    <row r="969">
      <c r="A969" s="10"/>
      <c r="B969" s="10"/>
      <c r="C969" s="10"/>
    </row>
    <row r="970">
      <c r="A970" s="10"/>
      <c r="B970" s="10"/>
      <c r="C970" s="10"/>
    </row>
    <row r="971">
      <c r="A971" s="10"/>
      <c r="B971" s="10"/>
      <c r="C971" s="10"/>
    </row>
    <row r="972">
      <c r="A972" s="10"/>
      <c r="B972" s="10"/>
      <c r="C972" s="10"/>
    </row>
    <row r="973">
      <c r="A973" s="10"/>
      <c r="B973" s="10"/>
      <c r="C973" s="10"/>
    </row>
    <row r="974">
      <c r="A974" s="10"/>
      <c r="B974" s="10"/>
      <c r="C974" s="10"/>
    </row>
    <row r="975">
      <c r="A975" s="10"/>
      <c r="B975" s="10"/>
      <c r="C975" s="10"/>
    </row>
    <row r="976">
      <c r="A976" s="10"/>
      <c r="B976" s="10"/>
      <c r="C976" s="10"/>
    </row>
    <row r="977">
      <c r="A977" s="10"/>
      <c r="B977" s="10"/>
      <c r="C977" s="10"/>
    </row>
    <row r="978">
      <c r="A978" s="10"/>
      <c r="B978" s="10"/>
      <c r="C978" s="10"/>
    </row>
    <row r="979">
      <c r="A979" s="10"/>
      <c r="B979" s="10"/>
      <c r="C979" s="10"/>
    </row>
    <row r="980">
      <c r="A980" s="10"/>
      <c r="B980" s="10"/>
      <c r="C980" s="10"/>
    </row>
    <row r="981">
      <c r="A981" s="10"/>
      <c r="B981" s="10"/>
      <c r="C981" s="10"/>
    </row>
    <row r="982">
      <c r="A982" s="10"/>
      <c r="B982" s="10"/>
      <c r="C982" s="10"/>
    </row>
    <row r="983">
      <c r="A983" s="10"/>
      <c r="B983" s="10"/>
      <c r="C983" s="10"/>
    </row>
    <row r="984">
      <c r="A984" s="10"/>
      <c r="B984" s="10"/>
      <c r="C984" s="10"/>
    </row>
    <row r="985">
      <c r="A985" s="10"/>
      <c r="B985" s="10"/>
      <c r="C985" s="10"/>
    </row>
    <row r="986">
      <c r="A986" s="10"/>
      <c r="B986" s="10"/>
      <c r="C986" s="10"/>
    </row>
    <row r="987">
      <c r="A987" s="10"/>
      <c r="B987" s="10"/>
      <c r="C987" s="10"/>
    </row>
    <row r="988">
      <c r="A988" s="10"/>
      <c r="B988" s="10"/>
      <c r="C988" s="10"/>
    </row>
    <row r="989">
      <c r="A989" s="10"/>
      <c r="B989" s="10"/>
      <c r="C989" s="10"/>
    </row>
    <row r="990">
      <c r="A990" s="10"/>
      <c r="B990" s="10"/>
      <c r="C990" s="10"/>
    </row>
    <row r="991">
      <c r="A991" s="10"/>
      <c r="B991" s="10"/>
      <c r="C991" s="10"/>
    </row>
    <row r="992">
      <c r="A992" s="10"/>
      <c r="B992" s="10"/>
      <c r="C992" s="10"/>
    </row>
    <row r="993">
      <c r="A993" s="10"/>
      <c r="B993" s="10"/>
      <c r="C993" s="10"/>
    </row>
    <row r="994">
      <c r="A994" s="10"/>
      <c r="B994" s="10"/>
      <c r="C994" s="10"/>
    </row>
    <row r="995">
      <c r="A995" s="10"/>
      <c r="B995" s="10"/>
      <c r="C995" s="10"/>
    </row>
    <row r="996">
      <c r="A996" s="10"/>
      <c r="B996" s="10"/>
      <c r="C996" s="10"/>
    </row>
    <row r="997">
      <c r="A997" s="10"/>
      <c r="B997" s="10"/>
      <c r="C997" s="10"/>
    </row>
    <row r="998">
      <c r="A998" s="10"/>
      <c r="B998" s="10"/>
      <c r="C998" s="10"/>
    </row>
    <row r="999">
      <c r="A999" s="10"/>
      <c r="B999" s="10"/>
      <c r="C999" s="10"/>
    </row>
    <row r="1000">
      <c r="A1000" s="10"/>
      <c r="B1000" s="10"/>
      <c r="C1000" s="10"/>
    </row>
  </sheetData>
  <mergeCells count="1">
    <mergeCell ref="E1:I1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14.38"/>
  </cols>
  <sheetData>
    <row r="1">
      <c r="A1" s="11" t="s">
        <v>44</v>
      </c>
      <c r="B1" s="11" t="s">
        <v>1</v>
      </c>
    </row>
    <row r="2">
      <c r="A2" s="11" t="s">
        <v>45</v>
      </c>
    </row>
    <row r="3">
      <c r="A3" s="11" t="s">
        <v>46</v>
      </c>
      <c r="C3" s="11" t="s">
        <v>47</v>
      </c>
    </row>
    <row r="4">
      <c r="A4" s="11" t="s">
        <v>9</v>
      </c>
      <c r="B4" s="11">
        <v>7010.0</v>
      </c>
    </row>
    <row r="5">
      <c r="A5" s="11" t="s">
        <v>48</v>
      </c>
      <c r="B5" s="11">
        <v>6675.0</v>
      </c>
    </row>
    <row r="6">
      <c r="A6" s="11" t="s">
        <v>13</v>
      </c>
    </row>
    <row r="7">
      <c r="A7" s="11" t="s">
        <v>15</v>
      </c>
      <c r="B7" s="11">
        <v>189.0</v>
      </c>
    </row>
    <row r="8">
      <c r="A8" s="11" t="s">
        <v>49</v>
      </c>
      <c r="B8" s="11">
        <v>6729.0</v>
      </c>
    </row>
    <row r="9">
      <c r="A9" s="11" t="s">
        <v>50</v>
      </c>
    </row>
    <row r="10">
      <c r="A10" s="11" t="s">
        <v>20</v>
      </c>
    </row>
    <row r="11">
      <c r="A11" s="11" t="s">
        <v>21</v>
      </c>
    </row>
    <row r="12">
      <c r="A12" s="11" t="s">
        <v>23</v>
      </c>
    </row>
    <row r="13">
      <c r="A13" s="11" t="s">
        <v>25</v>
      </c>
    </row>
    <row r="14">
      <c r="A14" s="11" t="s">
        <v>27</v>
      </c>
      <c r="B14" s="11">
        <v>2345.0</v>
      </c>
    </row>
    <row r="15">
      <c r="A15" s="11" t="s">
        <v>29</v>
      </c>
    </row>
    <row r="16">
      <c r="A16" s="11" t="s">
        <v>31</v>
      </c>
    </row>
    <row r="17">
      <c r="A17" s="11" t="s">
        <v>33</v>
      </c>
    </row>
    <row r="18">
      <c r="A18" s="11" t="s">
        <v>34</v>
      </c>
    </row>
    <row r="19">
      <c r="A19" s="11" t="s">
        <v>35</v>
      </c>
    </row>
    <row r="20">
      <c r="A20" s="11" t="s">
        <v>51</v>
      </c>
      <c r="C20" s="11" t="s">
        <v>52</v>
      </c>
    </row>
    <row r="21">
      <c r="A21" s="11" t="s">
        <v>39</v>
      </c>
      <c r="B21" s="11">
        <v>6722.0</v>
      </c>
    </row>
    <row r="22">
      <c r="A22" s="11" t="s">
        <v>41</v>
      </c>
    </row>
    <row r="23">
      <c r="A23" s="11" t="s">
        <v>53</v>
      </c>
      <c r="C23" s="11" t="s">
        <v>54</v>
      </c>
    </row>
    <row r="24">
      <c r="A24" s="11" t="s">
        <v>55</v>
      </c>
    </row>
    <row r="25">
      <c r="A25" s="11" t="s">
        <v>56</v>
      </c>
      <c r="B25" s="11">
        <v>6924.0</v>
      </c>
    </row>
    <row r="26">
      <c r="A26" s="11" t="s">
        <v>57</v>
      </c>
      <c r="B26" s="11">
        <v>14638.0</v>
      </c>
    </row>
    <row r="27">
      <c r="A27" s="11" t="s">
        <v>58</v>
      </c>
      <c r="B27" s="11">
        <v>7083.0</v>
      </c>
    </row>
    <row r="28">
      <c r="A28" s="11" t="s">
        <v>59</v>
      </c>
      <c r="B28" s="11">
        <v>7083.0</v>
      </c>
    </row>
    <row r="29">
      <c r="A29" s="11" t="s">
        <v>60</v>
      </c>
      <c r="B29" s="11">
        <v>6774.0</v>
      </c>
    </row>
    <row r="30">
      <c r="A30" s="11" t="s">
        <v>61</v>
      </c>
      <c r="B30" s="11">
        <v>663.0</v>
      </c>
    </row>
    <row r="31">
      <c r="A31" s="11" t="s">
        <v>62</v>
      </c>
      <c r="B31" s="11">
        <v>663.0</v>
      </c>
    </row>
    <row r="32">
      <c r="A32" s="11" t="s">
        <v>63</v>
      </c>
      <c r="B32" s="11">
        <v>6658.0</v>
      </c>
    </row>
    <row r="33">
      <c r="A33" s="11" t="s">
        <v>64</v>
      </c>
    </row>
    <row r="34">
      <c r="A34" s="11" t="s">
        <v>65</v>
      </c>
      <c r="B34" s="11">
        <v>10856.0</v>
      </c>
    </row>
    <row r="35">
      <c r="A35" s="11" t="s">
        <v>66</v>
      </c>
    </row>
    <row r="36">
      <c r="A36" s="11" t="s">
        <v>67</v>
      </c>
    </row>
    <row r="37">
      <c r="A37" s="11" t="s">
        <v>68</v>
      </c>
    </row>
    <row r="38">
      <c r="A38" s="11" t="s">
        <v>69</v>
      </c>
    </row>
    <row r="39">
      <c r="A39" s="11" t="s">
        <v>70</v>
      </c>
      <c r="B39" s="11">
        <v>3607.0</v>
      </c>
    </row>
    <row r="40">
      <c r="A40" s="11" t="s">
        <v>71</v>
      </c>
    </row>
    <row r="41">
      <c r="A41" s="11" t="s">
        <v>72</v>
      </c>
    </row>
    <row r="42">
      <c r="A42" s="11" t="s">
        <v>73</v>
      </c>
    </row>
    <row r="43">
      <c r="A43" s="11" t="s">
        <v>74</v>
      </c>
    </row>
    <row r="44">
      <c r="A44" s="11" t="s">
        <v>75</v>
      </c>
    </row>
    <row r="45">
      <c r="A45" s="11" t="s">
        <v>76</v>
      </c>
    </row>
    <row r="46">
      <c r="A46" s="11" t="s">
        <v>77</v>
      </c>
    </row>
    <row r="47">
      <c r="A47" s="11" t="s">
        <v>78</v>
      </c>
    </row>
    <row r="48">
      <c r="A48" s="11" t="s">
        <v>79</v>
      </c>
    </row>
    <row r="49">
      <c r="A49" s="11" t="s">
        <v>80</v>
      </c>
    </row>
    <row r="50">
      <c r="A50" s="11" t="s">
        <v>81</v>
      </c>
    </row>
    <row r="51">
      <c r="A51" s="11" t="s">
        <v>82</v>
      </c>
    </row>
    <row r="52">
      <c r="A52" s="11" t="s">
        <v>83</v>
      </c>
    </row>
    <row r="53">
      <c r="A53" s="11" t="s">
        <v>84</v>
      </c>
    </row>
    <row r="54">
      <c r="A54" s="11" t="s">
        <v>85</v>
      </c>
      <c r="B54" s="11">
        <v>189.0</v>
      </c>
    </row>
    <row r="55">
      <c r="A55" s="11" t="s">
        <v>86</v>
      </c>
      <c r="B55" s="11">
        <v>189.0</v>
      </c>
    </row>
    <row r="56">
      <c r="A56" s="11" t="s">
        <v>87</v>
      </c>
      <c r="B56" s="11">
        <v>189.0</v>
      </c>
    </row>
    <row r="57">
      <c r="A57" s="11" t="s">
        <v>88</v>
      </c>
      <c r="B57" s="11">
        <v>189.0</v>
      </c>
    </row>
    <row r="58">
      <c r="A58" s="11" t="s">
        <v>89</v>
      </c>
      <c r="B58" s="11">
        <v>189.0</v>
      </c>
    </row>
    <row r="59">
      <c r="A59" s="11" t="s">
        <v>90</v>
      </c>
      <c r="B59" s="11">
        <v>189.0</v>
      </c>
    </row>
    <row r="60">
      <c r="A60" s="11" t="s">
        <v>91</v>
      </c>
    </row>
    <row r="61">
      <c r="A61" s="11" t="s">
        <v>92</v>
      </c>
    </row>
    <row r="62">
      <c r="A62" s="11" t="s">
        <v>93</v>
      </c>
    </row>
    <row r="63">
      <c r="A63" s="11" t="s">
        <v>94</v>
      </c>
    </row>
    <row r="64">
      <c r="A64" s="11" t="s">
        <v>95</v>
      </c>
    </row>
    <row r="65">
      <c r="A65" s="11" t="s">
        <v>96</v>
      </c>
    </row>
    <row r="66">
      <c r="A66" s="11" t="s">
        <v>97</v>
      </c>
    </row>
    <row r="67">
      <c r="A67" s="11" t="s">
        <v>98</v>
      </c>
    </row>
    <row r="68">
      <c r="A68" s="11" t="s">
        <v>99</v>
      </c>
    </row>
    <row r="69">
      <c r="A69" s="11" t="s">
        <v>100</v>
      </c>
    </row>
    <row r="70">
      <c r="A70" s="11" t="s">
        <v>101</v>
      </c>
    </row>
    <row r="71">
      <c r="A71" s="11" t="s">
        <v>102</v>
      </c>
    </row>
    <row r="72">
      <c r="A72" s="11" t="s">
        <v>103</v>
      </c>
    </row>
    <row r="73">
      <c r="A73" s="11" t="s">
        <v>104</v>
      </c>
      <c r="B73" s="11">
        <v>7142.0</v>
      </c>
    </row>
    <row r="74">
      <c r="A74" s="11" t="s">
        <v>105</v>
      </c>
      <c r="B74" s="11">
        <v>3607.0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5" max="5" width="13.88"/>
  </cols>
  <sheetData>
    <row r="1">
      <c r="A1" s="12" t="s">
        <v>44</v>
      </c>
      <c r="B1" s="12" t="s">
        <v>1</v>
      </c>
      <c r="E1" s="13" t="s">
        <v>106</v>
      </c>
    </row>
    <row r="2">
      <c r="A2" s="14" t="s">
        <v>107</v>
      </c>
      <c r="B2" s="11">
        <v>6675.0</v>
      </c>
    </row>
    <row r="3">
      <c r="A3" s="14" t="s">
        <v>27</v>
      </c>
      <c r="B3" s="11">
        <v>2345.0</v>
      </c>
    </row>
    <row r="4">
      <c r="A4" s="14" t="s">
        <v>108</v>
      </c>
      <c r="B4" s="11">
        <v>189.0</v>
      </c>
      <c r="E4" s="5"/>
      <c r="F4" s="5"/>
      <c r="G4" s="15"/>
    </row>
    <row r="5">
      <c r="A5" s="14" t="s">
        <v>9</v>
      </c>
      <c r="B5" s="11">
        <v>7010.0</v>
      </c>
      <c r="E5" s="5"/>
      <c r="F5" s="5"/>
      <c r="G5" s="15"/>
    </row>
    <row r="6">
      <c r="A6" s="14" t="s">
        <v>13</v>
      </c>
      <c r="B6" s="16">
        <v>14440.0</v>
      </c>
      <c r="E6" s="5"/>
      <c r="F6" s="5"/>
      <c r="G6" s="15"/>
    </row>
    <row r="7">
      <c r="A7" s="14" t="s">
        <v>109</v>
      </c>
      <c r="B7" s="11">
        <v>6729.0</v>
      </c>
      <c r="E7" s="5"/>
      <c r="F7" s="5"/>
      <c r="G7" s="15"/>
    </row>
    <row r="8">
      <c r="A8" s="14" t="s">
        <v>110</v>
      </c>
      <c r="B8" s="11">
        <v>14465.0</v>
      </c>
      <c r="E8" s="5"/>
      <c r="F8" s="5"/>
      <c r="G8" s="15"/>
    </row>
    <row r="9">
      <c r="A9" s="14" t="s">
        <v>21</v>
      </c>
      <c r="B9" s="11">
        <v>14298.0</v>
      </c>
      <c r="E9" s="5"/>
      <c r="F9" s="5"/>
      <c r="G9" s="15"/>
    </row>
    <row r="10">
      <c r="A10" s="14" t="s">
        <v>111</v>
      </c>
      <c r="B10" s="11">
        <v>14607.0</v>
      </c>
      <c r="E10" s="5"/>
      <c r="F10" s="5"/>
      <c r="G10" s="15"/>
    </row>
    <row r="11">
      <c r="A11" s="14" t="s">
        <v>112</v>
      </c>
      <c r="B11" s="11">
        <v>6722.0</v>
      </c>
      <c r="E11" s="5"/>
      <c r="F11" s="5"/>
      <c r="G11" s="15"/>
    </row>
    <row r="12">
      <c r="A12" s="14" t="s">
        <v>113</v>
      </c>
      <c r="B12" s="11">
        <v>5566.0</v>
      </c>
      <c r="E12" s="5"/>
      <c r="F12" s="5"/>
      <c r="G12" s="15"/>
    </row>
    <row r="13">
      <c r="A13" s="14" t="s">
        <v>39</v>
      </c>
      <c r="B13" s="11">
        <v>6671.0</v>
      </c>
      <c r="E13" s="5"/>
      <c r="F13" s="5"/>
      <c r="G13" s="15"/>
    </row>
    <row r="14">
      <c r="A14" s="14" t="s">
        <v>114</v>
      </c>
      <c r="B14" s="11">
        <v>8486.0</v>
      </c>
      <c r="E14" s="5"/>
      <c r="F14" s="5"/>
      <c r="G14" s="15"/>
    </row>
    <row r="15">
      <c r="A15" s="14" t="s">
        <v>115</v>
      </c>
      <c r="B15" s="11">
        <v>6706.0</v>
      </c>
      <c r="E15" s="5"/>
      <c r="F15" s="17"/>
      <c r="G15" s="15"/>
    </row>
    <row r="16">
      <c r="A16" s="14" t="s">
        <v>23</v>
      </c>
      <c r="E16" s="5"/>
      <c r="F16" s="17"/>
      <c r="G16" s="15"/>
    </row>
    <row r="17">
      <c r="A17" s="14" t="s">
        <v>20</v>
      </c>
      <c r="B17" s="11">
        <v>5566.0</v>
      </c>
      <c r="E17" s="5"/>
      <c r="F17" s="5"/>
      <c r="G17" s="15"/>
    </row>
    <row r="18">
      <c r="A18" s="14" t="s">
        <v>33</v>
      </c>
      <c r="B18" s="11">
        <v>5566.0</v>
      </c>
      <c r="E18" s="5"/>
      <c r="F18" s="5"/>
      <c r="G18" s="15"/>
    </row>
    <row r="19">
      <c r="A19" s="18" t="s">
        <v>116</v>
      </c>
      <c r="B19" s="11">
        <v>14480.0</v>
      </c>
      <c r="E19" s="9"/>
      <c r="F19" s="9"/>
      <c r="G19" s="15"/>
    </row>
    <row r="20">
      <c r="A20" s="11" t="s">
        <v>117</v>
      </c>
      <c r="B20" s="11">
        <v>6924.0</v>
      </c>
      <c r="E20" s="9"/>
      <c r="F20" s="9"/>
      <c r="G20" s="15"/>
    </row>
    <row r="21">
      <c r="A21" s="18" t="s">
        <v>118</v>
      </c>
      <c r="B21" s="11">
        <v>3404.0</v>
      </c>
      <c r="E21" s="9"/>
      <c r="F21" s="9"/>
      <c r="G21" s="15"/>
    </row>
    <row r="22">
      <c r="A22" s="18" t="s">
        <v>31</v>
      </c>
      <c r="B22" s="11">
        <v>5566.0</v>
      </c>
      <c r="E22" s="9"/>
      <c r="F22" s="9"/>
      <c r="G22" s="15"/>
    </row>
    <row r="23">
      <c r="A23" s="18" t="s">
        <v>119</v>
      </c>
      <c r="B23" s="11">
        <v>14638.0</v>
      </c>
      <c r="E23" s="9"/>
      <c r="F23" s="9"/>
      <c r="G23" s="15"/>
    </row>
    <row r="24">
      <c r="A24" s="18" t="s">
        <v>120</v>
      </c>
      <c r="B24" s="11">
        <v>14478.0</v>
      </c>
      <c r="E24" s="9"/>
      <c r="F24" s="9"/>
    </row>
    <row r="25">
      <c r="A25" s="18" t="s">
        <v>121</v>
      </c>
      <c r="B25" s="11">
        <v>6831.0</v>
      </c>
    </row>
    <row r="26">
      <c r="A26" s="18" t="s">
        <v>122</v>
      </c>
      <c r="B26" s="11">
        <v>6132.0</v>
      </c>
    </row>
    <row r="27">
      <c r="A27" s="18" t="s">
        <v>123</v>
      </c>
      <c r="B27" s="11">
        <v>3307.0</v>
      </c>
    </row>
    <row r="28">
      <c r="A28" s="18" t="s">
        <v>124</v>
      </c>
      <c r="B28" s="11">
        <v>14525.0</v>
      </c>
    </row>
    <row r="29">
      <c r="A29" s="18" t="s">
        <v>125</v>
      </c>
      <c r="B29" s="11">
        <v>889.0</v>
      </c>
    </row>
    <row r="30">
      <c r="A30" s="18" t="s">
        <v>126</v>
      </c>
      <c r="B30" s="11">
        <v>7031.0</v>
      </c>
    </row>
    <row r="31">
      <c r="A31" s="18" t="s">
        <v>127</v>
      </c>
      <c r="B31" s="11">
        <v>7747.0</v>
      </c>
    </row>
    <row r="32">
      <c r="A32" s="18" t="s">
        <v>128</v>
      </c>
      <c r="B32" s="11">
        <v>12388.0</v>
      </c>
    </row>
    <row r="33">
      <c r="A33" s="18" t="s">
        <v>129</v>
      </c>
      <c r="B33" s="11">
        <v>8244.0</v>
      </c>
    </row>
    <row r="34">
      <c r="A34" s="18" t="s">
        <v>130</v>
      </c>
      <c r="B34" s="11">
        <v>5566.0</v>
      </c>
    </row>
    <row r="35">
      <c r="A35" s="18" t="s">
        <v>131</v>
      </c>
      <c r="B35" s="11">
        <v>5566.0</v>
      </c>
    </row>
    <row r="36">
      <c r="A36" s="18" t="s">
        <v>132</v>
      </c>
      <c r="B36" s="11">
        <v>7033.0</v>
      </c>
    </row>
    <row r="37">
      <c r="A37" s="18" t="s">
        <v>133</v>
      </c>
      <c r="B37" s="11">
        <v>13945.0</v>
      </c>
    </row>
    <row r="38">
      <c r="A38" s="18" t="s">
        <v>134</v>
      </c>
      <c r="B38" s="11">
        <v>14505.0</v>
      </c>
    </row>
    <row r="39">
      <c r="A39" s="18" t="s">
        <v>135</v>
      </c>
      <c r="B39" s="11">
        <v>7847.0</v>
      </c>
    </row>
    <row r="40">
      <c r="A40" s="18" t="s">
        <v>136</v>
      </c>
      <c r="B40" s="11">
        <v>6939.0</v>
      </c>
    </row>
    <row r="41">
      <c r="A41" s="18" t="s">
        <v>137</v>
      </c>
      <c r="B41" s="11">
        <v>6802.0</v>
      </c>
    </row>
    <row r="42">
      <c r="A42" s="18" t="s">
        <v>138</v>
      </c>
      <c r="B42" s="11">
        <v>6903.0</v>
      </c>
    </row>
    <row r="43">
      <c r="A43" s="18" t="s">
        <v>139</v>
      </c>
      <c r="B43" s="11">
        <v>14659.0</v>
      </c>
    </row>
    <row r="44">
      <c r="A44" s="18" t="s">
        <v>140</v>
      </c>
      <c r="B44" s="11">
        <v>14734.0</v>
      </c>
      <c r="C44" s="11">
        <v>5125.0</v>
      </c>
    </row>
    <row r="45">
      <c r="A45" s="18" t="s">
        <v>141</v>
      </c>
      <c r="B45" s="11">
        <v>6736.0</v>
      </c>
    </row>
    <row r="46">
      <c r="A46" s="18" t="s">
        <v>142</v>
      </c>
      <c r="B46" s="11">
        <v>6947.0</v>
      </c>
    </row>
    <row r="47">
      <c r="A47" s="18" t="s">
        <v>143</v>
      </c>
      <c r="B47" s="11">
        <v>14646.0</v>
      </c>
    </row>
    <row r="48">
      <c r="A48" s="18" t="s">
        <v>144</v>
      </c>
      <c r="B48" s="11">
        <v>14529.0</v>
      </c>
    </row>
    <row r="49">
      <c r="A49" s="18" t="s">
        <v>145</v>
      </c>
      <c r="B49" s="11">
        <v>12941.0</v>
      </c>
    </row>
    <row r="50">
      <c r="A50" s="18" t="s">
        <v>146</v>
      </c>
      <c r="B50" s="11">
        <v>14563.0</v>
      </c>
    </row>
    <row r="51">
      <c r="A51" s="18" t="s">
        <v>147</v>
      </c>
      <c r="B51" s="11">
        <v>6668.0</v>
      </c>
    </row>
    <row r="52">
      <c r="A52" s="18" t="s">
        <v>148</v>
      </c>
      <c r="B52" s="11">
        <v>6668.0</v>
      </c>
    </row>
    <row r="53">
      <c r="A53" s="18" t="s">
        <v>149</v>
      </c>
      <c r="B53" s="16">
        <v>9363.0</v>
      </c>
    </row>
    <row r="54">
      <c r="A54" s="18" t="s">
        <v>150</v>
      </c>
      <c r="B54" s="11">
        <v>10258.0</v>
      </c>
    </row>
    <row r="55">
      <c r="A55" s="18" t="s">
        <v>151</v>
      </c>
      <c r="B55" s="11">
        <v>14575.0</v>
      </c>
    </row>
    <row r="56">
      <c r="A56" s="18" t="s">
        <v>152</v>
      </c>
      <c r="B56" s="11">
        <v>6767.0</v>
      </c>
    </row>
    <row r="57">
      <c r="A57" s="18" t="s">
        <v>153</v>
      </c>
      <c r="B57" s="11">
        <v>7083.0</v>
      </c>
    </row>
    <row r="58">
      <c r="A58" s="18" t="s">
        <v>154</v>
      </c>
      <c r="B58" s="11">
        <v>7083.0</v>
      </c>
    </row>
    <row r="59">
      <c r="A59" s="18" t="s">
        <v>155</v>
      </c>
      <c r="B59" s="11">
        <v>7083.0</v>
      </c>
    </row>
    <row r="60">
      <c r="A60" s="18" t="s">
        <v>156</v>
      </c>
      <c r="B60" s="11">
        <v>9307.0</v>
      </c>
    </row>
    <row r="61">
      <c r="A61" s="18" t="s">
        <v>157</v>
      </c>
      <c r="B61" s="11">
        <v>7124.0</v>
      </c>
      <c r="C61" s="11">
        <v>9307.0</v>
      </c>
    </row>
    <row r="62">
      <c r="A62" s="18" t="s">
        <v>158</v>
      </c>
      <c r="B62" s="11">
        <v>6924.0</v>
      </c>
    </row>
    <row r="63">
      <c r="A63" s="18" t="s">
        <v>159</v>
      </c>
      <c r="B63" s="11">
        <v>6924.0</v>
      </c>
    </row>
    <row r="64">
      <c r="A64" s="18" t="s">
        <v>160</v>
      </c>
      <c r="B64" s="11">
        <v>663.0</v>
      </c>
    </row>
    <row r="65">
      <c r="A65" s="18" t="s">
        <v>161</v>
      </c>
      <c r="B65" s="11">
        <v>663.0</v>
      </c>
    </row>
    <row r="66">
      <c r="A66" s="18" t="s">
        <v>162</v>
      </c>
      <c r="B66" s="11">
        <v>7100.0</v>
      </c>
    </row>
    <row r="67">
      <c r="A67" s="18" t="s">
        <v>163</v>
      </c>
      <c r="B67" s="11">
        <v>6875.0</v>
      </c>
    </row>
    <row r="68">
      <c r="A68" s="18" t="s">
        <v>164</v>
      </c>
      <c r="B68" s="11">
        <v>7157.0</v>
      </c>
    </row>
    <row r="69">
      <c r="A69" s="18" t="s">
        <v>165</v>
      </c>
      <c r="B69" s="11">
        <v>7023.0</v>
      </c>
      <c r="C69" s="11">
        <v>10616.0</v>
      </c>
    </row>
    <row r="70">
      <c r="A70" s="18" t="s">
        <v>166</v>
      </c>
      <c r="B70" s="11">
        <v>6143.0</v>
      </c>
    </row>
    <row r="71">
      <c r="A71" s="18" t="s">
        <v>167</v>
      </c>
      <c r="B71" s="11">
        <v>14482.0</v>
      </c>
    </row>
    <row r="72">
      <c r="A72" s="18" t="s">
        <v>168</v>
      </c>
      <c r="B72" s="11">
        <v>7100.0</v>
      </c>
    </row>
    <row r="73">
      <c r="A73" s="18" t="s">
        <v>169</v>
      </c>
      <c r="B73" s="11">
        <v>14482.0</v>
      </c>
    </row>
    <row r="74">
      <c r="A74" s="18" t="s">
        <v>170</v>
      </c>
      <c r="B74" s="11">
        <v>6829.0</v>
      </c>
    </row>
    <row r="75">
      <c r="A75" s="18" t="s">
        <v>171</v>
      </c>
      <c r="B75" s="11">
        <v>6936.0</v>
      </c>
    </row>
    <row r="76">
      <c r="A76" s="18" t="s">
        <v>172</v>
      </c>
      <c r="B76" s="11">
        <v>6831.0</v>
      </c>
    </row>
    <row r="77">
      <c r="A77" s="18" t="s">
        <v>173</v>
      </c>
      <c r="B77" s="11">
        <v>6887.0</v>
      </c>
    </row>
    <row r="78">
      <c r="A78" s="18" t="s">
        <v>174</v>
      </c>
      <c r="B78" s="11">
        <v>6802.0</v>
      </c>
    </row>
    <row r="79">
      <c r="A79" s="18" t="s">
        <v>175</v>
      </c>
      <c r="B79" s="11">
        <v>6774.0</v>
      </c>
    </row>
    <row r="80">
      <c r="A80" s="18" t="s">
        <v>176</v>
      </c>
      <c r="B80" s="11">
        <v>11875.0</v>
      </c>
    </row>
    <row r="81">
      <c r="A81" s="18" t="s">
        <v>177</v>
      </c>
      <c r="B81" s="11">
        <v>6728.0</v>
      </c>
    </row>
    <row r="82">
      <c r="A82" s="18" t="s">
        <v>178</v>
      </c>
      <c r="B82" s="11">
        <v>11601.0</v>
      </c>
    </row>
    <row r="83">
      <c r="A83" s="18" t="s">
        <v>179</v>
      </c>
      <c r="B83" s="11">
        <v>7229.0</v>
      </c>
    </row>
    <row r="84">
      <c r="A84" s="18" t="s">
        <v>180</v>
      </c>
      <c r="B84" s="11">
        <v>6811.0</v>
      </c>
    </row>
    <row r="85">
      <c r="A85" s="18" t="s">
        <v>181</v>
      </c>
      <c r="B85" s="11">
        <v>7083.0</v>
      </c>
      <c r="G85" s="11" t="s">
        <v>182</v>
      </c>
    </row>
    <row r="86">
      <c r="A86" s="18" t="s">
        <v>183</v>
      </c>
      <c r="B86" s="11">
        <v>7083.0</v>
      </c>
    </row>
    <row r="87">
      <c r="A87" s="18" t="s">
        <v>184</v>
      </c>
      <c r="B87" s="11">
        <v>12932.0</v>
      </c>
    </row>
    <row r="88">
      <c r="A88" s="18" t="s">
        <v>185</v>
      </c>
      <c r="B88" s="11">
        <v>10616.0</v>
      </c>
    </row>
    <row r="89">
      <c r="A89" s="18" t="s">
        <v>186</v>
      </c>
      <c r="B89" s="11">
        <v>6669.0</v>
      </c>
    </row>
    <row r="90">
      <c r="A90" s="18" t="s">
        <v>187</v>
      </c>
      <c r="B90" s="11">
        <v>5389.0</v>
      </c>
    </row>
    <row r="91">
      <c r="A91" s="18" t="s">
        <v>188</v>
      </c>
      <c r="B91" s="11">
        <v>6675.0</v>
      </c>
      <c r="C91" s="11">
        <v>6133.0</v>
      </c>
    </row>
    <row r="92">
      <c r="A92" s="18" t="s">
        <v>189</v>
      </c>
      <c r="B92" s="11">
        <v>14536.0</v>
      </c>
      <c r="C92" s="11">
        <v>6133.0</v>
      </c>
    </row>
    <row r="93">
      <c r="A93" s="18" t="s">
        <v>190</v>
      </c>
      <c r="B93" s="11">
        <v>8002.0</v>
      </c>
    </row>
    <row r="94">
      <c r="A94" s="18" t="s">
        <v>191</v>
      </c>
      <c r="B94" s="11">
        <v>2345.0</v>
      </c>
    </row>
    <row r="95">
      <c r="A95" s="18" t="s">
        <v>192</v>
      </c>
      <c r="B95" s="11">
        <v>2345.0</v>
      </c>
    </row>
    <row r="96">
      <c r="A96" s="18" t="s">
        <v>193</v>
      </c>
      <c r="B96" s="11">
        <v>2345.0</v>
      </c>
    </row>
    <row r="97">
      <c r="A97" s="18" t="s">
        <v>194</v>
      </c>
      <c r="B97" s="11">
        <v>2345.0</v>
      </c>
    </row>
    <row r="98">
      <c r="A98" s="18" t="s">
        <v>195</v>
      </c>
      <c r="B98" s="11">
        <v>2345.0</v>
      </c>
    </row>
    <row r="99">
      <c r="A99" s="18" t="s">
        <v>196</v>
      </c>
      <c r="B99" s="11">
        <v>2345.0</v>
      </c>
    </row>
    <row r="100">
      <c r="A100" s="18" t="s">
        <v>197</v>
      </c>
      <c r="B100" s="11">
        <v>6675.0</v>
      </c>
      <c r="C100" s="11">
        <v>7040.0</v>
      </c>
    </row>
    <row r="101">
      <c r="A101" s="18" t="s">
        <v>198</v>
      </c>
      <c r="B101" s="11">
        <v>14580.0</v>
      </c>
    </row>
    <row r="102">
      <c r="A102" s="18" t="s">
        <v>199</v>
      </c>
      <c r="B102" s="11">
        <v>6133.0</v>
      </c>
    </row>
    <row r="103">
      <c r="A103" s="18" t="s">
        <v>200</v>
      </c>
      <c r="B103" s="11">
        <v>14594.0</v>
      </c>
    </row>
    <row r="104">
      <c r="A104" s="18" t="s">
        <v>201</v>
      </c>
      <c r="B104" s="11">
        <v>10856.0</v>
      </c>
    </row>
    <row r="105">
      <c r="A105" s="18" t="s">
        <v>202</v>
      </c>
      <c r="B105" s="11">
        <v>8486.0</v>
      </c>
    </row>
    <row r="106">
      <c r="A106" s="18" t="s">
        <v>203</v>
      </c>
      <c r="B106" s="11">
        <v>5458.0</v>
      </c>
    </row>
    <row r="107">
      <c r="A107" s="18" t="s">
        <v>204</v>
      </c>
      <c r="B107" s="11">
        <v>5458.0</v>
      </c>
    </row>
    <row r="108">
      <c r="A108" s="18" t="s">
        <v>205</v>
      </c>
      <c r="B108" s="11">
        <v>5458.0</v>
      </c>
    </row>
    <row r="109">
      <c r="A109" s="7" t="s">
        <v>206</v>
      </c>
      <c r="B109" s="11">
        <v>11271.0</v>
      </c>
      <c r="C109" s="11" t="s">
        <v>207</v>
      </c>
    </row>
    <row r="110">
      <c r="A110" s="7" t="s">
        <v>208</v>
      </c>
      <c r="B110" s="11">
        <v>14263.0</v>
      </c>
      <c r="C110" s="11" t="s">
        <v>207</v>
      </c>
    </row>
    <row r="111">
      <c r="A111" s="7" t="s">
        <v>209</v>
      </c>
      <c r="B111" s="11">
        <v>14071.0</v>
      </c>
      <c r="C111" s="11" t="s">
        <v>207</v>
      </c>
    </row>
    <row r="112">
      <c r="A112" s="7" t="s">
        <v>210</v>
      </c>
      <c r="B112" s="11">
        <v>14673.0</v>
      </c>
      <c r="C112" s="11" t="s">
        <v>207</v>
      </c>
    </row>
    <row r="113">
      <c r="A113" s="7" t="s">
        <v>211</v>
      </c>
      <c r="B113" s="11">
        <v>8482.0</v>
      </c>
      <c r="C113" s="11" t="s">
        <v>207</v>
      </c>
    </row>
    <row r="114">
      <c r="A114" s="7" t="s">
        <v>212</v>
      </c>
      <c r="B114" s="11">
        <v>8253.0</v>
      </c>
      <c r="C114" s="11" t="s">
        <v>207</v>
      </c>
    </row>
    <row r="115">
      <c r="A115" s="7" t="s">
        <v>213</v>
      </c>
      <c r="B115" s="11">
        <v>14185.0</v>
      </c>
      <c r="C115" s="11" t="s">
        <v>207</v>
      </c>
    </row>
    <row r="116">
      <c r="A116" s="7" t="s">
        <v>214</v>
      </c>
      <c r="B116" s="11">
        <v>14649.0</v>
      </c>
      <c r="C116" s="11" t="s">
        <v>207</v>
      </c>
    </row>
    <row r="117">
      <c r="A117" s="7" t="s">
        <v>215</v>
      </c>
      <c r="B117" s="11">
        <v>14658.0</v>
      </c>
      <c r="C117" s="11" t="s">
        <v>207</v>
      </c>
    </row>
    <row r="118">
      <c r="A118" s="7" t="s">
        <v>216</v>
      </c>
      <c r="B118" s="11">
        <v>14681.0</v>
      </c>
      <c r="C118" s="11" t="s">
        <v>207</v>
      </c>
    </row>
    <row r="119">
      <c r="A119" s="7" t="s">
        <v>217</v>
      </c>
      <c r="B119" s="11">
        <v>6772.0</v>
      </c>
      <c r="C119" s="11" t="s">
        <v>207</v>
      </c>
    </row>
    <row r="120">
      <c r="A120" s="11" t="s">
        <v>218</v>
      </c>
      <c r="B120" s="11">
        <v>10856.0</v>
      </c>
    </row>
    <row r="121">
      <c r="A121" s="11" t="s">
        <v>219</v>
      </c>
      <c r="B121" s="11">
        <v>14594.0</v>
      </c>
    </row>
    <row r="122">
      <c r="A122" s="11" t="s">
        <v>220</v>
      </c>
      <c r="B122" s="11">
        <v>14663.0</v>
      </c>
    </row>
    <row r="123">
      <c r="A123" s="11" t="s">
        <v>43</v>
      </c>
      <c r="B123" s="11">
        <v>14727.0</v>
      </c>
    </row>
    <row r="124">
      <c r="A124" s="11" t="s">
        <v>221</v>
      </c>
      <c r="B124" s="11">
        <v>9999.0</v>
      </c>
    </row>
    <row r="125">
      <c r="A125" s="11" t="s">
        <v>222</v>
      </c>
      <c r="B125" s="11">
        <v>9999.0</v>
      </c>
    </row>
    <row r="126">
      <c r="A126" s="11" t="s">
        <v>223</v>
      </c>
      <c r="B126" s="11">
        <v>9999.0</v>
      </c>
    </row>
    <row r="127">
      <c r="A127" s="11" t="s">
        <v>224</v>
      </c>
      <c r="B127" s="11">
        <v>9999.0</v>
      </c>
    </row>
    <row r="128">
      <c r="A128" s="11" t="s">
        <v>225</v>
      </c>
      <c r="B128" s="11">
        <v>9999.0</v>
      </c>
    </row>
    <row r="129">
      <c r="A129" s="11" t="s">
        <v>226</v>
      </c>
      <c r="B129" s="11">
        <v>9999.0</v>
      </c>
    </row>
    <row r="130">
      <c r="A130" s="11" t="s">
        <v>227</v>
      </c>
      <c r="B130" s="11">
        <v>9999.0</v>
      </c>
    </row>
    <row r="131">
      <c r="A131" s="11" t="s">
        <v>228</v>
      </c>
      <c r="B131" s="11">
        <v>9999.0</v>
      </c>
    </row>
    <row r="132">
      <c r="A132" s="11" t="s">
        <v>229</v>
      </c>
      <c r="B132" s="11">
        <v>9999.0</v>
      </c>
    </row>
    <row r="133">
      <c r="A133" s="11" t="s">
        <v>230</v>
      </c>
      <c r="B133" s="11">
        <v>14770.0</v>
      </c>
    </row>
    <row r="134">
      <c r="A134" s="11" t="s">
        <v>231</v>
      </c>
      <c r="B134" s="11">
        <v>14735.0</v>
      </c>
    </row>
    <row r="135">
      <c r="A135" s="11" t="s">
        <v>232</v>
      </c>
      <c r="B135" s="16">
        <v>14734.0</v>
      </c>
    </row>
    <row r="136">
      <c r="A136" s="11" t="s">
        <v>233</v>
      </c>
      <c r="B136" s="11">
        <v>14734.0</v>
      </c>
    </row>
    <row r="137">
      <c r="A137" s="11" t="s">
        <v>234</v>
      </c>
      <c r="B137" s="11">
        <v>14734.0</v>
      </c>
    </row>
    <row r="138">
      <c r="A138" s="11" t="s">
        <v>235</v>
      </c>
      <c r="B138" s="11">
        <v>3607.0</v>
      </c>
    </row>
    <row r="139">
      <c r="A139" s="11" t="s">
        <v>236</v>
      </c>
      <c r="B139" s="11">
        <v>3607.0</v>
      </c>
    </row>
    <row r="140">
      <c r="A140" s="11" t="s">
        <v>237</v>
      </c>
      <c r="B140" s="11">
        <v>3607.0</v>
      </c>
    </row>
    <row r="141">
      <c r="A141" s="11" t="s">
        <v>238</v>
      </c>
      <c r="B141" s="11">
        <v>3607.0</v>
      </c>
    </row>
    <row r="142">
      <c r="A142" s="11" t="s">
        <v>239</v>
      </c>
      <c r="B142" s="11">
        <v>3607.0</v>
      </c>
    </row>
    <row r="143">
      <c r="A143" s="11" t="s">
        <v>240</v>
      </c>
      <c r="B143" s="11">
        <v>3607.0</v>
      </c>
    </row>
    <row r="144">
      <c r="A144" s="11" t="s">
        <v>241</v>
      </c>
    </row>
    <row r="145">
      <c r="A145" s="11" t="s">
        <v>242</v>
      </c>
      <c r="B145" s="11">
        <v>10861.0</v>
      </c>
    </row>
    <row r="146">
      <c r="A146" s="11" t="s">
        <v>243</v>
      </c>
    </row>
    <row r="147">
      <c r="A147" s="11" t="s">
        <v>244</v>
      </c>
    </row>
    <row r="148">
      <c r="A148" s="11" t="s">
        <v>245</v>
      </c>
      <c r="B148" s="11">
        <v>12932.0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8" width="25.63"/>
    <col hidden="1" min="10" max="18" width="12.63"/>
    <col customWidth="1" hidden="1" min="19" max="19" width="25.63"/>
    <col hidden="1" min="20" max="30" width="12.63"/>
  </cols>
  <sheetData>
    <row r="1">
      <c r="A1" s="12" t="s">
        <v>44</v>
      </c>
      <c r="B1" s="12" t="s">
        <v>1</v>
      </c>
      <c r="C1" s="19" t="s">
        <v>246</v>
      </c>
      <c r="D1" s="20" t="s">
        <v>247</v>
      </c>
      <c r="E1" s="20" t="s">
        <v>248</v>
      </c>
      <c r="F1" s="20" t="s">
        <v>249</v>
      </c>
      <c r="G1" s="20" t="s">
        <v>250</v>
      </c>
      <c r="H1" s="19" t="s">
        <v>251</v>
      </c>
      <c r="J1" s="21"/>
      <c r="Q1" s="22" t="s">
        <v>182</v>
      </c>
      <c r="R1" s="23" t="s">
        <v>1</v>
      </c>
      <c r="S1" s="11" t="s">
        <v>252</v>
      </c>
    </row>
    <row r="2">
      <c r="A2" s="24" t="s">
        <v>253</v>
      </c>
      <c r="B2" s="25">
        <v>986.0</v>
      </c>
      <c r="C2" s="26">
        <v>0.15</v>
      </c>
      <c r="D2" s="9">
        <v>1283.0</v>
      </c>
      <c r="E2" s="26">
        <v>0.8</v>
      </c>
      <c r="F2" s="26">
        <v>0.8</v>
      </c>
      <c r="G2" s="27" t="s">
        <v>254</v>
      </c>
      <c r="H2" s="28">
        <v>46022.0</v>
      </c>
      <c r="J2" s="29"/>
      <c r="Q2" s="30" t="s">
        <v>253</v>
      </c>
      <c r="R2" s="11">
        <v>986.0</v>
      </c>
      <c r="S2" s="18">
        <v>1.0</v>
      </c>
    </row>
    <row r="3">
      <c r="A3" s="24" t="s">
        <v>255</v>
      </c>
      <c r="B3" s="25">
        <v>14663.0</v>
      </c>
      <c r="C3" s="26">
        <v>0.15</v>
      </c>
      <c r="D3" s="9">
        <v>1283.0</v>
      </c>
      <c r="E3" s="31">
        <v>0.7</v>
      </c>
      <c r="F3" s="31">
        <v>0.7</v>
      </c>
      <c r="G3" s="27" t="s">
        <v>254</v>
      </c>
      <c r="H3" s="28">
        <v>46022.0</v>
      </c>
      <c r="J3" s="29"/>
      <c r="Q3" s="32" t="s">
        <v>255</v>
      </c>
      <c r="R3" s="11">
        <v>189.0</v>
      </c>
      <c r="S3" s="18">
        <v>1.0</v>
      </c>
    </row>
    <row r="4">
      <c r="A4" s="24" t="s">
        <v>256</v>
      </c>
      <c r="B4" s="25">
        <v>6728.0</v>
      </c>
      <c r="C4" s="26">
        <v>0.15</v>
      </c>
      <c r="D4" s="9">
        <v>1283.0</v>
      </c>
      <c r="E4" s="31">
        <v>0.7</v>
      </c>
      <c r="F4" s="31">
        <v>0.7</v>
      </c>
      <c r="G4" s="27" t="s">
        <v>254</v>
      </c>
      <c r="H4" s="28">
        <v>46022.0</v>
      </c>
      <c r="I4" s="33"/>
      <c r="J4" s="29"/>
      <c r="Q4" s="30" t="s">
        <v>256</v>
      </c>
      <c r="R4" s="11">
        <v>6728.0</v>
      </c>
      <c r="S4" s="18">
        <v>1.0</v>
      </c>
    </row>
    <row r="5">
      <c r="A5" s="24" t="s">
        <v>257</v>
      </c>
      <c r="B5" s="25">
        <v>8486.0</v>
      </c>
      <c r="C5" s="26">
        <v>0.15</v>
      </c>
      <c r="D5" s="9">
        <v>1283.0</v>
      </c>
      <c r="E5" s="31">
        <v>0.7</v>
      </c>
      <c r="F5" s="31">
        <v>0.7</v>
      </c>
      <c r="G5" s="27" t="s">
        <v>254</v>
      </c>
      <c r="H5" s="28">
        <v>46022.0</v>
      </c>
      <c r="I5" s="33"/>
      <c r="J5" s="29"/>
      <c r="Q5" s="34" t="s">
        <v>257</v>
      </c>
      <c r="R5" s="35">
        <v>7492.0</v>
      </c>
      <c r="S5" s="36" t="e">
        <v>#N/A</v>
      </c>
    </row>
    <row r="6">
      <c r="A6" s="24" t="s">
        <v>258</v>
      </c>
      <c r="B6" s="37">
        <v>6722.0</v>
      </c>
      <c r="C6" s="26">
        <v>0.15</v>
      </c>
      <c r="D6" s="9">
        <v>1283.0</v>
      </c>
      <c r="E6" s="31">
        <v>0.7</v>
      </c>
      <c r="F6" s="31">
        <v>0.7</v>
      </c>
      <c r="G6" s="27" t="s">
        <v>254</v>
      </c>
      <c r="H6" s="28">
        <v>46022.0</v>
      </c>
      <c r="I6" s="33"/>
      <c r="J6" s="29"/>
      <c r="Q6" s="34" t="s">
        <v>258</v>
      </c>
      <c r="R6" s="11">
        <v>6133.0</v>
      </c>
      <c r="S6" s="36" t="e">
        <v>#N/A</v>
      </c>
      <c r="T6" s="35">
        <v>14033.0</v>
      </c>
      <c r="U6" s="11">
        <v>6133.0</v>
      </c>
    </row>
    <row r="7">
      <c r="A7" s="24" t="s">
        <v>259</v>
      </c>
      <c r="B7" s="25">
        <v>663.0</v>
      </c>
      <c r="C7" s="26">
        <v>0.15</v>
      </c>
      <c r="D7" s="9">
        <v>1283.0</v>
      </c>
      <c r="E7" s="31">
        <v>0.7</v>
      </c>
      <c r="F7" s="31">
        <v>0.7</v>
      </c>
      <c r="G7" s="27" t="s">
        <v>254</v>
      </c>
      <c r="H7" s="28">
        <v>46022.0</v>
      </c>
      <c r="I7" s="33"/>
      <c r="J7" s="29"/>
      <c r="Q7" s="32" t="s">
        <v>259</v>
      </c>
      <c r="R7" s="11">
        <v>663.0</v>
      </c>
      <c r="S7" s="18">
        <v>1.0</v>
      </c>
    </row>
    <row r="8">
      <c r="A8" s="24" t="s">
        <v>260</v>
      </c>
      <c r="B8" s="37">
        <v>14480.0</v>
      </c>
      <c r="C8" s="26">
        <v>0.15</v>
      </c>
      <c r="D8" s="9">
        <v>1283.0</v>
      </c>
      <c r="E8" s="31">
        <v>0.7</v>
      </c>
      <c r="F8" s="31">
        <v>0.7</v>
      </c>
      <c r="G8" s="27" t="s">
        <v>254</v>
      </c>
      <c r="H8" s="28">
        <v>46022.0</v>
      </c>
      <c r="I8" s="33"/>
      <c r="J8" s="29"/>
      <c r="Q8" s="34" t="s">
        <v>260</v>
      </c>
      <c r="R8" s="35">
        <v>6675.0</v>
      </c>
      <c r="S8" s="36" t="e">
        <v>#N/A</v>
      </c>
    </row>
    <row r="9">
      <c r="A9" s="24" t="s">
        <v>261</v>
      </c>
      <c r="B9" s="25">
        <v>3607.0</v>
      </c>
      <c r="C9" s="26">
        <v>0.15</v>
      </c>
      <c r="D9" s="9">
        <v>1283.0</v>
      </c>
      <c r="E9" s="31">
        <v>0.7</v>
      </c>
      <c r="F9" s="31">
        <v>0.7</v>
      </c>
      <c r="G9" s="27" t="s">
        <v>254</v>
      </c>
      <c r="H9" s="28">
        <v>46022.0</v>
      </c>
      <c r="I9" s="33"/>
      <c r="J9" s="29"/>
      <c r="Q9" s="30" t="s">
        <v>261</v>
      </c>
      <c r="R9" s="11">
        <v>3607.0</v>
      </c>
      <c r="S9" s="18">
        <v>1.0</v>
      </c>
      <c r="T9" s="11"/>
      <c r="U9" s="11">
        <v>7492.0</v>
      </c>
    </row>
    <row r="10">
      <c r="A10" s="24" t="s">
        <v>262</v>
      </c>
      <c r="B10" s="25">
        <v>3607.0</v>
      </c>
      <c r="C10" s="26">
        <v>0.15</v>
      </c>
      <c r="D10" s="9">
        <v>1283.0</v>
      </c>
      <c r="E10" s="31">
        <v>0.7</v>
      </c>
      <c r="F10" s="31">
        <v>0.7</v>
      </c>
      <c r="G10" s="27" t="s">
        <v>254</v>
      </c>
      <c r="H10" s="28">
        <v>46022.0</v>
      </c>
      <c r="I10" s="33"/>
      <c r="J10" s="29"/>
      <c r="Q10" s="30" t="s">
        <v>262</v>
      </c>
      <c r="R10" s="11">
        <v>3607.0</v>
      </c>
      <c r="S10" s="18">
        <v>1.0</v>
      </c>
    </row>
    <row r="11">
      <c r="A11" s="24" t="s">
        <v>263</v>
      </c>
      <c r="B11" s="25">
        <v>2345.0</v>
      </c>
      <c r="C11" s="26">
        <v>0.15</v>
      </c>
      <c r="D11" s="9">
        <v>1283.0</v>
      </c>
      <c r="E11" s="31">
        <v>0.9</v>
      </c>
      <c r="F11" s="31">
        <v>0.9</v>
      </c>
      <c r="G11" s="27" t="s">
        <v>254</v>
      </c>
      <c r="H11" s="28">
        <v>46022.0</v>
      </c>
      <c r="I11" s="33"/>
      <c r="J11" s="29"/>
      <c r="Q11" s="34" t="s">
        <v>263</v>
      </c>
      <c r="R11" s="35">
        <v>12941.0</v>
      </c>
      <c r="S11" s="36" t="e">
        <v>#N/A</v>
      </c>
    </row>
    <row r="12">
      <c r="A12" s="24" t="s">
        <v>264</v>
      </c>
      <c r="B12" s="25">
        <v>7157.0</v>
      </c>
      <c r="C12" s="26">
        <v>0.15</v>
      </c>
      <c r="D12" s="9">
        <v>1283.0</v>
      </c>
      <c r="E12" s="31">
        <v>0.7</v>
      </c>
      <c r="F12" s="31">
        <v>0.7</v>
      </c>
      <c r="G12" s="27" t="s">
        <v>254</v>
      </c>
      <c r="H12" s="28">
        <v>46022.0</v>
      </c>
      <c r="I12" s="33"/>
      <c r="J12" s="29"/>
      <c r="Q12" s="30" t="s">
        <v>264</v>
      </c>
      <c r="R12" s="11">
        <v>7157.0</v>
      </c>
      <c r="S12" s="18">
        <v>1.0</v>
      </c>
    </row>
    <row r="13">
      <c r="A13" s="24" t="s">
        <v>265</v>
      </c>
      <c r="B13" s="25">
        <v>6924.0</v>
      </c>
      <c r="C13" s="26">
        <v>0.15</v>
      </c>
      <c r="D13" s="9">
        <v>1283.0</v>
      </c>
      <c r="E13" s="31">
        <v>0.7</v>
      </c>
      <c r="F13" s="31">
        <v>0.7</v>
      </c>
      <c r="G13" s="27" t="s">
        <v>254</v>
      </c>
      <c r="H13" s="28">
        <v>46022.0</v>
      </c>
      <c r="I13" s="33"/>
      <c r="J13" s="29"/>
      <c r="Q13" s="30" t="s">
        <v>265</v>
      </c>
      <c r="R13" s="11">
        <v>6924.0</v>
      </c>
      <c r="S13" s="18">
        <v>1.0</v>
      </c>
    </row>
    <row r="14">
      <c r="A14" s="24" t="s">
        <v>266</v>
      </c>
      <c r="B14" s="37">
        <v>6133.0</v>
      </c>
      <c r="C14" s="26">
        <v>0.15</v>
      </c>
      <c r="D14" s="9">
        <v>1283.0</v>
      </c>
      <c r="E14" s="31">
        <v>0.7</v>
      </c>
      <c r="F14" s="31">
        <v>0.7</v>
      </c>
      <c r="G14" s="27" t="s">
        <v>254</v>
      </c>
      <c r="H14" s="28">
        <v>46022.0</v>
      </c>
      <c r="I14" s="33"/>
      <c r="J14" s="29"/>
      <c r="Q14" s="34" t="s">
        <v>266</v>
      </c>
      <c r="R14" s="35">
        <v>12936.0</v>
      </c>
      <c r="S14" s="36" t="e">
        <v>#N/A</v>
      </c>
    </row>
    <row r="15">
      <c r="A15" s="24" t="s">
        <v>267</v>
      </c>
      <c r="B15" s="25">
        <v>2345.0</v>
      </c>
      <c r="C15" s="26">
        <v>0.15</v>
      </c>
      <c r="D15" s="9">
        <v>1283.0</v>
      </c>
      <c r="E15" s="38">
        <v>0.9</v>
      </c>
      <c r="F15" s="38">
        <v>0.9</v>
      </c>
      <c r="G15" s="27" t="s">
        <v>254</v>
      </c>
      <c r="H15" s="28">
        <v>46022.0</v>
      </c>
      <c r="I15" s="33"/>
      <c r="J15" s="29"/>
      <c r="Q15" s="34" t="s">
        <v>267</v>
      </c>
      <c r="R15" s="35">
        <v>8199.0</v>
      </c>
      <c r="S15" s="36" t="e">
        <v>#N/A</v>
      </c>
    </row>
    <row r="16">
      <c r="A16" s="24" t="s">
        <v>268</v>
      </c>
      <c r="B16" s="25">
        <v>283.0</v>
      </c>
      <c r="C16" s="26">
        <v>0.15</v>
      </c>
      <c r="D16" s="9">
        <v>1283.0</v>
      </c>
      <c r="E16" s="31">
        <v>0.7</v>
      </c>
      <c r="F16" s="31">
        <v>0.7</v>
      </c>
      <c r="G16" s="27" t="s">
        <v>254</v>
      </c>
      <c r="H16" s="28">
        <v>46022.0</v>
      </c>
      <c r="I16" s="33"/>
      <c r="J16" s="29"/>
      <c r="Q16" s="32" t="s">
        <v>268</v>
      </c>
      <c r="R16" s="11">
        <v>283.0</v>
      </c>
      <c r="S16" s="18">
        <v>1.0</v>
      </c>
    </row>
    <row r="17">
      <c r="A17" s="25" t="s">
        <v>269</v>
      </c>
      <c r="B17" s="25">
        <v>14465.0</v>
      </c>
      <c r="C17" s="26">
        <v>0.15</v>
      </c>
      <c r="D17" s="9">
        <v>1283.0</v>
      </c>
      <c r="E17" s="31">
        <v>1.0</v>
      </c>
      <c r="F17" s="31">
        <v>1.0</v>
      </c>
      <c r="G17" s="27" t="s">
        <v>254</v>
      </c>
      <c r="H17" s="28">
        <v>46022.0</v>
      </c>
      <c r="I17" s="33"/>
      <c r="J17" s="29"/>
      <c r="Q17" s="35" t="s">
        <v>269</v>
      </c>
      <c r="R17" s="35">
        <v>14337.0</v>
      </c>
      <c r="S17" s="36" t="e">
        <v>#N/A</v>
      </c>
      <c r="T17" s="11"/>
      <c r="U17" s="11">
        <v>7010.0</v>
      </c>
    </row>
    <row r="18">
      <c r="A18" s="24" t="s">
        <v>270</v>
      </c>
      <c r="B18" s="25">
        <v>14727.0</v>
      </c>
      <c r="C18" s="26">
        <v>0.15</v>
      </c>
      <c r="D18" s="9">
        <v>1283.0</v>
      </c>
      <c r="E18" s="31">
        <v>0.7</v>
      </c>
      <c r="F18" s="31">
        <v>0.7</v>
      </c>
      <c r="G18" s="27" t="s">
        <v>254</v>
      </c>
      <c r="H18" s="28">
        <v>46022.0</v>
      </c>
      <c r="I18" s="33"/>
      <c r="J18" s="29"/>
      <c r="Q18" s="34" t="s">
        <v>270</v>
      </c>
      <c r="R18" s="35">
        <v>9307.0</v>
      </c>
      <c r="S18" s="36" t="e">
        <v>#N/A</v>
      </c>
    </row>
    <row r="19">
      <c r="A19" s="25" t="s">
        <v>271</v>
      </c>
      <c r="B19" s="25">
        <v>7142.0</v>
      </c>
      <c r="C19" s="26">
        <v>0.15</v>
      </c>
      <c r="D19" s="9">
        <v>1283.0</v>
      </c>
      <c r="E19" s="31">
        <v>0.7</v>
      </c>
      <c r="F19" s="31">
        <v>0.7</v>
      </c>
      <c r="G19" s="27" t="s">
        <v>254</v>
      </c>
      <c r="H19" s="28">
        <v>46022.0</v>
      </c>
      <c r="I19" s="33"/>
      <c r="J19" s="29"/>
      <c r="Q19" s="35" t="s">
        <v>271</v>
      </c>
      <c r="R19" s="35">
        <v>7142.0</v>
      </c>
      <c r="S19" s="18">
        <v>1.0</v>
      </c>
      <c r="T19" s="35">
        <v>7010.0</v>
      </c>
    </row>
    <row r="20">
      <c r="A20" s="24" t="s">
        <v>272</v>
      </c>
      <c r="B20" s="25">
        <v>2345.0</v>
      </c>
      <c r="C20" s="26">
        <v>0.15</v>
      </c>
      <c r="D20" s="9">
        <v>1283.0</v>
      </c>
      <c r="E20" s="31">
        <v>0.9</v>
      </c>
      <c r="F20" s="31">
        <v>0.9</v>
      </c>
      <c r="G20" s="27" t="s">
        <v>254</v>
      </c>
      <c r="H20" s="28">
        <v>46022.0</v>
      </c>
      <c r="I20" s="33"/>
      <c r="J20" s="29"/>
      <c r="Q20" s="34" t="s">
        <v>272</v>
      </c>
      <c r="R20" s="35">
        <v>14065.0</v>
      </c>
      <c r="S20" s="36" t="e">
        <v>#N/A</v>
      </c>
    </row>
    <row r="21">
      <c r="A21" s="25" t="s">
        <v>273</v>
      </c>
      <c r="B21" s="25">
        <v>6875.0</v>
      </c>
      <c r="C21" s="26">
        <v>0.15</v>
      </c>
      <c r="D21" s="9">
        <v>1283.0</v>
      </c>
      <c r="E21" s="31">
        <v>0.7</v>
      </c>
      <c r="F21" s="31">
        <v>0.7</v>
      </c>
      <c r="G21" s="27" t="s">
        <v>254</v>
      </c>
      <c r="H21" s="28">
        <v>46022.0</v>
      </c>
      <c r="J21" s="39"/>
      <c r="Q21" s="11" t="s">
        <v>273</v>
      </c>
      <c r="R21" s="11">
        <v>6875.0</v>
      </c>
      <c r="S21" s="18">
        <v>1.0</v>
      </c>
    </row>
    <row r="22">
      <c r="A22" s="24" t="s">
        <v>274</v>
      </c>
      <c r="B22" s="25">
        <v>5458.0</v>
      </c>
      <c r="C22" s="26">
        <v>0.15</v>
      </c>
      <c r="D22" s="9">
        <v>1283.0</v>
      </c>
      <c r="E22" s="31">
        <v>0.7</v>
      </c>
      <c r="F22" s="31">
        <v>0.7</v>
      </c>
      <c r="G22" s="27" t="s">
        <v>254</v>
      </c>
      <c r="H22" s="28">
        <v>46022.0</v>
      </c>
      <c r="K22" s="21"/>
      <c r="L22" s="40"/>
      <c r="Q22" s="30" t="s">
        <v>274</v>
      </c>
      <c r="R22" s="11">
        <v>5458.0</v>
      </c>
      <c r="S22" s="18">
        <v>1.0</v>
      </c>
    </row>
    <row r="23">
      <c r="A23" s="25" t="s">
        <v>275</v>
      </c>
      <c r="B23" s="25">
        <v>5458.0</v>
      </c>
      <c r="C23" s="26">
        <v>0.15</v>
      </c>
      <c r="D23" s="9">
        <v>1283.0</v>
      </c>
      <c r="E23" s="31">
        <v>0.7</v>
      </c>
      <c r="F23" s="31">
        <v>0.7</v>
      </c>
      <c r="G23" s="27" t="s">
        <v>254</v>
      </c>
      <c r="H23" s="28">
        <v>46022.0</v>
      </c>
      <c r="L23" s="41"/>
      <c r="Q23" s="37" t="s">
        <v>275</v>
      </c>
      <c r="R23" s="11">
        <v>5458.0</v>
      </c>
      <c r="S23" s="18">
        <v>1.0</v>
      </c>
    </row>
    <row r="24">
      <c r="A24" s="24" t="s">
        <v>276</v>
      </c>
      <c r="B24" s="42">
        <v>767.0</v>
      </c>
      <c r="C24" s="26">
        <v>0.15</v>
      </c>
      <c r="D24" s="9">
        <v>1283.0</v>
      </c>
      <c r="E24" s="31">
        <v>0.7</v>
      </c>
      <c r="F24" s="31">
        <v>0.7</v>
      </c>
      <c r="G24" s="27" t="s">
        <v>254</v>
      </c>
      <c r="H24" s="28">
        <v>46022.0</v>
      </c>
      <c r="L24" s="41"/>
      <c r="Q24" s="34" t="s">
        <v>276</v>
      </c>
      <c r="R24" s="43">
        <v>767.0</v>
      </c>
      <c r="S24" s="36" t="e">
        <v>#N/A</v>
      </c>
      <c r="T24" s="11"/>
      <c r="U24" s="11">
        <v>5458.0</v>
      </c>
    </row>
    <row r="25">
      <c r="A25" s="25" t="s">
        <v>277</v>
      </c>
      <c r="B25" s="25">
        <v>6873.0</v>
      </c>
      <c r="C25" s="26">
        <v>0.15</v>
      </c>
      <c r="D25" s="9">
        <v>1283.0</v>
      </c>
      <c r="E25" s="31">
        <v>0.7</v>
      </c>
      <c r="F25" s="31">
        <v>0.7</v>
      </c>
      <c r="G25" s="27" t="s">
        <v>254</v>
      </c>
      <c r="H25" s="28">
        <v>46022.0</v>
      </c>
      <c r="L25" s="41"/>
      <c r="Q25" s="11" t="s">
        <v>277</v>
      </c>
      <c r="R25" s="11">
        <v>6873.0</v>
      </c>
      <c r="S25" s="18">
        <v>1.0</v>
      </c>
    </row>
    <row r="26">
      <c r="A26" s="24" t="s">
        <v>278</v>
      </c>
      <c r="B26" s="25">
        <v>6729.0</v>
      </c>
      <c r="C26" s="26">
        <v>0.15</v>
      </c>
      <c r="D26" s="9">
        <v>1283.0</v>
      </c>
      <c r="E26" s="31">
        <v>0.8</v>
      </c>
      <c r="F26" s="31">
        <v>0.8</v>
      </c>
      <c r="G26" s="27" t="s">
        <v>254</v>
      </c>
      <c r="H26" s="28">
        <v>46022.0</v>
      </c>
      <c r="L26" s="41"/>
      <c r="Q26" s="30" t="s">
        <v>278</v>
      </c>
      <c r="R26" s="9">
        <v>6729.0</v>
      </c>
      <c r="S26" s="18">
        <v>1.0</v>
      </c>
    </row>
    <row r="27">
      <c r="A27" s="25" t="s">
        <v>279</v>
      </c>
      <c r="B27" s="25">
        <v>13858.0</v>
      </c>
      <c r="C27" s="26">
        <v>0.15</v>
      </c>
      <c r="D27" s="9">
        <v>1283.0</v>
      </c>
      <c r="E27" s="31">
        <v>0.7</v>
      </c>
      <c r="F27" s="31">
        <v>0.7</v>
      </c>
      <c r="G27" s="27" t="s">
        <v>254</v>
      </c>
      <c r="H27" s="28">
        <v>46022.0</v>
      </c>
      <c r="L27" s="41"/>
      <c r="Q27" s="35" t="s">
        <v>279</v>
      </c>
      <c r="R27" s="35">
        <v>13858.0</v>
      </c>
      <c r="S27" s="18">
        <v>1.0</v>
      </c>
    </row>
    <row r="28">
      <c r="A28" s="24" t="s">
        <v>280</v>
      </c>
      <c r="B28" s="25">
        <v>6726.0</v>
      </c>
      <c r="C28" s="26">
        <v>0.15</v>
      </c>
      <c r="D28" s="9">
        <v>1283.0</v>
      </c>
      <c r="E28" s="31">
        <v>0.7</v>
      </c>
      <c r="F28" s="31">
        <v>0.7</v>
      </c>
      <c r="G28" s="27" t="s">
        <v>254</v>
      </c>
      <c r="H28" s="28">
        <v>46022.0</v>
      </c>
      <c r="L28" s="41"/>
      <c r="Q28" s="34" t="s">
        <v>280</v>
      </c>
      <c r="R28" s="35">
        <v>6726.0</v>
      </c>
      <c r="S28" s="36" t="e">
        <v>#N/A</v>
      </c>
    </row>
    <row r="29">
      <c r="A29" s="25" t="s">
        <v>281</v>
      </c>
      <c r="B29" s="25">
        <v>2345.0</v>
      </c>
      <c r="C29" s="26">
        <v>0.15</v>
      </c>
      <c r="D29" s="9">
        <v>1283.0</v>
      </c>
      <c r="E29" s="31">
        <v>0.9</v>
      </c>
      <c r="F29" s="31">
        <v>0.9</v>
      </c>
      <c r="G29" s="27" t="s">
        <v>254</v>
      </c>
      <c r="H29" s="28">
        <v>46022.0</v>
      </c>
      <c r="L29" s="41"/>
      <c r="Q29" s="35" t="s">
        <v>281</v>
      </c>
      <c r="R29" s="35">
        <v>7100.0</v>
      </c>
      <c r="S29" s="36" t="e">
        <v>#N/A</v>
      </c>
    </row>
    <row r="30">
      <c r="A30" s="24" t="s">
        <v>282</v>
      </c>
      <c r="B30" s="25">
        <v>2345.0</v>
      </c>
      <c r="C30" s="26">
        <v>0.15</v>
      </c>
      <c r="D30" s="9">
        <v>1283.0</v>
      </c>
      <c r="E30" s="31">
        <v>0.9</v>
      </c>
      <c r="F30" s="31">
        <v>0.9</v>
      </c>
      <c r="G30" s="27" t="s">
        <v>254</v>
      </c>
      <c r="H30" s="28">
        <v>46022.0</v>
      </c>
      <c r="I30" s="44"/>
      <c r="L30" s="41"/>
      <c r="Q30" s="30" t="s">
        <v>282</v>
      </c>
      <c r="R30" s="11">
        <v>2345.0</v>
      </c>
    </row>
    <row r="31">
      <c r="A31" s="24" t="s">
        <v>283</v>
      </c>
      <c r="B31" s="25">
        <v>12277.0</v>
      </c>
      <c r="C31" s="26">
        <v>0.15</v>
      </c>
      <c r="D31" s="9">
        <v>1283.0</v>
      </c>
      <c r="E31" s="31">
        <v>0.7</v>
      </c>
      <c r="F31" s="31">
        <v>0.7</v>
      </c>
      <c r="G31" s="27" t="s">
        <v>254</v>
      </c>
      <c r="H31" s="28">
        <v>46022.0</v>
      </c>
      <c r="I31" s="44" t="s">
        <v>207</v>
      </c>
      <c r="L31" s="41"/>
      <c r="Q31" s="30"/>
      <c r="R31" s="11"/>
    </row>
    <row r="32">
      <c r="A32" s="37" t="s">
        <v>284</v>
      </c>
      <c r="B32" s="45"/>
      <c r="C32" s="9" t="s">
        <v>285</v>
      </c>
      <c r="D32" s="9">
        <v>1283.0</v>
      </c>
      <c r="E32" s="31">
        <v>0.7</v>
      </c>
      <c r="F32" s="31">
        <v>0.7</v>
      </c>
      <c r="G32" s="27" t="s">
        <v>254</v>
      </c>
      <c r="H32" s="28">
        <v>46022.0</v>
      </c>
      <c r="I32" s="45"/>
      <c r="J32" s="46"/>
      <c r="K32" s="46"/>
      <c r="L32" s="47"/>
      <c r="M32" s="46"/>
      <c r="N32" s="46"/>
      <c r="O32" s="46"/>
      <c r="P32" s="46"/>
      <c r="Q32" s="46"/>
      <c r="R32" s="46"/>
      <c r="S32" s="46"/>
      <c r="T32" s="46"/>
      <c r="U32" s="46"/>
      <c r="V32" s="46"/>
      <c r="W32" s="46"/>
      <c r="X32" s="46"/>
      <c r="Y32" s="46"/>
      <c r="Z32" s="46"/>
      <c r="AA32" s="46"/>
      <c r="AB32" s="46"/>
      <c r="AC32" s="46"/>
      <c r="AD32" s="46"/>
    </row>
    <row r="33">
      <c r="A33" s="37" t="s">
        <v>286</v>
      </c>
      <c r="B33" s="45"/>
      <c r="C33" s="9" t="s">
        <v>285</v>
      </c>
      <c r="D33" s="9">
        <v>1283.0</v>
      </c>
      <c r="E33" s="31">
        <v>0.7</v>
      </c>
      <c r="F33" s="31">
        <v>0.7</v>
      </c>
      <c r="G33" s="27" t="s">
        <v>254</v>
      </c>
      <c r="H33" s="28">
        <v>46022.0</v>
      </c>
      <c r="I33" s="37">
        <v>6133.0</v>
      </c>
      <c r="J33" s="46"/>
      <c r="K33" s="46"/>
      <c r="L33" s="47"/>
      <c r="M33" s="46"/>
      <c r="N33" s="46"/>
      <c r="O33" s="46"/>
      <c r="P33" s="46"/>
      <c r="Q33" s="46"/>
      <c r="R33" s="46"/>
      <c r="S33" s="46"/>
      <c r="T33" s="46"/>
      <c r="U33" s="46"/>
      <c r="V33" s="46"/>
      <c r="W33" s="46"/>
      <c r="X33" s="46"/>
      <c r="Y33" s="46"/>
      <c r="Z33" s="46"/>
      <c r="AA33" s="46"/>
      <c r="AB33" s="46"/>
      <c r="AC33" s="46"/>
      <c r="AD33" s="46"/>
    </row>
    <row r="34">
      <c r="A34" s="37" t="s">
        <v>287</v>
      </c>
      <c r="B34" s="45"/>
      <c r="C34" s="9" t="s">
        <v>285</v>
      </c>
      <c r="D34" s="9">
        <v>1283.0</v>
      </c>
      <c r="E34" s="31">
        <v>0.7</v>
      </c>
      <c r="F34" s="31">
        <v>0.7</v>
      </c>
      <c r="G34" s="27" t="s">
        <v>254</v>
      </c>
      <c r="H34" s="28">
        <v>46022.0</v>
      </c>
      <c r="I34" s="37">
        <v>14480.0</v>
      </c>
      <c r="J34" s="46"/>
      <c r="K34" s="46"/>
      <c r="L34" s="47"/>
      <c r="M34" s="46"/>
      <c r="N34" s="46"/>
      <c r="O34" s="46"/>
      <c r="P34" s="46"/>
      <c r="Q34" s="46"/>
      <c r="R34" s="46"/>
      <c r="S34" s="46"/>
      <c r="T34" s="46"/>
      <c r="U34" s="46"/>
      <c r="V34" s="46"/>
      <c r="W34" s="46"/>
      <c r="X34" s="46"/>
      <c r="Y34" s="46"/>
      <c r="Z34" s="46"/>
      <c r="AA34" s="46"/>
      <c r="AB34" s="46"/>
      <c r="AC34" s="46"/>
      <c r="AD34" s="46"/>
    </row>
    <row r="35">
      <c r="A35" s="37" t="s">
        <v>288</v>
      </c>
      <c r="B35" s="45"/>
      <c r="C35" s="9" t="s">
        <v>285</v>
      </c>
      <c r="D35" s="9">
        <v>1283.0</v>
      </c>
      <c r="E35" s="31">
        <v>0.7</v>
      </c>
      <c r="F35" s="31">
        <v>0.7</v>
      </c>
      <c r="G35" s="27" t="s">
        <v>254</v>
      </c>
      <c r="H35" s="28">
        <v>46022.0</v>
      </c>
      <c r="I35" s="37">
        <v>8486.0</v>
      </c>
      <c r="J35" s="46"/>
      <c r="K35" s="46"/>
      <c r="L35" s="47"/>
      <c r="M35" s="46"/>
      <c r="N35" s="46"/>
      <c r="O35" s="46"/>
      <c r="P35" s="46"/>
      <c r="Q35" s="46"/>
      <c r="R35" s="46"/>
      <c r="S35" s="46"/>
      <c r="T35" s="46"/>
      <c r="U35" s="46"/>
      <c r="V35" s="46"/>
      <c r="W35" s="46"/>
      <c r="X35" s="46"/>
      <c r="Y35" s="46"/>
      <c r="Z35" s="46"/>
      <c r="AA35" s="46"/>
      <c r="AB35" s="46"/>
      <c r="AC35" s="46"/>
      <c r="AD35" s="46"/>
    </row>
    <row r="36">
      <c r="A36" s="37" t="s">
        <v>289</v>
      </c>
      <c r="B36" s="45"/>
      <c r="C36" s="9" t="s">
        <v>285</v>
      </c>
      <c r="D36" s="9">
        <v>1283.0</v>
      </c>
      <c r="E36" s="31">
        <v>0.7</v>
      </c>
      <c r="F36" s="31">
        <v>0.7</v>
      </c>
      <c r="G36" s="27" t="s">
        <v>254</v>
      </c>
      <c r="H36" s="28">
        <v>46022.0</v>
      </c>
      <c r="I36" s="37">
        <v>13864.0</v>
      </c>
      <c r="J36" s="46"/>
      <c r="K36" s="46"/>
      <c r="L36" s="47"/>
      <c r="M36" s="46"/>
      <c r="N36" s="46"/>
      <c r="O36" s="46"/>
      <c r="P36" s="46"/>
      <c r="Q36" s="46"/>
      <c r="R36" s="46"/>
      <c r="S36" s="46"/>
      <c r="T36" s="46"/>
      <c r="U36" s="46"/>
      <c r="V36" s="46"/>
      <c r="W36" s="46"/>
      <c r="X36" s="46"/>
      <c r="Y36" s="46"/>
      <c r="Z36" s="46"/>
      <c r="AA36" s="46"/>
      <c r="AB36" s="46"/>
      <c r="AC36" s="46"/>
      <c r="AD36" s="46"/>
    </row>
    <row r="37">
      <c r="A37" s="37"/>
      <c r="B37" s="45"/>
      <c r="C37" s="9"/>
      <c r="D37" s="9"/>
      <c r="E37" s="31"/>
      <c r="F37" s="31"/>
      <c r="G37" s="27"/>
      <c r="H37" s="28"/>
      <c r="I37" s="37"/>
      <c r="J37" s="46"/>
      <c r="K37" s="46"/>
      <c r="L37" s="47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</row>
    <row r="38">
      <c r="A38" s="37"/>
      <c r="B38" s="45"/>
      <c r="C38" s="9"/>
      <c r="D38" s="9"/>
      <c r="E38" s="31"/>
      <c r="F38" s="31"/>
      <c r="G38" s="27"/>
      <c r="H38" s="28"/>
      <c r="I38" s="37"/>
      <c r="J38" s="46"/>
      <c r="K38" s="46"/>
      <c r="L38" s="47"/>
      <c r="M38" s="46"/>
      <c r="N38" s="46"/>
      <c r="O38" s="46"/>
      <c r="P38" s="46"/>
      <c r="Q38" s="46"/>
      <c r="R38" s="46"/>
      <c r="S38" s="46"/>
      <c r="T38" s="46"/>
      <c r="U38" s="46"/>
      <c r="V38" s="46"/>
      <c r="W38" s="46"/>
      <c r="X38" s="46"/>
      <c r="Y38" s="46"/>
      <c r="Z38" s="46"/>
      <c r="AA38" s="46"/>
      <c r="AB38" s="46"/>
      <c r="AC38" s="46"/>
      <c r="AD38" s="46"/>
    </row>
    <row r="39">
      <c r="A39" s="37"/>
      <c r="B39" s="37"/>
      <c r="C39" s="9"/>
      <c r="D39" s="9"/>
      <c r="E39" s="31"/>
      <c r="F39" s="31"/>
      <c r="G39" s="27"/>
      <c r="H39" s="28"/>
      <c r="I39" s="37"/>
      <c r="J39" s="46"/>
      <c r="K39" s="46"/>
      <c r="L39" s="47"/>
      <c r="M39" s="46"/>
      <c r="N39" s="46"/>
      <c r="O39" s="46"/>
      <c r="P39" s="46"/>
      <c r="Q39" s="46"/>
      <c r="R39" s="46"/>
      <c r="S39" s="46"/>
      <c r="T39" s="46"/>
      <c r="U39" s="46"/>
      <c r="V39" s="46"/>
      <c r="W39" s="46"/>
      <c r="X39" s="46"/>
      <c r="Y39" s="46"/>
      <c r="Z39" s="46"/>
      <c r="AA39" s="46"/>
      <c r="AB39" s="46"/>
      <c r="AC39" s="46"/>
      <c r="AD39" s="46"/>
    </row>
    <row r="40">
      <c r="A40" s="37"/>
      <c r="B40" s="45"/>
      <c r="C40" s="9"/>
      <c r="D40" s="9"/>
      <c r="E40" s="31"/>
      <c r="F40" s="31"/>
      <c r="G40" s="27"/>
      <c r="H40" s="28"/>
      <c r="I40" s="37"/>
      <c r="J40" s="46"/>
      <c r="K40" s="46"/>
      <c r="L40" s="47"/>
      <c r="M40" s="46"/>
      <c r="N40" s="46"/>
      <c r="O40" s="46"/>
      <c r="P40" s="46"/>
      <c r="Q40" s="46"/>
      <c r="R40" s="46"/>
      <c r="S40" s="46"/>
      <c r="T40" s="46"/>
      <c r="U40" s="46"/>
      <c r="V40" s="46"/>
      <c r="W40" s="46"/>
      <c r="X40" s="46"/>
      <c r="Y40" s="46"/>
      <c r="Z40" s="46"/>
      <c r="AA40" s="46"/>
      <c r="AB40" s="46"/>
      <c r="AC40" s="46"/>
      <c r="AD40" s="46"/>
    </row>
    <row r="41">
      <c r="A41" s="37"/>
      <c r="C41" s="26"/>
      <c r="D41" s="9"/>
      <c r="E41" s="31"/>
      <c r="F41" s="31"/>
      <c r="G41" s="9"/>
      <c r="L41" s="41"/>
    </row>
    <row r="42">
      <c r="A42" s="37"/>
      <c r="D42" s="10"/>
      <c r="E42" s="9"/>
      <c r="F42" s="9"/>
      <c r="G42" s="9"/>
      <c r="L42" s="41"/>
    </row>
    <row r="43">
      <c r="A43" s="37"/>
      <c r="D43" s="10"/>
      <c r="E43" s="10"/>
      <c r="F43" s="10"/>
      <c r="G43" s="10"/>
      <c r="L43" s="41"/>
    </row>
    <row r="44">
      <c r="D44" s="10"/>
      <c r="E44" s="10"/>
      <c r="F44" s="10"/>
      <c r="G44" s="10"/>
      <c r="L44" s="41"/>
    </row>
    <row r="45">
      <c r="D45" s="10"/>
      <c r="E45" s="10"/>
      <c r="F45" s="10"/>
      <c r="G45" s="10"/>
      <c r="L45" s="41"/>
    </row>
    <row r="46">
      <c r="D46" s="10"/>
      <c r="E46" s="10"/>
      <c r="F46" s="10"/>
      <c r="G46" s="10"/>
      <c r="L46" s="41"/>
    </row>
    <row r="47">
      <c r="D47" s="10"/>
      <c r="E47" s="10"/>
      <c r="F47" s="10"/>
      <c r="G47" s="10"/>
      <c r="L47" s="41"/>
    </row>
    <row r="48">
      <c r="D48" s="10"/>
      <c r="E48" s="10"/>
      <c r="F48" s="10"/>
      <c r="G48" s="10"/>
      <c r="L48" s="41"/>
    </row>
    <row r="49">
      <c r="D49" s="10"/>
      <c r="E49" s="10"/>
      <c r="F49" s="10"/>
      <c r="G49" s="10"/>
      <c r="L49" s="41"/>
    </row>
    <row r="50">
      <c r="D50" s="10"/>
      <c r="E50" s="10"/>
      <c r="F50" s="10"/>
      <c r="G50" s="10"/>
      <c r="L50" s="41"/>
    </row>
    <row r="51">
      <c r="D51" s="10"/>
      <c r="E51" s="10"/>
      <c r="F51" s="10"/>
      <c r="G51" s="10"/>
      <c r="L51" s="41"/>
    </row>
    <row r="52">
      <c r="D52" s="10"/>
      <c r="E52" s="10"/>
      <c r="F52" s="10"/>
      <c r="G52" s="10"/>
      <c r="L52" s="41"/>
    </row>
    <row r="53">
      <c r="D53" s="10"/>
      <c r="E53" s="10"/>
      <c r="F53" s="10"/>
      <c r="G53" s="10"/>
      <c r="L53" s="41"/>
    </row>
    <row r="54">
      <c r="D54" s="10"/>
      <c r="E54" s="10"/>
      <c r="F54" s="10"/>
      <c r="G54" s="10"/>
      <c r="L54" s="41"/>
    </row>
    <row r="55">
      <c r="D55" s="10"/>
      <c r="E55" s="10"/>
      <c r="F55" s="10"/>
      <c r="G55" s="10"/>
      <c r="L55" s="41"/>
    </row>
    <row r="56">
      <c r="D56" s="10"/>
      <c r="E56" s="10"/>
      <c r="F56" s="10"/>
      <c r="G56" s="10"/>
      <c r="L56" s="41"/>
    </row>
    <row r="57">
      <c r="D57" s="10"/>
      <c r="E57" s="10"/>
      <c r="F57" s="10"/>
      <c r="G57" s="10"/>
      <c r="L57" s="41"/>
    </row>
    <row r="58">
      <c r="D58" s="10"/>
      <c r="E58" s="10"/>
      <c r="F58" s="10"/>
      <c r="G58" s="10"/>
      <c r="L58" s="41"/>
    </row>
    <row r="59">
      <c r="D59" s="10"/>
      <c r="E59" s="10"/>
      <c r="F59" s="10"/>
      <c r="G59" s="10"/>
      <c r="L59" s="41"/>
    </row>
    <row r="60">
      <c r="D60" s="10"/>
      <c r="E60" s="10"/>
      <c r="F60" s="10"/>
      <c r="G60" s="10"/>
      <c r="L60" s="41"/>
    </row>
    <row r="61">
      <c r="D61" s="10"/>
      <c r="E61" s="10"/>
      <c r="F61" s="10"/>
      <c r="G61" s="10"/>
      <c r="L61" s="41"/>
    </row>
    <row r="62">
      <c r="D62" s="10"/>
      <c r="E62" s="10"/>
      <c r="F62" s="10"/>
      <c r="G62" s="10"/>
      <c r="L62" s="41"/>
    </row>
    <row r="63">
      <c r="D63" s="10"/>
      <c r="E63" s="10"/>
      <c r="F63" s="10"/>
      <c r="G63" s="10"/>
      <c r="L63" s="41"/>
    </row>
    <row r="64">
      <c r="D64" s="10"/>
      <c r="E64" s="10"/>
      <c r="F64" s="10"/>
      <c r="G64" s="10"/>
      <c r="L64" s="41"/>
    </row>
    <row r="65">
      <c r="D65" s="10"/>
      <c r="E65" s="10"/>
      <c r="F65" s="10"/>
      <c r="G65" s="10"/>
      <c r="L65" s="41"/>
    </row>
    <row r="66">
      <c r="D66" s="10"/>
      <c r="E66" s="10"/>
      <c r="F66" s="10"/>
      <c r="G66" s="10"/>
      <c r="L66" s="41"/>
    </row>
    <row r="67">
      <c r="D67" s="10"/>
      <c r="E67" s="10"/>
      <c r="F67" s="10"/>
      <c r="G67" s="10"/>
      <c r="L67" s="41"/>
    </row>
    <row r="68">
      <c r="D68" s="10"/>
      <c r="E68" s="10"/>
      <c r="F68" s="10"/>
      <c r="G68" s="10"/>
      <c r="L68" s="41"/>
    </row>
    <row r="69">
      <c r="D69" s="10"/>
      <c r="E69" s="10"/>
      <c r="F69" s="10"/>
      <c r="G69" s="10"/>
      <c r="L69" s="41"/>
    </row>
    <row r="70">
      <c r="D70" s="10"/>
      <c r="E70" s="10"/>
      <c r="F70" s="10"/>
      <c r="G70" s="10"/>
      <c r="L70" s="41"/>
    </row>
    <row r="71">
      <c r="D71" s="10"/>
      <c r="E71" s="10"/>
      <c r="F71" s="10"/>
      <c r="G71" s="10"/>
      <c r="L71" s="41"/>
    </row>
    <row r="72">
      <c r="D72" s="10"/>
      <c r="E72" s="10"/>
      <c r="F72" s="10"/>
      <c r="G72" s="10"/>
      <c r="L72" s="41"/>
    </row>
    <row r="73">
      <c r="D73" s="10"/>
      <c r="E73" s="10"/>
      <c r="F73" s="10"/>
      <c r="G73" s="10"/>
      <c r="L73" s="41"/>
    </row>
    <row r="74">
      <c r="D74" s="10"/>
      <c r="E74" s="10"/>
      <c r="F74" s="10"/>
      <c r="G74" s="10"/>
      <c r="L74" s="41"/>
    </row>
    <row r="75">
      <c r="D75" s="10"/>
      <c r="E75" s="10"/>
      <c r="F75" s="10"/>
      <c r="G75" s="10"/>
      <c r="L75" s="41"/>
    </row>
    <row r="76">
      <c r="D76" s="10"/>
      <c r="E76" s="10"/>
      <c r="F76" s="10"/>
      <c r="G76" s="10"/>
      <c r="L76" s="41"/>
    </row>
    <row r="77">
      <c r="D77" s="10"/>
      <c r="E77" s="10"/>
      <c r="F77" s="10"/>
      <c r="G77" s="10"/>
      <c r="L77" s="41"/>
    </row>
    <row r="78">
      <c r="D78" s="10"/>
      <c r="E78" s="10"/>
      <c r="F78" s="10"/>
      <c r="G78" s="10"/>
      <c r="L78" s="41"/>
    </row>
    <row r="79">
      <c r="D79" s="10"/>
      <c r="E79" s="10"/>
      <c r="F79" s="10"/>
      <c r="G79" s="10"/>
      <c r="L79" s="41"/>
    </row>
    <row r="80">
      <c r="D80" s="10"/>
      <c r="E80" s="10"/>
      <c r="F80" s="10"/>
      <c r="G80" s="10"/>
      <c r="L80" s="41"/>
    </row>
    <row r="81">
      <c r="D81" s="10"/>
      <c r="E81" s="10"/>
      <c r="F81" s="10"/>
      <c r="G81" s="10"/>
      <c r="L81" s="41"/>
    </row>
    <row r="82">
      <c r="D82" s="10"/>
      <c r="E82" s="10"/>
      <c r="F82" s="10"/>
      <c r="G82" s="10"/>
      <c r="L82" s="41"/>
    </row>
    <row r="83">
      <c r="D83" s="10"/>
      <c r="E83" s="10"/>
      <c r="F83" s="10"/>
      <c r="G83" s="10"/>
      <c r="L83" s="41"/>
    </row>
    <row r="84">
      <c r="D84" s="10"/>
      <c r="E84" s="10"/>
      <c r="F84" s="10"/>
      <c r="G84" s="10"/>
      <c r="L84" s="41"/>
    </row>
    <row r="85">
      <c r="D85" s="10"/>
      <c r="E85" s="10"/>
      <c r="F85" s="10"/>
      <c r="G85" s="10"/>
      <c r="L85" s="41"/>
    </row>
    <row r="86">
      <c r="D86" s="10"/>
      <c r="E86" s="10"/>
      <c r="F86" s="10"/>
      <c r="G86" s="10"/>
      <c r="L86" s="41"/>
    </row>
    <row r="87">
      <c r="D87" s="10"/>
      <c r="E87" s="10"/>
      <c r="F87" s="10"/>
      <c r="G87" s="10"/>
      <c r="L87" s="41"/>
    </row>
    <row r="88">
      <c r="D88" s="10"/>
      <c r="E88" s="10"/>
      <c r="F88" s="10"/>
      <c r="G88" s="10"/>
      <c r="L88" s="41"/>
    </row>
    <row r="89">
      <c r="D89" s="10"/>
      <c r="E89" s="10"/>
      <c r="F89" s="10"/>
      <c r="G89" s="10"/>
      <c r="L89" s="41"/>
    </row>
    <row r="90">
      <c r="D90" s="10"/>
      <c r="E90" s="10"/>
      <c r="F90" s="10"/>
      <c r="G90" s="10"/>
      <c r="L90" s="41"/>
    </row>
    <row r="91">
      <c r="D91" s="10"/>
      <c r="E91" s="10"/>
      <c r="F91" s="10"/>
      <c r="G91" s="10"/>
      <c r="L91" s="41"/>
    </row>
    <row r="92">
      <c r="D92" s="10"/>
      <c r="E92" s="10"/>
      <c r="F92" s="10"/>
      <c r="G92" s="10"/>
      <c r="L92" s="41"/>
    </row>
    <row r="93">
      <c r="D93" s="10"/>
      <c r="E93" s="10"/>
      <c r="F93" s="10"/>
      <c r="G93" s="10"/>
      <c r="L93" s="41"/>
    </row>
    <row r="94">
      <c r="D94" s="10"/>
      <c r="E94" s="10"/>
      <c r="F94" s="10"/>
      <c r="G94" s="10"/>
      <c r="L94" s="41"/>
    </row>
    <row r="95">
      <c r="D95" s="10"/>
      <c r="E95" s="10"/>
      <c r="F95" s="10"/>
      <c r="G95" s="10"/>
      <c r="L95" s="41"/>
    </row>
    <row r="96">
      <c r="D96" s="10"/>
      <c r="E96" s="10"/>
      <c r="F96" s="10"/>
      <c r="G96" s="10"/>
      <c r="L96" s="41"/>
    </row>
    <row r="97">
      <c r="D97" s="10"/>
      <c r="E97" s="10"/>
      <c r="F97" s="10"/>
      <c r="G97" s="10"/>
      <c r="L97" s="41"/>
    </row>
    <row r="98">
      <c r="D98" s="10"/>
      <c r="E98" s="10"/>
      <c r="F98" s="10"/>
      <c r="G98" s="10"/>
      <c r="L98" s="41"/>
    </row>
    <row r="99">
      <c r="D99" s="10"/>
      <c r="E99" s="10"/>
      <c r="F99" s="10"/>
      <c r="G99" s="10"/>
      <c r="L99" s="41"/>
    </row>
    <row r="100">
      <c r="D100" s="10"/>
      <c r="E100" s="10"/>
      <c r="F100" s="10"/>
      <c r="G100" s="10"/>
      <c r="L100" s="41"/>
    </row>
    <row r="101">
      <c r="D101" s="10"/>
      <c r="E101" s="10"/>
      <c r="F101" s="10"/>
      <c r="G101" s="10"/>
      <c r="L101" s="41"/>
    </row>
    <row r="102">
      <c r="D102" s="10"/>
      <c r="E102" s="10"/>
      <c r="F102" s="10"/>
      <c r="G102" s="10"/>
      <c r="L102" s="41"/>
    </row>
    <row r="103">
      <c r="D103" s="10"/>
      <c r="E103" s="10"/>
      <c r="F103" s="10"/>
      <c r="G103" s="10"/>
      <c r="L103" s="41"/>
    </row>
    <row r="104">
      <c r="D104" s="10"/>
      <c r="E104" s="10"/>
      <c r="F104" s="10"/>
      <c r="G104" s="10"/>
      <c r="L104" s="41"/>
    </row>
    <row r="105">
      <c r="D105" s="10"/>
      <c r="E105" s="10"/>
      <c r="F105" s="10"/>
      <c r="G105" s="10"/>
      <c r="L105" s="41"/>
    </row>
    <row r="106">
      <c r="D106" s="10"/>
      <c r="E106" s="10"/>
      <c r="F106" s="10"/>
      <c r="G106" s="10"/>
      <c r="L106" s="41"/>
    </row>
    <row r="107">
      <c r="D107" s="10"/>
      <c r="E107" s="10"/>
      <c r="F107" s="10"/>
      <c r="G107" s="10"/>
      <c r="L107" s="41"/>
    </row>
    <row r="108">
      <c r="D108" s="10"/>
      <c r="E108" s="10"/>
      <c r="F108" s="10"/>
      <c r="G108" s="10"/>
      <c r="L108" s="41"/>
    </row>
    <row r="109">
      <c r="D109" s="10"/>
      <c r="E109" s="10"/>
      <c r="F109" s="10"/>
      <c r="G109" s="10"/>
      <c r="L109" s="41"/>
    </row>
    <row r="110">
      <c r="D110" s="10"/>
      <c r="E110" s="10"/>
      <c r="F110" s="10"/>
      <c r="G110" s="10"/>
      <c r="L110" s="41"/>
    </row>
    <row r="111">
      <c r="D111" s="10"/>
      <c r="E111" s="10"/>
      <c r="F111" s="10"/>
      <c r="G111" s="10"/>
      <c r="L111" s="41"/>
    </row>
    <row r="112">
      <c r="D112" s="10"/>
      <c r="E112" s="10"/>
      <c r="F112" s="10"/>
      <c r="G112" s="10"/>
      <c r="L112" s="41"/>
    </row>
    <row r="113">
      <c r="D113" s="10"/>
      <c r="E113" s="10"/>
      <c r="F113" s="10"/>
      <c r="G113" s="10"/>
      <c r="L113" s="41"/>
    </row>
    <row r="114">
      <c r="D114" s="10"/>
      <c r="E114" s="10"/>
      <c r="F114" s="10"/>
      <c r="G114" s="10"/>
      <c r="L114" s="41"/>
    </row>
    <row r="115">
      <c r="D115" s="10"/>
      <c r="E115" s="10"/>
      <c r="F115" s="10"/>
      <c r="G115" s="10"/>
      <c r="L115" s="41"/>
    </row>
    <row r="116">
      <c r="D116" s="10"/>
      <c r="E116" s="10"/>
      <c r="F116" s="10"/>
      <c r="G116" s="10"/>
      <c r="L116" s="41"/>
    </row>
    <row r="117">
      <c r="D117" s="10"/>
      <c r="E117" s="10"/>
      <c r="F117" s="10"/>
      <c r="G117" s="10"/>
      <c r="L117" s="41"/>
    </row>
    <row r="118">
      <c r="D118" s="10"/>
      <c r="E118" s="10"/>
      <c r="F118" s="10"/>
      <c r="G118" s="10"/>
      <c r="L118" s="41"/>
    </row>
    <row r="119">
      <c r="D119" s="10"/>
      <c r="E119" s="10"/>
      <c r="F119" s="10"/>
      <c r="G119" s="10"/>
      <c r="L119" s="41"/>
    </row>
    <row r="120">
      <c r="D120" s="10"/>
      <c r="E120" s="10"/>
      <c r="F120" s="10"/>
      <c r="G120" s="10"/>
      <c r="L120" s="41"/>
    </row>
    <row r="121">
      <c r="D121" s="10"/>
      <c r="E121" s="10"/>
      <c r="F121" s="10"/>
      <c r="G121" s="10"/>
      <c r="L121" s="41"/>
    </row>
    <row r="122">
      <c r="D122" s="10"/>
      <c r="E122" s="10"/>
      <c r="F122" s="10"/>
      <c r="G122" s="10"/>
      <c r="L122" s="41"/>
    </row>
    <row r="123">
      <c r="D123" s="10"/>
      <c r="E123" s="10"/>
      <c r="F123" s="10"/>
      <c r="G123" s="10"/>
      <c r="L123" s="41"/>
    </row>
    <row r="124">
      <c r="D124" s="10"/>
      <c r="E124" s="10"/>
      <c r="F124" s="10"/>
      <c r="G124" s="10"/>
      <c r="L124" s="41"/>
    </row>
    <row r="125">
      <c r="D125" s="10"/>
      <c r="E125" s="10"/>
      <c r="F125" s="10"/>
      <c r="G125" s="10"/>
      <c r="L125" s="41"/>
    </row>
    <row r="126">
      <c r="D126" s="10"/>
      <c r="E126" s="10"/>
      <c r="F126" s="10"/>
      <c r="G126" s="10"/>
      <c r="L126" s="41"/>
    </row>
    <row r="127">
      <c r="D127" s="10"/>
      <c r="E127" s="10"/>
      <c r="F127" s="10"/>
      <c r="G127" s="10"/>
      <c r="L127" s="41"/>
    </row>
    <row r="128">
      <c r="D128" s="10"/>
      <c r="E128" s="10"/>
      <c r="F128" s="10"/>
      <c r="G128" s="10"/>
      <c r="L128" s="41"/>
    </row>
    <row r="129">
      <c r="D129" s="10"/>
      <c r="E129" s="10"/>
      <c r="F129" s="10"/>
      <c r="G129" s="10"/>
      <c r="L129" s="41"/>
    </row>
    <row r="130">
      <c r="D130" s="10"/>
      <c r="E130" s="10"/>
      <c r="F130" s="10"/>
      <c r="G130" s="10"/>
      <c r="L130" s="41"/>
    </row>
    <row r="131">
      <c r="D131" s="10"/>
      <c r="E131" s="10"/>
      <c r="F131" s="10"/>
      <c r="G131" s="10"/>
      <c r="L131" s="41"/>
    </row>
    <row r="132">
      <c r="D132" s="10"/>
      <c r="E132" s="10"/>
      <c r="F132" s="10"/>
      <c r="G132" s="10"/>
      <c r="L132" s="41"/>
    </row>
    <row r="133">
      <c r="D133" s="10"/>
      <c r="E133" s="10"/>
      <c r="F133" s="10"/>
      <c r="G133" s="10"/>
      <c r="L133" s="41"/>
    </row>
    <row r="134">
      <c r="D134" s="10"/>
      <c r="E134" s="10"/>
      <c r="F134" s="10"/>
      <c r="G134" s="10"/>
      <c r="L134" s="41"/>
    </row>
    <row r="135">
      <c r="D135" s="10"/>
      <c r="E135" s="10"/>
      <c r="F135" s="10"/>
      <c r="G135" s="10"/>
      <c r="L135" s="41"/>
    </row>
    <row r="136">
      <c r="D136" s="10"/>
      <c r="E136" s="10"/>
      <c r="F136" s="10"/>
      <c r="G136" s="10"/>
      <c r="L136" s="41"/>
    </row>
    <row r="137">
      <c r="D137" s="10"/>
      <c r="E137" s="10"/>
      <c r="F137" s="10"/>
      <c r="G137" s="10"/>
      <c r="L137" s="41"/>
    </row>
    <row r="138">
      <c r="D138" s="10"/>
      <c r="E138" s="10"/>
      <c r="F138" s="10"/>
      <c r="G138" s="10"/>
      <c r="L138" s="41"/>
    </row>
    <row r="139">
      <c r="D139" s="10"/>
      <c r="E139" s="10"/>
      <c r="F139" s="10"/>
      <c r="G139" s="10"/>
      <c r="L139" s="41"/>
    </row>
    <row r="140">
      <c r="D140" s="10"/>
      <c r="E140" s="10"/>
      <c r="F140" s="10"/>
      <c r="G140" s="10"/>
      <c r="L140" s="41"/>
    </row>
    <row r="141">
      <c r="D141" s="10"/>
      <c r="E141" s="10"/>
      <c r="F141" s="10"/>
      <c r="G141" s="10"/>
      <c r="L141" s="41"/>
    </row>
    <row r="142">
      <c r="D142" s="10"/>
      <c r="E142" s="10"/>
      <c r="F142" s="10"/>
      <c r="G142" s="10"/>
      <c r="L142" s="41"/>
    </row>
    <row r="143">
      <c r="D143" s="10"/>
      <c r="E143" s="10"/>
      <c r="F143" s="10"/>
      <c r="G143" s="10"/>
      <c r="L143" s="41"/>
    </row>
    <row r="144">
      <c r="D144" s="10"/>
      <c r="E144" s="10"/>
      <c r="F144" s="10"/>
      <c r="G144" s="10"/>
      <c r="L144" s="41"/>
    </row>
    <row r="145">
      <c r="D145" s="10"/>
      <c r="E145" s="10"/>
      <c r="F145" s="10"/>
      <c r="G145" s="10"/>
      <c r="L145" s="41"/>
    </row>
    <row r="146">
      <c r="D146" s="10"/>
      <c r="E146" s="10"/>
      <c r="F146" s="10"/>
      <c r="G146" s="10"/>
      <c r="L146" s="41"/>
    </row>
    <row r="147">
      <c r="D147" s="10"/>
      <c r="E147" s="10"/>
      <c r="F147" s="10"/>
      <c r="G147" s="10"/>
      <c r="L147" s="41"/>
    </row>
    <row r="148">
      <c r="D148" s="10"/>
      <c r="E148" s="10"/>
      <c r="F148" s="10"/>
      <c r="G148" s="10"/>
      <c r="L148" s="41"/>
    </row>
    <row r="149">
      <c r="D149" s="10"/>
      <c r="E149" s="10"/>
      <c r="F149" s="10"/>
      <c r="G149" s="10"/>
      <c r="L149" s="41"/>
    </row>
    <row r="150">
      <c r="D150" s="10"/>
      <c r="E150" s="10"/>
      <c r="F150" s="10"/>
      <c r="G150" s="10"/>
      <c r="L150" s="41"/>
    </row>
    <row r="151">
      <c r="D151" s="10"/>
      <c r="E151" s="10"/>
      <c r="F151" s="10"/>
      <c r="G151" s="10"/>
      <c r="L151" s="41"/>
    </row>
    <row r="152">
      <c r="D152" s="10"/>
      <c r="E152" s="10"/>
      <c r="F152" s="10"/>
      <c r="G152" s="10"/>
      <c r="L152" s="41"/>
    </row>
    <row r="153">
      <c r="D153" s="10"/>
      <c r="E153" s="10"/>
      <c r="F153" s="10"/>
      <c r="G153" s="10"/>
      <c r="L153" s="41"/>
    </row>
    <row r="154">
      <c r="D154" s="10"/>
      <c r="E154" s="10"/>
      <c r="F154" s="10"/>
      <c r="G154" s="10"/>
      <c r="L154" s="41"/>
    </row>
    <row r="155">
      <c r="D155" s="10"/>
      <c r="E155" s="10"/>
      <c r="F155" s="10"/>
      <c r="G155" s="10"/>
      <c r="L155" s="41"/>
    </row>
    <row r="156">
      <c r="D156" s="10"/>
      <c r="E156" s="10"/>
      <c r="F156" s="10"/>
      <c r="G156" s="10"/>
      <c r="L156" s="41"/>
    </row>
    <row r="157">
      <c r="D157" s="10"/>
      <c r="E157" s="10"/>
      <c r="F157" s="10"/>
      <c r="G157" s="10"/>
      <c r="L157" s="41"/>
    </row>
    <row r="158">
      <c r="D158" s="10"/>
      <c r="E158" s="10"/>
      <c r="F158" s="10"/>
      <c r="G158" s="10"/>
      <c r="L158" s="41"/>
    </row>
    <row r="159">
      <c r="D159" s="10"/>
      <c r="E159" s="10"/>
      <c r="F159" s="10"/>
      <c r="G159" s="10"/>
      <c r="L159" s="41"/>
    </row>
    <row r="160">
      <c r="D160" s="10"/>
      <c r="E160" s="10"/>
      <c r="F160" s="10"/>
      <c r="G160" s="10"/>
      <c r="L160" s="41"/>
    </row>
    <row r="161">
      <c r="D161" s="10"/>
      <c r="E161" s="10"/>
      <c r="F161" s="10"/>
      <c r="G161" s="10"/>
      <c r="L161" s="41"/>
    </row>
    <row r="162">
      <c r="D162" s="10"/>
      <c r="E162" s="10"/>
      <c r="F162" s="10"/>
      <c r="G162" s="10"/>
      <c r="L162" s="41"/>
    </row>
    <row r="163">
      <c r="D163" s="10"/>
      <c r="E163" s="10"/>
      <c r="F163" s="10"/>
      <c r="G163" s="10"/>
      <c r="L163" s="41"/>
    </row>
    <row r="164">
      <c r="D164" s="10"/>
      <c r="E164" s="10"/>
      <c r="F164" s="10"/>
      <c r="G164" s="10"/>
      <c r="L164" s="41"/>
    </row>
    <row r="165">
      <c r="D165" s="10"/>
      <c r="E165" s="10"/>
      <c r="F165" s="10"/>
      <c r="G165" s="10"/>
      <c r="L165" s="41"/>
    </row>
    <row r="166">
      <c r="D166" s="10"/>
      <c r="E166" s="10"/>
      <c r="F166" s="10"/>
      <c r="G166" s="10"/>
      <c r="L166" s="41"/>
    </row>
    <row r="167">
      <c r="D167" s="10"/>
      <c r="E167" s="10"/>
      <c r="F167" s="10"/>
      <c r="G167" s="10"/>
      <c r="L167" s="41"/>
    </row>
    <row r="168">
      <c r="D168" s="10"/>
      <c r="E168" s="10"/>
      <c r="F168" s="10"/>
      <c r="G168" s="10"/>
      <c r="L168" s="41"/>
    </row>
    <row r="169">
      <c r="D169" s="10"/>
      <c r="E169" s="10"/>
      <c r="F169" s="10"/>
      <c r="G169" s="10"/>
      <c r="L169" s="41"/>
    </row>
    <row r="170">
      <c r="D170" s="10"/>
      <c r="E170" s="10"/>
      <c r="F170" s="10"/>
      <c r="G170" s="10"/>
      <c r="L170" s="41"/>
    </row>
    <row r="171">
      <c r="D171" s="10"/>
      <c r="E171" s="10"/>
      <c r="F171" s="10"/>
      <c r="G171" s="10"/>
      <c r="L171" s="41"/>
    </row>
    <row r="172">
      <c r="D172" s="10"/>
      <c r="E172" s="10"/>
      <c r="F172" s="10"/>
      <c r="G172" s="10"/>
      <c r="L172" s="41"/>
    </row>
    <row r="173">
      <c r="D173" s="10"/>
      <c r="E173" s="10"/>
      <c r="F173" s="10"/>
      <c r="G173" s="10"/>
      <c r="L173" s="41"/>
    </row>
    <row r="174">
      <c r="D174" s="10"/>
      <c r="E174" s="10"/>
      <c r="F174" s="10"/>
      <c r="G174" s="10"/>
      <c r="L174" s="41"/>
    </row>
    <row r="175">
      <c r="D175" s="10"/>
      <c r="E175" s="10"/>
      <c r="F175" s="10"/>
      <c r="G175" s="10"/>
      <c r="L175" s="41"/>
    </row>
    <row r="176">
      <c r="D176" s="10"/>
      <c r="E176" s="10"/>
      <c r="F176" s="10"/>
      <c r="G176" s="10"/>
      <c r="L176" s="41"/>
    </row>
    <row r="177">
      <c r="D177" s="10"/>
      <c r="E177" s="10"/>
      <c r="F177" s="10"/>
      <c r="G177" s="10"/>
      <c r="L177" s="41"/>
    </row>
    <row r="178">
      <c r="D178" s="10"/>
      <c r="E178" s="10"/>
      <c r="F178" s="10"/>
      <c r="G178" s="10"/>
      <c r="L178" s="41"/>
    </row>
    <row r="179">
      <c r="D179" s="10"/>
      <c r="E179" s="10"/>
      <c r="F179" s="10"/>
      <c r="G179" s="10"/>
      <c r="L179" s="41"/>
    </row>
    <row r="180">
      <c r="D180" s="10"/>
      <c r="E180" s="10"/>
      <c r="F180" s="10"/>
      <c r="G180" s="10"/>
      <c r="L180" s="41"/>
    </row>
    <row r="181">
      <c r="D181" s="10"/>
      <c r="E181" s="10"/>
      <c r="F181" s="10"/>
      <c r="G181" s="10"/>
      <c r="L181" s="41"/>
    </row>
    <row r="182">
      <c r="D182" s="10"/>
      <c r="E182" s="10"/>
      <c r="F182" s="10"/>
      <c r="G182" s="10"/>
      <c r="L182" s="41"/>
    </row>
    <row r="183">
      <c r="D183" s="10"/>
      <c r="E183" s="10"/>
      <c r="F183" s="10"/>
      <c r="G183" s="10"/>
      <c r="L183" s="41"/>
    </row>
    <row r="184">
      <c r="D184" s="10"/>
      <c r="E184" s="10"/>
      <c r="F184" s="10"/>
      <c r="G184" s="10"/>
      <c r="L184" s="41"/>
    </row>
    <row r="185">
      <c r="D185" s="10"/>
      <c r="E185" s="10"/>
      <c r="F185" s="10"/>
      <c r="G185" s="10"/>
      <c r="L185" s="41"/>
    </row>
    <row r="186">
      <c r="D186" s="10"/>
      <c r="E186" s="10"/>
      <c r="F186" s="10"/>
      <c r="G186" s="10"/>
      <c r="L186" s="41"/>
    </row>
    <row r="187">
      <c r="D187" s="10"/>
      <c r="E187" s="10"/>
      <c r="F187" s="10"/>
      <c r="G187" s="10"/>
      <c r="L187" s="41"/>
    </row>
    <row r="188">
      <c r="D188" s="10"/>
      <c r="E188" s="10"/>
      <c r="F188" s="10"/>
      <c r="G188" s="10"/>
      <c r="L188" s="41"/>
    </row>
    <row r="189">
      <c r="D189" s="10"/>
      <c r="E189" s="10"/>
      <c r="F189" s="10"/>
      <c r="G189" s="10"/>
      <c r="L189" s="41"/>
    </row>
    <row r="190">
      <c r="D190" s="10"/>
      <c r="E190" s="10"/>
      <c r="F190" s="10"/>
      <c r="G190" s="10"/>
      <c r="L190" s="41"/>
    </row>
    <row r="191">
      <c r="D191" s="10"/>
      <c r="E191" s="10"/>
      <c r="F191" s="10"/>
      <c r="G191" s="10"/>
      <c r="L191" s="41"/>
    </row>
    <row r="192">
      <c r="D192" s="10"/>
      <c r="E192" s="10"/>
      <c r="F192" s="10"/>
      <c r="G192" s="10"/>
      <c r="L192" s="41"/>
    </row>
    <row r="193">
      <c r="D193" s="10"/>
      <c r="E193" s="10"/>
      <c r="F193" s="10"/>
      <c r="G193" s="10"/>
      <c r="L193" s="41"/>
    </row>
    <row r="194">
      <c r="D194" s="10"/>
      <c r="E194" s="10"/>
      <c r="F194" s="10"/>
      <c r="G194" s="10"/>
      <c r="L194" s="41"/>
    </row>
    <row r="195">
      <c r="D195" s="10"/>
      <c r="E195" s="10"/>
      <c r="F195" s="10"/>
      <c r="G195" s="10"/>
      <c r="L195" s="41"/>
    </row>
    <row r="196">
      <c r="D196" s="10"/>
      <c r="E196" s="10"/>
      <c r="F196" s="10"/>
      <c r="G196" s="10"/>
      <c r="L196" s="41"/>
    </row>
    <row r="197">
      <c r="D197" s="10"/>
      <c r="E197" s="10"/>
      <c r="F197" s="10"/>
      <c r="G197" s="10"/>
      <c r="L197" s="41"/>
    </row>
    <row r="198">
      <c r="D198" s="10"/>
      <c r="E198" s="10"/>
      <c r="F198" s="10"/>
      <c r="G198" s="10"/>
      <c r="L198" s="41"/>
    </row>
    <row r="199">
      <c r="D199" s="10"/>
      <c r="E199" s="10"/>
      <c r="F199" s="10"/>
      <c r="G199" s="10"/>
      <c r="L199" s="41"/>
    </row>
    <row r="200">
      <c r="D200" s="10"/>
      <c r="E200" s="10"/>
      <c r="F200" s="10"/>
      <c r="G200" s="10"/>
      <c r="L200" s="41"/>
    </row>
    <row r="201">
      <c r="D201" s="10"/>
      <c r="E201" s="10"/>
      <c r="F201" s="10"/>
      <c r="G201" s="10"/>
      <c r="L201" s="41"/>
    </row>
    <row r="202">
      <c r="D202" s="10"/>
      <c r="E202" s="10"/>
      <c r="F202" s="10"/>
      <c r="G202" s="10"/>
      <c r="L202" s="41"/>
    </row>
    <row r="203">
      <c r="D203" s="10"/>
      <c r="E203" s="10"/>
      <c r="F203" s="10"/>
      <c r="G203" s="10"/>
      <c r="L203" s="41"/>
    </row>
    <row r="204">
      <c r="D204" s="10"/>
      <c r="E204" s="10"/>
      <c r="F204" s="10"/>
      <c r="G204" s="10"/>
      <c r="L204" s="41"/>
    </row>
    <row r="205">
      <c r="D205" s="10"/>
      <c r="E205" s="10"/>
      <c r="F205" s="10"/>
      <c r="G205" s="10"/>
      <c r="L205" s="41"/>
    </row>
    <row r="206">
      <c r="D206" s="10"/>
      <c r="E206" s="10"/>
      <c r="F206" s="10"/>
      <c r="G206" s="10"/>
      <c r="L206" s="41"/>
    </row>
    <row r="207">
      <c r="D207" s="10"/>
      <c r="E207" s="10"/>
      <c r="F207" s="10"/>
      <c r="G207" s="10"/>
      <c r="L207" s="41"/>
    </row>
    <row r="208">
      <c r="D208" s="10"/>
      <c r="E208" s="10"/>
      <c r="F208" s="10"/>
      <c r="G208" s="10"/>
      <c r="L208" s="41"/>
    </row>
    <row r="209">
      <c r="D209" s="10"/>
      <c r="E209" s="10"/>
      <c r="F209" s="10"/>
      <c r="G209" s="10"/>
      <c r="L209" s="41"/>
    </row>
    <row r="210">
      <c r="D210" s="10"/>
      <c r="E210" s="10"/>
      <c r="F210" s="10"/>
      <c r="G210" s="10"/>
      <c r="L210" s="41"/>
    </row>
    <row r="211">
      <c r="D211" s="10"/>
      <c r="E211" s="10"/>
      <c r="F211" s="10"/>
      <c r="G211" s="10"/>
      <c r="L211" s="41"/>
    </row>
    <row r="212">
      <c r="D212" s="10"/>
      <c r="E212" s="10"/>
      <c r="F212" s="10"/>
      <c r="G212" s="10"/>
      <c r="L212" s="41"/>
    </row>
    <row r="213">
      <c r="D213" s="10"/>
      <c r="E213" s="10"/>
      <c r="F213" s="10"/>
      <c r="G213" s="10"/>
      <c r="L213" s="41"/>
    </row>
    <row r="214">
      <c r="D214" s="10"/>
      <c r="E214" s="10"/>
      <c r="F214" s="10"/>
      <c r="G214" s="10"/>
      <c r="L214" s="41"/>
    </row>
    <row r="215">
      <c r="D215" s="10"/>
      <c r="E215" s="10"/>
      <c r="F215" s="10"/>
      <c r="G215" s="10"/>
      <c r="L215" s="41"/>
    </row>
    <row r="216">
      <c r="D216" s="10"/>
      <c r="E216" s="10"/>
      <c r="F216" s="10"/>
      <c r="G216" s="10"/>
      <c r="L216" s="41"/>
    </row>
    <row r="217">
      <c r="D217" s="10"/>
      <c r="E217" s="10"/>
      <c r="F217" s="10"/>
      <c r="G217" s="10"/>
      <c r="L217" s="41"/>
    </row>
    <row r="218">
      <c r="D218" s="10"/>
      <c r="E218" s="10"/>
      <c r="F218" s="10"/>
      <c r="G218" s="10"/>
      <c r="L218" s="41"/>
    </row>
    <row r="219">
      <c r="D219" s="10"/>
      <c r="E219" s="10"/>
      <c r="F219" s="10"/>
      <c r="G219" s="10"/>
      <c r="L219" s="41"/>
    </row>
    <row r="220">
      <c r="D220" s="10"/>
      <c r="E220" s="10"/>
      <c r="F220" s="10"/>
      <c r="G220" s="10"/>
      <c r="L220" s="41"/>
    </row>
    <row r="221">
      <c r="D221" s="10"/>
      <c r="E221" s="10"/>
      <c r="F221" s="10"/>
      <c r="G221" s="10"/>
    </row>
    <row r="222">
      <c r="D222" s="10"/>
      <c r="E222" s="10"/>
      <c r="F222" s="10"/>
      <c r="G222" s="10"/>
    </row>
    <row r="223">
      <c r="D223" s="10"/>
      <c r="E223" s="10"/>
      <c r="F223" s="10"/>
      <c r="G223" s="10"/>
    </row>
    <row r="224">
      <c r="D224" s="10"/>
      <c r="E224" s="10"/>
      <c r="F224" s="10"/>
      <c r="G224" s="10"/>
    </row>
    <row r="225">
      <c r="D225" s="10"/>
      <c r="E225" s="10"/>
      <c r="F225" s="10"/>
      <c r="G225" s="10"/>
    </row>
    <row r="226">
      <c r="D226" s="10"/>
      <c r="E226" s="10"/>
      <c r="F226" s="10"/>
      <c r="G226" s="10"/>
    </row>
    <row r="227">
      <c r="D227" s="10"/>
      <c r="E227" s="10"/>
      <c r="F227" s="10"/>
      <c r="G227" s="10"/>
    </row>
    <row r="228">
      <c r="D228" s="10"/>
      <c r="E228" s="10"/>
      <c r="F228" s="10"/>
      <c r="G228" s="10"/>
    </row>
    <row r="229">
      <c r="D229" s="10"/>
      <c r="E229" s="10"/>
      <c r="F229" s="10"/>
      <c r="G229" s="10"/>
    </row>
    <row r="230">
      <c r="D230" s="10"/>
      <c r="E230" s="10"/>
      <c r="F230" s="10"/>
      <c r="G230" s="10"/>
    </row>
    <row r="231">
      <c r="D231" s="10"/>
      <c r="E231" s="10"/>
      <c r="F231" s="10"/>
      <c r="G231" s="10"/>
    </row>
    <row r="232">
      <c r="D232" s="10"/>
      <c r="E232" s="10"/>
      <c r="F232" s="10"/>
      <c r="G232" s="10"/>
    </row>
    <row r="233">
      <c r="D233" s="10"/>
      <c r="E233" s="10"/>
      <c r="F233" s="10"/>
      <c r="G233" s="10"/>
    </row>
    <row r="234">
      <c r="D234" s="10"/>
      <c r="E234" s="10"/>
      <c r="F234" s="10"/>
      <c r="G234" s="10"/>
    </row>
    <row r="235">
      <c r="D235" s="10"/>
      <c r="E235" s="10"/>
      <c r="F235" s="10"/>
      <c r="G235" s="10"/>
    </row>
    <row r="236">
      <c r="D236" s="10"/>
      <c r="E236" s="10"/>
      <c r="F236" s="10"/>
      <c r="G236" s="10"/>
    </row>
    <row r="237">
      <c r="D237" s="10"/>
      <c r="E237" s="10"/>
      <c r="F237" s="10"/>
      <c r="G237" s="10"/>
    </row>
    <row r="238">
      <c r="D238" s="10"/>
      <c r="E238" s="10"/>
      <c r="F238" s="10"/>
      <c r="G238" s="10"/>
    </row>
    <row r="239">
      <c r="D239" s="10"/>
      <c r="E239" s="10"/>
      <c r="F239" s="10"/>
      <c r="G239" s="10"/>
    </row>
    <row r="240">
      <c r="D240" s="10"/>
      <c r="E240" s="10"/>
      <c r="F240" s="10"/>
      <c r="G240" s="10"/>
    </row>
    <row r="241">
      <c r="D241" s="10"/>
      <c r="E241" s="10"/>
      <c r="F241" s="10"/>
      <c r="G241" s="10"/>
    </row>
    <row r="242">
      <c r="D242" s="10"/>
      <c r="E242" s="10"/>
      <c r="F242" s="10"/>
      <c r="G242" s="10"/>
    </row>
    <row r="243">
      <c r="D243" s="10"/>
      <c r="E243" s="10"/>
      <c r="F243" s="10"/>
      <c r="G243" s="10"/>
    </row>
    <row r="244">
      <c r="D244" s="10"/>
      <c r="E244" s="10"/>
      <c r="F244" s="10"/>
      <c r="G244" s="10"/>
    </row>
    <row r="245">
      <c r="D245" s="10"/>
      <c r="E245" s="10"/>
      <c r="F245" s="10"/>
      <c r="G245" s="10"/>
    </row>
    <row r="246">
      <c r="D246" s="10"/>
      <c r="E246" s="10"/>
      <c r="F246" s="10"/>
      <c r="G246" s="10"/>
    </row>
    <row r="247">
      <c r="D247" s="10"/>
      <c r="E247" s="10"/>
      <c r="F247" s="10"/>
      <c r="G247" s="10"/>
    </row>
    <row r="248">
      <c r="D248" s="10"/>
      <c r="E248" s="10"/>
      <c r="F248" s="10"/>
      <c r="G248" s="10"/>
    </row>
    <row r="249">
      <c r="D249" s="10"/>
      <c r="E249" s="10"/>
      <c r="F249" s="10"/>
      <c r="G249" s="10"/>
    </row>
    <row r="250">
      <c r="D250" s="10"/>
      <c r="E250" s="10"/>
      <c r="F250" s="10"/>
      <c r="G250" s="10"/>
    </row>
    <row r="251">
      <c r="D251" s="10"/>
      <c r="E251" s="10"/>
      <c r="F251" s="10"/>
      <c r="G251" s="10"/>
    </row>
    <row r="252">
      <c r="D252" s="10"/>
      <c r="E252" s="10"/>
      <c r="F252" s="10"/>
      <c r="G252" s="10"/>
    </row>
    <row r="253">
      <c r="D253" s="10"/>
      <c r="E253" s="10"/>
      <c r="F253" s="10"/>
      <c r="G253" s="10"/>
    </row>
    <row r="254">
      <c r="D254" s="10"/>
      <c r="E254" s="10"/>
      <c r="F254" s="10"/>
      <c r="G254" s="10"/>
    </row>
    <row r="255">
      <c r="D255" s="10"/>
      <c r="E255" s="10"/>
      <c r="F255" s="10"/>
      <c r="G255" s="10"/>
    </row>
    <row r="256">
      <c r="D256" s="10"/>
      <c r="E256" s="10"/>
      <c r="F256" s="10"/>
      <c r="G256" s="10"/>
    </row>
    <row r="257">
      <c r="D257" s="10"/>
      <c r="E257" s="10"/>
      <c r="F257" s="10"/>
      <c r="G257" s="10"/>
    </row>
    <row r="258">
      <c r="D258" s="10"/>
      <c r="E258" s="10"/>
      <c r="F258" s="10"/>
      <c r="G258" s="10"/>
    </row>
    <row r="259">
      <c r="D259" s="10"/>
      <c r="E259" s="10"/>
      <c r="F259" s="10"/>
      <c r="G259" s="10"/>
    </row>
    <row r="260">
      <c r="D260" s="10"/>
      <c r="E260" s="10"/>
      <c r="F260" s="10"/>
      <c r="G260" s="10"/>
    </row>
    <row r="261">
      <c r="D261" s="10"/>
      <c r="E261" s="10"/>
      <c r="F261" s="10"/>
      <c r="G261" s="10"/>
    </row>
    <row r="262">
      <c r="D262" s="10"/>
      <c r="E262" s="10"/>
      <c r="F262" s="10"/>
      <c r="G262" s="10"/>
    </row>
    <row r="263">
      <c r="D263" s="10"/>
      <c r="E263" s="10"/>
      <c r="F263" s="10"/>
      <c r="G263" s="10"/>
    </row>
    <row r="264">
      <c r="D264" s="10"/>
      <c r="E264" s="10"/>
      <c r="F264" s="10"/>
      <c r="G264" s="10"/>
    </row>
    <row r="265">
      <c r="D265" s="10"/>
      <c r="E265" s="10"/>
      <c r="F265" s="10"/>
      <c r="G265" s="10"/>
    </row>
    <row r="266">
      <c r="D266" s="10"/>
      <c r="E266" s="10"/>
      <c r="F266" s="10"/>
      <c r="G266" s="10"/>
    </row>
    <row r="267">
      <c r="D267" s="10"/>
      <c r="E267" s="10"/>
      <c r="F267" s="10"/>
      <c r="G267" s="10"/>
    </row>
    <row r="268">
      <c r="D268" s="10"/>
      <c r="E268" s="10"/>
      <c r="F268" s="10"/>
      <c r="G268" s="10"/>
    </row>
    <row r="269">
      <c r="D269" s="10"/>
      <c r="E269" s="10"/>
      <c r="F269" s="10"/>
      <c r="G269" s="10"/>
    </row>
    <row r="270">
      <c r="D270" s="10"/>
      <c r="E270" s="10"/>
      <c r="F270" s="10"/>
      <c r="G270" s="10"/>
    </row>
    <row r="271">
      <c r="D271" s="10"/>
      <c r="E271" s="10"/>
      <c r="F271" s="10"/>
      <c r="G271" s="10"/>
    </row>
    <row r="272">
      <c r="D272" s="10"/>
      <c r="E272" s="10"/>
      <c r="F272" s="10"/>
      <c r="G272" s="10"/>
    </row>
    <row r="273">
      <c r="D273" s="10"/>
      <c r="E273" s="10"/>
      <c r="F273" s="10"/>
      <c r="G273" s="10"/>
    </row>
    <row r="274">
      <c r="D274" s="10"/>
      <c r="E274" s="10"/>
      <c r="F274" s="10"/>
      <c r="G274" s="10"/>
    </row>
    <row r="275">
      <c r="D275" s="10"/>
      <c r="E275" s="10"/>
      <c r="F275" s="10"/>
      <c r="G275" s="10"/>
    </row>
    <row r="276">
      <c r="D276" s="10"/>
      <c r="E276" s="10"/>
      <c r="F276" s="10"/>
      <c r="G276" s="10"/>
    </row>
    <row r="277">
      <c r="D277" s="10"/>
      <c r="E277" s="10"/>
      <c r="F277" s="10"/>
      <c r="G277" s="10"/>
    </row>
    <row r="278">
      <c r="D278" s="10"/>
      <c r="E278" s="10"/>
      <c r="F278" s="10"/>
      <c r="G278" s="10"/>
    </row>
    <row r="279">
      <c r="D279" s="10"/>
      <c r="E279" s="10"/>
      <c r="F279" s="10"/>
      <c r="G279" s="10"/>
    </row>
    <row r="280">
      <c r="D280" s="10"/>
      <c r="E280" s="10"/>
      <c r="F280" s="10"/>
      <c r="G280" s="10"/>
    </row>
    <row r="281">
      <c r="D281" s="10"/>
      <c r="E281" s="10"/>
      <c r="F281" s="10"/>
      <c r="G281" s="10"/>
    </row>
    <row r="282">
      <c r="D282" s="10"/>
      <c r="E282" s="10"/>
      <c r="F282" s="10"/>
      <c r="G282" s="10"/>
    </row>
    <row r="283">
      <c r="D283" s="10"/>
      <c r="E283" s="10"/>
      <c r="F283" s="10"/>
      <c r="G283" s="10"/>
    </row>
    <row r="284">
      <c r="D284" s="10"/>
      <c r="E284" s="10"/>
      <c r="F284" s="10"/>
      <c r="G284" s="10"/>
    </row>
    <row r="285">
      <c r="D285" s="10"/>
      <c r="E285" s="10"/>
      <c r="F285" s="10"/>
      <c r="G285" s="10"/>
    </row>
    <row r="286">
      <c r="D286" s="10"/>
      <c r="E286" s="10"/>
      <c r="F286" s="10"/>
      <c r="G286" s="10"/>
    </row>
    <row r="287">
      <c r="D287" s="10"/>
      <c r="E287" s="10"/>
      <c r="F287" s="10"/>
      <c r="G287" s="10"/>
    </row>
    <row r="288">
      <c r="D288" s="10"/>
      <c r="E288" s="10"/>
      <c r="F288" s="10"/>
      <c r="G288" s="10"/>
    </row>
    <row r="289">
      <c r="D289" s="10"/>
      <c r="E289" s="10"/>
      <c r="F289" s="10"/>
      <c r="G289" s="10"/>
    </row>
    <row r="290">
      <c r="D290" s="10"/>
      <c r="E290" s="10"/>
      <c r="F290" s="10"/>
      <c r="G290" s="10"/>
    </row>
    <row r="291">
      <c r="D291" s="10"/>
      <c r="E291" s="10"/>
      <c r="F291" s="10"/>
      <c r="G291" s="10"/>
    </row>
    <row r="292">
      <c r="D292" s="10"/>
      <c r="E292" s="10"/>
      <c r="F292" s="10"/>
      <c r="G292" s="10"/>
    </row>
    <row r="293">
      <c r="D293" s="10"/>
      <c r="E293" s="10"/>
      <c r="F293" s="10"/>
      <c r="G293" s="10"/>
    </row>
    <row r="294">
      <c r="D294" s="10"/>
      <c r="E294" s="10"/>
      <c r="F294" s="10"/>
      <c r="G294" s="10"/>
    </row>
    <row r="295">
      <c r="D295" s="10"/>
      <c r="E295" s="10"/>
      <c r="F295" s="10"/>
      <c r="G295" s="10"/>
    </row>
    <row r="296">
      <c r="D296" s="10"/>
      <c r="E296" s="10"/>
      <c r="F296" s="10"/>
      <c r="G296" s="10"/>
    </row>
    <row r="297">
      <c r="D297" s="10"/>
      <c r="E297" s="10"/>
      <c r="F297" s="10"/>
      <c r="G297" s="10"/>
    </row>
    <row r="298">
      <c r="D298" s="10"/>
      <c r="E298" s="10"/>
      <c r="F298" s="10"/>
      <c r="G298" s="10"/>
    </row>
    <row r="299">
      <c r="D299" s="10"/>
      <c r="E299" s="10"/>
      <c r="F299" s="10"/>
      <c r="G299" s="10"/>
    </row>
    <row r="300">
      <c r="D300" s="10"/>
      <c r="E300" s="10"/>
      <c r="F300" s="10"/>
      <c r="G300" s="10"/>
    </row>
    <row r="301">
      <c r="D301" s="10"/>
      <c r="E301" s="10"/>
      <c r="F301" s="10"/>
      <c r="G301" s="10"/>
    </row>
    <row r="302">
      <c r="D302" s="10"/>
      <c r="E302" s="10"/>
      <c r="F302" s="10"/>
      <c r="G302" s="10"/>
    </row>
    <row r="303">
      <c r="D303" s="10"/>
      <c r="E303" s="10"/>
      <c r="F303" s="10"/>
      <c r="G303" s="10"/>
    </row>
    <row r="304">
      <c r="D304" s="10"/>
      <c r="E304" s="10"/>
      <c r="F304" s="10"/>
      <c r="G304" s="10"/>
    </row>
    <row r="305">
      <c r="D305" s="10"/>
      <c r="E305" s="10"/>
      <c r="F305" s="10"/>
      <c r="G305" s="10"/>
    </row>
    <row r="306">
      <c r="D306" s="10"/>
      <c r="E306" s="10"/>
      <c r="F306" s="10"/>
      <c r="G306" s="10"/>
    </row>
    <row r="307">
      <c r="D307" s="10"/>
      <c r="E307" s="10"/>
      <c r="F307" s="10"/>
      <c r="G307" s="10"/>
    </row>
    <row r="308">
      <c r="D308" s="10"/>
      <c r="E308" s="10"/>
      <c r="F308" s="10"/>
      <c r="G308" s="10"/>
    </row>
    <row r="309">
      <c r="D309" s="10"/>
      <c r="E309" s="10"/>
      <c r="F309" s="10"/>
      <c r="G309" s="10"/>
    </row>
    <row r="310">
      <c r="D310" s="10"/>
      <c r="E310" s="10"/>
      <c r="F310" s="10"/>
      <c r="G310" s="10"/>
    </row>
    <row r="311">
      <c r="D311" s="10"/>
      <c r="E311" s="10"/>
      <c r="F311" s="10"/>
      <c r="G311" s="10"/>
    </row>
    <row r="312">
      <c r="D312" s="10"/>
      <c r="E312" s="10"/>
      <c r="F312" s="10"/>
      <c r="G312" s="10"/>
    </row>
    <row r="313">
      <c r="D313" s="10"/>
      <c r="E313" s="10"/>
      <c r="F313" s="10"/>
      <c r="G313" s="10"/>
    </row>
    <row r="314">
      <c r="D314" s="10"/>
      <c r="E314" s="10"/>
      <c r="F314" s="10"/>
      <c r="G314" s="10"/>
    </row>
    <row r="315">
      <c r="D315" s="10"/>
      <c r="E315" s="10"/>
      <c r="F315" s="10"/>
      <c r="G315" s="10"/>
    </row>
    <row r="316">
      <c r="D316" s="10"/>
      <c r="E316" s="10"/>
      <c r="F316" s="10"/>
      <c r="G316" s="10"/>
    </row>
    <row r="317">
      <c r="D317" s="10"/>
      <c r="E317" s="10"/>
      <c r="F317" s="10"/>
      <c r="G317" s="10"/>
    </row>
    <row r="318">
      <c r="D318" s="10"/>
      <c r="E318" s="10"/>
      <c r="F318" s="10"/>
      <c r="G318" s="10"/>
    </row>
    <row r="319">
      <c r="D319" s="10"/>
      <c r="E319" s="10"/>
      <c r="F319" s="10"/>
      <c r="G319" s="10"/>
    </row>
    <row r="320">
      <c r="D320" s="10"/>
      <c r="E320" s="10"/>
      <c r="F320" s="10"/>
      <c r="G320" s="10"/>
    </row>
    <row r="321">
      <c r="D321" s="10"/>
      <c r="E321" s="10"/>
      <c r="F321" s="10"/>
      <c r="G321" s="10"/>
    </row>
    <row r="322">
      <c r="D322" s="10"/>
      <c r="E322" s="10"/>
      <c r="F322" s="10"/>
      <c r="G322" s="10"/>
    </row>
    <row r="323">
      <c r="D323" s="10"/>
      <c r="E323" s="10"/>
      <c r="F323" s="10"/>
      <c r="G323" s="10"/>
    </row>
    <row r="324">
      <c r="D324" s="10"/>
      <c r="E324" s="10"/>
      <c r="F324" s="10"/>
      <c r="G324" s="10"/>
    </row>
    <row r="325">
      <c r="D325" s="10"/>
      <c r="E325" s="10"/>
      <c r="F325" s="10"/>
      <c r="G325" s="10"/>
    </row>
    <row r="326">
      <c r="D326" s="10"/>
      <c r="E326" s="10"/>
      <c r="F326" s="10"/>
      <c r="G326" s="10"/>
    </row>
    <row r="327">
      <c r="D327" s="10"/>
      <c r="E327" s="10"/>
      <c r="F327" s="10"/>
      <c r="G327" s="10"/>
    </row>
    <row r="328">
      <c r="D328" s="10"/>
      <c r="E328" s="10"/>
      <c r="F328" s="10"/>
      <c r="G328" s="10"/>
    </row>
    <row r="329">
      <c r="D329" s="10"/>
      <c r="E329" s="10"/>
      <c r="F329" s="10"/>
      <c r="G329" s="10"/>
    </row>
    <row r="330">
      <c r="D330" s="10"/>
      <c r="E330" s="10"/>
      <c r="F330" s="10"/>
      <c r="G330" s="10"/>
    </row>
    <row r="331">
      <c r="D331" s="10"/>
      <c r="E331" s="10"/>
      <c r="F331" s="10"/>
      <c r="G331" s="10"/>
    </row>
    <row r="332">
      <c r="D332" s="10"/>
      <c r="E332" s="10"/>
      <c r="F332" s="10"/>
      <c r="G332" s="10"/>
    </row>
    <row r="333">
      <c r="D333" s="10"/>
      <c r="E333" s="10"/>
      <c r="F333" s="10"/>
      <c r="G333" s="10"/>
    </row>
    <row r="334">
      <c r="D334" s="10"/>
      <c r="E334" s="10"/>
      <c r="F334" s="10"/>
      <c r="G334" s="10"/>
    </row>
    <row r="335">
      <c r="D335" s="10"/>
      <c r="E335" s="10"/>
      <c r="F335" s="10"/>
      <c r="G335" s="10"/>
    </row>
    <row r="336">
      <c r="D336" s="10"/>
      <c r="E336" s="10"/>
      <c r="F336" s="10"/>
      <c r="G336" s="10"/>
    </row>
    <row r="337">
      <c r="D337" s="10"/>
      <c r="E337" s="10"/>
      <c r="F337" s="10"/>
      <c r="G337" s="10"/>
    </row>
    <row r="338">
      <c r="D338" s="10"/>
      <c r="E338" s="10"/>
      <c r="F338" s="10"/>
      <c r="G338" s="10"/>
    </row>
    <row r="339">
      <c r="D339" s="10"/>
      <c r="E339" s="10"/>
      <c r="F339" s="10"/>
      <c r="G339" s="10"/>
    </row>
    <row r="340">
      <c r="D340" s="10"/>
      <c r="E340" s="10"/>
      <c r="F340" s="10"/>
      <c r="G340" s="10"/>
    </row>
    <row r="341">
      <c r="D341" s="10"/>
      <c r="E341" s="10"/>
      <c r="F341" s="10"/>
      <c r="G341" s="10"/>
    </row>
    <row r="342">
      <c r="D342" s="10"/>
      <c r="E342" s="10"/>
      <c r="F342" s="10"/>
      <c r="G342" s="10"/>
    </row>
    <row r="343">
      <c r="D343" s="10"/>
      <c r="E343" s="10"/>
      <c r="F343" s="10"/>
      <c r="G343" s="10"/>
    </row>
    <row r="344">
      <c r="D344" s="10"/>
      <c r="E344" s="10"/>
      <c r="F344" s="10"/>
      <c r="G344" s="10"/>
    </row>
    <row r="345">
      <c r="D345" s="10"/>
      <c r="E345" s="10"/>
      <c r="F345" s="10"/>
      <c r="G345" s="10"/>
    </row>
    <row r="346">
      <c r="D346" s="10"/>
      <c r="E346" s="10"/>
      <c r="F346" s="10"/>
      <c r="G346" s="10"/>
    </row>
    <row r="347">
      <c r="D347" s="10"/>
      <c r="E347" s="10"/>
      <c r="F347" s="10"/>
      <c r="G347" s="10"/>
    </row>
    <row r="348">
      <c r="D348" s="10"/>
      <c r="E348" s="10"/>
      <c r="F348" s="10"/>
      <c r="G348" s="10"/>
    </row>
    <row r="349">
      <c r="D349" s="10"/>
      <c r="E349" s="10"/>
      <c r="F349" s="10"/>
      <c r="G349" s="10"/>
    </row>
    <row r="350">
      <c r="D350" s="10"/>
      <c r="E350" s="10"/>
      <c r="F350" s="10"/>
      <c r="G350" s="10"/>
    </row>
    <row r="351">
      <c r="D351" s="10"/>
      <c r="E351" s="10"/>
      <c r="F351" s="10"/>
      <c r="G351" s="10"/>
    </row>
    <row r="352">
      <c r="D352" s="10"/>
      <c r="E352" s="10"/>
      <c r="F352" s="10"/>
      <c r="G352" s="10"/>
    </row>
    <row r="353">
      <c r="D353" s="10"/>
      <c r="E353" s="10"/>
      <c r="F353" s="10"/>
      <c r="G353" s="10"/>
    </row>
    <row r="354">
      <c r="D354" s="10"/>
      <c r="E354" s="10"/>
      <c r="F354" s="10"/>
      <c r="G354" s="10"/>
    </row>
    <row r="355">
      <c r="D355" s="10"/>
      <c r="E355" s="10"/>
      <c r="F355" s="10"/>
      <c r="G355" s="10"/>
    </row>
    <row r="356">
      <c r="D356" s="10"/>
      <c r="E356" s="10"/>
      <c r="F356" s="10"/>
      <c r="G356" s="10"/>
    </row>
    <row r="357">
      <c r="D357" s="10"/>
      <c r="E357" s="10"/>
      <c r="F357" s="10"/>
      <c r="G357" s="10"/>
    </row>
    <row r="358">
      <c r="D358" s="10"/>
      <c r="E358" s="10"/>
      <c r="F358" s="10"/>
      <c r="G358" s="10"/>
    </row>
    <row r="359">
      <c r="D359" s="10"/>
      <c r="E359" s="10"/>
      <c r="F359" s="10"/>
      <c r="G359" s="10"/>
    </row>
    <row r="360">
      <c r="D360" s="10"/>
      <c r="E360" s="10"/>
      <c r="F360" s="10"/>
      <c r="G360" s="10"/>
    </row>
    <row r="361">
      <c r="D361" s="10"/>
      <c r="E361" s="10"/>
      <c r="F361" s="10"/>
      <c r="G361" s="10"/>
    </row>
    <row r="362">
      <c r="D362" s="10"/>
      <c r="E362" s="10"/>
      <c r="F362" s="10"/>
      <c r="G362" s="10"/>
    </row>
    <row r="363">
      <c r="D363" s="10"/>
      <c r="E363" s="10"/>
      <c r="F363" s="10"/>
      <c r="G363" s="10"/>
    </row>
    <row r="364">
      <c r="D364" s="10"/>
      <c r="E364" s="10"/>
      <c r="F364" s="10"/>
      <c r="G364" s="10"/>
    </row>
    <row r="365">
      <c r="D365" s="10"/>
      <c r="E365" s="10"/>
      <c r="F365" s="10"/>
      <c r="G365" s="10"/>
    </row>
    <row r="366">
      <c r="D366" s="10"/>
      <c r="E366" s="10"/>
      <c r="F366" s="10"/>
      <c r="G366" s="10"/>
    </row>
    <row r="367">
      <c r="D367" s="10"/>
      <c r="E367" s="10"/>
      <c r="F367" s="10"/>
      <c r="G367" s="10"/>
    </row>
    <row r="368">
      <c r="D368" s="10"/>
      <c r="E368" s="10"/>
      <c r="F368" s="10"/>
      <c r="G368" s="10"/>
    </row>
    <row r="369">
      <c r="D369" s="10"/>
      <c r="E369" s="10"/>
      <c r="F369" s="10"/>
      <c r="G369" s="10"/>
    </row>
    <row r="370">
      <c r="D370" s="10"/>
      <c r="E370" s="10"/>
      <c r="F370" s="10"/>
      <c r="G370" s="10"/>
    </row>
    <row r="371">
      <c r="D371" s="10"/>
      <c r="E371" s="10"/>
      <c r="F371" s="10"/>
      <c r="G371" s="10"/>
    </row>
    <row r="372">
      <c r="D372" s="10"/>
      <c r="E372" s="10"/>
      <c r="F372" s="10"/>
      <c r="G372" s="10"/>
    </row>
    <row r="373">
      <c r="D373" s="10"/>
      <c r="E373" s="10"/>
      <c r="F373" s="10"/>
      <c r="G373" s="10"/>
    </row>
    <row r="374">
      <c r="D374" s="10"/>
      <c r="E374" s="10"/>
      <c r="F374" s="10"/>
      <c r="G374" s="10"/>
    </row>
    <row r="375">
      <c r="D375" s="10"/>
      <c r="E375" s="10"/>
      <c r="F375" s="10"/>
      <c r="G375" s="10"/>
    </row>
    <row r="376">
      <c r="D376" s="10"/>
      <c r="E376" s="10"/>
      <c r="F376" s="10"/>
      <c r="G376" s="10"/>
    </row>
    <row r="377">
      <c r="D377" s="10"/>
      <c r="E377" s="10"/>
      <c r="F377" s="10"/>
      <c r="G377" s="10"/>
    </row>
    <row r="378">
      <c r="D378" s="10"/>
      <c r="E378" s="10"/>
      <c r="F378" s="10"/>
      <c r="G378" s="10"/>
    </row>
    <row r="379">
      <c r="D379" s="10"/>
      <c r="E379" s="10"/>
      <c r="F379" s="10"/>
      <c r="G379" s="10"/>
    </row>
    <row r="380">
      <c r="D380" s="10"/>
      <c r="E380" s="10"/>
      <c r="F380" s="10"/>
      <c r="G380" s="10"/>
    </row>
    <row r="381">
      <c r="D381" s="10"/>
      <c r="E381" s="10"/>
      <c r="F381" s="10"/>
      <c r="G381" s="10"/>
    </row>
    <row r="382">
      <c r="D382" s="10"/>
      <c r="E382" s="10"/>
      <c r="F382" s="10"/>
      <c r="G382" s="10"/>
    </row>
    <row r="383">
      <c r="D383" s="10"/>
      <c r="E383" s="10"/>
      <c r="F383" s="10"/>
      <c r="G383" s="10"/>
    </row>
    <row r="384">
      <c r="D384" s="10"/>
      <c r="E384" s="10"/>
      <c r="F384" s="10"/>
      <c r="G384" s="10"/>
    </row>
    <row r="385">
      <c r="D385" s="10"/>
      <c r="E385" s="10"/>
      <c r="F385" s="10"/>
      <c r="G385" s="10"/>
    </row>
    <row r="386">
      <c r="D386" s="10"/>
      <c r="E386" s="10"/>
      <c r="F386" s="10"/>
      <c r="G386" s="10"/>
    </row>
    <row r="387">
      <c r="D387" s="10"/>
      <c r="E387" s="10"/>
      <c r="F387" s="10"/>
      <c r="G387" s="10"/>
    </row>
    <row r="388">
      <c r="D388" s="10"/>
      <c r="E388" s="10"/>
      <c r="F388" s="10"/>
      <c r="G388" s="10"/>
    </row>
    <row r="389">
      <c r="D389" s="10"/>
      <c r="E389" s="10"/>
      <c r="F389" s="10"/>
      <c r="G389" s="10"/>
    </row>
    <row r="390">
      <c r="D390" s="10"/>
      <c r="E390" s="10"/>
      <c r="F390" s="10"/>
      <c r="G390" s="10"/>
    </row>
    <row r="391">
      <c r="D391" s="10"/>
      <c r="E391" s="10"/>
      <c r="F391" s="10"/>
      <c r="G391" s="10"/>
    </row>
    <row r="392">
      <c r="D392" s="10"/>
      <c r="E392" s="10"/>
      <c r="F392" s="10"/>
      <c r="G392" s="10"/>
    </row>
    <row r="393">
      <c r="D393" s="10"/>
      <c r="E393" s="10"/>
      <c r="F393" s="10"/>
      <c r="G393" s="10"/>
    </row>
    <row r="394">
      <c r="D394" s="10"/>
      <c r="E394" s="10"/>
      <c r="F394" s="10"/>
      <c r="G394" s="10"/>
    </row>
    <row r="395">
      <c r="D395" s="10"/>
      <c r="E395" s="10"/>
      <c r="F395" s="10"/>
      <c r="G395" s="10"/>
    </row>
    <row r="396">
      <c r="D396" s="10"/>
      <c r="E396" s="10"/>
      <c r="F396" s="10"/>
      <c r="G396" s="10"/>
    </row>
    <row r="397">
      <c r="D397" s="10"/>
      <c r="E397" s="10"/>
      <c r="F397" s="10"/>
      <c r="G397" s="10"/>
    </row>
    <row r="398">
      <c r="D398" s="10"/>
      <c r="E398" s="10"/>
      <c r="F398" s="10"/>
      <c r="G398" s="10"/>
    </row>
    <row r="399">
      <c r="D399" s="10"/>
      <c r="E399" s="10"/>
      <c r="F399" s="10"/>
      <c r="G399" s="10"/>
    </row>
    <row r="400">
      <c r="D400" s="10"/>
      <c r="E400" s="10"/>
      <c r="F400" s="10"/>
      <c r="G400" s="10"/>
    </row>
    <row r="401">
      <c r="D401" s="10"/>
      <c r="E401" s="10"/>
      <c r="F401" s="10"/>
      <c r="G401" s="10"/>
    </row>
    <row r="402">
      <c r="D402" s="10"/>
      <c r="E402" s="10"/>
      <c r="F402" s="10"/>
      <c r="G402" s="10"/>
    </row>
    <row r="403">
      <c r="D403" s="10"/>
      <c r="E403" s="10"/>
      <c r="F403" s="10"/>
      <c r="G403" s="10"/>
    </row>
    <row r="404">
      <c r="D404" s="10"/>
      <c r="E404" s="10"/>
      <c r="F404" s="10"/>
      <c r="G404" s="10"/>
    </row>
    <row r="405">
      <c r="D405" s="10"/>
      <c r="E405" s="10"/>
      <c r="F405" s="10"/>
      <c r="G405" s="10"/>
    </row>
    <row r="406">
      <c r="D406" s="10"/>
      <c r="E406" s="10"/>
      <c r="F406" s="10"/>
      <c r="G406" s="10"/>
    </row>
    <row r="407">
      <c r="D407" s="10"/>
      <c r="E407" s="10"/>
      <c r="F407" s="10"/>
      <c r="G407" s="10"/>
    </row>
    <row r="408">
      <c r="D408" s="10"/>
      <c r="E408" s="10"/>
      <c r="F408" s="10"/>
      <c r="G408" s="10"/>
    </row>
    <row r="409">
      <c r="D409" s="10"/>
      <c r="E409" s="10"/>
      <c r="F409" s="10"/>
      <c r="G409" s="10"/>
    </row>
    <row r="410">
      <c r="D410" s="10"/>
      <c r="E410" s="10"/>
      <c r="F410" s="10"/>
      <c r="G410" s="10"/>
    </row>
    <row r="411">
      <c r="D411" s="10"/>
      <c r="E411" s="10"/>
      <c r="F411" s="10"/>
      <c r="G411" s="10"/>
    </row>
    <row r="412">
      <c r="D412" s="10"/>
      <c r="E412" s="10"/>
      <c r="F412" s="10"/>
      <c r="G412" s="10"/>
    </row>
    <row r="413">
      <c r="D413" s="10"/>
      <c r="E413" s="10"/>
      <c r="F413" s="10"/>
      <c r="G413" s="10"/>
    </row>
    <row r="414">
      <c r="D414" s="10"/>
      <c r="E414" s="10"/>
      <c r="F414" s="10"/>
      <c r="G414" s="10"/>
    </row>
    <row r="415">
      <c r="D415" s="10"/>
      <c r="E415" s="10"/>
      <c r="F415" s="10"/>
      <c r="G415" s="10"/>
    </row>
    <row r="416">
      <c r="D416" s="10"/>
      <c r="E416" s="10"/>
      <c r="F416" s="10"/>
      <c r="G416" s="10"/>
    </row>
    <row r="417">
      <c r="D417" s="10"/>
      <c r="E417" s="10"/>
      <c r="F417" s="10"/>
      <c r="G417" s="10"/>
    </row>
    <row r="418">
      <c r="D418" s="10"/>
      <c r="E418" s="10"/>
      <c r="F418" s="10"/>
      <c r="G418" s="10"/>
    </row>
    <row r="419">
      <c r="D419" s="10"/>
      <c r="E419" s="10"/>
      <c r="F419" s="10"/>
      <c r="G419" s="10"/>
    </row>
    <row r="420">
      <c r="D420" s="10"/>
      <c r="E420" s="10"/>
      <c r="F420" s="10"/>
      <c r="G420" s="10"/>
    </row>
    <row r="421">
      <c r="D421" s="10"/>
      <c r="E421" s="10"/>
      <c r="F421" s="10"/>
      <c r="G421" s="10"/>
    </row>
    <row r="422">
      <c r="D422" s="10"/>
      <c r="E422" s="10"/>
      <c r="F422" s="10"/>
      <c r="G422" s="10"/>
    </row>
    <row r="423">
      <c r="D423" s="10"/>
      <c r="E423" s="10"/>
      <c r="F423" s="10"/>
      <c r="G423" s="10"/>
    </row>
    <row r="424">
      <c r="D424" s="10"/>
      <c r="E424" s="10"/>
      <c r="F424" s="10"/>
      <c r="G424" s="10"/>
    </row>
    <row r="425">
      <c r="D425" s="10"/>
      <c r="E425" s="10"/>
      <c r="F425" s="10"/>
      <c r="G425" s="10"/>
    </row>
    <row r="426">
      <c r="D426" s="10"/>
      <c r="E426" s="10"/>
      <c r="F426" s="10"/>
      <c r="G426" s="10"/>
    </row>
    <row r="427">
      <c r="D427" s="10"/>
      <c r="E427" s="10"/>
      <c r="F427" s="10"/>
      <c r="G427" s="10"/>
    </row>
    <row r="428">
      <c r="D428" s="10"/>
      <c r="E428" s="10"/>
      <c r="F428" s="10"/>
      <c r="G428" s="10"/>
    </row>
    <row r="429">
      <c r="D429" s="10"/>
      <c r="E429" s="10"/>
      <c r="F429" s="10"/>
      <c r="G429" s="10"/>
    </row>
    <row r="430">
      <c r="D430" s="10"/>
      <c r="E430" s="10"/>
      <c r="F430" s="10"/>
      <c r="G430" s="10"/>
    </row>
    <row r="431">
      <c r="D431" s="10"/>
      <c r="E431" s="10"/>
      <c r="F431" s="10"/>
      <c r="G431" s="10"/>
    </row>
    <row r="432">
      <c r="D432" s="10"/>
      <c r="E432" s="10"/>
      <c r="F432" s="10"/>
      <c r="G432" s="10"/>
    </row>
    <row r="433">
      <c r="D433" s="10"/>
      <c r="E433" s="10"/>
      <c r="F433" s="10"/>
      <c r="G433" s="10"/>
    </row>
    <row r="434">
      <c r="D434" s="10"/>
      <c r="E434" s="10"/>
      <c r="F434" s="10"/>
      <c r="G434" s="10"/>
    </row>
    <row r="435">
      <c r="D435" s="10"/>
      <c r="E435" s="10"/>
      <c r="F435" s="10"/>
      <c r="G435" s="10"/>
    </row>
    <row r="436">
      <c r="D436" s="10"/>
      <c r="E436" s="10"/>
      <c r="F436" s="10"/>
      <c r="G436" s="10"/>
    </row>
    <row r="437">
      <c r="D437" s="10"/>
      <c r="E437" s="10"/>
      <c r="F437" s="10"/>
      <c r="G437" s="10"/>
    </row>
    <row r="438">
      <c r="D438" s="10"/>
      <c r="E438" s="10"/>
      <c r="F438" s="10"/>
      <c r="G438" s="10"/>
    </row>
    <row r="439">
      <c r="D439" s="10"/>
      <c r="E439" s="10"/>
      <c r="F439" s="10"/>
      <c r="G439" s="10"/>
    </row>
    <row r="440">
      <c r="D440" s="10"/>
      <c r="E440" s="10"/>
      <c r="F440" s="10"/>
      <c r="G440" s="10"/>
    </row>
    <row r="441">
      <c r="D441" s="10"/>
      <c r="E441" s="10"/>
      <c r="F441" s="10"/>
      <c r="G441" s="10"/>
    </row>
    <row r="442">
      <c r="D442" s="10"/>
      <c r="E442" s="10"/>
      <c r="F442" s="10"/>
      <c r="G442" s="10"/>
    </row>
    <row r="443">
      <c r="D443" s="10"/>
      <c r="E443" s="10"/>
      <c r="F443" s="10"/>
      <c r="G443" s="10"/>
    </row>
    <row r="444">
      <c r="D444" s="10"/>
      <c r="E444" s="10"/>
      <c r="F444" s="10"/>
      <c r="G444" s="10"/>
    </row>
    <row r="445">
      <c r="D445" s="10"/>
      <c r="E445" s="10"/>
      <c r="F445" s="10"/>
      <c r="G445" s="10"/>
    </row>
    <row r="446">
      <c r="D446" s="10"/>
      <c r="E446" s="10"/>
      <c r="F446" s="10"/>
      <c r="G446" s="10"/>
    </row>
    <row r="447">
      <c r="D447" s="10"/>
      <c r="E447" s="10"/>
      <c r="F447" s="10"/>
      <c r="G447" s="10"/>
    </row>
    <row r="448">
      <c r="D448" s="10"/>
      <c r="E448" s="10"/>
      <c r="F448" s="10"/>
      <c r="G448" s="10"/>
    </row>
    <row r="449">
      <c r="D449" s="10"/>
      <c r="E449" s="10"/>
      <c r="F449" s="10"/>
      <c r="G449" s="10"/>
    </row>
    <row r="450">
      <c r="D450" s="10"/>
      <c r="E450" s="10"/>
      <c r="F450" s="10"/>
      <c r="G450" s="10"/>
    </row>
    <row r="451">
      <c r="D451" s="10"/>
      <c r="E451" s="10"/>
      <c r="F451" s="10"/>
      <c r="G451" s="10"/>
    </row>
    <row r="452">
      <c r="D452" s="10"/>
      <c r="E452" s="10"/>
      <c r="F452" s="10"/>
      <c r="G452" s="10"/>
    </row>
    <row r="453">
      <c r="D453" s="10"/>
      <c r="E453" s="10"/>
      <c r="F453" s="10"/>
      <c r="G453" s="10"/>
    </row>
    <row r="454">
      <c r="D454" s="10"/>
      <c r="E454" s="10"/>
      <c r="F454" s="10"/>
      <c r="G454" s="10"/>
    </row>
    <row r="455">
      <c r="D455" s="10"/>
      <c r="E455" s="10"/>
      <c r="F455" s="10"/>
      <c r="G455" s="10"/>
    </row>
    <row r="456">
      <c r="D456" s="10"/>
      <c r="E456" s="10"/>
      <c r="F456" s="10"/>
      <c r="G456" s="10"/>
    </row>
    <row r="457">
      <c r="D457" s="10"/>
      <c r="E457" s="10"/>
      <c r="F457" s="10"/>
      <c r="G457" s="10"/>
    </row>
    <row r="458">
      <c r="D458" s="10"/>
      <c r="E458" s="10"/>
      <c r="F458" s="10"/>
      <c r="G458" s="10"/>
    </row>
    <row r="459">
      <c r="D459" s="10"/>
      <c r="E459" s="10"/>
      <c r="F459" s="10"/>
      <c r="G459" s="10"/>
    </row>
    <row r="460">
      <c r="D460" s="10"/>
      <c r="E460" s="10"/>
      <c r="F460" s="10"/>
      <c r="G460" s="10"/>
    </row>
    <row r="461">
      <c r="D461" s="10"/>
      <c r="E461" s="10"/>
      <c r="F461" s="10"/>
      <c r="G461" s="10"/>
    </row>
    <row r="462">
      <c r="D462" s="10"/>
      <c r="E462" s="10"/>
      <c r="F462" s="10"/>
      <c r="G462" s="10"/>
    </row>
    <row r="463">
      <c r="D463" s="10"/>
      <c r="E463" s="10"/>
      <c r="F463" s="10"/>
      <c r="G463" s="10"/>
    </row>
    <row r="464">
      <c r="D464" s="10"/>
      <c r="E464" s="10"/>
      <c r="F464" s="10"/>
      <c r="G464" s="10"/>
    </row>
    <row r="465">
      <c r="D465" s="10"/>
      <c r="E465" s="10"/>
      <c r="F465" s="10"/>
      <c r="G465" s="10"/>
    </row>
    <row r="466">
      <c r="D466" s="10"/>
      <c r="E466" s="10"/>
      <c r="F466" s="10"/>
      <c r="G466" s="10"/>
    </row>
    <row r="467">
      <c r="D467" s="10"/>
      <c r="E467" s="10"/>
      <c r="F467" s="10"/>
      <c r="G467" s="10"/>
    </row>
    <row r="468">
      <c r="D468" s="10"/>
      <c r="E468" s="10"/>
      <c r="F468" s="10"/>
      <c r="G468" s="10"/>
    </row>
    <row r="469">
      <c r="D469" s="10"/>
      <c r="E469" s="10"/>
      <c r="F469" s="10"/>
      <c r="G469" s="10"/>
    </row>
    <row r="470">
      <c r="D470" s="10"/>
      <c r="E470" s="10"/>
      <c r="F470" s="10"/>
      <c r="G470" s="10"/>
    </row>
    <row r="471">
      <c r="D471" s="10"/>
      <c r="E471" s="10"/>
      <c r="F471" s="10"/>
      <c r="G471" s="10"/>
    </row>
    <row r="472">
      <c r="D472" s="10"/>
      <c r="E472" s="10"/>
      <c r="F472" s="10"/>
      <c r="G472" s="10"/>
    </row>
    <row r="473">
      <c r="D473" s="10"/>
      <c r="E473" s="10"/>
      <c r="F473" s="10"/>
      <c r="G473" s="10"/>
    </row>
    <row r="474">
      <c r="D474" s="10"/>
      <c r="E474" s="10"/>
      <c r="F474" s="10"/>
      <c r="G474" s="10"/>
    </row>
    <row r="475">
      <c r="D475" s="10"/>
      <c r="E475" s="10"/>
      <c r="F475" s="10"/>
      <c r="G475" s="10"/>
    </row>
    <row r="476">
      <c r="D476" s="10"/>
      <c r="E476" s="10"/>
      <c r="F476" s="10"/>
      <c r="G476" s="10"/>
    </row>
    <row r="477">
      <c r="D477" s="10"/>
      <c r="E477" s="10"/>
      <c r="F477" s="10"/>
      <c r="G477" s="10"/>
    </row>
    <row r="478">
      <c r="D478" s="10"/>
      <c r="E478" s="10"/>
      <c r="F478" s="10"/>
      <c r="G478" s="10"/>
    </row>
    <row r="479">
      <c r="D479" s="10"/>
      <c r="E479" s="10"/>
      <c r="F479" s="10"/>
      <c r="G479" s="10"/>
    </row>
    <row r="480">
      <c r="D480" s="10"/>
      <c r="E480" s="10"/>
      <c r="F480" s="10"/>
      <c r="G480" s="10"/>
    </row>
    <row r="481">
      <c r="D481" s="10"/>
      <c r="E481" s="10"/>
      <c r="F481" s="10"/>
      <c r="G481" s="10"/>
    </row>
    <row r="482">
      <c r="D482" s="10"/>
      <c r="E482" s="10"/>
      <c r="F482" s="10"/>
      <c r="G482" s="10"/>
    </row>
    <row r="483">
      <c r="D483" s="10"/>
      <c r="E483" s="10"/>
      <c r="F483" s="10"/>
      <c r="G483" s="10"/>
    </row>
    <row r="484">
      <c r="D484" s="10"/>
      <c r="E484" s="10"/>
      <c r="F484" s="10"/>
      <c r="G484" s="10"/>
    </row>
    <row r="485">
      <c r="D485" s="10"/>
      <c r="E485" s="10"/>
      <c r="F485" s="10"/>
      <c r="G485" s="10"/>
    </row>
    <row r="486">
      <c r="D486" s="10"/>
      <c r="E486" s="10"/>
      <c r="F486" s="10"/>
      <c r="G486" s="10"/>
    </row>
    <row r="487">
      <c r="D487" s="10"/>
      <c r="E487" s="10"/>
      <c r="F487" s="10"/>
      <c r="G487" s="10"/>
    </row>
    <row r="488">
      <c r="D488" s="10"/>
      <c r="E488" s="10"/>
      <c r="F488" s="10"/>
      <c r="G488" s="10"/>
    </row>
    <row r="489">
      <c r="D489" s="10"/>
      <c r="E489" s="10"/>
      <c r="F489" s="10"/>
      <c r="G489" s="10"/>
    </row>
    <row r="490">
      <c r="D490" s="10"/>
      <c r="E490" s="10"/>
      <c r="F490" s="10"/>
      <c r="G490" s="10"/>
    </row>
    <row r="491">
      <c r="D491" s="10"/>
      <c r="E491" s="10"/>
      <c r="F491" s="10"/>
      <c r="G491" s="10"/>
    </row>
    <row r="492">
      <c r="D492" s="10"/>
      <c r="E492" s="10"/>
      <c r="F492" s="10"/>
      <c r="G492" s="10"/>
    </row>
    <row r="493">
      <c r="D493" s="10"/>
      <c r="E493" s="10"/>
      <c r="F493" s="10"/>
      <c r="G493" s="10"/>
    </row>
    <row r="494">
      <c r="D494" s="10"/>
      <c r="E494" s="10"/>
      <c r="F494" s="10"/>
      <c r="G494" s="10"/>
    </row>
    <row r="495">
      <c r="D495" s="10"/>
      <c r="E495" s="10"/>
      <c r="F495" s="10"/>
      <c r="G495" s="10"/>
    </row>
    <row r="496">
      <c r="D496" s="10"/>
      <c r="E496" s="10"/>
      <c r="F496" s="10"/>
      <c r="G496" s="10"/>
    </row>
    <row r="497">
      <c r="D497" s="10"/>
      <c r="E497" s="10"/>
      <c r="F497" s="10"/>
      <c r="G497" s="10"/>
    </row>
    <row r="498">
      <c r="D498" s="10"/>
      <c r="E498" s="10"/>
      <c r="F498" s="10"/>
      <c r="G498" s="10"/>
    </row>
    <row r="499">
      <c r="D499" s="10"/>
      <c r="E499" s="10"/>
      <c r="F499" s="10"/>
      <c r="G499" s="10"/>
    </row>
    <row r="500">
      <c r="D500" s="10"/>
      <c r="E500" s="10"/>
      <c r="F500" s="10"/>
      <c r="G500" s="10"/>
    </row>
    <row r="501">
      <c r="D501" s="10"/>
      <c r="E501" s="10"/>
      <c r="F501" s="10"/>
      <c r="G501" s="10"/>
    </row>
    <row r="502">
      <c r="D502" s="10"/>
      <c r="E502" s="10"/>
      <c r="F502" s="10"/>
      <c r="G502" s="10"/>
    </row>
    <row r="503">
      <c r="D503" s="10"/>
      <c r="E503" s="10"/>
      <c r="F503" s="10"/>
      <c r="G503" s="10"/>
    </row>
    <row r="504">
      <c r="D504" s="10"/>
      <c r="E504" s="10"/>
      <c r="F504" s="10"/>
      <c r="G504" s="10"/>
    </row>
    <row r="505">
      <c r="D505" s="10"/>
      <c r="E505" s="10"/>
      <c r="F505" s="10"/>
      <c r="G505" s="10"/>
    </row>
    <row r="506">
      <c r="D506" s="10"/>
      <c r="E506" s="10"/>
      <c r="F506" s="10"/>
      <c r="G506" s="10"/>
    </row>
    <row r="507">
      <c r="D507" s="10"/>
      <c r="E507" s="10"/>
      <c r="F507" s="10"/>
      <c r="G507" s="10"/>
    </row>
    <row r="508">
      <c r="D508" s="10"/>
      <c r="E508" s="10"/>
      <c r="F508" s="10"/>
      <c r="G508" s="10"/>
    </row>
    <row r="509">
      <c r="D509" s="10"/>
      <c r="E509" s="10"/>
      <c r="F509" s="10"/>
      <c r="G509" s="10"/>
    </row>
    <row r="510">
      <c r="D510" s="10"/>
      <c r="E510" s="10"/>
      <c r="F510" s="10"/>
      <c r="G510" s="10"/>
    </row>
    <row r="511">
      <c r="D511" s="10"/>
      <c r="E511" s="10"/>
      <c r="F511" s="10"/>
      <c r="G511" s="10"/>
    </row>
    <row r="512">
      <c r="D512" s="10"/>
      <c r="E512" s="10"/>
      <c r="F512" s="10"/>
      <c r="G512" s="10"/>
    </row>
    <row r="513">
      <c r="D513" s="10"/>
      <c r="E513" s="10"/>
      <c r="F513" s="10"/>
      <c r="G513" s="10"/>
    </row>
    <row r="514">
      <c r="D514" s="10"/>
      <c r="E514" s="10"/>
      <c r="F514" s="10"/>
      <c r="G514" s="10"/>
    </row>
    <row r="515">
      <c r="D515" s="10"/>
      <c r="E515" s="10"/>
      <c r="F515" s="10"/>
      <c r="G515" s="10"/>
    </row>
    <row r="516">
      <c r="D516" s="10"/>
      <c r="E516" s="10"/>
      <c r="F516" s="10"/>
      <c r="G516" s="10"/>
    </row>
    <row r="517">
      <c r="D517" s="10"/>
      <c r="E517" s="10"/>
      <c r="F517" s="10"/>
      <c r="G517" s="10"/>
    </row>
    <row r="518">
      <c r="D518" s="10"/>
      <c r="E518" s="10"/>
      <c r="F518" s="10"/>
      <c r="G518" s="10"/>
    </row>
    <row r="519">
      <c r="D519" s="10"/>
      <c r="E519" s="10"/>
      <c r="F519" s="10"/>
      <c r="G519" s="10"/>
    </row>
    <row r="520">
      <c r="D520" s="10"/>
      <c r="E520" s="10"/>
      <c r="F520" s="10"/>
      <c r="G520" s="10"/>
    </row>
    <row r="521">
      <c r="D521" s="10"/>
      <c r="E521" s="10"/>
      <c r="F521" s="10"/>
      <c r="G521" s="10"/>
    </row>
    <row r="522">
      <c r="D522" s="10"/>
      <c r="E522" s="10"/>
      <c r="F522" s="10"/>
      <c r="G522" s="10"/>
    </row>
    <row r="523">
      <c r="D523" s="10"/>
      <c r="E523" s="10"/>
      <c r="F523" s="10"/>
      <c r="G523" s="10"/>
    </row>
    <row r="524">
      <c r="D524" s="10"/>
      <c r="E524" s="10"/>
      <c r="F524" s="10"/>
      <c r="G524" s="10"/>
    </row>
    <row r="525">
      <c r="D525" s="10"/>
      <c r="E525" s="10"/>
      <c r="F525" s="10"/>
      <c r="G525" s="10"/>
    </row>
    <row r="526">
      <c r="D526" s="10"/>
      <c r="E526" s="10"/>
      <c r="F526" s="10"/>
      <c r="G526" s="10"/>
    </row>
    <row r="527">
      <c r="D527" s="10"/>
      <c r="E527" s="10"/>
      <c r="F527" s="10"/>
      <c r="G527" s="10"/>
    </row>
    <row r="528">
      <c r="D528" s="10"/>
      <c r="E528" s="10"/>
      <c r="F528" s="10"/>
      <c r="G528" s="10"/>
    </row>
    <row r="529">
      <c r="D529" s="10"/>
      <c r="E529" s="10"/>
      <c r="F529" s="10"/>
      <c r="G529" s="10"/>
    </row>
    <row r="530">
      <c r="D530" s="10"/>
      <c r="E530" s="10"/>
      <c r="F530" s="10"/>
      <c r="G530" s="10"/>
    </row>
    <row r="531">
      <c r="D531" s="10"/>
      <c r="E531" s="10"/>
      <c r="F531" s="10"/>
      <c r="G531" s="10"/>
    </row>
    <row r="532">
      <c r="D532" s="10"/>
      <c r="E532" s="10"/>
      <c r="F532" s="10"/>
      <c r="G532" s="10"/>
    </row>
    <row r="533">
      <c r="D533" s="10"/>
      <c r="E533" s="10"/>
      <c r="F533" s="10"/>
      <c r="G533" s="10"/>
    </row>
    <row r="534">
      <c r="D534" s="10"/>
      <c r="E534" s="10"/>
      <c r="F534" s="10"/>
      <c r="G534" s="10"/>
    </row>
    <row r="535">
      <c r="D535" s="10"/>
      <c r="E535" s="10"/>
      <c r="F535" s="10"/>
      <c r="G535" s="10"/>
    </row>
    <row r="536">
      <c r="D536" s="10"/>
      <c r="E536" s="10"/>
      <c r="F536" s="10"/>
      <c r="G536" s="10"/>
    </row>
    <row r="537">
      <c r="D537" s="10"/>
      <c r="E537" s="10"/>
      <c r="F537" s="10"/>
      <c r="G537" s="10"/>
    </row>
    <row r="538">
      <c r="D538" s="10"/>
      <c r="E538" s="10"/>
      <c r="F538" s="10"/>
      <c r="G538" s="10"/>
    </row>
    <row r="539">
      <c r="D539" s="10"/>
      <c r="E539" s="10"/>
      <c r="F539" s="10"/>
      <c r="G539" s="10"/>
    </row>
    <row r="540">
      <c r="D540" s="10"/>
      <c r="E540" s="10"/>
      <c r="F540" s="10"/>
      <c r="G540" s="10"/>
    </row>
    <row r="541">
      <c r="D541" s="10"/>
      <c r="E541" s="10"/>
      <c r="F541" s="10"/>
      <c r="G541" s="10"/>
    </row>
    <row r="542">
      <c r="D542" s="10"/>
      <c r="E542" s="10"/>
      <c r="F542" s="10"/>
      <c r="G542" s="10"/>
    </row>
    <row r="543">
      <c r="D543" s="10"/>
      <c r="E543" s="10"/>
      <c r="F543" s="10"/>
      <c r="G543" s="10"/>
    </row>
    <row r="544">
      <c r="D544" s="10"/>
      <c r="E544" s="10"/>
      <c r="F544" s="10"/>
      <c r="G544" s="10"/>
    </row>
    <row r="545">
      <c r="D545" s="10"/>
      <c r="E545" s="10"/>
      <c r="F545" s="10"/>
      <c r="G545" s="10"/>
    </row>
    <row r="546">
      <c r="D546" s="10"/>
      <c r="E546" s="10"/>
      <c r="F546" s="10"/>
      <c r="G546" s="10"/>
    </row>
    <row r="547">
      <c r="D547" s="10"/>
      <c r="E547" s="10"/>
      <c r="F547" s="10"/>
      <c r="G547" s="10"/>
    </row>
    <row r="548">
      <c r="D548" s="10"/>
      <c r="E548" s="10"/>
      <c r="F548" s="10"/>
      <c r="G548" s="10"/>
    </row>
    <row r="549">
      <c r="D549" s="10"/>
      <c r="E549" s="10"/>
      <c r="F549" s="10"/>
      <c r="G549" s="10"/>
    </row>
    <row r="550">
      <c r="D550" s="10"/>
      <c r="E550" s="10"/>
      <c r="F550" s="10"/>
      <c r="G550" s="10"/>
    </row>
    <row r="551">
      <c r="D551" s="10"/>
      <c r="E551" s="10"/>
      <c r="F551" s="10"/>
      <c r="G551" s="10"/>
    </row>
    <row r="552">
      <c r="D552" s="10"/>
      <c r="E552" s="10"/>
      <c r="F552" s="10"/>
      <c r="G552" s="10"/>
    </row>
    <row r="553">
      <c r="D553" s="10"/>
      <c r="E553" s="10"/>
      <c r="F553" s="10"/>
      <c r="G553" s="10"/>
    </row>
    <row r="554">
      <c r="D554" s="10"/>
      <c r="E554" s="10"/>
      <c r="F554" s="10"/>
      <c r="G554" s="10"/>
    </row>
    <row r="555">
      <c r="D555" s="10"/>
      <c r="E555" s="10"/>
      <c r="F555" s="10"/>
      <c r="G555" s="10"/>
    </row>
    <row r="556">
      <c r="D556" s="10"/>
      <c r="E556" s="10"/>
      <c r="F556" s="10"/>
      <c r="G556" s="10"/>
    </row>
    <row r="557">
      <c r="D557" s="10"/>
      <c r="E557" s="10"/>
      <c r="F557" s="10"/>
      <c r="G557" s="10"/>
    </row>
    <row r="558">
      <c r="D558" s="10"/>
      <c r="E558" s="10"/>
      <c r="F558" s="10"/>
      <c r="G558" s="10"/>
    </row>
    <row r="559">
      <c r="D559" s="10"/>
      <c r="E559" s="10"/>
      <c r="F559" s="10"/>
      <c r="G559" s="10"/>
    </row>
    <row r="560">
      <c r="D560" s="10"/>
      <c r="E560" s="10"/>
      <c r="F560" s="10"/>
      <c r="G560" s="10"/>
    </row>
    <row r="561">
      <c r="D561" s="10"/>
      <c r="E561" s="10"/>
      <c r="F561" s="10"/>
      <c r="G561" s="10"/>
    </row>
    <row r="562">
      <c r="D562" s="10"/>
      <c r="E562" s="10"/>
      <c r="F562" s="10"/>
      <c r="G562" s="10"/>
    </row>
    <row r="563">
      <c r="D563" s="10"/>
      <c r="E563" s="10"/>
      <c r="F563" s="10"/>
      <c r="G563" s="10"/>
    </row>
    <row r="564">
      <c r="D564" s="10"/>
      <c r="E564" s="10"/>
      <c r="F564" s="10"/>
      <c r="G564" s="10"/>
    </row>
    <row r="565">
      <c r="D565" s="10"/>
      <c r="E565" s="10"/>
      <c r="F565" s="10"/>
      <c r="G565" s="10"/>
    </row>
    <row r="566">
      <c r="D566" s="10"/>
      <c r="E566" s="10"/>
      <c r="F566" s="10"/>
      <c r="G566" s="10"/>
    </row>
    <row r="567">
      <c r="D567" s="10"/>
      <c r="E567" s="10"/>
      <c r="F567" s="10"/>
      <c r="G567" s="10"/>
    </row>
    <row r="568">
      <c r="D568" s="10"/>
      <c r="E568" s="10"/>
      <c r="F568" s="10"/>
      <c r="G568" s="10"/>
    </row>
    <row r="569">
      <c r="D569" s="10"/>
      <c r="E569" s="10"/>
      <c r="F569" s="10"/>
      <c r="G569" s="10"/>
    </row>
    <row r="570">
      <c r="D570" s="10"/>
      <c r="E570" s="10"/>
      <c r="F570" s="10"/>
      <c r="G570" s="10"/>
    </row>
    <row r="571">
      <c r="D571" s="10"/>
      <c r="E571" s="10"/>
      <c r="F571" s="10"/>
      <c r="G571" s="10"/>
    </row>
    <row r="572">
      <c r="D572" s="10"/>
      <c r="E572" s="10"/>
      <c r="F572" s="10"/>
      <c r="G572" s="10"/>
    </row>
    <row r="573">
      <c r="D573" s="10"/>
      <c r="E573" s="10"/>
      <c r="F573" s="10"/>
      <c r="G573" s="10"/>
    </row>
    <row r="574">
      <c r="D574" s="10"/>
      <c r="E574" s="10"/>
      <c r="F574" s="10"/>
      <c r="G574" s="10"/>
    </row>
    <row r="575">
      <c r="D575" s="10"/>
      <c r="E575" s="10"/>
      <c r="F575" s="10"/>
      <c r="G575" s="10"/>
    </row>
    <row r="576">
      <c r="D576" s="10"/>
      <c r="E576" s="10"/>
      <c r="F576" s="10"/>
      <c r="G576" s="10"/>
    </row>
    <row r="577">
      <c r="D577" s="10"/>
      <c r="E577" s="10"/>
      <c r="F577" s="10"/>
      <c r="G577" s="10"/>
    </row>
    <row r="578">
      <c r="D578" s="10"/>
      <c r="E578" s="10"/>
      <c r="F578" s="10"/>
      <c r="G578" s="10"/>
    </row>
    <row r="579">
      <c r="D579" s="10"/>
      <c r="E579" s="10"/>
      <c r="F579" s="10"/>
      <c r="G579" s="10"/>
    </row>
    <row r="580">
      <c r="D580" s="10"/>
      <c r="E580" s="10"/>
      <c r="F580" s="10"/>
      <c r="G580" s="10"/>
    </row>
    <row r="581">
      <c r="D581" s="10"/>
      <c r="E581" s="10"/>
      <c r="F581" s="10"/>
      <c r="G581" s="10"/>
    </row>
    <row r="582">
      <c r="D582" s="10"/>
      <c r="E582" s="10"/>
      <c r="F582" s="10"/>
      <c r="G582" s="10"/>
    </row>
    <row r="583">
      <c r="D583" s="10"/>
      <c r="E583" s="10"/>
      <c r="F583" s="10"/>
      <c r="G583" s="10"/>
    </row>
    <row r="584">
      <c r="D584" s="10"/>
      <c r="E584" s="10"/>
      <c r="F584" s="10"/>
      <c r="G584" s="10"/>
    </row>
    <row r="585">
      <c r="D585" s="10"/>
      <c r="E585" s="10"/>
      <c r="F585" s="10"/>
      <c r="G585" s="10"/>
    </row>
    <row r="586">
      <c r="D586" s="10"/>
      <c r="E586" s="10"/>
      <c r="F586" s="10"/>
      <c r="G586" s="10"/>
    </row>
    <row r="587">
      <c r="D587" s="10"/>
      <c r="E587" s="10"/>
      <c r="F587" s="10"/>
      <c r="G587" s="10"/>
    </row>
    <row r="588">
      <c r="D588" s="10"/>
      <c r="E588" s="10"/>
      <c r="F588" s="10"/>
      <c r="G588" s="10"/>
    </row>
    <row r="589">
      <c r="D589" s="10"/>
      <c r="E589" s="10"/>
      <c r="F589" s="10"/>
      <c r="G589" s="10"/>
    </row>
    <row r="590">
      <c r="D590" s="10"/>
      <c r="E590" s="10"/>
      <c r="F590" s="10"/>
      <c r="G590" s="10"/>
    </row>
    <row r="591">
      <c r="D591" s="10"/>
      <c r="E591" s="10"/>
      <c r="F591" s="10"/>
      <c r="G591" s="10"/>
    </row>
    <row r="592">
      <c r="D592" s="10"/>
      <c r="E592" s="10"/>
      <c r="F592" s="10"/>
      <c r="G592" s="10"/>
    </row>
    <row r="593">
      <c r="D593" s="10"/>
      <c r="E593" s="10"/>
      <c r="F593" s="10"/>
      <c r="G593" s="10"/>
    </row>
    <row r="594">
      <c r="D594" s="10"/>
      <c r="E594" s="10"/>
      <c r="F594" s="10"/>
      <c r="G594" s="10"/>
    </row>
    <row r="595">
      <c r="D595" s="10"/>
      <c r="E595" s="10"/>
      <c r="F595" s="10"/>
      <c r="G595" s="10"/>
    </row>
    <row r="596">
      <c r="D596" s="10"/>
      <c r="E596" s="10"/>
      <c r="F596" s="10"/>
      <c r="G596" s="10"/>
    </row>
    <row r="597">
      <c r="D597" s="10"/>
      <c r="E597" s="10"/>
      <c r="F597" s="10"/>
      <c r="G597" s="10"/>
    </row>
    <row r="598">
      <c r="D598" s="10"/>
      <c r="E598" s="10"/>
      <c r="F598" s="10"/>
      <c r="G598" s="10"/>
    </row>
    <row r="599">
      <c r="D599" s="10"/>
      <c r="E599" s="10"/>
      <c r="F599" s="10"/>
      <c r="G599" s="10"/>
    </row>
    <row r="600">
      <c r="D600" s="10"/>
      <c r="E600" s="10"/>
      <c r="F600" s="10"/>
      <c r="G600" s="10"/>
    </row>
    <row r="601">
      <c r="D601" s="10"/>
      <c r="E601" s="10"/>
      <c r="F601" s="10"/>
      <c r="G601" s="10"/>
    </row>
    <row r="602">
      <c r="D602" s="10"/>
      <c r="E602" s="10"/>
      <c r="F602" s="10"/>
      <c r="G602" s="10"/>
    </row>
    <row r="603">
      <c r="D603" s="10"/>
      <c r="E603" s="10"/>
      <c r="F603" s="10"/>
      <c r="G603" s="10"/>
    </row>
    <row r="604">
      <c r="D604" s="10"/>
      <c r="E604" s="10"/>
      <c r="F604" s="10"/>
      <c r="G604" s="10"/>
    </row>
    <row r="605">
      <c r="D605" s="10"/>
      <c r="E605" s="10"/>
      <c r="F605" s="10"/>
      <c r="G605" s="10"/>
    </row>
    <row r="606">
      <c r="D606" s="10"/>
      <c r="E606" s="10"/>
      <c r="F606" s="10"/>
      <c r="G606" s="10"/>
    </row>
    <row r="607">
      <c r="D607" s="10"/>
      <c r="E607" s="10"/>
      <c r="F607" s="10"/>
      <c r="G607" s="10"/>
    </row>
    <row r="608">
      <c r="D608" s="10"/>
      <c r="E608" s="10"/>
      <c r="F608" s="10"/>
      <c r="G608" s="10"/>
    </row>
    <row r="609">
      <c r="D609" s="10"/>
      <c r="E609" s="10"/>
      <c r="F609" s="10"/>
      <c r="G609" s="10"/>
    </row>
    <row r="610">
      <c r="D610" s="10"/>
      <c r="E610" s="10"/>
      <c r="F610" s="10"/>
      <c r="G610" s="10"/>
    </row>
    <row r="611">
      <c r="D611" s="10"/>
      <c r="E611" s="10"/>
      <c r="F611" s="10"/>
      <c r="G611" s="10"/>
    </row>
    <row r="612">
      <c r="D612" s="10"/>
      <c r="E612" s="10"/>
      <c r="F612" s="10"/>
      <c r="G612" s="10"/>
    </row>
    <row r="613">
      <c r="D613" s="10"/>
      <c r="E613" s="10"/>
      <c r="F613" s="10"/>
      <c r="G613" s="10"/>
    </row>
    <row r="614">
      <c r="D614" s="10"/>
      <c r="E614" s="10"/>
      <c r="F614" s="10"/>
      <c r="G614" s="10"/>
    </row>
    <row r="615">
      <c r="D615" s="10"/>
      <c r="E615" s="10"/>
      <c r="F615" s="10"/>
      <c r="G615" s="10"/>
    </row>
    <row r="616">
      <c r="D616" s="10"/>
      <c r="E616" s="10"/>
      <c r="F616" s="10"/>
      <c r="G616" s="10"/>
    </row>
    <row r="617">
      <c r="D617" s="10"/>
      <c r="E617" s="10"/>
      <c r="F617" s="10"/>
      <c r="G617" s="10"/>
    </row>
    <row r="618">
      <c r="D618" s="10"/>
      <c r="E618" s="10"/>
      <c r="F618" s="10"/>
      <c r="G618" s="10"/>
    </row>
    <row r="619">
      <c r="D619" s="10"/>
      <c r="E619" s="10"/>
      <c r="F619" s="10"/>
      <c r="G619" s="10"/>
    </row>
    <row r="620">
      <c r="D620" s="10"/>
      <c r="E620" s="10"/>
      <c r="F620" s="10"/>
      <c r="G620" s="10"/>
    </row>
    <row r="621">
      <c r="D621" s="10"/>
      <c r="E621" s="10"/>
      <c r="F621" s="10"/>
      <c r="G621" s="10"/>
    </row>
    <row r="622">
      <c r="D622" s="10"/>
      <c r="E622" s="10"/>
      <c r="F622" s="10"/>
      <c r="G622" s="10"/>
    </row>
    <row r="623">
      <c r="D623" s="10"/>
      <c r="E623" s="10"/>
      <c r="F623" s="10"/>
      <c r="G623" s="10"/>
    </row>
    <row r="624">
      <c r="D624" s="10"/>
      <c r="E624" s="10"/>
      <c r="F624" s="10"/>
      <c r="G624" s="10"/>
    </row>
    <row r="625">
      <c r="D625" s="10"/>
      <c r="E625" s="10"/>
      <c r="F625" s="10"/>
      <c r="G625" s="10"/>
    </row>
    <row r="626">
      <c r="D626" s="10"/>
      <c r="E626" s="10"/>
      <c r="F626" s="10"/>
      <c r="G626" s="10"/>
    </row>
    <row r="627">
      <c r="D627" s="10"/>
      <c r="E627" s="10"/>
      <c r="F627" s="10"/>
      <c r="G627" s="10"/>
    </row>
    <row r="628">
      <c r="D628" s="10"/>
      <c r="E628" s="10"/>
      <c r="F628" s="10"/>
      <c r="G628" s="10"/>
    </row>
    <row r="629">
      <c r="D629" s="10"/>
      <c r="E629" s="10"/>
      <c r="F629" s="10"/>
      <c r="G629" s="10"/>
    </row>
    <row r="630">
      <c r="D630" s="10"/>
      <c r="E630" s="10"/>
      <c r="F630" s="10"/>
      <c r="G630" s="10"/>
    </row>
    <row r="631">
      <c r="D631" s="10"/>
      <c r="E631" s="10"/>
      <c r="F631" s="10"/>
      <c r="G631" s="10"/>
    </row>
    <row r="632">
      <c r="D632" s="10"/>
      <c r="E632" s="10"/>
      <c r="F632" s="10"/>
      <c r="G632" s="10"/>
    </row>
    <row r="633">
      <c r="D633" s="10"/>
      <c r="E633" s="10"/>
      <c r="F633" s="10"/>
      <c r="G633" s="10"/>
    </row>
    <row r="634">
      <c r="D634" s="10"/>
      <c r="E634" s="10"/>
      <c r="F634" s="10"/>
      <c r="G634" s="10"/>
    </row>
    <row r="635">
      <c r="D635" s="10"/>
      <c r="E635" s="10"/>
      <c r="F635" s="10"/>
      <c r="G635" s="10"/>
    </row>
    <row r="636">
      <c r="D636" s="10"/>
      <c r="E636" s="10"/>
      <c r="F636" s="10"/>
      <c r="G636" s="10"/>
    </row>
    <row r="637">
      <c r="D637" s="10"/>
      <c r="E637" s="10"/>
      <c r="F637" s="10"/>
      <c r="G637" s="10"/>
    </row>
    <row r="638">
      <c r="D638" s="10"/>
      <c r="E638" s="10"/>
      <c r="F638" s="10"/>
      <c r="G638" s="10"/>
    </row>
    <row r="639">
      <c r="D639" s="10"/>
      <c r="E639" s="10"/>
      <c r="F639" s="10"/>
      <c r="G639" s="10"/>
    </row>
    <row r="640">
      <c r="D640" s="10"/>
      <c r="E640" s="10"/>
      <c r="F640" s="10"/>
      <c r="G640" s="10"/>
    </row>
    <row r="641">
      <c r="D641" s="10"/>
      <c r="E641" s="10"/>
      <c r="F641" s="10"/>
      <c r="G641" s="10"/>
    </row>
    <row r="642">
      <c r="D642" s="10"/>
      <c r="E642" s="10"/>
      <c r="F642" s="10"/>
      <c r="G642" s="10"/>
    </row>
    <row r="643">
      <c r="D643" s="10"/>
      <c r="E643" s="10"/>
      <c r="F643" s="10"/>
      <c r="G643" s="10"/>
    </row>
    <row r="644">
      <c r="D644" s="10"/>
      <c r="E644" s="10"/>
      <c r="F644" s="10"/>
      <c r="G644" s="10"/>
    </row>
    <row r="645">
      <c r="D645" s="10"/>
      <c r="E645" s="10"/>
      <c r="F645" s="10"/>
      <c r="G645" s="10"/>
    </row>
    <row r="646">
      <c r="D646" s="10"/>
      <c r="E646" s="10"/>
      <c r="F646" s="10"/>
      <c r="G646" s="10"/>
    </row>
    <row r="647">
      <c r="D647" s="10"/>
      <c r="E647" s="10"/>
      <c r="F647" s="10"/>
      <c r="G647" s="10"/>
    </row>
    <row r="648">
      <c r="D648" s="10"/>
      <c r="E648" s="10"/>
      <c r="F648" s="10"/>
      <c r="G648" s="10"/>
    </row>
    <row r="649">
      <c r="D649" s="10"/>
      <c r="E649" s="10"/>
      <c r="F649" s="10"/>
      <c r="G649" s="10"/>
    </row>
    <row r="650">
      <c r="D650" s="10"/>
      <c r="E650" s="10"/>
      <c r="F650" s="10"/>
      <c r="G650" s="10"/>
    </row>
    <row r="651">
      <c r="D651" s="10"/>
      <c r="E651" s="10"/>
      <c r="F651" s="10"/>
      <c r="G651" s="10"/>
    </row>
    <row r="652">
      <c r="D652" s="10"/>
      <c r="E652" s="10"/>
      <c r="F652" s="10"/>
      <c r="G652" s="10"/>
    </row>
    <row r="653">
      <c r="D653" s="10"/>
      <c r="E653" s="10"/>
      <c r="F653" s="10"/>
      <c r="G653" s="10"/>
    </row>
    <row r="654">
      <c r="D654" s="10"/>
      <c r="E654" s="10"/>
      <c r="F654" s="10"/>
      <c r="G654" s="10"/>
    </row>
    <row r="655">
      <c r="D655" s="10"/>
      <c r="E655" s="10"/>
      <c r="F655" s="10"/>
      <c r="G655" s="10"/>
    </row>
    <row r="656">
      <c r="D656" s="10"/>
      <c r="E656" s="10"/>
      <c r="F656" s="10"/>
      <c r="G656" s="10"/>
    </row>
    <row r="657">
      <c r="D657" s="10"/>
      <c r="E657" s="10"/>
      <c r="F657" s="10"/>
      <c r="G657" s="10"/>
    </row>
    <row r="658">
      <c r="D658" s="10"/>
      <c r="E658" s="10"/>
      <c r="F658" s="10"/>
      <c r="G658" s="10"/>
    </row>
    <row r="659">
      <c r="D659" s="10"/>
      <c r="E659" s="10"/>
      <c r="F659" s="10"/>
      <c r="G659" s="10"/>
    </row>
    <row r="660">
      <c r="D660" s="10"/>
      <c r="E660" s="10"/>
      <c r="F660" s="10"/>
      <c r="G660" s="10"/>
    </row>
    <row r="661">
      <c r="D661" s="10"/>
      <c r="E661" s="10"/>
      <c r="F661" s="10"/>
      <c r="G661" s="10"/>
    </row>
    <row r="662">
      <c r="D662" s="10"/>
      <c r="E662" s="10"/>
      <c r="F662" s="10"/>
      <c r="G662" s="10"/>
    </row>
    <row r="663">
      <c r="D663" s="10"/>
      <c r="E663" s="10"/>
      <c r="F663" s="10"/>
      <c r="G663" s="10"/>
    </row>
    <row r="664">
      <c r="D664" s="10"/>
      <c r="E664" s="10"/>
      <c r="F664" s="10"/>
      <c r="G664" s="10"/>
    </row>
    <row r="665">
      <c r="D665" s="10"/>
      <c r="E665" s="10"/>
      <c r="F665" s="10"/>
      <c r="G665" s="10"/>
    </row>
    <row r="666">
      <c r="D666" s="10"/>
      <c r="E666" s="10"/>
      <c r="F666" s="10"/>
      <c r="G666" s="10"/>
    </row>
    <row r="667">
      <c r="D667" s="10"/>
      <c r="E667" s="10"/>
      <c r="F667" s="10"/>
      <c r="G667" s="10"/>
    </row>
    <row r="668">
      <c r="D668" s="10"/>
      <c r="E668" s="10"/>
      <c r="F668" s="10"/>
      <c r="G668" s="10"/>
    </row>
    <row r="669">
      <c r="D669" s="10"/>
      <c r="E669" s="10"/>
      <c r="F669" s="10"/>
      <c r="G669" s="10"/>
    </row>
    <row r="670">
      <c r="D670" s="10"/>
      <c r="E670" s="10"/>
      <c r="F670" s="10"/>
      <c r="G670" s="10"/>
    </row>
    <row r="671">
      <c r="D671" s="10"/>
      <c r="E671" s="10"/>
      <c r="F671" s="10"/>
      <c r="G671" s="10"/>
    </row>
    <row r="672">
      <c r="D672" s="10"/>
      <c r="E672" s="10"/>
      <c r="F672" s="10"/>
      <c r="G672" s="10"/>
    </row>
    <row r="673">
      <c r="D673" s="10"/>
      <c r="E673" s="10"/>
      <c r="F673" s="10"/>
      <c r="G673" s="10"/>
    </row>
    <row r="674">
      <c r="D674" s="10"/>
      <c r="E674" s="10"/>
      <c r="F674" s="10"/>
      <c r="G674" s="10"/>
    </row>
    <row r="675">
      <c r="D675" s="10"/>
      <c r="E675" s="10"/>
      <c r="F675" s="10"/>
      <c r="G675" s="10"/>
    </row>
    <row r="676">
      <c r="D676" s="10"/>
      <c r="E676" s="10"/>
      <c r="F676" s="10"/>
      <c r="G676" s="10"/>
    </row>
    <row r="677">
      <c r="D677" s="10"/>
      <c r="E677" s="10"/>
      <c r="F677" s="10"/>
      <c r="G677" s="10"/>
    </row>
    <row r="678">
      <c r="D678" s="10"/>
      <c r="E678" s="10"/>
      <c r="F678" s="10"/>
      <c r="G678" s="10"/>
    </row>
    <row r="679">
      <c r="D679" s="10"/>
      <c r="E679" s="10"/>
      <c r="F679" s="10"/>
      <c r="G679" s="10"/>
    </row>
    <row r="680">
      <c r="D680" s="10"/>
      <c r="E680" s="10"/>
      <c r="F680" s="10"/>
      <c r="G680" s="10"/>
    </row>
    <row r="681">
      <c r="D681" s="10"/>
      <c r="E681" s="10"/>
      <c r="F681" s="10"/>
      <c r="G681" s="10"/>
    </row>
    <row r="682">
      <c r="D682" s="10"/>
      <c r="E682" s="10"/>
      <c r="F682" s="10"/>
      <c r="G682" s="10"/>
    </row>
    <row r="683">
      <c r="D683" s="10"/>
      <c r="E683" s="10"/>
      <c r="F683" s="10"/>
      <c r="G683" s="10"/>
    </row>
    <row r="684">
      <c r="D684" s="10"/>
      <c r="E684" s="10"/>
      <c r="F684" s="10"/>
      <c r="G684" s="10"/>
    </row>
    <row r="685">
      <c r="D685" s="10"/>
      <c r="E685" s="10"/>
      <c r="F685" s="10"/>
      <c r="G685" s="10"/>
    </row>
    <row r="686">
      <c r="D686" s="10"/>
      <c r="E686" s="10"/>
      <c r="F686" s="10"/>
      <c r="G686" s="10"/>
    </row>
    <row r="687">
      <c r="D687" s="10"/>
      <c r="E687" s="10"/>
      <c r="F687" s="10"/>
      <c r="G687" s="10"/>
    </row>
    <row r="688">
      <c r="D688" s="10"/>
      <c r="E688" s="10"/>
      <c r="F688" s="10"/>
      <c r="G688" s="10"/>
    </row>
    <row r="689">
      <c r="D689" s="10"/>
      <c r="E689" s="10"/>
      <c r="F689" s="10"/>
      <c r="G689" s="10"/>
    </row>
    <row r="690">
      <c r="D690" s="10"/>
      <c r="E690" s="10"/>
      <c r="F690" s="10"/>
      <c r="G690" s="10"/>
    </row>
    <row r="691">
      <c r="D691" s="10"/>
      <c r="E691" s="10"/>
      <c r="F691" s="10"/>
      <c r="G691" s="10"/>
    </row>
    <row r="692">
      <c r="D692" s="10"/>
      <c r="E692" s="10"/>
      <c r="F692" s="10"/>
      <c r="G692" s="10"/>
    </row>
    <row r="693">
      <c r="D693" s="10"/>
      <c r="E693" s="10"/>
      <c r="F693" s="10"/>
      <c r="G693" s="10"/>
    </row>
    <row r="694">
      <c r="D694" s="10"/>
      <c r="E694" s="10"/>
      <c r="F694" s="10"/>
      <c r="G694" s="10"/>
    </row>
    <row r="695">
      <c r="D695" s="10"/>
      <c r="E695" s="10"/>
      <c r="F695" s="10"/>
      <c r="G695" s="10"/>
    </row>
    <row r="696">
      <c r="D696" s="10"/>
      <c r="E696" s="10"/>
      <c r="F696" s="10"/>
      <c r="G696" s="10"/>
    </row>
    <row r="697">
      <c r="D697" s="10"/>
      <c r="E697" s="10"/>
      <c r="F697" s="10"/>
      <c r="G697" s="10"/>
    </row>
    <row r="698">
      <c r="D698" s="10"/>
      <c r="E698" s="10"/>
      <c r="F698" s="10"/>
      <c r="G698" s="10"/>
    </row>
    <row r="699">
      <c r="D699" s="10"/>
      <c r="E699" s="10"/>
      <c r="F699" s="10"/>
      <c r="G699" s="10"/>
    </row>
    <row r="700">
      <c r="D700" s="10"/>
      <c r="E700" s="10"/>
      <c r="F700" s="10"/>
      <c r="G700" s="10"/>
    </row>
    <row r="701">
      <c r="D701" s="10"/>
      <c r="E701" s="10"/>
      <c r="F701" s="10"/>
      <c r="G701" s="10"/>
    </row>
    <row r="702">
      <c r="D702" s="10"/>
      <c r="E702" s="10"/>
      <c r="F702" s="10"/>
      <c r="G702" s="10"/>
    </row>
    <row r="703">
      <c r="D703" s="10"/>
      <c r="E703" s="10"/>
      <c r="F703" s="10"/>
      <c r="G703" s="10"/>
    </row>
    <row r="704">
      <c r="D704" s="10"/>
      <c r="E704" s="10"/>
      <c r="F704" s="10"/>
      <c r="G704" s="10"/>
    </row>
    <row r="705">
      <c r="D705" s="10"/>
      <c r="E705" s="10"/>
      <c r="F705" s="10"/>
      <c r="G705" s="10"/>
    </row>
    <row r="706">
      <c r="D706" s="10"/>
      <c r="E706" s="10"/>
      <c r="F706" s="10"/>
      <c r="G706" s="10"/>
    </row>
    <row r="707">
      <c r="D707" s="10"/>
      <c r="E707" s="10"/>
      <c r="F707" s="10"/>
      <c r="G707" s="10"/>
    </row>
    <row r="708">
      <c r="D708" s="10"/>
      <c r="E708" s="10"/>
      <c r="F708" s="10"/>
      <c r="G708" s="10"/>
    </row>
    <row r="709">
      <c r="D709" s="10"/>
      <c r="E709" s="10"/>
      <c r="F709" s="10"/>
      <c r="G709" s="10"/>
    </row>
    <row r="710">
      <c r="D710" s="10"/>
      <c r="E710" s="10"/>
      <c r="F710" s="10"/>
      <c r="G710" s="10"/>
    </row>
    <row r="711">
      <c r="D711" s="10"/>
      <c r="E711" s="10"/>
      <c r="F711" s="10"/>
      <c r="G711" s="10"/>
    </row>
    <row r="712">
      <c r="D712" s="10"/>
      <c r="E712" s="10"/>
      <c r="F712" s="10"/>
      <c r="G712" s="10"/>
    </row>
    <row r="713">
      <c r="D713" s="10"/>
      <c r="E713" s="10"/>
      <c r="F713" s="10"/>
      <c r="G713" s="10"/>
    </row>
    <row r="714">
      <c r="D714" s="10"/>
      <c r="E714" s="10"/>
      <c r="F714" s="10"/>
      <c r="G714" s="10"/>
    </row>
    <row r="715">
      <c r="D715" s="10"/>
      <c r="E715" s="10"/>
      <c r="F715" s="10"/>
      <c r="G715" s="10"/>
    </row>
    <row r="716">
      <c r="D716" s="10"/>
      <c r="E716" s="10"/>
      <c r="F716" s="10"/>
      <c r="G716" s="10"/>
    </row>
    <row r="717">
      <c r="D717" s="10"/>
      <c r="E717" s="10"/>
      <c r="F717" s="10"/>
      <c r="G717" s="10"/>
    </row>
    <row r="718">
      <c r="D718" s="10"/>
      <c r="E718" s="10"/>
      <c r="F718" s="10"/>
      <c r="G718" s="10"/>
    </row>
    <row r="719">
      <c r="D719" s="10"/>
      <c r="E719" s="10"/>
      <c r="F719" s="10"/>
      <c r="G719" s="10"/>
    </row>
    <row r="720">
      <c r="D720" s="10"/>
      <c r="E720" s="10"/>
      <c r="F720" s="10"/>
      <c r="G720" s="10"/>
    </row>
    <row r="721">
      <c r="D721" s="10"/>
      <c r="E721" s="10"/>
      <c r="F721" s="10"/>
      <c r="G721" s="10"/>
    </row>
    <row r="722">
      <c r="D722" s="10"/>
      <c r="E722" s="10"/>
      <c r="F722" s="10"/>
      <c r="G722" s="10"/>
    </row>
    <row r="723">
      <c r="D723" s="10"/>
      <c r="E723" s="10"/>
      <c r="F723" s="10"/>
      <c r="G723" s="10"/>
    </row>
    <row r="724">
      <c r="D724" s="10"/>
      <c r="E724" s="10"/>
      <c r="F724" s="10"/>
      <c r="G724" s="10"/>
    </row>
    <row r="725">
      <c r="D725" s="10"/>
      <c r="E725" s="10"/>
      <c r="F725" s="10"/>
      <c r="G725" s="10"/>
    </row>
    <row r="726">
      <c r="D726" s="10"/>
      <c r="E726" s="10"/>
      <c r="F726" s="10"/>
      <c r="G726" s="10"/>
    </row>
    <row r="727">
      <c r="D727" s="10"/>
      <c r="E727" s="10"/>
      <c r="F727" s="10"/>
      <c r="G727" s="10"/>
    </row>
    <row r="728">
      <c r="D728" s="10"/>
      <c r="E728" s="10"/>
      <c r="F728" s="10"/>
      <c r="G728" s="10"/>
    </row>
    <row r="729">
      <c r="D729" s="10"/>
      <c r="E729" s="10"/>
      <c r="F729" s="10"/>
      <c r="G729" s="10"/>
    </row>
    <row r="730">
      <c r="D730" s="10"/>
      <c r="E730" s="10"/>
      <c r="F730" s="10"/>
      <c r="G730" s="10"/>
    </row>
    <row r="731">
      <c r="D731" s="10"/>
      <c r="E731" s="10"/>
      <c r="F731" s="10"/>
      <c r="G731" s="10"/>
    </row>
    <row r="732">
      <c r="D732" s="10"/>
      <c r="E732" s="10"/>
      <c r="F732" s="10"/>
      <c r="G732" s="10"/>
    </row>
    <row r="733">
      <c r="D733" s="10"/>
      <c r="E733" s="10"/>
      <c r="F733" s="10"/>
      <c r="G733" s="10"/>
    </row>
    <row r="734">
      <c r="D734" s="10"/>
      <c r="E734" s="10"/>
      <c r="F734" s="10"/>
      <c r="G734" s="10"/>
    </row>
    <row r="735">
      <c r="D735" s="10"/>
      <c r="E735" s="10"/>
      <c r="F735" s="10"/>
      <c r="G735" s="10"/>
    </row>
    <row r="736">
      <c r="D736" s="10"/>
      <c r="E736" s="10"/>
      <c r="F736" s="10"/>
      <c r="G736" s="10"/>
    </row>
    <row r="737">
      <c r="D737" s="10"/>
      <c r="E737" s="10"/>
      <c r="F737" s="10"/>
      <c r="G737" s="10"/>
    </row>
    <row r="738">
      <c r="D738" s="10"/>
      <c r="E738" s="10"/>
      <c r="F738" s="10"/>
      <c r="G738" s="10"/>
    </row>
    <row r="739">
      <c r="D739" s="10"/>
      <c r="E739" s="10"/>
      <c r="F739" s="10"/>
      <c r="G739" s="10"/>
    </row>
    <row r="740">
      <c r="D740" s="10"/>
      <c r="E740" s="10"/>
      <c r="F740" s="10"/>
      <c r="G740" s="10"/>
    </row>
    <row r="741">
      <c r="D741" s="10"/>
      <c r="E741" s="10"/>
      <c r="F741" s="10"/>
      <c r="G741" s="10"/>
    </row>
    <row r="742">
      <c r="D742" s="10"/>
      <c r="E742" s="10"/>
      <c r="F742" s="10"/>
      <c r="G742" s="10"/>
    </row>
    <row r="743">
      <c r="D743" s="10"/>
      <c r="E743" s="10"/>
      <c r="F743" s="10"/>
      <c r="G743" s="10"/>
    </row>
    <row r="744">
      <c r="D744" s="10"/>
      <c r="E744" s="10"/>
      <c r="F744" s="10"/>
      <c r="G744" s="10"/>
    </row>
    <row r="745">
      <c r="D745" s="10"/>
      <c r="E745" s="10"/>
      <c r="F745" s="10"/>
      <c r="G745" s="10"/>
    </row>
    <row r="746">
      <c r="D746" s="10"/>
      <c r="E746" s="10"/>
      <c r="F746" s="10"/>
      <c r="G746" s="10"/>
    </row>
    <row r="747">
      <c r="D747" s="10"/>
      <c r="E747" s="10"/>
      <c r="F747" s="10"/>
      <c r="G747" s="10"/>
    </row>
    <row r="748">
      <c r="D748" s="10"/>
      <c r="E748" s="10"/>
      <c r="F748" s="10"/>
      <c r="G748" s="10"/>
    </row>
    <row r="749">
      <c r="D749" s="10"/>
      <c r="E749" s="10"/>
      <c r="F749" s="10"/>
      <c r="G749" s="10"/>
    </row>
    <row r="750">
      <c r="D750" s="10"/>
      <c r="E750" s="10"/>
      <c r="F750" s="10"/>
      <c r="G750" s="10"/>
    </row>
    <row r="751">
      <c r="D751" s="10"/>
      <c r="E751" s="10"/>
      <c r="F751" s="10"/>
      <c r="G751" s="10"/>
    </row>
    <row r="752">
      <c r="D752" s="10"/>
      <c r="E752" s="10"/>
      <c r="F752" s="10"/>
      <c r="G752" s="10"/>
    </row>
    <row r="753">
      <c r="D753" s="10"/>
      <c r="E753" s="10"/>
      <c r="F753" s="10"/>
      <c r="G753" s="10"/>
    </row>
    <row r="754">
      <c r="D754" s="10"/>
      <c r="E754" s="10"/>
      <c r="F754" s="10"/>
      <c r="G754" s="10"/>
    </row>
    <row r="755">
      <c r="D755" s="10"/>
      <c r="E755" s="10"/>
      <c r="F755" s="10"/>
      <c r="G755" s="10"/>
    </row>
    <row r="756">
      <c r="D756" s="10"/>
      <c r="E756" s="10"/>
      <c r="F756" s="10"/>
      <c r="G756" s="10"/>
    </row>
    <row r="757">
      <c r="D757" s="10"/>
      <c r="E757" s="10"/>
      <c r="F757" s="10"/>
      <c r="G757" s="10"/>
    </row>
    <row r="758">
      <c r="D758" s="10"/>
      <c r="E758" s="10"/>
      <c r="F758" s="10"/>
      <c r="G758" s="10"/>
    </row>
    <row r="759">
      <c r="D759" s="10"/>
      <c r="E759" s="10"/>
      <c r="F759" s="10"/>
      <c r="G759" s="10"/>
    </row>
    <row r="760">
      <c r="D760" s="10"/>
      <c r="E760" s="10"/>
      <c r="F760" s="10"/>
      <c r="G760" s="10"/>
    </row>
    <row r="761">
      <c r="D761" s="10"/>
      <c r="E761" s="10"/>
      <c r="F761" s="10"/>
      <c r="G761" s="10"/>
    </row>
    <row r="762">
      <c r="D762" s="10"/>
      <c r="E762" s="10"/>
      <c r="F762" s="10"/>
      <c r="G762" s="10"/>
    </row>
    <row r="763">
      <c r="D763" s="10"/>
      <c r="E763" s="10"/>
      <c r="F763" s="10"/>
      <c r="G763" s="10"/>
    </row>
    <row r="764">
      <c r="D764" s="10"/>
      <c r="E764" s="10"/>
      <c r="F764" s="10"/>
      <c r="G764" s="10"/>
    </row>
    <row r="765">
      <c r="D765" s="10"/>
      <c r="E765" s="10"/>
      <c r="F765" s="10"/>
      <c r="G765" s="10"/>
    </row>
    <row r="766">
      <c r="D766" s="10"/>
      <c r="E766" s="10"/>
      <c r="F766" s="10"/>
      <c r="G766" s="10"/>
    </row>
    <row r="767">
      <c r="D767" s="10"/>
      <c r="E767" s="10"/>
      <c r="F767" s="10"/>
      <c r="G767" s="10"/>
    </row>
    <row r="768">
      <c r="D768" s="10"/>
      <c r="E768" s="10"/>
      <c r="F768" s="10"/>
      <c r="G768" s="10"/>
    </row>
    <row r="769">
      <c r="D769" s="10"/>
      <c r="E769" s="10"/>
      <c r="F769" s="10"/>
      <c r="G769" s="10"/>
    </row>
    <row r="770">
      <c r="D770" s="10"/>
      <c r="E770" s="10"/>
      <c r="F770" s="10"/>
      <c r="G770" s="10"/>
    </row>
    <row r="771">
      <c r="D771" s="10"/>
      <c r="E771" s="10"/>
      <c r="F771" s="10"/>
      <c r="G771" s="10"/>
    </row>
    <row r="772">
      <c r="D772" s="10"/>
      <c r="E772" s="10"/>
      <c r="F772" s="10"/>
      <c r="G772" s="10"/>
    </row>
    <row r="773">
      <c r="D773" s="10"/>
      <c r="E773" s="10"/>
      <c r="F773" s="10"/>
      <c r="G773" s="10"/>
    </row>
    <row r="774">
      <c r="D774" s="10"/>
      <c r="E774" s="10"/>
      <c r="F774" s="10"/>
      <c r="G774" s="10"/>
    </row>
    <row r="775">
      <c r="D775" s="10"/>
      <c r="E775" s="10"/>
      <c r="F775" s="10"/>
      <c r="G775" s="10"/>
    </row>
    <row r="776">
      <c r="D776" s="10"/>
      <c r="E776" s="10"/>
      <c r="F776" s="10"/>
      <c r="G776" s="10"/>
    </row>
    <row r="777">
      <c r="D777" s="10"/>
      <c r="E777" s="10"/>
      <c r="F777" s="10"/>
      <c r="G777" s="10"/>
    </row>
    <row r="778">
      <c r="D778" s="10"/>
      <c r="E778" s="10"/>
      <c r="F778" s="10"/>
      <c r="G778" s="10"/>
    </row>
    <row r="779">
      <c r="D779" s="10"/>
      <c r="E779" s="10"/>
      <c r="F779" s="10"/>
      <c r="G779" s="10"/>
    </row>
    <row r="780">
      <c r="D780" s="10"/>
      <c r="E780" s="10"/>
      <c r="F780" s="10"/>
      <c r="G780" s="10"/>
    </row>
    <row r="781">
      <c r="D781" s="10"/>
      <c r="E781" s="10"/>
      <c r="F781" s="10"/>
      <c r="G781" s="10"/>
    </row>
    <row r="782">
      <c r="D782" s="10"/>
      <c r="E782" s="10"/>
      <c r="F782" s="10"/>
      <c r="G782" s="10"/>
    </row>
    <row r="783">
      <c r="D783" s="10"/>
      <c r="E783" s="10"/>
      <c r="F783" s="10"/>
      <c r="G783" s="10"/>
    </row>
    <row r="784">
      <c r="D784" s="10"/>
      <c r="E784" s="10"/>
      <c r="F784" s="10"/>
      <c r="G784" s="10"/>
    </row>
    <row r="785">
      <c r="D785" s="10"/>
      <c r="E785" s="10"/>
      <c r="F785" s="10"/>
      <c r="G785" s="10"/>
    </row>
    <row r="786">
      <c r="D786" s="10"/>
      <c r="E786" s="10"/>
      <c r="F786" s="10"/>
      <c r="G786" s="10"/>
    </row>
    <row r="787">
      <c r="D787" s="10"/>
      <c r="E787" s="10"/>
      <c r="F787" s="10"/>
      <c r="G787" s="10"/>
    </row>
    <row r="788">
      <c r="D788" s="10"/>
      <c r="E788" s="10"/>
      <c r="F788" s="10"/>
      <c r="G788" s="10"/>
    </row>
    <row r="789">
      <c r="D789" s="10"/>
      <c r="E789" s="10"/>
      <c r="F789" s="10"/>
      <c r="G789" s="10"/>
    </row>
    <row r="790">
      <c r="D790" s="10"/>
      <c r="E790" s="10"/>
      <c r="F790" s="10"/>
      <c r="G790" s="10"/>
    </row>
    <row r="791">
      <c r="D791" s="10"/>
      <c r="E791" s="10"/>
      <c r="F791" s="10"/>
      <c r="G791" s="10"/>
    </row>
    <row r="792">
      <c r="D792" s="10"/>
      <c r="E792" s="10"/>
      <c r="F792" s="10"/>
      <c r="G792" s="10"/>
    </row>
    <row r="793">
      <c r="D793" s="10"/>
      <c r="E793" s="10"/>
      <c r="F793" s="10"/>
      <c r="G793" s="10"/>
    </row>
    <row r="794">
      <c r="D794" s="10"/>
      <c r="E794" s="10"/>
      <c r="F794" s="10"/>
      <c r="G794" s="10"/>
    </row>
    <row r="795">
      <c r="D795" s="10"/>
      <c r="E795" s="10"/>
      <c r="F795" s="10"/>
      <c r="G795" s="10"/>
    </row>
    <row r="796">
      <c r="D796" s="10"/>
      <c r="E796" s="10"/>
      <c r="F796" s="10"/>
      <c r="G796" s="10"/>
    </row>
    <row r="797">
      <c r="D797" s="10"/>
      <c r="E797" s="10"/>
      <c r="F797" s="10"/>
      <c r="G797" s="10"/>
    </row>
    <row r="798">
      <c r="D798" s="10"/>
      <c r="E798" s="10"/>
      <c r="F798" s="10"/>
      <c r="G798" s="10"/>
    </row>
    <row r="799">
      <c r="D799" s="10"/>
      <c r="E799" s="10"/>
      <c r="F799" s="10"/>
      <c r="G799" s="10"/>
    </row>
    <row r="800">
      <c r="D800" s="10"/>
      <c r="E800" s="10"/>
      <c r="F800" s="10"/>
      <c r="G800" s="10"/>
    </row>
    <row r="801">
      <c r="D801" s="10"/>
      <c r="E801" s="10"/>
      <c r="F801" s="10"/>
      <c r="G801" s="10"/>
    </row>
    <row r="802">
      <c r="D802" s="10"/>
      <c r="E802" s="10"/>
      <c r="F802" s="10"/>
      <c r="G802" s="10"/>
    </row>
    <row r="803">
      <c r="D803" s="10"/>
      <c r="E803" s="10"/>
      <c r="F803" s="10"/>
      <c r="G803" s="10"/>
    </row>
    <row r="804">
      <c r="D804" s="10"/>
      <c r="E804" s="10"/>
      <c r="F804" s="10"/>
      <c r="G804" s="10"/>
    </row>
    <row r="805">
      <c r="D805" s="10"/>
      <c r="E805" s="10"/>
      <c r="F805" s="10"/>
      <c r="G805" s="10"/>
    </row>
    <row r="806">
      <c r="D806" s="10"/>
      <c r="E806" s="10"/>
      <c r="F806" s="10"/>
      <c r="G806" s="10"/>
    </row>
    <row r="807">
      <c r="D807" s="10"/>
      <c r="E807" s="10"/>
      <c r="F807" s="10"/>
      <c r="G807" s="10"/>
    </row>
    <row r="808">
      <c r="D808" s="10"/>
      <c r="E808" s="10"/>
      <c r="F808" s="10"/>
      <c r="G808" s="10"/>
    </row>
    <row r="809">
      <c r="D809" s="10"/>
      <c r="E809" s="10"/>
      <c r="F809" s="10"/>
      <c r="G809" s="10"/>
    </row>
    <row r="810">
      <c r="D810" s="10"/>
      <c r="E810" s="10"/>
      <c r="F810" s="10"/>
      <c r="G810" s="10"/>
    </row>
    <row r="811">
      <c r="D811" s="10"/>
      <c r="E811" s="10"/>
      <c r="F811" s="10"/>
      <c r="G811" s="10"/>
    </row>
    <row r="812">
      <c r="D812" s="10"/>
      <c r="E812" s="10"/>
      <c r="F812" s="10"/>
      <c r="G812" s="10"/>
    </row>
    <row r="813">
      <c r="D813" s="10"/>
      <c r="E813" s="10"/>
      <c r="F813" s="10"/>
      <c r="G813" s="10"/>
    </row>
    <row r="814">
      <c r="D814" s="10"/>
      <c r="E814" s="10"/>
      <c r="F814" s="10"/>
      <c r="G814" s="10"/>
    </row>
    <row r="815">
      <c r="D815" s="10"/>
      <c r="E815" s="10"/>
      <c r="F815" s="10"/>
      <c r="G815" s="10"/>
    </row>
    <row r="816">
      <c r="D816" s="10"/>
      <c r="E816" s="10"/>
      <c r="F816" s="10"/>
      <c r="G816" s="10"/>
    </row>
    <row r="817">
      <c r="D817" s="10"/>
      <c r="E817" s="10"/>
      <c r="F817" s="10"/>
      <c r="G817" s="10"/>
    </row>
    <row r="818">
      <c r="D818" s="10"/>
      <c r="E818" s="10"/>
      <c r="F818" s="10"/>
      <c r="G818" s="10"/>
    </row>
    <row r="819">
      <c r="D819" s="10"/>
      <c r="E819" s="10"/>
      <c r="F819" s="10"/>
      <c r="G819" s="10"/>
    </row>
    <row r="820">
      <c r="D820" s="10"/>
      <c r="E820" s="10"/>
      <c r="F820" s="10"/>
      <c r="G820" s="10"/>
    </row>
    <row r="821">
      <c r="D821" s="10"/>
      <c r="E821" s="10"/>
      <c r="F821" s="10"/>
      <c r="G821" s="10"/>
    </row>
    <row r="822">
      <c r="D822" s="10"/>
      <c r="E822" s="10"/>
      <c r="F822" s="10"/>
      <c r="G822" s="10"/>
    </row>
    <row r="823">
      <c r="D823" s="10"/>
      <c r="E823" s="10"/>
      <c r="F823" s="10"/>
      <c r="G823" s="10"/>
    </row>
    <row r="824">
      <c r="D824" s="10"/>
      <c r="E824" s="10"/>
      <c r="F824" s="10"/>
      <c r="G824" s="10"/>
    </row>
    <row r="825">
      <c r="D825" s="10"/>
      <c r="E825" s="10"/>
      <c r="F825" s="10"/>
      <c r="G825" s="10"/>
    </row>
    <row r="826">
      <c r="D826" s="10"/>
      <c r="E826" s="10"/>
      <c r="F826" s="10"/>
      <c r="G826" s="10"/>
    </row>
    <row r="827">
      <c r="D827" s="10"/>
      <c r="E827" s="10"/>
      <c r="F827" s="10"/>
      <c r="G827" s="10"/>
    </row>
    <row r="828">
      <c r="D828" s="10"/>
      <c r="E828" s="10"/>
      <c r="F828" s="10"/>
      <c r="G828" s="10"/>
    </row>
    <row r="829">
      <c r="D829" s="10"/>
      <c r="E829" s="10"/>
      <c r="F829" s="10"/>
      <c r="G829" s="10"/>
    </row>
    <row r="830">
      <c r="D830" s="10"/>
      <c r="E830" s="10"/>
      <c r="F830" s="10"/>
      <c r="G830" s="10"/>
    </row>
    <row r="831">
      <c r="D831" s="10"/>
      <c r="E831" s="10"/>
      <c r="F831" s="10"/>
      <c r="G831" s="10"/>
    </row>
    <row r="832">
      <c r="D832" s="10"/>
      <c r="E832" s="10"/>
      <c r="F832" s="10"/>
      <c r="G832" s="10"/>
    </row>
    <row r="833">
      <c r="D833" s="10"/>
      <c r="E833" s="10"/>
      <c r="F833" s="10"/>
      <c r="G833" s="10"/>
    </row>
    <row r="834">
      <c r="D834" s="10"/>
      <c r="E834" s="10"/>
      <c r="F834" s="10"/>
      <c r="G834" s="10"/>
    </row>
    <row r="835">
      <c r="D835" s="10"/>
      <c r="E835" s="10"/>
      <c r="F835" s="10"/>
      <c r="G835" s="10"/>
    </row>
    <row r="836">
      <c r="D836" s="10"/>
      <c r="E836" s="10"/>
      <c r="F836" s="10"/>
      <c r="G836" s="10"/>
    </row>
    <row r="837">
      <c r="D837" s="10"/>
      <c r="E837" s="10"/>
      <c r="F837" s="10"/>
      <c r="G837" s="10"/>
    </row>
    <row r="838">
      <c r="D838" s="10"/>
      <c r="E838" s="10"/>
      <c r="F838" s="10"/>
      <c r="G838" s="10"/>
    </row>
    <row r="839">
      <c r="D839" s="10"/>
      <c r="E839" s="10"/>
      <c r="F839" s="10"/>
      <c r="G839" s="10"/>
    </row>
    <row r="840">
      <c r="D840" s="10"/>
      <c r="E840" s="10"/>
      <c r="F840" s="10"/>
      <c r="G840" s="10"/>
    </row>
    <row r="841">
      <c r="D841" s="10"/>
      <c r="E841" s="10"/>
      <c r="F841" s="10"/>
      <c r="G841" s="10"/>
    </row>
    <row r="842">
      <c r="D842" s="10"/>
      <c r="E842" s="10"/>
      <c r="F842" s="10"/>
      <c r="G842" s="10"/>
    </row>
    <row r="843">
      <c r="D843" s="10"/>
      <c r="E843" s="10"/>
      <c r="F843" s="10"/>
      <c r="G843" s="10"/>
    </row>
    <row r="844">
      <c r="D844" s="10"/>
      <c r="E844" s="10"/>
      <c r="F844" s="10"/>
      <c r="G844" s="10"/>
    </row>
    <row r="845">
      <c r="D845" s="10"/>
      <c r="E845" s="10"/>
      <c r="F845" s="10"/>
      <c r="G845" s="10"/>
    </row>
    <row r="846">
      <c r="D846" s="10"/>
      <c r="E846" s="10"/>
      <c r="F846" s="10"/>
      <c r="G846" s="10"/>
    </row>
    <row r="847">
      <c r="D847" s="10"/>
      <c r="E847" s="10"/>
      <c r="F847" s="10"/>
      <c r="G847" s="10"/>
    </row>
    <row r="848">
      <c r="D848" s="10"/>
      <c r="E848" s="10"/>
      <c r="F848" s="10"/>
      <c r="G848" s="10"/>
    </row>
    <row r="849">
      <c r="D849" s="10"/>
      <c r="E849" s="10"/>
      <c r="F849" s="10"/>
      <c r="G849" s="10"/>
    </row>
    <row r="850">
      <c r="D850" s="10"/>
      <c r="E850" s="10"/>
      <c r="F850" s="10"/>
      <c r="G850" s="10"/>
    </row>
    <row r="851">
      <c r="D851" s="10"/>
      <c r="E851" s="10"/>
      <c r="F851" s="10"/>
      <c r="G851" s="10"/>
    </row>
    <row r="852">
      <c r="D852" s="10"/>
      <c r="E852" s="10"/>
      <c r="F852" s="10"/>
      <c r="G852" s="10"/>
    </row>
    <row r="853">
      <c r="D853" s="10"/>
      <c r="E853" s="10"/>
      <c r="F853" s="10"/>
      <c r="G853" s="10"/>
    </row>
    <row r="854">
      <c r="D854" s="10"/>
      <c r="E854" s="10"/>
      <c r="F854" s="10"/>
      <c r="G854" s="10"/>
    </row>
    <row r="855">
      <c r="D855" s="10"/>
      <c r="E855" s="10"/>
      <c r="F855" s="10"/>
      <c r="G855" s="10"/>
    </row>
    <row r="856">
      <c r="D856" s="10"/>
      <c r="E856" s="10"/>
      <c r="F856" s="10"/>
      <c r="G856" s="10"/>
    </row>
    <row r="857">
      <c r="D857" s="10"/>
      <c r="E857" s="10"/>
      <c r="F857" s="10"/>
      <c r="G857" s="10"/>
    </row>
    <row r="858">
      <c r="D858" s="10"/>
      <c r="E858" s="10"/>
      <c r="F858" s="10"/>
      <c r="G858" s="10"/>
    </row>
    <row r="859">
      <c r="D859" s="10"/>
      <c r="E859" s="10"/>
      <c r="F859" s="10"/>
      <c r="G859" s="10"/>
    </row>
    <row r="860">
      <c r="D860" s="10"/>
      <c r="E860" s="10"/>
      <c r="F860" s="10"/>
      <c r="G860" s="10"/>
    </row>
    <row r="861">
      <c r="D861" s="10"/>
      <c r="E861" s="10"/>
      <c r="F861" s="10"/>
      <c r="G861" s="10"/>
    </row>
    <row r="862">
      <c r="D862" s="10"/>
      <c r="E862" s="10"/>
      <c r="F862" s="10"/>
      <c r="G862" s="10"/>
    </row>
    <row r="863">
      <c r="D863" s="10"/>
      <c r="E863" s="10"/>
      <c r="F863" s="10"/>
      <c r="G863" s="10"/>
    </row>
    <row r="864">
      <c r="D864" s="10"/>
      <c r="E864" s="10"/>
      <c r="F864" s="10"/>
      <c r="G864" s="10"/>
    </row>
    <row r="865">
      <c r="D865" s="10"/>
      <c r="E865" s="10"/>
      <c r="F865" s="10"/>
      <c r="G865" s="10"/>
    </row>
    <row r="866">
      <c r="D866" s="10"/>
      <c r="E866" s="10"/>
      <c r="F866" s="10"/>
      <c r="G866" s="10"/>
    </row>
    <row r="867">
      <c r="D867" s="10"/>
      <c r="E867" s="10"/>
      <c r="F867" s="10"/>
      <c r="G867" s="10"/>
    </row>
    <row r="868">
      <c r="D868" s="10"/>
      <c r="E868" s="10"/>
      <c r="F868" s="10"/>
      <c r="G868" s="10"/>
    </row>
    <row r="869">
      <c r="D869" s="10"/>
      <c r="E869" s="10"/>
      <c r="F869" s="10"/>
      <c r="G869" s="10"/>
    </row>
    <row r="870">
      <c r="D870" s="10"/>
      <c r="E870" s="10"/>
      <c r="F870" s="10"/>
      <c r="G870" s="10"/>
    </row>
    <row r="871">
      <c r="D871" s="10"/>
      <c r="E871" s="10"/>
      <c r="F871" s="10"/>
      <c r="G871" s="10"/>
    </row>
    <row r="872">
      <c r="D872" s="10"/>
      <c r="E872" s="10"/>
      <c r="F872" s="10"/>
      <c r="G872" s="10"/>
    </row>
    <row r="873">
      <c r="D873" s="10"/>
      <c r="E873" s="10"/>
      <c r="F873" s="10"/>
      <c r="G873" s="10"/>
    </row>
    <row r="874">
      <c r="D874" s="10"/>
      <c r="E874" s="10"/>
      <c r="F874" s="10"/>
      <c r="G874" s="10"/>
    </row>
    <row r="875">
      <c r="D875" s="10"/>
      <c r="E875" s="10"/>
      <c r="F875" s="10"/>
      <c r="G875" s="10"/>
    </row>
    <row r="876">
      <c r="D876" s="10"/>
      <c r="E876" s="10"/>
      <c r="F876" s="10"/>
      <c r="G876" s="10"/>
    </row>
    <row r="877">
      <c r="D877" s="10"/>
      <c r="E877" s="10"/>
      <c r="F877" s="10"/>
      <c r="G877" s="10"/>
    </row>
    <row r="878">
      <c r="D878" s="10"/>
      <c r="E878" s="10"/>
      <c r="F878" s="10"/>
      <c r="G878" s="10"/>
    </row>
    <row r="879">
      <c r="D879" s="10"/>
      <c r="E879" s="10"/>
      <c r="F879" s="10"/>
      <c r="G879" s="10"/>
    </row>
    <row r="880">
      <c r="D880" s="10"/>
      <c r="E880" s="10"/>
      <c r="F880" s="10"/>
      <c r="G880" s="10"/>
    </row>
    <row r="881">
      <c r="D881" s="10"/>
      <c r="E881" s="10"/>
      <c r="F881" s="10"/>
      <c r="G881" s="10"/>
    </row>
    <row r="882">
      <c r="D882" s="10"/>
      <c r="E882" s="10"/>
      <c r="F882" s="10"/>
      <c r="G882" s="10"/>
    </row>
    <row r="883">
      <c r="D883" s="10"/>
      <c r="E883" s="10"/>
      <c r="F883" s="10"/>
      <c r="G883" s="10"/>
    </row>
    <row r="884">
      <c r="D884" s="10"/>
      <c r="E884" s="10"/>
      <c r="F884" s="10"/>
      <c r="G884" s="10"/>
    </row>
    <row r="885">
      <c r="D885" s="10"/>
      <c r="E885" s="10"/>
      <c r="F885" s="10"/>
      <c r="G885" s="10"/>
    </row>
    <row r="886">
      <c r="D886" s="10"/>
      <c r="E886" s="10"/>
      <c r="F886" s="10"/>
      <c r="G886" s="10"/>
    </row>
    <row r="887">
      <c r="D887" s="10"/>
      <c r="E887" s="10"/>
      <c r="F887" s="10"/>
      <c r="G887" s="10"/>
    </row>
    <row r="888">
      <c r="D888" s="10"/>
      <c r="E888" s="10"/>
      <c r="F888" s="10"/>
      <c r="G888" s="10"/>
    </row>
    <row r="889">
      <c r="D889" s="10"/>
      <c r="E889" s="10"/>
      <c r="F889" s="10"/>
      <c r="G889" s="10"/>
    </row>
    <row r="890">
      <c r="D890" s="10"/>
      <c r="E890" s="10"/>
      <c r="F890" s="10"/>
      <c r="G890" s="10"/>
    </row>
    <row r="891">
      <c r="D891" s="10"/>
      <c r="E891" s="10"/>
      <c r="F891" s="10"/>
      <c r="G891" s="10"/>
    </row>
    <row r="892">
      <c r="D892" s="10"/>
      <c r="E892" s="10"/>
      <c r="F892" s="10"/>
      <c r="G892" s="10"/>
    </row>
    <row r="893">
      <c r="D893" s="10"/>
      <c r="E893" s="10"/>
      <c r="F893" s="10"/>
      <c r="G893" s="10"/>
    </row>
    <row r="894">
      <c r="D894" s="10"/>
      <c r="E894" s="10"/>
      <c r="F894" s="10"/>
      <c r="G894" s="10"/>
    </row>
    <row r="895">
      <c r="D895" s="10"/>
      <c r="E895" s="10"/>
      <c r="F895" s="10"/>
      <c r="G895" s="10"/>
    </row>
    <row r="896">
      <c r="D896" s="10"/>
      <c r="E896" s="10"/>
      <c r="F896" s="10"/>
      <c r="G896" s="10"/>
    </row>
    <row r="897">
      <c r="D897" s="10"/>
      <c r="E897" s="10"/>
      <c r="F897" s="10"/>
      <c r="G897" s="10"/>
    </row>
    <row r="898">
      <c r="D898" s="10"/>
      <c r="E898" s="10"/>
      <c r="F898" s="10"/>
      <c r="G898" s="10"/>
    </row>
    <row r="899">
      <c r="D899" s="10"/>
      <c r="E899" s="10"/>
      <c r="F899" s="10"/>
      <c r="G899" s="10"/>
    </row>
    <row r="900">
      <c r="D900" s="10"/>
      <c r="E900" s="10"/>
      <c r="F900" s="10"/>
      <c r="G900" s="10"/>
    </row>
    <row r="901">
      <c r="D901" s="10"/>
      <c r="E901" s="10"/>
      <c r="F901" s="10"/>
      <c r="G901" s="10"/>
    </row>
    <row r="902">
      <c r="D902" s="10"/>
      <c r="E902" s="10"/>
      <c r="F902" s="10"/>
      <c r="G902" s="10"/>
    </row>
    <row r="903">
      <c r="D903" s="10"/>
      <c r="E903" s="10"/>
      <c r="F903" s="10"/>
      <c r="G903" s="10"/>
    </row>
    <row r="904">
      <c r="D904" s="10"/>
      <c r="E904" s="10"/>
      <c r="F904" s="10"/>
      <c r="G904" s="10"/>
    </row>
    <row r="905">
      <c r="D905" s="10"/>
      <c r="E905" s="10"/>
      <c r="F905" s="10"/>
      <c r="G905" s="10"/>
    </row>
    <row r="906">
      <c r="D906" s="10"/>
      <c r="E906" s="10"/>
      <c r="F906" s="10"/>
      <c r="G906" s="10"/>
    </row>
    <row r="907">
      <c r="D907" s="10"/>
      <c r="E907" s="10"/>
      <c r="F907" s="10"/>
      <c r="G907" s="10"/>
    </row>
    <row r="908">
      <c r="D908" s="10"/>
      <c r="E908" s="10"/>
      <c r="F908" s="10"/>
      <c r="G908" s="10"/>
    </row>
    <row r="909">
      <c r="D909" s="10"/>
      <c r="E909" s="10"/>
      <c r="F909" s="10"/>
      <c r="G909" s="10"/>
    </row>
    <row r="910">
      <c r="D910" s="10"/>
      <c r="E910" s="10"/>
      <c r="F910" s="10"/>
      <c r="G910" s="10"/>
    </row>
    <row r="911">
      <c r="D911" s="10"/>
      <c r="E911" s="10"/>
      <c r="F911" s="10"/>
      <c r="G911" s="10"/>
    </row>
    <row r="912">
      <c r="D912" s="10"/>
      <c r="E912" s="10"/>
      <c r="F912" s="10"/>
      <c r="G912" s="10"/>
    </row>
    <row r="913">
      <c r="D913" s="10"/>
      <c r="E913" s="10"/>
      <c r="F913" s="10"/>
      <c r="G913" s="10"/>
    </row>
    <row r="914">
      <c r="D914" s="10"/>
      <c r="E914" s="10"/>
      <c r="F914" s="10"/>
      <c r="G914" s="10"/>
    </row>
    <row r="915">
      <c r="D915" s="10"/>
      <c r="E915" s="10"/>
      <c r="F915" s="10"/>
      <c r="G915" s="10"/>
    </row>
    <row r="916">
      <c r="D916" s="10"/>
      <c r="E916" s="10"/>
      <c r="F916" s="10"/>
      <c r="G916" s="10"/>
    </row>
    <row r="917">
      <c r="D917" s="10"/>
      <c r="E917" s="10"/>
      <c r="F917" s="10"/>
      <c r="G917" s="10"/>
    </row>
    <row r="918">
      <c r="D918" s="10"/>
      <c r="E918" s="10"/>
      <c r="F918" s="10"/>
      <c r="G918" s="10"/>
    </row>
    <row r="919">
      <c r="D919" s="10"/>
      <c r="E919" s="10"/>
      <c r="F919" s="10"/>
      <c r="G919" s="10"/>
    </row>
    <row r="920">
      <c r="D920" s="10"/>
      <c r="E920" s="10"/>
      <c r="F920" s="10"/>
      <c r="G920" s="10"/>
    </row>
    <row r="921">
      <c r="D921" s="10"/>
      <c r="E921" s="10"/>
      <c r="F921" s="10"/>
      <c r="G921" s="10"/>
    </row>
    <row r="922">
      <c r="D922" s="10"/>
      <c r="E922" s="10"/>
      <c r="F922" s="10"/>
      <c r="G922" s="10"/>
    </row>
    <row r="923">
      <c r="D923" s="10"/>
      <c r="E923" s="10"/>
      <c r="F923" s="10"/>
      <c r="G923" s="10"/>
    </row>
    <row r="924">
      <c r="D924" s="10"/>
      <c r="E924" s="10"/>
      <c r="F924" s="10"/>
      <c r="G924" s="10"/>
    </row>
    <row r="925">
      <c r="D925" s="10"/>
      <c r="E925" s="10"/>
      <c r="F925" s="10"/>
      <c r="G925" s="10"/>
    </row>
    <row r="926">
      <c r="D926" s="10"/>
      <c r="E926" s="10"/>
      <c r="F926" s="10"/>
      <c r="G926" s="10"/>
    </row>
    <row r="927">
      <c r="D927" s="10"/>
      <c r="E927" s="10"/>
      <c r="F927" s="10"/>
      <c r="G927" s="10"/>
    </row>
    <row r="928">
      <c r="D928" s="10"/>
      <c r="E928" s="10"/>
      <c r="F928" s="10"/>
      <c r="G928" s="10"/>
    </row>
    <row r="929">
      <c r="D929" s="10"/>
      <c r="E929" s="10"/>
      <c r="F929" s="10"/>
      <c r="G929" s="10"/>
    </row>
    <row r="930">
      <c r="D930" s="10"/>
      <c r="E930" s="10"/>
      <c r="F930" s="10"/>
      <c r="G930" s="10"/>
    </row>
    <row r="931">
      <c r="D931" s="10"/>
      <c r="E931" s="10"/>
      <c r="F931" s="10"/>
      <c r="G931" s="10"/>
    </row>
    <row r="932">
      <c r="D932" s="10"/>
      <c r="E932" s="10"/>
      <c r="F932" s="10"/>
      <c r="G932" s="10"/>
    </row>
    <row r="933">
      <c r="D933" s="10"/>
      <c r="E933" s="10"/>
      <c r="F933" s="10"/>
      <c r="G933" s="10"/>
    </row>
    <row r="934">
      <c r="D934" s="10"/>
      <c r="E934" s="10"/>
      <c r="F934" s="10"/>
      <c r="G934" s="10"/>
    </row>
    <row r="935">
      <c r="D935" s="10"/>
      <c r="E935" s="10"/>
      <c r="F935" s="10"/>
      <c r="G935" s="10"/>
    </row>
    <row r="936">
      <c r="D936" s="10"/>
      <c r="E936" s="10"/>
      <c r="F936" s="10"/>
      <c r="G936" s="10"/>
    </row>
    <row r="937">
      <c r="D937" s="10"/>
      <c r="E937" s="10"/>
      <c r="F937" s="10"/>
      <c r="G937" s="10"/>
    </row>
    <row r="938">
      <c r="D938" s="10"/>
      <c r="E938" s="10"/>
      <c r="F938" s="10"/>
      <c r="G938" s="10"/>
    </row>
    <row r="939">
      <c r="D939" s="10"/>
      <c r="E939" s="10"/>
      <c r="F939" s="10"/>
      <c r="G939" s="10"/>
    </row>
    <row r="940">
      <c r="D940" s="10"/>
      <c r="E940" s="10"/>
      <c r="F940" s="10"/>
      <c r="G940" s="10"/>
    </row>
    <row r="941">
      <c r="D941" s="10"/>
      <c r="E941" s="10"/>
      <c r="F941" s="10"/>
      <c r="G941" s="10"/>
    </row>
    <row r="942">
      <c r="D942" s="10"/>
      <c r="E942" s="10"/>
      <c r="F942" s="10"/>
      <c r="G942" s="10"/>
    </row>
    <row r="943">
      <c r="D943" s="10"/>
      <c r="E943" s="10"/>
      <c r="F943" s="10"/>
      <c r="G943" s="10"/>
    </row>
    <row r="944">
      <c r="D944" s="10"/>
      <c r="E944" s="10"/>
      <c r="F944" s="10"/>
      <c r="G944" s="10"/>
    </row>
    <row r="945">
      <c r="D945" s="10"/>
      <c r="E945" s="10"/>
      <c r="F945" s="10"/>
      <c r="G945" s="10"/>
    </row>
    <row r="946">
      <c r="D946" s="10"/>
      <c r="E946" s="10"/>
      <c r="F946" s="10"/>
      <c r="G946" s="10"/>
    </row>
    <row r="947">
      <c r="D947" s="10"/>
      <c r="E947" s="10"/>
      <c r="F947" s="10"/>
      <c r="G947" s="10"/>
    </row>
    <row r="948">
      <c r="D948" s="10"/>
      <c r="E948" s="10"/>
      <c r="F948" s="10"/>
      <c r="G948" s="10"/>
    </row>
    <row r="949">
      <c r="D949" s="10"/>
      <c r="E949" s="10"/>
      <c r="F949" s="10"/>
      <c r="G949" s="10"/>
    </row>
    <row r="950">
      <c r="D950" s="10"/>
      <c r="E950" s="10"/>
      <c r="F950" s="10"/>
      <c r="G950" s="10"/>
    </row>
    <row r="951">
      <c r="D951" s="10"/>
      <c r="E951" s="10"/>
      <c r="F951" s="10"/>
      <c r="G951" s="10"/>
    </row>
    <row r="952">
      <c r="D952" s="10"/>
      <c r="E952" s="10"/>
      <c r="F952" s="10"/>
      <c r="G952" s="10"/>
    </row>
    <row r="953">
      <c r="D953" s="10"/>
      <c r="E953" s="10"/>
      <c r="F953" s="10"/>
      <c r="G953" s="10"/>
    </row>
    <row r="954">
      <c r="D954" s="10"/>
      <c r="E954" s="10"/>
      <c r="F954" s="10"/>
      <c r="G954" s="10"/>
    </row>
    <row r="955">
      <c r="D955" s="10"/>
      <c r="E955" s="10"/>
      <c r="F955" s="10"/>
      <c r="G955" s="10"/>
    </row>
    <row r="956">
      <c r="D956" s="10"/>
      <c r="E956" s="10"/>
      <c r="F956" s="10"/>
      <c r="G956" s="10"/>
    </row>
    <row r="957">
      <c r="D957" s="10"/>
      <c r="E957" s="10"/>
      <c r="F957" s="10"/>
      <c r="G957" s="10"/>
    </row>
    <row r="958">
      <c r="D958" s="10"/>
      <c r="E958" s="10"/>
      <c r="F958" s="10"/>
      <c r="G958" s="10"/>
    </row>
    <row r="959">
      <c r="D959" s="10"/>
      <c r="E959" s="10"/>
      <c r="F959" s="10"/>
      <c r="G959" s="10"/>
    </row>
    <row r="960">
      <c r="D960" s="10"/>
      <c r="E960" s="10"/>
      <c r="F960" s="10"/>
      <c r="G960" s="10"/>
    </row>
    <row r="961">
      <c r="D961" s="10"/>
      <c r="E961" s="10"/>
      <c r="F961" s="10"/>
      <c r="G961" s="10"/>
    </row>
    <row r="962">
      <c r="D962" s="10"/>
      <c r="E962" s="10"/>
      <c r="F962" s="10"/>
      <c r="G962" s="10"/>
    </row>
    <row r="963">
      <c r="D963" s="10"/>
      <c r="E963" s="10"/>
      <c r="F963" s="10"/>
      <c r="G963" s="10"/>
    </row>
    <row r="964">
      <c r="D964" s="10"/>
      <c r="E964" s="10"/>
      <c r="F964" s="10"/>
      <c r="G964" s="10"/>
    </row>
    <row r="965">
      <c r="D965" s="10"/>
      <c r="E965" s="10"/>
      <c r="F965" s="10"/>
      <c r="G965" s="10"/>
    </row>
    <row r="966">
      <c r="D966" s="10"/>
      <c r="E966" s="10"/>
      <c r="F966" s="10"/>
      <c r="G966" s="10"/>
    </row>
    <row r="967">
      <c r="D967" s="10"/>
      <c r="E967" s="10"/>
      <c r="F967" s="10"/>
      <c r="G967" s="10"/>
    </row>
    <row r="968">
      <c r="D968" s="10"/>
      <c r="E968" s="10"/>
      <c r="F968" s="10"/>
      <c r="G968" s="10"/>
    </row>
    <row r="969">
      <c r="D969" s="10"/>
      <c r="E969" s="10"/>
      <c r="F969" s="10"/>
      <c r="G969" s="10"/>
    </row>
    <row r="970">
      <c r="D970" s="10"/>
      <c r="E970" s="10"/>
      <c r="F970" s="10"/>
      <c r="G970" s="10"/>
    </row>
    <row r="971">
      <c r="D971" s="10"/>
      <c r="E971" s="10"/>
      <c r="F971" s="10"/>
      <c r="G971" s="10"/>
    </row>
    <row r="972">
      <c r="D972" s="10"/>
      <c r="E972" s="10"/>
      <c r="F972" s="10"/>
      <c r="G972" s="10"/>
    </row>
    <row r="973">
      <c r="D973" s="10"/>
      <c r="E973" s="10"/>
      <c r="F973" s="10"/>
      <c r="G973" s="10"/>
    </row>
    <row r="974">
      <c r="D974" s="10"/>
      <c r="E974" s="10"/>
      <c r="F974" s="10"/>
      <c r="G974" s="10"/>
    </row>
    <row r="975">
      <c r="D975" s="10"/>
      <c r="E975" s="10"/>
      <c r="F975" s="10"/>
      <c r="G975" s="10"/>
    </row>
    <row r="976">
      <c r="D976" s="10"/>
      <c r="E976" s="10"/>
      <c r="F976" s="10"/>
      <c r="G976" s="10"/>
    </row>
    <row r="977">
      <c r="D977" s="10"/>
      <c r="E977" s="10"/>
      <c r="F977" s="10"/>
      <c r="G977" s="10"/>
    </row>
    <row r="978">
      <c r="D978" s="10"/>
      <c r="E978" s="10"/>
      <c r="F978" s="10"/>
      <c r="G978" s="10"/>
    </row>
    <row r="979">
      <c r="D979" s="10"/>
      <c r="E979" s="10"/>
      <c r="F979" s="10"/>
      <c r="G979" s="10"/>
    </row>
    <row r="980">
      <c r="D980" s="10"/>
      <c r="E980" s="10"/>
      <c r="F980" s="10"/>
      <c r="G980" s="10"/>
    </row>
    <row r="981">
      <c r="D981" s="10"/>
      <c r="E981" s="10"/>
      <c r="F981" s="10"/>
      <c r="G981" s="10"/>
    </row>
    <row r="982">
      <c r="D982" s="10"/>
      <c r="E982" s="10"/>
      <c r="F982" s="10"/>
      <c r="G982" s="10"/>
    </row>
    <row r="983">
      <c r="D983" s="10"/>
      <c r="E983" s="10"/>
      <c r="F983" s="10"/>
      <c r="G983" s="10"/>
    </row>
    <row r="984">
      <c r="D984" s="10"/>
      <c r="E984" s="10"/>
      <c r="F984" s="10"/>
      <c r="G984" s="10"/>
    </row>
    <row r="985">
      <c r="D985" s="10"/>
      <c r="E985" s="10"/>
      <c r="F985" s="10"/>
      <c r="G985" s="10"/>
    </row>
    <row r="986">
      <c r="D986" s="10"/>
      <c r="E986" s="10"/>
      <c r="F986" s="10"/>
      <c r="G986" s="10"/>
    </row>
    <row r="987">
      <c r="D987" s="10"/>
      <c r="E987" s="10"/>
      <c r="F987" s="10"/>
      <c r="G987" s="10"/>
    </row>
    <row r="988">
      <c r="D988" s="10"/>
      <c r="E988" s="10"/>
      <c r="F988" s="10"/>
      <c r="G988" s="10"/>
    </row>
    <row r="989">
      <c r="D989" s="10"/>
      <c r="E989" s="10"/>
      <c r="F989" s="10"/>
      <c r="G989" s="10"/>
    </row>
    <row r="990">
      <c r="D990" s="10"/>
      <c r="E990" s="10"/>
      <c r="F990" s="10"/>
      <c r="G990" s="10"/>
    </row>
    <row r="991">
      <c r="D991" s="10"/>
      <c r="E991" s="10"/>
      <c r="F991" s="10"/>
      <c r="G991" s="10"/>
    </row>
    <row r="992">
      <c r="D992" s="10"/>
      <c r="E992" s="10"/>
      <c r="F992" s="10"/>
      <c r="G992" s="10"/>
    </row>
    <row r="993">
      <c r="D993" s="10"/>
      <c r="E993" s="10"/>
      <c r="F993" s="10"/>
      <c r="G993" s="10"/>
    </row>
    <row r="994">
      <c r="D994" s="10"/>
      <c r="E994" s="10"/>
      <c r="F994" s="10"/>
      <c r="G994" s="10"/>
    </row>
    <row r="995">
      <c r="D995" s="10"/>
      <c r="E995" s="10"/>
      <c r="F995" s="10"/>
      <c r="G995" s="10"/>
    </row>
    <row r="996">
      <c r="D996" s="10"/>
      <c r="E996" s="10"/>
      <c r="F996" s="10"/>
      <c r="G996" s="10"/>
    </row>
    <row r="997">
      <c r="D997" s="10"/>
      <c r="E997" s="10"/>
      <c r="F997" s="10"/>
      <c r="G997" s="10"/>
    </row>
    <row r="998">
      <c r="D998" s="10"/>
      <c r="E998" s="10"/>
      <c r="F998" s="10"/>
      <c r="G998" s="10"/>
    </row>
    <row r="999">
      <c r="D999" s="10"/>
      <c r="E999" s="10"/>
      <c r="F999" s="10"/>
      <c r="G999" s="10"/>
    </row>
    <row r="1000">
      <c r="D1000" s="10"/>
      <c r="E1000" s="10"/>
      <c r="F1000" s="10"/>
      <c r="G1000" s="10"/>
    </row>
    <row r="1001">
      <c r="D1001" s="10"/>
      <c r="E1001" s="10"/>
      <c r="F1001" s="10"/>
      <c r="G1001" s="10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90.38"/>
  </cols>
  <sheetData>
    <row r="1">
      <c r="A1" s="11" t="s">
        <v>1</v>
      </c>
      <c r="B1" s="11" t="s">
        <v>290</v>
      </c>
    </row>
    <row r="2">
      <c r="A2" s="11">
        <v>14560.0</v>
      </c>
      <c r="B2" s="48" t="s">
        <v>291</v>
      </c>
    </row>
    <row r="3">
      <c r="A3" s="11">
        <v>14465.0</v>
      </c>
      <c r="B3" s="49" t="s">
        <v>292</v>
      </c>
    </row>
    <row r="4">
      <c r="A4" s="11">
        <v>14465.0</v>
      </c>
      <c r="B4" s="48" t="s">
        <v>293</v>
      </c>
    </row>
  </sheetData>
  <hyperlinks>
    <hyperlink r:id="rId1" ref="B2"/>
    <hyperlink r:id="rId2" ref="B3"/>
    <hyperlink r:id="rId3" ref="B4"/>
  </hyperlinks>
  <drawing r:id="rId4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8.88"/>
    <col customWidth="1" min="3" max="3" width="60.88"/>
    <col customWidth="1" min="4" max="4" width="16.88"/>
    <col customWidth="1" min="5" max="5" width="16.0"/>
  </cols>
  <sheetData>
    <row r="1">
      <c r="A1" s="9" t="s">
        <v>44</v>
      </c>
      <c r="B1" s="9" t="s">
        <v>1</v>
      </c>
      <c r="C1" s="9" t="s">
        <v>294</v>
      </c>
      <c r="D1" s="9" t="s">
        <v>248</v>
      </c>
      <c r="E1" s="9" t="s">
        <v>249</v>
      </c>
      <c r="F1" s="9" t="s">
        <v>250</v>
      </c>
      <c r="G1" s="9" t="s">
        <v>251</v>
      </c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</row>
    <row r="2">
      <c r="A2" s="17" t="s">
        <v>295</v>
      </c>
      <c r="B2" s="10"/>
      <c r="C2" s="9" t="s">
        <v>296</v>
      </c>
      <c r="D2" s="26">
        <v>0.75</v>
      </c>
      <c r="E2" s="26">
        <v>0.75</v>
      </c>
      <c r="F2" s="9" t="s">
        <v>254</v>
      </c>
      <c r="G2" s="50">
        <v>47848.0</v>
      </c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</row>
    <row r="3">
      <c r="A3" s="17" t="s">
        <v>48</v>
      </c>
      <c r="B3" s="9">
        <v>6675.0</v>
      </c>
      <c r="C3" s="9" t="s">
        <v>296</v>
      </c>
      <c r="D3" s="26">
        <v>0.75</v>
      </c>
      <c r="E3" s="26">
        <v>0.75</v>
      </c>
      <c r="F3" s="9" t="s">
        <v>254</v>
      </c>
      <c r="G3" s="50">
        <v>47848.0</v>
      </c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</row>
    <row r="4">
      <c r="A4" s="17" t="s">
        <v>49</v>
      </c>
      <c r="B4" s="10"/>
      <c r="C4" s="9" t="s">
        <v>296</v>
      </c>
      <c r="D4" s="26">
        <v>0.75</v>
      </c>
      <c r="E4" s="26">
        <v>0.75</v>
      </c>
      <c r="F4" s="9" t="s">
        <v>254</v>
      </c>
      <c r="G4" s="50">
        <v>47848.0</v>
      </c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</row>
    <row r="5">
      <c r="A5" s="17" t="s">
        <v>18</v>
      </c>
      <c r="B5" s="10"/>
      <c r="C5" s="9" t="s">
        <v>296</v>
      </c>
      <c r="D5" s="26">
        <v>0.75</v>
      </c>
      <c r="E5" s="26">
        <v>0.75</v>
      </c>
      <c r="F5" s="9" t="s">
        <v>254</v>
      </c>
      <c r="G5" s="50">
        <v>47848.0</v>
      </c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</row>
    <row r="6">
      <c r="A6" s="17" t="s">
        <v>297</v>
      </c>
      <c r="B6" s="9">
        <v>189.0</v>
      </c>
      <c r="C6" s="9" t="s">
        <v>296</v>
      </c>
      <c r="D6" s="26">
        <v>0.75</v>
      </c>
      <c r="E6" s="26">
        <v>0.75</v>
      </c>
      <c r="F6" s="9" t="s">
        <v>254</v>
      </c>
      <c r="G6" s="50">
        <v>47848.0</v>
      </c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</row>
    <row r="7">
      <c r="A7" s="17" t="s">
        <v>39</v>
      </c>
      <c r="B7" s="9">
        <v>6722.0</v>
      </c>
      <c r="C7" s="9" t="s">
        <v>296</v>
      </c>
      <c r="D7" s="26">
        <v>0.75</v>
      </c>
      <c r="E7" s="26">
        <v>0.75</v>
      </c>
      <c r="F7" s="9" t="s">
        <v>254</v>
      </c>
      <c r="G7" s="50">
        <v>47848.0</v>
      </c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</row>
    <row r="8">
      <c r="A8" s="17" t="s">
        <v>45</v>
      </c>
      <c r="B8" s="10"/>
      <c r="C8" s="9" t="s">
        <v>296</v>
      </c>
      <c r="D8" s="26">
        <v>0.75</v>
      </c>
      <c r="E8" s="26">
        <v>0.75</v>
      </c>
      <c r="F8" s="9" t="s">
        <v>254</v>
      </c>
      <c r="G8" s="50">
        <v>47848.0</v>
      </c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</row>
    <row r="9">
      <c r="A9" s="17" t="s">
        <v>37</v>
      </c>
      <c r="B9" s="9">
        <v>3404.0</v>
      </c>
      <c r="C9" s="9" t="s">
        <v>296</v>
      </c>
      <c r="D9" s="26">
        <v>0.75</v>
      </c>
      <c r="E9" s="26">
        <v>0.75</v>
      </c>
      <c r="F9" s="9" t="s">
        <v>254</v>
      </c>
      <c r="G9" s="50">
        <v>47848.0</v>
      </c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</row>
    <row r="10">
      <c r="A10" s="17" t="s">
        <v>298</v>
      </c>
      <c r="B10" s="9">
        <v>6706.0</v>
      </c>
      <c r="C10" s="9" t="s">
        <v>296</v>
      </c>
      <c r="D10" s="26">
        <v>0.75</v>
      </c>
      <c r="E10" s="26">
        <v>0.75</v>
      </c>
      <c r="F10" s="9" t="s">
        <v>254</v>
      </c>
      <c r="G10" s="50">
        <v>47848.0</v>
      </c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</row>
    <row r="11">
      <c r="A11" s="17" t="s">
        <v>23</v>
      </c>
      <c r="B11" s="10"/>
      <c r="C11" s="9" t="s">
        <v>296</v>
      </c>
      <c r="D11" s="26">
        <v>0.75</v>
      </c>
      <c r="E11" s="26">
        <v>0.75</v>
      </c>
      <c r="F11" s="9" t="s">
        <v>254</v>
      </c>
      <c r="G11" s="50">
        <v>47848.0</v>
      </c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</row>
    <row r="12">
      <c r="A12" s="17" t="s">
        <v>20</v>
      </c>
      <c r="B12" s="9">
        <v>14659.0</v>
      </c>
      <c r="C12" s="9" t="s">
        <v>296</v>
      </c>
      <c r="D12" s="26">
        <v>0.75</v>
      </c>
      <c r="E12" s="26">
        <v>0.75</v>
      </c>
      <c r="F12" s="9" t="s">
        <v>254</v>
      </c>
      <c r="G12" s="50">
        <v>47848.0</v>
      </c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</row>
    <row r="13">
      <c r="A13" s="17" t="s">
        <v>33</v>
      </c>
      <c r="B13" s="10"/>
      <c r="C13" s="9" t="s">
        <v>296</v>
      </c>
      <c r="D13" s="26">
        <v>0.75</v>
      </c>
      <c r="E13" s="26">
        <v>0.75</v>
      </c>
      <c r="F13" s="9" t="s">
        <v>254</v>
      </c>
      <c r="G13" s="50">
        <v>47848.0</v>
      </c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</row>
    <row r="14">
      <c r="A14" s="17" t="s">
        <v>34</v>
      </c>
      <c r="B14" s="10"/>
      <c r="C14" s="9" t="s">
        <v>296</v>
      </c>
      <c r="D14" s="26">
        <v>0.75</v>
      </c>
      <c r="E14" s="26">
        <v>0.75</v>
      </c>
      <c r="F14" s="9" t="s">
        <v>254</v>
      </c>
      <c r="G14" s="50">
        <v>47848.0</v>
      </c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</row>
    <row r="15">
      <c r="A15" s="17" t="s">
        <v>299</v>
      </c>
      <c r="B15" s="9">
        <v>14529.0</v>
      </c>
      <c r="C15" s="9" t="s">
        <v>296</v>
      </c>
      <c r="D15" s="26">
        <v>0.75</v>
      </c>
      <c r="E15" s="26">
        <v>0.75</v>
      </c>
      <c r="F15" s="9" t="s">
        <v>254</v>
      </c>
      <c r="G15" s="50">
        <v>47848.0</v>
      </c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</row>
    <row r="16">
      <c r="A16" s="17" t="s">
        <v>300</v>
      </c>
      <c r="B16" s="9">
        <v>663.0</v>
      </c>
      <c r="C16" s="9" t="s">
        <v>296</v>
      </c>
      <c r="D16" s="26">
        <v>0.75</v>
      </c>
      <c r="E16" s="26">
        <v>0.75</v>
      </c>
      <c r="F16" s="9" t="s">
        <v>254</v>
      </c>
      <c r="G16" s="50">
        <v>47848.0</v>
      </c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</row>
    <row r="17">
      <c r="A17" s="17" t="s">
        <v>301</v>
      </c>
      <c r="B17" s="9">
        <v>663.0</v>
      </c>
      <c r="C17" s="9" t="s">
        <v>296</v>
      </c>
      <c r="D17" s="26">
        <v>0.75</v>
      </c>
      <c r="E17" s="26">
        <v>0.75</v>
      </c>
      <c r="F17" s="9" t="s">
        <v>254</v>
      </c>
      <c r="G17" s="50">
        <v>47848.0</v>
      </c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</row>
    <row r="18">
      <c r="A18" s="17" t="s">
        <v>302</v>
      </c>
      <c r="B18" s="9">
        <v>6668.0</v>
      </c>
      <c r="C18" s="9" t="s">
        <v>296</v>
      </c>
      <c r="D18" s="26">
        <v>0.75</v>
      </c>
      <c r="E18" s="26">
        <v>0.75</v>
      </c>
      <c r="F18" s="9" t="s">
        <v>254</v>
      </c>
      <c r="G18" s="50">
        <v>47848.0</v>
      </c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</row>
    <row r="19">
      <c r="A19" s="17" t="s">
        <v>303</v>
      </c>
      <c r="B19" s="9">
        <v>2345.0</v>
      </c>
      <c r="C19" s="9" t="s">
        <v>296</v>
      </c>
      <c r="D19" s="26">
        <v>0.9</v>
      </c>
      <c r="E19" s="26">
        <v>0.9</v>
      </c>
      <c r="F19" s="9" t="s">
        <v>254</v>
      </c>
      <c r="G19" s="50">
        <v>47848.0</v>
      </c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</row>
    <row r="20">
      <c r="A20" s="17" t="s">
        <v>304</v>
      </c>
      <c r="B20" s="9">
        <v>2345.0</v>
      </c>
      <c r="C20" s="9" t="s">
        <v>296</v>
      </c>
      <c r="D20" s="26">
        <v>0.9</v>
      </c>
      <c r="E20" s="26">
        <v>0.9</v>
      </c>
      <c r="F20" s="9" t="s">
        <v>254</v>
      </c>
      <c r="G20" s="50">
        <v>47848.0</v>
      </c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</row>
    <row r="21">
      <c r="A21" s="17" t="s">
        <v>305</v>
      </c>
      <c r="B21" s="9">
        <v>2345.0</v>
      </c>
      <c r="C21" s="9" t="s">
        <v>296</v>
      </c>
      <c r="D21" s="26">
        <v>0.9</v>
      </c>
      <c r="E21" s="26">
        <v>0.9</v>
      </c>
      <c r="F21" s="9" t="s">
        <v>254</v>
      </c>
      <c r="G21" s="50">
        <v>47848.0</v>
      </c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</row>
    <row r="22">
      <c r="A22" s="17" t="s">
        <v>306</v>
      </c>
      <c r="B22" s="9">
        <v>2345.0</v>
      </c>
      <c r="C22" s="9" t="s">
        <v>296</v>
      </c>
      <c r="D22" s="26">
        <v>0.9</v>
      </c>
      <c r="E22" s="26">
        <v>0.9</v>
      </c>
      <c r="F22" s="9" t="s">
        <v>254</v>
      </c>
      <c r="G22" s="50">
        <v>47848.0</v>
      </c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</row>
    <row r="23">
      <c r="A23" s="17" t="s">
        <v>307</v>
      </c>
      <c r="B23" s="9">
        <v>7031.0</v>
      </c>
      <c r="C23" s="9" t="s">
        <v>296</v>
      </c>
      <c r="D23" s="26">
        <v>0.75</v>
      </c>
      <c r="E23" s="26">
        <v>0.75</v>
      </c>
      <c r="F23" s="9" t="s">
        <v>254</v>
      </c>
      <c r="G23" s="50">
        <v>47848.0</v>
      </c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</row>
    <row r="24">
      <c r="A24" s="17" t="s">
        <v>308</v>
      </c>
      <c r="B24" s="9">
        <v>12388.0</v>
      </c>
      <c r="C24" s="9" t="s">
        <v>296</v>
      </c>
      <c r="D24" s="26">
        <v>0.75</v>
      </c>
      <c r="E24" s="26">
        <v>0.75</v>
      </c>
      <c r="F24" s="9" t="s">
        <v>254</v>
      </c>
      <c r="G24" s="50">
        <v>47848.0</v>
      </c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</row>
    <row r="25">
      <c r="A25" s="17" t="s">
        <v>309</v>
      </c>
      <c r="B25" s="10"/>
      <c r="C25" s="9" t="s">
        <v>296</v>
      </c>
      <c r="D25" s="26">
        <v>0.75</v>
      </c>
      <c r="E25" s="26">
        <v>0.75</v>
      </c>
      <c r="F25" s="9" t="s">
        <v>254</v>
      </c>
      <c r="G25" s="50">
        <v>47848.0</v>
      </c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</row>
    <row r="26">
      <c r="A26" s="17" t="s">
        <v>310</v>
      </c>
      <c r="B26" s="9">
        <v>3307.0</v>
      </c>
      <c r="C26" s="9" t="s">
        <v>296</v>
      </c>
      <c r="D26" s="26">
        <v>0.75</v>
      </c>
      <c r="E26" s="26">
        <v>0.75</v>
      </c>
      <c r="F26" s="9" t="s">
        <v>254</v>
      </c>
      <c r="G26" s="50">
        <v>47848.0</v>
      </c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</row>
    <row r="27">
      <c r="A27" s="17" t="s">
        <v>311</v>
      </c>
      <c r="B27" s="9">
        <v>6669.0</v>
      </c>
      <c r="C27" s="9" t="s">
        <v>296</v>
      </c>
      <c r="D27" s="26">
        <v>0.75</v>
      </c>
      <c r="E27" s="26">
        <v>0.75</v>
      </c>
      <c r="F27" s="9" t="s">
        <v>254</v>
      </c>
      <c r="G27" s="50">
        <v>47848.0</v>
      </c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</row>
    <row r="28">
      <c r="A28" s="17" t="s">
        <v>312</v>
      </c>
      <c r="B28" s="10"/>
      <c r="C28" s="9" t="s">
        <v>296</v>
      </c>
      <c r="D28" s="26">
        <v>0.75</v>
      </c>
      <c r="E28" s="26">
        <v>0.75</v>
      </c>
      <c r="F28" s="9" t="s">
        <v>254</v>
      </c>
      <c r="G28" s="50">
        <v>47848.0</v>
      </c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</row>
    <row r="29">
      <c r="A29" s="17" t="s">
        <v>313</v>
      </c>
      <c r="B29" s="9">
        <v>7023.0</v>
      </c>
      <c r="C29" s="9" t="s">
        <v>296</v>
      </c>
      <c r="D29" s="26">
        <v>0.75</v>
      </c>
      <c r="E29" s="26">
        <v>0.75</v>
      </c>
      <c r="F29" s="9" t="s">
        <v>254</v>
      </c>
      <c r="G29" s="50">
        <v>47848.0</v>
      </c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</row>
    <row r="30">
      <c r="A30" s="17" t="s">
        <v>314</v>
      </c>
      <c r="B30" s="9">
        <v>14482.0</v>
      </c>
      <c r="C30" s="9" t="s">
        <v>296</v>
      </c>
      <c r="D30" s="26">
        <v>0.75</v>
      </c>
      <c r="E30" s="26">
        <v>0.75</v>
      </c>
      <c r="F30" s="9" t="s">
        <v>254</v>
      </c>
      <c r="G30" s="50">
        <v>47848.0</v>
      </c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</row>
    <row r="31">
      <c r="A31" s="17" t="s">
        <v>315</v>
      </c>
      <c r="B31" s="9">
        <v>14482.0</v>
      </c>
      <c r="C31" s="9" t="s">
        <v>296</v>
      </c>
      <c r="D31" s="26">
        <v>0.75</v>
      </c>
      <c r="E31" s="26">
        <v>0.75</v>
      </c>
      <c r="F31" s="9" t="s">
        <v>254</v>
      </c>
      <c r="G31" s="50">
        <v>47848.0</v>
      </c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</row>
    <row r="32">
      <c r="A32" s="17" t="s">
        <v>316</v>
      </c>
      <c r="B32" s="10"/>
      <c r="C32" s="9" t="s">
        <v>296</v>
      </c>
      <c r="D32" s="26">
        <v>0.75</v>
      </c>
      <c r="E32" s="26">
        <v>0.75</v>
      </c>
      <c r="F32" s="9" t="s">
        <v>254</v>
      </c>
      <c r="G32" s="50">
        <v>47848.0</v>
      </c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</row>
    <row r="33">
      <c r="A33" s="17" t="s">
        <v>317</v>
      </c>
      <c r="B33" s="10"/>
      <c r="C33" s="9" t="s">
        <v>296</v>
      </c>
      <c r="D33" s="26">
        <v>0.75</v>
      </c>
      <c r="E33" s="26">
        <v>0.75</v>
      </c>
      <c r="F33" s="9" t="s">
        <v>254</v>
      </c>
      <c r="G33" s="50">
        <v>47848.0</v>
      </c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</row>
    <row r="34">
      <c r="A34" s="17" t="s">
        <v>318</v>
      </c>
      <c r="B34" s="9">
        <v>14465.0</v>
      </c>
      <c r="C34" s="9" t="s">
        <v>296</v>
      </c>
      <c r="D34" s="26">
        <v>0.9</v>
      </c>
      <c r="E34" s="26">
        <v>0.9</v>
      </c>
      <c r="F34" s="9" t="s">
        <v>254</v>
      </c>
      <c r="G34" s="50">
        <v>47848.0</v>
      </c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</row>
    <row r="35">
      <c r="A35" s="17" t="s">
        <v>319</v>
      </c>
      <c r="B35" s="10"/>
      <c r="C35" s="9" t="s">
        <v>296</v>
      </c>
      <c r="D35" s="26">
        <v>0.75</v>
      </c>
      <c r="E35" s="26">
        <v>0.75</v>
      </c>
      <c r="F35" s="9" t="s">
        <v>254</v>
      </c>
      <c r="G35" s="50">
        <v>47848.0</v>
      </c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</row>
    <row r="36">
      <c r="A36" s="17" t="s">
        <v>320</v>
      </c>
      <c r="B36" s="9">
        <v>14575.0</v>
      </c>
      <c r="C36" s="9" t="s">
        <v>296</v>
      </c>
      <c r="D36" s="26">
        <v>0.85</v>
      </c>
      <c r="E36" s="26">
        <v>0.85</v>
      </c>
      <c r="F36" s="9" t="s">
        <v>254</v>
      </c>
      <c r="G36" s="50">
        <v>47848.0</v>
      </c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</row>
    <row r="37">
      <c r="A37" s="17" t="s">
        <v>321</v>
      </c>
      <c r="B37" s="9">
        <v>6936.0</v>
      </c>
      <c r="C37" s="9" t="s">
        <v>296</v>
      </c>
      <c r="D37" s="26">
        <v>0.75</v>
      </c>
      <c r="E37" s="26">
        <v>0.75</v>
      </c>
      <c r="F37" s="9" t="s">
        <v>254</v>
      </c>
      <c r="G37" s="50">
        <v>47848.0</v>
      </c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</row>
    <row r="38">
      <c r="A38" s="17" t="s">
        <v>322</v>
      </c>
      <c r="B38" s="10"/>
      <c r="C38" s="9" t="s">
        <v>296</v>
      </c>
      <c r="D38" s="26">
        <v>0.75</v>
      </c>
      <c r="E38" s="26">
        <v>0.75</v>
      </c>
      <c r="F38" s="9" t="s">
        <v>254</v>
      </c>
      <c r="G38" s="50">
        <v>47848.0</v>
      </c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</row>
    <row r="39">
      <c r="A39" s="17" t="s">
        <v>323</v>
      </c>
      <c r="B39" s="10"/>
      <c r="C39" s="9" t="s">
        <v>296</v>
      </c>
      <c r="D39" s="26">
        <v>0.75</v>
      </c>
      <c r="E39" s="26">
        <v>0.75</v>
      </c>
      <c r="F39" s="9" t="s">
        <v>254</v>
      </c>
      <c r="G39" s="50">
        <v>47848.0</v>
      </c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</row>
    <row r="40">
      <c r="A40" s="17" t="s">
        <v>324</v>
      </c>
      <c r="B40" s="9">
        <v>14646.0</v>
      </c>
      <c r="C40" s="9" t="s">
        <v>296</v>
      </c>
      <c r="D40" s="26">
        <v>0.75</v>
      </c>
      <c r="E40" s="26">
        <v>0.75</v>
      </c>
      <c r="F40" s="9" t="s">
        <v>254</v>
      </c>
      <c r="G40" s="50">
        <v>47848.0</v>
      </c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</row>
    <row r="41">
      <c r="A41" s="17" t="s">
        <v>325</v>
      </c>
      <c r="B41" s="10"/>
      <c r="C41" s="9" t="s">
        <v>296</v>
      </c>
      <c r="D41" s="26">
        <v>0.75</v>
      </c>
      <c r="E41" s="26">
        <v>0.75</v>
      </c>
      <c r="F41" s="9" t="s">
        <v>254</v>
      </c>
      <c r="G41" s="50">
        <v>47848.0</v>
      </c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</row>
    <row r="42">
      <c r="A42" s="17" t="s">
        <v>326</v>
      </c>
      <c r="B42" s="10"/>
      <c r="C42" s="9" t="s">
        <v>296</v>
      </c>
      <c r="D42" s="26">
        <v>0.75</v>
      </c>
      <c r="E42" s="26">
        <v>0.75</v>
      </c>
      <c r="F42" s="9" t="s">
        <v>254</v>
      </c>
      <c r="G42" s="50">
        <v>47848.0</v>
      </c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</row>
    <row r="43">
      <c r="A43" s="17" t="s">
        <v>327</v>
      </c>
      <c r="B43" s="9">
        <v>5125.0</v>
      </c>
      <c r="C43" s="9" t="s">
        <v>296</v>
      </c>
      <c r="D43" s="26">
        <v>0.75</v>
      </c>
      <c r="E43" s="26">
        <v>0.75</v>
      </c>
      <c r="F43" s="9" t="s">
        <v>254</v>
      </c>
      <c r="G43" s="50">
        <v>47848.0</v>
      </c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</row>
    <row r="44">
      <c r="A44" s="17" t="s">
        <v>328</v>
      </c>
      <c r="B44" s="9">
        <v>7416.0</v>
      </c>
      <c r="C44" s="9" t="s">
        <v>296</v>
      </c>
      <c r="D44" s="26">
        <v>0.75</v>
      </c>
      <c r="E44" s="26">
        <v>0.75</v>
      </c>
      <c r="F44" s="9" t="s">
        <v>254</v>
      </c>
      <c r="G44" s="50">
        <v>47848.0</v>
      </c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</row>
    <row r="45">
      <c r="A45" s="17" t="s">
        <v>329</v>
      </c>
      <c r="B45" s="10"/>
      <c r="C45" s="9" t="s">
        <v>296</v>
      </c>
      <c r="D45" s="26">
        <v>0.75</v>
      </c>
      <c r="E45" s="26">
        <v>0.75</v>
      </c>
      <c r="F45" s="9" t="s">
        <v>254</v>
      </c>
      <c r="G45" s="50">
        <v>47848.0</v>
      </c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</row>
    <row r="46">
      <c r="A46" s="17" t="s">
        <v>330</v>
      </c>
      <c r="B46" s="10"/>
      <c r="C46" s="9" t="s">
        <v>296</v>
      </c>
      <c r="D46" s="26">
        <v>0.75</v>
      </c>
      <c r="E46" s="26">
        <v>0.75</v>
      </c>
      <c r="F46" s="9" t="s">
        <v>254</v>
      </c>
      <c r="G46" s="50">
        <v>47848.0</v>
      </c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</row>
    <row r="47">
      <c r="A47" s="17" t="s">
        <v>331</v>
      </c>
      <c r="B47" s="9">
        <v>7010.0</v>
      </c>
      <c r="C47" s="9" t="s">
        <v>296</v>
      </c>
      <c r="D47" s="26">
        <v>0.75</v>
      </c>
      <c r="E47" s="26">
        <v>0.75</v>
      </c>
      <c r="F47" s="9" t="s">
        <v>254</v>
      </c>
      <c r="G47" s="50">
        <v>47848.0</v>
      </c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</row>
    <row r="48">
      <c r="A48" s="17" t="s">
        <v>332</v>
      </c>
      <c r="B48" s="9">
        <v>7010.0</v>
      </c>
      <c r="C48" s="9" t="s">
        <v>296</v>
      </c>
      <c r="D48" s="26">
        <v>0.75</v>
      </c>
      <c r="E48" s="26">
        <v>0.75</v>
      </c>
      <c r="F48" s="9" t="s">
        <v>254</v>
      </c>
      <c r="G48" s="50">
        <v>47848.0</v>
      </c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</row>
    <row r="49">
      <c r="A49" s="17" t="s">
        <v>333</v>
      </c>
      <c r="B49" s="9">
        <v>12932.0</v>
      </c>
      <c r="C49" s="9" t="s">
        <v>296</v>
      </c>
      <c r="D49" s="26">
        <v>0.75</v>
      </c>
      <c r="E49" s="26">
        <v>0.75</v>
      </c>
      <c r="F49" s="9" t="s">
        <v>254</v>
      </c>
      <c r="G49" s="50">
        <v>47848.0</v>
      </c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</row>
    <row r="50">
      <c r="A50" s="17" t="s">
        <v>334</v>
      </c>
      <c r="B50" s="10"/>
      <c r="C50" s="9" t="s">
        <v>296</v>
      </c>
      <c r="D50" s="26">
        <v>0.75</v>
      </c>
      <c r="E50" s="26">
        <v>0.75</v>
      </c>
      <c r="F50" s="9" t="s">
        <v>254</v>
      </c>
      <c r="G50" s="50">
        <v>47848.0</v>
      </c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</row>
    <row r="51">
      <c r="A51" s="17" t="s">
        <v>335</v>
      </c>
      <c r="B51" s="10"/>
      <c r="C51" s="9" t="s">
        <v>296</v>
      </c>
      <c r="D51" s="26">
        <v>0.75</v>
      </c>
      <c r="E51" s="26">
        <v>0.75</v>
      </c>
      <c r="F51" s="9" t="s">
        <v>254</v>
      </c>
      <c r="G51" s="50">
        <v>47848.0</v>
      </c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</row>
    <row r="52">
      <c r="A52" s="17" t="s">
        <v>336</v>
      </c>
      <c r="B52" s="10"/>
      <c r="C52" s="9" t="s">
        <v>296</v>
      </c>
      <c r="D52" s="26">
        <v>0.75</v>
      </c>
      <c r="E52" s="26">
        <v>0.75</v>
      </c>
      <c r="F52" s="9" t="s">
        <v>254</v>
      </c>
      <c r="G52" s="50">
        <v>47848.0</v>
      </c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</row>
    <row r="53">
      <c r="A53" s="17" t="s">
        <v>337</v>
      </c>
      <c r="B53" s="10"/>
      <c r="C53" s="9" t="s">
        <v>296</v>
      </c>
      <c r="D53" s="26">
        <v>0.75</v>
      </c>
      <c r="E53" s="26">
        <v>0.75</v>
      </c>
      <c r="F53" s="9" t="s">
        <v>254</v>
      </c>
      <c r="G53" s="50">
        <v>47848.0</v>
      </c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</row>
    <row r="54">
      <c r="A54" s="17" t="s">
        <v>338</v>
      </c>
      <c r="B54" s="9">
        <v>6772.0</v>
      </c>
      <c r="C54" s="9" t="s">
        <v>296</v>
      </c>
      <c r="D54" s="26">
        <v>0.75</v>
      </c>
      <c r="E54" s="26">
        <v>0.75</v>
      </c>
      <c r="F54" s="9" t="s">
        <v>254</v>
      </c>
      <c r="G54" s="50">
        <v>47848.0</v>
      </c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</row>
    <row r="55">
      <c r="A55" s="17" t="s">
        <v>339</v>
      </c>
      <c r="B55" s="10"/>
      <c r="C55" s="9" t="s">
        <v>296</v>
      </c>
      <c r="D55" s="26">
        <v>0.75</v>
      </c>
      <c r="E55" s="26">
        <v>0.75</v>
      </c>
      <c r="F55" s="9" t="s">
        <v>254</v>
      </c>
      <c r="G55" s="50">
        <v>47848.0</v>
      </c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</row>
    <row r="56">
      <c r="A56" s="17" t="s">
        <v>340</v>
      </c>
      <c r="B56" s="10"/>
      <c r="C56" s="9" t="s">
        <v>296</v>
      </c>
      <c r="D56" s="26">
        <v>0.75</v>
      </c>
      <c r="E56" s="26">
        <v>0.75</v>
      </c>
      <c r="F56" s="9" t="s">
        <v>254</v>
      </c>
      <c r="G56" s="50">
        <v>47848.0</v>
      </c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</row>
    <row r="57">
      <c r="A57" s="17" t="s">
        <v>341</v>
      </c>
      <c r="B57" s="10"/>
      <c r="C57" s="9" t="s">
        <v>296</v>
      </c>
      <c r="D57" s="26">
        <v>0.75</v>
      </c>
      <c r="E57" s="26">
        <v>0.75</v>
      </c>
      <c r="F57" s="9" t="s">
        <v>254</v>
      </c>
      <c r="G57" s="50">
        <v>47848.0</v>
      </c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</row>
    <row r="58">
      <c r="A58" s="17" t="s">
        <v>342</v>
      </c>
      <c r="B58" s="10"/>
      <c r="C58" s="9" t="s">
        <v>296</v>
      </c>
      <c r="D58" s="26">
        <v>0.75</v>
      </c>
      <c r="E58" s="26">
        <v>0.75</v>
      </c>
      <c r="F58" s="9" t="s">
        <v>254</v>
      </c>
      <c r="G58" s="50">
        <v>47848.0</v>
      </c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</row>
    <row r="59">
      <c r="A59" s="17" t="s">
        <v>343</v>
      </c>
      <c r="B59" s="10"/>
      <c r="C59" s="9" t="s">
        <v>296</v>
      </c>
      <c r="D59" s="26">
        <v>0.75</v>
      </c>
      <c r="E59" s="26">
        <v>0.75</v>
      </c>
      <c r="F59" s="9" t="s">
        <v>254</v>
      </c>
      <c r="G59" s="50">
        <v>47848.0</v>
      </c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</row>
    <row r="60">
      <c r="A60" s="17" t="s">
        <v>344</v>
      </c>
      <c r="B60" s="10"/>
      <c r="C60" s="9" t="s">
        <v>296</v>
      </c>
      <c r="D60" s="26">
        <v>0.75</v>
      </c>
      <c r="E60" s="26">
        <v>0.75</v>
      </c>
      <c r="F60" s="9" t="s">
        <v>254</v>
      </c>
      <c r="G60" s="50">
        <v>47848.0</v>
      </c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</row>
    <row r="61">
      <c r="A61" s="17" t="s">
        <v>345</v>
      </c>
      <c r="B61" s="10"/>
      <c r="C61" s="9" t="s">
        <v>296</v>
      </c>
      <c r="D61" s="26">
        <v>0.75</v>
      </c>
      <c r="E61" s="26">
        <v>0.75</v>
      </c>
      <c r="F61" s="9" t="s">
        <v>254</v>
      </c>
      <c r="G61" s="50">
        <v>47848.0</v>
      </c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</row>
    <row r="62">
      <c r="A62" s="17" t="s">
        <v>346</v>
      </c>
      <c r="B62" s="10"/>
      <c r="C62" s="9" t="s">
        <v>296</v>
      </c>
      <c r="D62" s="26">
        <v>0.75</v>
      </c>
      <c r="E62" s="26">
        <v>0.75</v>
      </c>
      <c r="F62" s="9" t="s">
        <v>254</v>
      </c>
      <c r="G62" s="50">
        <v>47848.0</v>
      </c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</row>
    <row r="63">
      <c r="A63" s="17" t="s">
        <v>347</v>
      </c>
      <c r="B63" s="10"/>
      <c r="C63" s="9" t="s">
        <v>296</v>
      </c>
      <c r="D63" s="26">
        <v>0.75</v>
      </c>
      <c r="E63" s="26">
        <v>0.75</v>
      </c>
      <c r="F63" s="9" t="s">
        <v>254</v>
      </c>
      <c r="G63" s="50">
        <v>47848.0</v>
      </c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</row>
    <row r="64">
      <c r="A64" s="17" t="s">
        <v>348</v>
      </c>
      <c r="B64" s="9">
        <v>6132.0</v>
      </c>
      <c r="C64" s="9" t="s">
        <v>296</v>
      </c>
      <c r="D64" s="26">
        <v>0.75</v>
      </c>
      <c r="E64" s="26">
        <v>0.75</v>
      </c>
      <c r="F64" s="9" t="s">
        <v>254</v>
      </c>
      <c r="G64" s="50">
        <v>47848.0</v>
      </c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</row>
    <row r="65">
      <c r="A65" s="17" t="s">
        <v>349</v>
      </c>
      <c r="B65" s="10"/>
      <c r="C65" s="9" t="s">
        <v>296</v>
      </c>
      <c r="D65" s="26">
        <v>0.75</v>
      </c>
      <c r="E65" s="26">
        <v>0.75</v>
      </c>
      <c r="F65" s="9" t="s">
        <v>254</v>
      </c>
      <c r="G65" s="50">
        <v>47848.0</v>
      </c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</row>
    <row r="66">
      <c r="A66" s="17" t="s">
        <v>350</v>
      </c>
      <c r="B66" s="10"/>
      <c r="C66" s="9" t="s">
        <v>296</v>
      </c>
      <c r="D66" s="26">
        <v>0.75</v>
      </c>
      <c r="E66" s="26">
        <v>0.75</v>
      </c>
      <c r="F66" s="9" t="s">
        <v>254</v>
      </c>
      <c r="G66" s="50">
        <v>47848.0</v>
      </c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</row>
    <row r="67">
      <c r="A67" s="17" t="s">
        <v>351</v>
      </c>
      <c r="B67" s="10"/>
      <c r="C67" s="9" t="s">
        <v>296</v>
      </c>
      <c r="D67" s="26">
        <v>0.75</v>
      </c>
      <c r="E67" s="26">
        <v>0.75</v>
      </c>
      <c r="F67" s="9" t="s">
        <v>254</v>
      </c>
      <c r="G67" s="50">
        <v>47848.0</v>
      </c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</row>
    <row r="68">
      <c r="A68" s="17" t="s">
        <v>352</v>
      </c>
      <c r="B68" s="10"/>
      <c r="C68" s="9" t="s">
        <v>296</v>
      </c>
      <c r="D68" s="26">
        <v>0.75</v>
      </c>
      <c r="E68" s="26">
        <v>0.75</v>
      </c>
      <c r="F68" s="9" t="s">
        <v>254</v>
      </c>
      <c r="G68" s="50">
        <v>47848.0</v>
      </c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</row>
    <row r="69">
      <c r="A69" s="17" t="s">
        <v>353</v>
      </c>
      <c r="B69" s="9">
        <v>6947.0</v>
      </c>
      <c r="C69" s="9" t="s">
        <v>296</v>
      </c>
      <c r="D69" s="26">
        <v>0.75</v>
      </c>
      <c r="E69" s="26">
        <v>0.75</v>
      </c>
      <c r="F69" s="9" t="s">
        <v>254</v>
      </c>
      <c r="G69" s="50">
        <v>47848.0</v>
      </c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</row>
    <row r="70">
      <c r="A70" s="17" t="s">
        <v>354</v>
      </c>
      <c r="B70" s="10"/>
      <c r="C70" s="9" t="s">
        <v>296</v>
      </c>
      <c r="D70" s="26">
        <v>0.75</v>
      </c>
      <c r="E70" s="26">
        <v>0.75</v>
      </c>
      <c r="F70" s="9" t="s">
        <v>254</v>
      </c>
      <c r="G70" s="50">
        <v>47848.0</v>
      </c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</row>
    <row r="71">
      <c r="A71" s="17" t="s">
        <v>355</v>
      </c>
      <c r="B71" s="9">
        <v>7033.0</v>
      </c>
      <c r="C71" s="9" t="s">
        <v>296</v>
      </c>
      <c r="D71" s="26">
        <v>0.75</v>
      </c>
      <c r="E71" s="26">
        <v>0.75</v>
      </c>
      <c r="F71" s="9" t="s">
        <v>254</v>
      </c>
      <c r="G71" s="50">
        <v>47848.0</v>
      </c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</row>
    <row r="72">
      <c r="A72" s="17" t="s">
        <v>356</v>
      </c>
      <c r="B72" s="9">
        <v>499.0</v>
      </c>
      <c r="C72" s="9" t="s">
        <v>296</v>
      </c>
      <c r="D72" s="26">
        <v>0.75</v>
      </c>
      <c r="E72" s="26">
        <v>0.75</v>
      </c>
      <c r="F72" s="9" t="s">
        <v>254</v>
      </c>
      <c r="G72" s="50">
        <v>47848.0</v>
      </c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</row>
    <row r="73">
      <c r="A73" s="17" t="s">
        <v>357</v>
      </c>
      <c r="B73" s="10"/>
      <c r="C73" s="9" t="s">
        <v>296</v>
      </c>
      <c r="D73" s="26">
        <v>0.75</v>
      </c>
      <c r="E73" s="26">
        <v>0.75</v>
      </c>
      <c r="F73" s="9" t="s">
        <v>254</v>
      </c>
      <c r="G73" s="50">
        <v>47848.0</v>
      </c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</row>
    <row r="74">
      <c r="A74" s="17" t="s">
        <v>358</v>
      </c>
      <c r="B74" s="10"/>
      <c r="C74" s="9" t="s">
        <v>296</v>
      </c>
      <c r="D74" s="26">
        <v>0.75</v>
      </c>
      <c r="E74" s="26">
        <v>0.75</v>
      </c>
      <c r="F74" s="9" t="s">
        <v>254</v>
      </c>
      <c r="G74" s="50">
        <v>47848.0</v>
      </c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</row>
    <row r="75">
      <c r="A75" s="17" t="s">
        <v>359</v>
      </c>
      <c r="B75" s="10"/>
      <c r="C75" s="9" t="s">
        <v>296</v>
      </c>
      <c r="D75" s="26">
        <v>0.75</v>
      </c>
      <c r="E75" s="26">
        <v>0.75</v>
      </c>
      <c r="F75" s="9" t="s">
        <v>254</v>
      </c>
      <c r="G75" s="50">
        <v>47848.0</v>
      </c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</row>
    <row r="76">
      <c r="A76" s="17" t="s">
        <v>360</v>
      </c>
      <c r="B76" s="10"/>
      <c r="C76" s="9" t="s">
        <v>296</v>
      </c>
      <c r="D76" s="26">
        <v>0.75</v>
      </c>
      <c r="E76" s="26">
        <v>0.75</v>
      </c>
      <c r="F76" s="9" t="s">
        <v>254</v>
      </c>
      <c r="G76" s="50">
        <v>47848.0</v>
      </c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</row>
    <row r="77">
      <c r="A77" s="17" t="s">
        <v>361</v>
      </c>
      <c r="B77" s="10"/>
      <c r="C77" s="9" t="s">
        <v>296</v>
      </c>
      <c r="D77" s="26">
        <v>0.75</v>
      </c>
      <c r="E77" s="26">
        <v>0.75</v>
      </c>
      <c r="F77" s="9" t="s">
        <v>254</v>
      </c>
      <c r="G77" s="50">
        <v>47848.0</v>
      </c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</row>
    <row r="78">
      <c r="A78" s="17" t="s">
        <v>362</v>
      </c>
      <c r="B78" s="10"/>
      <c r="C78" s="9" t="s">
        <v>296</v>
      </c>
      <c r="D78" s="26">
        <v>0.75</v>
      </c>
      <c r="E78" s="26">
        <v>0.75</v>
      </c>
      <c r="F78" s="9" t="s">
        <v>254</v>
      </c>
      <c r="G78" s="50">
        <v>47848.0</v>
      </c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</row>
    <row r="79">
      <c r="A79" s="17" t="s">
        <v>363</v>
      </c>
      <c r="B79" s="10"/>
      <c r="C79" s="9" t="s">
        <v>296</v>
      </c>
      <c r="D79" s="26">
        <v>0.75</v>
      </c>
      <c r="E79" s="26">
        <v>0.75</v>
      </c>
      <c r="F79" s="9" t="s">
        <v>254</v>
      </c>
      <c r="G79" s="50">
        <v>47848.0</v>
      </c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</row>
    <row r="80">
      <c r="A80" s="17" t="s">
        <v>364</v>
      </c>
      <c r="B80" s="10"/>
      <c r="C80" s="9" t="s">
        <v>296</v>
      </c>
      <c r="D80" s="26">
        <v>0.75</v>
      </c>
      <c r="E80" s="26">
        <v>0.75</v>
      </c>
      <c r="F80" s="9" t="s">
        <v>254</v>
      </c>
      <c r="G80" s="50">
        <v>47848.0</v>
      </c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</row>
    <row r="81">
      <c r="A81" s="17" t="s">
        <v>365</v>
      </c>
      <c r="B81" s="10"/>
      <c r="C81" s="9" t="s">
        <v>296</v>
      </c>
      <c r="D81" s="26">
        <v>0.75</v>
      </c>
      <c r="E81" s="26">
        <v>0.75</v>
      </c>
      <c r="F81" s="9" t="s">
        <v>254</v>
      </c>
      <c r="G81" s="50">
        <v>47848.0</v>
      </c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</row>
    <row r="82">
      <c r="A82" s="17" t="s">
        <v>366</v>
      </c>
      <c r="B82" s="10"/>
      <c r="C82" s="9" t="s">
        <v>296</v>
      </c>
      <c r="D82" s="26">
        <v>0.75</v>
      </c>
      <c r="E82" s="26">
        <v>0.75</v>
      </c>
      <c r="F82" s="9" t="s">
        <v>254</v>
      </c>
      <c r="G82" s="50">
        <v>47848.0</v>
      </c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</row>
    <row r="83">
      <c r="A83" s="17" t="s">
        <v>367</v>
      </c>
      <c r="B83" s="10"/>
      <c r="C83" s="9" t="s">
        <v>296</v>
      </c>
      <c r="D83" s="26">
        <v>0.75</v>
      </c>
      <c r="E83" s="26">
        <v>0.75</v>
      </c>
      <c r="F83" s="9" t="s">
        <v>254</v>
      </c>
      <c r="G83" s="50">
        <v>47848.0</v>
      </c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</row>
    <row r="84">
      <c r="A84" s="17" t="s">
        <v>368</v>
      </c>
      <c r="B84" s="10"/>
      <c r="C84" s="9" t="s">
        <v>296</v>
      </c>
      <c r="D84" s="26">
        <v>0.75</v>
      </c>
      <c r="E84" s="26">
        <v>0.75</v>
      </c>
      <c r="F84" s="9" t="s">
        <v>254</v>
      </c>
      <c r="G84" s="50">
        <v>47848.0</v>
      </c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</row>
    <row r="85">
      <c r="A85" s="17" t="s">
        <v>369</v>
      </c>
      <c r="B85" s="10"/>
      <c r="C85" s="9" t="s">
        <v>296</v>
      </c>
      <c r="D85" s="26">
        <v>0.75</v>
      </c>
      <c r="E85" s="26">
        <v>0.75</v>
      </c>
      <c r="F85" s="9" t="s">
        <v>254</v>
      </c>
      <c r="G85" s="50">
        <v>47848.0</v>
      </c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</row>
    <row r="86">
      <c r="A86" s="17" t="s">
        <v>370</v>
      </c>
      <c r="B86" s="10"/>
      <c r="C86" s="9" t="s">
        <v>296</v>
      </c>
      <c r="D86" s="26">
        <v>0.75</v>
      </c>
      <c r="E86" s="26">
        <v>0.75</v>
      </c>
      <c r="F86" s="9" t="s">
        <v>254</v>
      </c>
      <c r="G86" s="50">
        <v>47848.0</v>
      </c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</row>
    <row r="87">
      <c r="A87" s="17" t="s">
        <v>371</v>
      </c>
      <c r="B87" s="10"/>
      <c r="C87" s="9" t="s">
        <v>296</v>
      </c>
      <c r="D87" s="26">
        <v>0.75</v>
      </c>
      <c r="E87" s="26">
        <v>0.75</v>
      </c>
      <c r="F87" s="9" t="s">
        <v>254</v>
      </c>
      <c r="G87" s="50">
        <v>47848.0</v>
      </c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</row>
    <row r="88">
      <c r="A88" s="17" t="s">
        <v>372</v>
      </c>
      <c r="B88" s="10"/>
      <c r="C88" s="9" t="s">
        <v>296</v>
      </c>
      <c r="D88" s="26">
        <v>0.75</v>
      </c>
      <c r="E88" s="26">
        <v>0.75</v>
      </c>
      <c r="F88" s="9" t="s">
        <v>254</v>
      </c>
      <c r="G88" s="50">
        <v>47848.0</v>
      </c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</row>
    <row r="89">
      <c r="A89" s="17" t="s">
        <v>373</v>
      </c>
      <c r="B89" s="10"/>
      <c r="C89" s="9" t="s">
        <v>296</v>
      </c>
      <c r="D89" s="26">
        <v>0.75</v>
      </c>
      <c r="E89" s="26">
        <v>0.75</v>
      </c>
      <c r="F89" s="9" t="s">
        <v>254</v>
      </c>
      <c r="G89" s="50">
        <v>47848.0</v>
      </c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</row>
    <row r="90">
      <c r="A90" s="17" t="s">
        <v>374</v>
      </c>
      <c r="B90" s="10"/>
      <c r="C90" s="9" t="s">
        <v>296</v>
      </c>
      <c r="D90" s="26">
        <v>0.75</v>
      </c>
      <c r="E90" s="26">
        <v>0.75</v>
      </c>
      <c r="F90" s="9" t="s">
        <v>254</v>
      </c>
      <c r="G90" s="50">
        <v>47848.0</v>
      </c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</row>
    <row r="91">
      <c r="A91" s="17" t="s">
        <v>375</v>
      </c>
      <c r="B91" s="10"/>
      <c r="C91" s="9" t="s">
        <v>296</v>
      </c>
      <c r="D91" s="26">
        <v>0.75</v>
      </c>
      <c r="E91" s="26">
        <v>0.75</v>
      </c>
      <c r="F91" s="9" t="s">
        <v>254</v>
      </c>
      <c r="G91" s="50">
        <v>47848.0</v>
      </c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</row>
    <row r="92">
      <c r="A92" s="17" t="s">
        <v>376</v>
      </c>
      <c r="B92" s="10"/>
      <c r="C92" s="9" t="s">
        <v>296</v>
      </c>
      <c r="D92" s="26">
        <v>0.75</v>
      </c>
      <c r="E92" s="26">
        <v>0.75</v>
      </c>
      <c r="F92" s="9" t="s">
        <v>254</v>
      </c>
      <c r="G92" s="50">
        <v>47848.0</v>
      </c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</row>
    <row r="93">
      <c r="A93" s="17" t="s">
        <v>377</v>
      </c>
      <c r="B93" s="10"/>
      <c r="C93" s="9" t="s">
        <v>296</v>
      </c>
      <c r="D93" s="26">
        <v>0.75</v>
      </c>
      <c r="E93" s="26">
        <v>0.75</v>
      </c>
      <c r="F93" s="9" t="s">
        <v>254</v>
      </c>
      <c r="G93" s="50">
        <v>47848.0</v>
      </c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</row>
    <row r="94">
      <c r="A94" s="17" t="s">
        <v>378</v>
      </c>
      <c r="B94" s="10"/>
      <c r="C94" s="9" t="s">
        <v>296</v>
      </c>
      <c r="D94" s="26">
        <v>0.75</v>
      </c>
      <c r="E94" s="26">
        <v>0.75</v>
      </c>
      <c r="F94" s="9" t="s">
        <v>254</v>
      </c>
      <c r="G94" s="50">
        <v>47848.0</v>
      </c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</row>
    <row r="95">
      <c r="A95" s="17" t="s">
        <v>379</v>
      </c>
      <c r="B95" s="10"/>
      <c r="C95" s="9" t="s">
        <v>296</v>
      </c>
      <c r="D95" s="26">
        <v>0.75</v>
      </c>
      <c r="E95" s="26">
        <v>0.75</v>
      </c>
      <c r="F95" s="9" t="s">
        <v>254</v>
      </c>
      <c r="G95" s="50">
        <v>47848.0</v>
      </c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</row>
    <row r="96">
      <c r="A96" s="17" t="s">
        <v>380</v>
      </c>
      <c r="B96" s="10"/>
      <c r="C96" s="9" t="s">
        <v>296</v>
      </c>
      <c r="D96" s="26">
        <v>0.75</v>
      </c>
      <c r="E96" s="26">
        <v>0.75</v>
      </c>
      <c r="F96" s="9" t="s">
        <v>254</v>
      </c>
      <c r="G96" s="50">
        <v>47848.0</v>
      </c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</row>
    <row r="97">
      <c r="A97" s="17" t="s">
        <v>381</v>
      </c>
      <c r="B97" s="10"/>
      <c r="C97" s="9" t="s">
        <v>296</v>
      </c>
      <c r="D97" s="26">
        <v>0.75</v>
      </c>
      <c r="E97" s="26">
        <v>0.75</v>
      </c>
      <c r="F97" s="9" t="s">
        <v>254</v>
      </c>
      <c r="G97" s="50">
        <v>47848.0</v>
      </c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</row>
    <row r="98">
      <c r="A98" s="17" t="s">
        <v>382</v>
      </c>
      <c r="B98" s="10"/>
      <c r="C98" s="9" t="s">
        <v>296</v>
      </c>
      <c r="D98" s="26">
        <v>0.75</v>
      </c>
      <c r="E98" s="26">
        <v>0.75</v>
      </c>
      <c r="F98" s="9" t="s">
        <v>254</v>
      </c>
      <c r="G98" s="50">
        <v>47848.0</v>
      </c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</row>
    <row r="99">
      <c r="A99" s="17" t="s">
        <v>383</v>
      </c>
      <c r="B99" s="10"/>
      <c r="C99" s="9" t="s">
        <v>296</v>
      </c>
      <c r="D99" s="26">
        <v>0.75</v>
      </c>
      <c r="E99" s="26">
        <v>0.75</v>
      </c>
      <c r="F99" s="9" t="s">
        <v>254</v>
      </c>
      <c r="G99" s="50">
        <v>47848.0</v>
      </c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</row>
    <row r="100">
      <c r="A100" s="17" t="s">
        <v>384</v>
      </c>
      <c r="B100" s="10"/>
      <c r="C100" s="9" t="s">
        <v>296</v>
      </c>
      <c r="D100" s="26">
        <v>0.75</v>
      </c>
      <c r="E100" s="26">
        <v>0.75</v>
      </c>
      <c r="F100" s="9" t="s">
        <v>254</v>
      </c>
      <c r="G100" s="50">
        <v>47848.0</v>
      </c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</row>
    <row r="101">
      <c r="A101" s="17" t="s">
        <v>385</v>
      </c>
      <c r="B101" s="10"/>
      <c r="C101" s="9" t="s">
        <v>296</v>
      </c>
      <c r="D101" s="26">
        <v>0.75</v>
      </c>
      <c r="E101" s="26">
        <v>0.75</v>
      </c>
      <c r="F101" s="9" t="s">
        <v>254</v>
      </c>
      <c r="G101" s="50">
        <v>47848.0</v>
      </c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</row>
    <row r="102">
      <c r="A102" s="17" t="s">
        <v>386</v>
      </c>
      <c r="B102" s="10"/>
      <c r="C102" s="9" t="s">
        <v>296</v>
      </c>
      <c r="D102" s="26">
        <v>0.75</v>
      </c>
      <c r="E102" s="26">
        <v>0.75</v>
      </c>
      <c r="F102" s="9" t="s">
        <v>254</v>
      </c>
      <c r="G102" s="50">
        <v>47848.0</v>
      </c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</row>
    <row r="103">
      <c r="A103" s="17" t="s">
        <v>387</v>
      </c>
      <c r="B103" s="10"/>
      <c r="C103" s="9" t="s">
        <v>296</v>
      </c>
      <c r="D103" s="26">
        <v>0.75</v>
      </c>
      <c r="E103" s="26">
        <v>0.75</v>
      </c>
      <c r="F103" s="9" t="s">
        <v>254</v>
      </c>
      <c r="G103" s="50">
        <v>47848.0</v>
      </c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</row>
    <row r="104">
      <c r="A104" s="17" t="s">
        <v>388</v>
      </c>
      <c r="B104" s="10"/>
      <c r="C104" s="9" t="s">
        <v>296</v>
      </c>
      <c r="D104" s="26">
        <v>0.75</v>
      </c>
      <c r="E104" s="26">
        <v>0.75</v>
      </c>
      <c r="F104" s="9" t="s">
        <v>254</v>
      </c>
      <c r="G104" s="50">
        <v>47848.0</v>
      </c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</row>
    <row r="105">
      <c r="A105" s="17" t="s">
        <v>389</v>
      </c>
      <c r="B105" s="10"/>
      <c r="C105" s="9" t="s">
        <v>296</v>
      </c>
      <c r="D105" s="26">
        <v>0.75</v>
      </c>
      <c r="E105" s="26">
        <v>0.75</v>
      </c>
      <c r="F105" s="9" t="s">
        <v>254</v>
      </c>
      <c r="G105" s="50">
        <v>47848.0</v>
      </c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</row>
    <row r="106">
      <c r="A106" s="17" t="s">
        <v>390</v>
      </c>
      <c r="B106" s="9">
        <v>14580.0</v>
      </c>
      <c r="C106" s="9" t="s">
        <v>296</v>
      </c>
      <c r="D106" s="26">
        <v>0.75</v>
      </c>
      <c r="E106" s="26">
        <v>0.75</v>
      </c>
      <c r="F106" s="9" t="s">
        <v>254</v>
      </c>
      <c r="G106" s="50">
        <v>47848.0</v>
      </c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</row>
    <row r="107">
      <c r="A107" s="17" t="s">
        <v>391</v>
      </c>
      <c r="B107" s="10"/>
      <c r="C107" s="9" t="s">
        <v>296</v>
      </c>
      <c r="D107" s="26">
        <v>0.75</v>
      </c>
      <c r="E107" s="26">
        <v>0.75</v>
      </c>
      <c r="F107" s="9" t="s">
        <v>254</v>
      </c>
      <c r="G107" s="50">
        <v>47848.0</v>
      </c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</row>
    <row r="108">
      <c r="A108" s="17" t="s">
        <v>392</v>
      </c>
      <c r="B108" s="10"/>
      <c r="C108" s="9" t="s">
        <v>296</v>
      </c>
      <c r="D108" s="26">
        <v>0.75</v>
      </c>
      <c r="E108" s="26">
        <v>0.75</v>
      </c>
      <c r="F108" s="9" t="s">
        <v>254</v>
      </c>
      <c r="G108" s="50">
        <v>47848.0</v>
      </c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</row>
    <row r="109">
      <c r="A109" s="17" t="s">
        <v>393</v>
      </c>
      <c r="B109" s="10"/>
      <c r="C109" s="9" t="s">
        <v>296</v>
      </c>
      <c r="D109" s="26">
        <v>0.75</v>
      </c>
      <c r="E109" s="26">
        <v>0.75</v>
      </c>
      <c r="F109" s="9" t="s">
        <v>254</v>
      </c>
      <c r="G109" s="50">
        <v>47848.0</v>
      </c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</row>
    <row r="110">
      <c r="A110" s="17" t="s">
        <v>220</v>
      </c>
      <c r="B110" s="9">
        <v>14663.0</v>
      </c>
      <c r="C110" s="9" t="s">
        <v>296</v>
      </c>
      <c r="D110" s="26">
        <v>0.75</v>
      </c>
      <c r="E110" s="26">
        <v>0.75</v>
      </c>
      <c r="F110" s="9" t="s">
        <v>254</v>
      </c>
      <c r="G110" s="50">
        <v>47848.0</v>
      </c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</row>
    <row r="111">
      <c r="A111" s="51" t="s">
        <v>394</v>
      </c>
      <c r="B111" s="52"/>
      <c r="C111" s="9" t="s">
        <v>395</v>
      </c>
      <c r="D111" s="26">
        <v>0.75</v>
      </c>
      <c r="E111" s="26">
        <v>0.75</v>
      </c>
      <c r="F111" s="9" t="s">
        <v>254</v>
      </c>
      <c r="G111" s="50">
        <v>47848.0</v>
      </c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</row>
    <row r="112">
      <c r="A112" s="51" t="s">
        <v>396</v>
      </c>
      <c r="B112" s="53">
        <v>663.0</v>
      </c>
      <c r="C112" s="9" t="s">
        <v>395</v>
      </c>
      <c r="D112" s="26">
        <v>0.75</v>
      </c>
      <c r="E112" s="26">
        <v>0.75</v>
      </c>
      <c r="F112" s="9" t="s">
        <v>254</v>
      </c>
      <c r="G112" s="50">
        <v>47848.0</v>
      </c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</row>
    <row r="113">
      <c r="A113" s="51" t="s">
        <v>397</v>
      </c>
      <c r="B113" s="53">
        <v>663.0</v>
      </c>
      <c r="C113" s="9" t="s">
        <v>395</v>
      </c>
      <c r="D113" s="26">
        <v>0.75</v>
      </c>
      <c r="E113" s="26">
        <v>0.75</v>
      </c>
      <c r="F113" s="9" t="s">
        <v>254</v>
      </c>
      <c r="G113" s="50">
        <v>47848.0</v>
      </c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</row>
    <row r="114">
      <c r="A114" s="51" t="s">
        <v>398</v>
      </c>
      <c r="B114" s="53">
        <v>189.0</v>
      </c>
      <c r="C114" s="9" t="s">
        <v>395</v>
      </c>
      <c r="D114" s="26">
        <v>0.75</v>
      </c>
      <c r="E114" s="26">
        <v>0.75</v>
      </c>
      <c r="F114" s="9" t="s">
        <v>254</v>
      </c>
      <c r="G114" s="50">
        <v>47848.0</v>
      </c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</row>
    <row r="115">
      <c r="A115" s="51" t="s">
        <v>399</v>
      </c>
      <c r="B115" s="53">
        <v>6675.0</v>
      </c>
      <c r="C115" s="9" t="s">
        <v>395</v>
      </c>
      <c r="D115" s="26">
        <v>0.75</v>
      </c>
      <c r="E115" s="26">
        <v>0.75</v>
      </c>
      <c r="F115" s="9" t="s">
        <v>254</v>
      </c>
      <c r="G115" s="50">
        <v>47848.0</v>
      </c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</row>
    <row r="116">
      <c r="A116" s="51" t="s">
        <v>400</v>
      </c>
      <c r="B116" s="52"/>
      <c r="C116" s="9" t="s">
        <v>395</v>
      </c>
      <c r="D116" s="26">
        <v>0.75</v>
      </c>
      <c r="E116" s="26">
        <v>0.75</v>
      </c>
      <c r="F116" s="9" t="s">
        <v>254</v>
      </c>
      <c r="G116" s="50">
        <v>47848.0</v>
      </c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</row>
    <row r="117">
      <c r="A117" s="51" t="s">
        <v>401</v>
      </c>
      <c r="B117" s="52"/>
      <c r="C117" s="9" t="s">
        <v>395</v>
      </c>
      <c r="D117" s="26">
        <v>0.75</v>
      </c>
      <c r="E117" s="26">
        <v>0.75</v>
      </c>
      <c r="F117" s="9" t="s">
        <v>254</v>
      </c>
      <c r="G117" s="50">
        <v>47848.0</v>
      </c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</row>
    <row r="118">
      <c r="A118" s="51" t="s">
        <v>402</v>
      </c>
      <c r="B118" s="52"/>
      <c r="C118" s="9" t="s">
        <v>395</v>
      </c>
      <c r="D118" s="26">
        <v>0.75</v>
      </c>
      <c r="E118" s="26">
        <v>0.75</v>
      </c>
      <c r="F118" s="9" t="s">
        <v>254</v>
      </c>
      <c r="G118" s="50">
        <v>47848.0</v>
      </c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</row>
    <row r="119">
      <c r="A119" s="51" t="s">
        <v>403</v>
      </c>
      <c r="B119" s="53">
        <v>2345.0</v>
      </c>
      <c r="C119" s="9" t="s">
        <v>395</v>
      </c>
      <c r="D119" s="26">
        <v>0.9</v>
      </c>
      <c r="E119" s="26">
        <v>0.9</v>
      </c>
      <c r="F119" s="9" t="s">
        <v>254</v>
      </c>
      <c r="G119" s="50">
        <v>47848.0</v>
      </c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</row>
    <row r="120">
      <c r="A120" s="51" t="s">
        <v>404</v>
      </c>
      <c r="B120" s="53">
        <v>2345.0</v>
      </c>
      <c r="C120" s="9" t="s">
        <v>395</v>
      </c>
      <c r="D120" s="26">
        <v>0.9</v>
      </c>
      <c r="E120" s="26">
        <v>0.9</v>
      </c>
      <c r="F120" s="9" t="s">
        <v>254</v>
      </c>
      <c r="G120" s="50">
        <v>47848.0</v>
      </c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</row>
    <row r="121">
      <c r="A121" s="51" t="s">
        <v>405</v>
      </c>
      <c r="B121" s="53">
        <v>2345.0</v>
      </c>
      <c r="C121" s="9" t="s">
        <v>395</v>
      </c>
      <c r="D121" s="26">
        <v>0.9</v>
      </c>
      <c r="E121" s="26">
        <v>0.9</v>
      </c>
      <c r="F121" s="9" t="s">
        <v>254</v>
      </c>
      <c r="G121" s="50">
        <v>47848.0</v>
      </c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</row>
    <row r="122">
      <c r="A122" s="51" t="s">
        <v>406</v>
      </c>
      <c r="B122" s="53">
        <v>2345.0</v>
      </c>
      <c r="C122" s="9" t="s">
        <v>395</v>
      </c>
      <c r="D122" s="54">
        <v>0.9</v>
      </c>
      <c r="E122" s="54">
        <v>0.9</v>
      </c>
      <c r="F122" s="9" t="s">
        <v>254</v>
      </c>
      <c r="G122" s="50">
        <v>47848.0</v>
      </c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</row>
    <row r="123">
      <c r="A123" s="51" t="s">
        <v>407</v>
      </c>
      <c r="B123" s="52"/>
      <c r="C123" s="9" t="s">
        <v>395</v>
      </c>
      <c r="D123" s="26">
        <v>0.75</v>
      </c>
      <c r="E123" s="26">
        <v>0.75</v>
      </c>
      <c r="F123" s="9" t="s">
        <v>254</v>
      </c>
      <c r="G123" s="50">
        <v>47848.0</v>
      </c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</row>
    <row r="124">
      <c r="A124" s="51" t="s">
        <v>408</v>
      </c>
      <c r="B124" s="52"/>
      <c r="C124" s="9" t="s">
        <v>395</v>
      </c>
      <c r="D124" s="26">
        <v>0.75</v>
      </c>
      <c r="E124" s="26">
        <v>0.75</v>
      </c>
      <c r="F124" s="9" t="s">
        <v>254</v>
      </c>
      <c r="G124" s="50">
        <v>47848.0</v>
      </c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</row>
    <row r="125">
      <c r="A125" s="51" t="s">
        <v>409</v>
      </c>
      <c r="B125" s="52"/>
      <c r="C125" s="9" t="s">
        <v>395</v>
      </c>
      <c r="D125" s="26">
        <v>0.75</v>
      </c>
      <c r="E125" s="26">
        <v>0.75</v>
      </c>
      <c r="F125" s="9" t="s">
        <v>254</v>
      </c>
      <c r="G125" s="50">
        <v>47848.0</v>
      </c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</row>
    <row r="126">
      <c r="A126" s="51" t="s">
        <v>410</v>
      </c>
      <c r="B126" s="52"/>
      <c r="C126" s="9" t="s">
        <v>395</v>
      </c>
      <c r="D126" s="26">
        <v>0.75</v>
      </c>
      <c r="E126" s="26">
        <v>0.75</v>
      </c>
      <c r="F126" s="9" t="s">
        <v>254</v>
      </c>
      <c r="G126" s="50">
        <v>47848.0</v>
      </c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</row>
    <row r="127">
      <c r="A127" s="51" t="s">
        <v>411</v>
      </c>
      <c r="B127" s="52"/>
      <c r="C127" s="9" t="s">
        <v>395</v>
      </c>
      <c r="D127" s="26">
        <v>0.75</v>
      </c>
      <c r="E127" s="26">
        <v>0.75</v>
      </c>
      <c r="F127" s="9" t="s">
        <v>254</v>
      </c>
      <c r="G127" s="50">
        <v>47848.0</v>
      </c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</row>
    <row r="128">
      <c r="A128" s="51" t="s">
        <v>412</v>
      </c>
      <c r="B128" s="52"/>
      <c r="C128" s="9" t="s">
        <v>395</v>
      </c>
      <c r="D128" s="26">
        <v>0.75</v>
      </c>
      <c r="E128" s="26">
        <v>0.75</v>
      </c>
      <c r="F128" s="9" t="s">
        <v>254</v>
      </c>
      <c r="G128" s="50">
        <v>47848.0</v>
      </c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</row>
    <row r="129">
      <c r="A129" s="51" t="s">
        <v>413</v>
      </c>
      <c r="B129" s="52"/>
      <c r="C129" s="9" t="s">
        <v>395</v>
      </c>
      <c r="D129" s="26">
        <v>0.75</v>
      </c>
      <c r="E129" s="26">
        <v>0.75</v>
      </c>
      <c r="F129" s="9" t="s">
        <v>254</v>
      </c>
      <c r="G129" s="50">
        <v>47848.0</v>
      </c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</row>
    <row r="130">
      <c r="A130" s="51" t="s">
        <v>414</v>
      </c>
      <c r="B130" s="53">
        <v>14465.0</v>
      </c>
      <c r="C130" s="9" t="s">
        <v>395</v>
      </c>
      <c r="D130" s="26">
        <v>0.9</v>
      </c>
      <c r="E130" s="26">
        <v>0.9</v>
      </c>
      <c r="F130" s="9" t="s">
        <v>254</v>
      </c>
      <c r="G130" s="50">
        <v>47848.0</v>
      </c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</row>
    <row r="131">
      <c r="A131" s="51" t="s">
        <v>415</v>
      </c>
      <c r="B131" s="52"/>
      <c r="C131" s="9" t="s">
        <v>395</v>
      </c>
      <c r="D131" s="26">
        <v>0.75</v>
      </c>
      <c r="E131" s="26">
        <v>0.75</v>
      </c>
      <c r="F131" s="9" t="s">
        <v>254</v>
      </c>
      <c r="G131" s="50">
        <v>47848.0</v>
      </c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</row>
    <row r="132">
      <c r="A132" s="51" t="s">
        <v>416</v>
      </c>
      <c r="B132" s="52"/>
      <c r="C132" s="9" t="s">
        <v>395</v>
      </c>
      <c r="D132" s="26">
        <v>0.75</v>
      </c>
      <c r="E132" s="26">
        <v>0.75</v>
      </c>
      <c r="F132" s="9" t="s">
        <v>254</v>
      </c>
      <c r="G132" s="50">
        <v>47848.0</v>
      </c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</row>
    <row r="133">
      <c r="A133" s="51" t="s">
        <v>417</v>
      </c>
      <c r="B133" s="52"/>
      <c r="C133" s="9" t="s">
        <v>395</v>
      </c>
      <c r="D133" s="26">
        <v>0.75</v>
      </c>
      <c r="E133" s="26">
        <v>0.75</v>
      </c>
      <c r="F133" s="9" t="s">
        <v>254</v>
      </c>
      <c r="G133" s="50">
        <v>47848.0</v>
      </c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</row>
    <row r="134">
      <c r="A134" s="51" t="s">
        <v>418</v>
      </c>
      <c r="B134" s="52"/>
      <c r="C134" s="9" t="s">
        <v>395</v>
      </c>
      <c r="D134" s="26">
        <v>0.75</v>
      </c>
      <c r="E134" s="26">
        <v>0.75</v>
      </c>
      <c r="F134" s="9" t="s">
        <v>254</v>
      </c>
      <c r="G134" s="50">
        <v>47848.0</v>
      </c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</row>
    <row r="135">
      <c r="A135" s="51" t="s">
        <v>419</v>
      </c>
      <c r="B135" s="52"/>
      <c r="C135" s="9" t="s">
        <v>395</v>
      </c>
      <c r="D135" s="26">
        <v>0.75</v>
      </c>
      <c r="E135" s="26">
        <v>0.75</v>
      </c>
      <c r="F135" s="9" t="s">
        <v>254</v>
      </c>
      <c r="G135" s="50">
        <v>47848.0</v>
      </c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</row>
    <row r="136">
      <c r="A136" s="51" t="s">
        <v>420</v>
      </c>
      <c r="B136" s="52"/>
      <c r="C136" s="9" t="s">
        <v>395</v>
      </c>
      <c r="D136" s="26">
        <v>0.75</v>
      </c>
      <c r="E136" s="26">
        <v>0.75</v>
      </c>
      <c r="F136" s="9" t="s">
        <v>254</v>
      </c>
      <c r="G136" s="50">
        <v>47848.0</v>
      </c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</row>
    <row r="137">
      <c r="A137" s="51" t="s">
        <v>421</v>
      </c>
      <c r="B137" s="52"/>
      <c r="C137" s="9" t="s">
        <v>395</v>
      </c>
      <c r="D137" s="26">
        <v>0.75</v>
      </c>
      <c r="E137" s="26">
        <v>0.75</v>
      </c>
      <c r="F137" s="9" t="s">
        <v>254</v>
      </c>
      <c r="G137" s="50">
        <v>47848.0</v>
      </c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</row>
    <row r="138">
      <c r="A138" s="51" t="s">
        <v>422</v>
      </c>
      <c r="B138" s="52"/>
      <c r="C138" s="9" t="s">
        <v>395</v>
      </c>
      <c r="D138" s="26">
        <v>0.75</v>
      </c>
      <c r="E138" s="26">
        <v>0.75</v>
      </c>
      <c r="F138" s="9" t="s">
        <v>254</v>
      </c>
      <c r="G138" s="50">
        <v>47848.0</v>
      </c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</row>
    <row r="139">
      <c r="A139" s="51" t="s">
        <v>423</v>
      </c>
      <c r="B139" s="52"/>
      <c r="C139" s="9" t="s">
        <v>395</v>
      </c>
      <c r="D139" s="26">
        <v>0.75</v>
      </c>
      <c r="E139" s="26">
        <v>0.75</v>
      </c>
      <c r="F139" s="9" t="s">
        <v>254</v>
      </c>
      <c r="G139" s="50">
        <v>47848.0</v>
      </c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</row>
    <row r="140">
      <c r="A140" s="51" t="s">
        <v>424</v>
      </c>
      <c r="B140" s="52"/>
      <c r="C140" s="9" t="s">
        <v>395</v>
      </c>
      <c r="D140" s="26">
        <v>0.75</v>
      </c>
      <c r="E140" s="26">
        <v>0.75</v>
      </c>
      <c r="F140" s="9" t="s">
        <v>254</v>
      </c>
      <c r="G140" s="50">
        <v>47848.0</v>
      </c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</row>
    <row r="141">
      <c r="A141" s="51" t="s">
        <v>425</v>
      </c>
      <c r="B141" s="52"/>
      <c r="C141" s="9" t="s">
        <v>395</v>
      </c>
      <c r="D141" s="26">
        <v>0.75</v>
      </c>
      <c r="E141" s="26">
        <v>0.75</v>
      </c>
      <c r="F141" s="9" t="s">
        <v>254</v>
      </c>
      <c r="G141" s="50">
        <v>47848.0</v>
      </c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</row>
    <row r="142">
      <c r="A142" s="51" t="s">
        <v>426</v>
      </c>
      <c r="B142" s="52"/>
      <c r="C142" s="9" t="s">
        <v>395</v>
      </c>
      <c r="D142" s="26">
        <v>0.75</v>
      </c>
      <c r="E142" s="26">
        <v>0.75</v>
      </c>
      <c r="F142" s="9" t="s">
        <v>254</v>
      </c>
      <c r="G142" s="50">
        <v>47848.0</v>
      </c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</row>
    <row r="143">
      <c r="A143" s="51" t="s">
        <v>427</v>
      </c>
      <c r="B143" s="52"/>
      <c r="C143" s="9" t="s">
        <v>395</v>
      </c>
      <c r="D143" s="26">
        <v>0.75</v>
      </c>
      <c r="E143" s="26">
        <v>0.75</v>
      </c>
      <c r="F143" s="9" t="s">
        <v>254</v>
      </c>
      <c r="G143" s="50">
        <v>47848.0</v>
      </c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</row>
    <row r="144">
      <c r="A144" s="51" t="s">
        <v>428</v>
      </c>
      <c r="B144" s="53">
        <v>7010.0</v>
      </c>
      <c r="C144" s="9" t="s">
        <v>395</v>
      </c>
      <c r="D144" s="26">
        <v>0.75</v>
      </c>
      <c r="E144" s="26">
        <v>0.75</v>
      </c>
      <c r="F144" s="9" t="s">
        <v>254</v>
      </c>
      <c r="G144" s="50">
        <v>47848.0</v>
      </c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</row>
    <row r="145">
      <c r="A145" s="51" t="s">
        <v>429</v>
      </c>
      <c r="B145" s="53">
        <v>7010.0</v>
      </c>
      <c r="C145" s="9" t="s">
        <v>395</v>
      </c>
      <c r="D145" s="26">
        <v>0.75</v>
      </c>
      <c r="E145" s="26">
        <v>0.75</v>
      </c>
      <c r="F145" s="9" t="s">
        <v>254</v>
      </c>
      <c r="G145" s="50">
        <v>47848.0</v>
      </c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</row>
    <row r="146">
      <c r="A146" s="51" t="s">
        <v>430</v>
      </c>
      <c r="B146" s="52"/>
      <c r="C146" s="9" t="s">
        <v>395</v>
      </c>
      <c r="D146" s="26">
        <v>0.75</v>
      </c>
      <c r="E146" s="26">
        <v>0.75</v>
      </c>
      <c r="F146" s="9" t="s">
        <v>254</v>
      </c>
      <c r="G146" s="50">
        <v>47848.0</v>
      </c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</row>
    <row r="147">
      <c r="A147" s="51" t="s">
        <v>431</v>
      </c>
      <c r="B147" s="52"/>
      <c r="C147" s="9" t="s">
        <v>395</v>
      </c>
      <c r="D147" s="26">
        <v>0.75</v>
      </c>
      <c r="E147" s="26">
        <v>0.75</v>
      </c>
      <c r="F147" s="9" t="s">
        <v>254</v>
      </c>
      <c r="G147" s="50">
        <v>47848.0</v>
      </c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</row>
    <row r="148">
      <c r="A148" s="51" t="s">
        <v>432</v>
      </c>
      <c r="B148" s="52"/>
      <c r="C148" s="9" t="s">
        <v>395</v>
      </c>
      <c r="D148" s="26">
        <v>0.75</v>
      </c>
      <c r="E148" s="26">
        <v>0.75</v>
      </c>
      <c r="F148" s="9" t="s">
        <v>254</v>
      </c>
      <c r="G148" s="50">
        <v>47848.0</v>
      </c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</row>
    <row r="149">
      <c r="A149" s="51" t="s">
        <v>433</v>
      </c>
      <c r="B149" s="52"/>
      <c r="C149" s="9" t="s">
        <v>395</v>
      </c>
      <c r="D149" s="26">
        <v>0.75</v>
      </c>
      <c r="E149" s="26">
        <v>0.75</v>
      </c>
      <c r="F149" s="9" t="s">
        <v>254</v>
      </c>
      <c r="G149" s="50">
        <v>47848.0</v>
      </c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</row>
    <row r="150">
      <c r="A150" s="51" t="s">
        <v>434</v>
      </c>
      <c r="B150" s="52"/>
      <c r="C150" s="9" t="s">
        <v>395</v>
      </c>
      <c r="D150" s="26">
        <v>0.75</v>
      </c>
      <c r="E150" s="26">
        <v>0.75</v>
      </c>
      <c r="F150" s="9" t="s">
        <v>254</v>
      </c>
      <c r="G150" s="50">
        <v>47848.0</v>
      </c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</row>
    <row r="151">
      <c r="A151" s="51" t="s">
        <v>435</v>
      </c>
      <c r="B151" s="52"/>
      <c r="C151" s="9" t="s">
        <v>395</v>
      </c>
      <c r="D151" s="26">
        <v>0.75</v>
      </c>
      <c r="E151" s="26">
        <v>0.75</v>
      </c>
      <c r="F151" s="9" t="s">
        <v>254</v>
      </c>
      <c r="G151" s="50">
        <v>47848.0</v>
      </c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</row>
    <row r="152">
      <c r="A152" s="51" t="s">
        <v>436</v>
      </c>
      <c r="B152" s="52"/>
      <c r="C152" s="9" t="s">
        <v>395</v>
      </c>
      <c r="D152" s="26">
        <v>0.75</v>
      </c>
      <c r="E152" s="26">
        <v>0.75</v>
      </c>
      <c r="F152" s="9" t="s">
        <v>254</v>
      </c>
      <c r="G152" s="50">
        <v>47848.0</v>
      </c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</row>
    <row r="153">
      <c r="A153" s="51" t="s">
        <v>437</v>
      </c>
      <c r="B153" s="52"/>
      <c r="C153" s="9" t="s">
        <v>395</v>
      </c>
      <c r="D153" s="26">
        <v>0.75</v>
      </c>
      <c r="E153" s="26">
        <v>0.75</v>
      </c>
      <c r="F153" s="9" t="s">
        <v>254</v>
      </c>
      <c r="G153" s="50">
        <v>47848.0</v>
      </c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</row>
    <row r="154">
      <c r="A154" s="51" t="s">
        <v>438</v>
      </c>
      <c r="B154" s="52"/>
      <c r="C154" s="9" t="s">
        <v>395</v>
      </c>
      <c r="D154" s="26">
        <v>0.75</v>
      </c>
      <c r="E154" s="26">
        <v>0.75</v>
      </c>
      <c r="F154" s="9" t="s">
        <v>254</v>
      </c>
      <c r="G154" s="50">
        <v>47848.0</v>
      </c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</row>
    <row r="155">
      <c r="A155" s="51" t="s">
        <v>439</v>
      </c>
      <c r="B155" s="52"/>
      <c r="C155" s="9" t="s">
        <v>395</v>
      </c>
      <c r="D155" s="26">
        <v>0.75</v>
      </c>
      <c r="E155" s="26">
        <v>0.75</v>
      </c>
      <c r="F155" s="9" t="s">
        <v>254</v>
      </c>
      <c r="G155" s="50">
        <v>47848.0</v>
      </c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</row>
    <row r="156">
      <c r="A156" s="51" t="s">
        <v>440</v>
      </c>
      <c r="B156" s="52"/>
      <c r="C156" s="9" t="s">
        <v>395</v>
      </c>
      <c r="D156" s="26">
        <v>0.75</v>
      </c>
      <c r="E156" s="26">
        <v>0.75</v>
      </c>
      <c r="F156" s="9" t="s">
        <v>254</v>
      </c>
      <c r="G156" s="50">
        <v>47848.0</v>
      </c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</row>
    <row r="157">
      <c r="A157" s="51" t="s">
        <v>441</v>
      </c>
      <c r="B157" s="52"/>
      <c r="C157" s="9" t="s">
        <v>395</v>
      </c>
      <c r="D157" s="26">
        <v>0.75</v>
      </c>
      <c r="E157" s="26">
        <v>0.75</v>
      </c>
      <c r="F157" s="9" t="s">
        <v>254</v>
      </c>
      <c r="G157" s="50">
        <v>47848.0</v>
      </c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</row>
    <row r="158">
      <c r="A158" s="51" t="s">
        <v>442</v>
      </c>
      <c r="B158" s="52"/>
      <c r="C158" s="9" t="s">
        <v>395</v>
      </c>
      <c r="D158" s="26">
        <v>0.75</v>
      </c>
      <c r="E158" s="26">
        <v>0.75</v>
      </c>
      <c r="F158" s="9" t="s">
        <v>254</v>
      </c>
      <c r="G158" s="50">
        <v>47848.0</v>
      </c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</row>
    <row r="159">
      <c r="A159" s="51" t="s">
        <v>443</v>
      </c>
      <c r="B159" s="52"/>
      <c r="C159" s="9" t="s">
        <v>395</v>
      </c>
      <c r="D159" s="26">
        <v>0.75</v>
      </c>
      <c r="E159" s="26">
        <v>0.75</v>
      </c>
      <c r="F159" s="9" t="s">
        <v>254</v>
      </c>
      <c r="G159" s="50">
        <v>47848.0</v>
      </c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</row>
    <row r="160">
      <c r="A160" s="51" t="s">
        <v>444</v>
      </c>
      <c r="B160" s="52"/>
      <c r="C160" s="9" t="s">
        <v>395</v>
      </c>
      <c r="D160" s="26">
        <v>0.75</v>
      </c>
      <c r="E160" s="26">
        <v>0.75</v>
      </c>
      <c r="F160" s="9" t="s">
        <v>254</v>
      </c>
      <c r="G160" s="50">
        <v>47848.0</v>
      </c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</row>
    <row r="161">
      <c r="A161" s="51" t="s">
        <v>445</v>
      </c>
      <c r="B161" s="52"/>
      <c r="C161" s="9" t="s">
        <v>395</v>
      </c>
      <c r="D161" s="26">
        <v>0.75</v>
      </c>
      <c r="E161" s="26">
        <v>0.75</v>
      </c>
      <c r="F161" s="9" t="s">
        <v>254</v>
      </c>
      <c r="G161" s="50">
        <v>47848.0</v>
      </c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</row>
    <row r="162">
      <c r="A162" s="51" t="s">
        <v>446</v>
      </c>
      <c r="B162" s="52"/>
      <c r="C162" s="9" t="s">
        <v>395</v>
      </c>
      <c r="D162" s="26">
        <v>0.75</v>
      </c>
      <c r="E162" s="26">
        <v>0.75</v>
      </c>
      <c r="F162" s="9" t="s">
        <v>254</v>
      </c>
      <c r="G162" s="50">
        <v>47848.0</v>
      </c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</row>
    <row r="163">
      <c r="A163" s="51" t="s">
        <v>447</v>
      </c>
      <c r="B163" s="52"/>
      <c r="C163" s="9" t="s">
        <v>395</v>
      </c>
      <c r="D163" s="26">
        <v>0.75</v>
      </c>
      <c r="E163" s="26">
        <v>0.75</v>
      </c>
      <c r="F163" s="9" t="s">
        <v>254</v>
      </c>
      <c r="G163" s="50">
        <v>47848.0</v>
      </c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</row>
    <row r="164">
      <c r="A164" s="51" t="s">
        <v>448</v>
      </c>
      <c r="B164" s="52"/>
      <c r="C164" s="9" t="s">
        <v>395</v>
      </c>
      <c r="D164" s="26">
        <v>0.75</v>
      </c>
      <c r="E164" s="26">
        <v>0.75</v>
      </c>
      <c r="F164" s="9" t="s">
        <v>254</v>
      </c>
      <c r="G164" s="50">
        <v>47848.0</v>
      </c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</row>
    <row r="165">
      <c r="A165" s="51" t="s">
        <v>449</v>
      </c>
      <c r="B165" s="53">
        <v>6947.0</v>
      </c>
      <c r="C165" s="9" t="s">
        <v>395</v>
      </c>
      <c r="D165" s="26">
        <v>0.75</v>
      </c>
      <c r="E165" s="26">
        <v>0.75</v>
      </c>
      <c r="F165" s="9" t="s">
        <v>254</v>
      </c>
      <c r="G165" s="50">
        <v>47848.0</v>
      </c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</row>
    <row r="166">
      <c r="A166" s="51" t="s">
        <v>450</v>
      </c>
      <c r="B166" s="52"/>
      <c r="C166" s="9" t="s">
        <v>395</v>
      </c>
      <c r="D166" s="26">
        <v>0.75</v>
      </c>
      <c r="E166" s="26">
        <v>0.75</v>
      </c>
      <c r="F166" s="9" t="s">
        <v>254</v>
      </c>
      <c r="G166" s="50">
        <v>47848.0</v>
      </c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</row>
    <row r="167">
      <c r="A167" s="51" t="s">
        <v>451</v>
      </c>
      <c r="B167" s="53">
        <v>7033.0</v>
      </c>
      <c r="C167" s="9" t="s">
        <v>395</v>
      </c>
      <c r="D167" s="26">
        <v>0.75</v>
      </c>
      <c r="E167" s="26">
        <v>0.75</v>
      </c>
      <c r="F167" s="9" t="s">
        <v>254</v>
      </c>
      <c r="G167" s="50">
        <v>47848.0</v>
      </c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</row>
    <row r="168">
      <c r="A168" s="51" t="s">
        <v>452</v>
      </c>
      <c r="B168" s="53">
        <v>499.0</v>
      </c>
      <c r="C168" s="9" t="s">
        <v>395</v>
      </c>
      <c r="D168" s="26">
        <v>0.75</v>
      </c>
      <c r="E168" s="26">
        <v>0.75</v>
      </c>
      <c r="F168" s="9" t="s">
        <v>254</v>
      </c>
      <c r="G168" s="50">
        <v>47848.0</v>
      </c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</row>
    <row r="169">
      <c r="A169" s="51" t="s">
        <v>453</v>
      </c>
      <c r="B169" s="52"/>
      <c r="C169" s="9" t="s">
        <v>395</v>
      </c>
      <c r="D169" s="26">
        <v>0.75</v>
      </c>
      <c r="E169" s="26">
        <v>0.75</v>
      </c>
      <c r="F169" s="9" t="s">
        <v>254</v>
      </c>
      <c r="G169" s="50">
        <v>47848.0</v>
      </c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</row>
    <row r="170">
      <c r="A170" s="51" t="s">
        <v>454</v>
      </c>
      <c r="B170" s="52"/>
      <c r="C170" s="9" t="s">
        <v>395</v>
      </c>
      <c r="D170" s="26">
        <v>0.75</v>
      </c>
      <c r="E170" s="26">
        <v>0.75</v>
      </c>
      <c r="F170" s="9" t="s">
        <v>254</v>
      </c>
      <c r="G170" s="50">
        <v>47848.0</v>
      </c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</row>
    <row r="171">
      <c r="A171" s="51" t="s">
        <v>455</v>
      </c>
      <c r="B171" s="52"/>
      <c r="C171" s="9" t="s">
        <v>395</v>
      </c>
      <c r="D171" s="26">
        <v>0.75</v>
      </c>
      <c r="E171" s="26">
        <v>0.75</v>
      </c>
      <c r="F171" s="9" t="s">
        <v>254</v>
      </c>
      <c r="G171" s="50">
        <v>47848.0</v>
      </c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</row>
    <row r="172">
      <c r="A172" s="51" t="s">
        <v>456</v>
      </c>
      <c r="B172" s="52"/>
      <c r="C172" s="9" t="s">
        <v>395</v>
      </c>
      <c r="D172" s="26">
        <v>0.75</v>
      </c>
      <c r="E172" s="26">
        <v>0.75</v>
      </c>
      <c r="F172" s="9" t="s">
        <v>254</v>
      </c>
      <c r="G172" s="50">
        <v>47848.0</v>
      </c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</row>
    <row r="173">
      <c r="A173" s="51" t="s">
        <v>457</v>
      </c>
      <c r="B173" s="52"/>
      <c r="C173" s="9" t="s">
        <v>395</v>
      </c>
      <c r="D173" s="26">
        <v>0.75</v>
      </c>
      <c r="E173" s="26">
        <v>0.75</v>
      </c>
      <c r="F173" s="9" t="s">
        <v>254</v>
      </c>
      <c r="G173" s="50">
        <v>47848.0</v>
      </c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</row>
    <row r="174">
      <c r="A174" s="51" t="s">
        <v>458</v>
      </c>
      <c r="B174" s="52"/>
      <c r="C174" s="9" t="s">
        <v>395</v>
      </c>
      <c r="D174" s="26">
        <v>0.75</v>
      </c>
      <c r="E174" s="26">
        <v>0.75</v>
      </c>
      <c r="F174" s="9" t="s">
        <v>254</v>
      </c>
      <c r="G174" s="50">
        <v>47848.0</v>
      </c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</row>
    <row r="175">
      <c r="A175" s="51" t="s">
        <v>459</v>
      </c>
      <c r="B175" s="52"/>
      <c r="C175" s="9" t="s">
        <v>395</v>
      </c>
      <c r="D175" s="26">
        <v>0.75</v>
      </c>
      <c r="E175" s="26">
        <v>0.75</v>
      </c>
      <c r="F175" s="9" t="s">
        <v>254</v>
      </c>
      <c r="G175" s="50">
        <v>47848.0</v>
      </c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</row>
    <row r="176">
      <c r="A176" s="51" t="s">
        <v>460</v>
      </c>
      <c r="B176" s="52"/>
      <c r="C176" s="9" t="s">
        <v>395</v>
      </c>
      <c r="D176" s="26">
        <v>0.75</v>
      </c>
      <c r="E176" s="26">
        <v>0.75</v>
      </c>
      <c r="F176" s="9" t="s">
        <v>254</v>
      </c>
      <c r="G176" s="50">
        <v>47848.0</v>
      </c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</row>
    <row r="177">
      <c r="A177" s="51" t="s">
        <v>461</v>
      </c>
      <c r="B177" s="52"/>
      <c r="C177" s="9" t="s">
        <v>395</v>
      </c>
      <c r="D177" s="26">
        <v>0.75</v>
      </c>
      <c r="E177" s="26">
        <v>0.75</v>
      </c>
      <c r="F177" s="9" t="s">
        <v>254</v>
      </c>
      <c r="G177" s="50">
        <v>47848.0</v>
      </c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</row>
    <row r="178">
      <c r="A178" s="51" t="s">
        <v>462</v>
      </c>
      <c r="B178" s="52"/>
      <c r="C178" s="9" t="s">
        <v>395</v>
      </c>
      <c r="D178" s="26">
        <v>0.75</v>
      </c>
      <c r="E178" s="26">
        <v>0.75</v>
      </c>
      <c r="F178" s="9" t="s">
        <v>254</v>
      </c>
      <c r="G178" s="50">
        <v>47848.0</v>
      </c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</row>
    <row r="179">
      <c r="A179" s="51" t="s">
        <v>463</v>
      </c>
      <c r="B179" s="52"/>
      <c r="C179" s="9" t="s">
        <v>395</v>
      </c>
      <c r="D179" s="26">
        <v>0.75</v>
      </c>
      <c r="E179" s="26">
        <v>0.75</v>
      </c>
      <c r="F179" s="9" t="s">
        <v>254</v>
      </c>
      <c r="G179" s="50">
        <v>47848.0</v>
      </c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</row>
    <row r="180">
      <c r="A180" s="51" t="s">
        <v>464</v>
      </c>
      <c r="B180" s="52"/>
      <c r="C180" s="9" t="s">
        <v>395</v>
      </c>
      <c r="D180" s="26">
        <v>0.75</v>
      </c>
      <c r="E180" s="26">
        <v>0.75</v>
      </c>
      <c r="F180" s="9" t="s">
        <v>254</v>
      </c>
      <c r="G180" s="50">
        <v>47848.0</v>
      </c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</row>
    <row r="181">
      <c r="A181" s="51" t="s">
        <v>465</v>
      </c>
      <c r="B181" s="52"/>
      <c r="C181" s="9" t="s">
        <v>395</v>
      </c>
      <c r="D181" s="26">
        <v>0.75</v>
      </c>
      <c r="E181" s="26">
        <v>0.75</v>
      </c>
      <c r="F181" s="9" t="s">
        <v>254</v>
      </c>
      <c r="G181" s="50">
        <v>47848.0</v>
      </c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</row>
    <row r="182">
      <c r="A182" s="51" t="s">
        <v>466</v>
      </c>
      <c r="B182" s="52"/>
      <c r="C182" s="9" t="s">
        <v>395</v>
      </c>
      <c r="D182" s="26">
        <v>0.75</v>
      </c>
      <c r="E182" s="26">
        <v>0.75</v>
      </c>
      <c r="F182" s="9" t="s">
        <v>254</v>
      </c>
      <c r="G182" s="50">
        <v>47848.0</v>
      </c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</row>
    <row r="183">
      <c r="A183" s="51" t="s">
        <v>467</v>
      </c>
      <c r="B183" s="52"/>
      <c r="C183" s="9" t="s">
        <v>395</v>
      </c>
      <c r="D183" s="26">
        <v>0.75</v>
      </c>
      <c r="E183" s="26">
        <v>0.75</v>
      </c>
      <c r="F183" s="9" t="s">
        <v>254</v>
      </c>
      <c r="G183" s="50">
        <v>47848.0</v>
      </c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</row>
    <row r="184">
      <c r="A184" s="51" t="s">
        <v>468</v>
      </c>
      <c r="B184" s="52"/>
      <c r="C184" s="9" t="s">
        <v>395</v>
      </c>
      <c r="D184" s="26">
        <v>0.75</v>
      </c>
      <c r="E184" s="26">
        <v>0.75</v>
      </c>
      <c r="F184" s="9" t="s">
        <v>254</v>
      </c>
      <c r="G184" s="50">
        <v>47848.0</v>
      </c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</row>
    <row r="185">
      <c r="A185" s="51" t="s">
        <v>469</v>
      </c>
      <c r="B185" s="52"/>
      <c r="C185" s="9" t="s">
        <v>395</v>
      </c>
      <c r="D185" s="26">
        <v>0.75</v>
      </c>
      <c r="E185" s="26">
        <v>0.75</v>
      </c>
      <c r="F185" s="9" t="s">
        <v>254</v>
      </c>
      <c r="G185" s="50">
        <v>47848.0</v>
      </c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</row>
    <row r="186">
      <c r="A186" s="51" t="s">
        <v>470</v>
      </c>
      <c r="B186" s="52"/>
      <c r="C186" s="9" t="s">
        <v>395</v>
      </c>
      <c r="D186" s="26">
        <v>0.75</v>
      </c>
      <c r="E186" s="26">
        <v>0.75</v>
      </c>
      <c r="F186" s="9" t="s">
        <v>254</v>
      </c>
      <c r="G186" s="50">
        <v>47848.0</v>
      </c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</row>
    <row r="187">
      <c r="A187" s="51" t="s">
        <v>471</v>
      </c>
      <c r="B187" s="52"/>
      <c r="C187" s="9" t="s">
        <v>395</v>
      </c>
      <c r="D187" s="26">
        <v>0.75</v>
      </c>
      <c r="E187" s="26">
        <v>0.75</v>
      </c>
      <c r="F187" s="9" t="s">
        <v>254</v>
      </c>
      <c r="G187" s="50">
        <v>47848.0</v>
      </c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</row>
    <row r="188">
      <c r="A188" s="51" t="s">
        <v>472</v>
      </c>
      <c r="B188" s="52"/>
      <c r="C188" s="9" t="s">
        <v>395</v>
      </c>
      <c r="D188" s="26">
        <v>0.75</v>
      </c>
      <c r="E188" s="26">
        <v>0.75</v>
      </c>
      <c r="F188" s="9" t="s">
        <v>254</v>
      </c>
      <c r="G188" s="50">
        <v>47848.0</v>
      </c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</row>
    <row r="189">
      <c r="A189" s="51" t="s">
        <v>473</v>
      </c>
      <c r="B189" s="52"/>
      <c r="C189" s="9" t="s">
        <v>395</v>
      </c>
      <c r="D189" s="26">
        <v>0.75</v>
      </c>
      <c r="E189" s="26">
        <v>0.75</v>
      </c>
      <c r="F189" s="9" t="s">
        <v>254</v>
      </c>
      <c r="G189" s="50">
        <v>47848.0</v>
      </c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</row>
    <row r="190">
      <c r="A190" s="51" t="s">
        <v>474</v>
      </c>
      <c r="B190" s="52"/>
      <c r="C190" s="9" t="s">
        <v>395</v>
      </c>
      <c r="D190" s="26">
        <v>0.75</v>
      </c>
      <c r="E190" s="26">
        <v>0.75</v>
      </c>
      <c r="F190" s="9" t="s">
        <v>254</v>
      </c>
      <c r="G190" s="50">
        <v>47848.0</v>
      </c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</row>
    <row r="191">
      <c r="A191" s="51" t="s">
        <v>475</v>
      </c>
      <c r="B191" s="52"/>
      <c r="C191" s="9" t="s">
        <v>395</v>
      </c>
      <c r="D191" s="26">
        <v>0.75</v>
      </c>
      <c r="E191" s="26">
        <v>0.75</v>
      </c>
      <c r="F191" s="9" t="s">
        <v>254</v>
      </c>
      <c r="G191" s="50">
        <v>47848.0</v>
      </c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</row>
    <row r="192">
      <c r="A192" s="51" t="s">
        <v>476</v>
      </c>
      <c r="B192" s="52"/>
      <c r="C192" s="9" t="s">
        <v>395</v>
      </c>
      <c r="D192" s="26">
        <v>0.75</v>
      </c>
      <c r="E192" s="26">
        <v>0.75</v>
      </c>
      <c r="F192" s="9" t="s">
        <v>254</v>
      </c>
      <c r="G192" s="50">
        <v>47848.0</v>
      </c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</row>
    <row r="193">
      <c r="A193" s="51" t="s">
        <v>477</v>
      </c>
      <c r="B193" s="52"/>
      <c r="C193" s="9" t="s">
        <v>395</v>
      </c>
      <c r="D193" s="26">
        <v>0.75</v>
      </c>
      <c r="E193" s="26">
        <v>0.75</v>
      </c>
      <c r="F193" s="9" t="s">
        <v>254</v>
      </c>
      <c r="G193" s="50">
        <v>47848.0</v>
      </c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</row>
    <row r="194">
      <c r="A194" s="51" t="s">
        <v>478</v>
      </c>
      <c r="B194" s="52"/>
      <c r="C194" s="9" t="s">
        <v>395</v>
      </c>
      <c r="D194" s="26">
        <v>0.75</v>
      </c>
      <c r="E194" s="26">
        <v>0.75</v>
      </c>
      <c r="F194" s="9" t="s">
        <v>254</v>
      </c>
      <c r="G194" s="50">
        <v>47848.0</v>
      </c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</row>
    <row r="195">
      <c r="A195" s="51" t="s">
        <v>479</v>
      </c>
      <c r="B195" s="52"/>
      <c r="C195" s="9" t="s">
        <v>395</v>
      </c>
      <c r="D195" s="26">
        <v>0.75</v>
      </c>
      <c r="E195" s="26">
        <v>0.75</v>
      </c>
      <c r="F195" s="9" t="s">
        <v>254</v>
      </c>
      <c r="G195" s="50">
        <v>47848.0</v>
      </c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</row>
    <row r="196">
      <c r="A196" s="51" t="s">
        <v>480</v>
      </c>
      <c r="B196" s="52"/>
      <c r="C196" s="9" t="s">
        <v>395</v>
      </c>
      <c r="D196" s="26">
        <v>0.75</v>
      </c>
      <c r="E196" s="26">
        <v>0.75</v>
      </c>
      <c r="F196" s="9" t="s">
        <v>254</v>
      </c>
      <c r="G196" s="50">
        <v>47848.0</v>
      </c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</row>
    <row r="197">
      <c r="A197" s="51" t="s">
        <v>481</v>
      </c>
      <c r="B197" s="52"/>
      <c r="C197" s="9" t="s">
        <v>395</v>
      </c>
      <c r="D197" s="26">
        <v>0.75</v>
      </c>
      <c r="E197" s="26">
        <v>0.75</v>
      </c>
      <c r="F197" s="9" t="s">
        <v>254</v>
      </c>
      <c r="G197" s="50">
        <v>47848.0</v>
      </c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</row>
    <row r="198">
      <c r="A198" s="51" t="s">
        <v>482</v>
      </c>
      <c r="B198" s="53">
        <v>14580.0</v>
      </c>
      <c r="C198" s="9" t="s">
        <v>395</v>
      </c>
      <c r="D198" s="26">
        <v>0.75</v>
      </c>
      <c r="E198" s="26">
        <v>0.75</v>
      </c>
      <c r="F198" s="9" t="s">
        <v>254</v>
      </c>
      <c r="G198" s="50">
        <v>47848.0</v>
      </c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</row>
    <row r="199">
      <c r="A199" s="51" t="s">
        <v>483</v>
      </c>
      <c r="B199" s="52"/>
      <c r="C199" s="9" t="s">
        <v>395</v>
      </c>
      <c r="D199" s="26">
        <v>0.75</v>
      </c>
      <c r="E199" s="26">
        <v>0.75</v>
      </c>
      <c r="F199" s="9" t="s">
        <v>254</v>
      </c>
      <c r="G199" s="50">
        <v>47848.0</v>
      </c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</row>
    <row r="200">
      <c r="A200" s="51" t="s">
        <v>484</v>
      </c>
      <c r="B200" s="52"/>
      <c r="C200" s="9" t="s">
        <v>395</v>
      </c>
      <c r="D200" s="26">
        <v>0.75</v>
      </c>
      <c r="E200" s="26">
        <v>0.75</v>
      </c>
      <c r="F200" s="9" t="s">
        <v>254</v>
      </c>
      <c r="G200" s="50">
        <v>47848.0</v>
      </c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</row>
    <row r="201">
      <c r="A201" s="51" t="s">
        <v>485</v>
      </c>
      <c r="B201" s="53">
        <v>6675.0</v>
      </c>
      <c r="C201" s="9" t="s">
        <v>395</v>
      </c>
      <c r="D201" s="26">
        <v>0.75</v>
      </c>
      <c r="E201" s="26">
        <v>0.75</v>
      </c>
      <c r="F201" s="9" t="s">
        <v>254</v>
      </c>
      <c r="G201" s="50">
        <v>47848.0</v>
      </c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</row>
    <row r="202">
      <c r="A202" s="51" t="s">
        <v>486</v>
      </c>
      <c r="B202" s="53">
        <v>6675.0</v>
      </c>
      <c r="C202" s="9" t="s">
        <v>395</v>
      </c>
      <c r="D202" s="26">
        <v>0.75</v>
      </c>
      <c r="E202" s="26">
        <v>0.75</v>
      </c>
      <c r="F202" s="9" t="s">
        <v>254</v>
      </c>
      <c r="G202" s="50">
        <v>47848.0</v>
      </c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</row>
    <row r="203">
      <c r="A203" s="51" t="s">
        <v>487</v>
      </c>
      <c r="B203" s="52"/>
      <c r="C203" s="9" t="s">
        <v>395</v>
      </c>
      <c r="D203" s="26">
        <v>0.75</v>
      </c>
      <c r="E203" s="26">
        <v>0.75</v>
      </c>
      <c r="F203" s="9" t="s">
        <v>254</v>
      </c>
      <c r="G203" s="50">
        <v>47848.0</v>
      </c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</row>
    <row r="204">
      <c r="A204" s="51" t="s">
        <v>488</v>
      </c>
      <c r="B204" s="52"/>
      <c r="C204" s="9" t="s">
        <v>395</v>
      </c>
      <c r="D204" s="26">
        <v>0.75</v>
      </c>
      <c r="E204" s="26">
        <v>0.75</v>
      </c>
      <c r="F204" s="9" t="s">
        <v>254</v>
      </c>
      <c r="G204" s="50">
        <v>47848.0</v>
      </c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</row>
    <row r="205">
      <c r="A205" s="51" t="s">
        <v>489</v>
      </c>
      <c r="B205" s="53">
        <v>6675.0</v>
      </c>
      <c r="C205" s="9" t="s">
        <v>395</v>
      </c>
      <c r="D205" s="26">
        <v>0.75</v>
      </c>
      <c r="E205" s="26">
        <v>0.75</v>
      </c>
      <c r="F205" s="9" t="s">
        <v>254</v>
      </c>
      <c r="G205" s="50">
        <v>47848.0</v>
      </c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</row>
    <row r="206">
      <c r="A206" s="51" t="s">
        <v>490</v>
      </c>
      <c r="B206" s="52"/>
      <c r="C206" s="9" t="s">
        <v>395</v>
      </c>
      <c r="D206" s="26">
        <v>0.75</v>
      </c>
      <c r="E206" s="26">
        <v>0.75</v>
      </c>
      <c r="F206" s="9" t="s">
        <v>254</v>
      </c>
      <c r="G206" s="50">
        <v>47848.0</v>
      </c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</row>
    <row r="207">
      <c r="A207" s="9" t="s">
        <v>295</v>
      </c>
      <c r="B207" s="10"/>
      <c r="C207" s="9" t="s">
        <v>296</v>
      </c>
      <c r="D207" s="26">
        <v>0.75</v>
      </c>
      <c r="E207" s="26">
        <v>0.75</v>
      </c>
      <c r="F207" s="9" t="s">
        <v>254</v>
      </c>
      <c r="G207" s="50">
        <v>47848.0</v>
      </c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</row>
    <row r="208">
      <c r="A208" s="9" t="s">
        <v>491</v>
      </c>
      <c r="B208" s="10"/>
      <c r="C208" s="9" t="s">
        <v>296</v>
      </c>
      <c r="D208" s="26">
        <v>0.75</v>
      </c>
      <c r="E208" s="26">
        <v>0.75</v>
      </c>
      <c r="F208" s="9" t="s">
        <v>254</v>
      </c>
      <c r="G208" s="50">
        <v>47848.0</v>
      </c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</row>
    <row r="209">
      <c r="A209" s="9" t="s">
        <v>492</v>
      </c>
      <c r="B209" s="10"/>
      <c r="C209" s="9" t="s">
        <v>296</v>
      </c>
      <c r="D209" s="26">
        <v>0.75</v>
      </c>
      <c r="E209" s="26">
        <v>0.75</v>
      </c>
      <c r="F209" s="9" t="s">
        <v>254</v>
      </c>
      <c r="G209" s="50">
        <v>47848.0</v>
      </c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</row>
    <row r="210">
      <c r="A210" s="9" t="s">
        <v>493</v>
      </c>
      <c r="B210" s="10"/>
      <c r="C210" s="9" t="s">
        <v>296</v>
      </c>
      <c r="D210" s="26">
        <v>0.75</v>
      </c>
      <c r="E210" s="26">
        <v>0.75</v>
      </c>
      <c r="F210" s="9" t="s">
        <v>254</v>
      </c>
      <c r="G210" s="50">
        <v>47848.0</v>
      </c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</row>
    <row r="211">
      <c r="A211" s="9" t="s">
        <v>494</v>
      </c>
      <c r="B211" s="10"/>
      <c r="C211" s="9" t="s">
        <v>395</v>
      </c>
      <c r="D211" s="26">
        <v>0.75</v>
      </c>
      <c r="E211" s="26">
        <v>0.75</v>
      </c>
      <c r="F211" s="9" t="s">
        <v>254</v>
      </c>
      <c r="G211" s="50">
        <v>47848.0</v>
      </c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</row>
    <row r="212">
      <c r="A212" s="9" t="s">
        <v>495</v>
      </c>
      <c r="B212" s="10"/>
      <c r="C212" s="9" t="s">
        <v>395</v>
      </c>
      <c r="D212" s="26">
        <v>0.75</v>
      </c>
      <c r="E212" s="26">
        <v>0.75</v>
      </c>
      <c r="F212" s="9" t="s">
        <v>254</v>
      </c>
      <c r="G212" s="50">
        <v>47848.0</v>
      </c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</row>
    <row r="213">
      <c r="A213" s="9" t="s">
        <v>496</v>
      </c>
      <c r="B213" s="10"/>
      <c r="C213" s="9" t="s">
        <v>395</v>
      </c>
      <c r="D213" s="26">
        <v>0.75</v>
      </c>
      <c r="E213" s="26">
        <v>0.75</v>
      </c>
      <c r="F213" s="9" t="s">
        <v>254</v>
      </c>
      <c r="G213" s="50">
        <v>47848.0</v>
      </c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</row>
    <row r="214">
      <c r="A214" s="9" t="s">
        <v>497</v>
      </c>
      <c r="B214" s="10"/>
      <c r="C214" s="9" t="s">
        <v>395</v>
      </c>
      <c r="D214" s="26">
        <v>0.75</v>
      </c>
      <c r="E214" s="26">
        <v>0.75</v>
      </c>
      <c r="F214" s="9" t="s">
        <v>254</v>
      </c>
      <c r="G214" s="50">
        <v>47848.0</v>
      </c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</row>
    <row r="215">
      <c r="A215" s="9" t="s">
        <v>498</v>
      </c>
      <c r="B215" s="10"/>
      <c r="C215" s="9" t="s">
        <v>395</v>
      </c>
      <c r="D215" s="26">
        <v>0.75</v>
      </c>
      <c r="E215" s="26">
        <v>0.75</v>
      </c>
      <c r="F215" s="9" t="s">
        <v>254</v>
      </c>
      <c r="G215" s="50">
        <v>47848.0</v>
      </c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</row>
    <row r="216">
      <c r="A216" s="9"/>
      <c r="B216" s="10"/>
      <c r="C216" s="9"/>
      <c r="D216" s="26"/>
      <c r="E216" s="26"/>
      <c r="F216" s="9"/>
      <c r="G216" s="5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</row>
    <row r="217">
      <c r="A217" s="9"/>
      <c r="B217" s="10"/>
      <c r="C217" s="9"/>
      <c r="D217" s="26"/>
      <c r="E217" s="26"/>
      <c r="F217" s="9"/>
      <c r="G217" s="5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</row>
    <row r="218">
      <c r="A218" s="9"/>
      <c r="B218" s="10"/>
      <c r="C218" s="9"/>
      <c r="D218" s="26"/>
      <c r="E218" s="26"/>
      <c r="F218" s="9"/>
      <c r="G218" s="5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</row>
    <row r="219">
      <c r="A219" s="9"/>
      <c r="B219" s="10"/>
      <c r="C219" s="9"/>
      <c r="D219" s="26"/>
      <c r="E219" s="26"/>
      <c r="F219" s="9"/>
      <c r="G219" s="5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</row>
    <row r="220">
      <c r="A220" s="9"/>
      <c r="B220" s="10"/>
      <c r="C220" s="9"/>
      <c r="D220" s="26"/>
      <c r="E220" s="26"/>
      <c r="F220" s="9"/>
      <c r="G220" s="5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</row>
    <row r="221">
      <c r="A221" s="9"/>
      <c r="B221" s="10"/>
      <c r="C221" s="9"/>
      <c r="D221" s="26"/>
      <c r="E221" s="26"/>
      <c r="F221" s="9"/>
      <c r="G221" s="5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</row>
    <row r="222">
      <c r="A222" s="9"/>
      <c r="B222" s="10"/>
      <c r="C222" s="9"/>
      <c r="D222" s="26"/>
      <c r="E222" s="26"/>
      <c r="F222" s="9"/>
      <c r="G222" s="5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</row>
    <row r="223">
      <c r="A223" s="9"/>
      <c r="B223" s="10"/>
      <c r="C223" s="9"/>
      <c r="D223" s="26"/>
      <c r="E223" s="26"/>
      <c r="F223" s="9"/>
      <c r="G223" s="5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</row>
    <row r="224">
      <c r="A224" s="9"/>
      <c r="B224" s="10"/>
      <c r="C224" s="9"/>
      <c r="D224" s="26"/>
      <c r="E224" s="26"/>
      <c r="F224" s="9"/>
      <c r="G224" s="5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</row>
    <row r="225">
      <c r="A225" s="9"/>
      <c r="B225" s="10"/>
      <c r="C225" s="9"/>
      <c r="D225" s="26"/>
      <c r="E225" s="26"/>
      <c r="F225" s="9"/>
      <c r="G225" s="5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</row>
    <row r="226">
      <c r="A226" s="9"/>
      <c r="B226" s="10"/>
      <c r="C226" s="9"/>
      <c r="D226" s="26"/>
      <c r="E226" s="26"/>
      <c r="F226" s="9"/>
      <c r="G226" s="5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</row>
    <row r="227">
      <c r="A227" s="9"/>
      <c r="B227" s="10"/>
      <c r="C227" s="9"/>
      <c r="D227" s="26"/>
      <c r="E227" s="26"/>
      <c r="F227" s="9"/>
      <c r="G227" s="5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</row>
    <row r="228">
      <c r="A228" s="9"/>
      <c r="B228" s="10"/>
      <c r="C228" s="9"/>
      <c r="D228" s="26"/>
      <c r="E228" s="26"/>
      <c r="F228" s="9"/>
      <c r="G228" s="5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</row>
    <row r="229">
      <c r="A229" s="9"/>
      <c r="B229" s="10"/>
      <c r="C229" s="9"/>
      <c r="D229" s="26"/>
      <c r="E229" s="26"/>
      <c r="F229" s="9"/>
      <c r="G229" s="5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</row>
    <row r="230">
      <c r="A230" s="9"/>
      <c r="B230" s="10"/>
      <c r="C230" s="9"/>
      <c r="D230" s="26"/>
      <c r="E230" s="26"/>
      <c r="F230" s="9"/>
      <c r="G230" s="5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</row>
    <row r="231">
      <c r="A231" s="9"/>
      <c r="B231" s="10"/>
      <c r="C231" s="9"/>
      <c r="D231" s="26"/>
      <c r="E231" s="26"/>
      <c r="F231" s="9"/>
      <c r="G231" s="5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</row>
    <row r="232">
      <c r="A232" s="9"/>
      <c r="B232" s="10"/>
      <c r="C232" s="9"/>
      <c r="D232" s="26"/>
      <c r="E232" s="26"/>
      <c r="F232" s="9"/>
      <c r="G232" s="5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</row>
    <row r="233">
      <c r="A233" s="9"/>
      <c r="B233" s="10"/>
      <c r="C233" s="9"/>
      <c r="D233" s="26"/>
      <c r="E233" s="26"/>
      <c r="F233" s="9"/>
      <c r="G233" s="5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</row>
    <row r="234">
      <c r="A234" s="9"/>
      <c r="B234" s="10"/>
      <c r="C234" s="9"/>
      <c r="D234" s="26"/>
      <c r="E234" s="26"/>
      <c r="F234" s="9"/>
      <c r="G234" s="5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</row>
    <row r="235">
      <c r="A235" s="9"/>
      <c r="B235" s="10"/>
      <c r="C235" s="9"/>
      <c r="D235" s="26"/>
      <c r="E235" s="26"/>
      <c r="F235" s="9"/>
      <c r="G235" s="5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8.88"/>
    <col customWidth="1" min="3" max="3" width="60.88"/>
    <col customWidth="1" min="4" max="4" width="16.88"/>
    <col customWidth="1" min="5" max="5" width="16.0"/>
  </cols>
  <sheetData>
    <row r="1">
      <c r="A1" s="9" t="s">
        <v>44</v>
      </c>
      <c r="B1" s="9" t="s">
        <v>1</v>
      </c>
      <c r="C1" s="9" t="s">
        <v>294</v>
      </c>
      <c r="D1" s="9" t="s">
        <v>248</v>
      </c>
      <c r="E1" s="9" t="s">
        <v>249</v>
      </c>
      <c r="F1" s="9" t="s">
        <v>250</v>
      </c>
      <c r="G1" s="9" t="s">
        <v>251</v>
      </c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</row>
    <row r="2">
      <c r="A2" s="17" t="s">
        <v>5</v>
      </c>
      <c r="B2" s="10"/>
      <c r="C2" s="9" t="s">
        <v>499</v>
      </c>
      <c r="D2" s="26"/>
      <c r="E2" s="26"/>
      <c r="F2" s="9"/>
      <c r="G2" s="5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</row>
    <row r="3">
      <c r="A3" s="17" t="s">
        <v>500</v>
      </c>
      <c r="B3" s="9"/>
      <c r="C3" s="9" t="s">
        <v>499</v>
      </c>
      <c r="D3" s="26"/>
      <c r="E3" s="26"/>
      <c r="F3" s="9"/>
      <c r="G3" s="5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</row>
    <row r="4">
      <c r="A4" s="17" t="s">
        <v>501</v>
      </c>
      <c r="B4" s="9">
        <v>7010.0</v>
      </c>
      <c r="C4" s="9" t="s">
        <v>499</v>
      </c>
      <c r="D4" s="26"/>
      <c r="E4" s="26"/>
      <c r="F4" s="9"/>
      <c r="G4" s="5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</row>
    <row r="5">
      <c r="A5" s="17" t="s">
        <v>48</v>
      </c>
      <c r="B5" s="9">
        <v>6675.0</v>
      </c>
      <c r="C5" s="9" t="s">
        <v>499</v>
      </c>
      <c r="D5" s="26"/>
      <c r="E5" s="26"/>
      <c r="F5" s="9"/>
      <c r="G5" s="5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</row>
    <row r="6">
      <c r="A6" s="17" t="s">
        <v>13</v>
      </c>
      <c r="B6" s="9"/>
      <c r="C6" s="9" t="s">
        <v>499</v>
      </c>
      <c r="D6" s="26"/>
      <c r="E6" s="26"/>
      <c r="F6" s="9"/>
      <c r="G6" s="5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</row>
    <row r="7">
      <c r="A7" s="17" t="s">
        <v>502</v>
      </c>
      <c r="B7" s="9">
        <v>189.0</v>
      </c>
      <c r="C7" s="9" t="s">
        <v>499</v>
      </c>
      <c r="D7" s="26"/>
      <c r="E7" s="26"/>
      <c r="F7" s="9"/>
      <c r="G7" s="5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</row>
    <row r="8">
      <c r="A8" s="17" t="s">
        <v>49</v>
      </c>
      <c r="B8" s="9">
        <v>6729.0</v>
      </c>
      <c r="C8" s="9" t="s">
        <v>499</v>
      </c>
      <c r="D8" s="26"/>
      <c r="E8" s="26"/>
      <c r="F8" s="9"/>
      <c r="G8" s="5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</row>
    <row r="9">
      <c r="A9" s="17" t="s">
        <v>50</v>
      </c>
      <c r="B9" s="9"/>
      <c r="C9" s="9" t="s">
        <v>499</v>
      </c>
      <c r="D9" s="26"/>
      <c r="E9" s="26"/>
      <c r="F9" s="9"/>
      <c r="G9" s="5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</row>
    <row r="10">
      <c r="A10" s="17" t="s">
        <v>20</v>
      </c>
      <c r="B10" s="9"/>
      <c r="C10" s="9" t="s">
        <v>499</v>
      </c>
      <c r="D10" s="26"/>
      <c r="E10" s="26"/>
      <c r="F10" s="9"/>
      <c r="G10" s="5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</row>
    <row r="11">
      <c r="A11" s="17" t="s">
        <v>21</v>
      </c>
      <c r="B11" s="10"/>
      <c r="C11" s="9" t="s">
        <v>499</v>
      </c>
      <c r="D11" s="26"/>
      <c r="E11" s="26"/>
      <c r="F11" s="9"/>
      <c r="G11" s="5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</row>
    <row r="12">
      <c r="A12" s="17" t="s">
        <v>23</v>
      </c>
      <c r="B12" s="9"/>
      <c r="C12" s="9" t="s">
        <v>499</v>
      </c>
      <c r="D12" s="26"/>
      <c r="E12" s="26"/>
      <c r="F12" s="9"/>
      <c r="G12" s="5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</row>
    <row r="13">
      <c r="A13" s="17" t="s">
        <v>25</v>
      </c>
      <c r="B13" s="10"/>
      <c r="C13" s="9" t="s">
        <v>499</v>
      </c>
      <c r="D13" s="26"/>
      <c r="E13" s="26"/>
      <c r="F13" s="9"/>
      <c r="G13" s="5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</row>
    <row r="14">
      <c r="A14" s="17" t="s">
        <v>27</v>
      </c>
      <c r="B14" s="9">
        <v>2345.0</v>
      </c>
      <c r="C14" s="9" t="s">
        <v>499</v>
      </c>
      <c r="D14" s="26"/>
      <c r="E14" s="26"/>
      <c r="F14" s="9"/>
      <c r="G14" s="5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</row>
    <row r="15">
      <c r="A15" s="17" t="s">
        <v>29</v>
      </c>
      <c r="B15" s="9"/>
      <c r="C15" s="9" t="s">
        <v>499</v>
      </c>
      <c r="D15" s="26"/>
      <c r="E15" s="26"/>
      <c r="F15" s="9"/>
      <c r="G15" s="5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</row>
    <row r="16">
      <c r="A16" s="17" t="s">
        <v>31</v>
      </c>
      <c r="B16" s="9"/>
      <c r="C16" s="9" t="s">
        <v>499</v>
      </c>
      <c r="D16" s="26"/>
      <c r="E16" s="26"/>
      <c r="F16" s="9"/>
      <c r="G16" s="5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</row>
    <row r="17">
      <c r="A17" s="17" t="s">
        <v>33</v>
      </c>
      <c r="B17" s="9"/>
      <c r="C17" s="9" t="s">
        <v>499</v>
      </c>
      <c r="D17" s="26"/>
      <c r="E17" s="26"/>
      <c r="F17" s="9"/>
      <c r="G17" s="5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</row>
    <row r="18">
      <c r="A18" s="17" t="s">
        <v>34</v>
      </c>
      <c r="B18" s="9"/>
      <c r="C18" s="9" t="s">
        <v>499</v>
      </c>
      <c r="D18" s="26"/>
      <c r="E18" s="26"/>
      <c r="F18" s="9"/>
      <c r="G18" s="5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</row>
    <row r="19">
      <c r="A19" s="17" t="s">
        <v>35</v>
      </c>
      <c r="B19" s="9"/>
      <c r="C19" s="9" t="s">
        <v>499</v>
      </c>
      <c r="D19" s="26"/>
      <c r="E19" s="26"/>
      <c r="F19" s="9"/>
      <c r="G19" s="5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</row>
    <row r="20">
      <c r="A20" s="17" t="s">
        <v>37</v>
      </c>
      <c r="B20" s="9">
        <v>8486.0</v>
      </c>
      <c r="C20" s="9" t="s">
        <v>499</v>
      </c>
      <c r="D20" s="26"/>
      <c r="E20" s="26"/>
      <c r="F20" s="9"/>
      <c r="G20" s="5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</row>
    <row r="21">
      <c r="A21" s="17" t="s">
        <v>39</v>
      </c>
      <c r="B21" s="9">
        <v>6722.0</v>
      </c>
      <c r="C21" s="9" t="s">
        <v>499</v>
      </c>
      <c r="D21" s="26"/>
      <c r="E21" s="26"/>
      <c r="F21" s="9"/>
      <c r="G21" s="5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</row>
    <row r="22">
      <c r="A22" s="17" t="s">
        <v>41</v>
      </c>
      <c r="B22" s="9"/>
      <c r="C22" s="9" t="s">
        <v>499</v>
      </c>
      <c r="D22" s="26"/>
      <c r="E22" s="26"/>
      <c r="F22" s="9"/>
      <c r="G22" s="5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</row>
    <row r="23">
      <c r="A23" s="17" t="s">
        <v>42</v>
      </c>
      <c r="B23" s="9"/>
      <c r="C23" s="9" t="s">
        <v>499</v>
      </c>
      <c r="D23" s="26"/>
      <c r="E23" s="26"/>
      <c r="F23" s="9"/>
      <c r="G23" s="5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</row>
    <row r="24">
      <c r="A24" s="17" t="s">
        <v>503</v>
      </c>
      <c r="B24" s="9">
        <v>14727.0</v>
      </c>
      <c r="C24" s="9" t="s">
        <v>499</v>
      </c>
      <c r="D24" s="26"/>
      <c r="E24" s="26"/>
      <c r="F24" s="9"/>
      <c r="G24" s="5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</row>
    <row r="25">
      <c r="A25" s="17" t="s">
        <v>56</v>
      </c>
      <c r="B25" s="9">
        <v>6924.0</v>
      </c>
      <c r="C25" s="9" t="s">
        <v>499</v>
      </c>
      <c r="D25" s="26"/>
      <c r="E25" s="26"/>
      <c r="F25" s="9"/>
      <c r="G25" s="5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</row>
    <row r="26">
      <c r="A26" s="17" t="s">
        <v>57</v>
      </c>
      <c r="B26" s="9">
        <v>8486.0</v>
      </c>
      <c r="C26" s="9" t="s">
        <v>499</v>
      </c>
      <c r="D26" s="26"/>
      <c r="E26" s="26"/>
      <c r="F26" s="9"/>
      <c r="G26" s="5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</row>
    <row r="27">
      <c r="A27" s="17" t="s">
        <v>58</v>
      </c>
      <c r="B27" s="9">
        <v>7083.0</v>
      </c>
      <c r="C27" s="9" t="s">
        <v>499</v>
      </c>
      <c r="D27" s="26"/>
      <c r="E27" s="26"/>
      <c r="F27" s="9"/>
      <c r="G27" s="5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</row>
    <row r="28">
      <c r="A28" s="17" t="s">
        <v>59</v>
      </c>
      <c r="B28" s="9">
        <v>7100.0</v>
      </c>
      <c r="C28" s="9" t="s">
        <v>499</v>
      </c>
      <c r="D28" s="26"/>
      <c r="E28" s="26"/>
      <c r="F28" s="9"/>
      <c r="G28" s="5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</row>
    <row r="29">
      <c r="A29" s="17" t="s">
        <v>60</v>
      </c>
      <c r="B29" s="9">
        <v>2345.0</v>
      </c>
      <c r="C29" s="9" t="s">
        <v>499</v>
      </c>
      <c r="D29" s="26"/>
      <c r="E29" s="26"/>
      <c r="F29" s="9"/>
      <c r="G29" s="5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</row>
    <row r="30">
      <c r="A30" s="17" t="s">
        <v>61</v>
      </c>
      <c r="B30" s="9">
        <v>189.0</v>
      </c>
      <c r="C30" s="9" t="s">
        <v>499</v>
      </c>
      <c r="D30" s="26"/>
      <c r="E30" s="26"/>
      <c r="F30" s="9"/>
      <c r="G30" s="5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</row>
    <row r="31">
      <c r="A31" s="17" t="s">
        <v>62</v>
      </c>
      <c r="B31" s="9">
        <v>663.0</v>
      </c>
      <c r="C31" s="9" t="s">
        <v>499</v>
      </c>
      <c r="D31" s="26"/>
      <c r="E31" s="26"/>
      <c r="F31" s="9"/>
      <c r="G31" s="5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</row>
    <row r="32">
      <c r="A32" s="17" t="s">
        <v>63</v>
      </c>
      <c r="B32" s="9">
        <v>663.0</v>
      </c>
      <c r="C32" s="9" t="s">
        <v>499</v>
      </c>
      <c r="D32" s="26"/>
      <c r="E32" s="26"/>
      <c r="F32" s="9"/>
      <c r="G32" s="5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</row>
    <row r="33">
      <c r="A33" s="17" t="s">
        <v>64</v>
      </c>
      <c r="B33" s="9">
        <v>14638.0</v>
      </c>
      <c r="C33" s="9" t="s">
        <v>499</v>
      </c>
      <c r="D33" s="26"/>
      <c r="E33" s="26"/>
      <c r="F33" s="9"/>
      <c r="G33" s="5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</row>
    <row r="34">
      <c r="A34" s="17" t="s">
        <v>504</v>
      </c>
      <c r="B34" s="9"/>
      <c r="C34" s="9" t="s">
        <v>499</v>
      </c>
      <c r="D34" s="26"/>
      <c r="E34" s="26"/>
      <c r="F34" s="9"/>
      <c r="G34" s="5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</row>
    <row r="35">
      <c r="A35" s="17" t="s">
        <v>505</v>
      </c>
      <c r="B35" s="10"/>
      <c r="C35" s="9" t="s">
        <v>499</v>
      </c>
      <c r="D35" s="26"/>
      <c r="E35" s="26"/>
      <c r="F35" s="9"/>
      <c r="G35" s="5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</row>
    <row r="36">
      <c r="A36" s="17" t="s">
        <v>506</v>
      </c>
      <c r="B36" s="9"/>
      <c r="C36" s="9" t="s">
        <v>499</v>
      </c>
      <c r="D36" s="26"/>
      <c r="E36" s="26"/>
      <c r="F36" s="9"/>
      <c r="G36" s="5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</row>
    <row r="37">
      <c r="A37" s="17" t="s">
        <v>507</v>
      </c>
      <c r="B37" s="9">
        <v>12932.0</v>
      </c>
      <c r="C37" s="9" t="s">
        <v>499</v>
      </c>
      <c r="D37" s="26"/>
      <c r="E37" s="26"/>
      <c r="F37" s="9"/>
      <c r="G37" s="5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</row>
    <row r="38">
      <c r="A38" s="17" t="s">
        <v>508</v>
      </c>
      <c r="B38" s="10"/>
      <c r="C38" s="9" t="s">
        <v>499</v>
      </c>
      <c r="D38" s="26"/>
      <c r="E38" s="26"/>
      <c r="F38" s="9"/>
      <c r="G38" s="5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</row>
    <row r="39">
      <c r="A39" s="17" t="s">
        <v>509</v>
      </c>
      <c r="B39" s="10"/>
      <c r="C39" s="9" t="s">
        <v>499</v>
      </c>
      <c r="D39" s="26"/>
      <c r="E39" s="26"/>
      <c r="F39" s="9"/>
      <c r="G39" s="5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</row>
    <row r="40">
      <c r="A40" s="17" t="s">
        <v>510</v>
      </c>
      <c r="B40" s="9"/>
      <c r="C40" s="9" t="s">
        <v>499</v>
      </c>
      <c r="D40" s="26"/>
      <c r="E40" s="26"/>
      <c r="F40" s="9"/>
      <c r="G40" s="5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</row>
    <row r="41">
      <c r="A41" s="17" t="s">
        <v>511</v>
      </c>
      <c r="B41" s="10"/>
      <c r="C41" s="9" t="s">
        <v>499</v>
      </c>
      <c r="D41" s="26"/>
      <c r="E41" s="26"/>
      <c r="F41" s="9"/>
      <c r="G41" s="5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</row>
    <row r="42">
      <c r="A42" s="17" t="s">
        <v>512</v>
      </c>
      <c r="B42" s="10"/>
      <c r="C42" s="9" t="s">
        <v>499</v>
      </c>
      <c r="D42" s="26"/>
      <c r="E42" s="26"/>
      <c r="F42" s="9"/>
      <c r="G42" s="5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</row>
    <row r="43">
      <c r="A43" s="17" t="s">
        <v>513</v>
      </c>
      <c r="B43" s="9"/>
      <c r="C43" s="9" t="s">
        <v>499</v>
      </c>
      <c r="D43" s="26"/>
      <c r="E43" s="26"/>
      <c r="F43" s="9"/>
      <c r="G43" s="5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</row>
    <row r="44">
      <c r="A44" s="17" t="s">
        <v>514</v>
      </c>
      <c r="B44" s="9">
        <v>2345.0</v>
      </c>
      <c r="C44" s="9" t="s">
        <v>499</v>
      </c>
      <c r="D44" s="26"/>
      <c r="E44" s="26"/>
      <c r="F44" s="9"/>
      <c r="G44" s="5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</row>
    <row r="45">
      <c r="A45" s="17" t="s">
        <v>515</v>
      </c>
      <c r="B45" s="9">
        <v>2345.0</v>
      </c>
      <c r="C45" s="9" t="s">
        <v>499</v>
      </c>
      <c r="D45" s="26"/>
      <c r="E45" s="26"/>
      <c r="F45" s="9"/>
      <c r="G45" s="5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</row>
    <row r="46">
      <c r="A46" s="17" t="s">
        <v>516</v>
      </c>
      <c r="B46" s="9">
        <v>2345.0</v>
      </c>
      <c r="C46" s="9" t="s">
        <v>499</v>
      </c>
      <c r="D46" s="26"/>
      <c r="E46" s="26"/>
      <c r="F46" s="9"/>
      <c r="G46" s="5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</row>
    <row r="47">
      <c r="A47" s="17" t="s">
        <v>517</v>
      </c>
      <c r="B47" s="9">
        <v>2345.0</v>
      </c>
      <c r="C47" s="9" t="s">
        <v>499</v>
      </c>
      <c r="D47" s="26"/>
      <c r="E47" s="26"/>
      <c r="F47" s="9"/>
      <c r="G47" s="5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</row>
    <row r="48">
      <c r="A48" s="17" t="s">
        <v>518</v>
      </c>
      <c r="B48" s="9">
        <v>2345.0</v>
      </c>
      <c r="C48" s="9" t="s">
        <v>499</v>
      </c>
      <c r="D48" s="26"/>
      <c r="E48" s="26"/>
      <c r="F48" s="9"/>
      <c r="G48" s="5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</row>
    <row r="49">
      <c r="A49" s="17" t="s">
        <v>519</v>
      </c>
      <c r="B49" s="9">
        <v>2345.0</v>
      </c>
      <c r="C49" s="9" t="s">
        <v>499</v>
      </c>
      <c r="D49" s="26"/>
      <c r="E49" s="26"/>
      <c r="F49" s="9"/>
      <c r="G49" s="5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</row>
    <row r="50">
      <c r="A50" s="17" t="s">
        <v>520</v>
      </c>
      <c r="B50" s="10"/>
      <c r="C50" s="9" t="s">
        <v>499</v>
      </c>
      <c r="D50" s="26"/>
      <c r="E50" s="26"/>
      <c r="F50" s="9"/>
      <c r="G50" s="5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</row>
    <row r="51">
      <c r="A51" s="17" t="s">
        <v>521</v>
      </c>
      <c r="B51" s="10"/>
      <c r="C51" s="9" t="s">
        <v>499</v>
      </c>
      <c r="D51" s="26"/>
      <c r="E51" s="26"/>
      <c r="F51" s="9"/>
      <c r="G51" s="5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</row>
    <row r="52">
      <c r="A52" s="17" t="s">
        <v>522</v>
      </c>
      <c r="B52" s="10"/>
      <c r="C52" s="9" t="s">
        <v>499</v>
      </c>
      <c r="D52" s="26"/>
      <c r="E52" s="26"/>
      <c r="F52" s="9"/>
      <c r="G52" s="5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</row>
    <row r="53">
      <c r="A53" s="17" t="s">
        <v>523</v>
      </c>
      <c r="B53" s="10"/>
      <c r="C53" s="9" t="s">
        <v>499</v>
      </c>
      <c r="D53" s="26"/>
      <c r="E53" s="26"/>
      <c r="F53" s="9"/>
      <c r="G53" s="5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</row>
    <row r="54">
      <c r="A54" s="17" t="s">
        <v>524</v>
      </c>
      <c r="B54" s="9"/>
      <c r="C54" s="9" t="s">
        <v>499</v>
      </c>
      <c r="D54" s="26"/>
      <c r="E54" s="26"/>
      <c r="F54" s="9"/>
      <c r="G54" s="5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</row>
    <row r="55">
      <c r="A55" s="17" t="s">
        <v>525</v>
      </c>
      <c r="B55" s="9">
        <v>7847.0</v>
      </c>
      <c r="C55" s="9" t="s">
        <v>499</v>
      </c>
      <c r="D55" s="26"/>
      <c r="E55" s="26"/>
      <c r="F55" s="9"/>
      <c r="G55" s="5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</row>
    <row r="56">
      <c r="A56" s="17" t="s">
        <v>526</v>
      </c>
      <c r="B56" s="10"/>
      <c r="C56" s="9" t="s">
        <v>499</v>
      </c>
      <c r="D56" s="26"/>
      <c r="E56" s="26"/>
      <c r="F56" s="9"/>
      <c r="G56" s="5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</row>
    <row r="57">
      <c r="A57" s="17" t="s">
        <v>527</v>
      </c>
      <c r="B57" s="10"/>
      <c r="C57" s="9" t="s">
        <v>499</v>
      </c>
      <c r="D57" s="26"/>
      <c r="E57" s="26"/>
      <c r="F57" s="9"/>
      <c r="G57" s="5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</row>
    <row r="58">
      <c r="A58" s="17" t="s">
        <v>528</v>
      </c>
      <c r="B58" s="10"/>
      <c r="C58" s="9" t="s">
        <v>499</v>
      </c>
      <c r="D58" s="26"/>
      <c r="E58" s="26"/>
      <c r="F58" s="9"/>
      <c r="G58" s="5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</row>
    <row r="59">
      <c r="A59" s="17" t="s">
        <v>529</v>
      </c>
      <c r="B59" s="10"/>
      <c r="C59" s="9" t="s">
        <v>499</v>
      </c>
      <c r="D59" s="26"/>
      <c r="E59" s="26"/>
      <c r="F59" s="9"/>
      <c r="G59" s="5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</row>
    <row r="60">
      <c r="A60" s="17" t="s">
        <v>530</v>
      </c>
      <c r="B60" s="10"/>
      <c r="C60" s="9" t="s">
        <v>499</v>
      </c>
      <c r="D60" s="26"/>
      <c r="E60" s="26"/>
      <c r="F60" s="9"/>
      <c r="G60" s="5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</row>
    <row r="61">
      <c r="A61" s="17" t="s">
        <v>531</v>
      </c>
      <c r="B61" s="10"/>
      <c r="C61" s="9" t="s">
        <v>499</v>
      </c>
      <c r="D61" s="26"/>
      <c r="E61" s="26"/>
      <c r="F61" s="9"/>
      <c r="G61" s="5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</row>
    <row r="62">
      <c r="A62" s="17" t="s">
        <v>532</v>
      </c>
      <c r="B62" s="10"/>
      <c r="C62" s="9" t="s">
        <v>499</v>
      </c>
      <c r="D62" s="26"/>
      <c r="E62" s="26"/>
      <c r="F62" s="9"/>
      <c r="G62" s="5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</row>
    <row r="63">
      <c r="A63" s="17" t="s">
        <v>533</v>
      </c>
      <c r="B63" s="10"/>
      <c r="C63" s="9" t="s">
        <v>499</v>
      </c>
      <c r="D63" s="26"/>
      <c r="E63" s="26"/>
      <c r="F63" s="9"/>
      <c r="G63" s="5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</row>
    <row r="64">
      <c r="A64" s="17" t="s">
        <v>534</v>
      </c>
      <c r="B64" s="9"/>
      <c r="C64" s="9" t="s">
        <v>499</v>
      </c>
      <c r="D64" s="26"/>
      <c r="E64" s="26"/>
      <c r="F64" s="9"/>
      <c r="G64" s="5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</row>
    <row r="65">
      <c r="A65" s="17" t="s">
        <v>535</v>
      </c>
      <c r="B65" s="10"/>
      <c r="C65" s="9" t="s">
        <v>499</v>
      </c>
      <c r="D65" s="26"/>
      <c r="E65" s="26"/>
      <c r="F65" s="9"/>
      <c r="G65" s="5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</row>
    <row r="66">
      <c r="A66" s="17" t="s">
        <v>536</v>
      </c>
      <c r="B66" s="10"/>
      <c r="C66" s="9" t="s">
        <v>499</v>
      </c>
      <c r="D66" s="26"/>
      <c r="E66" s="26"/>
      <c r="F66" s="9"/>
      <c r="G66" s="5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</row>
    <row r="67">
      <c r="A67" s="17" t="s">
        <v>537</v>
      </c>
      <c r="B67" s="10"/>
      <c r="C67" s="9" t="s">
        <v>499</v>
      </c>
      <c r="D67" s="26"/>
      <c r="E67" s="26"/>
      <c r="F67" s="9"/>
      <c r="G67" s="5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</row>
    <row r="68">
      <c r="A68" s="17" t="s">
        <v>538</v>
      </c>
      <c r="B68" s="9">
        <v>6675.0</v>
      </c>
      <c r="C68" s="9" t="s">
        <v>499</v>
      </c>
      <c r="D68" s="26"/>
      <c r="E68" s="26"/>
      <c r="F68" s="9"/>
      <c r="G68" s="5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</row>
    <row r="69">
      <c r="A69" s="17" t="s">
        <v>539</v>
      </c>
      <c r="B69" s="9">
        <v>6675.0</v>
      </c>
      <c r="C69" s="9" t="s">
        <v>499</v>
      </c>
      <c r="D69" s="26"/>
      <c r="E69" s="26"/>
      <c r="F69" s="9"/>
      <c r="G69" s="5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</row>
    <row r="70">
      <c r="A70" s="17" t="s">
        <v>540</v>
      </c>
      <c r="B70" s="9">
        <v>6675.0</v>
      </c>
      <c r="C70" s="9" t="s">
        <v>499</v>
      </c>
      <c r="D70" s="26"/>
      <c r="E70" s="26"/>
      <c r="F70" s="9"/>
      <c r="G70" s="5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</row>
    <row r="71">
      <c r="A71" s="17" t="s">
        <v>541</v>
      </c>
      <c r="B71" s="9">
        <v>6669.0</v>
      </c>
      <c r="C71" s="9" t="s">
        <v>499</v>
      </c>
      <c r="D71" s="26"/>
      <c r="E71" s="26"/>
      <c r="F71" s="9"/>
      <c r="G71" s="5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</row>
    <row r="72">
      <c r="A72" s="17" t="s">
        <v>542</v>
      </c>
      <c r="B72" s="9">
        <v>7010.0</v>
      </c>
      <c r="C72" s="9" t="s">
        <v>499</v>
      </c>
      <c r="D72" s="26"/>
      <c r="E72" s="26"/>
      <c r="F72" s="9"/>
      <c r="G72" s="5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</row>
    <row r="73">
      <c r="A73" s="17" t="s">
        <v>543</v>
      </c>
      <c r="B73" s="9">
        <v>7142.0</v>
      </c>
      <c r="C73" s="9" t="s">
        <v>499</v>
      </c>
      <c r="D73" s="26"/>
      <c r="E73" s="26"/>
      <c r="F73" s="9"/>
      <c r="G73" s="5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</row>
    <row r="74">
      <c r="A74" s="17" t="s">
        <v>544</v>
      </c>
      <c r="B74" s="10"/>
      <c r="C74" s="9" t="s">
        <v>499</v>
      </c>
      <c r="D74" s="26"/>
      <c r="E74" s="26"/>
      <c r="F74" s="9"/>
      <c r="G74" s="5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</row>
    <row r="75">
      <c r="A75" s="17" t="s">
        <v>545</v>
      </c>
      <c r="B75" s="10"/>
      <c r="C75" s="9" t="s">
        <v>499</v>
      </c>
      <c r="D75" s="26"/>
      <c r="E75" s="26"/>
      <c r="F75" s="9"/>
      <c r="G75" s="5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</row>
    <row r="76">
      <c r="A76" s="17" t="s">
        <v>546</v>
      </c>
      <c r="B76" s="10"/>
      <c r="C76" s="9" t="s">
        <v>499</v>
      </c>
      <c r="D76" s="26"/>
      <c r="E76" s="26"/>
      <c r="F76" s="9"/>
      <c r="G76" s="5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</row>
    <row r="77">
      <c r="A77" s="17" t="s">
        <v>547</v>
      </c>
      <c r="B77" s="10"/>
      <c r="C77" s="9" t="s">
        <v>499</v>
      </c>
      <c r="D77" s="26"/>
      <c r="E77" s="26"/>
      <c r="F77" s="9"/>
      <c r="G77" s="5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</row>
    <row r="78">
      <c r="A78" s="17" t="s">
        <v>548</v>
      </c>
      <c r="B78" s="10"/>
      <c r="C78" s="9" t="s">
        <v>499</v>
      </c>
      <c r="D78" s="26"/>
      <c r="E78" s="26"/>
      <c r="F78" s="9"/>
      <c r="G78" s="5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</row>
    <row r="79">
      <c r="A79" s="17" t="s">
        <v>549</v>
      </c>
      <c r="B79" s="10"/>
      <c r="C79" s="9" t="s">
        <v>499</v>
      </c>
      <c r="D79" s="26"/>
      <c r="E79" s="26"/>
      <c r="F79" s="9"/>
      <c r="G79" s="5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</row>
    <row r="80">
      <c r="A80" s="17" t="s">
        <v>550</v>
      </c>
      <c r="B80" s="10"/>
      <c r="C80" s="9" t="s">
        <v>499</v>
      </c>
      <c r="D80" s="26"/>
      <c r="E80" s="26"/>
      <c r="F80" s="9"/>
      <c r="G80" s="5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</row>
    <row r="81">
      <c r="A81" s="17" t="s">
        <v>551</v>
      </c>
      <c r="B81" s="10"/>
      <c r="C81" s="9" t="s">
        <v>499</v>
      </c>
      <c r="D81" s="26"/>
      <c r="E81" s="26"/>
      <c r="F81" s="9"/>
      <c r="G81" s="5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</row>
    <row r="82">
      <c r="A82" s="17" t="s">
        <v>552</v>
      </c>
      <c r="B82" s="10"/>
      <c r="C82" s="9" t="s">
        <v>499</v>
      </c>
      <c r="D82" s="26"/>
      <c r="E82" s="26"/>
      <c r="F82" s="9"/>
      <c r="G82" s="5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</row>
    <row r="83">
      <c r="A83" s="17" t="s">
        <v>553</v>
      </c>
      <c r="B83" s="10"/>
      <c r="C83" s="9" t="s">
        <v>499</v>
      </c>
      <c r="D83" s="26"/>
      <c r="E83" s="26"/>
      <c r="F83" s="9"/>
      <c r="G83" s="5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</row>
    <row r="84">
      <c r="A84" s="17" t="s">
        <v>554</v>
      </c>
      <c r="B84" s="10"/>
      <c r="C84" s="9" t="s">
        <v>499</v>
      </c>
      <c r="D84" s="26"/>
      <c r="E84" s="26"/>
      <c r="F84" s="9"/>
      <c r="G84" s="5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</row>
    <row r="85">
      <c r="A85" s="17" t="s">
        <v>555</v>
      </c>
      <c r="B85" s="10"/>
      <c r="C85" s="9" t="s">
        <v>499</v>
      </c>
      <c r="D85" s="26"/>
      <c r="E85" s="26"/>
      <c r="F85" s="9"/>
      <c r="G85" s="5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</row>
    <row r="86">
      <c r="A86" s="17" t="s">
        <v>556</v>
      </c>
      <c r="B86" s="10"/>
      <c r="C86" s="9" t="s">
        <v>499</v>
      </c>
      <c r="D86" s="26"/>
      <c r="E86" s="26"/>
      <c r="F86" s="9"/>
      <c r="G86" s="5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</row>
    <row r="87">
      <c r="A87" s="17" t="s">
        <v>557</v>
      </c>
      <c r="B87" s="10"/>
      <c r="C87" s="9" t="s">
        <v>499</v>
      </c>
      <c r="D87" s="26"/>
      <c r="E87" s="26"/>
      <c r="F87" s="9"/>
      <c r="G87" s="5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</row>
    <row r="88">
      <c r="A88" s="17" t="s">
        <v>558</v>
      </c>
      <c r="B88" s="10"/>
      <c r="C88" s="9" t="s">
        <v>499</v>
      </c>
      <c r="D88" s="26"/>
      <c r="E88" s="26"/>
      <c r="F88" s="9"/>
      <c r="G88" s="5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</row>
    <row r="89">
      <c r="A89" s="17" t="s">
        <v>559</v>
      </c>
      <c r="B89" s="10"/>
      <c r="C89" s="9" t="s">
        <v>499</v>
      </c>
      <c r="D89" s="26"/>
      <c r="E89" s="26"/>
      <c r="F89" s="9"/>
      <c r="G89" s="5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</row>
    <row r="90">
      <c r="A90" s="17" t="s">
        <v>560</v>
      </c>
      <c r="B90" s="10"/>
      <c r="C90" s="9" t="s">
        <v>499</v>
      </c>
      <c r="D90" s="26"/>
      <c r="E90" s="26"/>
      <c r="F90" s="9"/>
      <c r="G90" s="5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</row>
    <row r="91">
      <c r="A91" s="17" t="s">
        <v>561</v>
      </c>
      <c r="B91" s="10"/>
      <c r="C91" s="9" t="s">
        <v>499</v>
      </c>
      <c r="D91" s="26"/>
      <c r="E91" s="26"/>
      <c r="F91" s="9"/>
      <c r="G91" s="5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</row>
    <row r="92">
      <c r="A92" s="17" t="s">
        <v>562</v>
      </c>
      <c r="B92" s="10"/>
      <c r="C92" s="9" t="s">
        <v>499</v>
      </c>
      <c r="D92" s="26"/>
      <c r="E92" s="26"/>
      <c r="F92" s="9"/>
      <c r="G92" s="5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</row>
    <row r="93">
      <c r="A93" s="17" t="s">
        <v>563</v>
      </c>
      <c r="B93" s="10"/>
      <c r="C93" s="9" t="s">
        <v>499</v>
      </c>
      <c r="D93" s="26"/>
      <c r="E93" s="26"/>
      <c r="F93" s="9"/>
      <c r="G93" s="5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</row>
    <row r="94">
      <c r="A94" s="17" t="s">
        <v>564</v>
      </c>
      <c r="B94" s="10"/>
      <c r="C94" s="9" t="s">
        <v>499</v>
      </c>
      <c r="D94" s="26"/>
      <c r="E94" s="26"/>
      <c r="F94" s="9"/>
      <c r="G94" s="5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</row>
    <row r="95">
      <c r="A95" s="17" t="s">
        <v>565</v>
      </c>
      <c r="B95" s="10"/>
      <c r="C95" s="9" t="s">
        <v>499</v>
      </c>
      <c r="D95" s="26"/>
      <c r="E95" s="26"/>
      <c r="F95" s="9"/>
      <c r="G95" s="5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</row>
    <row r="96">
      <c r="A96" s="17" t="s">
        <v>566</v>
      </c>
      <c r="B96" s="10"/>
      <c r="C96" s="9" t="s">
        <v>499</v>
      </c>
      <c r="D96" s="26"/>
      <c r="E96" s="26"/>
      <c r="F96" s="9"/>
      <c r="G96" s="5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</row>
    <row r="97">
      <c r="A97" s="17" t="s">
        <v>567</v>
      </c>
      <c r="B97" s="10"/>
      <c r="C97" s="9" t="s">
        <v>499</v>
      </c>
      <c r="D97" s="26"/>
      <c r="E97" s="26"/>
      <c r="F97" s="9"/>
      <c r="G97" s="5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</row>
    <row r="98">
      <c r="A98" s="17" t="s">
        <v>568</v>
      </c>
      <c r="B98" s="10"/>
      <c r="C98" s="9" t="s">
        <v>499</v>
      </c>
      <c r="D98" s="26"/>
      <c r="E98" s="26"/>
      <c r="F98" s="9"/>
      <c r="G98" s="5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</row>
    <row r="99">
      <c r="A99" s="17" t="s">
        <v>569</v>
      </c>
      <c r="B99" s="10"/>
      <c r="C99" s="9" t="s">
        <v>499</v>
      </c>
      <c r="D99" s="26"/>
      <c r="E99" s="26"/>
      <c r="F99" s="9"/>
      <c r="G99" s="5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</row>
    <row r="100">
      <c r="A100" s="17" t="s">
        <v>570</v>
      </c>
      <c r="B100" s="10"/>
      <c r="C100" s="9" t="s">
        <v>499</v>
      </c>
      <c r="D100" s="26"/>
      <c r="E100" s="26"/>
      <c r="F100" s="9"/>
      <c r="G100" s="5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</row>
    <row r="101">
      <c r="A101" s="17" t="s">
        <v>571</v>
      </c>
      <c r="B101" s="10"/>
      <c r="C101" s="9" t="s">
        <v>499</v>
      </c>
      <c r="D101" s="26"/>
      <c r="E101" s="26"/>
      <c r="F101" s="9"/>
      <c r="G101" s="5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</row>
    <row r="102">
      <c r="A102" s="17" t="s">
        <v>572</v>
      </c>
      <c r="B102" s="10"/>
      <c r="C102" s="9" t="s">
        <v>499</v>
      </c>
      <c r="D102" s="26"/>
      <c r="E102" s="26"/>
      <c r="F102" s="9"/>
      <c r="G102" s="5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</row>
    <row r="103">
      <c r="A103" s="17" t="s">
        <v>573</v>
      </c>
      <c r="B103" s="10"/>
      <c r="C103" s="9" t="s">
        <v>499</v>
      </c>
      <c r="D103" s="26"/>
      <c r="E103" s="26"/>
      <c r="F103" s="9"/>
      <c r="G103" s="5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</row>
    <row r="104">
      <c r="A104" s="17" t="s">
        <v>574</v>
      </c>
      <c r="B104" s="10"/>
      <c r="C104" s="9" t="s">
        <v>499</v>
      </c>
      <c r="D104" s="26"/>
      <c r="E104" s="26"/>
      <c r="F104" s="9"/>
      <c r="G104" s="5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</row>
    <row r="105">
      <c r="A105" s="17" t="s">
        <v>575</v>
      </c>
      <c r="B105" s="10"/>
      <c r="C105" s="9" t="s">
        <v>499</v>
      </c>
      <c r="D105" s="26"/>
      <c r="E105" s="26"/>
      <c r="F105" s="9"/>
      <c r="G105" s="5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</row>
    <row r="106">
      <c r="A106" s="17" t="s">
        <v>576</v>
      </c>
      <c r="B106" s="9"/>
      <c r="C106" s="9" t="s">
        <v>499</v>
      </c>
      <c r="D106" s="26"/>
      <c r="E106" s="26"/>
      <c r="F106" s="9"/>
      <c r="G106" s="5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</row>
    <row r="107">
      <c r="A107" s="17" t="s">
        <v>577</v>
      </c>
      <c r="B107" s="10"/>
      <c r="C107" s="9" t="s">
        <v>499</v>
      </c>
      <c r="D107" s="26"/>
      <c r="E107" s="26"/>
      <c r="F107" s="9"/>
      <c r="G107" s="5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</row>
    <row r="108">
      <c r="A108" s="17" t="s">
        <v>578</v>
      </c>
      <c r="B108" s="10"/>
      <c r="C108" s="9" t="s">
        <v>499</v>
      </c>
      <c r="D108" s="26"/>
      <c r="E108" s="26"/>
      <c r="F108" s="9"/>
      <c r="G108" s="5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</row>
    <row r="109">
      <c r="A109" s="17" t="s">
        <v>579</v>
      </c>
      <c r="B109" s="10"/>
      <c r="C109" s="9" t="s">
        <v>499</v>
      </c>
      <c r="D109" s="26"/>
      <c r="E109" s="26"/>
      <c r="F109" s="9"/>
      <c r="G109" s="5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</row>
    <row r="110">
      <c r="A110" s="17" t="s">
        <v>580</v>
      </c>
      <c r="B110" s="9"/>
      <c r="C110" s="9" t="s">
        <v>499</v>
      </c>
      <c r="D110" s="26"/>
      <c r="E110" s="26"/>
      <c r="F110" s="9"/>
      <c r="G110" s="5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</row>
    <row r="111">
      <c r="A111" s="55" t="s">
        <v>581</v>
      </c>
      <c r="B111" s="52"/>
      <c r="C111" s="9" t="s">
        <v>499</v>
      </c>
      <c r="D111" s="26"/>
      <c r="E111" s="26"/>
      <c r="F111" s="9"/>
      <c r="G111" s="5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</row>
    <row r="112">
      <c r="A112" s="55" t="s">
        <v>582</v>
      </c>
      <c r="B112" s="53"/>
      <c r="C112" s="9" t="s">
        <v>499</v>
      </c>
      <c r="D112" s="26"/>
      <c r="E112" s="26"/>
      <c r="F112" s="9"/>
      <c r="G112" s="5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</row>
    <row r="113">
      <c r="A113" s="55" t="s">
        <v>583</v>
      </c>
      <c r="B113" s="53"/>
      <c r="C113" s="9" t="s">
        <v>499</v>
      </c>
      <c r="D113" s="26"/>
      <c r="E113" s="26"/>
      <c r="F113" s="9"/>
      <c r="G113" s="5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</row>
    <row r="114">
      <c r="A114" s="55" t="s">
        <v>584</v>
      </c>
      <c r="B114" s="53"/>
      <c r="C114" s="9" t="s">
        <v>499</v>
      </c>
      <c r="D114" s="26"/>
      <c r="E114" s="26"/>
      <c r="F114" s="9"/>
      <c r="G114" s="5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</row>
    <row r="115">
      <c r="A115" s="55" t="s">
        <v>585</v>
      </c>
      <c r="B115" s="53"/>
      <c r="C115" s="9" t="s">
        <v>499</v>
      </c>
      <c r="D115" s="26"/>
      <c r="E115" s="26"/>
      <c r="F115" s="9"/>
      <c r="G115" s="5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</row>
    <row r="116">
      <c r="A116" s="55" t="s">
        <v>586</v>
      </c>
      <c r="B116" s="52"/>
      <c r="C116" s="9" t="s">
        <v>499</v>
      </c>
      <c r="D116" s="26"/>
      <c r="E116" s="26"/>
      <c r="F116" s="9"/>
      <c r="G116" s="5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</row>
    <row r="117">
      <c r="A117" s="55" t="s">
        <v>587</v>
      </c>
      <c r="B117" s="52"/>
      <c r="C117" s="9" t="s">
        <v>499</v>
      </c>
      <c r="D117" s="26"/>
      <c r="E117" s="26"/>
      <c r="F117" s="9"/>
      <c r="G117" s="5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</row>
    <row r="118">
      <c r="A118" s="55" t="s">
        <v>588</v>
      </c>
      <c r="B118" s="52"/>
      <c r="C118" s="9" t="s">
        <v>499</v>
      </c>
      <c r="D118" s="26"/>
      <c r="E118" s="26"/>
      <c r="F118" s="9"/>
      <c r="G118" s="5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</row>
    <row r="119">
      <c r="A119" s="55" t="s">
        <v>589</v>
      </c>
      <c r="B119" s="53"/>
      <c r="C119" s="9" t="s">
        <v>499</v>
      </c>
      <c r="D119" s="26"/>
      <c r="E119" s="26"/>
      <c r="F119" s="9"/>
      <c r="G119" s="5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</row>
    <row r="120">
      <c r="A120" s="55" t="s">
        <v>590</v>
      </c>
      <c r="B120" s="53"/>
      <c r="C120" s="9" t="s">
        <v>499</v>
      </c>
      <c r="D120" s="26"/>
      <c r="E120" s="26"/>
      <c r="F120" s="9"/>
      <c r="G120" s="5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</row>
    <row r="121">
      <c r="A121" s="55" t="s">
        <v>591</v>
      </c>
      <c r="B121" s="53"/>
      <c r="C121" s="9" t="s">
        <v>499</v>
      </c>
      <c r="D121" s="26"/>
      <c r="E121" s="26"/>
      <c r="F121" s="9"/>
      <c r="G121" s="5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</row>
    <row r="122">
      <c r="A122" s="55" t="s">
        <v>592</v>
      </c>
      <c r="B122" s="53"/>
      <c r="C122" s="9" t="s">
        <v>499</v>
      </c>
      <c r="D122" s="54"/>
      <c r="E122" s="54"/>
      <c r="F122" s="9"/>
      <c r="G122" s="5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</row>
    <row r="123">
      <c r="A123" s="55" t="s">
        <v>593</v>
      </c>
      <c r="B123" s="52"/>
      <c r="C123" s="9" t="s">
        <v>499</v>
      </c>
      <c r="D123" s="26"/>
      <c r="E123" s="26"/>
      <c r="F123" s="9"/>
      <c r="G123" s="5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</row>
    <row r="124">
      <c r="A124" s="55" t="s">
        <v>594</v>
      </c>
      <c r="B124" s="52"/>
      <c r="C124" s="9" t="s">
        <v>499</v>
      </c>
      <c r="D124" s="26"/>
      <c r="E124" s="26"/>
      <c r="F124" s="9"/>
      <c r="G124" s="5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</row>
    <row r="125">
      <c r="A125" s="55"/>
      <c r="B125" s="52"/>
      <c r="C125" s="9"/>
      <c r="D125" s="26"/>
      <c r="E125" s="26"/>
      <c r="F125" s="9"/>
      <c r="G125" s="5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</row>
    <row r="126">
      <c r="A126" s="51"/>
      <c r="B126" s="52"/>
      <c r="C126" s="9"/>
      <c r="D126" s="26"/>
      <c r="E126" s="26"/>
      <c r="F126" s="9"/>
      <c r="G126" s="5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</row>
    <row r="127">
      <c r="A127" s="51"/>
      <c r="B127" s="52"/>
      <c r="C127" s="9"/>
      <c r="D127" s="26"/>
      <c r="E127" s="26"/>
      <c r="F127" s="9"/>
      <c r="G127" s="5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</row>
    <row r="128">
      <c r="A128" s="51"/>
      <c r="B128" s="52"/>
      <c r="C128" s="9"/>
      <c r="D128" s="26"/>
      <c r="E128" s="26"/>
      <c r="F128" s="9"/>
      <c r="G128" s="5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</row>
    <row r="129">
      <c r="A129" s="51"/>
      <c r="B129" s="52"/>
      <c r="C129" s="9"/>
      <c r="D129" s="26"/>
      <c r="E129" s="26"/>
      <c r="F129" s="9"/>
      <c r="G129" s="5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</row>
    <row r="130">
      <c r="A130" s="51"/>
      <c r="B130" s="53"/>
      <c r="C130" s="9"/>
      <c r="D130" s="26"/>
      <c r="E130" s="26"/>
      <c r="F130" s="9"/>
      <c r="G130" s="5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</row>
    <row r="131">
      <c r="A131" s="51"/>
      <c r="B131" s="52"/>
      <c r="C131" s="9"/>
      <c r="D131" s="26"/>
      <c r="E131" s="26"/>
      <c r="F131" s="9"/>
      <c r="G131" s="5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</row>
    <row r="132">
      <c r="A132" s="51"/>
      <c r="B132" s="52"/>
      <c r="C132" s="9"/>
      <c r="D132" s="26"/>
      <c r="E132" s="26"/>
      <c r="F132" s="9"/>
      <c r="G132" s="5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</row>
    <row r="133">
      <c r="A133" s="51"/>
      <c r="B133" s="52"/>
      <c r="C133" s="9"/>
      <c r="D133" s="26"/>
      <c r="E133" s="26"/>
      <c r="F133" s="9"/>
      <c r="G133" s="5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</row>
    <row r="134">
      <c r="A134" s="51"/>
      <c r="B134" s="52"/>
      <c r="C134" s="9"/>
      <c r="D134" s="26"/>
      <c r="E134" s="26"/>
      <c r="F134" s="9"/>
      <c r="G134" s="5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</row>
    <row r="135">
      <c r="A135" s="51"/>
      <c r="B135" s="52"/>
      <c r="C135" s="9"/>
      <c r="D135" s="26"/>
      <c r="E135" s="26"/>
      <c r="F135" s="9"/>
      <c r="G135" s="5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</row>
    <row r="136">
      <c r="A136" s="51"/>
      <c r="B136" s="52"/>
      <c r="C136" s="9"/>
      <c r="D136" s="26"/>
      <c r="E136" s="26"/>
      <c r="F136" s="9"/>
      <c r="G136" s="5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</row>
    <row r="137">
      <c r="A137" s="51"/>
      <c r="B137" s="52"/>
      <c r="C137" s="9"/>
      <c r="D137" s="26"/>
      <c r="E137" s="26"/>
      <c r="F137" s="9"/>
      <c r="G137" s="5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</row>
    <row r="138">
      <c r="A138" s="51"/>
      <c r="B138" s="52"/>
      <c r="C138" s="9"/>
      <c r="D138" s="26"/>
      <c r="E138" s="26"/>
      <c r="F138" s="9"/>
      <c r="G138" s="5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</row>
    <row r="139">
      <c r="A139" s="51"/>
      <c r="B139" s="52"/>
      <c r="C139" s="9"/>
      <c r="D139" s="26"/>
      <c r="E139" s="26"/>
      <c r="F139" s="9"/>
      <c r="G139" s="5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</row>
    <row r="140">
      <c r="A140" s="51"/>
      <c r="B140" s="52"/>
      <c r="C140" s="9"/>
      <c r="D140" s="26"/>
      <c r="E140" s="26"/>
      <c r="F140" s="9"/>
      <c r="G140" s="5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</row>
    <row r="141">
      <c r="A141" s="51"/>
      <c r="B141" s="52"/>
      <c r="C141" s="9"/>
      <c r="D141" s="26"/>
      <c r="E141" s="26"/>
      <c r="F141" s="9"/>
      <c r="G141" s="5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</row>
    <row r="142">
      <c r="A142" s="51"/>
      <c r="B142" s="52"/>
      <c r="C142" s="9"/>
      <c r="D142" s="26"/>
      <c r="E142" s="26"/>
      <c r="F142" s="9"/>
      <c r="G142" s="5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</row>
    <row r="143">
      <c r="A143" s="51"/>
      <c r="B143" s="52"/>
      <c r="C143" s="9"/>
      <c r="D143" s="26"/>
      <c r="E143" s="26"/>
      <c r="F143" s="9"/>
      <c r="G143" s="5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</row>
    <row r="144">
      <c r="A144" s="51"/>
      <c r="B144" s="53"/>
      <c r="C144" s="9"/>
      <c r="D144" s="26"/>
      <c r="E144" s="26"/>
      <c r="F144" s="9"/>
      <c r="G144" s="5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</row>
    <row r="145">
      <c r="A145" s="51"/>
      <c r="B145" s="53"/>
      <c r="C145" s="9"/>
      <c r="D145" s="26"/>
      <c r="E145" s="26"/>
      <c r="F145" s="9"/>
      <c r="G145" s="5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</row>
    <row r="146">
      <c r="A146" s="51"/>
      <c r="B146" s="52"/>
      <c r="C146" s="9"/>
      <c r="D146" s="26"/>
      <c r="E146" s="26"/>
      <c r="F146" s="9"/>
      <c r="G146" s="5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</row>
    <row r="147">
      <c r="A147" s="51"/>
      <c r="B147" s="52"/>
      <c r="C147" s="9"/>
      <c r="D147" s="26"/>
      <c r="E147" s="26"/>
      <c r="F147" s="9"/>
      <c r="G147" s="5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</row>
    <row r="148">
      <c r="A148" s="51"/>
      <c r="B148" s="52"/>
      <c r="C148" s="9"/>
      <c r="D148" s="26"/>
      <c r="E148" s="26"/>
      <c r="F148" s="9"/>
      <c r="G148" s="5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</row>
    <row r="149">
      <c r="A149" s="51"/>
      <c r="B149" s="52"/>
      <c r="C149" s="9"/>
      <c r="D149" s="26"/>
      <c r="E149" s="26"/>
      <c r="F149" s="9"/>
      <c r="G149" s="5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</row>
    <row r="150">
      <c r="A150" s="51"/>
      <c r="B150" s="52"/>
      <c r="C150" s="9"/>
      <c r="D150" s="26"/>
      <c r="E150" s="26"/>
      <c r="F150" s="9"/>
      <c r="G150" s="5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</row>
    <row r="151">
      <c r="A151" s="51"/>
      <c r="B151" s="52"/>
      <c r="C151" s="9"/>
      <c r="D151" s="26"/>
      <c r="E151" s="26"/>
      <c r="F151" s="9"/>
      <c r="G151" s="5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</row>
    <row r="152">
      <c r="A152" s="51"/>
      <c r="B152" s="52"/>
      <c r="C152" s="9"/>
      <c r="D152" s="26"/>
      <c r="E152" s="26"/>
      <c r="F152" s="9"/>
      <c r="G152" s="5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</row>
    <row r="153">
      <c r="A153" s="51"/>
      <c r="B153" s="52"/>
      <c r="C153" s="9"/>
      <c r="D153" s="26"/>
      <c r="E153" s="26"/>
      <c r="F153" s="9"/>
      <c r="G153" s="5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</row>
    <row r="154">
      <c r="A154" s="51"/>
      <c r="B154" s="52"/>
      <c r="C154" s="9"/>
      <c r="D154" s="26"/>
      <c r="E154" s="26"/>
      <c r="F154" s="9"/>
      <c r="G154" s="5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</row>
    <row r="155">
      <c r="A155" s="51"/>
      <c r="B155" s="52"/>
      <c r="C155" s="9"/>
      <c r="D155" s="26"/>
      <c r="E155" s="26"/>
      <c r="F155" s="9"/>
      <c r="G155" s="5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</row>
    <row r="156">
      <c r="A156" s="51"/>
      <c r="B156" s="52"/>
      <c r="C156" s="9"/>
      <c r="D156" s="26"/>
      <c r="E156" s="26"/>
      <c r="F156" s="9"/>
      <c r="G156" s="5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</row>
    <row r="157">
      <c r="A157" s="51"/>
      <c r="B157" s="52"/>
      <c r="C157" s="9"/>
      <c r="D157" s="26"/>
      <c r="E157" s="26"/>
      <c r="F157" s="9"/>
      <c r="G157" s="5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</row>
    <row r="158">
      <c r="A158" s="51"/>
      <c r="B158" s="52"/>
      <c r="C158" s="9"/>
      <c r="D158" s="26"/>
      <c r="E158" s="26"/>
      <c r="F158" s="9"/>
      <c r="G158" s="5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</row>
    <row r="159">
      <c r="A159" s="51"/>
      <c r="B159" s="52"/>
      <c r="C159" s="9"/>
      <c r="D159" s="26"/>
      <c r="E159" s="26"/>
      <c r="F159" s="9"/>
      <c r="G159" s="5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</row>
    <row r="160">
      <c r="A160" s="51"/>
      <c r="B160" s="52"/>
      <c r="C160" s="9"/>
      <c r="D160" s="26"/>
      <c r="E160" s="26"/>
      <c r="F160" s="9"/>
      <c r="G160" s="5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</row>
    <row r="161">
      <c r="A161" s="51"/>
      <c r="B161" s="52"/>
      <c r="C161" s="9"/>
      <c r="D161" s="26"/>
      <c r="E161" s="26"/>
      <c r="F161" s="9"/>
      <c r="G161" s="5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</row>
    <row r="162">
      <c r="A162" s="51"/>
      <c r="B162" s="52"/>
      <c r="C162" s="9"/>
      <c r="D162" s="26"/>
      <c r="E162" s="26"/>
      <c r="F162" s="9"/>
      <c r="G162" s="5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</row>
    <row r="163">
      <c r="A163" s="51"/>
      <c r="B163" s="52"/>
      <c r="C163" s="9"/>
      <c r="D163" s="26"/>
      <c r="E163" s="26"/>
      <c r="F163" s="9"/>
      <c r="G163" s="5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</row>
    <row r="164">
      <c r="A164" s="51"/>
      <c r="B164" s="52"/>
      <c r="C164" s="9"/>
      <c r="D164" s="26"/>
      <c r="E164" s="26"/>
      <c r="F164" s="9"/>
      <c r="G164" s="5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</row>
    <row r="165">
      <c r="A165" s="51"/>
      <c r="B165" s="53"/>
      <c r="C165" s="9"/>
      <c r="D165" s="26"/>
      <c r="E165" s="26"/>
      <c r="F165" s="9"/>
      <c r="G165" s="5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</row>
    <row r="166">
      <c r="A166" s="51"/>
      <c r="B166" s="52"/>
      <c r="C166" s="9"/>
      <c r="D166" s="26"/>
      <c r="E166" s="26"/>
      <c r="F166" s="9"/>
      <c r="G166" s="5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</row>
    <row r="167">
      <c r="A167" s="51"/>
      <c r="B167" s="53"/>
      <c r="C167" s="9"/>
      <c r="D167" s="26"/>
      <c r="E167" s="26"/>
      <c r="F167" s="9"/>
      <c r="G167" s="5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</row>
    <row r="168">
      <c r="A168" s="51"/>
      <c r="B168" s="53"/>
      <c r="C168" s="9"/>
      <c r="D168" s="26"/>
      <c r="E168" s="26"/>
      <c r="F168" s="9"/>
      <c r="G168" s="5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</row>
    <row r="169">
      <c r="A169" s="51"/>
      <c r="B169" s="52"/>
      <c r="C169" s="9"/>
      <c r="D169" s="26"/>
      <c r="E169" s="26"/>
      <c r="F169" s="9"/>
      <c r="G169" s="5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</row>
    <row r="170">
      <c r="A170" s="51"/>
      <c r="B170" s="52"/>
      <c r="C170" s="9"/>
      <c r="D170" s="26"/>
      <c r="E170" s="26"/>
      <c r="F170" s="9"/>
      <c r="G170" s="5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</row>
    <row r="171">
      <c r="A171" s="51"/>
      <c r="B171" s="52"/>
      <c r="C171" s="9"/>
      <c r="D171" s="26"/>
      <c r="E171" s="26"/>
      <c r="F171" s="9"/>
      <c r="G171" s="5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</row>
    <row r="172">
      <c r="A172" s="51"/>
      <c r="B172" s="52"/>
      <c r="C172" s="9"/>
      <c r="D172" s="26"/>
      <c r="E172" s="26"/>
      <c r="F172" s="9"/>
      <c r="G172" s="5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</row>
    <row r="173">
      <c r="A173" s="51"/>
      <c r="B173" s="52"/>
      <c r="C173" s="9"/>
      <c r="D173" s="26"/>
      <c r="E173" s="26"/>
      <c r="F173" s="9"/>
      <c r="G173" s="5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</row>
    <row r="174">
      <c r="A174" s="51"/>
      <c r="B174" s="52"/>
      <c r="C174" s="9"/>
      <c r="D174" s="26"/>
      <c r="E174" s="26"/>
      <c r="F174" s="9"/>
      <c r="G174" s="5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</row>
    <row r="175">
      <c r="A175" s="51"/>
      <c r="B175" s="52"/>
      <c r="C175" s="9"/>
      <c r="D175" s="26"/>
      <c r="E175" s="26"/>
      <c r="F175" s="9"/>
      <c r="G175" s="5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</row>
    <row r="176">
      <c r="A176" s="51"/>
      <c r="B176" s="52"/>
      <c r="C176" s="9"/>
      <c r="D176" s="26"/>
      <c r="E176" s="26"/>
      <c r="F176" s="9"/>
      <c r="G176" s="5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</row>
    <row r="177">
      <c r="A177" s="51"/>
      <c r="B177" s="52"/>
      <c r="C177" s="9"/>
      <c r="D177" s="26"/>
      <c r="E177" s="26"/>
      <c r="F177" s="9"/>
      <c r="G177" s="5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</row>
    <row r="178">
      <c r="A178" s="51"/>
      <c r="B178" s="52"/>
      <c r="C178" s="9"/>
      <c r="D178" s="26"/>
      <c r="E178" s="26"/>
      <c r="F178" s="9"/>
      <c r="G178" s="5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</row>
    <row r="179">
      <c r="A179" s="51"/>
      <c r="B179" s="52"/>
      <c r="C179" s="9"/>
      <c r="D179" s="26"/>
      <c r="E179" s="26"/>
      <c r="F179" s="9"/>
      <c r="G179" s="5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</row>
    <row r="180">
      <c r="A180" s="51"/>
      <c r="B180" s="52"/>
      <c r="C180" s="9"/>
      <c r="D180" s="26"/>
      <c r="E180" s="26"/>
      <c r="F180" s="9"/>
      <c r="G180" s="5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</row>
    <row r="181">
      <c r="A181" s="51"/>
      <c r="B181" s="52"/>
      <c r="C181" s="9"/>
      <c r="D181" s="26"/>
      <c r="E181" s="26"/>
      <c r="F181" s="9"/>
      <c r="G181" s="5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</row>
    <row r="182">
      <c r="A182" s="51"/>
      <c r="B182" s="52"/>
      <c r="C182" s="9"/>
      <c r="D182" s="26"/>
      <c r="E182" s="26"/>
      <c r="F182" s="9"/>
      <c r="G182" s="5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</row>
    <row r="183">
      <c r="A183" s="51"/>
      <c r="B183" s="52"/>
      <c r="C183" s="9"/>
      <c r="D183" s="26"/>
      <c r="E183" s="26"/>
      <c r="F183" s="9"/>
      <c r="G183" s="5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</row>
    <row r="184">
      <c r="A184" s="51"/>
      <c r="B184" s="52"/>
      <c r="C184" s="9"/>
      <c r="D184" s="26"/>
      <c r="E184" s="26"/>
      <c r="F184" s="9"/>
      <c r="G184" s="5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</row>
    <row r="185">
      <c r="A185" s="51"/>
      <c r="B185" s="52"/>
      <c r="C185" s="9"/>
      <c r="D185" s="26"/>
      <c r="E185" s="26"/>
      <c r="F185" s="9"/>
      <c r="G185" s="5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</row>
    <row r="186">
      <c r="A186" s="51"/>
      <c r="B186" s="52"/>
      <c r="C186" s="9"/>
      <c r="D186" s="26"/>
      <c r="E186" s="26"/>
      <c r="F186" s="9"/>
      <c r="G186" s="5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</row>
    <row r="187">
      <c r="A187" s="51"/>
      <c r="B187" s="52"/>
      <c r="C187" s="9"/>
      <c r="D187" s="26"/>
      <c r="E187" s="26"/>
      <c r="F187" s="9"/>
      <c r="G187" s="5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</row>
    <row r="188">
      <c r="A188" s="51"/>
      <c r="B188" s="52"/>
      <c r="C188" s="9"/>
      <c r="D188" s="26"/>
      <c r="E188" s="26"/>
      <c r="F188" s="9"/>
      <c r="G188" s="5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</row>
    <row r="189">
      <c r="A189" s="51"/>
      <c r="B189" s="52"/>
      <c r="C189" s="9"/>
      <c r="D189" s="26"/>
      <c r="E189" s="26"/>
      <c r="F189" s="9"/>
      <c r="G189" s="5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</row>
    <row r="190">
      <c r="A190" s="51"/>
      <c r="B190" s="52"/>
      <c r="C190" s="9"/>
      <c r="D190" s="26"/>
      <c r="E190" s="26"/>
      <c r="F190" s="9"/>
      <c r="G190" s="5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</row>
    <row r="191">
      <c r="A191" s="51"/>
      <c r="B191" s="52"/>
      <c r="C191" s="9"/>
      <c r="D191" s="26"/>
      <c r="E191" s="26"/>
      <c r="F191" s="9"/>
      <c r="G191" s="5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</row>
    <row r="192">
      <c r="A192" s="51"/>
      <c r="B192" s="52"/>
      <c r="C192" s="9"/>
      <c r="D192" s="26"/>
      <c r="E192" s="26"/>
      <c r="F192" s="9"/>
      <c r="G192" s="5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</row>
    <row r="193">
      <c r="A193" s="51"/>
      <c r="B193" s="52"/>
      <c r="C193" s="9"/>
      <c r="D193" s="26"/>
      <c r="E193" s="26"/>
      <c r="F193" s="9"/>
      <c r="G193" s="5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</row>
    <row r="194">
      <c r="A194" s="51"/>
      <c r="B194" s="52"/>
      <c r="C194" s="9"/>
      <c r="D194" s="26"/>
      <c r="E194" s="26"/>
      <c r="F194" s="9"/>
      <c r="G194" s="5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</row>
    <row r="195">
      <c r="A195" s="51"/>
      <c r="B195" s="52"/>
      <c r="C195" s="9"/>
      <c r="D195" s="26"/>
      <c r="E195" s="26"/>
      <c r="F195" s="9"/>
      <c r="G195" s="5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</row>
    <row r="196">
      <c r="A196" s="51"/>
      <c r="B196" s="52"/>
      <c r="C196" s="9"/>
      <c r="D196" s="26"/>
      <c r="E196" s="26"/>
      <c r="F196" s="9"/>
      <c r="G196" s="5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</row>
    <row r="197">
      <c r="A197" s="51"/>
      <c r="B197" s="52"/>
      <c r="C197" s="9"/>
      <c r="D197" s="26"/>
      <c r="E197" s="26"/>
      <c r="F197" s="9"/>
      <c r="G197" s="5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</row>
    <row r="198">
      <c r="A198" s="51"/>
      <c r="B198" s="53"/>
      <c r="C198" s="9"/>
      <c r="D198" s="26"/>
      <c r="E198" s="26"/>
      <c r="F198" s="9"/>
      <c r="G198" s="5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</row>
    <row r="199">
      <c r="A199" s="51"/>
      <c r="B199" s="52"/>
      <c r="C199" s="9"/>
      <c r="D199" s="26"/>
      <c r="E199" s="26"/>
      <c r="F199" s="9"/>
      <c r="G199" s="5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</row>
    <row r="200">
      <c r="A200" s="51"/>
      <c r="B200" s="52"/>
      <c r="C200" s="9"/>
      <c r="D200" s="26"/>
      <c r="E200" s="26"/>
      <c r="F200" s="9"/>
      <c r="G200" s="5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</row>
    <row r="201">
      <c r="A201" s="51"/>
      <c r="B201" s="53"/>
      <c r="C201" s="9"/>
      <c r="D201" s="26"/>
      <c r="E201" s="26"/>
      <c r="F201" s="9"/>
      <c r="G201" s="5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</row>
    <row r="202">
      <c r="A202" s="51"/>
      <c r="B202" s="53"/>
      <c r="C202" s="9"/>
      <c r="D202" s="26"/>
      <c r="E202" s="26"/>
      <c r="F202" s="9"/>
      <c r="G202" s="5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</row>
    <row r="203">
      <c r="A203" s="51"/>
      <c r="B203" s="52"/>
      <c r="C203" s="9"/>
      <c r="D203" s="26"/>
      <c r="E203" s="26"/>
      <c r="F203" s="9"/>
      <c r="G203" s="5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</row>
    <row r="204">
      <c r="A204" s="51"/>
      <c r="B204" s="52"/>
      <c r="C204" s="9"/>
      <c r="D204" s="26"/>
      <c r="E204" s="26"/>
      <c r="F204" s="9"/>
      <c r="G204" s="5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</row>
    <row r="205">
      <c r="A205" s="51"/>
      <c r="B205" s="53"/>
      <c r="C205" s="9"/>
      <c r="D205" s="26"/>
      <c r="E205" s="26"/>
      <c r="F205" s="9"/>
      <c r="G205" s="5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</row>
    <row r="206">
      <c r="A206" s="51"/>
      <c r="B206" s="52"/>
      <c r="C206" s="9"/>
      <c r="D206" s="26"/>
      <c r="E206" s="26"/>
      <c r="F206" s="9"/>
      <c r="G206" s="5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</row>
    <row r="207">
      <c r="A207" s="9"/>
      <c r="B207" s="10"/>
      <c r="C207" s="9"/>
      <c r="D207" s="26"/>
      <c r="E207" s="26"/>
      <c r="F207" s="9"/>
      <c r="G207" s="5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</row>
    <row r="208">
      <c r="A208" s="9"/>
      <c r="B208" s="10"/>
      <c r="C208" s="9"/>
      <c r="D208" s="26"/>
      <c r="E208" s="26"/>
      <c r="F208" s="9"/>
      <c r="G208" s="5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</row>
    <row r="209">
      <c r="A209" s="9"/>
      <c r="B209" s="10"/>
      <c r="C209" s="9"/>
      <c r="D209" s="26"/>
      <c r="E209" s="26"/>
      <c r="F209" s="9"/>
      <c r="G209" s="5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</row>
    <row r="210">
      <c r="A210" s="9"/>
      <c r="B210" s="10"/>
      <c r="C210" s="9"/>
      <c r="D210" s="26"/>
      <c r="E210" s="26"/>
      <c r="F210" s="9"/>
      <c r="G210" s="5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</row>
    <row r="211">
      <c r="A211" s="9"/>
      <c r="B211" s="10"/>
      <c r="C211" s="9"/>
      <c r="D211" s="26"/>
      <c r="E211" s="26"/>
      <c r="F211" s="9"/>
      <c r="G211" s="5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</row>
    <row r="212">
      <c r="A212" s="9"/>
      <c r="B212" s="10"/>
      <c r="C212" s="9"/>
      <c r="D212" s="26"/>
      <c r="E212" s="26"/>
      <c r="F212" s="9"/>
      <c r="G212" s="5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</row>
    <row r="213">
      <c r="A213" s="9"/>
      <c r="B213" s="10"/>
      <c r="C213" s="9"/>
      <c r="D213" s="26"/>
      <c r="E213" s="26"/>
      <c r="F213" s="9"/>
      <c r="G213" s="5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</row>
    <row r="214">
      <c r="A214" s="9"/>
      <c r="B214" s="10"/>
      <c r="C214" s="9"/>
      <c r="D214" s="26"/>
      <c r="E214" s="26"/>
      <c r="F214" s="9"/>
      <c r="G214" s="5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</row>
    <row r="215">
      <c r="A215" s="9"/>
      <c r="B215" s="10"/>
      <c r="C215" s="9"/>
      <c r="D215" s="26"/>
      <c r="E215" s="26"/>
      <c r="F215" s="9"/>
      <c r="G215" s="5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</row>
    <row r="216">
      <c r="A216" s="9"/>
      <c r="B216" s="10"/>
      <c r="C216" s="9"/>
      <c r="D216" s="26"/>
      <c r="E216" s="26"/>
      <c r="F216" s="9"/>
      <c r="G216" s="5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</row>
    <row r="217">
      <c r="A217" s="9"/>
      <c r="B217" s="10"/>
      <c r="C217" s="9"/>
      <c r="D217" s="26"/>
      <c r="E217" s="26"/>
      <c r="F217" s="9"/>
      <c r="G217" s="5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</row>
    <row r="218">
      <c r="A218" s="9"/>
      <c r="B218" s="10"/>
      <c r="C218" s="9"/>
      <c r="D218" s="26"/>
      <c r="E218" s="26"/>
      <c r="F218" s="9"/>
      <c r="G218" s="5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</row>
    <row r="219">
      <c r="A219" s="9"/>
      <c r="B219" s="10"/>
      <c r="C219" s="9"/>
      <c r="D219" s="26"/>
      <c r="E219" s="26"/>
      <c r="F219" s="9"/>
      <c r="G219" s="5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</row>
    <row r="220">
      <c r="A220" s="9"/>
      <c r="B220" s="10"/>
      <c r="C220" s="9"/>
      <c r="D220" s="26"/>
      <c r="E220" s="26"/>
      <c r="F220" s="9"/>
      <c r="G220" s="5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</row>
    <row r="221">
      <c r="A221" s="9"/>
      <c r="B221" s="10"/>
      <c r="C221" s="9"/>
      <c r="D221" s="26"/>
      <c r="E221" s="26"/>
      <c r="F221" s="9"/>
      <c r="G221" s="5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</row>
    <row r="222">
      <c r="A222" s="9"/>
      <c r="B222" s="10"/>
      <c r="C222" s="9"/>
      <c r="D222" s="26"/>
      <c r="E222" s="26"/>
      <c r="F222" s="9"/>
      <c r="G222" s="5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</row>
    <row r="223">
      <c r="A223" s="9"/>
      <c r="B223" s="10"/>
      <c r="C223" s="9"/>
      <c r="D223" s="26"/>
      <c r="E223" s="26"/>
      <c r="F223" s="9"/>
      <c r="G223" s="5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</row>
    <row r="224">
      <c r="A224" s="9"/>
      <c r="B224" s="10"/>
      <c r="C224" s="9"/>
      <c r="D224" s="26"/>
      <c r="E224" s="26"/>
      <c r="F224" s="9"/>
      <c r="G224" s="5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</row>
    <row r="225">
      <c r="A225" s="9"/>
      <c r="B225" s="10"/>
      <c r="C225" s="9"/>
      <c r="D225" s="26"/>
      <c r="E225" s="26"/>
      <c r="F225" s="9"/>
      <c r="G225" s="5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</row>
    <row r="226">
      <c r="A226" s="9"/>
      <c r="B226" s="10"/>
      <c r="C226" s="9"/>
      <c r="D226" s="26"/>
      <c r="E226" s="26"/>
      <c r="F226" s="9"/>
      <c r="G226" s="5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</row>
    <row r="227">
      <c r="A227" s="9"/>
      <c r="B227" s="10"/>
      <c r="C227" s="9"/>
      <c r="D227" s="26"/>
      <c r="E227" s="26"/>
      <c r="F227" s="9"/>
      <c r="G227" s="5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</row>
    <row r="228">
      <c r="A228" s="9"/>
      <c r="B228" s="10"/>
      <c r="C228" s="9"/>
      <c r="D228" s="26"/>
      <c r="E228" s="26"/>
      <c r="F228" s="9"/>
      <c r="G228" s="5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</row>
    <row r="229">
      <c r="A229" s="9"/>
      <c r="B229" s="10"/>
      <c r="C229" s="9"/>
      <c r="D229" s="26"/>
      <c r="E229" s="26"/>
      <c r="F229" s="9"/>
      <c r="G229" s="5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</row>
    <row r="230">
      <c r="A230" s="9"/>
      <c r="B230" s="10"/>
      <c r="C230" s="9"/>
      <c r="D230" s="26"/>
      <c r="E230" s="26"/>
      <c r="F230" s="9"/>
      <c r="G230" s="5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</row>
    <row r="231">
      <c r="A231" s="9"/>
      <c r="B231" s="10"/>
      <c r="C231" s="9"/>
      <c r="D231" s="26"/>
      <c r="E231" s="26"/>
      <c r="F231" s="9"/>
      <c r="G231" s="5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</row>
    <row r="232">
      <c r="A232" s="9"/>
      <c r="B232" s="10"/>
      <c r="C232" s="9"/>
      <c r="D232" s="26"/>
      <c r="E232" s="26"/>
      <c r="F232" s="9"/>
      <c r="G232" s="5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</row>
    <row r="233">
      <c r="A233" s="9"/>
      <c r="B233" s="10"/>
      <c r="C233" s="9"/>
      <c r="D233" s="26"/>
      <c r="E233" s="26"/>
      <c r="F233" s="9"/>
      <c r="G233" s="5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</row>
    <row r="234">
      <c r="A234" s="9"/>
      <c r="B234" s="10"/>
      <c r="C234" s="9"/>
      <c r="D234" s="26"/>
      <c r="E234" s="26"/>
      <c r="F234" s="9"/>
      <c r="G234" s="5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</row>
    <row r="235">
      <c r="A235" s="9"/>
      <c r="B235" s="10"/>
      <c r="C235" s="9"/>
      <c r="D235" s="26"/>
      <c r="E235" s="26"/>
      <c r="F235" s="9"/>
      <c r="G235" s="5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29.0"/>
    <col customWidth="1" min="4" max="4" width="16.88"/>
    <col customWidth="1" min="5" max="5" width="26.13"/>
    <col customWidth="1" min="6" max="6" width="14.75"/>
    <col customWidth="1" min="10" max="10" width="20.75"/>
    <col hidden="1" min="11" max="16" width="12.63"/>
  </cols>
  <sheetData>
    <row r="1">
      <c r="A1" s="56" t="s">
        <v>595</v>
      </c>
      <c r="B1" s="56" t="s">
        <v>1</v>
      </c>
      <c r="C1" s="57" t="s">
        <v>246</v>
      </c>
      <c r="D1" s="55" t="s">
        <v>248</v>
      </c>
      <c r="E1" s="58" t="s">
        <v>249</v>
      </c>
      <c r="F1" s="58" t="s">
        <v>250</v>
      </c>
      <c r="G1" s="11" t="s">
        <v>251</v>
      </c>
      <c r="K1" s="59"/>
      <c r="Q1" s="60"/>
    </row>
    <row r="2">
      <c r="A2" s="61" t="s">
        <v>596</v>
      </c>
      <c r="B2" s="25">
        <v>5421.0</v>
      </c>
      <c r="C2" s="62">
        <v>0.08</v>
      </c>
      <c r="D2" s="63">
        <v>0.69</v>
      </c>
      <c r="E2" s="63">
        <v>0.69</v>
      </c>
      <c r="F2" s="64" t="s">
        <v>254</v>
      </c>
      <c r="G2" s="59">
        <v>47848.0</v>
      </c>
      <c r="H2" s="39"/>
      <c r="K2" s="65" t="s">
        <v>595</v>
      </c>
      <c r="L2" s="66" t="s">
        <v>1</v>
      </c>
      <c r="M2" s="7" t="s">
        <v>252</v>
      </c>
      <c r="N2" s="7"/>
      <c r="O2" s="66" t="s">
        <v>1</v>
      </c>
      <c r="P2" s="65" t="str">
        <f>"Empty codes:"&amp; COUNTBLANK(L3:L968)</f>
        <v>Empty codes:789</v>
      </c>
    </row>
    <row r="3">
      <c r="A3" s="67" t="s">
        <v>597</v>
      </c>
      <c r="B3" s="25">
        <v>7033.0</v>
      </c>
      <c r="C3" s="62">
        <v>0.08</v>
      </c>
      <c r="D3" s="63">
        <v>0.69</v>
      </c>
      <c r="E3" s="63">
        <v>0.69</v>
      </c>
      <c r="F3" s="64" t="s">
        <v>254</v>
      </c>
      <c r="G3" s="59">
        <v>47848.0</v>
      </c>
      <c r="H3" s="39"/>
      <c r="K3" s="68" t="s">
        <v>596</v>
      </c>
      <c r="L3" s="69">
        <v>5421.0</v>
      </c>
      <c r="M3" s="70" t="e">
        <v>#N/A</v>
      </c>
      <c r="N3" s="7"/>
      <c r="O3" s="7"/>
      <c r="P3" s="71"/>
    </row>
    <row r="4">
      <c r="A4" s="67" t="s">
        <v>598</v>
      </c>
      <c r="B4" s="25">
        <v>6947.0</v>
      </c>
      <c r="C4" s="62">
        <v>0.08</v>
      </c>
      <c r="D4" s="63">
        <v>0.69</v>
      </c>
      <c r="E4" s="63">
        <v>0.69</v>
      </c>
      <c r="F4" s="64" t="s">
        <v>254</v>
      </c>
      <c r="G4" s="59">
        <v>47848.0</v>
      </c>
      <c r="H4" s="39"/>
      <c r="K4" s="65" t="s">
        <v>597</v>
      </c>
      <c r="L4" s="66">
        <v>7033.0</v>
      </c>
      <c r="M4" s="72">
        <v>1.0</v>
      </c>
      <c r="N4" s="7"/>
      <c r="O4" s="66">
        <v>7033.0</v>
      </c>
      <c r="P4" s="71"/>
    </row>
    <row r="5">
      <c r="A5" s="67" t="s">
        <v>599</v>
      </c>
      <c r="B5" s="25">
        <v>6947.0</v>
      </c>
      <c r="C5" s="62">
        <v>0.08</v>
      </c>
      <c r="D5" s="63">
        <v>0.69</v>
      </c>
      <c r="E5" s="63">
        <v>0.69</v>
      </c>
      <c r="F5" s="64" t="s">
        <v>254</v>
      </c>
      <c r="G5" s="59">
        <v>47848.0</v>
      </c>
      <c r="H5" s="39"/>
      <c r="K5" s="65" t="s">
        <v>598</v>
      </c>
      <c r="L5" s="66">
        <v>6947.0</v>
      </c>
      <c r="M5" s="72">
        <v>1.0</v>
      </c>
      <c r="N5" s="7"/>
      <c r="O5" s="7"/>
      <c r="P5" s="71"/>
    </row>
    <row r="6">
      <c r="A6" s="67" t="s">
        <v>600</v>
      </c>
      <c r="B6" s="25">
        <v>6947.0</v>
      </c>
      <c r="C6" s="62">
        <v>0.08</v>
      </c>
      <c r="D6" s="63">
        <v>0.69</v>
      </c>
      <c r="E6" s="63">
        <v>0.69</v>
      </c>
      <c r="F6" s="64" t="s">
        <v>254</v>
      </c>
      <c r="G6" s="59">
        <v>47848.0</v>
      </c>
      <c r="H6" s="39"/>
      <c r="K6" s="65" t="s">
        <v>599</v>
      </c>
      <c r="L6" s="66">
        <v>6947.0</v>
      </c>
      <c r="M6" s="72">
        <v>1.0</v>
      </c>
      <c r="N6" s="7"/>
      <c r="O6" s="7"/>
      <c r="P6" s="71"/>
    </row>
    <row r="7">
      <c r="A7" s="67" t="s">
        <v>601</v>
      </c>
      <c r="B7" s="25">
        <v>663.0</v>
      </c>
      <c r="C7" s="62">
        <v>0.08</v>
      </c>
      <c r="D7" s="63">
        <v>0.69</v>
      </c>
      <c r="E7" s="63">
        <v>0.69</v>
      </c>
      <c r="F7" s="64" t="s">
        <v>254</v>
      </c>
      <c r="G7" s="59">
        <v>47848.0</v>
      </c>
      <c r="H7" s="29"/>
      <c r="K7" s="65" t="s">
        <v>600</v>
      </c>
      <c r="L7" s="66">
        <v>6947.0</v>
      </c>
      <c r="M7" s="72">
        <v>1.0</v>
      </c>
      <c r="N7" s="7"/>
      <c r="O7" s="7"/>
      <c r="P7" s="71"/>
    </row>
    <row r="8">
      <c r="A8" s="67" t="s">
        <v>602</v>
      </c>
      <c r="B8" s="25">
        <v>663.0</v>
      </c>
      <c r="C8" s="62">
        <v>0.08</v>
      </c>
      <c r="D8" s="63">
        <v>0.69</v>
      </c>
      <c r="E8" s="63">
        <v>0.69</v>
      </c>
      <c r="F8" s="64" t="s">
        <v>254</v>
      </c>
      <c r="G8" s="59">
        <v>47848.0</v>
      </c>
      <c r="H8" s="29"/>
      <c r="K8" s="73" t="s">
        <v>601</v>
      </c>
      <c r="L8" s="69">
        <v>663.0</v>
      </c>
      <c r="M8" s="70" t="e">
        <v>#N/A</v>
      </c>
      <c r="N8" s="7"/>
      <c r="O8" s="66">
        <v>663.0</v>
      </c>
      <c r="P8" s="71"/>
    </row>
    <row r="9">
      <c r="A9" s="67" t="s">
        <v>603</v>
      </c>
      <c r="B9" s="25">
        <v>7747.0</v>
      </c>
      <c r="C9" s="62">
        <v>0.08</v>
      </c>
      <c r="D9" s="63">
        <v>0.69</v>
      </c>
      <c r="E9" s="63">
        <v>0.69</v>
      </c>
      <c r="F9" s="64" t="s">
        <v>254</v>
      </c>
      <c r="G9" s="59">
        <v>47848.0</v>
      </c>
      <c r="H9" s="29"/>
      <c r="K9" s="65" t="s">
        <v>602</v>
      </c>
      <c r="L9" s="66">
        <v>663.0</v>
      </c>
      <c r="M9" s="72">
        <v>1.0</v>
      </c>
      <c r="N9" s="7"/>
      <c r="O9" s="66">
        <v>663.0</v>
      </c>
      <c r="P9" s="71"/>
    </row>
    <row r="10">
      <c r="A10" s="67" t="s">
        <v>604</v>
      </c>
      <c r="B10" s="25">
        <v>7132.0</v>
      </c>
      <c r="C10" s="62">
        <v>0.08</v>
      </c>
      <c r="D10" s="63">
        <v>0.69</v>
      </c>
      <c r="E10" s="63">
        <v>0.69</v>
      </c>
      <c r="F10" s="64" t="s">
        <v>254</v>
      </c>
      <c r="G10" s="59">
        <v>47848.0</v>
      </c>
      <c r="H10" s="29"/>
      <c r="K10" s="73" t="s">
        <v>603</v>
      </c>
      <c r="L10" s="69">
        <v>7747.0</v>
      </c>
      <c r="M10" s="70" t="e">
        <v>#N/A</v>
      </c>
      <c r="N10" s="7"/>
      <c r="O10" s="7"/>
      <c r="P10" s="71"/>
    </row>
    <row r="11">
      <c r="A11" s="67" t="s">
        <v>605</v>
      </c>
      <c r="B11" s="25">
        <v>6772.0</v>
      </c>
      <c r="C11" s="62">
        <v>0.08</v>
      </c>
      <c r="D11" s="63">
        <v>0.69</v>
      </c>
      <c r="E11" s="63">
        <v>0.69</v>
      </c>
      <c r="F11" s="64" t="s">
        <v>254</v>
      </c>
      <c r="G11" s="59">
        <v>47848.0</v>
      </c>
      <c r="H11" s="29"/>
      <c r="K11" s="73" t="s">
        <v>604</v>
      </c>
      <c r="L11" s="69">
        <v>7132.0</v>
      </c>
      <c r="M11" s="70" t="e">
        <v>#N/A</v>
      </c>
      <c r="N11" s="7"/>
      <c r="O11" s="66">
        <v>7132.0</v>
      </c>
      <c r="P11" s="71"/>
    </row>
    <row r="12">
      <c r="A12" s="67" t="s">
        <v>606</v>
      </c>
      <c r="B12" s="25">
        <v>7246.0</v>
      </c>
      <c r="C12" s="62">
        <v>0.08</v>
      </c>
      <c r="D12" s="63">
        <v>0.69</v>
      </c>
      <c r="E12" s="63">
        <v>0.69</v>
      </c>
      <c r="F12" s="64" t="s">
        <v>254</v>
      </c>
      <c r="G12" s="59">
        <v>47848.0</v>
      </c>
      <c r="H12" s="29"/>
      <c r="K12" s="73" t="s">
        <v>605</v>
      </c>
      <c r="L12" s="69">
        <v>6772.0</v>
      </c>
      <c r="M12" s="70" t="e">
        <v>#N/A</v>
      </c>
      <c r="N12" s="7"/>
      <c r="O12" s="66">
        <v>6772.0</v>
      </c>
      <c r="P12" s="71"/>
    </row>
    <row r="13">
      <c r="A13" s="67" t="s">
        <v>607</v>
      </c>
      <c r="B13" s="25">
        <v>7134.0</v>
      </c>
      <c r="C13" s="62">
        <v>0.08</v>
      </c>
      <c r="D13" s="63">
        <v>0.69</v>
      </c>
      <c r="E13" s="63">
        <v>0.69</v>
      </c>
      <c r="F13" s="64" t="s">
        <v>254</v>
      </c>
      <c r="G13" s="59">
        <v>47848.0</v>
      </c>
      <c r="H13" s="29"/>
      <c r="K13" s="73" t="s">
        <v>606</v>
      </c>
      <c r="L13" s="69">
        <v>7246.0</v>
      </c>
      <c r="M13" s="70" t="e">
        <v>#N/A</v>
      </c>
      <c r="N13" s="7"/>
      <c r="O13" s="66">
        <v>7246.0</v>
      </c>
      <c r="P13" s="71"/>
    </row>
    <row r="14">
      <c r="A14" s="67" t="s">
        <v>608</v>
      </c>
      <c r="B14" s="25">
        <v>986.0</v>
      </c>
      <c r="C14" s="62">
        <v>0.08</v>
      </c>
      <c r="D14" s="63">
        <v>0.69</v>
      </c>
      <c r="E14" s="63">
        <v>0.69</v>
      </c>
      <c r="F14" s="64" t="s">
        <v>254</v>
      </c>
      <c r="G14" s="59">
        <v>47848.0</v>
      </c>
      <c r="H14" s="29"/>
      <c r="K14" s="73" t="s">
        <v>607</v>
      </c>
      <c r="L14" s="69">
        <v>7134.0</v>
      </c>
      <c r="M14" s="70" t="e">
        <v>#N/A</v>
      </c>
      <c r="N14" s="7"/>
      <c r="O14" s="7"/>
      <c r="P14" s="71"/>
    </row>
    <row r="15">
      <c r="A15" s="67" t="s">
        <v>609</v>
      </c>
      <c r="B15" s="25">
        <v>986.0</v>
      </c>
      <c r="C15" s="62">
        <v>0.08</v>
      </c>
      <c r="D15" s="63">
        <v>0.69</v>
      </c>
      <c r="E15" s="63">
        <v>0.69</v>
      </c>
      <c r="F15" s="64" t="s">
        <v>254</v>
      </c>
      <c r="G15" s="59">
        <v>47848.0</v>
      </c>
      <c r="H15" s="29"/>
      <c r="K15" s="73" t="s">
        <v>608</v>
      </c>
      <c r="L15" s="69">
        <v>986.0</v>
      </c>
      <c r="M15" s="70" t="e">
        <v>#N/A</v>
      </c>
      <c r="N15" s="7"/>
      <c r="O15" s="7"/>
      <c r="P15" s="71"/>
    </row>
    <row r="16">
      <c r="A16" s="67" t="s">
        <v>610</v>
      </c>
      <c r="B16" s="25">
        <v>986.0</v>
      </c>
      <c r="C16" s="62">
        <v>0.08</v>
      </c>
      <c r="D16" s="63">
        <v>0.69</v>
      </c>
      <c r="E16" s="63">
        <v>0.69</v>
      </c>
      <c r="F16" s="64" t="s">
        <v>254</v>
      </c>
      <c r="G16" s="59">
        <v>47848.0</v>
      </c>
      <c r="H16" s="29"/>
      <c r="K16" s="73" t="s">
        <v>609</v>
      </c>
      <c r="L16" s="69">
        <v>986.0</v>
      </c>
      <c r="M16" s="70" t="e">
        <v>#N/A</v>
      </c>
      <c r="N16" s="7"/>
      <c r="O16" s="7"/>
      <c r="P16" s="71"/>
    </row>
    <row r="17">
      <c r="A17" s="67" t="s">
        <v>611</v>
      </c>
      <c r="B17" s="25">
        <v>986.0</v>
      </c>
      <c r="C17" s="62">
        <v>0.08</v>
      </c>
      <c r="D17" s="63">
        <v>0.69</v>
      </c>
      <c r="E17" s="63">
        <v>0.69</v>
      </c>
      <c r="F17" s="64" t="s">
        <v>254</v>
      </c>
      <c r="G17" s="59">
        <v>47848.0</v>
      </c>
      <c r="H17" s="29"/>
      <c r="K17" s="73" t="s">
        <v>610</v>
      </c>
      <c r="L17" s="69">
        <v>986.0</v>
      </c>
      <c r="M17" s="70" t="e">
        <v>#N/A</v>
      </c>
      <c r="N17" s="7"/>
      <c r="O17" s="7"/>
      <c r="P17" s="71"/>
    </row>
    <row r="18">
      <c r="A18" s="67" t="s">
        <v>612</v>
      </c>
      <c r="B18" s="25">
        <v>986.0</v>
      </c>
      <c r="C18" s="62">
        <v>0.08</v>
      </c>
      <c r="D18" s="63">
        <v>0.69</v>
      </c>
      <c r="E18" s="63">
        <v>0.69</v>
      </c>
      <c r="F18" s="64" t="s">
        <v>254</v>
      </c>
      <c r="G18" s="59">
        <v>47848.0</v>
      </c>
      <c r="H18" s="29"/>
      <c r="K18" s="73" t="s">
        <v>611</v>
      </c>
      <c r="L18" s="69">
        <v>986.0</v>
      </c>
      <c r="M18" s="70" t="e">
        <v>#N/A</v>
      </c>
      <c r="N18" s="7"/>
      <c r="O18" s="7"/>
      <c r="P18" s="71"/>
    </row>
    <row r="19">
      <c r="A19" s="67" t="s">
        <v>613</v>
      </c>
      <c r="B19" s="25">
        <v>986.0</v>
      </c>
      <c r="C19" s="62">
        <v>0.08</v>
      </c>
      <c r="D19" s="63">
        <v>0.69</v>
      </c>
      <c r="E19" s="63">
        <v>0.69</v>
      </c>
      <c r="F19" s="64" t="s">
        <v>254</v>
      </c>
      <c r="G19" s="59">
        <v>47848.0</v>
      </c>
      <c r="H19" s="29"/>
      <c r="K19" s="65" t="s">
        <v>612</v>
      </c>
      <c r="L19" s="66">
        <v>986.0</v>
      </c>
      <c r="M19" s="72">
        <v>1.0</v>
      </c>
      <c r="N19" s="7"/>
      <c r="O19" s="7"/>
      <c r="P19" s="71"/>
    </row>
    <row r="20">
      <c r="A20" s="67" t="s">
        <v>614</v>
      </c>
      <c r="B20" s="25">
        <v>986.0</v>
      </c>
      <c r="C20" s="62">
        <v>0.08</v>
      </c>
      <c r="D20" s="63">
        <v>0.69</v>
      </c>
      <c r="E20" s="63">
        <v>0.69</v>
      </c>
      <c r="F20" s="64" t="s">
        <v>254</v>
      </c>
      <c r="G20" s="59">
        <v>47848.0</v>
      </c>
      <c r="H20" s="29"/>
      <c r="K20" s="73" t="s">
        <v>613</v>
      </c>
      <c r="L20" s="69">
        <v>986.0</v>
      </c>
      <c r="M20" s="70" t="e">
        <v>#N/A</v>
      </c>
      <c r="N20" s="7"/>
      <c r="O20" s="7"/>
      <c r="P20" s="71"/>
    </row>
    <row r="21">
      <c r="A21" s="67" t="s">
        <v>615</v>
      </c>
      <c r="B21" s="25">
        <v>6875.0</v>
      </c>
      <c r="C21" s="62">
        <v>0.08</v>
      </c>
      <c r="D21" s="63">
        <v>0.69</v>
      </c>
      <c r="E21" s="63">
        <v>0.69</v>
      </c>
      <c r="F21" s="64" t="s">
        <v>254</v>
      </c>
      <c r="G21" s="59">
        <v>47848.0</v>
      </c>
      <c r="H21" s="29"/>
      <c r="K21" s="73" t="s">
        <v>614</v>
      </c>
      <c r="L21" s="69">
        <v>986.0</v>
      </c>
      <c r="M21" s="70" t="e">
        <v>#N/A</v>
      </c>
      <c r="N21" s="7"/>
      <c r="O21" s="7"/>
      <c r="P21" s="71"/>
    </row>
    <row r="22">
      <c r="A22" s="67" t="s">
        <v>616</v>
      </c>
      <c r="B22" s="25">
        <v>5125.0</v>
      </c>
      <c r="C22" s="62">
        <v>0.08</v>
      </c>
      <c r="D22" s="63">
        <v>0.69</v>
      </c>
      <c r="E22" s="63">
        <v>0.69</v>
      </c>
      <c r="F22" s="64" t="s">
        <v>254</v>
      </c>
      <c r="G22" s="59">
        <v>47848.0</v>
      </c>
      <c r="H22" s="29"/>
      <c r="K22" s="73" t="s">
        <v>615</v>
      </c>
      <c r="L22" s="69">
        <v>6875.0</v>
      </c>
      <c r="M22" s="72">
        <v>1.0</v>
      </c>
      <c r="N22" s="7"/>
      <c r="O22" s="7"/>
      <c r="P22" s="71"/>
    </row>
    <row r="23">
      <c r="A23" s="67" t="s">
        <v>617</v>
      </c>
      <c r="B23" s="25">
        <v>136.0</v>
      </c>
      <c r="C23" s="62">
        <v>0.08</v>
      </c>
      <c r="D23" s="63">
        <v>0.69</v>
      </c>
      <c r="E23" s="63">
        <v>0.69</v>
      </c>
      <c r="F23" s="64" t="s">
        <v>254</v>
      </c>
      <c r="G23" s="59">
        <v>47848.0</v>
      </c>
      <c r="H23" s="29"/>
      <c r="K23" s="73" t="s">
        <v>616</v>
      </c>
      <c r="L23" s="69">
        <v>5125.0</v>
      </c>
      <c r="M23" s="70" t="e">
        <v>#N/A</v>
      </c>
      <c r="N23" s="7"/>
      <c r="O23" s="7"/>
      <c r="P23" s="71"/>
    </row>
    <row r="24">
      <c r="A24" s="67" t="s">
        <v>618</v>
      </c>
      <c r="B24" s="25">
        <v>6675.0</v>
      </c>
      <c r="C24" s="62">
        <v>0.08</v>
      </c>
      <c r="D24" s="74">
        <v>0.9</v>
      </c>
      <c r="E24" s="75">
        <v>0.9</v>
      </c>
      <c r="F24" s="64" t="s">
        <v>254</v>
      </c>
      <c r="G24" s="59">
        <v>47848.0</v>
      </c>
      <c r="H24" s="29"/>
      <c r="K24" s="73" t="s">
        <v>617</v>
      </c>
      <c r="L24" s="69">
        <v>136.0</v>
      </c>
      <c r="M24" s="70" t="e">
        <v>#N/A</v>
      </c>
      <c r="N24" s="7"/>
      <c r="O24" s="7"/>
      <c r="P24" s="71"/>
    </row>
    <row r="25">
      <c r="A25" s="67" t="s">
        <v>619</v>
      </c>
      <c r="B25" s="25">
        <v>6675.0</v>
      </c>
      <c r="C25" s="62">
        <v>0.08</v>
      </c>
      <c r="D25" s="74">
        <v>0.9</v>
      </c>
      <c r="E25" s="75">
        <v>0.9</v>
      </c>
      <c r="F25" s="64" t="s">
        <v>254</v>
      </c>
      <c r="G25" s="59">
        <v>47848.0</v>
      </c>
      <c r="H25" s="29"/>
      <c r="K25" s="73" t="s">
        <v>618</v>
      </c>
      <c r="L25" s="69">
        <v>6675.0</v>
      </c>
      <c r="M25" s="70" t="e">
        <v>#N/A</v>
      </c>
      <c r="N25" s="7"/>
      <c r="O25" s="66">
        <v>6675.0</v>
      </c>
      <c r="P25" s="71"/>
    </row>
    <row r="26">
      <c r="A26" s="67" t="s">
        <v>620</v>
      </c>
      <c r="B26" s="25">
        <v>7158.0</v>
      </c>
      <c r="C26" s="62">
        <v>0.08</v>
      </c>
      <c r="D26" s="63">
        <v>0.69</v>
      </c>
      <c r="E26" s="63">
        <v>0.69</v>
      </c>
      <c r="F26" s="64" t="s">
        <v>254</v>
      </c>
      <c r="G26" s="59">
        <v>47848.0</v>
      </c>
      <c r="H26" s="29"/>
      <c r="K26" s="73" t="s">
        <v>619</v>
      </c>
      <c r="L26" s="69">
        <v>6675.0</v>
      </c>
      <c r="M26" s="70" t="e">
        <v>#N/A</v>
      </c>
      <c r="N26" s="7"/>
      <c r="O26" s="66">
        <v>6675.0</v>
      </c>
      <c r="P26" s="71"/>
    </row>
    <row r="27">
      <c r="A27" s="67" t="s">
        <v>621</v>
      </c>
      <c r="B27" s="25">
        <v>7183.0</v>
      </c>
      <c r="C27" s="62">
        <v>0.08</v>
      </c>
      <c r="D27" s="63">
        <v>0.69</v>
      </c>
      <c r="E27" s="63">
        <v>0.69</v>
      </c>
      <c r="F27" s="64" t="s">
        <v>254</v>
      </c>
      <c r="G27" s="59">
        <v>47848.0</v>
      </c>
      <c r="H27" s="29"/>
      <c r="K27" s="73" t="s">
        <v>620</v>
      </c>
      <c r="L27" s="69">
        <v>7158.0</v>
      </c>
      <c r="M27" s="70" t="e">
        <v>#N/A</v>
      </c>
      <c r="N27" s="7"/>
      <c r="O27" s="7"/>
      <c r="P27" s="71"/>
    </row>
    <row r="28">
      <c r="A28" s="67" t="s">
        <v>622</v>
      </c>
      <c r="B28" s="25">
        <v>10141.0</v>
      </c>
      <c r="C28" s="62">
        <v>0.08</v>
      </c>
      <c r="D28" s="63">
        <v>0.69</v>
      </c>
      <c r="E28" s="63">
        <v>0.69</v>
      </c>
      <c r="F28" s="64" t="s">
        <v>254</v>
      </c>
      <c r="G28" s="59">
        <v>47848.0</v>
      </c>
      <c r="H28" s="29"/>
      <c r="K28" s="73" t="s">
        <v>621</v>
      </c>
      <c r="L28" s="69">
        <v>7183.0</v>
      </c>
      <c r="M28" s="70" t="e">
        <v>#N/A</v>
      </c>
      <c r="N28" s="7"/>
      <c r="O28" s="7"/>
      <c r="P28" s="71"/>
    </row>
    <row r="29">
      <c r="A29" s="67" t="s">
        <v>623</v>
      </c>
      <c r="B29" s="25">
        <v>7229.0</v>
      </c>
      <c r="C29" s="62">
        <v>0.08</v>
      </c>
      <c r="D29" s="63">
        <v>0.69</v>
      </c>
      <c r="E29" s="63">
        <v>0.69</v>
      </c>
      <c r="F29" s="64" t="s">
        <v>254</v>
      </c>
      <c r="G29" s="59">
        <v>47848.0</v>
      </c>
      <c r="H29" s="29"/>
      <c r="K29" s="73" t="s">
        <v>622</v>
      </c>
      <c r="L29" s="69">
        <v>10141.0</v>
      </c>
      <c r="M29" s="70" t="e">
        <v>#N/A</v>
      </c>
      <c r="N29" s="7"/>
      <c r="O29" s="7"/>
      <c r="P29" s="71"/>
    </row>
    <row r="30">
      <c r="A30" s="67" t="s">
        <v>624</v>
      </c>
      <c r="B30" s="25">
        <v>6893.0</v>
      </c>
      <c r="C30" s="62">
        <v>0.08</v>
      </c>
      <c r="D30" s="63">
        <v>0.69</v>
      </c>
      <c r="E30" s="63">
        <v>0.69</v>
      </c>
      <c r="F30" s="64" t="s">
        <v>254</v>
      </c>
      <c r="G30" s="59">
        <v>47848.0</v>
      </c>
      <c r="H30" s="29"/>
      <c r="K30" s="73" t="s">
        <v>623</v>
      </c>
      <c r="L30" s="69">
        <v>7229.0</v>
      </c>
      <c r="M30" s="70" t="e">
        <v>#N/A</v>
      </c>
      <c r="N30" s="7"/>
      <c r="O30" s="66">
        <v>7229.0</v>
      </c>
      <c r="P30" s="71"/>
    </row>
    <row r="31">
      <c r="A31" s="67" t="s">
        <v>625</v>
      </c>
      <c r="B31" s="25">
        <v>189.0</v>
      </c>
      <c r="C31" s="62">
        <v>0.08</v>
      </c>
      <c r="D31" s="76">
        <v>0.8</v>
      </c>
      <c r="E31" s="77">
        <v>0.8</v>
      </c>
      <c r="F31" s="64" t="s">
        <v>254</v>
      </c>
      <c r="G31" s="59">
        <v>47848.0</v>
      </c>
      <c r="H31" s="29"/>
      <c r="K31" s="73" t="s">
        <v>624</v>
      </c>
      <c r="L31" s="69">
        <v>6893.0</v>
      </c>
      <c r="M31" s="70" t="e">
        <v>#N/A</v>
      </c>
      <c r="N31" s="7"/>
      <c r="O31" s="7"/>
      <c r="P31" s="71"/>
    </row>
    <row r="32">
      <c r="A32" s="67" t="s">
        <v>626</v>
      </c>
      <c r="B32" s="25">
        <v>6669.0</v>
      </c>
      <c r="C32" s="62">
        <v>0.08</v>
      </c>
      <c r="D32" s="63">
        <v>0.69</v>
      </c>
      <c r="E32" s="63">
        <v>0.69</v>
      </c>
      <c r="F32" s="64" t="s">
        <v>254</v>
      </c>
      <c r="G32" s="59">
        <v>47848.0</v>
      </c>
      <c r="H32" s="29"/>
      <c r="K32" s="73" t="s">
        <v>625</v>
      </c>
      <c r="L32" s="69">
        <v>189.0</v>
      </c>
      <c r="M32" s="70" t="e">
        <v>#N/A</v>
      </c>
      <c r="N32" s="7"/>
      <c r="O32" s="7"/>
      <c r="P32" s="71"/>
    </row>
    <row r="33">
      <c r="A33" s="67" t="s">
        <v>627</v>
      </c>
      <c r="B33" s="25">
        <v>3307.0</v>
      </c>
      <c r="C33" s="62">
        <v>0.08</v>
      </c>
      <c r="D33" s="63">
        <v>0.69</v>
      </c>
      <c r="E33" s="63">
        <v>0.69</v>
      </c>
      <c r="F33" s="64" t="s">
        <v>254</v>
      </c>
      <c r="G33" s="59">
        <v>47848.0</v>
      </c>
      <c r="H33" s="29"/>
      <c r="K33" s="65" t="s">
        <v>626</v>
      </c>
      <c r="L33" s="66">
        <v>6669.0</v>
      </c>
      <c r="M33" s="72">
        <v>1.0</v>
      </c>
      <c r="N33" s="7"/>
      <c r="O33" s="7"/>
      <c r="P33" s="71"/>
    </row>
    <row r="34">
      <c r="A34" s="67" t="s">
        <v>628</v>
      </c>
      <c r="B34" s="25">
        <v>10856.0</v>
      </c>
      <c r="C34" s="62">
        <v>0.08</v>
      </c>
      <c r="D34" s="63">
        <v>0.69</v>
      </c>
      <c r="E34" s="63">
        <v>0.69</v>
      </c>
      <c r="F34" s="64" t="s">
        <v>254</v>
      </c>
      <c r="G34" s="59">
        <v>47848.0</v>
      </c>
      <c r="H34" s="29"/>
      <c r="K34" s="73" t="s">
        <v>627</v>
      </c>
      <c r="L34" s="69">
        <v>3307.0</v>
      </c>
      <c r="M34" s="70" t="e">
        <v>#N/A</v>
      </c>
      <c r="N34" s="7"/>
      <c r="O34" s="7"/>
      <c r="P34" s="71"/>
    </row>
    <row r="35">
      <c r="A35" s="67" t="s">
        <v>629</v>
      </c>
      <c r="B35" s="78">
        <v>6893.0</v>
      </c>
      <c r="C35" s="62">
        <v>0.08</v>
      </c>
      <c r="D35" s="63">
        <v>0.69</v>
      </c>
      <c r="E35" s="63">
        <v>0.69</v>
      </c>
      <c r="F35" s="64" t="s">
        <v>254</v>
      </c>
      <c r="G35" s="59">
        <v>47848.0</v>
      </c>
      <c r="H35" s="29"/>
      <c r="K35" s="73" t="s">
        <v>628</v>
      </c>
      <c r="L35" s="69">
        <v>10856.0</v>
      </c>
      <c r="M35" s="72">
        <v>1.0</v>
      </c>
      <c r="N35" s="7"/>
      <c r="O35" s="7"/>
      <c r="P35" s="71"/>
    </row>
    <row r="36">
      <c r="A36" s="67" t="s">
        <v>630</v>
      </c>
      <c r="B36" s="25">
        <v>189.0</v>
      </c>
      <c r="C36" s="62">
        <v>0.08</v>
      </c>
      <c r="D36" s="76">
        <v>0.8</v>
      </c>
      <c r="E36" s="77">
        <v>0.8</v>
      </c>
      <c r="F36" s="64" t="s">
        <v>254</v>
      </c>
      <c r="G36" s="59">
        <v>47848.0</v>
      </c>
      <c r="H36" s="29"/>
      <c r="K36" s="65" t="s">
        <v>629</v>
      </c>
      <c r="L36" s="66">
        <v>6893.0</v>
      </c>
      <c r="M36" s="72">
        <v>1.0</v>
      </c>
      <c r="N36" s="7"/>
      <c r="O36" s="7"/>
      <c r="P36" s="71"/>
    </row>
    <row r="37">
      <c r="A37" s="67" t="s">
        <v>631</v>
      </c>
      <c r="B37" s="25">
        <v>6132.0</v>
      </c>
      <c r="C37" s="62">
        <v>0.08</v>
      </c>
      <c r="D37" s="63">
        <v>0.69</v>
      </c>
      <c r="E37" s="63">
        <v>0.69</v>
      </c>
      <c r="F37" s="64" t="s">
        <v>254</v>
      </c>
      <c r="G37" s="59">
        <v>47848.0</v>
      </c>
      <c r="H37" s="29"/>
      <c r="K37" s="65" t="s">
        <v>630</v>
      </c>
      <c r="L37" s="66">
        <v>189.0</v>
      </c>
      <c r="M37" s="72">
        <v>1.0</v>
      </c>
      <c r="N37" s="7"/>
      <c r="O37" s="7"/>
      <c r="P37" s="71"/>
    </row>
    <row r="38">
      <c r="A38" s="67" t="s">
        <v>632</v>
      </c>
      <c r="B38" s="25">
        <v>8560.0</v>
      </c>
      <c r="C38" s="62">
        <v>0.08</v>
      </c>
      <c r="D38" s="63">
        <v>0.69</v>
      </c>
      <c r="E38" s="63">
        <v>0.69</v>
      </c>
      <c r="F38" s="64" t="s">
        <v>254</v>
      </c>
      <c r="G38" s="59">
        <v>47848.0</v>
      </c>
      <c r="H38" s="29"/>
      <c r="K38" s="65" t="s">
        <v>631</v>
      </c>
      <c r="L38" s="66">
        <v>6132.0</v>
      </c>
      <c r="M38" s="72">
        <v>1.0</v>
      </c>
      <c r="N38" s="7"/>
      <c r="O38" s="66">
        <v>6132.0</v>
      </c>
      <c r="P38" s="71"/>
    </row>
    <row r="39">
      <c r="A39" s="67" t="s">
        <v>633</v>
      </c>
      <c r="B39" s="25">
        <v>6995.0</v>
      </c>
      <c r="C39" s="62">
        <v>0.08</v>
      </c>
      <c r="D39" s="63">
        <v>0.69</v>
      </c>
      <c r="E39" s="63">
        <v>0.69</v>
      </c>
      <c r="F39" s="64" t="s">
        <v>254</v>
      </c>
      <c r="G39" s="59">
        <v>47848.0</v>
      </c>
      <c r="H39" s="29"/>
      <c r="K39" s="73" t="s">
        <v>632</v>
      </c>
      <c r="L39" s="69">
        <v>8560.0</v>
      </c>
      <c r="M39" s="70" t="e">
        <v>#N/A</v>
      </c>
      <c r="N39" s="7"/>
      <c r="O39" s="7"/>
      <c r="P39" s="71"/>
    </row>
    <row r="40">
      <c r="A40" s="67" t="s">
        <v>634</v>
      </c>
      <c r="B40" s="25">
        <v>6669.0</v>
      </c>
      <c r="C40" s="62">
        <v>0.08</v>
      </c>
      <c r="D40" s="63">
        <v>0.69</v>
      </c>
      <c r="E40" s="63">
        <v>0.69</v>
      </c>
      <c r="F40" s="64" t="s">
        <v>254</v>
      </c>
      <c r="G40" s="59">
        <v>47848.0</v>
      </c>
      <c r="H40" s="29"/>
      <c r="K40" s="73" t="s">
        <v>633</v>
      </c>
      <c r="L40" s="69">
        <v>6995.0</v>
      </c>
      <c r="M40" s="70" t="e">
        <v>#N/A</v>
      </c>
      <c r="N40" s="7"/>
      <c r="O40" s="7"/>
      <c r="P40" s="71"/>
    </row>
    <row r="41">
      <c r="A41" s="67" t="s">
        <v>635</v>
      </c>
      <c r="B41" s="25">
        <v>6669.0</v>
      </c>
      <c r="C41" s="62">
        <v>0.08</v>
      </c>
      <c r="D41" s="63">
        <v>0.69</v>
      </c>
      <c r="E41" s="63">
        <v>0.69</v>
      </c>
      <c r="F41" s="64" t="s">
        <v>254</v>
      </c>
      <c r="G41" s="59">
        <v>47848.0</v>
      </c>
      <c r="H41" s="29"/>
      <c r="K41" s="65" t="s">
        <v>634</v>
      </c>
      <c r="L41" s="66">
        <v>6669.0</v>
      </c>
      <c r="M41" s="72">
        <v>1.0</v>
      </c>
      <c r="N41" s="7"/>
      <c r="O41" s="66">
        <v>6669.0</v>
      </c>
      <c r="P41" s="71"/>
    </row>
    <row r="42">
      <c r="A42" s="67" t="s">
        <v>636</v>
      </c>
      <c r="B42" s="25">
        <v>189.0</v>
      </c>
      <c r="C42" s="62">
        <v>0.08</v>
      </c>
      <c r="D42" s="76">
        <v>0.8</v>
      </c>
      <c r="E42" s="77">
        <v>0.8</v>
      </c>
      <c r="F42" s="64" t="s">
        <v>254</v>
      </c>
      <c r="G42" s="59">
        <v>47848.0</v>
      </c>
      <c r="H42" s="29"/>
      <c r="K42" s="65" t="s">
        <v>635</v>
      </c>
      <c r="L42" s="66">
        <v>6669.0</v>
      </c>
      <c r="M42" s="72">
        <v>1.0</v>
      </c>
      <c r="N42" s="7"/>
      <c r="O42" s="66">
        <v>6669.0</v>
      </c>
      <c r="P42" s="71"/>
    </row>
    <row r="43">
      <c r="A43" s="67" t="s">
        <v>637</v>
      </c>
      <c r="B43" s="25">
        <v>6785.0</v>
      </c>
      <c r="C43" s="62">
        <v>0.08</v>
      </c>
      <c r="D43" s="63">
        <v>0.69</v>
      </c>
      <c r="E43" s="63">
        <v>0.69</v>
      </c>
      <c r="F43" s="64" t="s">
        <v>254</v>
      </c>
      <c r="G43" s="59">
        <v>47848.0</v>
      </c>
      <c r="H43" s="29"/>
      <c r="K43" s="73" t="s">
        <v>636</v>
      </c>
      <c r="L43" s="69">
        <v>189.0</v>
      </c>
      <c r="M43" s="70" t="e">
        <v>#N/A</v>
      </c>
      <c r="N43" s="7"/>
      <c r="O43" s="7"/>
      <c r="P43" s="71"/>
    </row>
    <row r="44">
      <c r="A44" s="67" t="s">
        <v>638</v>
      </c>
      <c r="B44" s="25">
        <v>7186.0</v>
      </c>
      <c r="C44" s="62">
        <v>0.08</v>
      </c>
      <c r="D44" s="63">
        <v>0.69</v>
      </c>
      <c r="E44" s="63">
        <v>0.69</v>
      </c>
      <c r="F44" s="64" t="s">
        <v>254</v>
      </c>
      <c r="G44" s="59">
        <v>47848.0</v>
      </c>
      <c r="H44" s="29"/>
      <c r="K44" s="73" t="s">
        <v>637</v>
      </c>
      <c r="L44" s="69">
        <v>6785.0</v>
      </c>
      <c r="M44" s="70" t="e">
        <v>#N/A</v>
      </c>
      <c r="N44" s="7"/>
      <c r="O44" s="7"/>
      <c r="P44" s="71"/>
    </row>
    <row r="45">
      <c r="A45" s="67" t="s">
        <v>639</v>
      </c>
      <c r="B45" s="25">
        <v>11708.0</v>
      </c>
      <c r="C45" s="62">
        <v>0.08</v>
      </c>
      <c r="D45" s="63">
        <v>0.69</v>
      </c>
      <c r="E45" s="63">
        <v>0.69</v>
      </c>
      <c r="F45" s="64" t="s">
        <v>254</v>
      </c>
      <c r="G45" s="59">
        <v>47848.0</v>
      </c>
      <c r="H45" s="29"/>
      <c r="K45" s="73" t="s">
        <v>638</v>
      </c>
      <c r="L45" s="69">
        <v>7186.0</v>
      </c>
      <c r="M45" s="70" t="e">
        <v>#N/A</v>
      </c>
      <c r="N45" s="7"/>
      <c r="O45" s="7"/>
      <c r="P45" s="71"/>
    </row>
    <row r="46">
      <c r="A46" s="67" t="s">
        <v>640</v>
      </c>
      <c r="B46" s="25">
        <v>84.0</v>
      </c>
      <c r="C46" s="62">
        <v>0.08</v>
      </c>
      <c r="D46" s="63">
        <v>0.69</v>
      </c>
      <c r="E46" s="63">
        <v>0.69</v>
      </c>
      <c r="F46" s="64" t="s">
        <v>254</v>
      </c>
      <c r="G46" s="59">
        <v>47848.0</v>
      </c>
      <c r="H46" s="29"/>
      <c r="K46" s="73" t="s">
        <v>639</v>
      </c>
      <c r="L46" s="69">
        <v>11708.0</v>
      </c>
      <c r="M46" s="70" t="e">
        <v>#N/A</v>
      </c>
      <c r="N46" s="7"/>
      <c r="O46" s="7"/>
      <c r="P46" s="71"/>
    </row>
    <row r="47">
      <c r="A47" s="67" t="s">
        <v>641</v>
      </c>
      <c r="B47" s="25">
        <v>3689.0</v>
      </c>
      <c r="C47" s="62">
        <v>0.08</v>
      </c>
      <c r="D47" s="63">
        <v>0.69</v>
      </c>
      <c r="E47" s="63">
        <v>0.69</v>
      </c>
      <c r="F47" s="64" t="s">
        <v>254</v>
      </c>
      <c r="G47" s="59">
        <v>47848.0</v>
      </c>
      <c r="H47" s="29"/>
      <c r="K47" s="73" t="s">
        <v>640</v>
      </c>
      <c r="L47" s="69">
        <v>84.0</v>
      </c>
      <c r="M47" s="70" t="e">
        <v>#N/A</v>
      </c>
      <c r="N47" s="7"/>
      <c r="O47" s="7"/>
      <c r="P47" s="71"/>
    </row>
    <row r="48">
      <c r="A48" s="67" t="s">
        <v>642</v>
      </c>
      <c r="B48" s="25">
        <v>14065.0</v>
      </c>
      <c r="C48" s="62">
        <v>0.08</v>
      </c>
      <c r="D48" s="63">
        <v>0.69</v>
      </c>
      <c r="E48" s="63">
        <v>0.69</v>
      </c>
      <c r="F48" s="64" t="s">
        <v>254</v>
      </c>
      <c r="G48" s="59">
        <v>47848.0</v>
      </c>
      <c r="H48" s="29"/>
      <c r="K48" s="73" t="s">
        <v>641</v>
      </c>
      <c r="L48" s="69">
        <v>3689.0</v>
      </c>
      <c r="M48" s="70" t="e">
        <v>#N/A</v>
      </c>
      <c r="N48" s="7"/>
      <c r="O48" s="7"/>
      <c r="P48" s="71"/>
    </row>
    <row r="49">
      <c r="A49" s="67" t="s">
        <v>643</v>
      </c>
      <c r="B49" s="79">
        <v>7847.0</v>
      </c>
      <c r="C49" s="62">
        <v>0.08</v>
      </c>
      <c r="D49" s="63">
        <v>0.69</v>
      </c>
      <c r="E49" s="63">
        <v>0.69</v>
      </c>
      <c r="F49" s="64" t="s">
        <v>254</v>
      </c>
      <c r="G49" s="59">
        <v>47848.0</v>
      </c>
      <c r="H49" s="29"/>
      <c r="K49" s="73" t="s">
        <v>642</v>
      </c>
      <c r="L49" s="69">
        <v>14065.0</v>
      </c>
      <c r="M49" s="70" t="e">
        <v>#N/A</v>
      </c>
      <c r="N49" s="7"/>
      <c r="O49" s="7"/>
      <c r="P49" s="71"/>
    </row>
    <row r="50">
      <c r="A50" s="67" t="s">
        <v>644</v>
      </c>
      <c r="B50" s="25">
        <v>9746.0</v>
      </c>
      <c r="C50" s="62">
        <v>0.08</v>
      </c>
      <c r="D50" s="63">
        <v>0.69</v>
      </c>
      <c r="E50" s="63">
        <v>0.69</v>
      </c>
      <c r="F50" s="64" t="s">
        <v>254</v>
      </c>
      <c r="G50" s="59">
        <v>47848.0</v>
      </c>
      <c r="H50" s="29"/>
      <c r="K50" s="65" t="s">
        <v>643</v>
      </c>
      <c r="L50" s="80">
        <v>7847.0</v>
      </c>
      <c r="M50" s="72">
        <v>1.0</v>
      </c>
      <c r="N50" s="7"/>
      <c r="O50" s="7"/>
      <c r="P50" s="71"/>
    </row>
    <row r="51">
      <c r="A51" s="67" t="s">
        <v>645</v>
      </c>
      <c r="B51" s="25">
        <v>6924.0</v>
      </c>
      <c r="C51" s="62">
        <v>0.08</v>
      </c>
      <c r="D51" s="63">
        <v>0.69</v>
      </c>
      <c r="E51" s="63">
        <v>0.69</v>
      </c>
      <c r="F51" s="64" t="s">
        <v>254</v>
      </c>
      <c r="G51" s="59">
        <v>47848.0</v>
      </c>
      <c r="H51" s="29"/>
      <c r="K51" s="73" t="s">
        <v>644</v>
      </c>
      <c r="L51" s="69">
        <v>9746.0</v>
      </c>
      <c r="M51" s="70" t="e">
        <v>#N/A</v>
      </c>
      <c r="N51" s="7"/>
      <c r="O51" s="7"/>
      <c r="P51" s="71"/>
    </row>
    <row r="52">
      <c r="A52" s="67" t="s">
        <v>646</v>
      </c>
      <c r="B52" s="25">
        <v>6106.0</v>
      </c>
      <c r="C52" s="62">
        <v>0.08</v>
      </c>
      <c r="D52" s="63">
        <v>0.69</v>
      </c>
      <c r="E52" s="63">
        <v>0.69</v>
      </c>
      <c r="F52" s="64" t="s">
        <v>254</v>
      </c>
      <c r="G52" s="59">
        <v>47848.0</v>
      </c>
      <c r="H52" s="29"/>
      <c r="K52" s="73" t="s">
        <v>645</v>
      </c>
      <c r="L52" s="69">
        <v>6924.0</v>
      </c>
      <c r="M52" s="70" t="e">
        <v>#N/A</v>
      </c>
      <c r="N52" s="7"/>
      <c r="O52" s="7"/>
      <c r="P52" s="71"/>
    </row>
    <row r="53">
      <c r="A53" s="67" t="s">
        <v>647</v>
      </c>
      <c r="B53" s="25">
        <v>6924.0</v>
      </c>
      <c r="C53" s="62">
        <v>0.08</v>
      </c>
      <c r="D53" s="63">
        <v>0.69</v>
      </c>
      <c r="E53" s="63">
        <v>0.69</v>
      </c>
      <c r="F53" s="64" t="s">
        <v>254</v>
      </c>
      <c r="G53" s="59">
        <v>47848.0</v>
      </c>
      <c r="H53" s="29"/>
      <c r="K53" s="73" t="s">
        <v>646</v>
      </c>
      <c r="L53" s="69">
        <v>6106.0</v>
      </c>
      <c r="M53" s="70" t="e">
        <v>#N/A</v>
      </c>
      <c r="N53" s="7"/>
      <c r="O53" s="7"/>
      <c r="P53" s="71"/>
    </row>
    <row r="54">
      <c r="A54" s="67" t="s">
        <v>648</v>
      </c>
      <c r="B54" s="25">
        <v>189.0</v>
      </c>
      <c r="C54" s="62">
        <v>0.08</v>
      </c>
      <c r="D54" s="76">
        <v>0.8</v>
      </c>
      <c r="E54" s="77">
        <v>0.8</v>
      </c>
      <c r="F54" s="64" t="s">
        <v>254</v>
      </c>
      <c r="G54" s="59">
        <v>47848.0</v>
      </c>
      <c r="H54" s="29"/>
      <c r="K54" s="65" t="s">
        <v>647</v>
      </c>
      <c r="L54" s="66">
        <v>6924.0</v>
      </c>
      <c r="M54" s="72">
        <v>1.0</v>
      </c>
      <c r="N54" s="7"/>
      <c r="O54" s="7"/>
      <c r="P54" s="71"/>
    </row>
    <row r="55">
      <c r="A55" s="67" t="s">
        <v>649</v>
      </c>
      <c r="B55" s="25">
        <v>189.0</v>
      </c>
      <c r="C55" s="62">
        <v>0.08</v>
      </c>
      <c r="D55" s="76">
        <v>0.8</v>
      </c>
      <c r="E55" s="77">
        <v>0.8</v>
      </c>
      <c r="F55" s="64" t="s">
        <v>254</v>
      </c>
      <c r="G55" s="59">
        <v>47848.0</v>
      </c>
      <c r="H55" s="21"/>
      <c r="I55" s="21"/>
      <c r="J55" s="21"/>
      <c r="K55" s="65" t="s">
        <v>648</v>
      </c>
      <c r="L55" s="66">
        <v>189.0</v>
      </c>
      <c r="M55" s="72">
        <v>1.0</v>
      </c>
      <c r="N55" s="7"/>
      <c r="O55" s="7"/>
      <c r="P55" s="71"/>
    </row>
    <row r="56">
      <c r="A56" s="67" t="s">
        <v>650</v>
      </c>
      <c r="B56" s="25">
        <v>189.0</v>
      </c>
      <c r="C56" s="62">
        <v>0.08</v>
      </c>
      <c r="D56" s="76">
        <v>0.8</v>
      </c>
      <c r="E56" s="77">
        <v>0.8</v>
      </c>
      <c r="F56" s="64" t="s">
        <v>254</v>
      </c>
      <c r="G56" s="59">
        <v>47848.0</v>
      </c>
      <c r="H56" s="21"/>
      <c r="I56" s="21"/>
      <c r="J56" s="21"/>
      <c r="K56" s="65" t="s">
        <v>649</v>
      </c>
      <c r="L56" s="66">
        <v>189.0</v>
      </c>
      <c r="M56" s="72">
        <v>1.0</v>
      </c>
      <c r="N56" s="7"/>
      <c r="O56" s="7"/>
      <c r="P56" s="71"/>
    </row>
    <row r="57">
      <c r="A57" s="67" t="s">
        <v>651</v>
      </c>
      <c r="B57" s="25">
        <v>189.0</v>
      </c>
      <c r="C57" s="62">
        <v>0.08</v>
      </c>
      <c r="D57" s="76">
        <v>0.8</v>
      </c>
      <c r="E57" s="77">
        <v>0.8</v>
      </c>
      <c r="F57" s="64" t="s">
        <v>254</v>
      </c>
      <c r="G57" s="59">
        <v>47848.0</v>
      </c>
      <c r="H57" s="21"/>
      <c r="I57" s="21"/>
      <c r="J57" s="21"/>
      <c r="K57" s="73" t="s">
        <v>650</v>
      </c>
      <c r="L57" s="69">
        <v>189.0</v>
      </c>
      <c r="M57" s="72">
        <v>1.0</v>
      </c>
      <c r="N57" s="7"/>
      <c r="O57" s="7"/>
      <c r="P57" s="71"/>
    </row>
    <row r="58">
      <c r="A58" s="67" t="s">
        <v>652</v>
      </c>
      <c r="B58" s="25">
        <v>6133.0</v>
      </c>
      <c r="C58" s="62">
        <v>0.08</v>
      </c>
      <c r="D58" s="63">
        <v>0.69</v>
      </c>
      <c r="E58" s="63">
        <v>0.69</v>
      </c>
      <c r="F58" s="64" t="s">
        <v>254</v>
      </c>
      <c r="G58" s="59">
        <v>47848.0</v>
      </c>
      <c r="H58" s="21"/>
      <c r="I58" s="21"/>
      <c r="J58" s="21"/>
      <c r="K58" s="65" t="s">
        <v>651</v>
      </c>
      <c r="L58" s="66">
        <v>189.0</v>
      </c>
      <c r="M58" s="72">
        <v>1.0</v>
      </c>
      <c r="N58" s="7"/>
      <c r="O58" s="7"/>
      <c r="P58" s="71"/>
    </row>
    <row r="59">
      <c r="A59" s="67" t="s">
        <v>653</v>
      </c>
      <c r="B59" s="25">
        <v>6133.0</v>
      </c>
      <c r="C59" s="62">
        <v>0.08</v>
      </c>
      <c r="D59" s="63">
        <v>0.69</v>
      </c>
      <c r="E59" s="63">
        <v>0.69</v>
      </c>
      <c r="F59" s="64" t="s">
        <v>254</v>
      </c>
      <c r="G59" s="59">
        <v>47848.0</v>
      </c>
      <c r="H59" s="21"/>
      <c r="I59" s="21"/>
      <c r="J59" s="21"/>
      <c r="K59" s="73" t="s">
        <v>652</v>
      </c>
      <c r="L59" s="69">
        <v>6133.0</v>
      </c>
      <c r="M59" s="70" t="e">
        <v>#N/A</v>
      </c>
      <c r="N59" s="7"/>
      <c r="O59" s="7"/>
      <c r="P59" s="71"/>
    </row>
    <row r="60">
      <c r="A60" s="67" t="s">
        <v>654</v>
      </c>
      <c r="B60" s="25">
        <v>7414.0</v>
      </c>
      <c r="C60" s="62">
        <v>0.08</v>
      </c>
      <c r="D60" s="63">
        <v>0.69</v>
      </c>
      <c r="E60" s="63">
        <v>0.69</v>
      </c>
      <c r="F60" s="64" t="s">
        <v>254</v>
      </c>
      <c r="G60" s="59">
        <v>47848.0</v>
      </c>
      <c r="H60" s="21"/>
      <c r="I60" s="21"/>
      <c r="J60" s="21"/>
      <c r="K60" s="73" t="s">
        <v>653</v>
      </c>
      <c r="L60" s="69">
        <v>6133.0</v>
      </c>
      <c r="M60" s="70" t="e">
        <v>#N/A</v>
      </c>
      <c r="N60" s="7"/>
      <c r="O60" s="7"/>
      <c r="P60" s="71"/>
    </row>
    <row r="61">
      <c r="A61" s="67" t="s">
        <v>655</v>
      </c>
      <c r="B61" s="25">
        <v>14420.0</v>
      </c>
      <c r="C61" s="62">
        <v>0.08</v>
      </c>
      <c r="D61" s="63">
        <v>0.69</v>
      </c>
      <c r="E61" s="63">
        <v>0.69</v>
      </c>
      <c r="F61" s="64" t="s">
        <v>254</v>
      </c>
      <c r="G61" s="59">
        <v>47848.0</v>
      </c>
      <c r="H61" s="21"/>
      <c r="I61" s="21"/>
      <c r="J61" s="21"/>
      <c r="K61" s="73" t="s">
        <v>654</v>
      </c>
      <c r="L61" s="69">
        <v>7414.0</v>
      </c>
      <c r="M61" s="70" t="e">
        <v>#N/A</v>
      </c>
      <c r="N61" s="7"/>
      <c r="O61" s="66">
        <v>7414.0</v>
      </c>
      <c r="P61" s="71"/>
    </row>
    <row r="62">
      <c r="A62" s="67" t="s">
        <v>656</v>
      </c>
      <c r="B62" s="25">
        <v>12609.0</v>
      </c>
      <c r="C62" s="62">
        <v>0.08</v>
      </c>
      <c r="D62" s="63">
        <v>0.69</v>
      </c>
      <c r="E62" s="63">
        <v>0.69</v>
      </c>
      <c r="F62" s="64" t="s">
        <v>254</v>
      </c>
      <c r="G62" s="59">
        <v>47848.0</v>
      </c>
      <c r="H62" s="21"/>
      <c r="I62" s="21"/>
      <c r="J62" s="21"/>
      <c r="K62" s="65" t="s">
        <v>655</v>
      </c>
      <c r="L62" s="66">
        <v>14420.0</v>
      </c>
      <c r="M62" s="70" t="e">
        <v>#N/A</v>
      </c>
      <c r="N62" s="7"/>
      <c r="O62" s="7"/>
      <c r="P62" s="71"/>
    </row>
    <row r="63">
      <c r="A63" s="67" t="s">
        <v>657</v>
      </c>
      <c r="B63" s="16">
        <v>14646.0</v>
      </c>
      <c r="C63" s="62">
        <v>0.08</v>
      </c>
      <c r="D63" s="63">
        <v>0.69</v>
      </c>
      <c r="E63" s="63">
        <v>0.69</v>
      </c>
      <c r="F63" s="64" t="s">
        <v>254</v>
      </c>
      <c r="G63" s="59">
        <v>47848.0</v>
      </c>
      <c r="H63" s="21"/>
      <c r="I63" s="21"/>
      <c r="J63" s="21"/>
      <c r="K63" s="65" t="s">
        <v>656</v>
      </c>
      <c r="L63" s="66">
        <v>12609.0</v>
      </c>
      <c r="M63" s="70" t="e">
        <v>#N/A</v>
      </c>
      <c r="N63" s="7"/>
      <c r="O63" s="7"/>
      <c r="P63" s="71"/>
    </row>
    <row r="64">
      <c r="A64" s="67" t="s">
        <v>658</v>
      </c>
      <c r="B64" s="25">
        <v>189.0</v>
      </c>
      <c r="C64" s="62">
        <v>0.08</v>
      </c>
      <c r="D64" s="76">
        <v>0.8</v>
      </c>
      <c r="E64" s="76">
        <v>0.8</v>
      </c>
      <c r="F64" s="64" t="s">
        <v>254</v>
      </c>
      <c r="G64" s="59">
        <v>47848.0</v>
      </c>
      <c r="H64" s="21"/>
      <c r="I64" s="21"/>
      <c r="J64" s="21"/>
      <c r="K64" s="65" t="s">
        <v>657</v>
      </c>
      <c r="L64" s="7"/>
      <c r="M64" s="70" t="e">
        <v>#N/A</v>
      </c>
      <c r="N64" s="7"/>
      <c r="O64" s="7"/>
      <c r="P64" s="71"/>
    </row>
    <row r="65">
      <c r="A65" s="67" t="s">
        <v>659</v>
      </c>
      <c r="B65" s="25">
        <v>7181.0</v>
      </c>
      <c r="C65" s="62">
        <v>0.08</v>
      </c>
      <c r="D65" s="63">
        <v>0.69</v>
      </c>
      <c r="E65" s="63">
        <v>0.69</v>
      </c>
      <c r="F65" s="64" t="s">
        <v>254</v>
      </c>
      <c r="G65" s="59">
        <v>47848.0</v>
      </c>
      <c r="H65" s="21"/>
      <c r="I65" s="21"/>
      <c r="J65" s="21"/>
      <c r="K65" s="65" t="s">
        <v>658</v>
      </c>
      <c r="L65" s="66">
        <v>189.0</v>
      </c>
      <c r="M65" s="72">
        <v>1.0</v>
      </c>
      <c r="N65" s="7"/>
      <c r="O65" s="7"/>
      <c r="P65" s="71"/>
    </row>
    <row r="66">
      <c r="A66" s="67" t="s">
        <v>660</v>
      </c>
      <c r="B66" s="16">
        <v>14732.0</v>
      </c>
      <c r="C66" s="62">
        <v>0.08</v>
      </c>
      <c r="D66" s="63">
        <v>0.69</v>
      </c>
      <c r="E66" s="63">
        <v>0.69</v>
      </c>
      <c r="F66" s="64" t="s">
        <v>254</v>
      </c>
      <c r="G66" s="59">
        <v>47848.0</v>
      </c>
      <c r="H66" s="21"/>
      <c r="I66" s="21"/>
      <c r="J66" s="81"/>
      <c r="K66" s="65" t="s">
        <v>659</v>
      </c>
      <c r="L66" s="66">
        <v>7181.0</v>
      </c>
      <c r="M66" s="70" t="e">
        <v>#N/A</v>
      </c>
      <c r="N66" s="7"/>
      <c r="O66" s="66">
        <v>7181.0</v>
      </c>
      <c r="P66" s="71"/>
    </row>
    <row r="67">
      <c r="A67" s="67" t="s">
        <v>661</v>
      </c>
      <c r="B67" s="78"/>
      <c r="C67" s="62">
        <v>0.08</v>
      </c>
      <c r="D67" s="63">
        <v>0.69</v>
      </c>
      <c r="E67" s="63">
        <v>0.69</v>
      </c>
      <c r="F67" s="64" t="s">
        <v>254</v>
      </c>
      <c r="G67" s="59">
        <v>47848.0</v>
      </c>
      <c r="H67" s="21"/>
      <c r="I67" s="21"/>
      <c r="J67" s="81"/>
      <c r="K67" s="65" t="s">
        <v>660</v>
      </c>
      <c r="L67" s="7"/>
      <c r="M67" s="70" t="e">
        <v>#N/A</v>
      </c>
      <c r="N67" s="7"/>
      <c r="O67" s="7"/>
      <c r="P67" s="71"/>
    </row>
    <row r="68">
      <c r="A68" s="67" t="s">
        <v>662</v>
      </c>
      <c r="B68" s="25">
        <v>6772.0</v>
      </c>
      <c r="C68" s="62">
        <v>0.08</v>
      </c>
      <c r="D68" s="63">
        <v>0.69</v>
      </c>
      <c r="E68" s="63">
        <v>0.69</v>
      </c>
      <c r="F68" s="64" t="s">
        <v>254</v>
      </c>
      <c r="G68" s="59">
        <v>47848.0</v>
      </c>
      <c r="H68" s="21"/>
      <c r="I68" s="21"/>
      <c r="J68" s="81"/>
      <c r="K68" s="65" t="s">
        <v>661</v>
      </c>
      <c r="L68" s="7"/>
      <c r="M68" s="70" t="e">
        <v>#N/A</v>
      </c>
      <c r="N68" s="7"/>
      <c r="O68" s="7"/>
      <c r="P68" s="71"/>
    </row>
    <row r="69">
      <c r="A69" s="67" t="s">
        <v>663</v>
      </c>
      <c r="B69" s="25">
        <v>14440.0</v>
      </c>
      <c r="C69" s="62">
        <v>0.08</v>
      </c>
      <c r="D69" s="63">
        <v>0.69</v>
      </c>
      <c r="E69" s="63">
        <v>0.69</v>
      </c>
      <c r="F69" s="64" t="s">
        <v>254</v>
      </c>
      <c r="G69" s="59">
        <v>47848.0</v>
      </c>
      <c r="H69" s="21"/>
      <c r="I69" s="21"/>
      <c r="J69" s="81"/>
      <c r="K69" s="65" t="s">
        <v>662</v>
      </c>
      <c r="L69" s="66">
        <v>6772.0</v>
      </c>
      <c r="M69" s="72">
        <v>1.0</v>
      </c>
      <c r="N69" s="7"/>
      <c r="O69" s="7"/>
      <c r="P69" s="71"/>
    </row>
    <row r="70">
      <c r="A70" s="67" t="s">
        <v>664</v>
      </c>
      <c r="B70" s="25">
        <v>14482.0</v>
      </c>
      <c r="C70" s="62">
        <v>0.08</v>
      </c>
      <c r="D70" s="63">
        <v>0.69</v>
      </c>
      <c r="E70" s="63">
        <v>0.69</v>
      </c>
      <c r="F70" s="64" t="s">
        <v>254</v>
      </c>
      <c r="G70" s="59">
        <v>47848.0</v>
      </c>
      <c r="H70" s="21"/>
      <c r="I70" s="21"/>
      <c r="J70" s="81"/>
      <c r="K70" s="65" t="s">
        <v>663</v>
      </c>
      <c r="L70" s="66">
        <v>14440.0</v>
      </c>
      <c r="M70" s="70" t="e">
        <v>#N/A</v>
      </c>
      <c r="N70" s="7"/>
      <c r="O70" s="7"/>
      <c r="P70" s="71"/>
    </row>
    <row r="71">
      <c r="A71" s="67" t="s">
        <v>665</v>
      </c>
      <c r="B71" s="42">
        <v>12553.0</v>
      </c>
      <c r="C71" s="62">
        <v>0.08</v>
      </c>
      <c r="D71" s="63">
        <v>0.69</v>
      </c>
      <c r="E71" s="63">
        <v>0.69</v>
      </c>
      <c r="F71" s="64" t="s">
        <v>254</v>
      </c>
      <c r="G71" s="59">
        <v>47848.0</v>
      </c>
      <c r="H71" s="21"/>
      <c r="I71" s="21"/>
      <c r="J71" s="81"/>
      <c r="K71" s="65" t="s">
        <v>664</v>
      </c>
      <c r="L71" s="66">
        <v>4193.0</v>
      </c>
      <c r="M71" s="72">
        <v>1.0</v>
      </c>
      <c r="N71" s="7"/>
      <c r="O71" s="7"/>
      <c r="P71" s="71"/>
    </row>
    <row r="72">
      <c r="A72" s="67" t="s">
        <v>666</v>
      </c>
      <c r="B72" s="25">
        <v>189.0</v>
      </c>
      <c r="C72" s="62">
        <v>0.08</v>
      </c>
      <c r="D72" s="76">
        <v>0.8</v>
      </c>
      <c r="E72" s="76">
        <v>0.8</v>
      </c>
      <c r="F72" s="64" t="s">
        <v>254</v>
      </c>
      <c r="G72" s="59">
        <v>47848.0</v>
      </c>
      <c r="H72" s="21"/>
      <c r="I72" s="21"/>
      <c r="J72" s="81"/>
      <c r="K72" s="65" t="s">
        <v>665</v>
      </c>
      <c r="L72" s="82">
        <v>12553.0</v>
      </c>
      <c r="M72" s="70" t="e">
        <v>#N/A</v>
      </c>
      <c r="N72" s="7"/>
      <c r="O72" s="7"/>
      <c r="P72" s="71"/>
    </row>
    <row r="73">
      <c r="A73" s="67" t="s">
        <v>667</v>
      </c>
      <c r="B73" s="25">
        <v>6143.0</v>
      </c>
      <c r="C73" s="62">
        <v>0.08</v>
      </c>
      <c r="D73" s="74">
        <v>0.8</v>
      </c>
      <c r="E73" s="74">
        <v>0.8</v>
      </c>
      <c r="F73" s="64" t="s">
        <v>254</v>
      </c>
      <c r="G73" s="59">
        <v>47848.0</v>
      </c>
      <c r="H73" s="21"/>
      <c r="I73" s="21"/>
      <c r="J73" s="81"/>
      <c r="K73" s="65" t="s">
        <v>666</v>
      </c>
      <c r="L73" s="66">
        <v>189.0</v>
      </c>
      <c r="M73" s="72">
        <v>1.0</v>
      </c>
      <c r="N73" s="7"/>
      <c r="O73" s="7"/>
      <c r="P73" s="71"/>
    </row>
    <row r="74">
      <c r="A74" s="67" t="s">
        <v>668</v>
      </c>
      <c r="B74" s="78"/>
      <c r="C74" s="62">
        <v>0.08</v>
      </c>
      <c r="D74" s="63">
        <v>0.69</v>
      </c>
      <c r="E74" s="63">
        <v>0.69</v>
      </c>
      <c r="F74" s="64" t="s">
        <v>254</v>
      </c>
      <c r="G74" s="59">
        <v>47848.0</v>
      </c>
      <c r="H74" s="21"/>
      <c r="I74" s="21"/>
      <c r="J74" s="81"/>
      <c r="K74" s="65" t="s">
        <v>667</v>
      </c>
      <c r="L74" s="66">
        <v>6143.0</v>
      </c>
      <c r="M74" s="70" t="e">
        <v>#N/A</v>
      </c>
      <c r="N74" s="7"/>
      <c r="O74" s="7"/>
      <c r="P74" s="71"/>
    </row>
    <row r="75">
      <c r="A75" s="67" t="s">
        <v>669</v>
      </c>
      <c r="B75" s="25">
        <v>6936.0</v>
      </c>
      <c r="C75" s="62">
        <v>0.08</v>
      </c>
      <c r="D75" s="63">
        <v>0.69</v>
      </c>
      <c r="E75" s="63">
        <v>0.69</v>
      </c>
      <c r="F75" s="64" t="s">
        <v>254</v>
      </c>
      <c r="G75" s="59">
        <v>47848.0</v>
      </c>
      <c r="H75" s="21"/>
      <c r="I75" s="21"/>
      <c r="J75" s="81"/>
      <c r="K75" s="65" t="s">
        <v>668</v>
      </c>
      <c r="L75" s="7"/>
      <c r="M75" s="70" t="e">
        <v>#N/A</v>
      </c>
      <c r="N75" s="7"/>
      <c r="O75" s="7"/>
      <c r="P75" s="71"/>
    </row>
    <row r="76">
      <c r="A76" s="67" t="s">
        <v>670</v>
      </c>
      <c r="B76" s="78"/>
      <c r="C76" s="62">
        <v>0.08</v>
      </c>
      <c r="D76" s="63">
        <v>0.69</v>
      </c>
      <c r="E76" s="63">
        <v>0.69</v>
      </c>
      <c r="F76" s="64" t="s">
        <v>254</v>
      </c>
      <c r="G76" s="59">
        <v>47848.0</v>
      </c>
      <c r="H76" s="21"/>
      <c r="I76" s="21"/>
      <c r="J76" s="81"/>
      <c r="K76" s="65" t="s">
        <v>669</v>
      </c>
      <c r="L76" s="66">
        <v>6936.0</v>
      </c>
      <c r="M76" s="70" t="e">
        <v>#N/A</v>
      </c>
      <c r="N76" s="7"/>
      <c r="O76" s="7"/>
      <c r="P76" s="71"/>
    </row>
    <row r="77">
      <c r="A77" s="67" t="s">
        <v>671</v>
      </c>
      <c r="B77" s="25">
        <v>13951.0</v>
      </c>
      <c r="C77" s="62">
        <v>0.08</v>
      </c>
      <c r="D77" s="63">
        <v>0.69</v>
      </c>
      <c r="E77" s="63">
        <v>0.69</v>
      </c>
      <c r="F77" s="64" t="s">
        <v>254</v>
      </c>
      <c r="G77" s="59">
        <v>47848.0</v>
      </c>
      <c r="I77" s="21"/>
      <c r="J77" s="81"/>
      <c r="K77" s="65" t="s">
        <v>670</v>
      </c>
      <c r="L77" s="7"/>
      <c r="M77" s="70" t="e">
        <v>#N/A</v>
      </c>
      <c r="N77" s="7"/>
      <c r="O77" s="7"/>
      <c r="P77" s="71"/>
    </row>
    <row r="78">
      <c r="A78" s="67" t="s">
        <v>672</v>
      </c>
      <c r="B78" s="25">
        <v>4514.0</v>
      </c>
      <c r="C78" s="62">
        <v>0.08</v>
      </c>
      <c r="D78" s="63">
        <v>0.69</v>
      </c>
      <c r="E78" s="63">
        <v>0.69</v>
      </c>
      <c r="F78" s="64" t="s">
        <v>254</v>
      </c>
      <c r="G78" s="59">
        <v>47848.0</v>
      </c>
      <c r="I78" s="21"/>
      <c r="J78" s="81"/>
      <c r="K78" s="65" t="s">
        <v>671</v>
      </c>
      <c r="L78" s="66">
        <v>13951.0</v>
      </c>
      <c r="M78" s="70" t="e">
        <v>#N/A</v>
      </c>
      <c r="N78" s="7"/>
      <c r="O78" s="7"/>
      <c r="P78" s="71"/>
    </row>
    <row r="79">
      <c r="A79" s="67" t="s">
        <v>673</v>
      </c>
      <c r="B79" s="25">
        <v>6779.0</v>
      </c>
      <c r="C79" s="62">
        <v>0.08</v>
      </c>
      <c r="D79" s="63">
        <v>0.69</v>
      </c>
      <c r="E79" s="63">
        <v>0.69</v>
      </c>
      <c r="F79" s="64" t="s">
        <v>254</v>
      </c>
      <c r="G79" s="59">
        <v>47848.0</v>
      </c>
      <c r="I79" s="21"/>
      <c r="J79" s="81"/>
      <c r="K79" s="65" t="s">
        <v>672</v>
      </c>
      <c r="L79" s="66">
        <v>4514.0</v>
      </c>
      <c r="M79" s="70" t="e">
        <v>#N/A</v>
      </c>
      <c r="N79" s="7"/>
      <c r="O79" s="7"/>
      <c r="P79" s="71"/>
    </row>
    <row r="80">
      <c r="A80" s="67" t="s">
        <v>674</v>
      </c>
      <c r="B80" s="25">
        <v>6903.0</v>
      </c>
      <c r="C80" s="62">
        <v>0.08</v>
      </c>
      <c r="D80" s="63">
        <v>0.69</v>
      </c>
      <c r="E80" s="63">
        <v>0.69</v>
      </c>
      <c r="F80" s="64" t="s">
        <v>254</v>
      </c>
      <c r="G80" s="59">
        <v>47848.0</v>
      </c>
      <c r="I80" s="21"/>
      <c r="J80" s="81"/>
      <c r="K80" s="65" t="s">
        <v>673</v>
      </c>
      <c r="L80" s="7"/>
      <c r="M80" s="70" t="e">
        <v>#N/A</v>
      </c>
      <c r="N80" s="7"/>
      <c r="O80" s="7"/>
      <c r="P80" s="71"/>
    </row>
    <row r="81">
      <c r="A81" s="67" t="s">
        <v>675</v>
      </c>
      <c r="B81" s="25">
        <v>10393.0</v>
      </c>
      <c r="C81" s="62">
        <v>0.08</v>
      </c>
      <c r="D81" s="63">
        <v>0.69</v>
      </c>
      <c r="E81" s="63">
        <v>0.69</v>
      </c>
      <c r="F81" s="64" t="s">
        <v>254</v>
      </c>
      <c r="G81" s="59">
        <v>47848.0</v>
      </c>
      <c r="I81" s="21"/>
      <c r="J81" s="81"/>
      <c r="K81" s="65" t="s">
        <v>674</v>
      </c>
      <c r="L81" s="7"/>
      <c r="M81" s="70" t="e">
        <v>#N/A</v>
      </c>
      <c r="N81" s="7"/>
      <c r="O81" s="7"/>
      <c r="P81" s="71"/>
    </row>
    <row r="82">
      <c r="A82" s="67" t="s">
        <v>676</v>
      </c>
      <c r="B82" s="25">
        <v>7003.0</v>
      </c>
      <c r="C82" s="62">
        <v>0.08</v>
      </c>
      <c r="D82" s="76">
        <v>0.8</v>
      </c>
      <c r="E82" s="76">
        <v>0.8</v>
      </c>
      <c r="F82" s="64" t="s">
        <v>254</v>
      </c>
      <c r="G82" s="59">
        <v>47848.0</v>
      </c>
      <c r="I82" s="21"/>
      <c r="J82" s="81"/>
      <c r="K82" s="65" t="s">
        <v>675</v>
      </c>
      <c r="L82" s="66">
        <v>10393.0</v>
      </c>
      <c r="M82" s="70" t="e">
        <v>#N/A</v>
      </c>
      <c r="N82" s="7"/>
      <c r="O82" s="7"/>
      <c r="P82" s="71"/>
    </row>
    <row r="83">
      <c r="A83" s="67" t="s">
        <v>677</v>
      </c>
      <c r="B83" s="25">
        <v>189.0</v>
      </c>
      <c r="C83" s="62">
        <v>0.08</v>
      </c>
      <c r="D83" s="76">
        <v>0.8</v>
      </c>
      <c r="E83" s="76">
        <v>0.8</v>
      </c>
      <c r="F83" s="64" t="s">
        <v>254</v>
      </c>
      <c r="G83" s="59">
        <v>47848.0</v>
      </c>
      <c r="I83" s="21"/>
      <c r="J83" s="81"/>
      <c r="K83" s="65" t="s">
        <v>676</v>
      </c>
      <c r="L83" s="66">
        <v>7003.0</v>
      </c>
      <c r="M83" s="72">
        <v>1.0</v>
      </c>
      <c r="N83" s="7"/>
      <c r="O83" s="66">
        <v>7003.0</v>
      </c>
      <c r="P83" s="71"/>
    </row>
    <row r="84">
      <c r="A84" s="67" t="s">
        <v>678</v>
      </c>
      <c r="B84" s="25">
        <v>189.0</v>
      </c>
      <c r="C84" s="62">
        <v>0.08</v>
      </c>
      <c r="D84" s="76">
        <v>0.8</v>
      </c>
      <c r="E84" s="76">
        <v>0.8</v>
      </c>
      <c r="F84" s="64" t="s">
        <v>254</v>
      </c>
      <c r="G84" s="59">
        <v>47848.0</v>
      </c>
      <c r="I84" s="21"/>
      <c r="J84" s="81"/>
      <c r="K84" s="65" t="s">
        <v>677</v>
      </c>
      <c r="L84" s="66">
        <v>189.0</v>
      </c>
      <c r="M84" s="72">
        <v>1.0</v>
      </c>
      <c r="N84" s="7"/>
      <c r="O84" s="7"/>
      <c r="P84" s="71"/>
    </row>
    <row r="85">
      <c r="A85" s="67" t="s">
        <v>679</v>
      </c>
      <c r="B85" s="25">
        <v>6675.0</v>
      </c>
      <c r="C85" s="62">
        <v>0.08</v>
      </c>
      <c r="D85" s="74">
        <v>0.9</v>
      </c>
      <c r="E85" s="74">
        <v>0.9</v>
      </c>
      <c r="F85" s="64" t="s">
        <v>254</v>
      </c>
      <c r="G85" s="59">
        <v>47848.0</v>
      </c>
      <c r="I85" s="21"/>
      <c r="J85" s="81"/>
      <c r="K85" s="65" t="s">
        <v>678</v>
      </c>
      <c r="L85" s="66">
        <v>189.0</v>
      </c>
      <c r="M85" s="70" t="e">
        <v>#N/A</v>
      </c>
      <c r="N85" s="7"/>
      <c r="O85" s="7"/>
      <c r="P85" s="71"/>
    </row>
    <row r="86">
      <c r="A86" s="67" t="s">
        <v>680</v>
      </c>
      <c r="B86" s="25">
        <v>189.0</v>
      </c>
      <c r="C86" s="62">
        <v>0.08</v>
      </c>
      <c r="D86" s="76">
        <v>0.8</v>
      </c>
      <c r="E86" s="76">
        <v>0.8</v>
      </c>
      <c r="F86" s="64" t="s">
        <v>254</v>
      </c>
      <c r="G86" s="59">
        <v>47848.0</v>
      </c>
      <c r="I86" s="21"/>
      <c r="J86" s="81"/>
      <c r="K86" s="65" t="s">
        <v>679</v>
      </c>
      <c r="L86" s="66">
        <v>6675.0</v>
      </c>
      <c r="M86" s="70" t="e">
        <v>#N/A</v>
      </c>
      <c r="N86" s="7"/>
      <c r="O86" s="7"/>
      <c r="P86" s="71"/>
    </row>
    <row r="87">
      <c r="A87" s="67" t="s">
        <v>681</v>
      </c>
      <c r="B87" s="25">
        <v>9307.0</v>
      </c>
      <c r="C87" s="62">
        <v>0.08</v>
      </c>
      <c r="D87" s="63">
        <v>0.69</v>
      </c>
      <c r="E87" s="63">
        <v>0.69</v>
      </c>
      <c r="F87" s="64" t="s">
        <v>254</v>
      </c>
      <c r="G87" s="59">
        <v>47848.0</v>
      </c>
      <c r="I87" s="21"/>
      <c r="J87" s="81"/>
      <c r="K87" s="65" t="s">
        <v>680</v>
      </c>
      <c r="L87" s="66">
        <v>189.0</v>
      </c>
      <c r="M87" s="72">
        <v>1.0</v>
      </c>
      <c r="N87" s="7"/>
      <c r="O87" s="7"/>
      <c r="P87" s="71"/>
    </row>
    <row r="88">
      <c r="A88" s="67" t="s">
        <v>682</v>
      </c>
      <c r="B88" s="25">
        <v>189.0</v>
      </c>
      <c r="C88" s="62">
        <v>0.08</v>
      </c>
      <c r="D88" s="76">
        <v>0.8</v>
      </c>
      <c r="E88" s="76">
        <v>0.8</v>
      </c>
      <c r="F88" s="64" t="s">
        <v>254</v>
      </c>
      <c r="G88" s="59">
        <v>47848.0</v>
      </c>
      <c r="I88" s="21"/>
      <c r="J88" s="81"/>
      <c r="K88" s="65" t="s">
        <v>681</v>
      </c>
      <c r="L88" s="66">
        <v>9307.0</v>
      </c>
      <c r="M88" s="72">
        <v>1.0</v>
      </c>
      <c r="N88" s="7"/>
      <c r="O88" s="7"/>
      <c r="P88" s="71"/>
    </row>
    <row r="89">
      <c r="A89" s="67" t="s">
        <v>683</v>
      </c>
      <c r="B89" s="25">
        <v>6785.0</v>
      </c>
      <c r="C89" s="62">
        <v>0.08</v>
      </c>
      <c r="D89" s="63">
        <v>0.69</v>
      </c>
      <c r="E89" s="63">
        <v>0.69</v>
      </c>
      <c r="F89" s="64" t="s">
        <v>254</v>
      </c>
      <c r="G89" s="59">
        <v>47848.0</v>
      </c>
      <c r="I89" s="21"/>
      <c r="J89" s="81"/>
      <c r="K89" s="65" t="s">
        <v>682</v>
      </c>
      <c r="L89" s="66">
        <v>189.0</v>
      </c>
      <c r="M89" s="72">
        <v>1.0</v>
      </c>
      <c r="N89" s="7"/>
      <c r="O89" s="7"/>
      <c r="P89" s="65"/>
    </row>
    <row r="90">
      <c r="A90" s="67" t="s">
        <v>684</v>
      </c>
      <c r="B90" s="25">
        <v>189.0</v>
      </c>
      <c r="C90" s="62">
        <v>0.08</v>
      </c>
      <c r="D90" s="76">
        <v>0.8</v>
      </c>
      <c r="E90" s="76">
        <v>0.8</v>
      </c>
      <c r="F90" s="64" t="s">
        <v>254</v>
      </c>
      <c r="G90" s="59">
        <v>47848.0</v>
      </c>
      <c r="I90" s="21"/>
      <c r="J90" s="81"/>
      <c r="K90" s="65" t="s">
        <v>683</v>
      </c>
      <c r="L90" s="66">
        <v>6785.0</v>
      </c>
      <c r="M90" s="72">
        <v>1.0</v>
      </c>
      <c r="N90" s="7"/>
      <c r="O90" s="7"/>
      <c r="P90" s="65"/>
    </row>
    <row r="91">
      <c r="A91" s="67" t="s">
        <v>685</v>
      </c>
      <c r="B91" s="25">
        <v>6827.0</v>
      </c>
      <c r="C91" s="62">
        <v>0.08</v>
      </c>
      <c r="D91" s="63">
        <v>0.69</v>
      </c>
      <c r="E91" s="63">
        <v>0.69</v>
      </c>
      <c r="F91" s="64" t="s">
        <v>254</v>
      </c>
      <c r="G91" s="59">
        <v>47848.0</v>
      </c>
      <c r="K91" s="65" t="s">
        <v>684</v>
      </c>
      <c r="L91" s="66">
        <v>189.0</v>
      </c>
      <c r="M91" s="72">
        <v>1.0</v>
      </c>
      <c r="N91" s="7"/>
      <c r="O91" s="7"/>
      <c r="P91" s="65"/>
    </row>
    <row r="92">
      <c r="A92" s="67" t="s">
        <v>686</v>
      </c>
      <c r="B92" s="78"/>
      <c r="C92" s="62">
        <v>0.08</v>
      </c>
      <c r="D92" s="63">
        <v>0.69</v>
      </c>
      <c r="E92" s="63">
        <v>0.69</v>
      </c>
      <c r="F92" s="64" t="s">
        <v>254</v>
      </c>
      <c r="G92" s="59">
        <v>47848.0</v>
      </c>
      <c r="K92" s="65" t="s">
        <v>685</v>
      </c>
      <c r="L92" s="66">
        <v>6827.0</v>
      </c>
      <c r="M92" s="70" t="e">
        <v>#N/A</v>
      </c>
      <c r="N92" s="7"/>
      <c r="O92" s="7"/>
      <c r="P92" s="65"/>
    </row>
    <row r="93">
      <c r="A93" s="67" t="s">
        <v>687</v>
      </c>
      <c r="B93" s="25">
        <v>2345.0</v>
      </c>
      <c r="C93" s="62">
        <v>0.08</v>
      </c>
      <c r="D93" s="74">
        <v>0.9</v>
      </c>
      <c r="E93" s="74">
        <v>0.9</v>
      </c>
      <c r="F93" s="64" t="s">
        <v>254</v>
      </c>
      <c r="G93" s="59">
        <v>47848.0</v>
      </c>
      <c r="K93" s="65" t="s">
        <v>686</v>
      </c>
      <c r="L93" s="7"/>
      <c r="M93" s="70" t="e">
        <v>#N/A</v>
      </c>
      <c r="N93" s="7"/>
      <c r="O93" s="7"/>
      <c r="P93" s="65"/>
    </row>
    <row r="94">
      <c r="A94" s="67" t="s">
        <v>688</v>
      </c>
      <c r="B94" s="25">
        <v>2345.0</v>
      </c>
      <c r="C94" s="62">
        <v>0.08</v>
      </c>
      <c r="D94" s="74">
        <v>0.9</v>
      </c>
      <c r="E94" s="74">
        <v>0.9</v>
      </c>
      <c r="F94" s="64" t="s">
        <v>254</v>
      </c>
      <c r="G94" s="59">
        <v>47848.0</v>
      </c>
      <c r="K94" s="65" t="s">
        <v>687</v>
      </c>
      <c r="L94" s="66">
        <v>2345.0</v>
      </c>
      <c r="M94" s="72">
        <v>1.0</v>
      </c>
      <c r="N94" s="7"/>
      <c r="O94" s="7"/>
      <c r="P94" s="65"/>
    </row>
    <row r="95">
      <c r="A95" s="67" t="s">
        <v>689</v>
      </c>
      <c r="B95" s="25">
        <v>2345.0</v>
      </c>
      <c r="C95" s="62">
        <v>0.08</v>
      </c>
      <c r="D95" s="74">
        <v>0.9</v>
      </c>
      <c r="E95" s="74">
        <v>0.9</v>
      </c>
      <c r="F95" s="64" t="s">
        <v>254</v>
      </c>
      <c r="G95" s="59">
        <v>47848.0</v>
      </c>
      <c r="K95" s="65" t="s">
        <v>688</v>
      </c>
      <c r="L95" s="66">
        <v>2345.0</v>
      </c>
      <c r="M95" s="70" t="e">
        <v>#N/A</v>
      </c>
      <c r="N95" s="7"/>
      <c r="O95" s="7"/>
      <c r="P95" s="65"/>
    </row>
    <row r="96">
      <c r="A96" s="67" t="s">
        <v>690</v>
      </c>
      <c r="B96" s="25">
        <v>2345.0</v>
      </c>
      <c r="C96" s="62">
        <v>0.08</v>
      </c>
      <c r="D96" s="74">
        <v>0.9</v>
      </c>
      <c r="E96" s="74">
        <v>0.9</v>
      </c>
      <c r="F96" s="64" t="s">
        <v>254</v>
      </c>
      <c r="G96" s="59">
        <v>47848.0</v>
      </c>
      <c r="K96" s="65" t="s">
        <v>689</v>
      </c>
      <c r="L96" s="66">
        <v>2345.0</v>
      </c>
      <c r="M96" s="72">
        <v>1.0</v>
      </c>
      <c r="N96" s="7"/>
      <c r="O96" s="7"/>
      <c r="P96" s="65"/>
    </row>
    <row r="97">
      <c r="A97" s="67" t="s">
        <v>691</v>
      </c>
      <c r="B97" s="25">
        <v>2345.0</v>
      </c>
      <c r="C97" s="62">
        <v>0.08</v>
      </c>
      <c r="D97" s="74">
        <v>0.9</v>
      </c>
      <c r="E97" s="74">
        <v>0.9</v>
      </c>
      <c r="F97" s="64" t="s">
        <v>254</v>
      </c>
      <c r="G97" s="59">
        <v>47848.0</v>
      </c>
      <c r="K97" s="65" t="s">
        <v>690</v>
      </c>
      <c r="L97" s="66">
        <v>2345.0</v>
      </c>
      <c r="M97" s="72">
        <v>1.0</v>
      </c>
      <c r="N97" s="7"/>
      <c r="O97" s="7"/>
      <c r="P97" s="65"/>
    </row>
    <row r="98">
      <c r="A98" s="67" t="s">
        <v>692</v>
      </c>
      <c r="B98" s="25">
        <v>2345.0</v>
      </c>
      <c r="C98" s="62">
        <v>0.08</v>
      </c>
      <c r="D98" s="74">
        <v>0.9</v>
      </c>
      <c r="E98" s="74">
        <v>0.9</v>
      </c>
      <c r="F98" s="64" t="s">
        <v>254</v>
      </c>
      <c r="G98" s="59">
        <v>47848.0</v>
      </c>
      <c r="K98" s="65" t="s">
        <v>691</v>
      </c>
      <c r="L98" s="66">
        <v>2345.0</v>
      </c>
      <c r="M98" s="72">
        <v>1.0</v>
      </c>
      <c r="N98" s="7"/>
      <c r="O98" s="7"/>
      <c r="P98" s="65"/>
    </row>
    <row r="99">
      <c r="A99" s="67" t="s">
        <v>693</v>
      </c>
      <c r="B99" s="25">
        <v>2345.0</v>
      </c>
      <c r="C99" s="62">
        <v>0.08</v>
      </c>
      <c r="D99" s="74">
        <v>0.9</v>
      </c>
      <c r="E99" s="74">
        <v>0.9</v>
      </c>
      <c r="F99" s="64" t="s">
        <v>254</v>
      </c>
      <c r="G99" s="59">
        <v>47848.0</v>
      </c>
      <c r="K99" s="65" t="s">
        <v>692</v>
      </c>
      <c r="L99" s="66">
        <v>2345.0</v>
      </c>
      <c r="M99" s="70" t="e">
        <v>#N/A</v>
      </c>
      <c r="N99" s="7"/>
      <c r="O99" s="7"/>
      <c r="P99" s="65"/>
    </row>
    <row r="100">
      <c r="A100" s="67" t="s">
        <v>694</v>
      </c>
      <c r="B100" s="25">
        <v>2345.0</v>
      </c>
      <c r="C100" s="62">
        <v>0.08</v>
      </c>
      <c r="D100" s="74">
        <v>0.9</v>
      </c>
      <c r="E100" s="74">
        <v>0.9</v>
      </c>
      <c r="F100" s="64" t="s">
        <v>254</v>
      </c>
      <c r="G100" s="59">
        <v>47848.0</v>
      </c>
      <c r="K100" s="65" t="s">
        <v>693</v>
      </c>
      <c r="L100" s="66">
        <v>2345.0</v>
      </c>
      <c r="M100" s="72">
        <v>1.0</v>
      </c>
      <c r="N100" s="7"/>
      <c r="O100" s="7"/>
      <c r="P100" s="65"/>
    </row>
    <row r="101">
      <c r="A101" s="67" t="s">
        <v>695</v>
      </c>
      <c r="B101" s="25">
        <v>2345.0</v>
      </c>
      <c r="C101" s="62">
        <v>0.08</v>
      </c>
      <c r="D101" s="74">
        <v>0.9</v>
      </c>
      <c r="E101" s="74">
        <v>0.9</v>
      </c>
      <c r="F101" s="64" t="s">
        <v>254</v>
      </c>
      <c r="G101" s="59">
        <v>47848.0</v>
      </c>
      <c r="K101" s="65" t="s">
        <v>694</v>
      </c>
      <c r="L101" s="66">
        <v>2345.0</v>
      </c>
      <c r="M101" s="72">
        <v>1.0</v>
      </c>
      <c r="N101" s="7"/>
      <c r="O101" s="7"/>
      <c r="P101" s="65"/>
    </row>
    <row r="102">
      <c r="A102" s="67" t="s">
        <v>696</v>
      </c>
      <c r="B102" s="25">
        <v>2345.0</v>
      </c>
      <c r="C102" s="62">
        <v>0.08</v>
      </c>
      <c r="D102" s="74">
        <v>0.9</v>
      </c>
      <c r="E102" s="74">
        <v>0.9</v>
      </c>
      <c r="F102" s="64" t="s">
        <v>254</v>
      </c>
      <c r="G102" s="59">
        <v>47848.0</v>
      </c>
      <c r="K102" s="65" t="s">
        <v>695</v>
      </c>
      <c r="L102" s="66">
        <v>2345.0</v>
      </c>
      <c r="M102" s="72">
        <v>1.0</v>
      </c>
      <c r="N102" s="7"/>
      <c r="O102" s="7"/>
      <c r="P102" s="65"/>
    </row>
    <row r="103">
      <c r="A103" s="67" t="s">
        <v>697</v>
      </c>
      <c r="B103" s="78"/>
      <c r="C103" s="62">
        <v>0.08</v>
      </c>
      <c r="D103" s="63">
        <v>0.69</v>
      </c>
      <c r="E103" s="63">
        <v>0.69</v>
      </c>
      <c r="F103" s="64" t="s">
        <v>254</v>
      </c>
      <c r="G103" s="59">
        <v>47848.0</v>
      </c>
      <c r="K103" s="65" t="s">
        <v>696</v>
      </c>
      <c r="L103" s="66">
        <v>2345.0</v>
      </c>
      <c r="M103" s="72">
        <v>1.0</v>
      </c>
      <c r="N103" s="7"/>
      <c r="O103" s="7"/>
      <c r="P103" s="65"/>
    </row>
    <row r="104">
      <c r="A104" s="67" t="s">
        <v>698</v>
      </c>
      <c r="B104" s="25">
        <v>12932.0</v>
      </c>
      <c r="C104" s="62">
        <v>0.08</v>
      </c>
      <c r="D104" s="63">
        <v>0.69</v>
      </c>
      <c r="E104" s="63">
        <v>0.69</v>
      </c>
      <c r="F104" s="64" t="s">
        <v>254</v>
      </c>
      <c r="G104" s="59">
        <v>47848.0</v>
      </c>
      <c r="K104" s="65" t="s">
        <v>697</v>
      </c>
      <c r="L104" s="7"/>
      <c r="M104" s="70" t="e">
        <v>#N/A</v>
      </c>
      <c r="N104" s="7"/>
      <c r="O104" s="7"/>
      <c r="P104" s="65"/>
    </row>
    <row r="105">
      <c r="A105" s="67" t="s">
        <v>699</v>
      </c>
      <c r="B105" s="37">
        <v>8002.0</v>
      </c>
      <c r="C105" s="62">
        <v>0.08</v>
      </c>
      <c r="D105" s="63">
        <v>0.69</v>
      </c>
      <c r="E105" s="63">
        <v>0.69</v>
      </c>
      <c r="F105" s="64" t="s">
        <v>254</v>
      </c>
      <c r="G105" s="59">
        <v>47848.0</v>
      </c>
      <c r="K105" s="65" t="s">
        <v>698</v>
      </c>
      <c r="L105" s="66">
        <v>12932.0</v>
      </c>
      <c r="M105" s="70" t="e">
        <v>#N/A</v>
      </c>
      <c r="N105" s="7"/>
      <c r="O105" s="7"/>
      <c r="P105" s="65"/>
    </row>
    <row r="106">
      <c r="A106" s="67" t="s">
        <v>700</v>
      </c>
      <c r="B106" s="25">
        <v>6802.0</v>
      </c>
      <c r="C106" s="62">
        <v>0.08</v>
      </c>
      <c r="D106" s="63">
        <v>0.69</v>
      </c>
      <c r="E106" s="63">
        <v>0.69</v>
      </c>
      <c r="F106" s="64" t="s">
        <v>254</v>
      </c>
      <c r="G106" s="59">
        <v>47848.0</v>
      </c>
      <c r="K106" s="65" t="s">
        <v>699</v>
      </c>
      <c r="L106" s="7"/>
      <c r="M106" s="70" t="e">
        <v>#N/A</v>
      </c>
      <c r="N106" s="7"/>
      <c r="O106" s="7"/>
      <c r="P106" s="65"/>
    </row>
    <row r="107">
      <c r="A107" s="67" t="s">
        <v>701</v>
      </c>
      <c r="B107" s="25">
        <v>14516.0</v>
      </c>
      <c r="C107" s="62">
        <v>0.08</v>
      </c>
      <c r="D107" s="63">
        <v>0.69</v>
      </c>
      <c r="E107" s="63">
        <v>0.69</v>
      </c>
      <c r="F107" s="64" t="s">
        <v>254</v>
      </c>
      <c r="G107" s="59">
        <v>47848.0</v>
      </c>
      <c r="K107" s="65" t="s">
        <v>700</v>
      </c>
      <c r="L107" s="66">
        <v>6802.0</v>
      </c>
      <c r="M107" s="72">
        <v>1.0</v>
      </c>
      <c r="N107" s="7"/>
      <c r="O107" s="7"/>
      <c r="P107" s="65"/>
    </row>
    <row r="108">
      <c r="A108" s="67" t="s">
        <v>702</v>
      </c>
      <c r="B108" s="25">
        <v>12553.0</v>
      </c>
      <c r="C108" s="62">
        <v>0.08</v>
      </c>
      <c r="D108" s="63">
        <v>0.69</v>
      </c>
      <c r="E108" s="63">
        <v>0.69</v>
      </c>
      <c r="F108" s="64" t="s">
        <v>254</v>
      </c>
      <c r="G108" s="59">
        <v>47848.0</v>
      </c>
      <c r="K108" s="65" t="s">
        <v>701</v>
      </c>
      <c r="L108" s="7"/>
      <c r="M108" s="70" t="e">
        <v>#N/A</v>
      </c>
      <c r="N108" s="7"/>
      <c r="O108" s="7"/>
      <c r="P108" s="65"/>
    </row>
    <row r="109">
      <c r="A109" s="67" t="s">
        <v>703</v>
      </c>
      <c r="B109" s="25">
        <v>6675.0</v>
      </c>
      <c r="C109" s="62">
        <v>0.08</v>
      </c>
      <c r="D109" s="74">
        <v>0.9</v>
      </c>
      <c r="E109" s="74">
        <v>0.9</v>
      </c>
      <c r="F109" s="64" t="s">
        <v>254</v>
      </c>
      <c r="G109" s="59">
        <v>47848.0</v>
      </c>
      <c r="K109" s="65" t="s">
        <v>702</v>
      </c>
      <c r="L109" s="7"/>
      <c r="M109" s="70" t="e">
        <v>#N/A</v>
      </c>
      <c r="N109" s="7"/>
      <c r="O109" s="7"/>
      <c r="P109" s="65"/>
    </row>
    <row r="110">
      <c r="A110" s="67" t="s">
        <v>704</v>
      </c>
      <c r="B110" s="25">
        <v>6727.0</v>
      </c>
      <c r="C110" s="62">
        <v>0.08</v>
      </c>
      <c r="D110" s="63">
        <v>0.69</v>
      </c>
      <c r="E110" s="63">
        <v>0.69</v>
      </c>
      <c r="F110" s="64" t="s">
        <v>254</v>
      </c>
      <c r="G110" s="59">
        <v>47848.0</v>
      </c>
      <c r="K110" s="65" t="s">
        <v>703</v>
      </c>
      <c r="L110" s="66">
        <v>6675.0</v>
      </c>
      <c r="M110" s="72">
        <v>1.0</v>
      </c>
      <c r="N110" s="7"/>
      <c r="O110" s="7"/>
      <c r="P110" s="65"/>
    </row>
    <row r="111">
      <c r="A111" s="67" t="s">
        <v>705</v>
      </c>
      <c r="B111" s="78"/>
      <c r="C111" s="62">
        <v>0.08</v>
      </c>
      <c r="D111" s="63">
        <v>0.69</v>
      </c>
      <c r="E111" s="63">
        <v>0.69</v>
      </c>
      <c r="F111" s="64" t="s">
        <v>254</v>
      </c>
      <c r="G111" s="59">
        <v>47848.0</v>
      </c>
      <c r="K111" s="65" t="s">
        <v>704</v>
      </c>
      <c r="L111" s="66">
        <v>6727.0</v>
      </c>
      <c r="M111" s="70" t="e">
        <v>#N/A</v>
      </c>
      <c r="N111" s="7"/>
      <c r="O111" s="7"/>
      <c r="P111" s="65"/>
    </row>
    <row r="112">
      <c r="A112" s="67" t="s">
        <v>706</v>
      </c>
      <c r="B112" s="25">
        <v>7157.0</v>
      </c>
      <c r="C112" s="62">
        <v>0.08</v>
      </c>
      <c r="D112" s="63">
        <v>0.69</v>
      </c>
      <c r="E112" s="63">
        <v>0.69</v>
      </c>
      <c r="F112" s="64" t="s">
        <v>254</v>
      </c>
      <c r="G112" s="59">
        <v>47848.0</v>
      </c>
      <c r="K112" s="65" t="s">
        <v>705</v>
      </c>
      <c r="L112" s="65"/>
      <c r="M112" s="70" t="e">
        <v>#N/A</v>
      </c>
      <c r="N112" s="7"/>
      <c r="O112" s="7"/>
      <c r="P112" s="65"/>
    </row>
    <row r="113">
      <c r="A113" s="67" t="s">
        <v>707</v>
      </c>
      <c r="B113" s="25">
        <v>283.0</v>
      </c>
      <c r="C113" s="62">
        <v>0.08</v>
      </c>
      <c r="D113" s="63">
        <v>0.69</v>
      </c>
      <c r="E113" s="63">
        <v>0.69</v>
      </c>
      <c r="F113" s="64" t="s">
        <v>254</v>
      </c>
      <c r="G113" s="59">
        <v>47848.0</v>
      </c>
      <c r="K113" s="65" t="s">
        <v>706</v>
      </c>
      <c r="L113" s="66">
        <v>7157.0</v>
      </c>
      <c r="M113" s="72">
        <v>1.0</v>
      </c>
      <c r="N113" s="7"/>
      <c r="O113" s="7"/>
      <c r="P113" s="65"/>
    </row>
    <row r="114">
      <c r="A114" s="67" t="s">
        <v>708</v>
      </c>
      <c r="B114" s="25">
        <v>6729.0</v>
      </c>
      <c r="C114" s="62">
        <v>0.08</v>
      </c>
      <c r="D114" s="76">
        <v>0.8</v>
      </c>
      <c r="E114" s="76">
        <v>0.8</v>
      </c>
      <c r="F114" s="64" t="s">
        <v>254</v>
      </c>
      <c r="G114" s="59">
        <v>47848.0</v>
      </c>
      <c r="K114" s="65" t="s">
        <v>707</v>
      </c>
      <c r="L114" s="66">
        <v>283.0</v>
      </c>
      <c r="M114" s="72">
        <v>1.0</v>
      </c>
      <c r="N114" s="7"/>
      <c r="O114" s="7"/>
      <c r="P114" s="65"/>
    </row>
    <row r="115">
      <c r="A115" s="67" t="s">
        <v>709</v>
      </c>
      <c r="B115" s="25">
        <v>14659.0</v>
      </c>
      <c r="C115" s="62">
        <v>0.08</v>
      </c>
      <c r="D115" s="63">
        <v>0.69</v>
      </c>
      <c r="E115" s="63">
        <v>0.69</v>
      </c>
      <c r="F115" s="64" t="s">
        <v>254</v>
      </c>
      <c r="G115" s="59">
        <v>47848.0</v>
      </c>
      <c r="K115" s="65" t="s">
        <v>708</v>
      </c>
      <c r="L115" s="5">
        <v>6729.0</v>
      </c>
      <c r="M115" s="72">
        <v>1.0</v>
      </c>
      <c r="N115" s="7"/>
      <c r="O115" s="7"/>
      <c r="P115" s="65"/>
    </row>
    <row r="116">
      <c r="A116" s="67" t="s">
        <v>710</v>
      </c>
      <c r="B116" s="25">
        <v>5389.0</v>
      </c>
      <c r="C116" s="62">
        <v>0.08</v>
      </c>
      <c r="D116" s="63">
        <v>0.69</v>
      </c>
      <c r="E116" s="63">
        <v>0.69</v>
      </c>
      <c r="F116" s="64" t="s">
        <v>254</v>
      </c>
      <c r="G116" s="59">
        <v>47848.0</v>
      </c>
      <c r="K116" s="65" t="s">
        <v>709</v>
      </c>
      <c r="L116" s="7"/>
      <c r="M116" s="70" t="e">
        <v>#N/A</v>
      </c>
      <c r="N116" s="7"/>
      <c r="O116" s="7"/>
      <c r="P116" s="65"/>
    </row>
    <row r="117">
      <c r="A117" s="67" t="s">
        <v>711</v>
      </c>
      <c r="B117" s="37">
        <v>7747.0</v>
      </c>
      <c r="C117" s="62">
        <v>0.08</v>
      </c>
      <c r="D117" s="63">
        <v>0.69</v>
      </c>
      <c r="E117" s="63">
        <v>0.69</v>
      </c>
      <c r="F117" s="64" t="s">
        <v>254</v>
      </c>
      <c r="G117" s="59">
        <v>47848.0</v>
      </c>
      <c r="K117" s="65" t="s">
        <v>710</v>
      </c>
      <c r="L117" s="66">
        <v>5389.0</v>
      </c>
      <c r="M117" s="72">
        <v>1.0</v>
      </c>
      <c r="N117" s="7"/>
      <c r="O117" s="7"/>
      <c r="P117" s="65"/>
    </row>
    <row r="118">
      <c r="A118" s="67" t="s">
        <v>712</v>
      </c>
      <c r="B118" s="25">
        <v>11104.0</v>
      </c>
      <c r="C118" s="62">
        <v>0.08</v>
      </c>
      <c r="D118" s="63">
        <v>0.69</v>
      </c>
      <c r="E118" s="63">
        <v>0.69</v>
      </c>
      <c r="F118" s="64" t="s">
        <v>254</v>
      </c>
      <c r="G118" s="59">
        <v>47848.0</v>
      </c>
      <c r="K118" s="65" t="s">
        <v>711</v>
      </c>
      <c r="L118" s="7"/>
      <c r="M118" s="70" t="e">
        <v>#N/A</v>
      </c>
      <c r="N118" s="7"/>
      <c r="O118" s="7"/>
      <c r="P118" s="65"/>
    </row>
    <row r="119">
      <c r="A119" s="67" t="s">
        <v>713</v>
      </c>
      <c r="B119" s="25">
        <v>14004.0</v>
      </c>
      <c r="C119" s="62">
        <v>0.08</v>
      </c>
      <c r="D119" s="63">
        <v>0.69</v>
      </c>
      <c r="E119" s="63">
        <v>0.69</v>
      </c>
      <c r="F119" s="64" t="s">
        <v>254</v>
      </c>
      <c r="G119" s="59">
        <v>47848.0</v>
      </c>
      <c r="K119" s="65" t="s">
        <v>712</v>
      </c>
      <c r="L119" s="66">
        <v>11104.0</v>
      </c>
      <c r="M119" s="70" t="e">
        <v>#N/A</v>
      </c>
      <c r="N119" s="7"/>
      <c r="O119" s="7"/>
      <c r="P119" s="65"/>
    </row>
    <row r="120">
      <c r="A120" s="67" t="s">
        <v>714</v>
      </c>
      <c r="B120" s="25">
        <v>499.0</v>
      </c>
      <c r="C120" s="62">
        <v>0.08</v>
      </c>
      <c r="D120" s="63">
        <v>0.69</v>
      </c>
      <c r="E120" s="63">
        <v>0.69</v>
      </c>
      <c r="F120" s="64" t="s">
        <v>254</v>
      </c>
      <c r="G120" s="59">
        <v>47848.0</v>
      </c>
      <c r="K120" s="65" t="s">
        <v>713</v>
      </c>
      <c r="L120" s="66">
        <v>14004.0</v>
      </c>
      <c r="M120" s="70" t="e">
        <v>#N/A</v>
      </c>
      <c r="N120" s="7"/>
      <c r="O120" s="7"/>
      <c r="P120" s="65"/>
    </row>
    <row r="121">
      <c r="A121" s="67" t="s">
        <v>715</v>
      </c>
      <c r="B121" s="78"/>
      <c r="C121" s="62">
        <v>0.08</v>
      </c>
      <c r="D121" s="63">
        <v>0.69</v>
      </c>
      <c r="E121" s="63">
        <v>0.69</v>
      </c>
      <c r="F121" s="64" t="s">
        <v>254</v>
      </c>
      <c r="G121" s="59">
        <v>47848.0</v>
      </c>
      <c r="K121" s="65" t="s">
        <v>714</v>
      </c>
      <c r="L121" s="7"/>
      <c r="M121" s="70" t="e">
        <v>#N/A</v>
      </c>
      <c r="N121" s="7"/>
      <c r="O121" s="7"/>
      <c r="P121" s="65"/>
    </row>
    <row r="122">
      <c r="A122" s="67" t="s">
        <v>716</v>
      </c>
      <c r="B122" s="25">
        <v>12388.0</v>
      </c>
      <c r="C122" s="62">
        <v>0.08</v>
      </c>
      <c r="D122" s="63">
        <v>0.69</v>
      </c>
      <c r="E122" s="63">
        <v>0.69</v>
      </c>
      <c r="F122" s="64" t="s">
        <v>254</v>
      </c>
      <c r="G122" s="59">
        <v>47848.0</v>
      </c>
      <c r="K122" s="65" t="s">
        <v>715</v>
      </c>
      <c r="L122" s="7"/>
      <c r="M122" s="70" t="e">
        <v>#N/A</v>
      </c>
      <c r="N122" s="7"/>
      <c r="O122" s="7"/>
      <c r="P122" s="65"/>
    </row>
    <row r="123">
      <c r="A123" s="67" t="s">
        <v>717</v>
      </c>
      <c r="B123" s="25">
        <v>6873.0</v>
      </c>
      <c r="C123" s="62">
        <v>0.08</v>
      </c>
      <c r="D123" s="63">
        <v>0.69</v>
      </c>
      <c r="E123" s="63">
        <v>0.69</v>
      </c>
      <c r="F123" s="64" t="s">
        <v>254</v>
      </c>
      <c r="G123" s="59">
        <v>47848.0</v>
      </c>
      <c r="K123" s="65" t="s">
        <v>716</v>
      </c>
      <c r="L123" s="7"/>
      <c r="M123" s="70" t="e">
        <v>#N/A</v>
      </c>
      <c r="N123" s="7"/>
      <c r="O123" s="7"/>
      <c r="P123" s="65"/>
    </row>
    <row r="124">
      <c r="A124" s="67" t="s">
        <v>718</v>
      </c>
      <c r="B124" s="78"/>
      <c r="C124" s="62">
        <v>0.08</v>
      </c>
      <c r="D124" s="63">
        <v>0.69</v>
      </c>
      <c r="E124" s="63">
        <v>0.69</v>
      </c>
      <c r="F124" s="64" t="s">
        <v>254</v>
      </c>
      <c r="G124" s="59">
        <v>47848.0</v>
      </c>
      <c r="K124" s="65" t="s">
        <v>717</v>
      </c>
      <c r="L124" s="66">
        <v>6873.0</v>
      </c>
      <c r="M124" s="70" t="e">
        <v>#N/A</v>
      </c>
      <c r="N124" s="7"/>
      <c r="O124" s="7"/>
      <c r="P124" s="65"/>
    </row>
    <row r="125">
      <c r="A125" s="67" t="s">
        <v>719</v>
      </c>
      <c r="B125" s="78"/>
      <c r="C125" s="62">
        <v>0.08</v>
      </c>
      <c r="D125" s="63">
        <v>0.69</v>
      </c>
      <c r="E125" s="63">
        <v>0.69</v>
      </c>
      <c r="F125" s="64" t="s">
        <v>254</v>
      </c>
      <c r="G125" s="59">
        <v>47848.0</v>
      </c>
      <c r="K125" s="65" t="s">
        <v>718</v>
      </c>
      <c r="L125" s="7"/>
      <c r="M125" s="70" t="e">
        <v>#N/A</v>
      </c>
      <c r="N125" s="7"/>
      <c r="O125" s="7"/>
      <c r="P125" s="65"/>
    </row>
    <row r="126">
      <c r="A126" s="67" t="s">
        <v>720</v>
      </c>
      <c r="B126" s="25">
        <v>12078.0</v>
      </c>
      <c r="C126" s="62">
        <v>0.08</v>
      </c>
      <c r="D126" s="63">
        <v>0.69</v>
      </c>
      <c r="E126" s="63">
        <v>0.69</v>
      </c>
      <c r="F126" s="64" t="s">
        <v>254</v>
      </c>
      <c r="G126" s="59">
        <v>47848.0</v>
      </c>
      <c r="K126" s="65" t="s">
        <v>719</v>
      </c>
      <c r="L126" s="7"/>
      <c r="M126" s="70" t="e">
        <v>#N/A</v>
      </c>
      <c r="N126" s="7"/>
      <c r="O126" s="7"/>
      <c r="P126" s="65"/>
    </row>
    <row r="127">
      <c r="A127" s="67" t="s">
        <v>721</v>
      </c>
      <c r="B127" s="25">
        <v>14580.0</v>
      </c>
      <c r="C127" s="62">
        <v>0.08</v>
      </c>
      <c r="D127" s="63">
        <v>0.69</v>
      </c>
      <c r="E127" s="63">
        <v>0.69</v>
      </c>
      <c r="F127" s="64" t="s">
        <v>254</v>
      </c>
      <c r="G127" s="59">
        <v>47848.0</v>
      </c>
      <c r="K127" s="65" t="s">
        <v>720</v>
      </c>
      <c r="L127" s="66">
        <v>12078.0</v>
      </c>
      <c r="M127" s="70" t="e">
        <v>#N/A</v>
      </c>
      <c r="N127" s="7"/>
      <c r="O127" s="7"/>
      <c r="P127" s="65"/>
    </row>
    <row r="128">
      <c r="A128" s="67" t="s">
        <v>722</v>
      </c>
      <c r="B128" s="25">
        <v>14580.0</v>
      </c>
      <c r="C128" s="62">
        <v>0.08</v>
      </c>
      <c r="D128" s="63">
        <v>0.69</v>
      </c>
      <c r="E128" s="63">
        <v>0.69</v>
      </c>
      <c r="F128" s="64" t="s">
        <v>254</v>
      </c>
      <c r="G128" s="59">
        <v>47848.0</v>
      </c>
      <c r="K128" s="65" t="s">
        <v>721</v>
      </c>
      <c r="L128" s="7"/>
      <c r="M128" s="70" t="e">
        <v>#N/A</v>
      </c>
      <c r="N128" s="7"/>
      <c r="O128" s="7"/>
      <c r="P128" s="65"/>
    </row>
    <row r="129">
      <c r="A129" s="67" t="s">
        <v>723</v>
      </c>
      <c r="B129" s="25">
        <v>6668.0</v>
      </c>
      <c r="C129" s="62">
        <v>0.08</v>
      </c>
      <c r="D129" s="63">
        <v>0.69</v>
      </c>
      <c r="E129" s="63">
        <v>0.69</v>
      </c>
      <c r="F129" s="64" t="s">
        <v>254</v>
      </c>
      <c r="G129" s="59">
        <v>47848.0</v>
      </c>
      <c r="K129" s="65" t="s">
        <v>722</v>
      </c>
      <c r="L129" s="7"/>
      <c r="M129" s="70" t="e">
        <v>#N/A</v>
      </c>
      <c r="N129" s="7"/>
      <c r="O129" s="7"/>
      <c r="P129" s="65"/>
    </row>
    <row r="130">
      <c r="A130" s="67" t="s">
        <v>724</v>
      </c>
      <c r="B130" s="78"/>
      <c r="C130" s="62">
        <v>0.08</v>
      </c>
      <c r="D130" s="63">
        <v>0.69</v>
      </c>
      <c r="E130" s="63">
        <v>0.69</v>
      </c>
      <c r="F130" s="64" t="s">
        <v>254</v>
      </c>
      <c r="G130" s="59">
        <v>47848.0</v>
      </c>
      <c r="K130" s="65" t="s">
        <v>723</v>
      </c>
      <c r="L130" s="7"/>
      <c r="M130" s="70" t="e">
        <v>#N/A</v>
      </c>
      <c r="N130" s="7"/>
      <c r="O130" s="7"/>
      <c r="P130" s="65"/>
    </row>
    <row r="131">
      <c r="A131" s="67" t="s">
        <v>725</v>
      </c>
      <c r="B131" s="25">
        <v>2205.0</v>
      </c>
      <c r="C131" s="62">
        <v>0.08</v>
      </c>
      <c r="D131" s="63">
        <v>0.69</v>
      </c>
      <c r="E131" s="63">
        <v>0.69</v>
      </c>
      <c r="F131" s="64" t="s">
        <v>254</v>
      </c>
      <c r="G131" s="59">
        <v>47848.0</v>
      </c>
      <c r="K131" s="65" t="s">
        <v>724</v>
      </c>
      <c r="L131" s="7"/>
      <c r="M131" s="70" t="e">
        <v>#N/A</v>
      </c>
      <c r="N131" s="7"/>
      <c r="O131" s="7"/>
      <c r="P131" s="65"/>
    </row>
    <row r="132">
      <c r="A132" s="67" t="s">
        <v>726</v>
      </c>
      <c r="B132" s="25">
        <v>13858.0</v>
      </c>
      <c r="C132" s="62">
        <v>0.08</v>
      </c>
      <c r="D132" s="63">
        <v>0.69</v>
      </c>
      <c r="E132" s="63">
        <v>0.69</v>
      </c>
      <c r="F132" s="64" t="s">
        <v>254</v>
      </c>
      <c r="G132" s="59">
        <v>47848.0</v>
      </c>
      <c r="K132" s="65" t="s">
        <v>725</v>
      </c>
      <c r="L132" s="7"/>
      <c r="M132" s="70" t="e">
        <v>#N/A</v>
      </c>
      <c r="N132" s="7"/>
      <c r="O132" s="7"/>
      <c r="P132" s="65"/>
    </row>
    <row r="133">
      <c r="A133" s="67" t="s">
        <v>727</v>
      </c>
      <c r="B133" s="25">
        <v>6732.0</v>
      </c>
      <c r="C133" s="62">
        <v>0.08</v>
      </c>
      <c r="D133" s="63">
        <v>0.69</v>
      </c>
      <c r="E133" s="63">
        <v>0.69</v>
      </c>
      <c r="F133" s="64" t="s">
        <v>254</v>
      </c>
      <c r="G133" s="59">
        <v>47848.0</v>
      </c>
      <c r="K133" s="65" t="s">
        <v>726</v>
      </c>
      <c r="L133" s="66">
        <v>13858.0</v>
      </c>
      <c r="M133" s="70" t="e">
        <v>#N/A</v>
      </c>
      <c r="N133" s="7"/>
      <c r="O133" s="7"/>
      <c r="P133" s="65"/>
    </row>
    <row r="134">
      <c r="A134" s="67" t="s">
        <v>728</v>
      </c>
      <c r="B134" s="25">
        <v>6668.0</v>
      </c>
      <c r="C134" s="62">
        <v>0.08</v>
      </c>
      <c r="D134" s="63">
        <v>0.69</v>
      </c>
      <c r="E134" s="63">
        <v>0.69</v>
      </c>
      <c r="F134" s="64" t="s">
        <v>254</v>
      </c>
      <c r="G134" s="59">
        <v>47848.0</v>
      </c>
      <c r="K134" s="65" t="s">
        <v>727</v>
      </c>
      <c r="L134" s="7"/>
      <c r="M134" s="70" t="e">
        <v>#N/A</v>
      </c>
      <c r="N134" s="7"/>
      <c r="O134" s="7"/>
      <c r="P134" s="65"/>
    </row>
    <row r="135">
      <c r="A135" s="67" t="s">
        <v>729</v>
      </c>
      <c r="B135" s="25">
        <v>6697.0</v>
      </c>
      <c r="C135" s="62">
        <v>0.08</v>
      </c>
      <c r="D135" s="63">
        <v>0.69</v>
      </c>
      <c r="E135" s="63">
        <v>0.69</v>
      </c>
      <c r="F135" s="64" t="s">
        <v>254</v>
      </c>
      <c r="G135" s="59">
        <v>47848.0</v>
      </c>
      <c r="K135" s="65" t="s">
        <v>728</v>
      </c>
      <c r="L135" s="7"/>
      <c r="M135" s="70" t="e">
        <v>#N/A</v>
      </c>
      <c r="N135" s="7"/>
      <c r="O135" s="7"/>
      <c r="P135" s="65"/>
    </row>
    <row r="136">
      <c r="A136" s="67" t="s">
        <v>730</v>
      </c>
      <c r="B136" s="78"/>
      <c r="C136" s="62">
        <v>0.08</v>
      </c>
      <c r="D136" s="63">
        <v>0.69</v>
      </c>
      <c r="E136" s="63">
        <v>0.69</v>
      </c>
      <c r="F136" s="64" t="s">
        <v>254</v>
      </c>
      <c r="G136" s="59">
        <v>47848.0</v>
      </c>
      <c r="K136" s="65" t="s">
        <v>729</v>
      </c>
      <c r="L136" s="66">
        <v>6697.0</v>
      </c>
      <c r="M136" s="70" t="e">
        <v>#N/A</v>
      </c>
      <c r="N136" s="7"/>
      <c r="O136" s="7"/>
      <c r="P136" s="65"/>
    </row>
    <row r="137">
      <c r="A137" s="67" t="s">
        <v>731</v>
      </c>
      <c r="B137" s="78"/>
      <c r="C137" s="62">
        <v>0.08</v>
      </c>
      <c r="D137" s="63">
        <v>0.69</v>
      </c>
      <c r="E137" s="63">
        <v>0.69</v>
      </c>
      <c r="F137" s="64" t="s">
        <v>254</v>
      </c>
      <c r="G137" s="59">
        <v>47848.0</v>
      </c>
      <c r="K137" s="65" t="s">
        <v>730</v>
      </c>
      <c r="L137" s="7"/>
      <c r="M137" s="70" t="e">
        <v>#N/A</v>
      </c>
      <c r="N137" s="7"/>
      <c r="O137" s="7"/>
      <c r="P137" s="65"/>
    </row>
    <row r="138">
      <c r="A138" s="67" t="s">
        <v>732</v>
      </c>
      <c r="B138" s="25">
        <v>6675.0</v>
      </c>
      <c r="C138" s="62">
        <v>0.08</v>
      </c>
      <c r="D138" s="74">
        <v>0.9</v>
      </c>
      <c r="E138" s="74">
        <v>0.9</v>
      </c>
      <c r="F138" s="64" t="s">
        <v>254</v>
      </c>
      <c r="G138" s="59">
        <v>47848.0</v>
      </c>
      <c r="K138" s="65" t="s">
        <v>731</v>
      </c>
      <c r="L138" s="7"/>
      <c r="M138" s="70" t="e">
        <v>#N/A</v>
      </c>
      <c r="N138" s="7"/>
      <c r="O138" s="7"/>
      <c r="P138" s="65"/>
    </row>
    <row r="139">
      <c r="A139" s="67" t="s">
        <v>733</v>
      </c>
      <c r="B139" s="78"/>
      <c r="C139" s="62">
        <v>0.08</v>
      </c>
      <c r="D139" s="63">
        <v>0.69</v>
      </c>
      <c r="E139" s="63">
        <v>0.69</v>
      </c>
      <c r="F139" s="64" t="s">
        <v>254</v>
      </c>
      <c r="G139" s="59">
        <v>47848.0</v>
      </c>
      <c r="K139" s="65" t="s">
        <v>732</v>
      </c>
      <c r="L139" s="66">
        <v>6675.0</v>
      </c>
      <c r="M139" s="72">
        <v>1.0</v>
      </c>
      <c r="N139" s="7"/>
      <c r="O139" s="7"/>
      <c r="P139" s="65"/>
    </row>
    <row r="140">
      <c r="A140" s="67" t="s">
        <v>734</v>
      </c>
      <c r="B140" s="78"/>
      <c r="C140" s="62">
        <v>0.08</v>
      </c>
      <c r="D140" s="63">
        <v>0.69</v>
      </c>
      <c r="E140" s="63">
        <v>0.69</v>
      </c>
      <c r="F140" s="64" t="s">
        <v>254</v>
      </c>
      <c r="G140" s="59">
        <v>47848.0</v>
      </c>
      <c r="K140" s="65" t="s">
        <v>733</v>
      </c>
      <c r="L140" s="7"/>
      <c r="M140" s="70" t="e">
        <v>#N/A</v>
      </c>
      <c r="N140" s="7"/>
      <c r="O140" s="7"/>
      <c r="P140" s="65"/>
    </row>
    <row r="141">
      <c r="A141" s="67" t="s">
        <v>735</v>
      </c>
      <c r="B141" s="78"/>
      <c r="C141" s="62">
        <v>0.08</v>
      </c>
      <c r="D141" s="63">
        <v>0.69</v>
      </c>
      <c r="E141" s="63">
        <v>0.69</v>
      </c>
      <c r="F141" s="64" t="s">
        <v>254</v>
      </c>
      <c r="G141" s="59">
        <v>47848.0</v>
      </c>
      <c r="K141" s="65" t="s">
        <v>734</v>
      </c>
      <c r="L141" s="7"/>
      <c r="M141" s="70" t="e">
        <v>#N/A</v>
      </c>
      <c r="N141" s="7"/>
      <c r="O141" s="7"/>
      <c r="P141" s="65"/>
    </row>
    <row r="142">
      <c r="A142" s="67" t="s">
        <v>736</v>
      </c>
      <c r="B142" s="25">
        <v>6675.0</v>
      </c>
      <c r="C142" s="62">
        <v>0.08</v>
      </c>
      <c r="D142" s="74">
        <v>0.9</v>
      </c>
      <c r="E142" s="74">
        <v>0.9</v>
      </c>
      <c r="F142" s="64" t="s">
        <v>254</v>
      </c>
      <c r="G142" s="59">
        <v>47848.0</v>
      </c>
      <c r="K142" s="65" t="s">
        <v>735</v>
      </c>
      <c r="L142" s="7"/>
      <c r="M142" s="70" t="e">
        <v>#N/A</v>
      </c>
      <c r="N142" s="7"/>
      <c r="O142" s="7"/>
      <c r="P142" s="65"/>
    </row>
    <row r="143">
      <c r="A143" s="67" t="s">
        <v>737</v>
      </c>
      <c r="B143" s="25">
        <v>6732.0</v>
      </c>
      <c r="C143" s="62">
        <v>0.08</v>
      </c>
      <c r="D143" s="63">
        <v>0.69</v>
      </c>
      <c r="E143" s="63">
        <v>0.69</v>
      </c>
      <c r="F143" s="64" t="s">
        <v>254</v>
      </c>
      <c r="G143" s="59">
        <v>47848.0</v>
      </c>
      <c r="K143" s="65" t="s">
        <v>736</v>
      </c>
      <c r="L143" s="66">
        <v>6675.0</v>
      </c>
      <c r="M143" s="70" t="e">
        <v>#N/A</v>
      </c>
      <c r="N143" s="7"/>
      <c r="O143" s="7"/>
      <c r="P143" s="65"/>
    </row>
    <row r="144">
      <c r="A144" s="67" t="s">
        <v>738</v>
      </c>
      <c r="B144" s="25">
        <v>7297.0</v>
      </c>
      <c r="C144" s="62">
        <v>0.08</v>
      </c>
      <c r="D144" s="63">
        <v>0.69</v>
      </c>
      <c r="E144" s="63">
        <v>0.69</v>
      </c>
      <c r="F144" s="64" t="s">
        <v>254</v>
      </c>
      <c r="G144" s="59">
        <v>47848.0</v>
      </c>
      <c r="K144" s="65" t="s">
        <v>737</v>
      </c>
      <c r="L144" s="7"/>
      <c r="M144" s="70" t="e">
        <v>#N/A</v>
      </c>
      <c r="N144" s="7"/>
      <c r="O144" s="7"/>
      <c r="P144" s="65"/>
    </row>
    <row r="145">
      <c r="A145" s="67" t="s">
        <v>739</v>
      </c>
      <c r="B145" s="25">
        <v>11049.0</v>
      </c>
      <c r="C145" s="62">
        <v>0.08</v>
      </c>
      <c r="D145" s="63">
        <v>0.69</v>
      </c>
      <c r="E145" s="63">
        <v>0.69</v>
      </c>
      <c r="F145" s="64" t="s">
        <v>254</v>
      </c>
      <c r="G145" s="59">
        <v>47848.0</v>
      </c>
      <c r="K145" s="65" t="s">
        <v>738</v>
      </c>
      <c r="L145" s="66">
        <v>7297.0</v>
      </c>
      <c r="M145" s="70" t="e">
        <v>#N/A</v>
      </c>
      <c r="N145" s="7"/>
      <c r="O145" s="66">
        <v>7297.0</v>
      </c>
      <c r="P145" s="65"/>
    </row>
    <row r="146">
      <c r="A146" s="67" t="s">
        <v>740</v>
      </c>
      <c r="B146" s="25">
        <v>11049.0</v>
      </c>
      <c r="C146" s="62">
        <v>0.08</v>
      </c>
      <c r="D146" s="63">
        <v>0.69</v>
      </c>
      <c r="E146" s="63">
        <v>0.69</v>
      </c>
      <c r="F146" s="64" t="s">
        <v>254</v>
      </c>
      <c r="G146" s="59">
        <v>47848.0</v>
      </c>
      <c r="K146" s="65" t="s">
        <v>739</v>
      </c>
      <c r="L146" s="7"/>
      <c r="M146" s="70" t="e">
        <v>#N/A</v>
      </c>
      <c r="N146" s="7"/>
      <c r="O146" s="7"/>
      <c r="P146" s="65"/>
    </row>
    <row r="147">
      <c r="A147" s="67" t="s">
        <v>741</v>
      </c>
      <c r="B147" s="25">
        <v>11049.0</v>
      </c>
      <c r="C147" s="62">
        <v>0.08</v>
      </c>
      <c r="D147" s="63">
        <v>0.69</v>
      </c>
      <c r="E147" s="63">
        <v>0.69</v>
      </c>
      <c r="F147" s="64" t="s">
        <v>254</v>
      </c>
      <c r="G147" s="59">
        <v>47848.0</v>
      </c>
      <c r="K147" s="65" t="s">
        <v>740</v>
      </c>
      <c r="L147" s="7"/>
      <c r="M147" s="70" t="e">
        <v>#N/A</v>
      </c>
      <c r="N147" s="7"/>
      <c r="O147" s="7"/>
      <c r="P147" s="65"/>
    </row>
    <row r="148">
      <c r="A148" s="67" t="s">
        <v>742</v>
      </c>
      <c r="B148" s="25">
        <v>11049.0</v>
      </c>
      <c r="C148" s="62">
        <v>0.08</v>
      </c>
      <c r="D148" s="63">
        <v>0.69</v>
      </c>
      <c r="E148" s="63">
        <v>0.69</v>
      </c>
      <c r="F148" s="64" t="s">
        <v>254</v>
      </c>
      <c r="G148" s="59">
        <v>47848.0</v>
      </c>
      <c r="K148" s="65" t="s">
        <v>741</v>
      </c>
      <c r="L148" s="7"/>
      <c r="M148" s="70" t="e">
        <v>#N/A</v>
      </c>
      <c r="N148" s="7"/>
      <c r="O148" s="7"/>
      <c r="P148" s="65"/>
    </row>
    <row r="149">
      <c r="A149" s="67" t="s">
        <v>743</v>
      </c>
      <c r="B149" s="25">
        <v>11049.0</v>
      </c>
      <c r="C149" s="62">
        <v>0.08</v>
      </c>
      <c r="D149" s="63">
        <v>0.69</v>
      </c>
      <c r="E149" s="63">
        <v>0.69</v>
      </c>
      <c r="F149" s="64" t="s">
        <v>254</v>
      </c>
      <c r="G149" s="59">
        <v>47848.0</v>
      </c>
      <c r="K149" s="65" t="s">
        <v>742</v>
      </c>
      <c r="L149" s="7"/>
      <c r="M149" s="70" t="e">
        <v>#N/A</v>
      </c>
      <c r="N149" s="7"/>
      <c r="O149" s="7"/>
      <c r="P149" s="65"/>
    </row>
    <row r="150">
      <c r="A150" s="67" t="s">
        <v>744</v>
      </c>
      <c r="B150" s="25">
        <v>11049.0</v>
      </c>
      <c r="C150" s="62">
        <v>0.08</v>
      </c>
      <c r="D150" s="63">
        <v>0.69</v>
      </c>
      <c r="E150" s="63">
        <v>0.69</v>
      </c>
      <c r="F150" s="64" t="s">
        <v>254</v>
      </c>
      <c r="G150" s="59">
        <v>47848.0</v>
      </c>
      <c r="K150" s="65" t="s">
        <v>743</v>
      </c>
      <c r="L150" s="7"/>
      <c r="M150" s="70" t="e">
        <v>#N/A</v>
      </c>
      <c r="N150" s="7"/>
      <c r="O150" s="7"/>
      <c r="P150" s="65"/>
    </row>
    <row r="151">
      <c r="A151" s="67" t="s">
        <v>745</v>
      </c>
      <c r="B151" s="25">
        <v>11049.0</v>
      </c>
      <c r="C151" s="62">
        <v>0.08</v>
      </c>
      <c r="D151" s="63">
        <v>0.69</v>
      </c>
      <c r="E151" s="63">
        <v>0.69</v>
      </c>
      <c r="F151" s="64" t="s">
        <v>254</v>
      </c>
      <c r="G151" s="59">
        <v>47848.0</v>
      </c>
      <c r="K151" s="65" t="s">
        <v>744</v>
      </c>
      <c r="L151" s="7"/>
      <c r="M151" s="70" t="e">
        <v>#N/A</v>
      </c>
      <c r="N151" s="7"/>
      <c r="O151" s="7"/>
      <c r="P151" s="65"/>
    </row>
    <row r="152">
      <c r="A152" s="67" t="s">
        <v>746</v>
      </c>
      <c r="B152" s="25">
        <v>11049.0</v>
      </c>
      <c r="C152" s="62">
        <v>0.08</v>
      </c>
      <c r="D152" s="63">
        <v>0.69</v>
      </c>
      <c r="E152" s="63">
        <v>0.69</v>
      </c>
      <c r="F152" s="64" t="s">
        <v>254</v>
      </c>
      <c r="G152" s="59">
        <v>47848.0</v>
      </c>
      <c r="K152" s="65" t="s">
        <v>745</v>
      </c>
      <c r="L152" s="7"/>
      <c r="M152" s="70" t="e">
        <v>#N/A</v>
      </c>
      <c r="N152" s="7"/>
      <c r="O152" s="7"/>
      <c r="P152" s="65"/>
    </row>
    <row r="153">
      <c r="A153" s="67" t="s">
        <v>747</v>
      </c>
      <c r="B153" s="25">
        <v>11049.0</v>
      </c>
      <c r="C153" s="62">
        <v>0.08</v>
      </c>
      <c r="D153" s="63">
        <v>0.69</v>
      </c>
      <c r="E153" s="63">
        <v>0.69</v>
      </c>
      <c r="F153" s="64" t="s">
        <v>254</v>
      </c>
      <c r="G153" s="59">
        <v>47848.0</v>
      </c>
      <c r="K153" s="65" t="s">
        <v>746</v>
      </c>
      <c r="L153" s="7"/>
      <c r="M153" s="70" t="e">
        <v>#N/A</v>
      </c>
      <c r="N153" s="7"/>
      <c r="O153" s="7"/>
      <c r="P153" s="65"/>
    </row>
    <row r="154">
      <c r="A154" s="67" t="s">
        <v>748</v>
      </c>
      <c r="B154" s="25">
        <v>11049.0</v>
      </c>
      <c r="C154" s="62">
        <v>0.08</v>
      </c>
      <c r="D154" s="63">
        <v>0.69</v>
      </c>
      <c r="E154" s="63">
        <v>0.69</v>
      </c>
      <c r="F154" s="64" t="s">
        <v>254</v>
      </c>
      <c r="G154" s="59">
        <v>47848.0</v>
      </c>
      <c r="K154" s="65" t="s">
        <v>747</v>
      </c>
      <c r="L154" s="7"/>
      <c r="M154" s="70" t="e">
        <v>#N/A</v>
      </c>
      <c r="N154" s="7"/>
      <c r="O154" s="7"/>
      <c r="P154" s="65"/>
    </row>
    <row r="155">
      <c r="A155" s="67" t="s">
        <v>749</v>
      </c>
      <c r="B155" s="25">
        <v>11049.0</v>
      </c>
      <c r="C155" s="62">
        <v>0.08</v>
      </c>
      <c r="D155" s="63">
        <v>0.69</v>
      </c>
      <c r="E155" s="63">
        <v>0.69</v>
      </c>
      <c r="F155" s="64" t="s">
        <v>254</v>
      </c>
      <c r="G155" s="59">
        <v>47848.0</v>
      </c>
      <c r="K155" s="65" t="s">
        <v>748</v>
      </c>
      <c r="L155" s="7"/>
      <c r="M155" s="70" t="e">
        <v>#N/A</v>
      </c>
      <c r="N155" s="7"/>
      <c r="O155" s="7"/>
      <c r="P155" s="65"/>
    </row>
    <row r="156">
      <c r="A156" s="67" t="s">
        <v>750</v>
      </c>
      <c r="B156" s="25">
        <v>12301.0</v>
      </c>
      <c r="C156" s="62">
        <v>0.08</v>
      </c>
      <c r="D156" s="63">
        <v>0.69</v>
      </c>
      <c r="E156" s="63">
        <v>0.69</v>
      </c>
      <c r="F156" s="64" t="s">
        <v>254</v>
      </c>
      <c r="G156" s="59">
        <v>47848.0</v>
      </c>
      <c r="K156" s="65" t="s">
        <v>749</v>
      </c>
      <c r="L156" s="7"/>
      <c r="M156" s="70" t="e">
        <v>#N/A</v>
      </c>
      <c r="N156" s="7"/>
      <c r="O156" s="7"/>
      <c r="P156" s="65"/>
    </row>
    <row r="157">
      <c r="A157" s="67" t="s">
        <v>751</v>
      </c>
      <c r="B157" s="25">
        <v>11049.0</v>
      </c>
      <c r="C157" s="62">
        <v>0.08</v>
      </c>
      <c r="D157" s="63">
        <v>0.69</v>
      </c>
      <c r="E157" s="63">
        <v>0.69</v>
      </c>
      <c r="F157" s="64" t="s">
        <v>254</v>
      </c>
      <c r="G157" s="59">
        <v>47848.0</v>
      </c>
      <c r="K157" s="65" t="s">
        <v>750</v>
      </c>
      <c r="L157" s="66">
        <v>12301.0</v>
      </c>
      <c r="M157" s="70" t="e">
        <v>#N/A</v>
      </c>
      <c r="N157" s="7"/>
      <c r="O157" s="7"/>
      <c r="P157" s="65"/>
    </row>
    <row r="158">
      <c r="A158" s="67" t="s">
        <v>752</v>
      </c>
      <c r="B158" s="25">
        <v>11049.0</v>
      </c>
      <c r="C158" s="62">
        <v>0.08</v>
      </c>
      <c r="D158" s="63">
        <v>0.69</v>
      </c>
      <c r="E158" s="63">
        <v>0.69</v>
      </c>
      <c r="F158" s="64" t="s">
        <v>254</v>
      </c>
      <c r="G158" s="59">
        <v>47848.0</v>
      </c>
      <c r="K158" s="65" t="s">
        <v>751</v>
      </c>
      <c r="L158" s="7"/>
      <c r="M158" s="70" t="e">
        <v>#N/A</v>
      </c>
      <c r="N158" s="7"/>
      <c r="O158" s="7"/>
      <c r="P158" s="65"/>
    </row>
    <row r="159">
      <c r="A159" s="67" t="s">
        <v>753</v>
      </c>
      <c r="B159" s="25">
        <v>11049.0</v>
      </c>
      <c r="C159" s="62">
        <v>0.08</v>
      </c>
      <c r="D159" s="63">
        <v>0.69</v>
      </c>
      <c r="E159" s="63">
        <v>0.69</v>
      </c>
      <c r="F159" s="64" t="s">
        <v>254</v>
      </c>
      <c r="G159" s="59">
        <v>47848.0</v>
      </c>
      <c r="K159" s="65" t="s">
        <v>752</v>
      </c>
      <c r="L159" s="7"/>
      <c r="M159" s="70" t="e">
        <v>#N/A</v>
      </c>
      <c r="N159" s="7"/>
      <c r="O159" s="7"/>
      <c r="P159" s="65"/>
    </row>
    <row r="160">
      <c r="A160" s="67" t="s">
        <v>754</v>
      </c>
      <c r="B160" s="25">
        <v>11049.0</v>
      </c>
      <c r="C160" s="62">
        <v>0.08</v>
      </c>
      <c r="D160" s="63">
        <v>0.69</v>
      </c>
      <c r="E160" s="63">
        <v>0.69</v>
      </c>
      <c r="F160" s="64" t="s">
        <v>254</v>
      </c>
      <c r="G160" s="59">
        <v>47848.0</v>
      </c>
      <c r="K160" s="65" t="s">
        <v>753</v>
      </c>
      <c r="L160" s="7"/>
      <c r="M160" s="70" t="e">
        <v>#N/A</v>
      </c>
      <c r="N160" s="7"/>
      <c r="O160" s="7"/>
      <c r="P160" s="65"/>
    </row>
    <row r="161">
      <c r="A161" s="67" t="s">
        <v>755</v>
      </c>
      <c r="B161" s="25">
        <v>11049.0</v>
      </c>
      <c r="C161" s="62">
        <v>0.08</v>
      </c>
      <c r="D161" s="63">
        <v>0.69</v>
      </c>
      <c r="E161" s="63">
        <v>0.69</v>
      </c>
      <c r="F161" s="64" t="s">
        <v>254</v>
      </c>
      <c r="G161" s="59">
        <v>47848.0</v>
      </c>
      <c r="K161" s="65" t="s">
        <v>754</v>
      </c>
      <c r="L161" s="7"/>
      <c r="M161" s="70" t="e">
        <v>#N/A</v>
      </c>
      <c r="N161" s="7"/>
      <c r="O161" s="7"/>
      <c r="P161" s="65"/>
    </row>
    <row r="162">
      <c r="A162" s="67" t="s">
        <v>756</v>
      </c>
      <c r="B162" s="25">
        <v>11049.0</v>
      </c>
      <c r="C162" s="62">
        <v>0.08</v>
      </c>
      <c r="D162" s="63">
        <v>0.69</v>
      </c>
      <c r="E162" s="63">
        <v>0.69</v>
      </c>
      <c r="F162" s="64" t="s">
        <v>254</v>
      </c>
      <c r="G162" s="59">
        <v>47848.0</v>
      </c>
      <c r="K162" s="65" t="s">
        <v>755</v>
      </c>
      <c r="L162" s="7"/>
      <c r="M162" s="70" t="e">
        <v>#N/A</v>
      </c>
      <c r="N162" s="7"/>
      <c r="O162" s="7"/>
      <c r="P162" s="65"/>
    </row>
    <row r="163">
      <c r="A163" s="67" t="s">
        <v>757</v>
      </c>
      <c r="B163" s="25">
        <v>11049.0</v>
      </c>
      <c r="C163" s="62">
        <v>0.08</v>
      </c>
      <c r="D163" s="63">
        <v>0.69</v>
      </c>
      <c r="E163" s="63">
        <v>0.69</v>
      </c>
      <c r="F163" s="64" t="s">
        <v>254</v>
      </c>
      <c r="G163" s="59">
        <v>47848.0</v>
      </c>
      <c r="K163" s="65" t="s">
        <v>756</v>
      </c>
      <c r="L163" s="7"/>
      <c r="M163" s="70" t="e">
        <v>#N/A</v>
      </c>
      <c r="N163" s="7"/>
      <c r="O163" s="7"/>
      <c r="P163" s="65"/>
    </row>
    <row r="164">
      <c r="A164" s="67" t="s">
        <v>758</v>
      </c>
      <c r="B164" s="25">
        <v>11049.0</v>
      </c>
      <c r="C164" s="62">
        <v>0.08</v>
      </c>
      <c r="D164" s="63">
        <v>0.69</v>
      </c>
      <c r="E164" s="63">
        <v>0.69</v>
      </c>
      <c r="F164" s="64" t="s">
        <v>254</v>
      </c>
      <c r="G164" s="59">
        <v>47848.0</v>
      </c>
      <c r="K164" s="65" t="s">
        <v>757</v>
      </c>
      <c r="L164" s="7"/>
      <c r="M164" s="70" t="e">
        <v>#N/A</v>
      </c>
      <c r="N164" s="7"/>
      <c r="O164" s="7"/>
      <c r="P164" s="65"/>
    </row>
    <row r="165">
      <c r="A165" s="67" t="s">
        <v>759</v>
      </c>
      <c r="B165" s="25">
        <v>11049.0</v>
      </c>
      <c r="C165" s="62">
        <v>0.08</v>
      </c>
      <c r="D165" s="63">
        <v>0.69</v>
      </c>
      <c r="E165" s="63">
        <v>0.69</v>
      </c>
      <c r="F165" s="64" t="s">
        <v>254</v>
      </c>
      <c r="G165" s="59">
        <v>47848.0</v>
      </c>
      <c r="K165" s="65" t="s">
        <v>758</v>
      </c>
      <c r="L165" s="7"/>
      <c r="M165" s="70" t="e">
        <v>#N/A</v>
      </c>
      <c r="N165" s="7"/>
      <c r="O165" s="7"/>
      <c r="P165" s="65"/>
    </row>
    <row r="166">
      <c r="A166" s="67" t="s">
        <v>760</v>
      </c>
      <c r="B166" s="25">
        <v>7040.0</v>
      </c>
      <c r="C166" s="62">
        <v>0.08</v>
      </c>
      <c r="D166" s="63">
        <v>0.69</v>
      </c>
      <c r="E166" s="63">
        <v>0.69</v>
      </c>
      <c r="F166" s="64" t="s">
        <v>254</v>
      </c>
      <c r="G166" s="59">
        <v>47848.0</v>
      </c>
      <c r="K166" s="65" t="s">
        <v>759</v>
      </c>
      <c r="L166" s="7"/>
      <c r="M166" s="70" t="e">
        <v>#N/A</v>
      </c>
      <c r="N166" s="7"/>
      <c r="O166" s="7"/>
      <c r="P166" s="65"/>
    </row>
    <row r="167">
      <c r="A167" s="67" t="s">
        <v>761</v>
      </c>
      <c r="B167" s="25">
        <v>11049.0</v>
      </c>
      <c r="C167" s="62">
        <v>0.08</v>
      </c>
      <c r="D167" s="63">
        <v>0.69</v>
      </c>
      <c r="E167" s="63">
        <v>0.69</v>
      </c>
      <c r="F167" s="64" t="s">
        <v>254</v>
      </c>
      <c r="G167" s="59">
        <v>47848.0</v>
      </c>
      <c r="K167" s="65" t="s">
        <v>760</v>
      </c>
      <c r="L167" s="66">
        <v>7040.0</v>
      </c>
      <c r="M167" s="72">
        <v>1.0</v>
      </c>
      <c r="N167" s="7"/>
      <c r="O167" s="7"/>
      <c r="P167" s="65"/>
    </row>
    <row r="168">
      <c r="A168" s="67" t="s">
        <v>762</v>
      </c>
      <c r="B168" s="25">
        <v>11049.0</v>
      </c>
      <c r="C168" s="62">
        <v>0.08</v>
      </c>
      <c r="D168" s="63">
        <v>0.69</v>
      </c>
      <c r="E168" s="63">
        <v>0.69</v>
      </c>
      <c r="F168" s="64" t="s">
        <v>254</v>
      </c>
      <c r="G168" s="59">
        <v>47848.0</v>
      </c>
      <c r="K168" s="65" t="s">
        <v>761</v>
      </c>
      <c r="L168" s="7"/>
      <c r="M168" s="70" t="e">
        <v>#N/A</v>
      </c>
      <c r="N168" s="7"/>
      <c r="O168" s="7"/>
      <c r="P168" s="65"/>
    </row>
    <row r="169">
      <c r="A169" s="67" t="s">
        <v>763</v>
      </c>
      <c r="B169" s="25">
        <v>11049.0</v>
      </c>
      <c r="C169" s="62">
        <v>0.08</v>
      </c>
      <c r="D169" s="63">
        <v>0.69</v>
      </c>
      <c r="E169" s="63">
        <v>0.69</v>
      </c>
      <c r="F169" s="64" t="s">
        <v>254</v>
      </c>
      <c r="G169" s="59">
        <v>47848.0</v>
      </c>
      <c r="K169" s="65" t="s">
        <v>762</v>
      </c>
      <c r="L169" s="7"/>
      <c r="M169" s="70" t="e">
        <v>#N/A</v>
      </c>
      <c r="N169" s="7"/>
      <c r="O169" s="7"/>
      <c r="P169" s="65"/>
    </row>
    <row r="170">
      <c r="A170" s="67" t="s">
        <v>764</v>
      </c>
      <c r="B170" s="25">
        <v>11049.0</v>
      </c>
      <c r="C170" s="62">
        <v>0.08</v>
      </c>
      <c r="D170" s="63">
        <v>0.69</v>
      </c>
      <c r="E170" s="63">
        <v>0.69</v>
      </c>
      <c r="F170" s="64" t="s">
        <v>254</v>
      </c>
      <c r="G170" s="59">
        <v>47848.0</v>
      </c>
      <c r="K170" s="65" t="s">
        <v>763</v>
      </c>
      <c r="L170" s="7"/>
      <c r="M170" s="70" t="e">
        <v>#N/A</v>
      </c>
      <c r="N170" s="7"/>
      <c r="O170" s="7"/>
      <c r="P170" s="65"/>
    </row>
    <row r="171">
      <c r="A171" s="67" t="s">
        <v>765</v>
      </c>
      <c r="B171" s="78"/>
      <c r="C171" s="62">
        <v>0.08</v>
      </c>
      <c r="D171" s="63">
        <v>0.69</v>
      </c>
      <c r="E171" s="63">
        <v>0.69</v>
      </c>
      <c r="F171" s="64" t="s">
        <v>254</v>
      </c>
      <c r="G171" s="59">
        <v>47848.0</v>
      </c>
      <c r="K171" s="65" t="s">
        <v>764</v>
      </c>
      <c r="L171" s="7"/>
      <c r="M171" s="70" t="e">
        <v>#N/A</v>
      </c>
      <c r="N171" s="7"/>
      <c r="O171" s="7"/>
      <c r="P171" s="65"/>
    </row>
    <row r="172">
      <c r="A172" s="67" t="s">
        <v>766</v>
      </c>
      <c r="B172" s="78"/>
      <c r="C172" s="62">
        <v>0.08</v>
      </c>
      <c r="D172" s="63">
        <v>0.69</v>
      </c>
      <c r="E172" s="63">
        <v>0.69</v>
      </c>
      <c r="F172" s="64" t="s">
        <v>254</v>
      </c>
      <c r="G172" s="59">
        <v>47848.0</v>
      </c>
      <c r="K172" s="65" t="s">
        <v>765</v>
      </c>
      <c r="L172" s="7"/>
      <c r="M172" s="70" t="e">
        <v>#N/A</v>
      </c>
      <c r="N172" s="7"/>
      <c r="O172" s="7"/>
      <c r="P172" s="65"/>
    </row>
    <row r="173">
      <c r="A173" s="67" t="s">
        <v>767</v>
      </c>
      <c r="B173" s="78"/>
      <c r="C173" s="62">
        <v>0.08</v>
      </c>
      <c r="D173" s="63">
        <v>0.69</v>
      </c>
      <c r="E173" s="63">
        <v>0.69</v>
      </c>
      <c r="F173" s="64" t="s">
        <v>254</v>
      </c>
      <c r="G173" s="59">
        <v>47848.0</v>
      </c>
      <c r="K173" s="65" t="s">
        <v>766</v>
      </c>
      <c r="L173" s="7"/>
      <c r="M173" s="70" t="e">
        <v>#N/A</v>
      </c>
      <c r="N173" s="7"/>
      <c r="O173" s="7"/>
      <c r="P173" s="65"/>
    </row>
    <row r="174">
      <c r="A174" s="67" t="s">
        <v>768</v>
      </c>
      <c r="B174" s="25">
        <v>189.0</v>
      </c>
      <c r="C174" s="62">
        <v>0.08</v>
      </c>
      <c r="D174" s="76">
        <v>0.8</v>
      </c>
      <c r="E174" s="76">
        <v>0.8</v>
      </c>
      <c r="F174" s="64" t="s">
        <v>254</v>
      </c>
      <c r="G174" s="59">
        <v>47848.0</v>
      </c>
      <c r="K174" s="65" t="s">
        <v>767</v>
      </c>
      <c r="L174" s="7"/>
      <c r="M174" s="70" t="e">
        <v>#N/A</v>
      </c>
      <c r="N174" s="7"/>
      <c r="O174" s="7"/>
      <c r="P174" s="65"/>
    </row>
    <row r="175">
      <c r="A175" s="67" t="s">
        <v>769</v>
      </c>
      <c r="B175" s="25">
        <v>499.0</v>
      </c>
      <c r="C175" s="62">
        <v>0.08</v>
      </c>
      <c r="D175" s="63">
        <v>0.69</v>
      </c>
      <c r="E175" s="63">
        <v>0.69</v>
      </c>
      <c r="F175" s="64" t="s">
        <v>254</v>
      </c>
      <c r="G175" s="59">
        <v>47848.0</v>
      </c>
      <c r="K175" s="65" t="s">
        <v>768</v>
      </c>
      <c r="L175" s="66">
        <v>189.0</v>
      </c>
      <c r="M175" s="72">
        <v>1.0</v>
      </c>
      <c r="N175" s="7"/>
      <c r="O175" s="7"/>
      <c r="P175" s="65"/>
    </row>
    <row r="176">
      <c r="A176" s="67" t="s">
        <v>770</v>
      </c>
      <c r="B176" s="78"/>
      <c r="C176" s="62">
        <v>0.08</v>
      </c>
      <c r="D176" s="63">
        <v>0.69</v>
      </c>
      <c r="E176" s="63">
        <v>0.69</v>
      </c>
      <c r="F176" s="64" t="s">
        <v>254</v>
      </c>
      <c r="G176" s="59">
        <v>47848.0</v>
      </c>
      <c r="K176" s="65" t="s">
        <v>769</v>
      </c>
      <c r="L176" s="7"/>
      <c r="M176" s="70" t="e">
        <v>#N/A</v>
      </c>
      <c r="N176" s="7"/>
      <c r="O176" s="7"/>
      <c r="P176" s="65"/>
    </row>
    <row r="177">
      <c r="A177" s="67" t="s">
        <v>771</v>
      </c>
      <c r="B177" s="78"/>
      <c r="C177" s="62">
        <v>0.08</v>
      </c>
      <c r="D177" s="63">
        <v>0.69</v>
      </c>
      <c r="E177" s="63">
        <v>0.69</v>
      </c>
      <c r="F177" s="64" t="s">
        <v>254</v>
      </c>
      <c r="G177" s="59">
        <v>47848.0</v>
      </c>
      <c r="K177" s="65" t="s">
        <v>770</v>
      </c>
      <c r="L177" s="7"/>
      <c r="M177" s="70" t="e">
        <v>#N/A</v>
      </c>
      <c r="N177" s="7"/>
      <c r="O177" s="7"/>
      <c r="P177" s="65"/>
    </row>
    <row r="178">
      <c r="A178" s="67" t="s">
        <v>772</v>
      </c>
      <c r="B178" s="78"/>
      <c r="C178" s="62">
        <v>0.08</v>
      </c>
      <c r="D178" s="63">
        <v>0.69</v>
      </c>
      <c r="E178" s="63">
        <v>0.69</v>
      </c>
      <c r="F178" s="64" t="s">
        <v>254</v>
      </c>
      <c r="G178" s="59">
        <v>47848.0</v>
      </c>
      <c r="K178" s="65" t="s">
        <v>771</v>
      </c>
      <c r="L178" s="7"/>
      <c r="M178" s="70" t="e">
        <v>#N/A</v>
      </c>
      <c r="N178" s="7"/>
      <c r="O178" s="7"/>
      <c r="P178" s="65"/>
    </row>
    <row r="179">
      <c r="A179" s="67" t="s">
        <v>773</v>
      </c>
      <c r="B179" s="78"/>
      <c r="C179" s="62">
        <v>0.08</v>
      </c>
      <c r="D179" s="63">
        <v>0.69</v>
      </c>
      <c r="E179" s="63">
        <v>0.69</v>
      </c>
      <c r="F179" s="64" t="s">
        <v>254</v>
      </c>
      <c r="G179" s="59">
        <v>47848.0</v>
      </c>
      <c r="K179" s="65" t="s">
        <v>772</v>
      </c>
      <c r="L179" s="7"/>
      <c r="M179" s="70" t="e">
        <v>#N/A</v>
      </c>
      <c r="N179" s="7"/>
      <c r="O179" s="7"/>
      <c r="P179" s="65"/>
    </row>
    <row r="180">
      <c r="A180" s="67" t="s">
        <v>774</v>
      </c>
      <c r="B180" s="25">
        <v>6671.0</v>
      </c>
      <c r="C180" s="62">
        <v>0.08</v>
      </c>
      <c r="D180" s="83">
        <v>0.8</v>
      </c>
      <c r="E180" s="83">
        <v>0.8</v>
      </c>
      <c r="F180" s="64" t="s">
        <v>254</v>
      </c>
      <c r="G180" s="59">
        <v>47848.0</v>
      </c>
      <c r="K180" s="65" t="s">
        <v>773</v>
      </c>
      <c r="L180" s="7"/>
      <c r="M180" s="70" t="e">
        <v>#N/A</v>
      </c>
      <c r="N180" s="7"/>
      <c r="O180" s="7"/>
      <c r="P180" s="65"/>
    </row>
    <row r="181">
      <c r="A181" s="67" t="s">
        <v>775</v>
      </c>
      <c r="B181" s="78"/>
      <c r="C181" s="62">
        <v>0.08</v>
      </c>
      <c r="D181" s="63">
        <v>0.69</v>
      </c>
      <c r="E181" s="63">
        <v>0.69</v>
      </c>
      <c r="F181" s="64" t="s">
        <v>254</v>
      </c>
      <c r="G181" s="59">
        <v>47848.0</v>
      </c>
      <c r="K181" s="65" t="s">
        <v>774</v>
      </c>
      <c r="L181" s="66">
        <v>6671.0</v>
      </c>
      <c r="M181" s="70" t="e">
        <v>#N/A</v>
      </c>
      <c r="N181" s="7"/>
      <c r="O181" s="7"/>
      <c r="P181" s="65"/>
    </row>
    <row r="182">
      <c r="A182" s="67" t="s">
        <v>776</v>
      </c>
      <c r="B182" s="25">
        <v>3404.0</v>
      </c>
      <c r="C182" s="62">
        <v>0.08</v>
      </c>
      <c r="D182" s="63">
        <v>0.69</v>
      </c>
      <c r="E182" s="63">
        <v>0.69</v>
      </c>
      <c r="F182" s="64" t="s">
        <v>254</v>
      </c>
      <c r="G182" s="59">
        <v>47848.0</v>
      </c>
      <c r="K182" s="65" t="s">
        <v>775</v>
      </c>
      <c r="L182" s="7"/>
      <c r="M182" s="70" t="e">
        <v>#N/A</v>
      </c>
      <c r="N182" s="7"/>
      <c r="O182" s="7"/>
      <c r="P182" s="65"/>
    </row>
    <row r="183">
      <c r="A183" s="67" t="s">
        <v>777</v>
      </c>
      <c r="B183" s="78"/>
      <c r="C183" s="62">
        <v>0.08</v>
      </c>
      <c r="D183" s="63">
        <v>0.69</v>
      </c>
      <c r="E183" s="63">
        <v>0.69</v>
      </c>
      <c r="F183" s="64" t="s">
        <v>254</v>
      </c>
      <c r="G183" s="59">
        <v>47848.0</v>
      </c>
      <c r="K183" s="65" t="s">
        <v>776</v>
      </c>
      <c r="L183" s="7"/>
      <c r="M183" s="70" t="e">
        <v>#N/A</v>
      </c>
      <c r="N183" s="7"/>
      <c r="O183" s="7"/>
      <c r="P183" s="65"/>
    </row>
    <row r="184">
      <c r="A184" s="67" t="s">
        <v>778</v>
      </c>
      <c r="B184" s="25">
        <v>13829.0</v>
      </c>
      <c r="C184" s="62">
        <v>0.08</v>
      </c>
      <c r="D184" s="63">
        <v>0.69</v>
      </c>
      <c r="E184" s="63">
        <v>0.69</v>
      </c>
      <c r="F184" s="64" t="s">
        <v>254</v>
      </c>
      <c r="G184" s="59">
        <v>47848.0</v>
      </c>
      <c r="K184" s="65" t="s">
        <v>777</v>
      </c>
      <c r="L184" s="7"/>
      <c r="M184" s="70" t="e">
        <v>#N/A</v>
      </c>
      <c r="N184" s="7"/>
      <c r="O184" s="7"/>
      <c r="P184" s="65"/>
    </row>
    <row r="185">
      <c r="A185" s="67" t="s">
        <v>779</v>
      </c>
      <c r="B185" s="25">
        <v>14727.0</v>
      </c>
      <c r="C185" s="62">
        <v>0.08</v>
      </c>
      <c r="D185" s="63">
        <v>0.69</v>
      </c>
      <c r="E185" s="63">
        <v>0.69</v>
      </c>
      <c r="F185" s="64" t="s">
        <v>254</v>
      </c>
      <c r="G185" s="59">
        <v>47848.0</v>
      </c>
      <c r="K185" s="65" t="s">
        <v>778</v>
      </c>
      <c r="L185" s="66">
        <v>13829.0</v>
      </c>
      <c r="M185" s="70" t="e">
        <v>#N/A</v>
      </c>
      <c r="N185" s="7"/>
      <c r="O185" s="7"/>
      <c r="P185" s="65"/>
    </row>
    <row r="186">
      <c r="A186" s="67" t="s">
        <v>780</v>
      </c>
      <c r="B186" s="78"/>
      <c r="C186" s="62">
        <v>0.08</v>
      </c>
      <c r="D186" s="63">
        <v>0.69</v>
      </c>
      <c r="E186" s="63">
        <v>0.69</v>
      </c>
      <c r="F186" s="64" t="s">
        <v>254</v>
      </c>
      <c r="G186" s="59">
        <v>47848.0</v>
      </c>
      <c r="K186" s="65" t="s">
        <v>779</v>
      </c>
      <c r="L186" s="7"/>
      <c r="M186" s="70" t="e">
        <v>#N/A</v>
      </c>
      <c r="N186" s="7"/>
      <c r="O186" s="7"/>
      <c r="P186" s="65"/>
    </row>
    <row r="187">
      <c r="A187" s="67" t="s">
        <v>781</v>
      </c>
      <c r="B187" s="78"/>
      <c r="C187" s="62">
        <v>0.08</v>
      </c>
      <c r="D187" s="63">
        <v>0.69</v>
      </c>
      <c r="E187" s="63">
        <v>0.69</v>
      </c>
      <c r="F187" s="64" t="s">
        <v>254</v>
      </c>
      <c r="G187" s="59">
        <v>47848.0</v>
      </c>
      <c r="K187" s="65" t="s">
        <v>780</v>
      </c>
      <c r="L187" s="7"/>
      <c r="M187" s="70" t="e">
        <v>#N/A</v>
      </c>
      <c r="N187" s="7"/>
      <c r="O187" s="7"/>
      <c r="P187" s="65"/>
    </row>
    <row r="188">
      <c r="A188" s="67" t="s">
        <v>782</v>
      </c>
      <c r="B188" s="78"/>
      <c r="C188" s="62">
        <v>0.08</v>
      </c>
      <c r="D188" s="63">
        <v>0.69</v>
      </c>
      <c r="E188" s="63">
        <v>0.69</v>
      </c>
      <c r="F188" s="64" t="s">
        <v>254</v>
      </c>
      <c r="G188" s="59">
        <v>47848.0</v>
      </c>
      <c r="K188" s="65" t="s">
        <v>781</v>
      </c>
      <c r="L188" s="65"/>
      <c r="M188" s="70" t="e">
        <v>#N/A</v>
      </c>
      <c r="N188" s="7"/>
      <c r="O188" s="7"/>
      <c r="P188" s="65"/>
    </row>
    <row r="189">
      <c r="A189" s="67" t="s">
        <v>783</v>
      </c>
      <c r="B189" s="78"/>
      <c r="C189" s="62">
        <v>0.08</v>
      </c>
      <c r="D189" s="63">
        <v>0.69</v>
      </c>
      <c r="E189" s="63">
        <v>0.69</v>
      </c>
      <c r="F189" s="64" t="s">
        <v>254</v>
      </c>
      <c r="G189" s="59">
        <v>47848.0</v>
      </c>
      <c r="K189" s="65" t="s">
        <v>782</v>
      </c>
      <c r="L189" s="7"/>
      <c r="M189" s="70" t="e">
        <v>#N/A</v>
      </c>
      <c r="N189" s="7"/>
      <c r="O189" s="7"/>
      <c r="P189" s="65"/>
    </row>
    <row r="190">
      <c r="A190" s="67" t="s">
        <v>784</v>
      </c>
      <c r="B190" s="78"/>
      <c r="C190" s="62">
        <v>0.08</v>
      </c>
      <c r="D190" s="63">
        <v>0.69</v>
      </c>
      <c r="E190" s="63">
        <v>0.69</v>
      </c>
      <c r="F190" s="64" t="s">
        <v>254</v>
      </c>
      <c r="G190" s="59">
        <v>47848.0</v>
      </c>
      <c r="K190" s="65" t="s">
        <v>783</v>
      </c>
      <c r="L190" s="7"/>
      <c r="M190" s="70" t="e">
        <v>#N/A</v>
      </c>
      <c r="N190" s="7"/>
      <c r="O190" s="7"/>
      <c r="P190" s="65"/>
    </row>
    <row r="191">
      <c r="A191" s="67" t="s">
        <v>785</v>
      </c>
      <c r="B191" s="78"/>
      <c r="C191" s="62">
        <v>0.08</v>
      </c>
      <c r="D191" s="63">
        <v>0.69</v>
      </c>
      <c r="E191" s="63">
        <v>0.69</v>
      </c>
      <c r="F191" s="64" t="s">
        <v>254</v>
      </c>
      <c r="G191" s="59">
        <v>47848.0</v>
      </c>
      <c r="K191" s="65" t="s">
        <v>784</v>
      </c>
      <c r="L191" s="7"/>
      <c r="M191" s="70" t="e">
        <v>#N/A</v>
      </c>
      <c r="N191" s="7"/>
      <c r="O191" s="7"/>
      <c r="P191" s="65"/>
    </row>
    <row r="192">
      <c r="A192" s="67" t="s">
        <v>786</v>
      </c>
      <c r="B192" s="25">
        <v>11708.0</v>
      </c>
      <c r="C192" s="62">
        <v>0.08</v>
      </c>
      <c r="D192" s="63">
        <v>0.69</v>
      </c>
      <c r="E192" s="63">
        <v>0.69</v>
      </c>
      <c r="F192" s="64" t="s">
        <v>254</v>
      </c>
      <c r="G192" s="59">
        <v>47848.0</v>
      </c>
      <c r="K192" s="65" t="s">
        <v>785</v>
      </c>
      <c r="L192" s="7"/>
      <c r="M192" s="70" t="e">
        <v>#N/A</v>
      </c>
      <c r="N192" s="7"/>
      <c r="O192" s="7"/>
      <c r="P192" s="65"/>
    </row>
    <row r="193">
      <c r="A193" s="67" t="s">
        <v>787</v>
      </c>
      <c r="B193" s="78"/>
      <c r="C193" s="62">
        <v>0.08</v>
      </c>
      <c r="D193" s="63">
        <v>0.69</v>
      </c>
      <c r="E193" s="63">
        <v>0.69</v>
      </c>
      <c r="F193" s="64" t="s">
        <v>254</v>
      </c>
      <c r="G193" s="59">
        <v>47848.0</v>
      </c>
      <c r="K193" s="65" t="s">
        <v>786</v>
      </c>
      <c r="L193" s="66">
        <v>11708.0</v>
      </c>
      <c r="M193" s="72">
        <v>1.0</v>
      </c>
      <c r="N193" s="7"/>
      <c r="O193" s="7"/>
      <c r="P193" s="65"/>
    </row>
    <row r="194">
      <c r="A194" s="67" t="s">
        <v>788</v>
      </c>
      <c r="B194" s="78"/>
      <c r="C194" s="62">
        <v>0.08</v>
      </c>
      <c r="D194" s="63">
        <v>0.69</v>
      </c>
      <c r="E194" s="63">
        <v>0.69</v>
      </c>
      <c r="F194" s="64" t="s">
        <v>254</v>
      </c>
      <c r="G194" s="59">
        <v>47848.0</v>
      </c>
      <c r="K194" s="65" t="s">
        <v>787</v>
      </c>
      <c r="L194" s="7"/>
      <c r="M194" s="70" t="e">
        <v>#N/A</v>
      </c>
      <c r="N194" s="7"/>
      <c r="O194" s="7"/>
      <c r="P194" s="65"/>
    </row>
    <row r="195">
      <c r="A195" s="67" t="s">
        <v>789</v>
      </c>
      <c r="B195" s="78"/>
      <c r="C195" s="62">
        <v>0.08</v>
      </c>
      <c r="D195" s="63">
        <v>0.69</v>
      </c>
      <c r="E195" s="63">
        <v>0.69</v>
      </c>
      <c r="F195" s="64" t="s">
        <v>254</v>
      </c>
      <c r="G195" s="59">
        <v>47848.0</v>
      </c>
      <c r="K195" s="65" t="s">
        <v>788</v>
      </c>
      <c r="L195" s="7"/>
      <c r="M195" s="70" t="e">
        <v>#N/A</v>
      </c>
      <c r="N195" s="7"/>
      <c r="O195" s="7"/>
      <c r="P195" s="65"/>
    </row>
    <row r="196">
      <c r="A196" s="67" t="s">
        <v>790</v>
      </c>
      <c r="B196" s="78"/>
      <c r="C196" s="62">
        <v>0.08</v>
      </c>
      <c r="D196" s="63">
        <v>0.69</v>
      </c>
      <c r="E196" s="63">
        <v>0.69</v>
      </c>
      <c r="F196" s="64" t="s">
        <v>254</v>
      </c>
      <c r="G196" s="59">
        <v>47848.0</v>
      </c>
      <c r="K196" s="65" t="s">
        <v>789</v>
      </c>
      <c r="L196" s="7"/>
      <c r="M196" s="70" t="e">
        <v>#N/A</v>
      </c>
      <c r="N196" s="7"/>
      <c r="O196" s="7"/>
      <c r="P196" s="65"/>
    </row>
    <row r="197">
      <c r="A197" s="67" t="s">
        <v>791</v>
      </c>
      <c r="B197" s="25">
        <v>6671.0</v>
      </c>
      <c r="C197" s="62">
        <v>0.08</v>
      </c>
      <c r="D197" s="83">
        <v>0.8</v>
      </c>
      <c r="E197" s="83">
        <v>0.8</v>
      </c>
      <c r="F197" s="64" t="s">
        <v>254</v>
      </c>
      <c r="G197" s="59">
        <v>47848.0</v>
      </c>
      <c r="K197" s="65" t="s">
        <v>790</v>
      </c>
      <c r="L197" s="7"/>
      <c r="M197" s="70" t="e">
        <v>#N/A</v>
      </c>
      <c r="N197" s="7"/>
      <c r="O197" s="7"/>
      <c r="P197" s="65"/>
    </row>
    <row r="198">
      <c r="A198" s="67" t="s">
        <v>792</v>
      </c>
      <c r="B198" s="78"/>
      <c r="C198" s="62">
        <v>0.08</v>
      </c>
      <c r="D198" s="63">
        <v>0.69</v>
      </c>
      <c r="E198" s="63">
        <v>0.69</v>
      </c>
      <c r="F198" s="64" t="s">
        <v>254</v>
      </c>
      <c r="G198" s="59">
        <v>47848.0</v>
      </c>
      <c r="K198" s="65" t="s">
        <v>791</v>
      </c>
      <c r="L198" s="66">
        <v>6671.0</v>
      </c>
      <c r="M198" s="70" t="e">
        <v>#N/A</v>
      </c>
      <c r="N198" s="7"/>
      <c r="O198" s="7"/>
      <c r="P198" s="7"/>
    </row>
    <row r="199">
      <c r="A199" s="67" t="s">
        <v>793</v>
      </c>
      <c r="B199" s="37">
        <v>14529.0</v>
      </c>
      <c r="C199" s="62">
        <v>0.08</v>
      </c>
      <c r="D199" s="63">
        <v>0.69</v>
      </c>
      <c r="E199" s="63">
        <v>0.69</v>
      </c>
      <c r="F199" s="64" t="s">
        <v>254</v>
      </c>
      <c r="G199" s="59">
        <v>47848.0</v>
      </c>
      <c r="K199" s="65" t="s">
        <v>792</v>
      </c>
      <c r="L199" s="7"/>
      <c r="M199" s="70" t="e">
        <v>#N/A</v>
      </c>
      <c r="N199" s="7"/>
      <c r="O199" s="7"/>
      <c r="P199" s="7"/>
    </row>
    <row r="200">
      <c r="A200" s="67" t="s">
        <v>794</v>
      </c>
      <c r="B200" s="78"/>
      <c r="C200" s="62">
        <v>0.08</v>
      </c>
      <c r="D200" s="63">
        <v>0.69</v>
      </c>
      <c r="E200" s="63">
        <v>0.69</v>
      </c>
      <c r="F200" s="64" t="s">
        <v>254</v>
      </c>
      <c r="G200" s="59">
        <v>47848.0</v>
      </c>
      <c r="K200" s="65" t="s">
        <v>793</v>
      </c>
      <c r="L200" s="7"/>
      <c r="M200" s="70" t="e">
        <v>#N/A</v>
      </c>
      <c r="N200" s="7"/>
      <c r="O200" s="7"/>
      <c r="P200" s="7"/>
    </row>
    <row r="201">
      <c r="A201" s="67" t="s">
        <v>795</v>
      </c>
      <c r="B201" s="78"/>
      <c r="C201" s="62">
        <v>0.08</v>
      </c>
      <c r="D201" s="63">
        <v>0.69</v>
      </c>
      <c r="E201" s="63">
        <v>0.69</v>
      </c>
      <c r="F201" s="64" t="s">
        <v>254</v>
      </c>
      <c r="G201" s="59">
        <v>47848.0</v>
      </c>
      <c r="K201" s="65" t="s">
        <v>794</v>
      </c>
      <c r="L201" s="7"/>
      <c r="M201" s="70" t="e">
        <v>#N/A</v>
      </c>
      <c r="N201" s="7"/>
      <c r="O201" s="7"/>
      <c r="P201" s="7"/>
    </row>
    <row r="202">
      <c r="A202" s="67" t="s">
        <v>796</v>
      </c>
      <c r="B202" s="78"/>
      <c r="C202" s="62">
        <v>0.08</v>
      </c>
      <c r="D202" s="63">
        <v>0.69</v>
      </c>
      <c r="E202" s="63">
        <v>0.69</v>
      </c>
      <c r="F202" s="64" t="s">
        <v>254</v>
      </c>
      <c r="G202" s="59">
        <v>47848.0</v>
      </c>
      <c r="K202" s="65" t="s">
        <v>795</v>
      </c>
      <c r="L202" s="7"/>
      <c r="M202" s="70" t="e">
        <v>#N/A</v>
      </c>
      <c r="N202" s="7"/>
      <c r="O202" s="7"/>
      <c r="P202" s="7"/>
    </row>
    <row r="203">
      <c r="A203" s="67" t="s">
        <v>797</v>
      </c>
      <c r="B203" s="78"/>
      <c r="C203" s="62">
        <v>0.08</v>
      </c>
      <c r="D203" s="63">
        <v>0.69</v>
      </c>
      <c r="E203" s="63">
        <v>0.69</v>
      </c>
      <c r="F203" s="64" t="s">
        <v>254</v>
      </c>
      <c r="G203" s="59">
        <v>47848.0</v>
      </c>
      <c r="K203" s="65" t="s">
        <v>796</v>
      </c>
      <c r="L203" s="7"/>
      <c r="M203" s="70" t="e">
        <v>#N/A</v>
      </c>
      <c r="N203" s="7"/>
      <c r="O203" s="7"/>
      <c r="P203" s="7"/>
    </row>
    <row r="204">
      <c r="A204" s="67" t="s">
        <v>798</v>
      </c>
      <c r="B204" s="78"/>
      <c r="C204" s="62">
        <v>0.08</v>
      </c>
      <c r="D204" s="63">
        <v>0.69</v>
      </c>
      <c r="E204" s="63">
        <v>0.69</v>
      </c>
      <c r="F204" s="64" t="s">
        <v>254</v>
      </c>
      <c r="G204" s="59">
        <v>47848.0</v>
      </c>
      <c r="K204" s="65" t="s">
        <v>797</v>
      </c>
      <c r="L204" s="7"/>
      <c r="M204" s="70" t="e">
        <v>#N/A</v>
      </c>
      <c r="N204" s="7"/>
      <c r="O204" s="7"/>
      <c r="P204" s="7"/>
    </row>
    <row r="205">
      <c r="A205" s="67" t="s">
        <v>799</v>
      </c>
      <c r="B205" s="78"/>
      <c r="C205" s="62">
        <v>0.08</v>
      </c>
      <c r="D205" s="63">
        <v>0.69</v>
      </c>
      <c r="E205" s="63">
        <v>0.69</v>
      </c>
      <c r="F205" s="64" t="s">
        <v>254</v>
      </c>
      <c r="G205" s="59">
        <v>47848.0</v>
      </c>
      <c r="K205" s="65" t="s">
        <v>798</v>
      </c>
      <c r="L205" s="7"/>
      <c r="M205" s="70" t="e">
        <v>#N/A</v>
      </c>
      <c r="N205" s="7"/>
      <c r="O205" s="7"/>
      <c r="P205" s="7"/>
    </row>
    <row r="206">
      <c r="A206" s="67" t="s">
        <v>800</v>
      </c>
      <c r="B206" s="78"/>
      <c r="C206" s="62">
        <v>0.08</v>
      </c>
      <c r="D206" s="63">
        <v>0.69</v>
      </c>
      <c r="E206" s="63">
        <v>0.69</v>
      </c>
      <c r="F206" s="64" t="s">
        <v>254</v>
      </c>
      <c r="G206" s="59">
        <v>47848.0</v>
      </c>
      <c r="K206" s="65" t="s">
        <v>799</v>
      </c>
      <c r="L206" s="7"/>
      <c r="M206" s="70" t="e">
        <v>#N/A</v>
      </c>
      <c r="N206" s="7"/>
      <c r="O206" s="7"/>
      <c r="P206" s="7"/>
    </row>
    <row r="207">
      <c r="A207" s="67" t="s">
        <v>801</v>
      </c>
      <c r="B207" s="78"/>
      <c r="C207" s="62">
        <v>0.08</v>
      </c>
      <c r="D207" s="63">
        <v>0.69</v>
      </c>
      <c r="E207" s="63">
        <v>0.69</v>
      </c>
      <c r="F207" s="64" t="s">
        <v>254</v>
      </c>
      <c r="G207" s="59">
        <v>47848.0</v>
      </c>
      <c r="K207" s="65" t="s">
        <v>800</v>
      </c>
      <c r="L207" s="7"/>
      <c r="M207" s="70" t="e">
        <v>#N/A</v>
      </c>
      <c r="N207" s="7"/>
      <c r="O207" s="7"/>
      <c r="P207" s="7"/>
    </row>
    <row r="208">
      <c r="A208" s="67" t="s">
        <v>802</v>
      </c>
      <c r="B208" s="78"/>
      <c r="C208" s="62">
        <v>0.08</v>
      </c>
      <c r="D208" s="63">
        <v>0.69</v>
      </c>
      <c r="E208" s="63">
        <v>0.69</v>
      </c>
      <c r="F208" s="64" t="s">
        <v>254</v>
      </c>
      <c r="G208" s="59">
        <v>47848.0</v>
      </c>
      <c r="K208" s="65" t="s">
        <v>801</v>
      </c>
      <c r="L208" s="7"/>
      <c r="M208" s="70" t="e">
        <v>#N/A</v>
      </c>
      <c r="N208" s="7"/>
      <c r="O208" s="7"/>
      <c r="P208" s="7"/>
    </row>
    <row r="209">
      <c r="A209" s="67" t="s">
        <v>803</v>
      </c>
      <c r="B209" s="78"/>
      <c r="C209" s="62">
        <v>0.08</v>
      </c>
      <c r="D209" s="63">
        <v>0.69</v>
      </c>
      <c r="E209" s="63">
        <v>0.69</v>
      </c>
      <c r="F209" s="64" t="s">
        <v>254</v>
      </c>
      <c r="G209" s="59">
        <v>47848.0</v>
      </c>
      <c r="K209" s="65" t="s">
        <v>802</v>
      </c>
      <c r="L209" s="7"/>
      <c r="M209" s="70" t="e">
        <v>#N/A</v>
      </c>
      <c r="N209" s="7"/>
      <c r="O209" s="7"/>
      <c r="P209" s="7"/>
    </row>
    <row r="210">
      <c r="A210" s="67" t="s">
        <v>804</v>
      </c>
      <c r="B210" s="78"/>
      <c r="C210" s="62">
        <v>0.08</v>
      </c>
      <c r="D210" s="63">
        <v>0.69</v>
      </c>
      <c r="E210" s="63">
        <v>0.69</v>
      </c>
      <c r="F210" s="64" t="s">
        <v>254</v>
      </c>
      <c r="G210" s="59">
        <v>47848.0</v>
      </c>
      <c r="K210" s="65" t="s">
        <v>803</v>
      </c>
      <c r="L210" s="7"/>
      <c r="M210" s="70" t="e">
        <v>#N/A</v>
      </c>
      <c r="N210" s="7"/>
      <c r="O210" s="7"/>
      <c r="P210" s="7"/>
    </row>
    <row r="211">
      <c r="A211" s="67" t="s">
        <v>805</v>
      </c>
      <c r="B211" s="78"/>
      <c r="C211" s="62">
        <v>0.08</v>
      </c>
      <c r="D211" s="63">
        <v>0.69</v>
      </c>
      <c r="E211" s="63">
        <v>0.69</v>
      </c>
      <c r="F211" s="64" t="s">
        <v>254</v>
      </c>
      <c r="G211" s="59">
        <v>47848.0</v>
      </c>
      <c r="K211" s="65" t="s">
        <v>804</v>
      </c>
      <c r="L211" s="7"/>
      <c r="M211" s="70" t="e">
        <v>#N/A</v>
      </c>
      <c r="N211" s="7"/>
      <c r="O211" s="7"/>
      <c r="P211" s="7"/>
    </row>
    <row r="212">
      <c r="A212" s="67" t="s">
        <v>806</v>
      </c>
      <c r="B212" s="25">
        <v>9701.0</v>
      </c>
      <c r="C212" s="62">
        <v>0.08</v>
      </c>
      <c r="D212" s="63">
        <v>0.69</v>
      </c>
      <c r="E212" s="63">
        <v>0.69</v>
      </c>
      <c r="F212" s="64" t="s">
        <v>254</v>
      </c>
      <c r="G212" s="59">
        <v>47848.0</v>
      </c>
      <c r="K212" s="65" t="s">
        <v>805</v>
      </c>
      <c r="L212" s="7"/>
      <c r="M212" s="70" t="e">
        <v>#N/A</v>
      </c>
      <c r="N212" s="7"/>
      <c r="O212" s="7"/>
      <c r="P212" s="7"/>
    </row>
    <row r="213">
      <c r="A213" s="67" t="s">
        <v>807</v>
      </c>
      <c r="B213" s="78"/>
      <c r="C213" s="62">
        <v>0.08</v>
      </c>
      <c r="D213" s="63">
        <v>0.69</v>
      </c>
      <c r="E213" s="63">
        <v>0.69</v>
      </c>
      <c r="F213" s="64" t="s">
        <v>254</v>
      </c>
      <c r="G213" s="59">
        <v>47848.0</v>
      </c>
      <c r="K213" s="65" t="s">
        <v>806</v>
      </c>
      <c r="L213" s="66">
        <v>9701.0</v>
      </c>
      <c r="M213" s="70" t="e">
        <v>#N/A</v>
      </c>
      <c r="N213" s="7"/>
      <c r="O213" s="7"/>
      <c r="P213" s="7"/>
    </row>
    <row r="214">
      <c r="A214" s="67" t="s">
        <v>808</v>
      </c>
      <c r="B214" s="78"/>
      <c r="C214" s="62">
        <v>0.08</v>
      </c>
      <c r="D214" s="63">
        <v>0.69</v>
      </c>
      <c r="E214" s="63">
        <v>0.69</v>
      </c>
      <c r="F214" s="64" t="s">
        <v>254</v>
      </c>
      <c r="G214" s="59">
        <v>47848.0</v>
      </c>
      <c r="K214" s="65" t="s">
        <v>807</v>
      </c>
      <c r="L214" s="7"/>
      <c r="M214" s="70" t="e">
        <v>#N/A</v>
      </c>
      <c r="N214" s="7"/>
      <c r="O214" s="7"/>
      <c r="P214" s="7"/>
    </row>
    <row r="215">
      <c r="A215" s="67" t="s">
        <v>809</v>
      </c>
      <c r="B215" s="78"/>
      <c r="C215" s="62">
        <v>0.08</v>
      </c>
      <c r="D215" s="63">
        <v>0.69</v>
      </c>
      <c r="E215" s="63">
        <v>0.69</v>
      </c>
      <c r="F215" s="64" t="s">
        <v>254</v>
      </c>
      <c r="G215" s="59">
        <v>47848.0</v>
      </c>
      <c r="K215" s="65" t="s">
        <v>808</v>
      </c>
      <c r="L215" s="7"/>
      <c r="M215" s="70" t="e">
        <v>#N/A</v>
      </c>
      <c r="N215" s="7"/>
      <c r="O215" s="7"/>
      <c r="P215" s="7"/>
    </row>
    <row r="216">
      <c r="A216" s="67" t="s">
        <v>810</v>
      </c>
      <c r="B216" s="78"/>
      <c r="C216" s="62">
        <v>0.08</v>
      </c>
      <c r="D216" s="63">
        <v>0.69</v>
      </c>
      <c r="E216" s="63">
        <v>0.69</v>
      </c>
      <c r="F216" s="64" t="s">
        <v>254</v>
      </c>
      <c r="G216" s="59">
        <v>47848.0</v>
      </c>
      <c r="K216" s="65" t="s">
        <v>809</v>
      </c>
      <c r="L216" s="7"/>
      <c r="M216" s="70" t="e">
        <v>#N/A</v>
      </c>
      <c r="N216" s="7"/>
      <c r="O216" s="7"/>
      <c r="P216" s="7"/>
    </row>
    <row r="217">
      <c r="A217" s="67" t="s">
        <v>811</v>
      </c>
      <c r="B217" s="78"/>
      <c r="C217" s="62">
        <v>0.08</v>
      </c>
      <c r="D217" s="63">
        <v>0.69</v>
      </c>
      <c r="E217" s="63">
        <v>0.69</v>
      </c>
      <c r="F217" s="64" t="s">
        <v>254</v>
      </c>
      <c r="G217" s="59">
        <v>47848.0</v>
      </c>
      <c r="K217" s="65" t="s">
        <v>810</v>
      </c>
      <c r="L217" s="7"/>
      <c r="M217" s="70" t="e">
        <v>#N/A</v>
      </c>
      <c r="N217" s="7"/>
      <c r="O217" s="7"/>
      <c r="P217" s="7"/>
    </row>
    <row r="218">
      <c r="A218" s="67" t="s">
        <v>812</v>
      </c>
      <c r="B218" s="78"/>
      <c r="C218" s="62">
        <v>0.08</v>
      </c>
      <c r="D218" s="63">
        <v>0.69</v>
      </c>
      <c r="E218" s="63">
        <v>0.69</v>
      </c>
      <c r="F218" s="64" t="s">
        <v>254</v>
      </c>
      <c r="G218" s="59">
        <v>47848.0</v>
      </c>
      <c r="K218" s="65" t="s">
        <v>811</v>
      </c>
      <c r="L218" s="7"/>
      <c r="M218" s="70" t="e">
        <v>#N/A</v>
      </c>
      <c r="N218" s="7"/>
      <c r="O218" s="7"/>
      <c r="P218" s="7"/>
    </row>
    <row r="219">
      <c r="A219" s="67" t="s">
        <v>813</v>
      </c>
      <c r="B219" s="78"/>
      <c r="C219" s="62">
        <v>0.08</v>
      </c>
      <c r="D219" s="63">
        <v>0.69</v>
      </c>
      <c r="E219" s="63">
        <v>0.69</v>
      </c>
      <c r="F219" s="64" t="s">
        <v>254</v>
      </c>
      <c r="G219" s="59">
        <v>47848.0</v>
      </c>
      <c r="K219" s="65" t="s">
        <v>812</v>
      </c>
      <c r="L219" s="7"/>
      <c r="M219" s="70" t="e">
        <v>#N/A</v>
      </c>
      <c r="N219" s="7"/>
      <c r="O219" s="7"/>
      <c r="P219" s="7"/>
    </row>
    <row r="220">
      <c r="A220" s="67" t="s">
        <v>814</v>
      </c>
      <c r="B220" s="78"/>
      <c r="C220" s="62">
        <v>0.08</v>
      </c>
      <c r="D220" s="63">
        <v>0.69</v>
      </c>
      <c r="E220" s="63">
        <v>0.69</v>
      </c>
      <c r="F220" s="64" t="s">
        <v>254</v>
      </c>
      <c r="G220" s="59">
        <v>47848.0</v>
      </c>
      <c r="K220" s="65" t="s">
        <v>813</v>
      </c>
      <c r="L220" s="7"/>
      <c r="M220" s="70" t="e">
        <v>#N/A</v>
      </c>
      <c r="N220" s="7"/>
      <c r="O220" s="7"/>
      <c r="P220" s="7"/>
    </row>
    <row r="221">
      <c r="A221" s="67" t="s">
        <v>815</v>
      </c>
      <c r="B221" s="78"/>
      <c r="C221" s="62">
        <v>0.08</v>
      </c>
      <c r="D221" s="63">
        <v>0.69</v>
      </c>
      <c r="E221" s="63">
        <v>0.69</v>
      </c>
      <c r="F221" s="64" t="s">
        <v>254</v>
      </c>
      <c r="G221" s="59">
        <v>47848.0</v>
      </c>
      <c r="K221" s="65" t="s">
        <v>814</v>
      </c>
      <c r="L221" s="7"/>
      <c r="M221" s="70" t="e">
        <v>#N/A</v>
      </c>
      <c r="N221" s="7"/>
      <c r="O221" s="7"/>
      <c r="P221" s="7"/>
    </row>
    <row r="222">
      <c r="A222" s="67" t="s">
        <v>816</v>
      </c>
      <c r="B222" s="78"/>
      <c r="C222" s="62">
        <v>0.08</v>
      </c>
      <c r="D222" s="63">
        <v>0.69</v>
      </c>
      <c r="E222" s="63">
        <v>0.69</v>
      </c>
      <c r="F222" s="64" t="s">
        <v>254</v>
      </c>
      <c r="G222" s="59">
        <v>47848.0</v>
      </c>
      <c r="K222" s="65" t="s">
        <v>815</v>
      </c>
      <c r="L222" s="7"/>
      <c r="M222" s="70" t="e">
        <v>#N/A</v>
      </c>
      <c r="N222" s="7"/>
      <c r="O222" s="7"/>
      <c r="P222" s="7"/>
    </row>
    <row r="223">
      <c r="A223" s="67" t="s">
        <v>817</v>
      </c>
      <c r="B223" s="25">
        <v>6675.0</v>
      </c>
      <c r="C223" s="62">
        <v>0.08</v>
      </c>
      <c r="D223" s="74">
        <v>0.9</v>
      </c>
      <c r="E223" s="74">
        <v>0.9</v>
      </c>
      <c r="F223" s="64" t="s">
        <v>254</v>
      </c>
      <c r="G223" s="59">
        <v>47848.0</v>
      </c>
      <c r="K223" s="65" t="s">
        <v>816</v>
      </c>
      <c r="L223" s="7"/>
      <c r="M223" s="70" t="e">
        <v>#N/A</v>
      </c>
      <c r="N223" s="7"/>
      <c r="O223" s="7"/>
      <c r="P223" s="7"/>
    </row>
    <row r="224">
      <c r="A224" s="67" t="s">
        <v>818</v>
      </c>
      <c r="B224" s="78"/>
      <c r="C224" s="62">
        <v>0.08</v>
      </c>
      <c r="D224" s="63">
        <v>0.69</v>
      </c>
      <c r="E224" s="63">
        <v>0.69</v>
      </c>
      <c r="F224" s="64" t="s">
        <v>254</v>
      </c>
      <c r="G224" s="59">
        <v>47848.0</v>
      </c>
      <c r="K224" s="65" t="s">
        <v>817</v>
      </c>
      <c r="L224" s="66">
        <v>6675.0</v>
      </c>
      <c r="M224" s="70" t="e">
        <v>#N/A</v>
      </c>
      <c r="N224" s="7"/>
      <c r="O224" s="7"/>
      <c r="P224" s="7"/>
    </row>
    <row r="225">
      <c r="A225" s="67" t="s">
        <v>819</v>
      </c>
      <c r="B225" s="78"/>
      <c r="C225" s="62">
        <v>0.08</v>
      </c>
      <c r="D225" s="63">
        <v>0.69</v>
      </c>
      <c r="E225" s="63">
        <v>0.69</v>
      </c>
      <c r="F225" s="64" t="s">
        <v>254</v>
      </c>
      <c r="G225" s="59">
        <v>47848.0</v>
      </c>
      <c r="K225" s="65" t="s">
        <v>818</v>
      </c>
      <c r="L225" s="7"/>
      <c r="M225" s="70" t="e">
        <v>#N/A</v>
      </c>
      <c r="N225" s="7"/>
      <c r="O225" s="7"/>
      <c r="P225" s="7"/>
    </row>
    <row r="226">
      <c r="A226" s="67" t="s">
        <v>820</v>
      </c>
      <c r="B226" s="78"/>
      <c r="C226" s="62">
        <v>0.08</v>
      </c>
      <c r="D226" s="63">
        <v>0.69</v>
      </c>
      <c r="E226" s="63">
        <v>0.69</v>
      </c>
      <c r="F226" s="64" t="s">
        <v>254</v>
      </c>
      <c r="G226" s="59">
        <v>47848.0</v>
      </c>
      <c r="K226" s="65" t="s">
        <v>819</v>
      </c>
      <c r="L226" s="7"/>
      <c r="M226" s="70" t="e">
        <v>#N/A</v>
      </c>
      <c r="N226" s="7"/>
      <c r="O226" s="7"/>
      <c r="P226" s="7"/>
    </row>
    <row r="227">
      <c r="A227" s="67" t="s">
        <v>821</v>
      </c>
      <c r="B227" s="25">
        <v>14575.0</v>
      </c>
      <c r="C227" s="62">
        <v>0.08</v>
      </c>
      <c r="D227" s="74">
        <v>0.85</v>
      </c>
      <c r="E227" s="74">
        <v>0.85</v>
      </c>
      <c r="F227" s="64" t="s">
        <v>254</v>
      </c>
      <c r="G227" s="59">
        <v>47848.0</v>
      </c>
      <c r="K227" s="65" t="s">
        <v>820</v>
      </c>
      <c r="L227" s="7"/>
      <c r="M227" s="70" t="e">
        <v>#N/A</v>
      </c>
      <c r="N227" s="7"/>
      <c r="O227" s="7"/>
      <c r="P227" s="7"/>
    </row>
    <row r="228">
      <c r="A228" s="67" t="s">
        <v>822</v>
      </c>
      <c r="B228" s="78"/>
      <c r="C228" s="62">
        <v>0.08</v>
      </c>
      <c r="D228" s="63">
        <v>0.69</v>
      </c>
      <c r="E228" s="63">
        <v>0.69</v>
      </c>
      <c r="F228" s="64" t="s">
        <v>254</v>
      </c>
      <c r="G228" s="59">
        <v>47848.0</v>
      </c>
      <c r="K228" s="65" t="s">
        <v>821</v>
      </c>
      <c r="L228" s="7"/>
      <c r="M228" s="70" t="e">
        <v>#N/A</v>
      </c>
      <c r="N228" s="7"/>
      <c r="O228" s="7"/>
      <c r="P228" s="7"/>
    </row>
    <row r="229">
      <c r="A229" s="67" t="s">
        <v>823</v>
      </c>
      <c r="B229" s="78"/>
      <c r="C229" s="62">
        <v>0.08</v>
      </c>
      <c r="D229" s="63">
        <v>0.69</v>
      </c>
      <c r="E229" s="63">
        <v>0.69</v>
      </c>
      <c r="F229" s="64" t="s">
        <v>254</v>
      </c>
      <c r="G229" s="59">
        <v>47848.0</v>
      </c>
      <c r="K229" s="65" t="s">
        <v>822</v>
      </c>
      <c r="L229" s="7"/>
      <c r="M229" s="70" t="e">
        <v>#N/A</v>
      </c>
      <c r="N229" s="7"/>
      <c r="O229" s="7"/>
      <c r="P229" s="7"/>
    </row>
    <row r="230">
      <c r="A230" s="67" t="s">
        <v>824</v>
      </c>
      <c r="B230" s="78"/>
      <c r="C230" s="62">
        <v>0.08</v>
      </c>
      <c r="D230" s="63">
        <v>0.69</v>
      </c>
      <c r="E230" s="63">
        <v>0.69</v>
      </c>
      <c r="F230" s="64" t="s">
        <v>254</v>
      </c>
      <c r="G230" s="59">
        <v>47848.0</v>
      </c>
      <c r="K230" s="65" t="s">
        <v>823</v>
      </c>
      <c r="L230" s="7"/>
      <c r="M230" s="70" t="e">
        <v>#N/A</v>
      </c>
      <c r="N230" s="7"/>
      <c r="O230" s="7"/>
      <c r="P230" s="7"/>
    </row>
    <row r="231">
      <c r="A231" s="67" t="s">
        <v>825</v>
      </c>
      <c r="B231" s="78"/>
      <c r="C231" s="62">
        <v>0.08</v>
      </c>
      <c r="D231" s="63">
        <v>0.69</v>
      </c>
      <c r="E231" s="63">
        <v>0.69</v>
      </c>
      <c r="F231" s="64" t="s">
        <v>254</v>
      </c>
      <c r="G231" s="59">
        <v>47848.0</v>
      </c>
      <c r="K231" s="65" t="s">
        <v>824</v>
      </c>
      <c r="L231" s="7"/>
      <c r="M231" s="70" t="e">
        <v>#N/A</v>
      </c>
      <c r="N231" s="7"/>
      <c r="O231" s="7"/>
      <c r="P231" s="7"/>
    </row>
    <row r="232">
      <c r="A232" s="67" t="s">
        <v>826</v>
      </c>
      <c r="B232" s="25">
        <v>6143.0</v>
      </c>
      <c r="C232" s="62">
        <v>0.08</v>
      </c>
      <c r="D232" s="74">
        <v>0.8</v>
      </c>
      <c r="E232" s="74">
        <v>0.8</v>
      </c>
      <c r="F232" s="64" t="s">
        <v>254</v>
      </c>
      <c r="G232" s="59">
        <v>47848.0</v>
      </c>
      <c r="K232" s="65" t="s">
        <v>825</v>
      </c>
      <c r="L232" s="7"/>
      <c r="M232" s="70" t="e">
        <v>#N/A</v>
      </c>
      <c r="N232" s="7"/>
      <c r="O232" s="7"/>
      <c r="P232" s="7"/>
    </row>
    <row r="233">
      <c r="A233" s="67" t="s">
        <v>827</v>
      </c>
      <c r="B233" s="78"/>
      <c r="C233" s="62">
        <v>0.08</v>
      </c>
      <c r="D233" s="63">
        <v>0.69</v>
      </c>
      <c r="E233" s="63">
        <v>0.69</v>
      </c>
      <c r="F233" s="64" t="s">
        <v>254</v>
      </c>
      <c r="G233" s="59">
        <v>47848.0</v>
      </c>
      <c r="K233" s="65" t="s">
        <v>826</v>
      </c>
      <c r="L233" s="66">
        <v>6143.0</v>
      </c>
      <c r="M233" s="70" t="e">
        <v>#N/A</v>
      </c>
      <c r="N233" s="7"/>
      <c r="O233" s="7"/>
      <c r="P233" s="7"/>
    </row>
    <row r="234">
      <c r="A234" s="67" t="s">
        <v>828</v>
      </c>
      <c r="B234" s="78"/>
      <c r="C234" s="62">
        <v>0.08</v>
      </c>
      <c r="D234" s="63">
        <v>0.69</v>
      </c>
      <c r="E234" s="63">
        <v>0.69</v>
      </c>
      <c r="F234" s="64" t="s">
        <v>254</v>
      </c>
      <c r="G234" s="59">
        <v>47848.0</v>
      </c>
      <c r="K234" s="65" t="s">
        <v>827</v>
      </c>
      <c r="L234" s="7"/>
      <c r="M234" s="70" t="e">
        <v>#N/A</v>
      </c>
      <c r="N234" s="7"/>
      <c r="O234" s="7"/>
      <c r="P234" s="7"/>
    </row>
    <row r="235">
      <c r="A235" s="67" t="s">
        <v>829</v>
      </c>
      <c r="B235" s="25">
        <v>6143.0</v>
      </c>
      <c r="C235" s="62">
        <v>0.08</v>
      </c>
      <c r="D235" s="74">
        <v>0.8</v>
      </c>
      <c r="E235" s="74">
        <v>0.8</v>
      </c>
      <c r="F235" s="64" t="s">
        <v>254</v>
      </c>
      <c r="G235" s="59">
        <v>47848.0</v>
      </c>
      <c r="K235" s="65" t="s">
        <v>828</v>
      </c>
      <c r="L235" s="7"/>
      <c r="M235" s="70" t="e">
        <v>#N/A</v>
      </c>
      <c r="N235" s="7"/>
      <c r="O235" s="7"/>
      <c r="P235" s="7"/>
    </row>
    <row r="236">
      <c r="A236" s="67" t="s">
        <v>830</v>
      </c>
      <c r="B236" s="78"/>
      <c r="C236" s="62">
        <v>0.08</v>
      </c>
      <c r="D236" s="63">
        <v>0.69</v>
      </c>
      <c r="E236" s="63">
        <v>0.69</v>
      </c>
      <c r="F236" s="64" t="s">
        <v>254</v>
      </c>
      <c r="G236" s="59">
        <v>47848.0</v>
      </c>
      <c r="K236" s="65" t="s">
        <v>829</v>
      </c>
      <c r="L236" s="66">
        <v>6143.0</v>
      </c>
      <c r="M236" s="70" t="e">
        <v>#N/A</v>
      </c>
      <c r="N236" s="7"/>
      <c r="O236" s="7"/>
      <c r="P236" s="7"/>
    </row>
    <row r="237">
      <c r="A237" s="67" t="s">
        <v>831</v>
      </c>
      <c r="B237" s="78"/>
      <c r="C237" s="62">
        <v>0.08</v>
      </c>
      <c r="D237" s="63">
        <v>0.69</v>
      </c>
      <c r="E237" s="63">
        <v>0.69</v>
      </c>
      <c r="F237" s="64" t="s">
        <v>254</v>
      </c>
      <c r="G237" s="59">
        <v>47848.0</v>
      </c>
      <c r="K237" s="65" t="s">
        <v>830</v>
      </c>
      <c r="L237" s="7"/>
      <c r="M237" s="70" t="e">
        <v>#N/A</v>
      </c>
      <c r="N237" s="7"/>
      <c r="O237" s="7"/>
      <c r="P237" s="7"/>
    </row>
    <row r="238">
      <c r="A238" s="67" t="s">
        <v>832</v>
      </c>
      <c r="B238" s="78"/>
      <c r="C238" s="62">
        <v>0.08</v>
      </c>
      <c r="D238" s="63">
        <v>0.69</v>
      </c>
      <c r="E238" s="63">
        <v>0.69</v>
      </c>
      <c r="F238" s="64" t="s">
        <v>254</v>
      </c>
      <c r="G238" s="59">
        <v>47848.0</v>
      </c>
      <c r="K238" s="65" t="s">
        <v>831</v>
      </c>
      <c r="L238" s="7"/>
      <c r="M238" s="70" t="e">
        <v>#N/A</v>
      </c>
      <c r="N238" s="7"/>
      <c r="O238" s="7"/>
      <c r="P238" s="7"/>
    </row>
    <row r="239">
      <c r="A239" s="67" t="s">
        <v>833</v>
      </c>
      <c r="B239" s="78"/>
      <c r="C239" s="62">
        <v>0.08</v>
      </c>
      <c r="D239" s="63">
        <v>0.69</v>
      </c>
      <c r="E239" s="63">
        <v>0.69</v>
      </c>
      <c r="F239" s="64" t="s">
        <v>254</v>
      </c>
      <c r="G239" s="59">
        <v>47848.0</v>
      </c>
      <c r="K239" s="65" t="s">
        <v>832</v>
      </c>
      <c r="L239" s="7"/>
      <c r="M239" s="70" t="e">
        <v>#N/A</v>
      </c>
      <c r="N239" s="7"/>
      <c r="O239" s="7"/>
      <c r="P239" s="7"/>
    </row>
    <row r="240">
      <c r="A240" s="67" t="s">
        <v>834</v>
      </c>
      <c r="B240" s="78"/>
      <c r="C240" s="62">
        <v>0.08</v>
      </c>
      <c r="D240" s="63">
        <v>0.69</v>
      </c>
      <c r="E240" s="63">
        <v>0.69</v>
      </c>
      <c r="F240" s="64" t="s">
        <v>254</v>
      </c>
      <c r="G240" s="59">
        <v>47848.0</v>
      </c>
      <c r="K240" s="65" t="s">
        <v>833</v>
      </c>
      <c r="L240" s="7"/>
      <c r="M240" s="70" t="e">
        <v>#N/A</v>
      </c>
      <c r="N240" s="7"/>
      <c r="O240" s="7"/>
      <c r="P240" s="7"/>
    </row>
    <row r="241">
      <c r="A241" s="67" t="s">
        <v>835</v>
      </c>
      <c r="B241" s="78"/>
      <c r="C241" s="62">
        <v>0.08</v>
      </c>
      <c r="D241" s="63">
        <v>0.69</v>
      </c>
      <c r="E241" s="63">
        <v>0.69</v>
      </c>
      <c r="F241" s="64" t="s">
        <v>254</v>
      </c>
      <c r="G241" s="59">
        <v>47848.0</v>
      </c>
      <c r="K241" s="65" t="s">
        <v>834</v>
      </c>
      <c r="L241" s="7"/>
      <c r="M241" s="70" t="e">
        <v>#N/A</v>
      </c>
      <c r="N241" s="7"/>
      <c r="O241" s="7"/>
      <c r="P241" s="7"/>
    </row>
    <row r="242">
      <c r="A242" s="67" t="s">
        <v>836</v>
      </c>
      <c r="B242" s="25"/>
      <c r="C242" s="62">
        <v>0.08</v>
      </c>
      <c r="D242" s="63">
        <v>0.69</v>
      </c>
      <c r="E242" s="63">
        <v>0.69</v>
      </c>
      <c r="F242" s="64" t="s">
        <v>254</v>
      </c>
      <c r="G242" s="59">
        <v>47848.0</v>
      </c>
      <c r="K242" s="65" t="s">
        <v>835</v>
      </c>
      <c r="L242" s="7"/>
      <c r="M242" s="70" t="e">
        <v>#N/A</v>
      </c>
      <c r="N242" s="7"/>
      <c r="O242" s="7"/>
      <c r="P242" s="7"/>
    </row>
    <row r="243">
      <c r="A243" s="67" t="s">
        <v>837</v>
      </c>
      <c r="B243" s="78"/>
      <c r="C243" s="62">
        <v>0.08</v>
      </c>
      <c r="D243" s="63">
        <v>0.69</v>
      </c>
      <c r="E243" s="63">
        <v>0.69</v>
      </c>
      <c r="F243" s="64" t="s">
        <v>254</v>
      </c>
      <c r="G243" s="59">
        <v>47848.0</v>
      </c>
      <c r="K243" s="65" t="s">
        <v>836</v>
      </c>
      <c r="L243" s="7"/>
      <c r="M243" s="70" t="e">
        <v>#N/A</v>
      </c>
      <c r="N243" s="7"/>
      <c r="O243" s="7"/>
      <c r="P243" s="7"/>
    </row>
    <row r="244">
      <c r="A244" s="67" t="s">
        <v>838</v>
      </c>
      <c r="B244" s="78"/>
      <c r="C244" s="62">
        <v>0.08</v>
      </c>
      <c r="D244" s="63">
        <v>0.69</v>
      </c>
      <c r="E244" s="63">
        <v>0.69</v>
      </c>
      <c r="F244" s="64" t="s">
        <v>254</v>
      </c>
      <c r="G244" s="59">
        <v>47848.0</v>
      </c>
      <c r="K244" s="65" t="s">
        <v>837</v>
      </c>
      <c r="L244" s="7"/>
      <c r="M244" s="70" t="e">
        <v>#N/A</v>
      </c>
      <c r="N244" s="7"/>
      <c r="O244" s="7"/>
      <c r="P244" s="7"/>
    </row>
    <row r="245">
      <c r="A245" s="67" t="s">
        <v>839</v>
      </c>
      <c r="B245" s="78"/>
      <c r="C245" s="62">
        <v>0.08</v>
      </c>
      <c r="D245" s="63">
        <v>0.69</v>
      </c>
      <c r="E245" s="63">
        <v>0.69</v>
      </c>
      <c r="F245" s="64" t="s">
        <v>254</v>
      </c>
      <c r="G245" s="59">
        <v>47848.0</v>
      </c>
      <c r="K245" s="65" t="s">
        <v>838</v>
      </c>
      <c r="L245" s="7"/>
      <c r="M245" s="70" t="e">
        <v>#N/A</v>
      </c>
      <c r="N245" s="7"/>
      <c r="O245" s="7"/>
      <c r="P245" s="7"/>
    </row>
    <row r="246">
      <c r="A246" s="67" t="s">
        <v>840</v>
      </c>
      <c r="B246" s="78"/>
      <c r="C246" s="62">
        <v>0.08</v>
      </c>
      <c r="D246" s="63">
        <v>0.69</v>
      </c>
      <c r="E246" s="63">
        <v>0.69</v>
      </c>
      <c r="F246" s="64" t="s">
        <v>254</v>
      </c>
      <c r="G246" s="59">
        <v>47848.0</v>
      </c>
      <c r="K246" s="65" t="s">
        <v>839</v>
      </c>
      <c r="L246" s="7"/>
      <c r="M246" s="70" t="e">
        <v>#N/A</v>
      </c>
      <c r="N246" s="7"/>
      <c r="O246" s="7"/>
      <c r="P246" s="7"/>
    </row>
    <row r="247">
      <c r="A247" s="67" t="s">
        <v>841</v>
      </c>
      <c r="B247" s="78"/>
      <c r="C247" s="62">
        <v>0.08</v>
      </c>
      <c r="D247" s="63">
        <v>0.69</v>
      </c>
      <c r="E247" s="63">
        <v>0.69</v>
      </c>
      <c r="F247" s="64" t="s">
        <v>254</v>
      </c>
      <c r="G247" s="59">
        <v>47848.0</v>
      </c>
      <c r="K247" s="65" t="s">
        <v>840</v>
      </c>
      <c r="L247" s="7"/>
      <c r="M247" s="70" t="e">
        <v>#N/A</v>
      </c>
      <c r="N247" s="7"/>
      <c r="O247" s="7"/>
      <c r="P247" s="7"/>
    </row>
    <row r="248">
      <c r="A248" s="67" t="s">
        <v>842</v>
      </c>
      <c r="B248" s="78"/>
      <c r="C248" s="62">
        <v>0.08</v>
      </c>
      <c r="D248" s="63">
        <v>0.69</v>
      </c>
      <c r="E248" s="63">
        <v>0.69</v>
      </c>
      <c r="F248" s="64" t="s">
        <v>254</v>
      </c>
      <c r="G248" s="59">
        <v>47848.0</v>
      </c>
      <c r="K248" s="65" t="s">
        <v>841</v>
      </c>
      <c r="L248" s="7"/>
      <c r="M248" s="70" t="e">
        <v>#N/A</v>
      </c>
      <c r="N248" s="7"/>
      <c r="O248" s="7"/>
      <c r="P248" s="7"/>
    </row>
    <row r="249">
      <c r="A249" s="67" t="s">
        <v>843</v>
      </c>
      <c r="B249" s="78"/>
      <c r="C249" s="62">
        <v>0.08</v>
      </c>
      <c r="D249" s="63">
        <v>0.69</v>
      </c>
      <c r="E249" s="63">
        <v>0.69</v>
      </c>
      <c r="F249" s="64" t="s">
        <v>254</v>
      </c>
      <c r="G249" s="59">
        <v>47848.0</v>
      </c>
      <c r="K249" s="65" t="s">
        <v>842</v>
      </c>
      <c r="L249" s="7"/>
      <c r="M249" s="70" t="e">
        <v>#N/A</v>
      </c>
      <c r="N249" s="7"/>
      <c r="O249" s="7"/>
      <c r="P249" s="7"/>
    </row>
    <row r="250">
      <c r="A250" s="67" t="s">
        <v>844</v>
      </c>
      <c r="B250" s="78"/>
      <c r="C250" s="62">
        <v>0.08</v>
      </c>
      <c r="D250" s="63">
        <v>0.69</v>
      </c>
      <c r="E250" s="63">
        <v>0.69</v>
      </c>
      <c r="F250" s="64" t="s">
        <v>254</v>
      </c>
      <c r="G250" s="59">
        <v>47848.0</v>
      </c>
      <c r="K250" s="65" t="s">
        <v>843</v>
      </c>
      <c r="L250" s="7"/>
      <c r="M250" s="70" t="e">
        <v>#N/A</v>
      </c>
      <c r="N250" s="7"/>
      <c r="O250" s="7"/>
      <c r="P250" s="7"/>
    </row>
    <row r="251">
      <c r="A251" s="67" t="s">
        <v>845</v>
      </c>
      <c r="B251" s="78"/>
      <c r="C251" s="62">
        <v>0.08</v>
      </c>
      <c r="D251" s="63">
        <v>0.69</v>
      </c>
      <c r="E251" s="63">
        <v>0.69</v>
      </c>
      <c r="F251" s="64" t="s">
        <v>254</v>
      </c>
      <c r="G251" s="59">
        <v>47848.0</v>
      </c>
      <c r="K251" s="65" t="s">
        <v>844</v>
      </c>
      <c r="L251" s="7"/>
      <c r="M251" s="70" t="e">
        <v>#N/A</v>
      </c>
      <c r="N251" s="7"/>
      <c r="O251" s="7"/>
      <c r="P251" s="7"/>
    </row>
    <row r="252">
      <c r="A252" s="67" t="s">
        <v>846</v>
      </c>
      <c r="B252" s="78"/>
      <c r="C252" s="62">
        <v>0.08</v>
      </c>
      <c r="D252" s="63">
        <v>0.69</v>
      </c>
      <c r="E252" s="63">
        <v>0.69</v>
      </c>
      <c r="F252" s="64" t="s">
        <v>254</v>
      </c>
      <c r="G252" s="59">
        <v>47848.0</v>
      </c>
      <c r="K252" s="65" t="s">
        <v>845</v>
      </c>
      <c r="L252" s="7"/>
      <c r="M252" s="70" t="e">
        <v>#N/A</v>
      </c>
      <c r="N252" s="7"/>
      <c r="O252" s="7"/>
      <c r="P252" s="7"/>
    </row>
    <row r="253">
      <c r="A253" s="67" t="s">
        <v>847</v>
      </c>
      <c r="B253" s="78"/>
      <c r="C253" s="62">
        <v>0.08</v>
      </c>
      <c r="D253" s="63">
        <v>0.69</v>
      </c>
      <c r="E253" s="63">
        <v>0.69</v>
      </c>
      <c r="F253" s="64" t="s">
        <v>254</v>
      </c>
      <c r="G253" s="59">
        <v>47848.0</v>
      </c>
      <c r="K253" s="65" t="s">
        <v>846</v>
      </c>
      <c r="L253" s="7"/>
      <c r="M253" s="70" t="e">
        <v>#N/A</v>
      </c>
      <c r="N253" s="7"/>
      <c r="O253" s="7"/>
      <c r="P253" s="7"/>
    </row>
    <row r="254">
      <c r="A254" s="67" t="s">
        <v>848</v>
      </c>
      <c r="B254" s="25">
        <v>14663.0</v>
      </c>
      <c r="C254" s="62">
        <v>0.08</v>
      </c>
      <c r="D254" s="63">
        <v>0.69</v>
      </c>
      <c r="E254" s="63">
        <v>0.69</v>
      </c>
      <c r="F254" s="64" t="s">
        <v>254</v>
      </c>
      <c r="G254" s="59">
        <v>47848.0</v>
      </c>
      <c r="K254" s="65" t="s">
        <v>847</v>
      </c>
      <c r="L254" s="7"/>
      <c r="M254" s="70" t="e">
        <v>#N/A</v>
      </c>
      <c r="N254" s="7"/>
      <c r="O254" s="7"/>
      <c r="P254" s="7"/>
    </row>
    <row r="255">
      <c r="A255" s="67" t="s">
        <v>849</v>
      </c>
      <c r="B255" s="78"/>
      <c r="C255" s="62">
        <v>0.08</v>
      </c>
      <c r="D255" s="63">
        <v>0.69</v>
      </c>
      <c r="E255" s="63">
        <v>0.69</v>
      </c>
      <c r="F255" s="64" t="s">
        <v>254</v>
      </c>
      <c r="G255" s="59">
        <v>47848.0</v>
      </c>
      <c r="K255" s="65" t="s">
        <v>848</v>
      </c>
      <c r="L255" s="7"/>
      <c r="M255" s="70" t="e">
        <v>#N/A</v>
      </c>
      <c r="N255" s="7"/>
      <c r="O255" s="7"/>
      <c r="P255" s="7"/>
    </row>
    <row r="256">
      <c r="A256" s="67" t="s">
        <v>850</v>
      </c>
      <c r="B256" s="78"/>
      <c r="C256" s="62">
        <v>0.08</v>
      </c>
      <c r="D256" s="63">
        <v>0.69</v>
      </c>
      <c r="E256" s="63">
        <v>0.69</v>
      </c>
      <c r="F256" s="64" t="s">
        <v>254</v>
      </c>
      <c r="G256" s="59">
        <v>47848.0</v>
      </c>
      <c r="K256" s="65" t="s">
        <v>849</v>
      </c>
      <c r="L256" s="7"/>
      <c r="M256" s="70" t="e">
        <v>#N/A</v>
      </c>
      <c r="N256" s="7"/>
      <c r="O256" s="7"/>
      <c r="P256" s="7"/>
    </row>
    <row r="257">
      <c r="A257" s="67" t="s">
        <v>851</v>
      </c>
      <c r="B257" s="78"/>
      <c r="C257" s="62">
        <v>0.08</v>
      </c>
      <c r="D257" s="63">
        <v>0.69</v>
      </c>
      <c r="E257" s="63">
        <v>0.69</v>
      </c>
      <c r="F257" s="64" t="s">
        <v>254</v>
      </c>
      <c r="G257" s="59">
        <v>47848.0</v>
      </c>
      <c r="K257" s="65" t="s">
        <v>850</v>
      </c>
      <c r="L257" s="7"/>
      <c r="M257" s="70" t="e">
        <v>#N/A</v>
      </c>
      <c r="N257" s="7"/>
      <c r="O257" s="7"/>
      <c r="P257" s="7"/>
    </row>
    <row r="258">
      <c r="A258" s="67" t="s">
        <v>852</v>
      </c>
      <c r="B258" s="78"/>
      <c r="C258" s="62">
        <v>0.08</v>
      </c>
      <c r="D258" s="63">
        <v>0.69</v>
      </c>
      <c r="E258" s="63">
        <v>0.69</v>
      </c>
      <c r="F258" s="64" t="s">
        <v>254</v>
      </c>
      <c r="G258" s="59">
        <v>47848.0</v>
      </c>
      <c r="K258" s="65" t="s">
        <v>851</v>
      </c>
      <c r="L258" s="7"/>
      <c r="M258" s="70" t="e">
        <v>#N/A</v>
      </c>
      <c r="N258" s="7"/>
      <c r="O258" s="7"/>
      <c r="P258" s="7"/>
    </row>
    <row r="259">
      <c r="A259" s="67" t="s">
        <v>853</v>
      </c>
      <c r="B259" s="78"/>
      <c r="C259" s="62">
        <v>0.08</v>
      </c>
      <c r="D259" s="63">
        <v>0.69</v>
      </c>
      <c r="E259" s="63">
        <v>0.69</v>
      </c>
      <c r="F259" s="64" t="s">
        <v>254</v>
      </c>
      <c r="G259" s="59">
        <v>47848.0</v>
      </c>
      <c r="K259" s="65" t="s">
        <v>852</v>
      </c>
      <c r="L259" s="65"/>
      <c r="M259" s="70" t="e">
        <v>#N/A</v>
      </c>
      <c r="N259" s="7"/>
      <c r="O259" s="7"/>
      <c r="P259" s="7"/>
    </row>
    <row r="260">
      <c r="A260" s="67" t="s">
        <v>854</v>
      </c>
      <c r="B260" s="78"/>
      <c r="C260" s="62">
        <v>0.08</v>
      </c>
      <c r="D260" s="63">
        <v>0.69</v>
      </c>
      <c r="E260" s="63">
        <v>0.69</v>
      </c>
      <c r="F260" s="64" t="s">
        <v>254</v>
      </c>
      <c r="G260" s="59">
        <v>47848.0</v>
      </c>
      <c r="K260" s="65" t="s">
        <v>853</v>
      </c>
      <c r="L260" s="7"/>
      <c r="M260" s="70" t="e">
        <v>#N/A</v>
      </c>
      <c r="N260" s="7"/>
      <c r="O260" s="7"/>
      <c r="P260" s="7"/>
    </row>
    <row r="261">
      <c r="A261" s="67" t="s">
        <v>855</v>
      </c>
      <c r="B261" s="78"/>
      <c r="C261" s="62">
        <v>0.08</v>
      </c>
      <c r="D261" s="63">
        <v>0.69</v>
      </c>
      <c r="E261" s="63">
        <v>0.69</v>
      </c>
      <c r="F261" s="64" t="s">
        <v>254</v>
      </c>
      <c r="G261" s="59">
        <v>47848.0</v>
      </c>
      <c r="K261" s="65" t="s">
        <v>854</v>
      </c>
      <c r="L261" s="7"/>
      <c r="M261" s="70" t="e">
        <v>#N/A</v>
      </c>
      <c r="N261" s="7"/>
      <c r="O261" s="7"/>
      <c r="P261" s="7"/>
    </row>
    <row r="262">
      <c r="A262" s="67" t="s">
        <v>856</v>
      </c>
      <c r="B262" s="78"/>
      <c r="C262" s="62">
        <v>0.08</v>
      </c>
      <c r="D262" s="63">
        <v>0.69</v>
      </c>
      <c r="E262" s="63">
        <v>0.69</v>
      </c>
      <c r="F262" s="64" t="s">
        <v>254</v>
      </c>
      <c r="G262" s="59">
        <v>47848.0</v>
      </c>
      <c r="K262" s="65" t="s">
        <v>855</v>
      </c>
      <c r="L262" s="7"/>
      <c r="M262" s="70" t="e">
        <v>#N/A</v>
      </c>
      <c r="N262" s="7"/>
      <c r="O262" s="7"/>
      <c r="P262" s="7"/>
    </row>
    <row r="263">
      <c r="A263" s="67" t="s">
        <v>857</v>
      </c>
      <c r="B263" s="78"/>
      <c r="C263" s="62">
        <v>0.08</v>
      </c>
      <c r="D263" s="63">
        <v>0.69</v>
      </c>
      <c r="E263" s="63">
        <v>0.69</v>
      </c>
      <c r="F263" s="64" t="s">
        <v>254</v>
      </c>
      <c r="G263" s="59">
        <v>47848.0</v>
      </c>
      <c r="K263" s="65" t="s">
        <v>856</v>
      </c>
      <c r="L263" s="65"/>
      <c r="M263" s="70" t="e">
        <v>#N/A</v>
      </c>
      <c r="N263" s="7"/>
      <c r="O263" s="7"/>
      <c r="P263" s="7"/>
    </row>
    <row r="264">
      <c r="A264" s="67" t="s">
        <v>858</v>
      </c>
      <c r="B264" s="78"/>
      <c r="C264" s="62">
        <v>0.08</v>
      </c>
      <c r="D264" s="63">
        <v>0.69</v>
      </c>
      <c r="E264" s="63">
        <v>0.69</v>
      </c>
      <c r="F264" s="64" t="s">
        <v>254</v>
      </c>
      <c r="G264" s="59">
        <v>47848.0</v>
      </c>
      <c r="K264" s="65" t="s">
        <v>857</v>
      </c>
      <c r="L264" s="7"/>
      <c r="M264" s="70" t="e">
        <v>#N/A</v>
      </c>
      <c r="N264" s="7"/>
      <c r="O264" s="7"/>
      <c r="P264" s="7"/>
    </row>
    <row r="265">
      <c r="A265" s="67" t="s">
        <v>859</v>
      </c>
      <c r="B265" s="78"/>
      <c r="C265" s="62">
        <v>0.08</v>
      </c>
      <c r="D265" s="63">
        <v>0.69</v>
      </c>
      <c r="E265" s="63">
        <v>0.69</v>
      </c>
      <c r="F265" s="64" t="s">
        <v>254</v>
      </c>
      <c r="G265" s="59">
        <v>47848.0</v>
      </c>
      <c r="K265" s="65" t="s">
        <v>858</v>
      </c>
      <c r="L265" s="7"/>
      <c r="M265" s="70" t="e">
        <v>#N/A</v>
      </c>
      <c r="N265" s="7"/>
      <c r="O265" s="7"/>
      <c r="P265" s="7"/>
    </row>
    <row r="266">
      <c r="A266" s="67" t="s">
        <v>860</v>
      </c>
      <c r="B266" s="78"/>
      <c r="C266" s="62">
        <v>0.08</v>
      </c>
      <c r="D266" s="63">
        <v>0.69</v>
      </c>
      <c r="E266" s="63">
        <v>0.69</v>
      </c>
      <c r="F266" s="64" t="s">
        <v>254</v>
      </c>
      <c r="G266" s="59">
        <v>47848.0</v>
      </c>
      <c r="K266" s="65" t="s">
        <v>859</v>
      </c>
      <c r="L266" s="7"/>
      <c r="M266" s="70" t="e">
        <v>#N/A</v>
      </c>
      <c r="N266" s="7"/>
      <c r="O266" s="7"/>
      <c r="P266" s="7"/>
    </row>
    <row r="267">
      <c r="A267" s="67" t="s">
        <v>861</v>
      </c>
      <c r="B267" s="78"/>
      <c r="C267" s="62">
        <v>0.08</v>
      </c>
      <c r="D267" s="63">
        <v>0.69</v>
      </c>
      <c r="E267" s="63">
        <v>0.69</v>
      </c>
      <c r="F267" s="64" t="s">
        <v>254</v>
      </c>
      <c r="G267" s="59">
        <v>47848.0</v>
      </c>
      <c r="K267" s="65" t="s">
        <v>860</v>
      </c>
      <c r="L267" s="7"/>
      <c r="M267" s="70" t="e">
        <v>#N/A</v>
      </c>
      <c r="N267" s="7"/>
      <c r="O267" s="7"/>
      <c r="P267" s="7"/>
    </row>
    <row r="268">
      <c r="A268" s="67" t="s">
        <v>862</v>
      </c>
      <c r="B268" s="78"/>
      <c r="C268" s="62">
        <v>0.08</v>
      </c>
      <c r="D268" s="63">
        <v>0.69</v>
      </c>
      <c r="E268" s="63">
        <v>0.69</v>
      </c>
      <c r="F268" s="64" t="s">
        <v>254</v>
      </c>
      <c r="G268" s="59">
        <v>47848.0</v>
      </c>
      <c r="K268" s="65" t="s">
        <v>861</v>
      </c>
      <c r="L268" s="7"/>
      <c r="M268" s="70" t="e">
        <v>#N/A</v>
      </c>
      <c r="N268" s="7"/>
      <c r="O268" s="7"/>
      <c r="P268" s="7"/>
    </row>
    <row r="269">
      <c r="A269" s="67" t="s">
        <v>863</v>
      </c>
      <c r="B269" s="78"/>
      <c r="C269" s="62">
        <v>0.08</v>
      </c>
      <c r="D269" s="63">
        <v>0.69</v>
      </c>
      <c r="E269" s="63">
        <v>0.69</v>
      </c>
      <c r="F269" s="64" t="s">
        <v>254</v>
      </c>
      <c r="G269" s="59">
        <v>47848.0</v>
      </c>
      <c r="K269" s="65" t="s">
        <v>862</v>
      </c>
      <c r="L269" s="7"/>
      <c r="M269" s="70" t="e">
        <v>#N/A</v>
      </c>
      <c r="N269" s="7"/>
      <c r="O269" s="7"/>
      <c r="P269" s="7"/>
    </row>
    <row r="270">
      <c r="A270" s="67" t="s">
        <v>864</v>
      </c>
      <c r="B270" s="78"/>
      <c r="C270" s="62">
        <v>0.08</v>
      </c>
      <c r="D270" s="63">
        <v>0.69</v>
      </c>
      <c r="E270" s="63">
        <v>0.69</v>
      </c>
      <c r="F270" s="64" t="s">
        <v>254</v>
      </c>
      <c r="G270" s="59">
        <v>47848.0</v>
      </c>
      <c r="K270" s="65" t="s">
        <v>863</v>
      </c>
      <c r="L270" s="7"/>
      <c r="M270" s="70" t="e">
        <v>#N/A</v>
      </c>
      <c r="N270" s="7"/>
      <c r="O270" s="7"/>
      <c r="P270" s="7"/>
    </row>
    <row r="271">
      <c r="A271" s="67" t="s">
        <v>865</v>
      </c>
      <c r="B271" s="78"/>
      <c r="C271" s="62">
        <v>0.08</v>
      </c>
      <c r="D271" s="63">
        <v>0.69</v>
      </c>
      <c r="E271" s="63">
        <v>0.69</v>
      </c>
      <c r="F271" s="64" t="s">
        <v>254</v>
      </c>
      <c r="G271" s="59">
        <v>47848.0</v>
      </c>
      <c r="K271" s="65" t="s">
        <v>864</v>
      </c>
      <c r="L271" s="7"/>
      <c r="M271" s="70" t="e">
        <v>#N/A</v>
      </c>
      <c r="N271" s="7"/>
      <c r="O271" s="7"/>
      <c r="P271" s="7"/>
    </row>
    <row r="272">
      <c r="A272" s="67" t="s">
        <v>866</v>
      </c>
      <c r="B272" s="78"/>
      <c r="C272" s="62">
        <v>0.08</v>
      </c>
      <c r="D272" s="63">
        <v>0.69</v>
      </c>
      <c r="E272" s="63">
        <v>0.69</v>
      </c>
      <c r="F272" s="64" t="s">
        <v>254</v>
      </c>
      <c r="G272" s="59">
        <v>47848.0</v>
      </c>
      <c r="K272" s="65" t="s">
        <v>865</v>
      </c>
      <c r="L272" s="7"/>
      <c r="M272" s="70" t="e">
        <v>#N/A</v>
      </c>
      <c r="N272" s="7"/>
      <c r="O272" s="7"/>
      <c r="P272" s="7"/>
    </row>
    <row r="273">
      <c r="A273" s="67" t="s">
        <v>867</v>
      </c>
      <c r="B273" s="78"/>
      <c r="C273" s="62">
        <v>0.08</v>
      </c>
      <c r="D273" s="63">
        <v>0.69</v>
      </c>
      <c r="E273" s="63">
        <v>0.69</v>
      </c>
      <c r="F273" s="64" t="s">
        <v>254</v>
      </c>
      <c r="G273" s="59">
        <v>47848.0</v>
      </c>
      <c r="K273" s="65" t="s">
        <v>866</v>
      </c>
      <c r="L273" s="7"/>
      <c r="M273" s="72">
        <v>1.0</v>
      </c>
      <c r="N273" s="7"/>
      <c r="O273" s="7"/>
      <c r="P273" s="7"/>
    </row>
    <row r="274">
      <c r="A274" s="67" t="s">
        <v>868</v>
      </c>
      <c r="B274" s="78"/>
      <c r="C274" s="62">
        <v>0.08</v>
      </c>
      <c r="D274" s="63">
        <v>0.69</v>
      </c>
      <c r="E274" s="63">
        <v>0.69</v>
      </c>
      <c r="F274" s="64" t="s">
        <v>254</v>
      </c>
      <c r="G274" s="59">
        <v>47848.0</v>
      </c>
      <c r="K274" s="65" t="s">
        <v>867</v>
      </c>
      <c r="L274" s="7"/>
      <c r="M274" s="70" t="e">
        <v>#N/A</v>
      </c>
      <c r="N274" s="7"/>
      <c r="O274" s="7"/>
      <c r="P274" s="7"/>
    </row>
    <row r="275">
      <c r="A275" s="67" t="s">
        <v>869</v>
      </c>
      <c r="B275" s="78"/>
      <c r="C275" s="62">
        <v>0.08</v>
      </c>
      <c r="D275" s="63">
        <v>0.69</v>
      </c>
      <c r="E275" s="63">
        <v>0.69</v>
      </c>
      <c r="F275" s="64" t="s">
        <v>254</v>
      </c>
      <c r="G275" s="59">
        <v>47848.0</v>
      </c>
      <c r="K275" s="65" t="s">
        <v>868</v>
      </c>
      <c r="L275" s="7"/>
      <c r="M275" s="70" t="e">
        <v>#N/A</v>
      </c>
      <c r="N275" s="7"/>
      <c r="O275" s="7"/>
      <c r="P275" s="7"/>
    </row>
    <row r="276">
      <c r="A276" s="67" t="s">
        <v>870</v>
      </c>
      <c r="B276" s="78"/>
      <c r="C276" s="62">
        <v>0.08</v>
      </c>
      <c r="D276" s="63">
        <v>0.69</v>
      </c>
      <c r="E276" s="63">
        <v>0.69</v>
      </c>
      <c r="F276" s="64" t="s">
        <v>254</v>
      </c>
      <c r="G276" s="59">
        <v>47848.0</v>
      </c>
      <c r="K276" s="65" t="s">
        <v>869</v>
      </c>
      <c r="L276" s="7"/>
      <c r="M276" s="70" t="e">
        <v>#N/A</v>
      </c>
      <c r="N276" s="7"/>
      <c r="O276" s="7"/>
      <c r="P276" s="7"/>
    </row>
    <row r="277">
      <c r="A277" s="67" t="s">
        <v>871</v>
      </c>
      <c r="B277" s="78"/>
      <c r="C277" s="62">
        <v>0.08</v>
      </c>
      <c r="D277" s="63">
        <v>0.69</v>
      </c>
      <c r="E277" s="63">
        <v>0.69</v>
      </c>
      <c r="F277" s="64" t="s">
        <v>254</v>
      </c>
      <c r="G277" s="59">
        <v>47848.0</v>
      </c>
      <c r="K277" s="65" t="s">
        <v>870</v>
      </c>
      <c r="L277" s="7"/>
      <c r="M277" s="70" t="e">
        <v>#N/A</v>
      </c>
      <c r="N277" s="7"/>
      <c r="O277" s="7"/>
      <c r="P277" s="7"/>
    </row>
    <row r="278">
      <c r="A278" s="67" t="s">
        <v>872</v>
      </c>
      <c r="B278" s="78"/>
      <c r="C278" s="62">
        <v>0.08</v>
      </c>
      <c r="D278" s="63">
        <v>0.69</v>
      </c>
      <c r="E278" s="63">
        <v>0.69</v>
      </c>
      <c r="F278" s="64" t="s">
        <v>254</v>
      </c>
      <c r="G278" s="59">
        <v>47848.0</v>
      </c>
      <c r="K278" s="65" t="s">
        <v>871</v>
      </c>
      <c r="L278" s="7"/>
      <c r="M278" s="70" t="e">
        <v>#N/A</v>
      </c>
      <c r="N278" s="7"/>
      <c r="O278" s="7"/>
      <c r="P278" s="7"/>
    </row>
    <row r="279">
      <c r="A279" s="67" t="s">
        <v>873</v>
      </c>
      <c r="B279" s="78"/>
      <c r="C279" s="62">
        <v>0.08</v>
      </c>
      <c r="D279" s="63">
        <v>0.69</v>
      </c>
      <c r="E279" s="63">
        <v>0.69</v>
      </c>
      <c r="F279" s="64" t="s">
        <v>254</v>
      </c>
      <c r="G279" s="59">
        <v>47848.0</v>
      </c>
      <c r="K279" s="65" t="s">
        <v>872</v>
      </c>
      <c r="L279" s="7"/>
      <c r="M279" s="70" t="e">
        <v>#N/A</v>
      </c>
      <c r="N279" s="7"/>
      <c r="O279" s="7"/>
      <c r="P279" s="7"/>
    </row>
    <row r="280">
      <c r="A280" s="67" t="s">
        <v>874</v>
      </c>
      <c r="B280" s="78"/>
      <c r="C280" s="62">
        <v>0.08</v>
      </c>
      <c r="D280" s="63">
        <v>0.69</v>
      </c>
      <c r="E280" s="63">
        <v>0.69</v>
      </c>
      <c r="F280" s="64" t="s">
        <v>254</v>
      </c>
      <c r="G280" s="59">
        <v>47848.0</v>
      </c>
      <c r="K280" s="65" t="s">
        <v>873</v>
      </c>
      <c r="L280" s="7"/>
      <c r="M280" s="70" t="e">
        <v>#N/A</v>
      </c>
      <c r="N280" s="7"/>
      <c r="O280" s="7"/>
      <c r="P280" s="7"/>
    </row>
    <row r="281">
      <c r="A281" s="67" t="s">
        <v>875</v>
      </c>
      <c r="B281" s="37">
        <v>14480.0</v>
      </c>
      <c r="C281" s="62">
        <v>0.08</v>
      </c>
      <c r="D281" s="63">
        <v>0.69</v>
      </c>
      <c r="E281" s="63">
        <v>0.69</v>
      </c>
      <c r="F281" s="64" t="s">
        <v>254</v>
      </c>
      <c r="G281" s="59">
        <v>47848.0</v>
      </c>
      <c r="K281" s="65" t="s">
        <v>874</v>
      </c>
      <c r="L281" s="7"/>
      <c r="M281" s="70" t="e">
        <v>#N/A</v>
      </c>
      <c r="N281" s="7"/>
      <c r="O281" s="7"/>
      <c r="P281" s="7"/>
    </row>
    <row r="282">
      <c r="A282" s="67" t="s">
        <v>876</v>
      </c>
      <c r="B282" s="78"/>
      <c r="C282" s="62">
        <v>0.08</v>
      </c>
      <c r="D282" s="63">
        <v>0.69</v>
      </c>
      <c r="E282" s="63">
        <v>0.69</v>
      </c>
      <c r="F282" s="64" t="s">
        <v>254</v>
      </c>
      <c r="G282" s="59">
        <v>47848.0</v>
      </c>
      <c r="K282" s="65" t="s">
        <v>875</v>
      </c>
      <c r="L282" s="7"/>
      <c r="M282" s="70" t="e">
        <v>#N/A</v>
      </c>
      <c r="N282" s="7"/>
      <c r="O282" s="7"/>
      <c r="P282" s="7"/>
    </row>
    <row r="283">
      <c r="A283" s="67" t="s">
        <v>877</v>
      </c>
      <c r="B283" s="78"/>
      <c r="C283" s="62">
        <v>0.08</v>
      </c>
      <c r="D283" s="63">
        <v>0.69</v>
      </c>
      <c r="E283" s="63">
        <v>0.69</v>
      </c>
      <c r="F283" s="64" t="s">
        <v>254</v>
      </c>
      <c r="G283" s="59">
        <v>47848.0</v>
      </c>
      <c r="K283" s="65" t="s">
        <v>876</v>
      </c>
      <c r="L283" s="7"/>
      <c r="M283" s="70" t="e">
        <v>#N/A</v>
      </c>
      <c r="N283" s="7"/>
      <c r="O283" s="7"/>
      <c r="P283" s="7"/>
    </row>
    <row r="284">
      <c r="A284" s="67" t="s">
        <v>878</v>
      </c>
      <c r="B284" s="78"/>
      <c r="C284" s="62">
        <v>0.08</v>
      </c>
      <c r="D284" s="63">
        <v>0.69</v>
      </c>
      <c r="E284" s="63">
        <v>0.69</v>
      </c>
      <c r="F284" s="64" t="s">
        <v>254</v>
      </c>
      <c r="G284" s="59">
        <v>47848.0</v>
      </c>
      <c r="K284" s="65" t="s">
        <v>877</v>
      </c>
      <c r="L284" s="7"/>
      <c r="M284" s="70" t="e">
        <v>#N/A</v>
      </c>
      <c r="N284" s="7"/>
      <c r="O284" s="7"/>
      <c r="P284" s="7"/>
    </row>
    <row r="285">
      <c r="A285" s="67" t="s">
        <v>879</v>
      </c>
      <c r="B285" s="78"/>
      <c r="C285" s="62">
        <v>0.08</v>
      </c>
      <c r="D285" s="63">
        <v>0.69</v>
      </c>
      <c r="E285" s="63">
        <v>0.69</v>
      </c>
      <c r="F285" s="64" t="s">
        <v>254</v>
      </c>
      <c r="G285" s="59">
        <v>47848.0</v>
      </c>
      <c r="K285" s="65" t="s">
        <v>878</v>
      </c>
      <c r="L285" s="7"/>
      <c r="M285" s="70" t="e">
        <v>#N/A</v>
      </c>
      <c r="N285" s="7"/>
      <c r="O285" s="7"/>
      <c r="P285" s="7"/>
    </row>
    <row r="286">
      <c r="A286" s="67" t="s">
        <v>880</v>
      </c>
      <c r="B286" s="78"/>
      <c r="C286" s="62">
        <v>0.08</v>
      </c>
      <c r="D286" s="63">
        <v>0.69</v>
      </c>
      <c r="E286" s="63">
        <v>0.69</v>
      </c>
      <c r="F286" s="64" t="s">
        <v>254</v>
      </c>
      <c r="G286" s="59">
        <v>47848.0</v>
      </c>
      <c r="K286" s="65" t="s">
        <v>879</v>
      </c>
      <c r="L286" s="7"/>
      <c r="M286" s="70" t="e">
        <v>#N/A</v>
      </c>
      <c r="N286" s="7"/>
      <c r="O286" s="7"/>
      <c r="P286" s="7"/>
    </row>
    <row r="287">
      <c r="A287" s="67" t="s">
        <v>881</v>
      </c>
      <c r="B287" s="25">
        <v>14465.0</v>
      </c>
      <c r="C287" s="62">
        <v>0.08</v>
      </c>
      <c r="D287" s="63">
        <v>0.69</v>
      </c>
      <c r="E287" s="63">
        <v>0.69</v>
      </c>
      <c r="F287" s="64" t="s">
        <v>254</v>
      </c>
      <c r="G287" s="59">
        <v>47848.0</v>
      </c>
      <c r="K287" s="65" t="s">
        <v>880</v>
      </c>
      <c r="L287" s="7"/>
      <c r="M287" s="70" t="e">
        <v>#N/A</v>
      </c>
      <c r="N287" s="7"/>
      <c r="O287" s="7"/>
      <c r="P287" s="7"/>
    </row>
    <row r="288">
      <c r="A288" s="67" t="s">
        <v>882</v>
      </c>
      <c r="B288" s="78"/>
      <c r="C288" s="62">
        <v>0.08</v>
      </c>
      <c r="D288" s="63">
        <v>0.69</v>
      </c>
      <c r="E288" s="63">
        <v>0.69</v>
      </c>
      <c r="F288" s="64" t="s">
        <v>254</v>
      </c>
      <c r="G288" s="59">
        <v>47848.0</v>
      </c>
      <c r="K288" s="65" t="s">
        <v>881</v>
      </c>
      <c r="L288" s="7"/>
      <c r="M288" s="70" t="e">
        <v>#N/A</v>
      </c>
      <c r="N288" s="7"/>
      <c r="O288" s="7"/>
      <c r="P288" s="7"/>
    </row>
    <row r="289">
      <c r="A289" s="67" t="s">
        <v>883</v>
      </c>
      <c r="B289" s="78"/>
      <c r="C289" s="62">
        <v>0.08</v>
      </c>
      <c r="D289" s="63">
        <v>0.69</v>
      </c>
      <c r="E289" s="63">
        <v>0.69</v>
      </c>
      <c r="F289" s="64" t="s">
        <v>254</v>
      </c>
      <c r="G289" s="59">
        <v>47848.0</v>
      </c>
      <c r="K289" s="65" t="s">
        <v>882</v>
      </c>
      <c r="L289" s="7"/>
      <c r="M289" s="70" t="e">
        <v>#N/A</v>
      </c>
      <c r="N289" s="7"/>
      <c r="O289" s="7"/>
      <c r="P289" s="7"/>
    </row>
    <row r="290">
      <c r="A290" s="67" t="s">
        <v>884</v>
      </c>
      <c r="B290" s="78"/>
      <c r="C290" s="62">
        <v>0.08</v>
      </c>
      <c r="D290" s="63">
        <v>0.69</v>
      </c>
      <c r="E290" s="63">
        <v>0.69</v>
      </c>
      <c r="F290" s="64" t="s">
        <v>254</v>
      </c>
      <c r="G290" s="59">
        <v>47848.0</v>
      </c>
      <c r="K290" s="65" t="s">
        <v>883</v>
      </c>
      <c r="L290" s="7"/>
      <c r="M290" s="70" t="e">
        <v>#N/A</v>
      </c>
      <c r="N290" s="7"/>
      <c r="O290" s="7"/>
      <c r="P290" s="7"/>
    </row>
    <row r="291">
      <c r="A291" s="67" t="s">
        <v>885</v>
      </c>
      <c r="B291" s="78"/>
      <c r="C291" s="62">
        <v>0.08</v>
      </c>
      <c r="D291" s="63">
        <v>0.69</v>
      </c>
      <c r="E291" s="63">
        <v>0.69</v>
      </c>
      <c r="F291" s="64" t="s">
        <v>254</v>
      </c>
      <c r="G291" s="59">
        <v>47848.0</v>
      </c>
      <c r="K291" s="65" t="s">
        <v>884</v>
      </c>
      <c r="L291" s="7"/>
      <c r="M291" s="70" t="e">
        <v>#N/A</v>
      </c>
      <c r="N291" s="7"/>
      <c r="O291" s="7"/>
      <c r="P291" s="7"/>
    </row>
    <row r="292">
      <c r="A292" s="67" t="s">
        <v>886</v>
      </c>
      <c r="B292" s="78"/>
      <c r="C292" s="62">
        <v>0.08</v>
      </c>
      <c r="D292" s="63">
        <v>0.69</v>
      </c>
      <c r="E292" s="63">
        <v>0.69</v>
      </c>
      <c r="F292" s="64" t="s">
        <v>254</v>
      </c>
      <c r="G292" s="59">
        <v>47848.0</v>
      </c>
      <c r="K292" s="65" t="s">
        <v>885</v>
      </c>
      <c r="L292" s="7"/>
      <c r="M292" s="70" t="e">
        <v>#N/A</v>
      </c>
      <c r="N292" s="7"/>
      <c r="O292" s="7"/>
      <c r="P292" s="7"/>
    </row>
    <row r="293">
      <c r="A293" s="67" t="s">
        <v>887</v>
      </c>
      <c r="B293" s="25">
        <v>14267.0</v>
      </c>
      <c r="C293" s="62">
        <v>0.08</v>
      </c>
      <c r="D293" s="63">
        <v>0.69</v>
      </c>
      <c r="E293" s="63">
        <v>0.69</v>
      </c>
      <c r="F293" s="64" t="s">
        <v>254</v>
      </c>
      <c r="G293" s="59">
        <v>47848.0</v>
      </c>
      <c r="K293" s="65" t="s">
        <v>886</v>
      </c>
      <c r="L293" s="65"/>
      <c r="M293" s="70" t="e">
        <v>#N/A</v>
      </c>
      <c r="N293" s="7"/>
      <c r="O293" s="7"/>
      <c r="P293" s="7"/>
    </row>
    <row r="294">
      <c r="A294" s="67" t="s">
        <v>888</v>
      </c>
      <c r="B294" s="25">
        <v>14267.0</v>
      </c>
      <c r="C294" s="62">
        <v>0.08</v>
      </c>
      <c r="D294" s="63">
        <v>0.69</v>
      </c>
      <c r="E294" s="63">
        <v>0.69</v>
      </c>
      <c r="F294" s="64" t="s">
        <v>254</v>
      </c>
      <c r="G294" s="59">
        <v>47848.0</v>
      </c>
      <c r="K294" s="65" t="s">
        <v>887</v>
      </c>
      <c r="L294" s="66">
        <v>14267.0</v>
      </c>
      <c r="M294" s="70" t="e">
        <v>#N/A</v>
      </c>
      <c r="N294" s="7"/>
      <c r="O294" s="7"/>
      <c r="P294" s="7"/>
    </row>
    <row r="295">
      <c r="A295" s="67" t="s">
        <v>889</v>
      </c>
      <c r="B295" s="78"/>
      <c r="C295" s="62">
        <v>0.08</v>
      </c>
      <c r="D295" s="63">
        <v>0.69</v>
      </c>
      <c r="E295" s="63">
        <v>0.69</v>
      </c>
      <c r="F295" s="64" t="s">
        <v>254</v>
      </c>
      <c r="G295" s="59">
        <v>47848.0</v>
      </c>
      <c r="K295" s="65" t="s">
        <v>888</v>
      </c>
      <c r="L295" s="66">
        <v>14267.0</v>
      </c>
      <c r="M295" s="70" t="e">
        <v>#N/A</v>
      </c>
      <c r="N295" s="7"/>
      <c r="O295" s="7"/>
      <c r="P295" s="7"/>
    </row>
    <row r="296">
      <c r="A296" s="67" t="s">
        <v>890</v>
      </c>
      <c r="B296" s="78"/>
      <c r="C296" s="62">
        <v>0.08</v>
      </c>
      <c r="D296" s="63">
        <v>0.69</v>
      </c>
      <c r="E296" s="63">
        <v>0.69</v>
      </c>
      <c r="F296" s="64" t="s">
        <v>254</v>
      </c>
      <c r="G296" s="59">
        <v>47848.0</v>
      </c>
      <c r="K296" s="65" t="s">
        <v>889</v>
      </c>
      <c r="L296" s="7"/>
      <c r="M296" s="70" t="e">
        <v>#N/A</v>
      </c>
      <c r="N296" s="7"/>
      <c r="O296" s="7"/>
      <c r="P296" s="7"/>
    </row>
    <row r="297">
      <c r="A297" s="67" t="s">
        <v>891</v>
      </c>
      <c r="B297" s="78"/>
      <c r="C297" s="62">
        <v>0.08</v>
      </c>
      <c r="D297" s="63">
        <v>0.69</v>
      </c>
      <c r="E297" s="63">
        <v>0.69</v>
      </c>
      <c r="F297" s="64" t="s">
        <v>254</v>
      </c>
      <c r="G297" s="59">
        <v>47848.0</v>
      </c>
      <c r="K297" s="65" t="s">
        <v>890</v>
      </c>
      <c r="L297" s="7"/>
      <c r="M297" s="70" t="e">
        <v>#N/A</v>
      </c>
      <c r="N297" s="7"/>
      <c r="O297" s="7"/>
      <c r="P297" s="7"/>
    </row>
    <row r="298">
      <c r="A298" s="67" t="s">
        <v>892</v>
      </c>
      <c r="B298" s="78"/>
      <c r="C298" s="62">
        <v>0.08</v>
      </c>
      <c r="D298" s="63">
        <v>0.69</v>
      </c>
      <c r="E298" s="63">
        <v>0.69</v>
      </c>
      <c r="F298" s="64" t="s">
        <v>254</v>
      </c>
      <c r="G298" s="59">
        <v>47848.0</v>
      </c>
      <c r="K298" s="65" t="s">
        <v>891</v>
      </c>
      <c r="L298" s="7"/>
      <c r="M298" s="70" t="e">
        <v>#N/A</v>
      </c>
      <c r="N298" s="7"/>
      <c r="O298" s="7"/>
      <c r="P298" s="7"/>
    </row>
    <row r="299">
      <c r="A299" s="67" t="s">
        <v>893</v>
      </c>
      <c r="B299" s="78"/>
      <c r="C299" s="62">
        <v>0.08</v>
      </c>
      <c r="D299" s="63">
        <v>0.69</v>
      </c>
      <c r="E299" s="63">
        <v>0.69</v>
      </c>
      <c r="F299" s="64" t="s">
        <v>254</v>
      </c>
      <c r="G299" s="59">
        <v>47848.0</v>
      </c>
      <c r="K299" s="65" t="s">
        <v>892</v>
      </c>
      <c r="L299" s="7"/>
      <c r="M299" s="70" t="e">
        <v>#N/A</v>
      </c>
      <c r="N299" s="7"/>
      <c r="O299" s="7"/>
      <c r="P299" s="7"/>
    </row>
    <row r="300">
      <c r="A300" s="67" t="s">
        <v>894</v>
      </c>
      <c r="B300" s="78"/>
      <c r="C300" s="62">
        <v>0.08</v>
      </c>
      <c r="D300" s="63">
        <v>0.69</v>
      </c>
      <c r="E300" s="63">
        <v>0.69</v>
      </c>
      <c r="F300" s="64" t="s">
        <v>254</v>
      </c>
      <c r="G300" s="59">
        <v>47848.0</v>
      </c>
      <c r="K300" s="65" t="s">
        <v>893</v>
      </c>
      <c r="L300" s="7"/>
      <c r="M300" s="70" t="e">
        <v>#N/A</v>
      </c>
      <c r="N300" s="7"/>
      <c r="O300" s="7"/>
      <c r="P300" s="7"/>
    </row>
    <row r="301">
      <c r="A301" s="67" t="s">
        <v>895</v>
      </c>
      <c r="B301" s="78"/>
      <c r="C301" s="62">
        <v>0.08</v>
      </c>
      <c r="D301" s="63">
        <v>0.69</v>
      </c>
      <c r="E301" s="63">
        <v>0.69</v>
      </c>
      <c r="F301" s="64" t="s">
        <v>254</v>
      </c>
      <c r="G301" s="59">
        <v>47848.0</v>
      </c>
      <c r="K301" s="65" t="s">
        <v>894</v>
      </c>
      <c r="L301" s="65"/>
      <c r="M301" s="70" t="e">
        <v>#N/A</v>
      </c>
      <c r="N301" s="7"/>
      <c r="O301" s="7"/>
      <c r="P301" s="7"/>
    </row>
    <row r="302">
      <c r="A302" s="67" t="s">
        <v>896</v>
      </c>
      <c r="B302" s="78"/>
      <c r="C302" s="62">
        <v>0.08</v>
      </c>
      <c r="D302" s="63">
        <v>0.69</v>
      </c>
      <c r="E302" s="63">
        <v>0.69</v>
      </c>
      <c r="F302" s="64" t="s">
        <v>254</v>
      </c>
      <c r="G302" s="59">
        <v>47848.0</v>
      </c>
      <c r="K302" s="65" t="s">
        <v>895</v>
      </c>
      <c r="L302" s="7"/>
      <c r="M302" s="70" t="e">
        <v>#N/A</v>
      </c>
      <c r="N302" s="7"/>
      <c r="O302" s="7"/>
      <c r="P302" s="7"/>
    </row>
    <row r="303">
      <c r="A303" s="67" t="s">
        <v>897</v>
      </c>
      <c r="B303" s="78"/>
      <c r="C303" s="62">
        <v>0.08</v>
      </c>
      <c r="D303" s="63">
        <v>0.69</v>
      </c>
      <c r="E303" s="63">
        <v>0.69</v>
      </c>
      <c r="F303" s="64" t="s">
        <v>254</v>
      </c>
      <c r="G303" s="59">
        <v>47848.0</v>
      </c>
      <c r="K303" s="65" t="s">
        <v>896</v>
      </c>
      <c r="L303" s="7"/>
      <c r="M303" s="70" t="e">
        <v>#N/A</v>
      </c>
      <c r="N303" s="7"/>
      <c r="O303" s="7"/>
      <c r="P303" s="7"/>
    </row>
    <row r="304">
      <c r="A304" s="67" t="s">
        <v>898</v>
      </c>
      <c r="B304" s="78"/>
      <c r="C304" s="62">
        <v>0.08</v>
      </c>
      <c r="D304" s="63">
        <v>0.69</v>
      </c>
      <c r="E304" s="63">
        <v>0.69</v>
      </c>
      <c r="F304" s="64" t="s">
        <v>254</v>
      </c>
      <c r="G304" s="59">
        <v>47848.0</v>
      </c>
      <c r="K304" s="65" t="s">
        <v>897</v>
      </c>
      <c r="L304" s="7"/>
      <c r="M304" s="70" t="e">
        <v>#N/A</v>
      </c>
      <c r="N304" s="7"/>
      <c r="O304" s="7"/>
      <c r="P304" s="7"/>
    </row>
    <row r="305">
      <c r="A305" s="67" t="s">
        <v>899</v>
      </c>
      <c r="B305" s="78"/>
      <c r="C305" s="62">
        <v>0.08</v>
      </c>
      <c r="D305" s="63">
        <v>0.69</v>
      </c>
      <c r="E305" s="63">
        <v>0.69</v>
      </c>
      <c r="F305" s="64" t="s">
        <v>254</v>
      </c>
      <c r="G305" s="59">
        <v>47848.0</v>
      </c>
      <c r="K305" s="65" t="s">
        <v>898</v>
      </c>
      <c r="L305" s="7"/>
      <c r="M305" s="70" t="e">
        <v>#N/A</v>
      </c>
      <c r="N305" s="7"/>
      <c r="O305" s="7"/>
      <c r="P305" s="7"/>
    </row>
    <row r="306">
      <c r="A306" s="67" t="s">
        <v>900</v>
      </c>
      <c r="B306" s="78"/>
      <c r="C306" s="62">
        <v>0.08</v>
      </c>
      <c r="D306" s="63">
        <v>0.69</v>
      </c>
      <c r="E306" s="63">
        <v>0.69</v>
      </c>
      <c r="F306" s="64" t="s">
        <v>254</v>
      </c>
      <c r="G306" s="59">
        <v>47848.0</v>
      </c>
      <c r="K306" s="65" t="s">
        <v>899</v>
      </c>
      <c r="L306" s="7"/>
      <c r="M306" s="70" t="e">
        <v>#N/A</v>
      </c>
      <c r="N306" s="7"/>
      <c r="O306" s="7"/>
      <c r="P306" s="7"/>
    </row>
    <row r="307">
      <c r="A307" s="67" t="s">
        <v>901</v>
      </c>
      <c r="B307" s="78"/>
      <c r="C307" s="62">
        <v>0.08</v>
      </c>
      <c r="D307" s="63">
        <v>0.69</v>
      </c>
      <c r="E307" s="63">
        <v>0.69</v>
      </c>
      <c r="F307" s="64" t="s">
        <v>254</v>
      </c>
      <c r="G307" s="59">
        <v>47848.0</v>
      </c>
      <c r="K307" s="65" t="s">
        <v>900</v>
      </c>
      <c r="L307" s="7"/>
      <c r="M307" s="70" t="e">
        <v>#N/A</v>
      </c>
      <c r="N307" s="7"/>
      <c r="O307" s="7"/>
      <c r="P307" s="7"/>
    </row>
    <row r="308">
      <c r="A308" s="67" t="s">
        <v>902</v>
      </c>
      <c r="B308" s="78"/>
      <c r="C308" s="62">
        <v>0.08</v>
      </c>
      <c r="D308" s="63">
        <v>0.69</v>
      </c>
      <c r="E308" s="63">
        <v>0.69</v>
      </c>
      <c r="F308" s="64" t="s">
        <v>254</v>
      </c>
      <c r="G308" s="59">
        <v>47848.0</v>
      </c>
      <c r="K308" s="65" t="s">
        <v>901</v>
      </c>
      <c r="L308" s="7"/>
      <c r="M308" s="70" t="e">
        <v>#N/A</v>
      </c>
      <c r="N308" s="7"/>
      <c r="O308" s="7"/>
      <c r="P308" s="7"/>
    </row>
    <row r="309">
      <c r="A309" s="67" t="s">
        <v>903</v>
      </c>
      <c r="B309" s="78"/>
      <c r="C309" s="62">
        <v>0.08</v>
      </c>
      <c r="D309" s="63">
        <v>0.69</v>
      </c>
      <c r="E309" s="63">
        <v>0.69</v>
      </c>
      <c r="F309" s="64" t="s">
        <v>254</v>
      </c>
      <c r="G309" s="59">
        <v>47848.0</v>
      </c>
      <c r="K309" s="65" t="s">
        <v>902</v>
      </c>
      <c r="L309" s="7"/>
      <c r="M309" s="70" t="e">
        <v>#N/A</v>
      </c>
      <c r="N309" s="7"/>
      <c r="O309" s="7"/>
      <c r="P309" s="7"/>
    </row>
    <row r="310">
      <c r="A310" s="67" t="s">
        <v>904</v>
      </c>
      <c r="B310" s="78"/>
      <c r="C310" s="62">
        <v>0.08</v>
      </c>
      <c r="D310" s="63">
        <v>0.69</v>
      </c>
      <c r="E310" s="63">
        <v>0.69</v>
      </c>
      <c r="F310" s="64" t="s">
        <v>254</v>
      </c>
      <c r="G310" s="59">
        <v>47848.0</v>
      </c>
      <c r="K310" s="65" t="s">
        <v>903</v>
      </c>
      <c r="L310" s="7"/>
      <c r="M310" s="70" t="e">
        <v>#N/A</v>
      </c>
      <c r="N310" s="7"/>
      <c r="O310" s="7"/>
      <c r="P310" s="7"/>
    </row>
    <row r="311">
      <c r="A311" s="67" t="s">
        <v>905</v>
      </c>
      <c r="B311" s="78"/>
      <c r="C311" s="62">
        <v>0.08</v>
      </c>
      <c r="D311" s="63">
        <v>0.69</v>
      </c>
      <c r="E311" s="63">
        <v>0.69</v>
      </c>
      <c r="F311" s="64" t="s">
        <v>254</v>
      </c>
      <c r="G311" s="59">
        <v>47848.0</v>
      </c>
      <c r="K311" s="65" t="s">
        <v>904</v>
      </c>
      <c r="L311" s="7"/>
      <c r="M311" s="70" t="e">
        <v>#N/A</v>
      </c>
      <c r="N311" s="7"/>
      <c r="O311" s="7"/>
      <c r="P311" s="7"/>
    </row>
    <row r="312">
      <c r="A312" s="67" t="s">
        <v>906</v>
      </c>
      <c r="B312" s="78"/>
      <c r="C312" s="62">
        <v>0.08</v>
      </c>
      <c r="D312" s="63">
        <v>0.69</v>
      </c>
      <c r="E312" s="63">
        <v>0.69</v>
      </c>
      <c r="F312" s="64" t="s">
        <v>254</v>
      </c>
      <c r="G312" s="59">
        <v>47848.0</v>
      </c>
      <c r="K312" s="65" t="s">
        <v>905</v>
      </c>
      <c r="L312" s="7"/>
      <c r="M312" s="70" t="e">
        <v>#N/A</v>
      </c>
      <c r="N312" s="7"/>
      <c r="O312" s="7"/>
      <c r="P312" s="7"/>
    </row>
    <row r="313">
      <c r="A313" s="67" t="s">
        <v>907</v>
      </c>
      <c r="B313" s="78"/>
      <c r="C313" s="62">
        <v>0.08</v>
      </c>
      <c r="D313" s="63">
        <v>0.69</v>
      </c>
      <c r="E313" s="63">
        <v>0.69</v>
      </c>
      <c r="F313" s="64" t="s">
        <v>254</v>
      </c>
      <c r="G313" s="59">
        <v>47848.0</v>
      </c>
      <c r="K313" s="65" t="s">
        <v>906</v>
      </c>
      <c r="L313" s="7"/>
      <c r="M313" s="70" t="e">
        <v>#N/A</v>
      </c>
      <c r="N313" s="7"/>
      <c r="O313" s="7"/>
      <c r="P313" s="7"/>
    </row>
    <row r="314">
      <c r="A314" s="67" t="s">
        <v>908</v>
      </c>
      <c r="B314" s="78"/>
      <c r="C314" s="62">
        <v>0.08</v>
      </c>
      <c r="D314" s="63">
        <v>0.69</v>
      </c>
      <c r="E314" s="63">
        <v>0.69</v>
      </c>
      <c r="F314" s="64" t="s">
        <v>254</v>
      </c>
      <c r="G314" s="59">
        <v>47848.0</v>
      </c>
      <c r="K314" s="65" t="s">
        <v>907</v>
      </c>
      <c r="L314" s="7"/>
      <c r="M314" s="70" t="e">
        <v>#N/A</v>
      </c>
      <c r="N314" s="7"/>
      <c r="O314" s="7"/>
      <c r="P314" s="7"/>
    </row>
    <row r="315">
      <c r="A315" s="67" t="s">
        <v>909</v>
      </c>
      <c r="B315" s="78"/>
      <c r="C315" s="62">
        <v>0.08</v>
      </c>
      <c r="D315" s="63">
        <v>0.69</v>
      </c>
      <c r="E315" s="63">
        <v>0.69</v>
      </c>
      <c r="F315" s="64" t="s">
        <v>254</v>
      </c>
      <c r="G315" s="59">
        <v>47848.0</v>
      </c>
      <c r="K315" s="65" t="s">
        <v>908</v>
      </c>
      <c r="L315" s="7"/>
      <c r="M315" s="70" t="e">
        <v>#N/A</v>
      </c>
      <c r="N315" s="7"/>
      <c r="O315" s="7"/>
      <c r="P315" s="7"/>
    </row>
    <row r="316">
      <c r="A316" s="67" t="s">
        <v>910</v>
      </c>
      <c r="B316" s="78"/>
      <c r="C316" s="62">
        <v>0.08</v>
      </c>
      <c r="D316" s="63">
        <v>0.69</v>
      </c>
      <c r="E316" s="63">
        <v>0.69</v>
      </c>
      <c r="F316" s="64" t="s">
        <v>254</v>
      </c>
      <c r="G316" s="59">
        <v>47848.0</v>
      </c>
      <c r="K316" s="65" t="s">
        <v>909</v>
      </c>
      <c r="L316" s="7"/>
      <c r="M316" s="70" t="e">
        <v>#N/A</v>
      </c>
      <c r="N316" s="7"/>
      <c r="O316" s="7"/>
      <c r="P316" s="7"/>
    </row>
    <row r="317">
      <c r="A317" s="67" t="s">
        <v>911</v>
      </c>
      <c r="B317" s="78"/>
      <c r="C317" s="62">
        <v>0.08</v>
      </c>
      <c r="D317" s="63">
        <v>0.69</v>
      </c>
      <c r="E317" s="63">
        <v>0.69</v>
      </c>
      <c r="F317" s="64" t="s">
        <v>254</v>
      </c>
      <c r="G317" s="59">
        <v>47848.0</v>
      </c>
      <c r="K317" s="65" t="s">
        <v>910</v>
      </c>
      <c r="L317" s="7"/>
      <c r="M317" s="70" t="e">
        <v>#N/A</v>
      </c>
      <c r="N317" s="7"/>
      <c r="O317" s="7"/>
      <c r="P317" s="7"/>
    </row>
    <row r="318">
      <c r="A318" s="67" t="s">
        <v>912</v>
      </c>
      <c r="B318" s="78"/>
      <c r="C318" s="62">
        <v>0.08</v>
      </c>
      <c r="D318" s="63">
        <v>0.69</v>
      </c>
      <c r="E318" s="63">
        <v>0.69</v>
      </c>
      <c r="F318" s="64" t="s">
        <v>254</v>
      </c>
      <c r="G318" s="59">
        <v>47848.0</v>
      </c>
      <c r="K318" s="65" t="s">
        <v>911</v>
      </c>
      <c r="L318" s="7"/>
      <c r="M318" s="70" t="e">
        <v>#N/A</v>
      </c>
      <c r="N318" s="7"/>
      <c r="O318" s="7"/>
      <c r="P318" s="7"/>
    </row>
    <row r="319">
      <c r="A319" s="67" t="s">
        <v>913</v>
      </c>
      <c r="B319" s="78"/>
      <c r="C319" s="62">
        <v>0.08</v>
      </c>
      <c r="D319" s="63">
        <v>0.69</v>
      </c>
      <c r="E319" s="63">
        <v>0.69</v>
      </c>
      <c r="F319" s="64" t="s">
        <v>254</v>
      </c>
      <c r="G319" s="59">
        <v>47848.0</v>
      </c>
      <c r="K319" s="65" t="s">
        <v>912</v>
      </c>
      <c r="L319" s="7"/>
      <c r="M319" s="70" t="e">
        <v>#N/A</v>
      </c>
      <c r="N319" s="7"/>
      <c r="O319" s="7"/>
      <c r="P319" s="7"/>
    </row>
    <row r="320">
      <c r="A320" s="67" t="s">
        <v>914</v>
      </c>
      <c r="B320" s="78"/>
      <c r="C320" s="62">
        <v>0.08</v>
      </c>
      <c r="D320" s="63">
        <v>0.69</v>
      </c>
      <c r="E320" s="63">
        <v>0.69</v>
      </c>
      <c r="F320" s="64" t="s">
        <v>254</v>
      </c>
      <c r="G320" s="59">
        <v>47848.0</v>
      </c>
      <c r="K320" s="65" t="s">
        <v>913</v>
      </c>
      <c r="L320" s="7"/>
      <c r="M320" s="70" t="e">
        <v>#N/A</v>
      </c>
      <c r="N320" s="7"/>
      <c r="O320" s="7"/>
      <c r="P320" s="7"/>
    </row>
    <row r="321">
      <c r="A321" s="67" t="s">
        <v>915</v>
      </c>
      <c r="B321" s="78"/>
      <c r="C321" s="62">
        <v>0.08</v>
      </c>
      <c r="D321" s="63">
        <v>0.69</v>
      </c>
      <c r="E321" s="63">
        <v>0.69</v>
      </c>
      <c r="F321" s="64" t="s">
        <v>254</v>
      </c>
      <c r="G321" s="59">
        <v>47848.0</v>
      </c>
      <c r="K321" s="65" t="s">
        <v>914</v>
      </c>
      <c r="L321" s="7"/>
      <c r="M321" s="70" t="e">
        <v>#N/A</v>
      </c>
      <c r="N321" s="7"/>
      <c r="O321" s="7"/>
      <c r="P321" s="7"/>
    </row>
    <row r="322">
      <c r="A322" s="67" t="s">
        <v>916</v>
      </c>
      <c r="B322" s="78"/>
      <c r="C322" s="62">
        <v>0.08</v>
      </c>
      <c r="D322" s="63">
        <v>0.69</v>
      </c>
      <c r="E322" s="63">
        <v>0.69</v>
      </c>
      <c r="F322" s="64" t="s">
        <v>254</v>
      </c>
      <c r="G322" s="59">
        <v>47848.0</v>
      </c>
      <c r="K322" s="65" t="s">
        <v>915</v>
      </c>
      <c r="L322" s="7"/>
      <c r="M322" s="70" t="e">
        <v>#N/A</v>
      </c>
      <c r="N322" s="7"/>
      <c r="O322" s="7"/>
      <c r="P322" s="7"/>
    </row>
    <row r="323">
      <c r="A323" s="67" t="s">
        <v>917</v>
      </c>
      <c r="B323" s="78"/>
      <c r="C323" s="62">
        <v>0.08</v>
      </c>
      <c r="D323" s="63">
        <v>0.69</v>
      </c>
      <c r="E323" s="63">
        <v>0.69</v>
      </c>
      <c r="F323" s="64" t="s">
        <v>254</v>
      </c>
      <c r="G323" s="59">
        <v>47848.0</v>
      </c>
      <c r="K323" s="65" t="s">
        <v>916</v>
      </c>
      <c r="L323" s="7"/>
      <c r="M323" s="70" t="e">
        <v>#N/A</v>
      </c>
      <c r="N323" s="7"/>
      <c r="O323" s="7"/>
      <c r="P323" s="7"/>
    </row>
    <row r="324">
      <c r="A324" s="67" t="s">
        <v>918</v>
      </c>
      <c r="B324" s="78"/>
      <c r="C324" s="62">
        <v>0.08</v>
      </c>
      <c r="D324" s="63">
        <v>0.69</v>
      </c>
      <c r="E324" s="63">
        <v>0.69</v>
      </c>
      <c r="F324" s="64" t="s">
        <v>254</v>
      </c>
      <c r="G324" s="59">
        <v>47848.0</v>
      </c>
      <c r="K324" s="65" t="s">
        <v>917</v>
      </c>
      <c r="L324" s="7"/>
      <c r="M324" s="70" t="e">
        <v>#N/A</v>
      </c>
      <c r="N324" s="7"/>
      <c r="O324" s="7"/>
      <c r="P324" s="7"/>
    </row>
    <row r="325">
      <c r="A325" s="67" t="s">
        <v>919</v>
      </c>
      <c r="B325" s="78"/>
      <c r="C325" s="62">
        <v>0.08</v>
      </c>
      <c r="D325" s="63">
        <v>0.69</v>
      </c>
      <c r="E325" s="63">
        <v>0.69</v>
      </c>
      <c r="F325" s="64" t="s">
        <v>254</v>
      </c>
      <c r="G325" s="59">
        <v>47848.0</v>
      </c>
      <c r="K325" s="65" t="s">
        <v>918</v>
      </c>
      <c r="L325" s="7"/>
      <c r="M325" s="70" t="e">
        <v>#N/A</v>
      </c>
      <c r="N325" s="7"/>
      <c r="O325" s="7"/>
      <c r="P325" s="7"/>
    </row>
    <row r="326">
      <c r="A326" s="67" t="s">
        <v>920</v>
      </c>
      <c r="B326" s="78"/>
      <c r="C326" s="62">
        <v>0.08</v>
      </c>
      <c r="D326" s="63">
        <v>0.69</v>
      </c>
      <c r="E326" s="63">
        <v>0.69</v>
      </c>
      <c r="F326" s="64" t="s">
        <v>254</v>
      </c>
      <c r="G326" s="59">
        <v>47848.0</v>
      </c>
      <c r="K326" s="65" t="s">
        <v>919</v>
      </c>
      <c r="L326" s="7"/>
      <c r="M326" s="70" t="e">
        <v>#N/A</v>
      </c>
      <c r="N326" s="7"/>
      <c r="O326" s="7"/>
      <c r="P326" s="7"/>
    </row>
    <row r="327">
      <c r="A327" s="67" t="s">
        <v>921</v>
      </c>
      <c r="B327" s="78"/>
      <c r="C327" s="62">
        <v>0.08</v>
      </c>
      <c r="D327" s="63">
        <v>0.69</v>
      </c>
      <c r="E327" s="63">
        <v>0.69</v>
      </c>
      <c r="F327" s="64" t="s">
        <v>254</v>
      </c>
      <c r="G327" s="59">
        <v>47848.0</v>
      </c>
      <c r="K327" s="65" t="s">
        <v>920</v>
      </c>
      <c r="L327" s="7"/>
      <c r="M327" s="70" t="e">
        <v>#N/A</v>
      </c>
      <c r="N327" s="7"/>
      <c r="O327" s="7"/>
      <c r="P327" s="7"/>
    </row>
    <row r="328">
      <c r="A328" s="67" t="s">
        <v>922</v>
      </c>
      <c r="B328" s="78"/>
      <c r="C328" s="62">
        <v>0.08</v>
      </c>
      <c r="D328" s="63">
        <v>0.69</v>
      </c>
      <c r="E328" s="63">
        <v>0.69</v>
      </c>
      <c r="F328" s="64" t="s">
        <v>254</v>
      </c>
      <c r="G328" s="59">
        <v>47848.0</v>
      </c>
      <c r="K328" s="65" t="s">
        <v>921</v>
      </c>
      <c r="L328" s="7"/>
      <c r="M328" s="70" t="e">
        <v>#N/A</v>
      </c>
      <c r="N328" s="7"/>
      <c r="O328" s="7"/>
      <c r="P328" s="7"/>
    </row>
    <row r="329">
      <c r="A329" s="67" t="s">
        <v>923</v>
      </c>
      <c r="B329" s="78"/>
      <c r="C329" s="62">
        <v>0.08</v>
      </c>
      <c r="D329" s="63">
        <v>0.69</v>
      </c>
      <c r="E329" s="63">
        <v>0.69</v>
      </c>
      <c r="F329" s="64" t="s">
        <v>254</v>
      </c>
      <c r="G329" s="59">
        <v>47848.0</v>
      </c>
      <c r="K329" s="65" t="s">
        <v>922</v>
      </c>
      <c r="L329" s="7"/>
      <c r="M329" s="70" t="e">
        <v>#N/A</v>
      </c>
      <c r="N329" s="7"/>
      <c r="O329" s="7"/>
      <c r="P329" s="7"/>
    </row>
    <row r="330">
      <c r="A330" s="67" t="s">
        <v>924</v>
      </c>
      <c r="B330" s="78"/>
      <c r="C330" s="62">
        <v>0.08</v>
      </c>
      <c r="D330" s="63">
        <v>0.69</v>
      </c>
      <c r="E330" s="63">
        <v>0.69</v>
      </c>
      <c r="F330" s="64" t="s">
        <v>254</v>
      </c>
      <c r="G330" s="59">
        <v>47848.0</v>
      </c>
      <c r="K330" s="65" t="s">
        <v>923</v>
      </c>
      <c r="L330" s="7"/>
      <c r="M330" s="70" t="e">
        <v>#N/A</v>
      </c>
      <c r="N330" s="7"/>
      <c r="O330" s="7"/>
      <c r="P330" s="7"/>
    </row>
    <row r="331">
      <c r="A331" s="67" t="s">
        <v>925</v>
      </c>
      <c r="B331" s="78"/>
      <c r="C331" s="62">
        <v>0.08</v>
      </c>
      <c r="D331" s="63">
        <v>0.69</v>
      </c>
      <c r="E331" s="63">
        <v>0.69</v>
      </c>
      <c r="F331" s="64" t="s">
        <v>254</v>
      </c>
      <c r="G331" s="59">
        <v>47848.0</v>
      </c>
      <c r="K331" s="65" t="s">
        <v>924</v>
      </c>
      <c r="L331" s="7"/>
      <c r="M331" s="70" t="e">
        <v>#N/A</v>
      </c>
      <c r="N331" s="7"/>
      <c r="O331" s="7"/>
      <c r="P331" s="7"/>
    </row>
    <row r="332">
      <c r="A332" s="67" t="s">
        <v>926</v>
      </c>
      <c r="B332" s="78"/>
      <c r="C332" s="62">
        <v>0.08</v>
      </c>
      <c r="D332" s="63">
        <v>0.69</v>
      </c>
      <c r="E332" s="63">
        <v>0.69</v>
      </c>
      <c r="F332" s="64" t="s">
        <v>254</v>
      </c>
      <c r="G332" s="59">
        <v>47848.0</v>
      </c>
      <c r="K332" s="65" t="s">
        <v>925</v>
      </c>
      <c r="L332" s="7"/>
      <c r="M332" s="70" t="e">
        <v>#N/A</v>
      </c>
      <c r="N332" s="7"/>
      <c r="O332" s="7"/>
      <c r="P332" s="7"/>
    </row>
    <row r="333">
      <c r="A333" s="67" t="s">
        <v>927</v>
      </c>
      <c r="B333" s="78"/>
      <c r="C333" s="62">
        <v>0.08</v>
      </c>
      <c r="D333" s="63">
        <v>0.69</v>
      </c>
      <c r="E333" s="63">
        <v>0.69</v>
      </c>
      <c r="F333" s="64" t="s">
        <v>254</v>
      </c>
      <c r="G333" s="59">
        <v>47848.0</v>
      </c>
      <c r="K333" s="65" t="s">
        <v>926</v>
      </c>
      <c r="L333" s="7"/>
      <c r="M333" s="70" t="e">
        <v>#N/A</v>
      </c>
      <c r="N333" s="7"/>
      <c r="O333" s="7"/>
      <c r="P333" s="7"/>
    </row>
    <row r="334">
      <c r="A334" s="67" t="s">
        <v>928</v>
      </c>
      <c r="B334" s="78"/>
      <c r="C334" s="62">
        <v>0.08</v>
      </c>
      <c r="D334" s="63">
        <v>0.69</v>
      </c>
      <c r="E334" s="63">
        <v>0.69</v>
      </c>
      <c r="F334" s="64" t="s">
        <v>254</v>
      </c>
      <c r="G334" s="59">
        <v>47848.0</v>
      </c>
      <c r="K334" s="65" t="s">
        <v>927</v>
      </c>
      <c r="L334" s="7"/>
      <c r="M334" s="70" t="e">
        <v>#N/A</v>
      </c>
      <c r="N334" s="7"/>
      <c r="O334" s="7"/>
      <c r="P334" s="7"/>
    </row>
    <row r="335">
      <c r="A335" s="67" t="s">
        <v>929</v>
      </c>
      <c r="B335" s="78"/>
      <c r="C335" s="62">
        <v>0.08</v>
      </c>
      <c r="D335" s="63">
        <v>0.69</v>
      </c>
      <c r="E335" s="63">
        <v>0.69</v>
      </c>
      <c r="F335" s="64" t="s">
        <v>254</v>
      </c>
      <c r="G335" s="59">
        <v>47848.0</v>
      </c>
      <c r="K335" s="65" t="s">
        <v>928</v>
      </c>
      <c r="L335" s="7"/>
      <c r="M335" s="70" t="e">
        <v>#N/A</v>
      </c>
      <c r="N335" s="7"/>
      <c r="O335" s="7"/>
      <c r="P335" s="7"/>
    </row>
    <row r="336">
      <c r="A336" s="67" t="s">
        <v>930</v>
      </c>
      <c r="B336" s="78"/>
      <c r="C336" s="62">
        <v>0.08</v>
      </c>
      <c r="D336" s="63">
        <v>0.69</v>
      </c>
      <c r="E336" s="63">
        <v>0.69</v>
      </c>
      <c r="F336" s="64" t="s">
        <v>254</v>
      </c>
      <c r="G336" s="59">
        <v>47848.0</v>
      </c>
      <c r="K336" s="65" t="s">
        <v>929</v>
      </c>
      <c r="L336" s="7"/>
      <c r="M336" s="70" t="e">
        <v>#N/A</v>
      </c>
      <c r="N336" s="7"/>
      <c r="O336" s="7"/>
      <c r="P336" s="7"/>
    </row>
    <row r="337">
      <c r="A337" s="67" t="s">
        <v>931</v>
      </c>
      <c r="B337" s="78"/>
      <c r="C337" s="62">
        <v>0.08</v>
      </c>
      <c r="D337" s="63">
        <v>0.69</v>
      </c>
      <c r="E337" s="63">
        <v>0.69</v>
      </c>
      <c r="F337" s="64" t="s">
        <v>254</v>
      </c>
      <c r="G337" s="59">
        <v>47848.0</v>
      </c>
      <c r="K337" s="65" t="s">
        <v>930</v>
      </c>
      <c r="L337" s="7"/>
      <c r="M337" s="70" t="e">
        <v>#N/A</v>
      </c>
      <c r="N337" s="7"/>
      <c r="O337" s="7"/>
      <c r="P337" s="7"/>
    </row>
    <row r="338">
      <c r="A338" s="67" t="s">
        <v>932</v>
      </c>
      <c r="B338" s="78"/>
      <c r="C338" s="62">
        <v>0.08</v>
      </c>
      <c r="D338" s="63">
        <v>0.69</v>
      </c>
      <c r="E338" s="63">
        <v>0.69</v>
      </c>
      <c r="F338" s="64" t="s">
        <v>254</v>
      </c>
      <c r="G338" s="59">
        <v>47848.0</v>
      </c>
      <c r="K338" s="65" t="s">
        <v>931</v>
      </c>
      <c r="L338" s="7"/>
      <c r="M338" s="70" t="e">
        <v>#N/A</v>
      </c>
      <c r="N338" s="7"/>
      <c r="O338" s="7"/>
      <c r="P338" s="7"/>
    </row>
    <row r="339">
      <c r="A339" s="67" t="s">
        <v>933</v>
      </c>
      <c r="B339" s="78"/>
      <c r="C339" s="62">
        <v>0.08</v>
      </c>
      <c r="D339" s="63">
        <v>0.69</v>
      </c>
      <c r="E339" s="63">
        <v>0.69</v>
      </c>
      <c r="F339" s="64" t="s">
        <v>254</v>
      </c>
      <c r="G339" s="59">
        <v>47848.0</v>
      </c>
      <c r="K339" s="65" t="s">
        <v>932</v>
      </c>
      <c r="L339" s="7"/>
      <c r="M339" s="70" t="e">
        <v>#N/A</v>
      </c>
      <c r="N339" s="7"/>
      <c r="O339" s="7"/>
      <c r="P339" s="7"/>
    </row>
    <row r="340">
      <c r="A340" s="67" t="s">
        <v>934</v>
      </c>
      <c r="B340" s="78"/>
      <c r="C340" s="62">
        <v>0.08</v>
      </c>
      <c r="D340" s="63">
        <v>0.69</v>
      </c>
      <c r="E340" s="63">
        <v>0.69</v>
      </c>
      <c r="F340" s="64" t="s">
        <v>254</v>
      </c>
      <c r="G340" s="59">
        <v>47848.0</v>
      </c>
      <c r="K340" s="65" t="s">
        <v>933</v>
      </c>
      <c r="L340" s="7"/>
      <c r="M340" s="70" t="e">
        <v>#N/A</v>
      </c>
      <c r="N340" s="7"/>
      <c r="O340" s="7"/>
      <c r="P340" s="7"/>
    </row>
    <row r="341">
      <c r="A341" s="67" t="s">
        <v>935</v>
      </c>
      <c r="B341" s="78"/>
      <c r="C341" s="62">
        <v>0.08</v>
      </c>
      <c r="D341" s="63">
        <v>0.69</v>
      </c>
      <c r="E341" s="63">
        <v>0.69</v>
      </c>
      <c r="F341" s="64" t="s">
        <v>254</v>
      </c>
      <c r="G341" s="59">
        <v>47848.0</v>
      </c>
      <c r="K341" s="65" t="s">
        <v>934</v>
      </c>
      <c r="L341" s="7"/>
      <c r="M341" s="70" t="e">
        <v>#N/A</v>
      </c>
      <c r="N341" s="7"/>
      <c r="O341" s="7"/>
      <c r="P341" s="7"/>
    </row>
    <row r="342">
      <c r="A342" s="67" t="s">
        <v>936</v>
      </c>
      <c r="B342" s="78"/>
      <c r="C342" s="62">
        <v>0.08</v>
      </c>
      <c r="D342" s="63">
        <v>0.69</v>
      </c>
      <c r="E342" s="63">
        <v>0.69</v>
      </c>
      <c r="F342" s="64" t="s">
        <v>254</v>
      </c>
      <c r="G342" s="59">
        <v>47848.0</v>
      </c>
      <c r="K342" s="65" t="s">
        <v>935</v>
      </c>
      <c r="L342" s="7"/>
      <c r="M342" s="70" t="e">
        <v>#N/A</v>
      </c>
      <c r="N342" s="7"/>
      <c r="O342" s="7"/>
      <c r="P342" s="7"/>
    </row>
    <row r="343">
      <c r="A343" s="67" t="s">
        <v>937</v>
      </c>
      <c r="B343" s="78"/>
      <c r="C343" s="62">
        <v>0.08</v>
      </c>
      <c r="D343" s="63">
        <v>0.69</v>
      </c>
      <c r="E343" s="63">
        <v>0.69</v>
      </c>
      <c r="F343" s="64" t="s">
        <v>254</v>
      </c>
      <c r="G343" s="59">
        <v>47848.0</v>
      </c>
      <c r="K343" s="65" t="s">
        <v>936</v>
      </c>
      <c r="L343" s="7"/>
      <c r="M343" s="70" t="e">
        <v>#N/A</v>
      </c>
      <c r="N343" s="7"/>
      <c r="O343" s="7"/>
      <c r="P343" s="7"/>
    </row>
    <row r="344">
      <c r="A344" s="67" t="s">
        <v>938</v>
      </c>
      <c r="B344" s="78"/>
      <c r="C344" s="62">
        <v>0.08</v>
      </c>
      <c r="D344" s="63">
        <v>0.69</v>
      </c>
      <c r="E344" s="63">
        <v>0.69</v>
      </c>
      <c r="F344" s="64" t="s">
        <v>254</v>
      </c>
      <c r="G344" s="59">
        <v>47848.0</v>
      </c>
      <c r="K344" s="65" t="s">
        <v>937</v>
      </c>
      <c r="L344" s="7"/>
      <c r="M344" s="70" t="e">
        <v>#N/A</v>
      </c>
      <c r="N344" s="7"/>
      <c r="O344" s="7"/>
      <c r="P344" s="7"/>
    </row>
    <row r="345">
      <c r="A345" s="67" t="s">
        <v>939</v>
      </c>
      <c r="B345" s="78"/>
      <c r="C345" s="62">
        <v>0.08</v>
      </c>
      <c r="D345" s="63">
        <v>0.69</v>
      </c>
      <c r="E345" s="63">
        <v>0.69</v>
      </c>
      <c r="F345" s="64" t="s">
        <v>254</v>
      </c>
      <c r="G345" s="59">
        <v>47848.0</v>
      </c>
      <c r="K345" s="65" t="s">
        <v>938</v>
      </c>
      <c r="L345" s="7"/>
      <c r="M345" s="70" t="e">
        <v>#N/A</v>
      </c>
      <c r="N345" s="7"/>
      <c r="O345" s="7"/>
      <c r="P345" s="7"/>
    </row>
    <row r="346">
      <c r="A346" s="67" t="s">
        <v>940</v>
      </c>
      <c r="B346" s="78"/>
      <c r="C346" s="62">
        <v>0.08</v>
      </c>
      <c r="D346" s="63">
        <v>0.69</v>
      </c>
      <c r="E346" s="63">
        <v>0.69</v>
      </c>
      <c r="F346" s="64" t="s">
        <v>254</v>
      </c>
      <c r="G346" s="59">
        <v>47848.0</v>
      </c>
      <c r="K346" s="65" t="s">
        <v>939</v>
      </c>
      <c r="L346" s="7"/>
      <c r="M346" s="70" t="e">
        <v>#N/A</v>
      </c>
      <c r="N346" s="7"/>
      <c r="O346" s="7"/>
      <c r="P346" s="7"/>
    </row>
    <row r="347">
      <c r="A347" s="67" t="s">
        <v>941</v>
      </c>
      <c r="B347" s="78"/>
      <c r="C347" s="62">
        <v>0.08</v>
      </c>
      <c r="D347" s="63">
        <v>0.69</v>
      </c>
      <c r="E347" s="63">
        <v>0.69</v>
      </c>
      <c r="F347" s="64" t="s">
        <v>254</v>
      </c>
      <c r="G347" s="59">
        <v>47848.0</v>
      </c>
      <c r="K347" s="65" t="s">
        <v>940</v>
      </c>
      <c r="L347" s="7"/>
      <c r="M347" s="70" t="e">
        <v>#N/A</v>
      </c>
      <c r="N347" s="7"/>
      <c r="O347" s="7"/>
      <c r="P347" s="7"/>
    </row>
    <row r="348">
      <c r="A348" s="67" t="s">
        <v>942</v>
      </c>
      <c r="B348" s="78"/>
      <c r="C348" s="62">
        <v>0.08</v>
      </c>
      <c r="D348" s="63">
        <v>0.69</v>
      </c>
      <c r="E348" s="63">
        <v>0.69</v>
      </c>
      <c r="F348" s="64" t="s">
        <v>254</v>
      </c>
      <c r="G348" s="59">
        <v>47848.0</v>
      </c>
      <c r="K348" s="65" t="s">
        <v>941</v>
      </c>
      <c r="L348" s="7"/>
      <c r="M348" s="70" t="e">
        <v>#N/A</v>
      </c>
      <c r="N348" s="7"/>
      <c r="O348" s="7"/>
      <c r="P348" s="7"/>
    </row>
    <row r="349">
      <c r="A349" s="67" t="s">
        <v>943</v>
      </c>
      <c r="B349" s="78"/>
      <c r="C349" s="62">
        <v>0.08</v>
      </c>
      <c r="D349" s="63">
        <v>0.69</v>
      </c>
      <c r="E349" s="63">
        <v>0.69</v>
      </c>
      <c r="F349" s="64" t="s">
        <v>254</v>
      </c>
      <c r="G349" s="59">
        <v>47848.0</v>
      </c>
      <c r="K349" s="65" t="s">
        <v>942</v>
      </c>
      <c r="L349" s="7"/>
      <c r="M349" s="70" t="e">
        <v>#N/A</v>
      </c>
      <c r="N349" s="7"/>
      <c r="O349" s="7"/>
      <c r="P349" s="7"/>
    </row>
    <row r="350">
      <c r="A350" s="67" t="s">
        <v>944</v>
      </c>
      <c r="B350" s="78"/>
      <c r="C350" s="62">
        <v>0.08</v>
      </c>
      <c r="D350" s="63">
        <v>0.69</v>
      </c>
      <c r="E350" s="63">
        <v>0.69</v>
      </c>
      <c r="F350" s="64" t="s">
        <v>254</v>
      </c>
      <c r="G350" s="59">
        <v>47848.0</v>
      </c>
      <c r="K350" s="65" t="s">
        <v>943</v>
      </c>
      <c r="L350" s="7"/>
      <c r="M350" s="70" t="e">
        <v>#N/A</v>
      </c>
      <c r="N350" s="7"/>
      <c r="O350" s="7"/>
      <c r="P350" s="7"/>
    </row>
    <row r="351">
      <c r="A351" s="67" t="s">
        <v>945</v>
      </c>
      <c r="B351" s="78"/>
      <c r="C351" s="62">
        <v>0.08</v>
      </c>
      <c r="D351" s="63">
        <v>0.69</v>
      </c>
      <c r="E351" s="63">
        <v>0.69</v>
      </c>
      <c r="F351" s="64" t="s">
        <v>254</v>
      </c>
      <c r="G351" s="59">
        <v>47848.0</v>
      </c>
      <c r="K351" s="65" t="s">
        <v>944</v>
      </c>
      <c r="L351" s="7"/>
      <c r="M351" s="70" t="e">
        <v>#N/A</v>
      </c>
      <c r="N351" s="7"/>
      <c r="O351" s="7"/>
      <c r="P351" s="7"/>
    </row>
    <row r="352">
      <c r="A352" s="67" t="s">
        <v>946</v>
      </c>
      <c r="B352" s="78"/>
      <c r="C352" s="62">
        <v>0.08</v>
      </c>
      <c r="D352" s="63">
        <v>0.69</v>
      </c>
      <c r="E352" s="63">
        <v>0.69</v>
      </c>
      <c r="F352" s="64" t="s">
        <v>254</v>
      </c>
      <c r="G352" s="59">
        <v>47848.0</v>
      </c>
      <c r="K352" s="65" t="s">
        <v>945</v>
      </c>
      <c r="L352" s="7"/>
      <c r="M352" s="70" t="e">
        <v>#N/A</v>
      </c>
      <c r="N352" s="7"/>
      <c r="O352" s="7"/>
      <c r="P352" s="7"/>
    </row>
    <row r="353">
      <c r="A353" s="67" t="s">
        <v>947</v>
      </c>
      <c r="B353" s="78"/>
      <c r="C353" s="62">
        <v>0.08</v>
      </c>
      <c r="D353" s="63">
        <v>0.69</v>
      </c>
      <c r="E353" s="63">
        <v>0.69</v>
      </c>
      <c r="F353" s="64" t="s">
        <v>254</v>
      </c>
      <c r="G353" s="59">
        <v>47848.0</v>
      </c>
      <c r="K353" s="65" t="s">
        <v>946</v>
      </c>
      <c r="L353" s="7"/>
      <c r="M353" s="70" t="e">
        <v>#N/A</v>
      </c>
      <c r="N353" s="7"/>
      <c r="O353" s="7"/>
      <c r="P353" s="7"/>
    </row>
    <row r="354">
      <c r="A354" s="67" t="s">
        <v>948</v>
      </c>
      <c r="B354" s="78"/>
      <c r="C354" s="62">
        <v>0.08</v>
      </c>
      <c r="D354" s="63">
        <v>0.69</v>
      </c>
      <c r="E354" s="63">
        <v>0.69</v>
      </c>
      <c r="F354" s="64" t="s">
        <v>254</v>
      </c>
      <c r="G354" s="59">
        <v>47848.0</v>
      </c>
      <c r="K354" s="65" t="s">
        <v>947</v>
      </c>
      <c r="L354" s="7"/>
      <c r="M354" s="70" t="e">
        <v>#N/A</v>
      </c>
      <c r="N354" s="7"/>
      <c r="O354" s="7"/>
      <c r="P354" s="7"/>
    </row>
    <row r="355">
      <c r="A355" s="67" t="s">
        <v>949</v>
      </c>
      <c r="B355" s="78"/>
      <c r="C355" s="62">
        <v>0.08</v>
      </c>
      <c r="D355" s="63">
        <v>0.69</v>
      </c>
      <c r="E355" s="63">
        <v>0.69</v>
      </c>
      <c r="F355" s="64" t="s">
        <v>254</v>
      </c>
      <c r="G355" s="59">
        <v>47848.0</v>
      </c>
      <c r="K355" s="65" t="s">
        <v>948</v>
      </c>
      <c r="L355" s="7"/>
      <c r="M355" s="70" t="e">
        <v>#N/A</v>
      </c>
      <c r="N355" s="7"/>
      <c r="O355" s="7"/>
      <c r="P355" s="7"/>
    </row>
    <row r="356">
      <c r="A356" s="67" t="s">
        <v>950</v>
      </c>
      <c r="B356" s="78"/>
      <c r="C356" s="62">
        <v>0.08</v>
      </c>
      <c r="D356" s="63">
        <v>0.69</v>
      </c>
      <c r="E356" s="63">
        <v>0.69</v>
      </c>
      <c r="F356" s="64" t="s">
        <v>254</v>
      </c>
      <c r="G356" s="59">
        <v>47848.0</v>
      </c>
      <c r="K356" s="65" t="s">
        <v>949</v>
      </c>
      <c r="L356" s="7"/>
      <c r="M356" s="70" t="e">
        <v>#N/A</v>
      </c>
      <c r="N356" s="7"/>
      <c r="O356" s="7"/>
      <c r="P356" s="7"/>
    </row>
    <row r="357">
      <c r="A357" s="67" t="s">
        <v>951</v>
      </c>
      <c r="B357" s="78"/>
      <c r="C357" s="62">
        <v>0.08</v>
      </c>
      <c r="D357" s="63">
        <v>0.69</v>
      </c>
      <c r="E357" s="63">
        <v>0.69</v>
      </c>
      <c r="F357" s="64" t="s">
        <v>254</v>
      </c>
      <c r="G357" s="59">
        <v>47848.0</v>
      </c>
      <c r="K357" s="65" t="s">
        <v>950</v>
      </c>
      <c r="L357" s="7"/>
      <c r="M357" s="70" t="e">
        <v>#N/A</v>
      </c>
      <c r="N357" s="7"/>
      <c r="O357" s="7"/>
      <c r="P357" s="7"/>
    </row>
    <row r="358">
      <c r="A358" s="67" t="s">
        <v>952</v>
      </c>
      <c r="B358" s="78"/>
      <c r="C358" s="62">
        <v>0.08</v>
      </c>
      <c r="D358" s="63">
        <v>0.69</v>
      </c>
      <c r="E358" s="63">
        <v>0.69</v>
      </c>
      <c r="F358" s="64" t="s">
        <v>254</v>
      </c>
      <c r="G358" s="59">
        <v>47848.0</v>
      </c>
      <c r="K358" s="65" t="s">
        <v>951</v>
      </c>
      <c r="L358" s="7"/>
      <c r="M358" s="70" t="e">
        <v>#N/A</v>
      </c>
      <c r="N358" s="7"/>
      <c r="O358" s="7"/>
      <c r="P358" s="7"/>
    </row>
    <row r="359">
      <c r="A359" s="67" t="s">
        <v>953</v>
      </c>
      <c r="B359" s="78"/>
      <c r="C359" s="62">
        <v>0.08</v>
      </c>
      <c r="D359" s="63">
        <v>0.69</v>
      </c>
      <c r="E359" s="63">
        <v>0.69</v>
      </c>
      <c r="F359" s="64" t="s">
        <v>254</v>
      </c>
      <c r="G359" s="59">
        <v>47848.0</v>
      </c>
      <c r="K359" s="65" t="s">
        <v>952</v>
      </c>
      <c r="L359" s="7"/>
      <c r="M359" s="70" t="e">
        <v>#N/A</v>
      </c>
      <c r="N359" s="7"/>
      <c r="O359" s="7"/>
      <c r="P359" s="7"/>
    </row>
    <row r="360">
      <c r="A360" s="67" t="s">
        <v>954</v>
      </c>
      <c r="B360" s="78"/>
      <c r="C360" s="62">
        <v>0.08</v>
      </c>
      <c r="D360" s="63">
        <v>0.69</v>
      </c>
      <c r="E360" s="63">
        <v>0.69</v>
      </c>
      <c r="F360" s="64" t="s">
        <v>254</v>
      </c>
      <c r="G360" s="59">
        <v>47848.0</v>
      </c>
      <c r="K360" s="65" t="s">
        <v>953</v>
      </c>
      <c r="L360" s="7"/>
      <c r="M360" s="70" t="e">
        <v>#N/A</v>
      </c>
      <c r="N360" s="7"/>
      <c r="O360" s="7"/>
      <c r="P360" s="7"/>
    </row>
    <row r="361">
      <c r="A361" s="67" t="s">
        <v>955</v>
      </c>
      <c r="B361" s="78"/>
      <c r="C361" s="62">
        <v>0.08</v>
      </c>
      <c r="D361" s="63">
        <v>0.69</v>
      </c>
      <c r="E361" s="63">
        <v>0.69</v>
      </c>
      <c r="F361" s="64" t="s">
        <v>254</v>
      </c>
      <c r="G361" s="59">
        <v>47848.0</v>
      </c>
      <c r="K361" s="65" t="s">
        <v>954</v>
      </c>
      <c r="L361" s="7"/>
      <c r="M361" s="70" t="e">
        <v>#N/A</v>
      </c>
      <c r="N361" s="7"/>
      <c r="O361" s="7"/>
      <c r="P361" s="7"/>
    </row>
    <row r="362">
      <c r="A362" s="67" t="s">
        <v>956</v>
      </c>
      <c r="B362" s="78"/>
      <c r="C362" s="62">
        <v>0.08</v>
      </c>
      <c r="D362" s="63">
        <v>0.69</v>
      </c>
      <c r="E362" s="63">
        <v>0.69</v>
      </c>
      <c r="F362" s="64" t="s">
        <v>254</v>
      </c>
      <c r="G362" s="59">
        <v>47848.0</v>
      </c>
      <c r="K362" s="65" t="s">
        <v>955</v>
      </c>
      <c r="L362" s="7"/>
      <c r="M362" s="70" t="e">
        <v>#N/A</v>
      </c>
      <c r="N362" s="7"/>
      <c r="O362" s="7"/>
      <c r="P362" s="7"/>
    </row>
    <row r="363">
      <c r="A363" s="67" t="s">
        <v>957</v>
      </c>
      <c r="B363" s="78"/>
      <c r="C363" s="62">
        <v>0.08</v>
      </c>
      <c r="D363" s="63">
        <v>0.69</v>
      </c>
      <c r="E363" s="63">
        <v>0.69</v>
      </c>
      <c r="F363" s="64" t="s">
        <v>254</v>
      </c>
      <c r="G363" s="59">
        <v>47848.0</v>
      </c>
      <c r="K363" s="65" t="s">
        <v>956</v>
      </c>
      <c r="L363" s="7"/>
      <c r="M363" s="70" t="e">
        <v>#N/A</v>
      </c>
      <c r="N363" s="7"/>
      <c r="O363" s="7"/>
      <c r="P363" s="7"/>
    </row>
    <row r="364">
      <c r="A364" s="67" t="s">
        <v>958</v>
      </c>
      <c r="B364" s="78"/>
      <c r="C364" s="62">
        <v>0.08</v>
      </c>
      <c r="D364" s="63">
        <v>0.69</v>
      </c>
      <c r="E364" s="63">
        <v>0.69</v>
      </c>
      <c r="F364" s="64" t="s">
        <v>254</v>
      </c>
      <c r="G364" s="59">
        <v>47848.0</v>
      </c>
      <c r="K364" s="65" t="s">
        <v>957</v>
      </c>
      <c r="L364" s="7"/>
      <c r="M364" s="70" t="e">
        <v>#N/A</v>
      </c>
      <c r="N364" s="7"/>
      <c r="O364" s="7"/>
      <c r="P364" s="7"/>
    </row>
    <row r="365">
      <c r="A365" s="67" t="s">
        <v>959</v>
      </c>
      <c r="B365" s="78"/>
      <c r="C365" s="62">
        <v>0.08</v>
      </c>
      <c r="D365" s="63">
        <v>0.69</v>
      </c>
      <c r="E365" s="63">
        <v>0.69</v>
      </c>
      <c r="F365" s="64" t="s">
        <v>254</v>
      </c>
      <c r="G365" s="59">
        <v>47848.0</v>
      </c>
      <c r="K365" s="65" t="s">
        <v>958</v>
      </c>
      <c r="L365" s="7"/>
      <c r="M365" s="70" t="e">
        <v>#N/A</v>
      </c>
      <c r="N365" s="7"/>
      <c r="O365" s="7"/>
      <c r="P365" s="7"/>
    </row>
    <row r="366">
      <c r="A366" s="67" t="s">
        <v>960</v>
      </c>
      <c r="B366" s="78"/>
      <c r="C366" s="62">
        <v>0.08</v>
      </c>
      <c r="D366" s="63">
        <v>0.69</v>
      </c>
      <c r="E366" s="63">
        <v>0.69</v>
      </c>
      <c r="F366" s="64" t="s">
        <v>254</v>
      </c>
      <c r="G366" s="59">
        <v>47848.0</v>
      </c>
      <c r="K366" s="65" t="s">
        <v>959</v>
      </c>
      <c r="L366" s="7"/>
      <c r="M366" s="70" t="e">
        <v>#N/A</v>
      </c>
      <c r="N366" s="7"/>
      <c r="O366" s="7"/>
      <c r="P366" s="7"/>
    </row>
    <row r="367">
      <c r="A367" s="67" t="s">
        <v>961</v>
      </c>
      <c r="B367" s="78"/>
      <c r="C367" s="62">
        <v>0.08</v>
      </c>
      <c r="D367" s="63">
        <v>0.69</v>
      </c>
      <c r="E367" s="63">
        <v>0.69</v>
      </c>
      <c r="F367" s="64" t="s">
        <v>254</v>
      </c>
      <c r="G367" s="59">
        <v>47848.0</v>
      </c>
      <c r="K367" s="65" t="s">
        <v>960</v>
      </c>
      <c r="L367" s="7"/>
      <c r="M367" s="70" t="e">
        <v>#N/A</v>
      </c>
      <c r="N367" s="7"/>
      <c r="O367" s="7"/>
      <c r="P367" s="7"/>
    </row>
    <row r="368">
      <c r="A368" s="67" t="s">
        <v>962</v>
      </c>
      <c r="B368" s="78"/>
      <c r="C368" s="62">
        <v>0.08</v>
      </c>
      <c r="D368" s="63">
        <v>0.69</v>
      </c>
      <c r="E368" s="63">
        <v>0.69</v>
      </c>
      <c r="F368" s="64" t="s">
        <v>254</v>
      </c>
      <c r="G368" s="59">
        <v>47848.0</v>
      </c>
      <c r="K368" s="65" t="s">
        <v>961</v>
      </c>
      <c r="L368" s="7"/>
      <c r="M368" s="70" t="e">
        <v>#N/A</v>
      </c>
      <c r="N368" s="7"/>
      <c r="O368" s="7"/>
      <c r="P368" s="7"/>
    </row>
    <row r="369">
      <c r="A369" s="67" t="s">
        <v>963</v>
      </c>
      <c r="B369" s="78"/>
      <c r="C369" s="62">
        <v>0.08</v>
      </c>
      <c r="D369" s="63">
        <v>0.69</v>
      </c>
      <c r="E369" s="63">
        <v>0.69</v>
      </c>
      <c r="F369" s="64" t="s">
        <v>254</v>
      </c>
      <c r="G369" s="59">
        <v>47848.0</v>
      </c>
      <c r="K369" s="65" t="s">
        <v>962</v>
      </c>
      <c r="L369" s="7"/>
      <c r="M369" s="70" t="e">
        <v>#N/A</v>
      </c>
      <c r="N369" s="7"/>
      <c r="O369" s="7"/>
      <c r="P369" s="7"/>
    </row>
    <row r="370">
      <c r="A370" s="67" t="s">
        <v>964</v>
      </c>
      <c r="B370" s="78"/>
      <c r="C370" s="62">
        <v>0.08</v>
      </c>
      <c r="D370" s="63">
        <v>0.69</v>
      </c>
      <c r="E370" s="63">
        <v>0.69</v>
      </c>
      <c r="F370" s="64" t="s">
        <v>254</v>
      </c>
      <c r="G370" s="59">
        <v>47848.0</v>
      </c>
      <c r="K370" s="65" t="s">
        <v>963</v>
      </c>
      <c r="L370" s="7"/>
      <c r="M370" s="70" t="e">
        <v>#N/A</v>
      </c>
      <c r="N370" s="7"/>
      <c r="O370" s="7"/>
      <c r="P370" s="7"/>
    </row>
    <row r="371">
      <c r="A371" s="67" t="s">
        <v>965</v>
      </c>
      <c r="B371" s="78"/>
      <c r="C371" s="62">
        <v>0.08</v>
      </c>
      <c r="D371" s="63">
        <v>0.69</v>
      </c>
      <c r="E371" s="63">
        <v>0.69</v>
      </c>
      <c r="F371" s="64" t="s">
        <v>254</v>
      </c>
      <c r="G371" s="59">
        <v>47848.0</v>
      </c>
      <c r="K371" s="65" t="s">
        <v>964</v>
      </c>
      <c r="L371" s="7"/>
      <c r="M371" s="70" t="e">
        <v>#N/A</v>
      </c>
      <c r="N371" s="7"/>
      <c r="O371" s="7"/>
      <c r="P371" s="7"/>
    </row>
    <row r="372">
      <c r="A372" s="67" t="s">
        <v>966</v>
      </c>
      <c r="B372" s="78"/>
      <c r="C372" s="62">
        <v>0.08</v>
      </c>
      <c r="D372" s="63">
        <v>0.69</v>
      </c>
      <c r="E372" s="63">
        <v>0.69</v>
      </c>
      <c r="F372" s="64" t="s">
        <v>254</v>
      </c>
      <c r="G372" s="59">
        <v>47848.0</v>
      </c>
      <c r="K372" s="65" t="s">
        <v>965</v>
      </c>
      <c r="L372" s="7"/>
      <c r="M372" s="70" t="e">
        <v>#N/A</v>
      </c>
      <c r="N372" s="7"/>
      <c r="O372" s="7"/>
      <c r="P372" s="7"/>
    </row>
    <row r="373">
      <c r="A373" s="67" t="s">
        <v>967</v>
      </c>
      <c r="B373" s="78"/>
      <c r="C373" s="62">
        <v>0.08</v>
      </c>
      <c r="D373" s="63">
        <v>0.69</v>
      </c>
      <c r="E373" s="63">
        <v>0.69</v>
      </c>
      <c r="F373" s="64" t="s">
        <v>254</v>
      </c>
      <c r="G373" s="59">
        <v>47848.0</v>
      </c>
      <c r="K373" s="65" t="s">
        <v>966</v>
      </c>
      <c r="L373" s="7"/>
      <c r="M373" s="70" t="e">
        <v>#N/A</v>
      </c>
      <c r="N373" s="7"/>
      <c r="O373" s="7"/>
      <c r="P373" s="7"/>
    </row>
    <row r="374">
      <c r="A374" s="67" t="s">
        <v>968</v>
      </c>
      <c r="B374" s="78"/>
      <c r="C374" s="62">
        <v>0.08</v>
      </c>
      <c r="D374" s="63">
        <v>0.69</v>
      </c>
      <c r="E374" s="63">
        <v>0.69</v>
      </c>
      <c r="F374" s="64" t="s">
        <v>254</v>
      </c>
      <c r="G374" s="59">
        <v>47848.0</v>
      </c>
      <c r="K374" s="65" t="s">
        <v>967</v>
      </c>
      <c r="L374" s="7"/>
      <c r="M374" s="70" t="e">
        <v>#N/A</v>
      </c>
      <c r="N374" s="7"/>
      <c r="O374" s="7"/>
      <c r="P374" s="7"/>
    </row>
    <row r="375">
      <c r="A375" s="67" t="s">
        <v>969</v>
      </c>
      <c r="B375" s="78"/>
      <c r="C375" s="62">
        <v>0.08</v>
      </c>
      <c r="D375" s="63">
        <v>0.69</v>
      </c>
      <c r="E375" s="63">
        <v>0.69</v>
      </c>
      <c r="F375" s="64" t="s">
        <v>254</v>
      </c>
      <c r="G375" s="59">
        <v>47848.0</v>
      </c>
      <c r="K375" s="65" t="s">
        <v>968</v>
      </c>
      <c r="L375" s="7"/>
      <c r="M375" s="70" t="e">
        <v>#N/A</v>
      </c>
      <c r="N375" s="7"/>
      <c r="O375" s="7"/>
      <c r="P375" s="7"/>
    </row>
    <row r="376">
      <c r="A376" s="67" t="s">
        <v>970</v>
      </c>
      <c r="B376" s="78"/>
      <c r="C376" s="62">
        <v>0.08</v>
      </c>
      <c r="D376" s="63">
        <v>0.69</v>
      </c>
      <c r="E376" s="63">
        <v>0.69</v>
      </c>
      <c r="F376" s="64" t="s">
        <v>254</v>
      </c>
      <c r="G376" s="59">
        <v>47848.0</v>
      </c>
      <c r="K376" s="65" t="s">
        <v>969</v>
      </c>
      <c r="L376" s="7"/>
      <c r="M376" s="70" t="e">
        <v>#N/A</v>
      </c>
      <c r="N376" s="7"/>
      <c r="O376" s="7"/>
      <c r="P376" s="7"/>
    </row>
    <row r="377">
      <c r="A377" s="67" t="s">
        <v>971</v>
      </c>
      <c r="B377" s="78"/>
      <c r="C377" s="62">
        <v>0.08</v>
      </c>
      <c r="D377" s="63">
        <v>0.69</v>
      </c>
      <c r="E377" s="63">
        <v>0.69</v>
      </c>
      <c r="F377" s="64" t="s">
        <v>254</v>
      </c>
      <c r="G377" s="59">
        <v>47848.0</v>
      </c>
      <c r="K377" s="65" t="s">
        <v>970</v>
      </c>
      <c r="L377" s="7"/>
      <c r="M377" s="70" t="e">
        <v>#N/A</v>
      </c>
      <c r="N377" s="7"/>
      <c r="O377" s="7"/>
      <c r="P377" s="7"/>
    </row>
    <row r="378">
      <c r="A378" s="67" t="s">
        <v>972</v>
      </c>
      <c r="B378" s="78"/>
      <c r="C378" s="62">
        <v>0.08</v>
      </c>
      <c r="D378" s="63">
        <v>0.69</v>
      </c>
      <c r="E378" s="63">
        <v>0.69</v>
      </c>
      <c r="F378" s="64" t="s">
        <v>254</v>
      </c>
      <c r="G378" s="59">
        <v>47848.0</v>
      </c>
      <c r="K378" s="65" t="s">
        <v>971</v>
      </c>
      <c r="L378" s="7"/>
      <c r="M378" s="70" t="e">
        <v>#N/A</v>
      </c>
      <c r="N378" s="7"/>
      <c r="O378" s="7"/>
      <c r="P378" s="7"/>
    </row>
    <row r="379">
      <c r="A379" s="67" t="s">
        <v>973</v>
      </c>
      <c r="B379" s="78"/>
      <c r="C379" s="62">
        <v>0.08</v>
      </c>
      <c r="D379" s="63">
        <v>0.69</v>
      </c>
      <c r="E379" s="63">
        <v>0.69</v>
      </c>
      <c r="F379" s="64" t="s">
        <v>254</v>
      </c>
      <c r="G379" s="59">
        <v>47848.0</v>
      </c>
      <c r="K379" s="65" t="s">
        <v>972</v>
      </c>
      <c r="L379" s="7"/>
      <c r="M379" s="70" t="e">
        <v>#N/A</v>
      </c>
      <c r="N379" s="7"/>
      <c r="O379" s="7"/>
      <c r="P379" s="7"/>
    </row>
    <row r="380">
      <c r="A380" s="67" t="s">
        <v>974</v>
      </c>
      <c r="B380" s="78"/>
      <c r="C380" s="62">
        <v>0.08</v>
      </c>
      <c r="D380" s="63">
        <v>0.69</v>
      </c>
      <c r="E380" s="63">
        <v>0.69</v>
      </c>
      <c r="F380" s="64" t="s">
        <v>254</v>
      </c>
      <c r="G380" s="59">
        <v>47848.0</v>
      </c>
      <c r="K380" s="65" t="s">
        <v>973</v>
      </c>
      <c r="L380" s="7"/>
      <c r="M380" s="70" t="e">
        <v>#N/A</v>
      </c>
      <c r="N380" s="7"/>
      <c r="O380" s="7"/>
      <c r="P380" s="7"/>
    </row>
    <row r="381">
      <c r="A381" s="67" t="s">
        <v>975</v>
      </c>
      <c r="B381" s="78"/>
      <c r="C381" s="62">
        <v>0.08</v>
      </c>
      <c r="D381" s="63">
        <v>0.69</v>
      </c>
      <c r="E381" s="63">
        <v>0.69</v>
      </c>
      <c r="F381" s="64" t="s">
        <v>254</v>
      </c>
      <c r="G381" s="59">
        <v>47848.0</v>
      </c>
      <c r="K381" s="65" t="s">
        <v>974</v>
      </c>
      <c r="L381" s="7"/>
      <c r="M381" s="70" t="e">
        <v>#N/A</v>
      </c>
      <c r="N381" s="7"/>
      <c r="O381" s="7"/>
      <c r="P381" s="7"/>
    </row>
    <row r="382">
      <c r="A382" s="67" t="s">
        <v>976</v>
      </c>
      <c r="B382" s="78"/>
      <c r="C382" s="62">
        <v>0.08</v>
      </c>
      <c r="D382" s="63">
        <v>0.69</v>
      </c>
      <c r="E382" s="63">
        <v>0.69</v>
      </c>
      <c r="F382" s="64" t="s">
        <v>254</v>
      </c>
      <c r="G382" s="59">
        <v>47848.0</v>
      </c>
      <c r="K382" s="65" t="s">
        <v>975</v>
      </c>
      <c r="L382" s="7"/>
      <c r="M382" s="70" t="e">
        <v>#N/A</v>
      </c>
      <c r="N382" s="7"/>
      <c r="O382" s="7"/>
      <c r="P382" s="7"/>
    </row>
    <row r="383">
      <c r="A383" s="67" t="s">
        <v>977</v>
      </c>
      <c r="B383" s="78"/>
      <c r="C383" s="62">
        <v>0.08</v>
      </c>
      <c r="D383" s="63">
        <v>0.69</v>
      </c>
      <c r="E383" s="63">
        <v>0.69</v>
      </c>
      <c r="F383" s="64" t="s">
        <v>254</v>
      </c>
      <c r="G383" s="59">
        <v>47848.0</v>
      </c>
      <c r="K383" s="65" t="s">
        <v>976</v>
      </c>
      <c r="L383" s="7"/>
      <c r="M383" s="70" t="e">
        <v>#N/A</v>
      </c>
      <c r="N383" s="7"/>
      <c r="O383" s="7"/>
      <c r="P383" s="7"/>
    </row>
    <row r="384">
      <c r="A384" s="67" t="s">
        <v>978</v>
      </c>
      <c r="B384" s="78"/>
      <c r="C384" s="62">
        <v>0.08</v>
      </c>
      <c r="D384" s="63">
        <v>0.69</v>
      </c>
      <c r="E384" s="63">
        <v>0.69</v>
      </c>
      <c r="F384" s="64" t="s">
        <v>254</v>
      </c>
      <c r="G384" s="59">
        <v>47848.0</v>
      </c>
      <c r="K384" s="65" t="s">
        <v>977</v>
      </c>
      <c r="L384" s="7"/>
      <c r="M384" s="70" t="e">
        <v>#N/A</v>
      </c>
      <c r="N384" s="7"/>
      <c r="O384" s="7"/>
      <c r="P384" s="7"/>
    </row>
    <row r="385">
      <c r="A385" s="67" t="s">
        <v>979</v>
      </c>
      <c r="B385" s="78"/>
      <c r="C385" s="62">
        <v>0.08</v>
      </c>
      <c r="D385" s="63">
        <v>0.69</v>
      </c>
      <c r="E385" s="63">
        <v>0.69</v>
      </c>
      <c r="F385" s="64" t="s">
        <v>254</v>
      </c>
      <c r="G385" s="59">
        <v>47848.0</v>
      </c>
      <c r="K385" s="65" t="s">
        <v>978</v>
      </c>
      <c r="L385" s="7"/>
      <c r="M385" s="70" t="e">
        <v>#N/A</v>
      </c>
      <c r="N385" s="7"/>
      <c r="O385" s="7"/>
      <c r="P385" s="7"/>
    </row>
    <row r="386">
      <c r="A386" s="67" t="s">
        <v>980</v>
      </c>
      <c r="B386" s="78"/>
      <c r="C386" s="62">
        <v>0.08</v>
      </c>
      <c r="D386" s="63">
        <v>0.69</v>
      </c>
      <c r="E386" s="63">
        <v>0.69</v>
      </c>
      <c r="F386" s="64" t="s">
        <v>254</v>
      </c>
      <c r="G386" s="59">
        <v>47848.0</v>
      </c>
      <c r="K386" s="65" t="s">
        <v>979</v>
      </c>
      <c r="L386" s="7"/>
      <c r="M386" s="70" t="e">
        <v>#N/A</v>
      </c>
      <c r="N386" s="7"/>
      <c r="O386" s="7"/>
      <c r="P386" s="7"/>
    </row>
    <row r="387">
      <c r="A387" s="67" t="s">
        <v>981</v>
      </c>
      <c r="B387" s="78"/>
      <c r="C387" s="62">
        <v>0.08</v>
      </c>
      <c r="D387" s="63">
        <v>0.69</v>
      </c>
      <c r="E387" s="63">
        <v>0.69</v>
      </c>
      <c r="F387" s="64" t="s">
        <v>254</v>
      </c>
      <c r="G387" s="59">
        <v>47848.0</v>
      </c>
      <c r="K387" s="65" t="s">
        <v>980</v>
      </c>
      <c r="L387" s="7"/>
      <c r="M387" s="70" t="e">
        <v>#N/A</v>
      </c>
      <c r="N387" s="7"/>
      <c r="O387" s="7"/>
      <c r="P387" s="7"/>
    </row>
    <row r="388">
      <c r="A388" s="67" t="s">
        <v>982</v>
      </c>
      <c r="B388" s="78"/>
      <c r="C388" s="62">
        <v>0.08</v>
      </c>
      <c r="D388" s="63">
        <v>0.69</v>
      </c>
      <c r="E388" s="63">
        <v>0.69</v>
      </c>
      <c r="F388" s="64" t="s">
        <v>254</v>
      </c>
      <c r="G388" s="59">
        <v>47848.0</v>
      </c>
      <c r="K388" s="65" t="s">
        <v>981</v>
      </c>
      <c r="L388" s="7"/>
      <c r="M388" s="70" t="e">
        <v>#N/A</v>
      </c>
      <c r="N388" s="7"/>
      <c r="O388" s="7"/>
      <c r="P388" s="7"/>
    </row>
    <row r="389">
      <c r="A389" s="67" t="s">
        <v>983</v>
      </c>
      <c r="B389" s="78"/>
      <c r="C389" s="62">
        <v>0.08</v>
      </c>
      <c r="D389" s="63">
        <v>0.69</v>
      </c>
      <c r="E389" s="63">
        <v>0.69</v>
      </c>
      <c r="F389" s="64" t="s">
        <v>254</v>
      </c>
      <c r="G389" s="59">
        <v>47848.0</v>
      </c>
      <c r="K389" s="65" t="s">
        <v>982</v>
      </c>
      <c r="L389" s="7"/>
      <c r="M389" s="70" t="e">
        <v>#N/A</v>
      </c>
      <c r="N389" s="7"/>
      <c r="O389" s="7"/>
      <c r="P389" s="7"/>
    </row>
    <row r="390">
      <c r="A390" s="67" t="s">
        <v>984</v>
      </c>
      <c r="B390" s="78"/>
      <c r="C390" s="62">
        <v>0.08</v>
      </c>
      <c r="D390" s="63">
        <v>0.69</v>
      </c>
      <c r="E390" s="63">
        <v>0.69</v>
      </c>
      <c r="F390" s="64" t="s">
        <v>254</v>
      </c>
      <c r="G390" s="59">
        <v>47848.0</v>
      </c>
      <c r="K390" s="65" t="s">
        <v>983</v>
      </c>
      <c r="L390" s="7"/>
      <c r="M390" s="70" t="e">
        <v>#N/A</v>
      </c>
      <c r="N390" s="7"/>
      <c r="O390" s="7"/>
      <c r="P390" s="7"/>
    </row>
    <row r="391">
      <c r="A391" s="67" t="s">
        <v>985</v>
      </c>
      <c r="B391" s="78"/>
      <c r="C391" s="62">
        <v>0.08</v>
      </c>
      <c r="D391" s="63">
        <v>0.69</v>
      </c>
      <c r="E391" s="63">
        <v>0.69</v>
      </c>
      <c r="F391" s="64" t="s">
        <v>254</v>
      </c>
      <c r="G391" s="59">
        <v>47848.0</v>
      </c>
      <c r="K391" s="65" t="s">
        <v>984</v>
      </c>
      <c r="L391" s="7"/>
      <c r="M391" s="70" t="e">
        <v>#N/A</v>
      </c>
      <c r="N391" s="7"/>
      <c r="O391" s="7"/>
      <c r="P391" s="7"/>
    </row>
    <row r="392">
      <c r="A392" s="67" t="s">
        <v>986</v>
      </c>
      <c r="B392" s="78"/>
      <c r="C392" s="62">
        <v>0.08</v>
      </c>
      <c r="D392" s="63">
        <v>0.69</v>
      </c>
      <c r="E392" s="63">
        <v>0.69</v>
      </c>
      <c r="F392" s="64" t="s">
        <v>254</v>
      </c>
      <c r="G392" s="59">
        <v>47848.0</v>
      </c>
      <c r="K392" s="65" t="s">
        <v>985</v>
      </c>
      <c r="L392" s="7"/>
      <c r="M392" s="70" t="e">
        <v>#N/A</v>
      </c>
      <c r="N392" s="7"/>
      <c r="O392" s="7"/>
      <c r="P392" s="7"/>
    </row>
    <row r="393">
      <c r="A393" s="67" t="s">
        <v>987</v>
      </c>
      <c r="B393" s="78"/>
      <c r="C393" s="62">
        <v>0.08</v>
      </c>
      <c r="D393" s="63">
        <v>0.69</v>
      </c>
      <c r="E393" s="63">
        <v>0.69</v>
      </c>
      <c r="F393" s="64" t="s">
        <v>254</v>
      </c>
      <c r="G393" s="59">
        <v>47848.0</v>
      </c>
      <c r="K393" s="65" t="s">
        <v>986</v>
      </c>
      <c r="L393" s="7"/>
      <c r="M393" s="70" t="e">
        <v>#N/A</v>
      </c>
      <c r="N393" s="7"/>
      <c r="O393" s="7"/>
      <c r="P393" s="7"/>
    </row>
    <row r="394">
      <c r="A394" s="67" t="s">
        <v>988</v>
      </c>
      <c r="B394" s="78"/>
      <c r="C394" s="62">
        <v>0.08</v>
      </c>
      <c r="D394" s="63">
        <v>0.69</v>
      </c>
      <c r="E394" s="63">
        <v>0.69</v>
      </c>
      <c r="F394" s="64" t="s">
        <v>254</v>
      </c>
      <c r="G394" s="59">
        <v>47848.0</v>
      </c>
      <c r="K394" s="65" t="s">
        <v>987</v>
      </c>
      <c r="L394" s="7"/>
      <c r="M394" s="70" t="e">
        <v>#N/A</v>
      </c>
      <c r="N394" s="7"/>
      <c r="O394" s="7"/>
      <c r="P394" s="7"/>
    </row>
    <row r="395">
      <c r="A395" s="67" t="s">
        <v>989</v>
      </c>
      <c r="B395" s="78"/>
      <c r="C395" s="62">
        <v>0.08</v>
      </c>
      <c r="D395" s="63">
        <v>0.69</v>
      </c>
      <c r="E395" s="63">
        <v>0.69</v>
      </c>
      <c r="F395" s="64" t="s">
        <v>254</v>
      </c>
      <c r="G395" s="59">
        <v>47848.0</v>
      </c>
      <c r="K395" s="65" t="s">
        <v>988</v>
      </c>
      <c r="L395" s="7"/>
      <c r="M395" s="70" t="e">
        <v>#N/A</v>
      </c>
      <c r="N395" s="7"/>
      <c r="O395" s="7"/>
      <c r="P395" s="7"/>
    </row>
    <row r="396">
      <c r="A396" s="67" t="s">
        <v>990</v>
      </c>
      <c r="B396" s="78"/>
      <c r="C396" s="62">
        <v>0.08</v>
      </c>
      <c r="D396" s="63">
        <v>0.69</v>
      </c>
      <c r="E396" s="63">
        <v>0.69</v>
      </c>
      <c r="F396" s="64" t="s">
        <v>254</v>
      </c>
      <c r="G396" s="59">
        <v>47848.0</v>
      </c>
      <c r="K396" s="65" t="s">
        <v>989</v>
      </c>
      <c r="L396" s="7"/>
      <c r="M396" s="70" t="e">
        <v>#N/A</v>
      </c>
      <c r="N396" s="7"/>
      <c r="O396" s="7"/>
      <c r="P396" s="7"/>
    </row>
    <row r="397">
      <c r="A397" s="67" t="s">
        <v>991</v>
      </c>
      <c r="B397" s="78"/>
      <c r="C397" s="62">
        <v>0.08</v>
      </c>
      <c r="D397" s="63">
        <v>0.69</v>
      </c>
      <c r="E397" s="63">
        <v>0.69</v>
      </c>
      <c r="F397" s="64" t="s">
        <v>254</v>
      </c>
      <c r="G397" s="59">
        <v>47848.0</v>
      </c>
      <c r="K397" s="65" t="s">
        <v>990</v>
      </c>
      <c r="L397" s="7"/>
      <c r="M397" s="70" t="e">
        <v>#N/A</v>
      </c>
      <c r="N397" s="7"/>
      <c r="O397" s="7"/>
      <c r="P397" s="7"/>
    </row>
    <row r="398">
      <c r="A398" s="67" t="s">
        <v>992</v>
      </c>
      <c r="B398" s="78"/>
      <c r="C398" s="62">
        <v>0.08</v>
      </c>
      <c r="D398" s="63">
        <v>0.69</v>
      </c>
      <c r="E398" s="63">
        <v>0.69</v>
      </c>
      <c r="F398" s="64" t="s">
        <v>254</v>
      </c>
      <c r="G398" s="59">
        <v>47848.0</v>
      </c>
      <c r="K398" s="65" t="s">
        <v>991</v>
      </c>
      <c r="L398" s="7"/>
      <c r="M398" s="70" t="e">
        <v>#N/A</v>
      </c>
      <c r="N398" s="7"/>
      <c r="O398" s="7"/>
      <c r="P398" s="7"/>
    </row>
    <row r="399">
      <c r="A399" s="67" t="s">
        <v>993</v>
      </c>
      <c r="B399" s="78"/>
      <c r="C399" s="62">
        <v>0.08</v>
      </c>
      <c r="D399" s="63">
        <v>0.69</v>
      </c>
      <c r="E399" s="63">
        <v>0.69</v>
      </c>
      <c r="F399" s="64" t="s">
        <v>254</v>
      </c>
      <c r="G399" s="59">
        <v>47848.0</v>
      </c>
      <c r="K399" s="65" t="s">
        <v>992</v>
      </c>
      <c r="L399" s="7"/>
      <c r="M399" s="70" t="e">
        <v>#N/A</v>
      </c>
      <c r="N399" s="7"/>
      <c r="O399" s="7"/>
      <c r="P399" s="7"/>
    </row>
    <row r="400">
      <c r="A400" s="67" t="s">
        <v>994</v>
      </c>
      <c r="B400" s="78"/>
      <c r="C400" s="62">
        <v>0.08</v>
      </c>
      <c r="D400" s="63">
        <v>0.69</v>
      </c>
      <c r="E400" s="63">
        <v>0.69</v>
      </c>
      <c r="F400" s="64" t="s">
        <v>254</v>
      </c>
      <c r="G400" s="59">
        <v>47848.0</v>
      </c>
      <c r="K400" s="65" t="s">
        <v>993</v>
      </c>
      <c r="L400" s="7"/>
      <c r="M400" s="70" t="e">
        <v>#N/A</v>
      </c>
      <c r="N400" s="7"/>
      <c r="O400" s="7"/>
      <c r="P400" s="7"/>
    </row>
    <row r="401">
      <c r="A401" s="67" t="s">
        <v>995</v>
      </c>
      <c r="B401" s="78"/>
      <c r="C401" s="62">
        <v>0.08</v>
      </c>
      <c r="D401" s="63">
        <v>0.69</v>
      </c>
      <c r="E401" s="63">
        <v>0.69</v>
      </c>
      <c r="F401" s="64" t="s">
        <v>254</v>
      </c>
      <c r="G401" s="59">
        <v>47848.0</v>
      </c>
      <c r="K401" s="65" t="s">
        <v>994</v>
      </c>
      <c r="L401" s="7"/>
      <c r="M401" s="70" t="e">
        <v>#N/A</v>
      </c>
      <c r="N401" s="7"/>
      <c r="O401" s="7"/>
      <c r="P401" s="7"/>
    </row>
    <row r="402">
      <c r="A402" s="67" t="s">
        <v>996</v>
      </c>
      <c r="B402" s="78"/>
      <c r="C402" s="62">
        <v>0.08</v>
      </c>
      <c r="D402" s="63">
        <v>0.69</v>
      </c>
      <c r="E402" s="63">
        <v>0.69</v>
      </c>
      <c r="F402" s="64" t="s">
        <v>254</v>
      </c>
      <c r="G402" s="59">
        <v>47848.0</v>
      </c>
      <c r="K402" s="65" t="s">
        <v>995</v>
      </c>
      <c r="L402" s="7"/>
      <c r="M402" s="70" t="e">
        <v>#N/A</v>
      </c>
      <c r="N402" s="7"/>
      <c r="O402" s="7"/>
      <c r="P402" s="7"/>
    </row>
    <row r="403">
      <c r="A403" s="67" t="s">
        <v>997</v>
      </c>
      <c r="B403" s="78"/>
      <c r="C403" s="62">
        <v>0.08</v>
      </c>
      <c r="D403" s="63">
        <v>0.69</v>
      </c>
      <c r="E403" s="63">
        <v>0.69</v>
      </c>
      <c r="F403" s="64" t="s">
        <v>254</v>
      </c>
      <c r="G403" s="59">
        <v>47848.0</v>
      </c>
      <c r="K403" s="65" t="s">
        <v>996</v>
      </c>
      <c r="L403" s="7"/>
      <c r="M403" s="70" t="e">
        <v>#N/A</v>
      </c>
      <c r="N403" s="7"/>
      <c r="O403" s="7"/>
      <c r="P403" s="7"/>
    </row>
    <row r="404">
      <c r="A404" s="67" t="s">
        <v>998</v>
      </c>
      <c r="B404" s="78"/>
      <c r="C404" s="62">
        <v>0.08</v>
      </c>
      <c r="D404" s="63">
        <v>0.69</v>
      </c>
      <c r="E404" s="63">
        <v>0.69</v>
      </c>
      <c r="F404" s="64" t="s">
        <v>254</v>
      </c>
      <c r="G404" s="59">
        <v>47848.0</v>
      </c>
      <c r="K404" s="65" t="s">
        <v>997</v>
      </c>
      <c r="L404" s="7"/>
      <c r="M404" s="70" t="e">
        <v>#N/A</v>
      </c>
      <c r="N404" s="7"/>
      <c r="O404" s="7"/>
      <c r="P404" s="7"/>
    </row>
    <row r="405">
      <c r="A405" s="67" t="s">
        <v>999</v>
      </c>
      <c r="B405" s="78"/>
      <c r="C405" s="62">
        <v>0.08</v>
      </c>
      <c r="D405" s="63">
        <v>0.69</v>
      </c>
      <c r="E405" s="63">
        <v>0.69</v>
      </c>
      <c r="F405" s="64" t="s">
        <v>254</v>
      </c>
      <c r="G405" s="59">
        <v>47848.0</v>
      </c>
      <c r="K405" s="65" t="s">
        <v>998</v>
      </c>
      <c r="L405" s="7"/>
      <c r="M405" s="70" t="e">
        <v>#N/A</v>
      </c>
      <c r="N405" s="7"/>
      <c r="O405" s="7"/>
      <c r="P405" s="7"/>
    </row>
    <row r="406">
      <c r="A406" s="67" t="s">
        <v>1000</v>
      </c>
      <c r="B406" s="78"/>
      <c r="C406" s="62">
        <v>0.08</v>
      </c>
      <c r="D406" s="63">
        <v>0.69</v>
      </c>
      <c r="E406" s="63">
        <v>0.69</v>
      </c>
      <c r="F406" s="64" t="s">
        <v>254</v>
      </c>
      <c r="G406" s="59">
        <v>47848.0</v>
      </c>
      <c r="K406" s="65" t="s">
        <v>999</v>
      </c>
      <c r="L406" s="7"/>
      <c r="M406" s="70" t="e">
        <v>#N/A</v>
      </c>
      <c r="N406" s="7"/>
      <c r="O406" s="7"/>
      <c r="P406" s="7"/>
    </row>
    <row r="407">
      <c r="A407" s="67" t="s">
        <v>1001</v>
      </c>
      <c r="B407" s="78"/>
      <c r="C407" s="62">
        <v>0.08</v>
      </c>
      <c r="D407" s="63">
        <v>0.69</v>
      </c>
      <c r="E407" s="63">
        <v>0.69</v>
      </c>
      <c r="F407" s="64" t="s">
        <v>254</v>
      </c>
      <c r="G407" s="59">
        <v>47848.0</v>
      </c>
      <c r="K407" s="65" t="s">
        <v>1000</v>
      </c>
      <c r="L407" s="7"/>
      <c r="M407" s="70" t="e">
        <v>#N/A</v>
      </c>
      <c r="N407" s="7"/>
      <c r="O407" s="7"/>
      <c r="P407" s="7"/>
    </row>
    <row r="408">
      <c r="A408" s="67" t="s">
        <v>1002</v>
      </c>
      <c r="B408" s="78"/>
      <c r="C408" s="62">
        <v>0.08</v>
      </c>
      <c r="D408" s="63">
        <v>0.69</v>
      </c>
      <c r="E408" s="63">
        <v>0.69</v>
      </c>
      <c r="F408" s="64" t="s">
        <v>254</v>
      </c>
      <c r="G408" s="59">
        <v>47848.0</v>
      </c>
      <c r="K408" s="65" t="s">
        <v>1001</v>
      </c>
      <c r="L408" s="7"/>
      <c r="M408" s="70" t="e">
        <v>#N/A</v>
      </c>
      <c r="N408" s="7"/>
      <c r="O408" s="7"/>
      <c r="P408" s="7"/>
    </row>
    <row r="409">
      <c r="A409" s="67" t="s">
        <v>1003</v>
      </c>
      <c r="B409" s="78"/>
      <c r="C409" s="62">
        <v>0.08</v>
      </c>
      <c r="D409" s="63">
        <v>0.69</v>
      </c>
      <c r="E409" s="63">
        <v>0.69</v>
      </c>
      <c r="F409" s="64" t="s">
        <v>254</v>
      </c>
      <c r="G409" s="59">
        <v>47848.0</v>
      </c>
      <c r="K409" s="65" t="s">
        <v>1002</v>
      </c>
      <c r="L409" s="7"/>
      <c r="M409" s="70" t="e">
        <v>#N/A</v>
      </c>
      <c r="N409" s="7"/>
      <c r="O409" s="7"/>
      <c r="P409" s="7"/>
    </row>
    <row r="410">
      <c r="A410" s="67" t="s">
        <v>1004</v>
      </c>
      <c r="B410" s="78"/>
      <c r="C410" s="62">
        <v>0.08</v>
      </c>
      <c r="D410" s="63">
        <v>0.69</v>
      </c>
      <c r="E410" s="63">
        <v>0.69</v>
      </c>
      <c r="F410" s="64" t="s">
        <v>254</v>
      </c>
      <c r="G410" s="59">
        <v>47848.0</v>
      </c>
      <c r="K410" s="65" t="s">
        <v>1003</v>
      </c>
      <c r="L410" s="7"/>
      <c r="M410" s="70" t="e">
        <v>#N/A</v>
      </c>
      <c r="N410" s="7"/>
      <c r="O410" s="7"/>
      <c r="P410" s="7"/>
    </row>
    <row r="411">
      <c r="A411" s="67" t="s">
        <v>1005</v>
      </c>
      <c r="B411" s="78"/>
      <c r="C411" s="62">
        <v>0.08</v>
      </c>
      <c r="D411" s="63">
        <v>0.69</v>
      </c>
      <c r="E411" s="63">
        <v>0.69</v>
      </c>
      <c r="F411" s="64" t="s">
        <v>254</v>
      </c>
      <c r="G411" s="59">
        <v>47848.0</v>
      </c>
      <c r="K411" s="65" t="s">
        <v>1004</v>
      </c>
      <c r="L411" s="7"/>
      <c r="M411" s="70" t="e">
        <v>#N/A</v>
      </c>
      <c r="N411" s="7"/>
      <c r="O411" s="7"/>
      <c r="P411" s="7"/>
    </row>
    <row r="412">
      <c r="A412" s="67" t="s">
        <v>1006</v>
      </c>
      <c r="B412" s="78"/>
      <c r="C412" s="62">
        <v>0.08</v>
      </c>
      <c r="D412" s="63">
        <v>0.69</v>
      </c>
      <c r="E412" s="63">
        <v>0.69</v>
      </c>
      <c r="F412" s="64" t="s">
        <v>254</v>
      </c>
      <c r="G412" s="59">
        <v>47848.0</v>
      </c>
      <c r="K412" s="65" t="s">
        <v>1005</v>
      </c>
      <c r="L412" s="7"/>
      <c r="M412" s="70" t="e">
        <v>#N/A</v>
      </c>
      <c r="N412" s="7"/>
      <c r="O412" s="7"/>
      <c r="P412" s="7"/>
    </row>
    <row r="413">
      <c r="A413" s="67" t="s">
        <v>1007</v>
      </c>
      <c r="B413" s="78"/>
      <c r="C413" s="62">
        <v>0.08</v>
      </c>
      <c r="D413" s="63">
        <v>0.69</v>
      </c>
      <c r="E413" s="63">
        <v>0.69</v>
      </c>
      <c r="F413" s="64" t="s">
        <v>254</v>
      </c>
      <c r="G413" s="59">
        <v>47848.0</v>
      </c>
      <c r="K413" s="65" t="s">
        <v>1006</v>
      </c>
      <c r="L413" s="7"/>
      <c r="M413" s="70" t="e">
        <v>#N/A</v>
      </c>
      <c r="N413" s="7"/>
      <c r="O413" s="7"/>
      <c r="P413" s="7"/>
    </row>
    <row r="414">
      <c r="A414" s="67" t="s">
        <v>1008</v>
      </c>
      <c r="B414" s="78"/>
      <c r="C414" s="62">
        <v>0.08</v>
      </c>
      <c r="D414" s="63">
        <v>0.69</v>
      </c>
      <c r="E414" s="63">
        <v>0.69</v>
      </c>
      <c r="F414" s="64" t="s">
        <v>254</v>
      </c>
      <c r="G414" s="59">
        <v>47848.0</v>
      </c>
      <c r="K414" s="65" t="s">
        <v>1007</v>
      </c>
      <c r="L414" s="7"/>
      <c r="M414" s="70" t="e">
        <v>#N/A</v>
      </c>
      <c r="N414" s="7"/>
      <c r="O414" s="7"/>
      <c r="P414" s="7"/>
    </row>
    <row r="415">
      <c r="A415" s="67" t="s">
        <v>1009</v>
      </c>
      <c r="B415" s="78"/>
      <c r="C415" s="62">
        <v>0.08</v>
      </c>
      <c r="D415" s="63">
        <v>0.69</v>
      </c>
      <c r="E415" s="63">
        <v>0.69</v>
      </c>
      <c r="F415" s="64" t="s">
        <v>254</v>
      </c>
      <c r="G415" s="59">
        <v>47848.0</v>
      </c>
      <c r="K415" s="65" t="s">
        <v>1008</v>
      </c>
      <c r="L415" s="7"/>
      <c r="M415" s="70" t="e">
        <v>#N/A</v>
      </c>
      <c r="N415" s="7"/>
      <c r="O415" s="7"/>
      <c r="P415" s="7"/>
    </row>
    <row r="416">
      <c r="A416" s="67" t="s">
        <v>1010</v>
      </c>
      <c r="B416" s="78"/>
      <c r="C416" s="62">
        <v>0.08</v>
      </c>
      <c r="D416" s="63">
        <v>0.69</v>
      </c>
      <c r="E416" s="63">
        <v>0.69</v>
      </c>
      <c r="F416" s="64" t="s">
        <v>254</v>
      </c>
      <c r="G416" s="59">
        <v>47848.0</v>
      </c>
      <c r="K416" s="65" t="s">
        <v>1009</v>
      </c>
      <c r="L416" s="7"/>
      <c r="M416" s="70" t="e">
        <v>#N/A</v>
      </c>
      <c r="N416" s="7"/>
      <c r="O416" s="7"/>
      <c r="P416" s="7"/>
    </row>
    <row r="417">
      <c r="A417" s="67" t="s">
        <v>1011</v>
      </c>
      <c r="B417" s="78"/>
      <c r="C417" s="62">
        <v>0.08</v>
      </c>
      <c r="D417" s="63">
        <v>0.69</v>
      </c>
      <c r="E417" s="63">
        <v>0.69</v>
      </c>
      <c r="F417" s="64" t="s">
        <v>254</v>
      </c>
      <c r="G417" s="59">
        <v>47848.0</v>
      </c>
      <c r="K417" s="65" t="s">
        <v>1010</v>
      </c>
      <c r="L417" s="7"/>
      <c r="M417" s="70" t="e">
        <v>#N/A</v>
      </c>
      <c r="N417" s="7"/>
      <c r="O417" s="7"/>
      <c r="P417" s="7"/>
    </row>
    <row r="418">
      <c r="A418" s="67" t="s">
        <v>1012</v>
      </c>
      <c r="B418" s="78"/>
      <c r="C418" s="62">
        <v>0.08</v>
      </c>
      <c r="D418" s="63">
        <v>0.69</v>
      </c>
      <c r="E418" s="63">
        <v>0.69</v>
      </c>
      <c r="F418" s="64" t="s">
        <v>254</v>
      </c>
      <c r="G418" s="59">
        <v>47848.0</v>
      </c>
      <c r="K418" s="65" t="s">
        <v>1011</v>
      </c>
      <c r="L418" s="7"/>
      <c r="M418" s="70" t="e">
        <v>#N/A</v>
      </c>
      <c r="N418" s="7"/>
      <c r="O418" s="7"/>
      <c r="P418" s="7"/>
    </row>
    <row r="419">
      <c r="A419" s="67" t="s">
        <v>1013</v>
      </c>
      <c r="B419" s="78"/>
      <c r="C419" s="62">
        <v>0.08</v>
      </c>
      <c r="D419" s="63">
        <v>0.69</v>
      </c>
      <c r="E419" s="63">
        <v>0.69</v>
      </c>
      <c r="F419" s="64" t="s">
        <v>254</v>
      </c>
      <c r="G419" s="59">
        <v>47848.0</v>
      </c>
      <c r="K419" s="65" t="s">
        <v>1012</v>
      </c>
      <c r="L419" s="7"/>
      <c r="M419" s="70" t="e">
        <v>#N/A</v>
      </c>
      <c r="N419" s="7"/>
      <c r="O419" s="7"/>
      <c r="P419" s="7"/>
    </row>
    <row r="420">
      <c r="A420" s="67" t="s">
        <v>1014</v>
      </c>
      <c r="B420" s="78"/>
      <c r="C420" s="62">
        <v>0.08</v>
      </c>
      <c r="D420" s="63">
        <v>0.69</v>
      </c>
      <c r="E420" s="63">
        <v>0.69</v>
      </c>
      <c r="F420" s="64" t="s">
        <v>254</v>
      </c>
      <c r="G420" s="59">
        <v>47848.0</v>
      </c>
      <c r="K420" s="65" t="s">
        <v>1013</v>
      </c>
      <c r="L420" s="7"/>
      <c r="M420" s="70" t="e">
        <v>#N/A</v>
      </c>
      <c r="N420" s="7"/>
      <c r="O420" s="7"/>
      <c r="P420" s="7"/>
    </row>
    <row r="421">
      <c r="A421" s="67" t="s">
        <v>1015</v>
      </c>
      <c r="B421" s="78"/>
      <c r="C421" s="62">
        <v>0.08</v>
      </c>
      <c r="D421" s="63">
        <v>0.69</v>
      </c>
      <c r="E421" s="63">
        <v>0.69</v>
      </c>
      <c r="F421" s="64" t="s">
        <v>254</v>
      </c>
      <c r="G421" s="59">
        <v>47848.0</v>
      </c>
      <c r="K421" s="65" t="s">
        <v>1014</v>
      </c>
      <c r="L421" s="7"/>
      <c r="M421" s="70" t="e">
        <v>#N/A</v>
      </c>
      <c r="N421" s="7"/>
      <c r="O421" s="7"/>
      <c r="P421" s="7"/>
    </row>
    <row r="422">
      <c r="A422" s="67" t="s">
        <v>1016</v>
      </c>
      <c r="B422" s="78"/>
      <c r="C422" s="62">
        <v>0.08</v>
      </c>
      <c r="D422" s="63">
        <v>0.69</v>
      </c>
      <c r="E422" s="63">
        <v>0.69</v>
      </c>
      <c r="F422" s="64" t="s">
        <v>254</v>
      </c>
      <c r="G422" s="59">
        <v>47848.0</v>
      </c>
      <c r="K422" s="65" t="s">
        <v>1015</v>
      </c>
      <c r="L422" s="7"/>
      <c r="M422" s="70" t="e">
        <v>#N/A</v>
      </c>
      <c r="N422" s="7"/>
      <c r="O422" s="7"/>
      <c r="P422" s="7"/>
    </row>
    <row r="423">
      <c r="A423" s="67" t="s">
        <v>1017</v>
      </c>
      <c r="B423" s="78"/>
      <c r="C423" s="62">
        <v>0.08</v>
      </c>
      <c r="D423" s="63">
        <v>0.69</v>
      </c>
      <c r="E423" s="63">
        <v>0.69</v>
      </c>
      <c r="F423" s="64" t="s">
        <v>254</v>
      </c>
      <c r="G423" s="59">
        <v>47848.0</v>
      </c>
      <c r="K423" s="65" t="s">
        <v>1016</v>
      </c>
      <c r="L423" s="7"/>
      <c r="M423" s="70" t="e">
        <v>#N/A</v>
      </c>
      <c r="N423" s="7"/>
      <c r="O423" s="7"/>
      <c r="P423" s="7"/>
    </row>
    <row r="424">
      <c r="A424" s="67" t="s">
        <v>1018</v>
      </c>
      <c r="B424" s="78"/>
      <c r="C424" s="62">
        <v>0.08</v>
      </c>
      <c r="D424" s="63">
        <v>0.69</v>
      </c>
      <c r="E424" s="63">
        <v>0.69</v>
      </c>
      <c r="F424" s="64" t="s">
        <v>254</v>
      </c>
      <c r="G424" s="59">
        <v>47848.0</v>
      </c>
      <c r="K424" s="65" t="s">
        <v>1017</v>
      </c>
      <c r="L424" s="7"/>
      <c r="M424" s="70" t="e">
        <v>#N/A</v>
      </c>
      <c r="N424" s="7"/>
      <c r="O424" s="7"/>
      <c r="P424" s="7"/>
    </row>
    <row r="425">
      <c r="A425" s="67" t="s">
        <v>1019</v>
      </c>
      <c r="B425" s="78"/>
      <c r="C425" s="62">
        <v>0.08</v>
      </c>
      <c r="D425" s="63">
        <v>0.69</v>
      </c>
      <c r="E425" s="63">
        <v>0.69</v>
      </c>
      <c r="F425" s="64" t="s">
        <v>254</v>
      </c>
      <c r="G425" s="59">
        <v>47848.0</v>
      </c>
      <c r="K425" s="65" t="s">
        <v>1018</v>
      </c>
      <c r="L425" s="7"/>
      <c r="M425" s="70" t="e">
        <v>#N/A</v>
      </c>
      <c r="N425" s="7"/>
      <c r="O425" s="7"/>
      <c r="P425" s="7"/>
    </row>
    <row r="426">
      <c r="A426" s="67" t="s">
        <v>1020</v>
      </c>
      <c r="B426" s="78"/>
      <c r="C426" s="62">
        <v>0.08</v>
      </c>
      <c r="D426" s="63">
        <v>0.69</v>
      </c>
      <c r="E426" s="63">
        <v>0.69</v>
      </c>
      <c r="F426" s="64" t="s">
        <v>254</v>
      </c>
      <c r="G426" s="59">
        <v>47848.0</v>
      </c>
      <c r="K426" s="65" t="s">
        <v>1019</v>
      </c>
      <c r="L426" s="7"/>
      <c r="M426" s="70" t="e">
        <v>#N/A</v>
      </c>
      <c r="N426" s="7"/>
      <c r="O426" s="7"/>
      <c r="P426" s="7"/>
    </row>
    <row r="427">
      <c r="A427" s="67" t="s">
        <v>1021</v>
      </c>
      <c r="B427" s="78"/>
      <c r="C427" s="62">
        <v>0.08</v>
      </c>
      <c r="D427" s="63">
        <v>0.69</v>
      </c>
      <c r="E427" s="63">
        <v>0.69</v>
      </c>
      <c r="F427" s="64" t="s">
        <v>254</v>
      </c>
      <c r="G427" s="59">
        <v>47848.0</v>
      </c>
      <c r="K427" s="65" t="s">
        <v>1020</v>
      </c>
      <c r="L427" s="7"/>
      <c r="M427" s="70" t="e">
        <v>#N/A</v>
      </c>
      <c r="N427" s="7"/>
      <c r="O427" s="7"/>
      <c r="P427" s="7"/>
    </row>
    <row r="428">
      <c r="A428" s="67" t="s">
        <v>1022</v>
      </c>
      <c r="B428" s="78"/>
      <c r="C428" s="62">
        <v>0.08</v>
      </c>
      <c r="D428" s="63">
        <v>0.69</v>
      </c>
      <c r="E428" s="63">
        <v>0.69</v>
      </c>
      <c r="F428" s="64" t="s">
        <v>254</v>
      </c>
      <c r="G428" s="59">
        <v>47848.0</v>
      </c>
      <c r="K428" s="65" t="s">
        <v>1021</v>
      </c>
      <c r="L428" s="7"/>
      <c r="M428" s="70" t="e">
        <v>#N/A</v>
      </c>
      <c r="N428" s="7"/>
      <c r="O428" s="7"/>
      <c r="P428" s="7"/>
    </row>
    <row r="429">
      <c r="A429" s="67" t="s">
        <v>1023</v>
      </c>
      <c r="B429" s="78"/>
      <c r="C429" s="62">
        <v>0.08</v>
      </c>
      <c r="D429" s="63">
        <v>0.69</v>
      </c>
      <c r="E429" s="63">
        <v>0.69</v>
      </c>
      <c r="F429" s="64" t="s">
        <v>254</v>
      </c>
      <c r="G429" s="59">
        <v>47848.0</v>
      </c>
      <c r="K429" s="65" t="s">
        <v>1022</v>
      </c>
      <c r="L429" s="7"/>
      <c r="M429" s="70" t="e">
        <v>#N/A</v>
      </c>
      <c r="N429" s="7"/>
      <c r="O429" s="7"/>
      <c r="P429" s="7"/>
    </row>
    <row r="430">
      <c r="A430" s="67" t="s">
        <v>1024</v>
      </c>
      <c r="B430" s="78"/>
      <c r="C430" s="62">
        <v>0.08</v>
      </c>
      <c r="D430" s="63">
        <v>0.69</v>
      </c>
      <c r="E430" s="63">
        <v>0.69</v>
      </c>
      <c r="F430" s="64" t="s">
        <v>254</v>
      </c>
      <c r="G430" s="59">
        <v>47848.0</v>
      </c>
      <c r="K430" s="65" t="s">
        <v>1023</v>
      </c>
      <c r="L430" s="7"/>
      <c r="M430" s="70" t="e">
        <v>#N/A</v>
      </c>
      <c r="N430" s="7"/>
      <c r="O430" s="7"/>
      <c r="P430" s="7"/>
    </row>
    <row r="431">
      <c r="A431" s="67" t="s">
        <v>1025</v>
      </c>
      <c r="B431" s="78"/>
      <c r="C431" s="62">
        <v>0.08</v>
      </c>
      <c r="D431" s="63">
        <v>0.69</v>
      </c>
      <c r="E431" s="63">
        <v>0.69</v>
      </c>
      <c r="F431" s="64" t="s">
        <v>254</v>
      </c>
      <c r="G431" s="59">
        <v>47848.0</v>
      </c>
      <c r="K431" s="65" t="s">
        <v>1024</v>
      </c>
      <c r="L431" s="7"/>
      <c r="M431" s="70" t="e">
        <v>#N/A</v>
      </c>
      <c r="N431" s="7"/>
      <c r="O431" s="7"/>
      <c r="P431" s="7"/>
    </row>
    <row r="432">
      <c r="A432" s="67" t="s">
        <v>1026</v>
      </c>
      <c r="B432" s="78"/>
      <c r="C432" s="62">
        <v>0.08</v>
      </c>
      <c r="D432" s="63">
        <v>0.69</v>
      </c>
      <c r="E432" s="63">
        <v>0.69</v>
      </c>
      <c r="F432" s="64" t="s">
        <v>254</v>
      </c>
      <c r="G432" s="59">
        <v>47848.0</v>
      </c>
      <c r="K432" s="65" t="s">
        <v>1025</v>
      </c>
      <c r="L432" s="7"/>
      <c r="M432" s="70" t="e">
        <v>#N/A</v>
      </c>
      <c r="N432" s="7"/>
      <c r="O432" s="7"/>
      <c r="P432" s="7"/>
    </row>
    <row r="433">
      <c r="A433" s="67" t="s">
        <v>1027</v>
      </c>
      <c r="B433" s="78"/>
      <c r="C433" s="62">
        <v>0.08</v>
      </c>
      <c r="D433" s="63">
        <v>0.69</v>
      </c>
      <c r="E433" s="63">
        <v>0.69</v>
      </c>
      <c r="F433" s="64" t="s">
        <v>254</v>
      </c>
      <c r="G433" s="59">
        <v>47848.0</v>
      </c>
      <c r="K433" s="65" t="s">
        <v>1026</v>
      </c>
      <c r="L433" s="7"/>
      <c r="M433" s="70" t="e">
        <v>#N/A</v>
      </c>
      <c r="N433" s="7"/>
      <c r="O433" s="7"/>
      <c r="P433" s="7"/>
    </row>
    <row r="434">
      <c r="A434" s="67" t="s">
        <v>1028</v>
      </c>
      <c r="B434" s="78"/>
      <c r="C434" s="62">
        <v>0.08</v>
      </c>
      <c r="D434" s="63">
        <v>0.69</v>
      </c>
      <c r="E434" s="63">
        <v>0.69</v>
      </c>
      <c r="F434" s="64" t="s">
        <v>254</v>
      </c>
      <c r="G434" s="59">
        <v>47848.0</v>
      </c>
      <c r="K434" s="65" t="s">
        <v>1027</v>
      </c>
      <c r="L434" s="7"/>
      <c r="M434" s="70" t="e">
        <v>#N/A</v>
      </c>
      <c r="N434" s="7"/>
      <c r="O434" s="7"/>
      <c r="P434" s="7"/>
    </row>
    <row r="435">
      <c r="A435" s="67" t="s">
        <v>1029</v>
      </c>
      <c r="B435" s="78"/>
      <c r="C435" s="62">
        <v>0.08</v>
      </c>
      <c r="D435" s="63">
        <v>0.69</v>
      </c>
      <c r="E435" s="63">
        <v>0.69</v>
      </c>
      <c r="F435" s="64" t="s">
        <v>254</v>
      </c>
      <c r="G435" s="59">
        <v>47848.0</v>
      </c>
      <c r="K435" s="65" t="s">
        <v>1028</v>
      </c>
      <c r="L435" s="7"/>
      <c r="M435" s="70" t="e">
        <v>#N/A</v>
      </c>
      <c r="N435" s="7"/>
      <c r="O435" s="7"/>
      <c r="P435" s="7"/>
    </row>
    <row r="436">
      <c r="A436" s="67" t="s">
        <v>1030</v>
      </c>
      <c r="B436" s="78"/>
      <c r="C436" s="62">
        <v>0.08</v>
      </c>
      <c r="D436" s="63">
        <v>0.69</v>
      </c>
      <c r="E436" s="63">
        <v>0.69</v>
      </c>
      <c r="F436" s="64" t="s">
        <v>254</v>
      </c>
      <c r="G436" s="59">
        <v>47848.0</v>
      </c>
      <c r="K436" s="65" t="s">
        <v>1029</v>
      </c>
      <c r="L436" s="7"/>
      <c r="M436" s="70" t="e">
        <v>#N/A</v>
      </c>
      <c r="N436" s="7"/>
      <c r="O436" s="7"/>
      <c r="P436" s="7"/>
    </row>
    <row r="437">
      <c r="A437" s="67" t="s">
        <v>1031</v>
      </c>
      <c r="B437" s="78"/>
      <c r="C437" s="62">
        <v>0.08</v>
      </c>
      <c r="D437" s="63">
        <v>0.69</v>
      </c>
      <c r="E437" s="63">
        <v>0.69</v>
      </c>
      <c r="F437" s="64" t="s">
        <v>254</v>
      </c>
      <c r="G437" s="59">
        <v>47848.0</v>
      </c>
      <c r="K437" s="65" t="s">
        <v>1030</v>
      </c>
      <c r="L437" s="7"/>
      <c r="M437" s="70" t="e">
        <v>#N/A</v>
      </c>
      <c r="N437" s="7"/>
      <c r="O437" s="7"/>
      <c r="P437" s="7"/>
    </row>
    <row r="438">
      <c r="A438" s="67" t="s">
        <v>1032</v>
      </c>
      <c r="B438" s="78"/>
      <c r="C438" s="62">
        <v>0.08</v>
      </c>
      <c r="D438" s="63">
        <v>0.69</v>
      </c>
      <c r="E438" s="63">
        <v>0.69</v>
      </c>
      <c r="F438" s="64" t="s">
        <v>254</v>
      </c>
      <c r="G438" s="59">
        <v>47848.0</v>
      </c>
      <c r="K438" s="65" t="s">
        <v>1031</v>
      </c>
      <c r="L438" s="7"/>
      <c r="M438" s="70" t="e">
        <v>#N/A</v>
      </c>
      <c r="N438" s="7"/>
      <c r="O438" s="7"/>
      <c r="P438" s="7"/>
    </row>
    <row r="439">
      <c r="A439" s="67" t="s">
        <v>1033</v>
      </c>
      <c r="B439" s="78"/>
      <c r="C439" s="62">
        <v>0.08</v>
      </c>
      <c r="D439" s="63">
        <v>0.69</v>
      </c>
      <c r="E439" s="63">
        <v>0.69</v>
      </c>
      <c r="F439" s="64" t="s">
        <v>254</v>
      </c>
      <c r="G439" s="59">
        <v>47848.0</v>
      </c>
      <c r="K439" s="65" t="s">
        <v>1032</v>
      </c>
      <c r="L439" s="7"/>
      <c r="M439" s="70" t="e">
        <v>#N/A</v>
      </c>
      <c r="N439" s="7"/>
      <c r="O439" s="7"/>
      <c r="P439" s="7"/>
    </row>
    <row r="440">
      <c r="A440" s="67" t="s">
        <v>1034</v>
      </c>
      <c r="B440" s="78"/>
      <c r="C440" s="62">
        <v>0.08</v>
      </c>
      <c r="D440" s="63">
        <v>0.69</v>
      </c>
      <c r="E440" s="63">
        <v>0.69</v>
      </c>
      <c r="F440" s="64" t="s">
        <v>254</v>
      </c>
      <c r="G440" s="59">
        <v>47848.0</v>
      </c>
      <c r="K440" s="65" t="s">
        <v>1033</v>
      </c>
      <c r="L440" s="7"/>
      <c r="M440" s="70" t="e">
        <v>#N/A</v>
      </c>
      <c r="N440" s="7"/>
      <c r="O440" s="7"/>
      <c r="P440" s="7"/>
    </row>
    <row r="441">
      <c r="A441" s="67" t="s">
        <v>1035</v>
      </c>
      <c r="B441" s="78"/>
      <c r="C441" s="62">
        <v>0.08</v>
      </c>
      <c r="D441" s="63">
        <v>0.69</v>
      </c>
      <c r="E441" s="63">
        <v>0.69</v>
      </c>
      <c r="F441" s="64" t="s">
        <v>254</v>
      </c>
      <c r="G441" s="59">
        <v>47848.0</v>
      </c>
      <c r="K441" s="65" t="s">
        <v>1034</v>
      </c>
      <c r="L441" s="7"/>
      <c r="M441" s="70" t="e">
        <v>#N/A</v>
      </c>
      <c r="N441" s="7"/>
      <c r="O441" s="7"/>
      <c r="P441" s="7"/>
    </row>
    <row r="442">
      <c r="A442" s="67" t="s">
        <v>1036</v>
      </c>
      <c r="B442" s="78"/>
      <c r="C442" s="62">
        <v>0.08</v>
      </c>
      <c r="D442" s="63">
        <v>0.69</v>
      </c>
      <c r="E442" s="63">
        <v>0.69</v>
      </c>
      <c r="F442" s="64" t="s">
        <v>254</v>
      </c>
      <c r="G442" s="59">
        <v>47848.0</v>
      </c>
      <c r="K442" s="65" t="s">
        <v>1035</v>
      </c>
      <c r="L442" s="7"/>
      <c r="M442" s="70" t="e">
        <v>#N/A</v>
      </c>
      <c r="N442" s="7"/>
      <c r="O442" s="7"/>
      <c r="P442" s="7"/>
    </row>
    <row r="443">
      <c r="A443" s="67" t="s">
        <v>1037</v>
      </c>
      <c r="B443" s="78"/>
      <c r="C443" s="62">
        <v>0.08</v>
      </c>
      <c r="D443" s="63">
        <v>0.69</v>
      </c>
      <c r="E443" s="63">
        <v>0.69</v>
      </c>
      <c r="F443" s="64" t="s">
        <v>254</v>
      </c>
      <c r="G443" s="59">
        <v>47848.0</v>
      </c>
      <c r="K443" s="65" t="s">
        <v>1036</v>
      </c>
      <c r="L443" s="7"/>
      <c r="M443" s="70" t="e">
        <v>#N/A</v>
      </c>
      <c r="N443" s="7"/>
      <c r="O443" s="7"/>
      <c r="P443" s="7"/>
    </row>
    <row r="444">
      <c r="A444" s="67" t="s">
        <v>1038</v>
      </c>
      <c r="B444" s="78"/>
      <c r="C444" s="62">
        <v>0.08</v>
      </c>
      <c r="D444" s="63">
        <v>0.69</v>
      </c>
      <c r="E444" s="63">
        <v>0.69</v>
      </c>
      <c r="F444" s="64" t="s">
        <v>254</v>
      </c>
      <c r="G444" s="59">
        <v>47848.0</v>
      </c>
      <c r="K444" s="65" t="s">
        <v>1037</v>
      </c>
      <c r="L444" s="7"/>
      <c r="M444" s="70" t="e">
        <v>#N/A</v>
      </c>
      <c r="N444" s="7"/>
      <c r="O444" s="7"/>
      <c r="P444" s="7"/>
    </row>
    <row r="445">
      <c r="A445" s="67" t="s">
        <v>1039</v>
      </c>
      <c r="B445" s="78"/>
      <c r="C445" s="62">
        <v>0.08</v>
      </c>
      <c r="D445" s="63">
        <v>0.69</v>
      </c>
      <c r="E445" s="63">
        <v>0.69</v>
      </c>
      <c r="F445" s="64" t="s">
        <v>254</v>
      </c>
      <c r="G445" s="59">
        <v>47848.0</v>
      </c>
      <c r="K445" s="65" t="s">
        <v>1038</v>
      </c>
      <c r="L445" s="7"/>
      <c r="M445" s="70" t="e">
        <v>#N/A</v>
      </c>
      <c r="N445" s="7"/>
      <c r="O445" s="7"/>
      <c r="P445" s="7"/>
    </row>
    <row r="446">
      <c r="A446" s="67" t="s">
        <v>1040</v>
      </c>
      <c r="B446" s="78"/>
      <c r="C446" s="62">
        <v>0.08</v>
      </c>
      <c r="D446" s="63">
        <v>0.69</v>
      </c>
      <c r="E446" s="63">
        <v>0.69</v>
      </c>
      <c r="F446" s="64" t="s">
        <v>254</v>
      </c>
      <c r="G446" s="59">
        <v>47848.0</v>
      </c>
      <c r="K446" s="65" t="s">
        <v>1039</v>
      </c>
      <c r="L446" s="7"/>
      <c r="M446" s="70" t="e">
        <v>#N/A</v>
      </c>
      <c r="N446" s="7"/>
      <c r="O446" s="7"/>
      <c r="P446" s="7"/>
    </row>
    <row r="447">
      <c r="A447" s="67" t="s">
        <v>1041</v>
      </c>
      <c r="B447" s="78"/>
      <c r="C447" s="62">
        <v>0.08</v>
      </c>
      <c r="D447" s="63">
        <v>0.69</v>
      </c>
      <c r="E447" s="63">
        <v>0.69</v>
      </c>
      <c r="F447" s="64" t="s">
        <v>254</v>
      </c>
      <c r="G447" s="59">
        <v>47848.0</v>
      </c>
      <c r="K447" s="65" t="s">
        <v>1040</v>
      </c>
      <c r="L447" s="7"/>
      <c r="M447" s="70" t="e">
        <v>#N/A</v>
      </c>
      <c r="N447" s="7"/>
      <c r="O447" s="7"/>
      <c r="P447" s="7"/>
    </row>
    <row r="448">
      <c r="A448" s="67" t="s">
        <v>1042</v>
      </c>
      <c r="B448" s="78"/>
      <c r="C448" s="62">
        <v>0.08</v>
      </c>
      <c r="D448" s="63">
        <v>0.69</v>
      </c>
      <c r="E448" s="63">
        <v>0.69</v>
      </c>
      <c r="F448" s="64" t="s">
        <v>254</v>
      </c>
      <c r="G448" s="59">
        <v>47848.0</v>
      </c>
      <c r="K448" s="65" t="s">
        <v>1041</v>
      </c>
      <c r="L448" s="7"/>
      <c r="M448" s="70" t="e">
        <v>#N/A</v>
      </c>
      <c r="N448" s="7"/>
      <c r="O448" s="7"/>
      <c r="P448" s="7"/>
    </row>
    <row r="449">
      <c r="A449" s="67" t="s">
        <v>1043</v>
      </c>
      <c r="B449" s="78"/>
      <c r="C449" s="62">
        <v>0.08</v>
      </c>
      <c r="D449" s="63">
        <v>0.69</v>
      </c>
      <c r="E449" s="63">
        <v>0.69</v>
      </c>
      <c r="F449" s="64" t="s">
        <v>254</v>
      </c>
      <c r="G449" s="59">
        <v>47848.0</v>
      </c>
      <c r="K449" s="65" t="s">
        <v>1042</v>
      </c>
      <c r="L449" s="7"/>
      <c r="M449" s="70" t="e">
        <v>#N/A</v>
      </c>
      <c r="N449" s="7"/>
      <c r="O449" s="7"/>
      <c r="P449" s="7"/>
    </row>
    <row r="450">
      <c r="A450" s="67" t="s">
        <v>1044</v>
      </c>
      <c r="B450" s="78"/>
      <c r="C450" s="62">
        <v>0.08</v>
      </c>
      <c r="D450" s="63">
        <v>0.69</v>
      </c>
      <c r="E450" s="63">
        <v>0.69</v>
      </c>
      <c r="F450" s="64" t="s">
        <v>254</v>
      </c>
      <c r="G450" s="59">
        <v>47848.0</v>
      </c>
      <c r="K450" s="65" t="s">
        <v>1043</v>
      </c>
      <c r="L450" s="7"/>
      <c r="M450" s="70" t="e">
        <v>#N/A</v>
      </c>
      <c r="N450" s="7"/>
      <c r="O450" s="7"/>
      <c r="P450" s="7"/>
    </row>
    <row r="451">
      <c r="A451" s="67" t="s">
        <v>1045</v>
      </c>
      <c r="B451" s="78"/>
      <c r="C451" s="62">
        <v>0.08</v>
      </c>
      <c r="D451" s="63">
        <v>0.69</v>
      </c>
      <c r="E451" s="63">
        <v>0.69</v>
      </c>
      <c r="F451" s="64" t="s">
        <v>254</v>
      </c>
      <c r="G451" s="59">
        <v>47848.0</v>
      </c>
      <c r="K451" s="65" t="s">
        <v>1044</v>
      </c>
      <c r="L451" s="7"/>
      <c r="M451" s="70" t="e">
        <v>#N/A</v>
      </c>
      <c r="N451" s="7"/>
      <c r="O451" s="7"/>
      <c r="P451" s="7"/>
    </row>
    <row r="452">
      <c r="A452" s="67" t="s">
        <v>1046</v>
      </c>
      <c r="B452" s="78"/>
      <c r="C452" s="62">
        <v>0.08</v>
      </c>
      <c r="D452" s="63">
        <v>0.69</v>
      </c>
      <c r="E452" s="63">
        <v>0.69</v>
      </c>
      <c r="F452" s="64" t="s">
        <v>254</v>
      </c>
      <c r="G452" s="59">
        <v>47848.0</v>
      </c>
      <c r="K452" s="65" t="s">
        <v>1045</v>
      </c>
      <c r="L452" s="7"/>
      <c r="M452" s="70" t="e">
        <v>#N/A</v>
      </c>
      <c r="N452" s="7"/>
      <c r="O452" s="7"/>
      <c r="P452" s="7"/>
    </row>
    <row r="453">
      <c r="A453" s="67" t="s">
        <v>1047</v>
      </c>
      <c r="B453" s="78"/>
      <c r="C453" s="62">
        <v>0.08</v>
      </c>
      <c r="D453" s="63">
        <v>0.69</v>
      </c>
      <c r="E453" s="63">
        <v>0.69</v>
      </c>
      <c r="F453" s="64" t="s">
        <v>254</v>
      </c>
      <c r="G453" s="59">
        <v>47848.0</v>
      </c>
      <c r="K453" s="65" t="s">
        <v>1046</v>
      </c>
      <c r="L453" s="7"/>
      <c r="M453" s="70" t="e">
        <v>#N/A</v>
      </c>
      <c r="N453" s="7"/>
      <c r="O453" s="7"/>
      <c r="P453" s="7"/>
    </row>
    <row r="454">
      <c r="A454" s="67" t="s">
        <v>1048</v>
      </c>
      <c r="B454" s="78"/>
      <c r="C454" s="62">
        <v>0.08</v>
      </c>
      <c r="D454" s="63">
        <v>0.69</v>
      </c>
      <c r="E454" s="63">
        <v>0.69</v>
      </c>
      <c r="F454" s="64" t="s">
        <v>254</v>
      </c>
      <c r="G454" s="59">
        <v>47848.0</v>
      </c>
      <c r="K454" s="65" t="s">
        <v>1047</v>
      </c>
      <c r="L454" s="7"/>
      <c r="M454" s="70" t="e">
        <v>#N/A</v>
      </c>
      <c r="N454" s="7"/>
      <c r="O454" s="7"/>
      <c r="P454" s="7"/>
    </row>
    <row r="455">
      <c r="A455" s="67" t="s">
        <v>1049</v>
      </c>
      <c r="B455" s="78"/>
      <c r="C455" s="62">
        <v>0.08</v>
      </c>
      <c r="D455" s="63">
        <v>0.69</v>
      </c>
      <c r="E455" s="63">
        <v>0.69</v>
      </c>
      <c r="F455" s="64" t="s">
        <v>254</v>
      </c>
      <c r="G455" s="59">
        <v>47848.0</v>
      </c>
      <c r="K455" s="65" t="s">
        <v>1048</v>
      </c>
      <c r="L455" s="7"/>
      <c r="M455" s="70" t="e">
        <v>#N/A</v>
      </c>
      <c r="N455" s="7"/>
      <c r="O455" s="7"/>
      <c r="P455" s="7"/>
    </row>
    <row r="456">
      <c r="A456" s="67" t="s">
        <v>1050</v>
      </c>
      <c r="B456" s="78"/>
      <c r="C456" s="62">
        <v>0.08</v>
      </c>
      <c r="D456" s="63">
        <v>0.69</v>
      </c>
      <c r="E456" s="63">
        <v>0.69</v>
      </c>
      <c r="F456" s="64" t="s">
        <v>254</v>
      </c>
      <c r="G456" s="59">
        <v>47848.0</v>
      </c>
      <c r="K456" s="65" t="s">
        <v>1049</v>
      </c>
      <c r="L456" s="7"/>
      <c r="M456" s="70" t="e">
        <v>#N/A</v>
      </c>
      <c r="N456" s="7"/>
      <c r="O456" s="7"/>
      <c r="P456" s="7"/>
    </row>
    <row r="457">
      <c r="A457" s="67" t="s">
        <v>1051</v>
      </c>
      <c r="B457" s="78"/>
      <c r="C457" s="62">
        <v>0.08</v>
      </c>
      <c r="D457" s="63">
        <v>0.69</v>
      </c>
      <c r="E457" s="63">
        <v>0.69</v>
      </c>
      <c r="F457" s="64" t="s">
        <v>254</v>
      </c>
      <c r="G457" s="59">
        <v>47848.0</v>
      </c>
      <c r="K457" s="65" t="s">
        <v>1050</v>
      </c>
      <c r="L457" s="7"/>
      <c r="M457" s="70" t="e">
        <v>#N/A</v>
      </c>
      <c r="N457" s="7"/>
      <c r="O457" s="7"/>
      <c r="P457" s="7"/>
    </row>
    <row r="458">
      <c r="A458" s="67" t="s">
        <v>1052</v>
      </c>
      <c r="B458" s="78"/>
      <c r="C458" s="62">
        <v>0.08</v>
      </c>
      <c r="D458" s="63">
        <v>0.69</v>
      </c>
      <c r="E458" s="63">
        <v>0.69</v>
      </c>
      <c r="F458" s="64" t="s">
        <v>254</v>
      </c>
      <c r="G458" s="59">
        <v>47848.0</v>
      </c>
      <c r="K458" s="65" t="s">
        <v>1051</v>
      </c>
      <c r="L458" s="7"/>
      <c r="M458" s="70" t="e">
        <v>#N/A</v>
      </c>
      <c r="N458" s="7"/>
      <c r="O458" s="7"/>
      <c r="P458" s="7"/>
    </row>
    <row r="459">
      <c r="A459" s="67" t="s">
        <v>1053</v>
      </c>
      <c r="B459" s="78"/>
      <c r="C459" s="62">
        <v>0.08</v>
      </c>
      <c r="D459" s="63">
        <v>0.69</v>
      </c>
      <c r="E459" s="63">
        <v>0.69</v>
      </c>
      <c r="F459" s="64" t="s">
        <v>254</v>
      </c>
      <c r="G459" s="59">
        <v>47848.0</v>
      </c>
      <c r="K459" s="65" t="s">
        <v>1052</v>
      </c>
      <c r="L459" s="7"/>
      <c r="M459" s="70" t="e">
        <v>#N/A</v>
      </c>
      <c r="N459" s="7"/>
      <c r="O459" s="7"/>
      <c r="P459" s="7"/>
    </row>
    <row r="460">
      <c r="A460" s="67" t="s">
        <v>1054</v>
      </c>
      <c r="B460" s="78"/>
      <c r="C460" s="62">
        <v>0.08</v>
      </c>
      <c r="D460" s="63">
        <v>0.69</v>
      </c>
      <c r="E460" s="63">
        <v>0.69</v>
      </c>
      <c r="F460" s="64" t="s">
        <v>254</v>
      </c>
      <c r="G460" s="59">
        <v>47848.0</v>
      </c>
      <c r="K460" s="65" t="s">
        <v>1053</v>
      </c>
      <c r="L460" s="7"/>
      <c r="M460" s="70" t="e">
        <v>#N/A</v>
      </c>
      <c r="N460" s="7"/>
      <c r="O460" s="7"/>
      <c r="P460" s="7"/>
    </row>
    <row r="461">
      <c r="A461" s="67" t="s">
        <v>1055</v>
      </c>
      <c r="B461" s="78"/>
      <c r="C461" s="62">
        <v>0.08</v>
      </c>
      <c r="D461" s="63">
        <v>0.69</v>
      </c>
      <c r="E461" s="63">
        <v>0.69</v>
      </c>
      <c r="F461" s="64" t="s">
        <v>254</v>
      </c>
      <c r="G461" s="59">
        <v>47848.0</v>
      </c>
      <c r="K461" s="65" t="s">
        <v>1054</v>
      </c>
      <c r="L461" s="7"/>
      <c r="M461" s="70" t="e">
        <v>#N/A</v>
      </c>
      <c r="N461" s="7"/>
      <c r="O461" s="7"/>
      <c r="P461" s="7"/>
    </row>
    <row r="462">
      <c r="A462" s="67" t="s">
        <v>1056</v>
      </c>
      <c r="B462" s="78"/>
      <c r="C462" s="62">
        <v>0.08</v>
      </c>
      <c r="D462" s="63">
        <v>0.69</v>
      </c>
      <c r="E462" s="63">
        <v>0.69</v>
      </c>
      <c r="F462" s="64" t="s">
        <v>254</v>
      </c>
      <c r="G462" s="59">
        <v>47848.0</v>
      </c>
      <c r="K462" s="65" t="s">
        <v>1055</v>
      </c>
      <c r="L462" s="7"/>
      <c r="M462" s="70" t="e">
        <v>#N/A</v>
      </c>
      <c r="N462" s="7"/>
      <c r="O462" s="7"/>
      <c r="P462" s="7"/>
    </row>
    <row r="463">
      <c r="A463" s="67" t="s">
        <v>1057</v>
      </c>
      <c r="B463" s="78"/>
      <c r="C463" s="62">
        <v>0.08</v>
      </c>
      <c r="D463" s="63">
        <v>0.69</v>
      </c>
      <c r="E463" s="63">
        <v>0.69</v>
      </c>
      <c r="F463" s="64" t="s">
        <v>254</v>
      </c>
      <c r="G463" s="59">
        <v>47848.0</v>
      </c>
      <c r="K463" s="65" t="s">
        <v>1056</v>
      </c>
      <c r="L463" s="7"/>
      <c r="M463" s="70" t="e">
        <v>#N/A</v>
      </c>
      <c r="N463" s="7"/>
      <c r="O463" s="7"/>
      <c r="P463" s="7"/>
    </row>
    <row r="464">
      <c r="A464" s="67" t="s">
        <v>1058</v>
      </c>
      <c r="B464" s="78"/>
      <c r="C464" s="62">
        <v>0.08</v>
      </c>
      <c r="D464" s="63">
        <v>0.69</v>
      </c>
      <c r="E464" s="63">
        <v>0.69</v>
      </c>
      <c r="F464" s="64" t="s">
        <v>254</v>
      </c>
      <c r="G464" s="59">
        <v>47848.0</v>
      </c>
      <c r="K464" s="65" t="s">
        <v>1057</v>
      </c>
      <c r="L464" s="7"/>
      <c r="M464" s="70" t="e">
        <v>#N/A</v>
      </c>
      <c r="N464" s="7"/>
      <c r="O464" s="7"/>
      <c r="P464" s="7"/>
    </row>
    <row r="465">
      <c r="A465" s="67" t="s">
        <v>1059</v>
      </c>
      <c r="B465" s="78"/>
      <c r="C465" s="62">
        <v>0.08</v>
      </c>
      <c r="D465" s="63">
        <v>0.69</v>
      </c>
      <c r="E465" s="63">
        <v>0.69</v>
      </c>
      <c r="F465" s="64" t="s">
        <v>254</v>
      </c>
      <c r="G465" s="59">
        <v>47848.0</v>
      </c>
      <c r="K465" s="65" t="s">
        <v>1058</v>
      </c>
      <c r="L465" s="7"/>
      <c r="M465" s="70" t="e">
        <v>#N/A</v>
      </c>
      <c r="N465" s="7"/>
      <c r="O465" s="7"/>
      <c r="P465" s="7"/>
    </row>
    <row r="466">
      <c r="A466" s="67" t="s">
        <v>1060</v>
      </c>
      <c r="B466" s="78"/>
      <c r="C466" s="62">
        <v>0.08</v>
      </c>
      <c r="D466" s="63">
        <v>0.69</v>
      </c>
      <c r="E466" s="63">
        <v>0.69</v>
      </c>
      <c r="F466" s="64" t="s">
        <v>254</v>
      </c>
      <c r="G466" s="59">
        <v>47848.0</v>
      </c>
      <c r="K466" s="65" t="s">
        <v>1059</v>
      </c>
      <c r="L466" s="7"/>
      <c r="M466" s="70" t="e">
        <v>#N/A</v>
      </c>
      <c r="N466" s="7"/>
      <c r="O466" s="7"/>
      <c r="P466" s="7"/>
    </row>
    <row r="467">
      <c r="A467" s="67" t="s">
        <v>1061</v>
      </c>
      <c r="B467" s="78"/>
      <c r="C467" s="62">
        <v>0.08</v>
      </c>
      <c r="D467" s="63">
        <v>0.69</v>
      </c>
      <c r="E467" s="63">
        <v>0.69</v>
      </c>
      <c r="F467" s="64" t="s">
        <v>254</v>
      </c>
      <c r="G467" s="59">
        <v>47848.0</v>
      </c>
      <c r="K467" s="65" t="s">
        <v>1060</v>
      </c>
      <c r="L467" s="7"/>
      <c r="M467" s="70" t="e">
        <v>#N/A</v>
      </c>
      <c r="N467" s="7"/>
      <c r="O467" s="7"/>
      <c r="P467" s="7"/>
    </row>
    <row r="468">
      <c r="A468" s="67" t="s">
        <v>1062</v>
      </c>
      <c r="B468" s="78"/>
      <c r="C468" s="62">
        <v>0.08</v>
      </c>
      <c r="D468" s="63">
        <v>0.69</v>
      </c>
      <c r="E468" s="63">
        <v>0.69</v>
      </c>
      <c r="F468" s="64" t="s">
        <v>254</v>
      </c>
      <c r="G468" s="59">
        <v>47848.0</v>
      </c>
      <c r="K468" s="65" t="s">
        <v>1061</v>
      </c>
      <c r="L468" s="7"/>
      <c r="M468" s="70" t="e">
        <v>#N/A</v>
      </c>
      <c r="N468" s="7"/>
      <c r="O468" s="7"/>
      <c r="P468" s="7"/>
    </row>
    <row r="469">
      <c r="A469" s="67" t="s">
        <v>1063</v>
      </c>
      <c r="B469" s="78"/>
      <c r="C469" s="62">
        <v>0.08</v>
      </c>
      <c r="D469" s="63">
        <v>0.69</v>
      </c>
      <c r="E469" s="63">
        <v>0.69</v>
      </c>
      <c r="F469" s="64" t="s">
        <v>254</v>
      </c>
      <c r="G469" s="59">
        <v>47848.0</v>
      </c>
      <c r="K469" s="65" t="s">
        <v>1062</v>
      </c>
      <c r="L469" s="7"/>
      <c r="M469" s="70" t="e">
        <v>#N/A</v>
      </c>
      <c r="N469" s="7"/>
      <c r="O469" s="7"/>
      <c r="P469" s="7"/>
    </row>
    <row r="470">
      <c r="A470" s="67" t="s">
        <v>1064</v>
      </c>
      <c r="B470" s="78"/>
      <c r="C470" s="62">
        <v>0.08</v>
      </c>
      <c r="D470" s="63">
        <v>0.69</v>
      </c>
      <c r="E470" s="63">
        <v>0.69</v>
      </c>
      <c r="F470" s="64" t="s">
        <v>254</v>
      </c>
      <c r="G470" s="59">
        <v>47848.0</v>
      </c>
      <c r="K470" s="65" t="s">
        <v>1063</v>
      </c>
      <c r="L470" s="7"/>
      <c r="M470" s="70" t="e">
        <v>#N/A</v>
      </c>
      <c r="N470" s="7"/>
      <c r="O470" s="7"/>
      <c r="P470" s="7"/>
    </row>
    <row r="471">
      <c r="A471" s="67" t="s">
        <v>1065</v>
      </c>
      <c r="B471" s="78"/>
      <c r="C471" s="62">
        <v>0.08</v>
      </c>
      <c r="D471" s="63">
        <v>0.69</v>
      </c>
      <c r="E471" s="63">
        <v>0.69</v>
      </c>
      <c r="F471" s="64" t="s">
        <v>254</v>
      </c>
      <c r="G471" s="59">
        <v>47848.0</v>
      </c>
      <c r="K471" s="65" t="s">
        <v>1064</v>
      </c>
      <c r="L471" s="7"/>
      <c r="M471" s="70" t="e">
        <v>#N/A</v>
      </c>
      <c r="N471" s="7"/>
      <c r="O471" s="7"/>
      <c r="P471" s="7"/>
    </row>
    <row r="472">
      <c r="A472" s="67" t="s">
        <v>1066</v>
      </c>
      <c r="B472" s="78"/>
      <c r="C472" s="62">
        <v>0.08</v>
      </c>
      <c r="D472" s="63">
        <v>0.69</v>
      </c>
      <c r="E472" s="63">
        <v>0.69</v>
      </c>
      <c r="F472" s="64" t="s">
        <v>254</v>
      </c>
      <c r="G472" s="59">
        <v>47848.0</v>
      </c>
      <c r="K472" s="65" t="s">
        <v>1065</v>
      </c>
      <c r="L472" s="7"/>
      <c r="M472" s="70" t="e">
        <v>#N/A</v>
      </c>
      <c r="N472" s="7"/>
      <c r="O472" s="7"/>
      <c r="P472" s="7"/>
    </row>
    <row r="473">
      <c r="A473" s="67" t="s">
        <v>1067</v>
      </c>
      <c r="B473" s="78"/>
      <c r="C473" s="62">
        <v>0.08</v>
      </c>
      <c r="D473" s="63">
        <v>0.69</v>
      </c>
      <c r="E473" s="63">
        <v>0.69</v>
      </c>
      <c r="F473" s="64" t="s">
        <v>254</v>
      </c>
      <c r="G473" s="59">
        <v>47848.0</v>
      </c>
      <c r="K473" s="65" t="s">
        <v>1066</v>
      </c>
      <c r="L473" s="7"/>
      <c r="M473" s="70" t="e">
        <v>#N/A</v>
      </c>
      <c r="N473" s="7"/>
      <c r="O473" s="7"/>
      <c r="P473" s="7"/>
    </row>
    <row r="474">
      <c r="A474" s="67" t="s">
        <v>1068</v>
      </c>
      <c r="B474" s="78"/>
      <c r="C474" s="62">
        <v>0.08</v>
      </c>
      <c r="D474" s="63">
        <v>0.69</v>
      </c>
      <c r="E474" s="63">
        <v>0.69</v>
      </c>
      <c r="F474" s="64" t="s">
        <v>254</v>
      </c>
      <c r="G474" s="59">
        <v>47848.0</v>
      </c>
      <c r="K474" s="65" t="s">
        <v>1067</v>
      </c>
      <c r="L474" s="7"/>
      <c r="M474" s="70" t="e">
        <v>#N/A</v>
      </c>
      <c r="N474" s="7"/>
      <c r="O474" s="7"/>
      <c r="P474" s="7"/>
    </row>
    <row r="475">
      <c r="A475" s="67" t="s">
        <v>1069</v>
      </c>
      <c r="B475" s="78"/>
      <c r="C475" s="62">
        <v>0.08</v>
      </c>
      <c r="D475" s="63">
        <v>0.69</v>
      </c>
      <c r="E475" s="63">
        <v>0.69</v>
      </c>
      <c r="F475" s="64" t="s">
        <v>254</v>
      </c>
      <c r="G475" s="59">
        <v>47848.0</v>
      </c>
      <c r="K475" s="65" t="s">
        <v>1068</v>
      </c>
      <c r="L475" s="7"/>
      <c r="M475" s="70" t="e">
        <v>#N/A</v>
      </c>
      <c r="N475" s="7"/>
      <c r="O475" s="7"/>
      <c r="P475" s="7"/>
    </row>
    <row r="476">
      <c r="A476" s="67" t="s">
        <v>1070</v>
      </c>
      <c r="B476" s="78"/>
      <c r="C476" s="62">
        <v>0.08</v>
      </c>
      <c r="D476" s="63">
        <v>0.69</v>
      </c>
      <c r="E476" s="63">
        <v>0.69</v>
      </c>
      <c r="F476" s="64" t="s">
        <v>254</v>
      </c>
      <c r="G476" s="59">
        <v>47848.0</v>
      </c>
      <c r="K476" s="65" t="s">
        <v>1069</v>
      </c>
      <c r="L476" s="7"/>
      <c r="M476" s="70" t="e">
        <v>#N/A</v>
      </c>
      <c r="N476" s="7"/>
      <c r="O476" s="7"/>
      <c r="P476" s="7"/>
    </row>
    <row r="477">
      <c r="A477" s="67" t="s">
        <v>1071</v>
      </c>
      <c r="B477" s="78"/>
      <c r="C477" s="62">
        <v>0.08</v>
      </c>
      <c r="D477" s="63">
        <v>0.69</v>
      </c>
      <c r="E477" s="63">
        <v>0.69</v>
      </c>
      <c r="F477" s="64" t="s">
        <v>254</v>
      </c>
      <c r="G477" s="59">
        <v>47848.0</v>
      </c>
      <c r="K477" s="65" t="s">
        <v>1070</v>
      </c>
      <c r="L477" s="7"/>
      <c r="M477" s="70" t="e">
        <v>#N/A</v>
      </c>
      <c r="N477" s="7"/>
      <c r="O477" s="7"/>
      <c r="P477" s="7"/>
    </row>
    <row r="478">
      <c r="A478" s="67" t="s">
        <v>1072</v>
      </c>
      <c r="B478" s="78"/>
      <c r="C478" s="62">
        <v>0.08</v>
      </c>
      <c r="D478" s="63">
        <v>0.69</v>
      </c>
      <c r="E478" s="63">
        <v>0.69</v>
      </c>
      <c r="F478" s="64" t="s">
        <v>254</v>
      </c>
      <c r="G478" s="59">
        <v>47848.0</v>
      </c>
      <c r="K478" s="65" t="s">
        <v>1071</v>
      </c>
      <c r="L478" s="7"/>
      <c r="M478" s="70" t="e">
        <v>#N/A</v>
      </c>
      <c r="N478" s="7"/>
      <c r="O478" s="7"/>
      <c r="P478" s="7"/>
    </row>
    <row r="479">
      <c r="A479" s="67" t="s">
        <v>1073</v>
      </c>
      <c r="B479" s="78"/>
      <c r="C479" s="62">
        <v>0.08</v>
      </c>
      <c r="D479" s="63">
        <v>0.69</v>
      </c>
      <c r="E479" s="63">
        <v>0.69</v>
      </c>
      <c r="F479" s="64" t="s">
        <v>254</v>
      </c>
      <c r="G479" s="59">
        <v>47848.0</v>
      </c>
      <c r="K479" s="65" t="s">
        <v>1072</v>
      </c>
      <c r="L479" s="7"/>
      <c r="M479" s="70" t="e">
        <v>#N/A</v>
      </c>
      <c r="N479" s="7"/>
      <c r="O479" s="7"/>
      <c r="P479" s="7"/>
    </row>
    <row r="480">
      <c r="A480" s="67" t="s">
        <v>1074</v>
      </c>
      <c r="B480" s="78"/>
      <c r="C480" s="62">
        <v>0.08</v>
      </c>
      <c r="D480" s="63">
        <v>0.69</v>
      </c>
      <c r="E480" s="63">
        <v>0.69</v>
      </c>
      <c r="F480" s="64" t="s">
        <v>254</v>
      </c>
      <c r="G480" s="59">
        <v>47848.0</v>
      </c>
      <c r="K480" s="65" t="s">
        <v>1073</v>
      </c>
      <c r="L480" s="7"/>
      <c r="M480" s="70" t="e">
        <v>#N/A</v>
      </c>
      <c r="N480" s="7"/>
      <c r="O480" s="7"/>
      <c r="P480" s="7"/>
    </row>
    <row r="481">
      <c r="A481" s="67" t="s">
        <v>1075</v>
      </c>
      <c r="B481" s="78"/>
      <c r="C481" s="62">
        <v>0.08</v>
      </c>
      <c r="D481" s="63">
        <v>0.69</v>
      </c>
      <c r="E481" s="63">
        <v>0.69</v>
      </c>
      <c r="F481" s="64" t="s">
        <v>254</v>
      </c>
      <c r="G481" s="59">
        <v>47848.0</v>
      </c>
      <c r="K481" s="65" t="s">
        <v>1074</v>
      </c>
      <c r="L481" s="7"/>
      <c r="M481" s="70" t="e">
        <v>#N/A</v>
      </c>
      <c r="N481" s="7"/>
      <c r="O481" s="7"/>
      <c r="P481" s="7"/>
    </row>
    <row r="482">
      <c r="A482" s="67" t="s">
        <v>1076</v>
      </c>
      <c r="B482" s="78"/>
      <c r="C482" s="62">
        <v>0.08</v>
      </c>
      <c r="D482" s="63">
        <v>0.69</v>
      </c>
      <c r="E482" s="63">
        <v>0.69</v>
      </c>
      <c r="F482" s="64" t="s">
        <v>254</v>
      </c>
      <c r="G482" s="59">
        <v>47848.0</v>
      </c>
      <c r="K482" s="65" t="s">
        <v>1075</v>
      </c>
      <c r="L482" s="7"/>
      <c r="M482" s="70" t="e">
        <v>#N/A</v>
      </c>
      <c r="N482" s="7"/>
      <c r="O482" s="7"/>
      <c r="P482" s="7"/>
    </row>
    <row r="483">
      <c r="A483" s="67" t="s">
        <v>1077</v>
      </c>
      <c r="B483" s="78"/>
      <c r="C483" s="62">
        <v>0.08</v>
      </c>
      <c r="D483" s="63">
        <v>0.69</v>
      </c>
      <c r="E483" s="63">
        <v>0.69</v>
      </c>
      <c r="F483" s="64" t="s">
        <v>254</v>
      </c>
      <c r="G483" s="59">
        <v>47848.0</v>
      </c>
      <c r="K483" s="65" t="s">
        <v>1076</v>
      </c>
      <c r="L483" s="7"/>
      <c r="M483" s="70" t="e">
        <v>#N/A</v>
      </c>
      <c r="N483" s="7"/>
      <c r="O483" s="7"/>
      <c r="P483" s="7"/>
    </row>
    <row r="484">
      <c r="A484" s="67" t="s">
        <v>1078</v>
      </c>
      <c r="B484" s="78"/>
      <c r="C484" s="62">
        <v>0.08</v>
      </c>
      <c r="D484" s="63">
        <v>0.69</v>
      </c>
      <c r="E484" s="63">
        <v>0.69</v>
      </c>
      <c r="F484" s="64" t="s">
        <v>254</v>
      </c>
      <c r="G484" s="59">
        <v>47848.0</v>
      </c>
      <c r="K484" s="65" t="s">
        <v>1077</v>
      </c>
      <c r="L484" s="7"/>
      <c r="M484" s="70" t="e">
        <v>#N/A</v>
      </c>
      <c r="N484" s="7"/>
      <c r="O484" s="7"/>
      <c r="P484" s="7"/>
    </row>
    <row r="485">
      <c r="A485" s="67" t="s">
        <v>1079</v>
      </c>
      <c r="B485" s="78"/>
      <c r="C485" s="62">
        <v>0.08</v>
      </c>
      <c r="D485" s="63">
        <v>0.69</v>
      </c>
      <c r="E485" s="63">
        <v>0.69</v>
      </c>
      <c r="F485" s="64" t="s">
        <v>254</v>
      </c>
      <c r="G485" s="59">
        <v>47848.0</v>
      </c>
      <c r="K485" s="65" t="s">
        <v>1078</v>
      </c>
      <c r="L485" s="7"/>
      <c r="M485" s="70" t="e">
        <v>#N/A</v>
      </c>
      <c r="N485" s="7"/>
      <c r="O485" s="7"/>
      <c r="P485" s="7"/>
    </row>
    <row r="486">
      <c r="A486" s="67" t="s">
        <v>1080</v>
      </c>
      <c r="B486" s="78"/>
      <c r="C486" s="62">
        <v>0.08</v>
      </c>
      <c r="D486" s="63">
        <v>0.69</v>
      </c>
      <c r="E486" s="63">
        <v>0.69</v>
      </c>
      <c r="F486" s="64" t="s">
        <v>254</v>
      </c>
      <c r="G486" s="59">
        <v>47848.0</v>
      </c>
      <c r="K486" s="65" t="s">
        <v>1079</v>
      </c>
      <c r="L486" s="7"/>
      <c r="M486" s="70" t="e">
        <v>#N/A</v>
      </c>
      <c r="N486" s="7"/>
      <c r="O486" s="7"/>
      <c r="P486" s="7"/>
    </row>
    <row r="487">
      <c r="A487" s="67" t="s">
        <v>1081</v>
      </c>
      <c r="B487" s="78"/>
      <c r="C487" s="62">
        <v>0.08</v>
      </c>
      <c r="D487" s="63">
        <v>0.69</v>
      </c>
      <c r="E487" s="63">
        <v>0.69</v>
      </c>
      <c r="F487" s="64" t="s">
        <v>254</v>
      </c>
      <c r="G487" s="59">
        <v>47848.0</v>
      </c>
      <c r="K487" s="65" t="s">
        <v>1080</v>
      </c>
      <c r="L487" s="7"/>
      <c r="M487" s="70" t="e">
        <v>#N/A</v>
      </c>
      <c r="N487" s="7"/>
      <c r="O487" s="7"/>
      <c r="P487" s="7"/>
    </row>
    <row r="488">
      <c r="A488" s="67" t="s">
        <v>1082</v>
      </c>
      <c r="B488" s="78"/>
      <c r="C488" s="62">
        <v>0.08</v>
      </c>
      <c r="D488" s="63">
        <v>0.69</v>
      </c>
      <c r="E488" s="63">
        <v>0.69</v>
      </c>
      <c r="F488" s="64" t="s">
        <v>254</v>
      </c>
      <c r="G488" s="59">
        <v>47848.0</v>
      </c>
      <c r="K488" s="65" t="s">
        <v>1081</v>
      </c>
      <c r="L488" s="7"/>
      <c r="M488" s="70" t="e">
        <v>#N/A</v>
      </c>
      <c r="N488" s="7"/>
      <c r="O488" s="7"/>
      <c r="P488" s="7"/>
    </row>
    <row r="489">
      <c r="A489" s="67" t="s">
        <v>1083</v>
      </c>
      <c r="B489" s="78"/>
      <c r="C489" s="62">
        <v>0.08</v>
      </c>
      <c r="D489" s="63">
        <v>0.69</v>
      </c>
      <c r="E489" s="63">
        <v>0.69</v>
      </c>
      <c r="F489" s="64" t="s">
        <v>254</v>
      </c>
      <c r="G489" s="59">
        <v>47848.0</v>
      </c>
      <c r="K489" s="65" t="s">
        <v>1082</v>
      </c>
      <c r="L489" s="7"/>
      <c r="M489" s="70" t="e">
        <v>#N/A</v>
      </c>
      <c r="N489" s="7"/>
      <c r="O489" s="7"/>
      <c r="P489" s="7"/>
    </row>
    <row r="490">
      <c r="A490" s="67" t="s">
        <v>1084</v>
      </c>
      <c r="B490" s="78"/>
      <c r="C490" s="62">
        <v>0.08</v>
      </c>
      <c r="D490" s="63">
        <v>0.69</v>
      </c>
      <c r="E490" s="63">
        <v>0.69</v>
      </c>
      <c r="F490" s="64" t="s">
        <v>254</v>
      </c>
      <c r="G490" s="59">
        <v>47848.0</v>
      </c>
      <c r="K490" s="65" t="s">
        <v>1083</v>
      </c>
      <c r="L490" s="7"/>
      <c r="M490" s="70" t="e">
        <v>#N/A</v>
      </c>
      <c r="N490" s="7"/>
      <c r="O490" s="7"/>
      <c r="P490" s="7"/>
    </row>
    <row r="491">
      <c r="A491" s="67" t="s">
        <v>1085</v>
      </c>
      <c r="B491" s="78"/>
      <c r="C491" s="62">
        <v>0.08</v>
      </c>
      <c r="D491" s="63">
        <v>0.69</v>
      </c>
      <c r="E491" s="63">
        <v>0.69</v>
      </c>
      <c r="F491" s="64" t="s">
        <v>254</v>
      </c>
      <c r="G491" s="59">
        <v>47848.0</v>
      </c>
      <c r="K491" s="65" t="s">
        <v>1084</v>
      </c>
      <c r="L491" s="7"/>
      <c r="M491" s="70" t="e">
        <v>#N/A</v>
      </c>
      <c r="N491" s="7"/>
      <c r="O491" s="7"/>
      <c r="P491" s="7"/>
    </row>
    <row r="492">
      <c r="A492" s="67" t="s">
        <v>1086</v>
      </c>
      <c r="B492" s="78"/>
      <c r="C492" s="62">
        <v>0.08</v>
      </c>
      <c r="D492" s="63">
        <v>0.69</v>
      </c>
      <c r="E492" s="63">
        <v>0.69</v>
      </c>
      <c r="F492" s="64" t="s">
        <v>254</v>
      </c>
      <c r="G492" s="59">
        <v>47848.0</v>
      </c>
      <c r="K492" s="65" t="s">
        <v>1085</v>
      </c>
      <c r="L492" s="7"/>
      <c r="M492" s="70" t="e">
        <v>#N/A</v>
      </c>
      <c r="N492" s="7"/>
      <c r="O492" s="7"/>
      <c r="P492" s="7"/>
    </row>
    <row r="493">
      <c r="A493" s="67" t="s">
        <v>1087</v>
      </c>
      <c r="B493" s="78"/>
      <c r="C493" s="62">
        <v>0.08</v>
      </c>
      <c r="D493" s="63">
        <v>0.69</v>
      </c>
      <c r="E493" s="63">
        <v>0.69</v>
      </c>
      <c r="F493" s="64" t="s">
        <v>254</v>
      </c>
      <c r="G493" s="59">
        <v>47848.0</v>
      </c>
      <c r="K493" s="65" t="s">
        <v>1086</v>
      </c>
      <c r="L493" s="7"/>
      <c r="M493" s="70" t="e">
        <v>#N/A</v>
      </c>
      <c r="N493" s="7"/>
      <c r="O493" s="7"/>
      <c r="P493" s="7"/>
    </row>
    <row r="494">
      <c r="A494" s="67" t="s">
        <v>1088</v>
      </c>
      <c r="B494" s="78"/>
      <c r="C494" s="62">
        <v>0.08</v>
      </c>
      <c r="D494" s="63">
        <v>0.69</v>
      </c>
      <c r="E494" s="63">
        <v>0.69</v>
      </c>
      <c r="F494" s="64" t="s">
        <v>254</v>
      </c>
      <c r="G494" s="59">
        <v>47848.0</v>
      </c>
      <c r="K494" s="65" t="s">
        <v>1087</v>
      </c>
      <c r="L494" s="7"/>
      <c r="M494" s="70" t="e">
        <v>#N/A</v>
      </c>
      <c r="N494" s="7"/>
      <c r="O494" s="7"/>
      <c r="P494" s="7"/>
    </row>
    <row r="495">
      <c r="A495" s="67" t="s">
        <v>1089</v>
      </c>
      <c r="B495" s="78"/>
      <c r="C495" s="62">
        <v>0.08</v>
      </c>
      <c r="D495" s="63">
        <v>0.69</v>
      </c>
      <c r="E495" s="63">
        <v>0.69</v>
      </c>
      <c r="F495" s="64" t="s">
        <v>254</v>
      </c>
      <c r="G495" s="59">
        <v>47848.0</v>
      </c>
      <c r="K495" s="65" t="s">
        <v>1088</v>
      </c>
      <c r="L495" s="7"/>
      <c r="M495" s="70" t="e">
        <v>#N/A</v>
      </c>
      <c r="N495" s="7"/>
      <c r="O495" s="7"/>
      <c r="P495" s="7"/>
    </row>
    <row r="496">
      <c r="A496" s="67" t="s">
        <v>1090</v>
      </c>
      <c r="B496" s="78"/>
      <c r="C496" s="62">
        <v>0.08</v>
      </c>
      <c r="D496" s="63">
        <v>0.69</v>
      </c>
      <c r="E496" s="63">
        <v>0.69</v>
      </c>
      <c r="F496" s="64" t="s">
        <v>254</v>
      </c>
      <c r="G496" s="59">
        <v>47848.0</v>
      </c>
      <c r="K496" s="65" t="s">
        <v>1089</v>
      </c>
      <c r="L496" s="7"/>
      <c r="M496" s="70" t="e">
        <v>#N/A</v>
      </c>
      <c r="N496" s="7"/>
      <c r="O496" s="7"/>
      <c r="P496" s="7"/>
    </row>
    <row r="497">
      <c r="A497" s="67" t="s">
        <v>1091</v>
      </c>
      <c r="B497" s="78"/>
      <c r="C497" s="62">
        <v>0.08</v>
      </c>
      <c r="D497" s="63">
        <v>0.69</v>
      </c>
      <c r="E497" s="63">
        <v>0.69</v>
      </c>
      <c r="F497" s="64" t="s">
        <v>254</v>
      </c>
      <c r="G497" s="59">
        <v>47848.0</v>
      </c>
      <c r="K497" s="65" t="s">
        <v>1090</v>
      </c>
      <c r="L497" s="7"/>
      <c r="M497" s="70" t="e">
        <v>#N/A</v>
      </c>
      <c r="N497" s="7"/>
      <c r="O497" s="7"/>
      <c r="P497" s="7"/>
    </row>
    <row r="498">
      <c r="A498" s="67" t="s">
        <v>1092</v>
      </c>
      <c r="B498" s="78"/>
      <c r="C498" s="62">
        <v>0.08</v>
      </c>
      <c r="D498" s="63">
        <v>0.69</v>
      </c>
      <c r="E498" s="63">
        <v>0.69</v>
      </c>
      <c r="F498" s="64" t="s">
        <v>254</v>
      </c>
      <c r="G498" s="59">
        <v>47848.0</v>
      </c>
      <c r="K498" s="65" t="s">
        <v>1091</v>
      </c>
      <c r="L498" s="7"/>
      <c r="M498" s="70" t="e">
        <v>#N/A</v>
      </c>
      <c r="N498" s="7"/>
      <c r="O498" s="7"/>
      <c r="P498" s="7"/>
    </row>
    <row r="499">
      <c r="A499" s="67" t="s">
        <v>1093</v>
      </c>
      <c r="B499" s="78"/>
      <c r="C499" s="62">
        <v>0.08</v>
      </c>
      <c r="D499" s="63">
        <v>0.69</v>
      </c>
      <c r="E499" s="63">
        <v>0.69</v>
      </c>
      <c r="F499" s="64" t="s">
        <v>254</v>
      </c>
      <c r="G499" s="59">
        <v>47848.0</v>
      </c>
      <c r="K499" s="65" t="s">
        <v>1092</v>
      </c>
      <c r="L499" s="7"/>
      <c r="M499" s="70" t="e">
        <v>#N/A</v>
      </c>
      <c r="N499" s="7"/>
      <c r="O499" s="7"/>
      <c r="P499" s="7"/>
    </row>
    <row r="500">
      <c r="A500" s="67" t="s">
        <v>1094</v>
      </c>
      <c r="B500" s="78"/>
      <c r="C500" s="62">
        <v>0.08</v>
      </c>
      <c r="D500" s="63">
        <v>0.69</v>
      </c>
      <c r="E500" s="63">
        <v>0.69</v>
      </c>
      <c r="F500" s="64" t="s">
        <v>254</v>
      </c>
      <c r="G500" s="59">
        <v>47848.0</v>
      </c>
      <c r="K500" s="65" t="s">
        <v>1093</v>
      </c>
      <c r="L500" s="7"/>
      <c r="M500" s="70" t="e">
        <v>#N/A</v>
      </c>
      <c r="N500" s="7"/>
      <c r="O500" s="7"/>
      <c r="P500" s="7"/>
    </row>
    <row r="501">
      <c r="A501" s="67" t="s">
        <v>1095</v>
      </c>
      <c r="B501" s="78"/>
      <c r="C501" s="62">
        <v>0.08</v>
      </c>
      <c r="D501" s="63">
        <v>0.69</v>
      </c>
      <c r="E501" s="63">
        <v>0.69</v>
      </c>
      <c r="F501" s="64" t="s">
        <v>254</v>
      </c>
      <c r="G501" s="59">
        <v>47848.0</v>
      </c>
      <c r="K501" s="65" t="s">
        <v>1094</v>
      </c>
      <c r="L501" s="7"/>
      <c r="M501" s="70" t="e">
        <v>#N/A</v>
      </c>
      <c r="N501" s="7"/>
      <c r="O501" s="7"/>
      <c r="P501" s="7"/>
    </row>
    <row r="502">
      <c r="A502" s="67" t="s">
        <v>1096</v>
      </c>
      <c r="B502" s="78"/>
      <c r="C502" s="62">
        <v>0.08</v>
      </c>
      <c r="D502" s="63">
        <v>0.69</v>
      </c>
      <c r="E502" s="63">
        <v>0.69</v>
      </c>
      <c r="F502" s="64" t="s">
        <v>254</v>
      </c>
      <c r="G502" s="59">
        <v>47848.0</v>
      </c>
      <c r="K502" s="65" t="s">
        <v>1095</v>
      </c>
      <c r="L502" s="7"/>
      <c r="M502" s="70" t="e">
        <v>#N/A</v>
      </c>
      <c r="N502" s="7"/>
      <c r="O502" s="7"/>
      <c r="P502" s="7"/>
    </row>
    <row r="503">
      <c r="A503" s="67" t="s">
        <v>1097</v>
      </c>
      <c r="B503" s="78"/>
      <c r="C503" s="62">
        <v>0.08</v>
      </c>
      <c r="D503" s="63">
        <v>0.69</v>
      </c>
      <c r="E503" s="63">
        <v>0.69</v>
      </c>
      <c r="F503" s="64" t="s">
        <v>254</v>
      </c>
      <c r="G503" s="59">
        <v>47848.0</v>
      </c>
      <c r="K503" s="65" t="s">
        <v>1096</v>
      </c>
      <c r="L503" s="7"/>
      <c r="M503" s="70" t="e">
        <v>#N/A</v>
      </c>
      <c r="N503" s="7"/>
      <c r="O503" s="7"/>
      <c r="P503" s="7"/>
    </row>
    <row r="504">
      <c r="A504" s="67" t="s">
        <v>1098</v>
      </c>
      <c r="B504" s="78"/>
      <c r="C504" s="62">
        <v>0.08</v>
      </c>
      <c r="D504" s="63">
        <v>0.69</v>
      </c>
      <c r="E504" s="63">
        <v>0.69</v>
      </c>
      <c r="F504" s="64" t="s">
        <v>254</v>
      </c>
      <c r="G504" s="59">
        <v>47848.0</v>
      </c>
      <c r="K504" s="65" t="s">
        <v>1097</v>
      </c>
      <c r="L504" s="7"/>
      <c r="M504" s="70" t="e">
        <v>#N/A</v>
      </c>
      <c r="N504" s="7"/>
      <c r="O504" s="7"/>
      <c r="P504" s="7"/>
    </row>
    <row r="505">
      <c r="A505" s="67" t="s">
        <v>1099</v>
      </c>
      <c r="B505" s="78"/>
      <c r="C505" s="62">
        <v>0.08</v>
      </c>
      <c r="D505" s="63">
        <v>0.69</v>
      </c>
      <c r="E505" s="63">
        <v>0.69</v>
      </c>
      <c r="F505" s="64" t="s">
        <v>254</v>
      </c>
      <c r="G505" s="59">
        <v>47848.0</v>
      </c>
      <c r="K505" s="65" t="s">
        <v>1098</v>
      </c>
      <c r="L505" s="7"/>
      <c r="M505" s="70" t="e">
        <v>#N/A</v>
      </c>
      <c r="N505" s="7"/>
      <c r="O505" s="7"/>
      <c r="P505" s="7"/>
    </row>
    <row r="506">
      <c r="A506" s="67" t="s">
        <v>1100</v>
      </c>
      <c r="B506" s="78"/>
      <c r="C506" s="62">
        <v>0.08</v>
      </c>
      <c r="D506" s="63">
        <v>0.69</v>
      </c>
      <c r="E506" s="63">
        <v>0.69</v>
      </c>
      <c r="F506" s="64" t="s">
        <v>254</v>
      </c>
      <c r="G506" s="59">
        <v>47848.0</v>
      </c>
      <c r="K506" s="65" t="s">
        <v>1099</v>
      </c>
      <c r="L506" s="7"/>
      <c r="M506" s="70" t="e">
        <v>#N/A</v>
      </c>
      <c r="N506" s="7"/>
      <c r="O506" s="7"/>
      <c r="P506" s="7"/>
    </row>
    <row r="507">
      <c r="A507" s="67" t="s">
        <v>1101</v>
      </c>
      <c r="B507" s="78"/>
      <c r="C507" s="62">
        <v>0.08</v>
      </c>
      <c r="D507" s="63">
        <v>0.69</v>
      </c>
      <c r="E507" s="63">
        <v>0.69</v>
      </c>
      <c r="F507" s="64" t="s">
        <v>254</v>
      </c>
      <c r="G507" s="59">
        <v>47848.0</v>
      </c>
      <c r="K507" s="65" t="s">
        <v>1100</v>
      </c>
      <c r="L507" s="7"/>
      <c r="M507" s="70" t="e">
        <v>#N/A</v>
      </c>
      <c r="N507" s="7"/>
      <c r="O507" s="7"/>
      <c r="P507" s="7"/>
    </row>
    <row r="508">
      <c r="A508" s="67" t="s">
        <v>1102</v>
      </c>
      <c r="B508" s="78"/>
      <c r="C508" s="62">
        <v>0.08</v>
      </c>
      <c r="D508" s="63">
        <v>0.69</v>
      </c>
      <c r="E508" s="63">
        <v>0.69</v>
      </c>
      <c r="F508" s="64" t="s">
        <v>254</v>
      </c>
      <c r="G508" s="59">
        <v>47848.0</v>
      </c>
      <c r="K508" s="65" t="s">
        <v>1101</v>
      </c>
      <c r="L508" s="7"/>
      <c r="M508" s="70" t="e">
        <v>#N/A</v>
      </c>
      <c r="N508" s="7"/>
      <c r="O508" s="7"/>
      <c r="P508" s="7"/>
    </row>
    <row r="509">
      <c r="A509" s="67" t="s">
        <v>1103</v>
      </c>
      <c r="B509" s="78"/>
      <c r="C509" s="62">
        <v>0.08</v>
      </c>
      <c r="D509" s="63">
        <v>0.69</v>
      </c>
      <c r="E509" s="63">
        <v>0.69</v>
      </c>
      <c r="F509" s="64" t="s">
        <v>254</v>
      </c>
      <c r="G509" s="59">
        <v>47848.0</v>
      </c>
      <c r="K509" s="65" t="s">
        <v>1102</v>
      </c>
      <c r="L509" s="7"/>
      <c r="M509" s="70" t="e">
        <v>#N/A</v>
      </c>
      <c r="N509" s="7"/>
      <c r="O509" s="7"/>
      <c r="P509" s="7"/>
    </row>
    <row r="510">
      <c r="A510" s="67" t="s">
        <v>1104</v>
      </c>
      <c r="B510" s="78"/>
      <c r="C510" s="62">
        <v>0.08</v>
      </c>
      <c r="D510" s="63">
        <v>0.69</v>
      </c>
      <c r="E510" s="63">
        <v>0.69</v>
      </c>
      <c r="F510" s="64" t="s">
        <v>254</v>
      </c>
      <c r="G510" s="59">
        <v>47848.0</v>
      </c>
      <c r="K510" s="65" t="s">
        <v>1103</v>
      </c>
      <c r="L510" s="7"/>
      <c r="M510" s="70" t="e">
        <v>#N/A</v>
      </c>
      <c r="N510" s="7"/>
      <c r="O510" s="7"/>
      <c r="P510" s="7"/>
    </row>
    <row r="511">
      <c r="A511" s="67" t="s">
        <v>1105</v>
      </c>
      <c r="B511" s="78"/>
      <c r="C511" s="62">
        <v>0.08</v>
      </c>
      <c r="D511" s="63">
        <v>0.69</v>
      </c>
      <c r="E511" s="63">
        <v>0.69</v>
      </c>
      <c r="F511" s="64" t="s">
        <v>254</v>
      </c>
      <c r="G511" s="59">
        <v>47848.0</v>
      </c>
      <c r="K511" s="65" t="s">
        <v>1104</v>
      </c>
      <c r="L511" s="7"/>
      <c r="M511" s="70" t="e">
        <v>#N/A</v>
      </c>
      <c r="N511" s="7"/>
      <c r="O511" s="7"/>
      <c r="P511" s="7"/>
    </row>
    <row r="512">
      <c r="A512" s="67" t="s">
        <v>1106</v>
      </c>
      <c r="B512" s="78"/>
      <c r="C512" s="62">
        <v>0.08</v>
      </c>
      <c r="D512" s="63">
        <v>0.69</v>
      </c>
      <c r="E512" s="63">
        <v>0.69</v>
      </c>
      <c r="F512" s="64" t="s">
        <v>254</v>
      </c>
      <c r="G512" s="59">
        <v>47848.0</v>
      </c>
      <c r="K512" s="65" t="s">
        <v>1105</v>
      </c>
      <c r="L512" s="7"/>
      <c r="M512" s="70" t="e">
        <v>#N/A</v>
      </c>
      <c r="N512" s="7"/>
      <c r="O512" s="7"/>
      <c r="P512" s="7"/>
    </row>
    <row r="513">
      <c r="A513" s="67" t="s">
        <v>1107</v>
      </c>
      <c r="B513" s="78"/>
      <c r="C513" s="62">
        <v>0.08</v>
      </c>
      <c r="D513" s="63">
        <v>0.69</v>
      </c>
      <c r="E513" s="63">
        <v>0.69</v>
      </c>
      <c r="F513" s="64" t="s">
        <v>254</v>
      </c>
      <c r="G513" s="59">
        <v>47848.0</v>
      </c>
      <c r="K513" s="65" t="s">
        <v>1106</v>
      </c>
      <c r="L513" s="7"/>
      <c r="M513" s="70" t="e">
        <v>#N/A</v>
      </c>
      <c r="N513" s="7"/>
      <c r="O513" s="7"/>
      <c r="P513" s="7"/>
    </row>
    <row r="514">
      <c r="A514" s="67" t="s">
        <v>1108</v>
      </c>
      <c r="B514" s="78"/>
      <c r="C514" s="62">
        <v>0.08</v>
      </c>
      <c r="D514" s="63">
        <v>0.69</v>
      </c>
      <c r="E514" s="63">
        <v>0.69</v>
      </c>
      <c r="F514" s="64" t="s">
        <v>254</v>
      </c>
      <c r="G514" s="59">
        <v>47848.0</v>
      </c>
      <c r="K514" s="65" t="s">
        <v>1107</v>
      </c>
      <c r="L514" s="7"/>
      <c r="M514" s="70" t="e">
        <v>#N/A</v>
      </c>
      <c r="N514" s="7"/>
      <c r="O514" s="7"/>
      <c r="P514" s="7"/>
    </row>
    <row r="515">
      <c r="A515" s="67" t="s">
        <v>1109</v>
      </c>
      <c r="B515" s="78"/>
      <c r="C515" s="62">
        <v>0.08</v>
      </c>
      <c r="D515" s="63">
        <v>0.69</v>
      </c>
      <c r="E515" s="63">
        <v>0.69</v>
      </c>
      <c r="F515" s="64" t="s">
        <v>254</v>
      </c>
      <c r="G515" s="59">
        <v>47848.0</v>
      </c>
      <c r="K515" s="65" t="s">
        <v>1108</v>
      </c>
      <c r="L515" s="7"/>
      <c r="M515" s="70" t="e">
        <v>#N/A</v>
      </c>
      <c r="N515" s="7"/>
      <c r="O515" s="7"/>
      <c r="P515" s="7"/>
    </row>
    <row r="516">
      <c r="A516" s="67" t="s">
        <v>1110</v>
      </c>
      <c r="B516" s="78"/>
      <c r="C516" s="62">
        <v>0.08</v>
      </c>
      <c r="D516" s="63">
        <v>0.69</v>
      </c>
      <c r="E516" s="63">
        <v>0.69</v>
      </c>
      <c r="F516" s="64" t="s">
        <v>254</v>
      </c>
      <c r="G516" s="59">
        <v>47848.0</v>
      </c>
      <c r="K516" s="65" t="s">
        <v>1109</v>
      </c>
      <c r="L516" s="7"/>
      <c r="M516" s="70" t="e">
        <v>#N/A</v>
      </c>
      <c r="N516" s="7"/>
      <c r="O516" s="7"/>
      <c r="P516" s="7"/>
    </row>
    <row r="517">
      <c r="A517" s="67" t="s">
        <v>1111</v>
      </c>
      <c r="B517" s="78"/>
      <c r="C517" s="62">
        <v>0.08</v>
      </c>
      <c r="D517" s="63">
        <v>0.69</v>
      </c>
      <c r="E517" s="63">
        <v>0.69</v>
      </c>
      <c r="F517" s="64" t="s">
        <v>254</v>
      </c>
      <c r="G517" s="59">
        <v>47848.0</v>
      </c>
      <c r="K517" s="65" t="s">
        <v>1110</v>
      </c>
      <c r="L517" s="7"/>
      <c r="M517" s="70" t="e">
        <v>#N/A</v>
      </c>
      <c r="N517" s="7"/>
      <c r="O517" s="7"/>
      <c r="P517" s="7"/>
    </row>
    <row r="518">
      <c r="A518" s="67" t="s">
        <v>1112</v>
      </c>
      <c r="B518" s="78"/>
      <c r="C518" s="62">
        <v>0.08</v>
      </c>
      <c r="D518" s="63">
        <v>0.69</v>
      </c>
      <c r="E518" s="63">
        <v>0.69</v>
      </c>
      <c r="F518" s="64" t="s">
        <v>254</v>
      </c>
      <c r="G518" s="59">
        <v>47848.0</v>
      </c>
      <c r="K518" s="65" t="s">
        <v>1111</v>
      </c>
      <c r="L518" s="7"/>
      <c r="M518" s="70" t="e">
        <v>#N/A</v>
      </c>
      <c r="N518" s="7"/>
      <c r="O518" s="7"/>
      <c r="P518" s="7"/>
    </row>
    <row r="519">
      <c r="A519" s="67" t="s">
        <v>1113</v>
      </c>
      <c r="B519" s="78"/>
      <c r="C519" s="62">
        <v>0.08</v>
      </c>
      <c r="D519" s="63">
        <v>0.69</v>
      </c>
      <c r="E519" s="63">
        <v>0.69</v>
      </c>
      <c r="F519" s="64" t="s">
        <v>254</v>
      </c>
      <c r="G519" s="59">
        <v>47848.0</v>
      </c>
      <c r="K519" s="65" t="s">
        <v>1112</v>
      </c>
      <c r="L519" s="7"/>
      <c r="M519" s="70" t="e">
        <v>#N/A</v>
      </c>
      <c r="N519" s="7"/>
      <c r="O519" s="7"/>
      <c r="P519" s="7"/>
    </row>
    <row r="520">
      <c r="A520" s="67" t="s">
        <v>1114</v>
      </c>
      <c r="B520" s="78"/>
      <c r="C520" s="62">
        <v>0.08</v>
      </c>
      <c r="D520" s="63">
        <v>0.69</v>
      </c>
      <c r="E520" s="63">
        <v>0.69</v>
      </c>
      <c r="F520" s="64" t="s">
        <v>254</v>
      </c>
      <c r="G520" s="59">
        <v>47848.0</v>
      </c>
      <c r="K520" s="65" t="s">
        <v>1113</v>
      </c>
      <c r="L520" s="7"/>
      <c r="M520" s="70" t="e">
        <v>#N/A</v>
      </c>
      <c r="N520" s="7"/>
      <c r="O520" s="7"/>
      <c r="P520" s="7"/>
    </row>
    <row r="521">
      <c r="A521" s="67" t="s">
        <v>1115</v>
      </c>
      <c r="B521" s="78"/>
      <c r="C521" s="62">
        <v>0.08</v>
      </c>
      <c r="D521" s="63">
        <v>0.69</v>
      </c>
      <c r="E521" s="63">
        <v>0.69</v>
      </c>
      <c r="F521" s="64" t="s">
        <v>254</v>
      </c>
      <c r="G521" s="59">
        <v>47848.0</v>
      </c>
      <c r="K521" s="65" t="s">
        <v>1114</v>
      </c>
      <c r="L521" s="7"/>
      <c r="M521" s="70" t="e">
        <v>#N/A</v>
      </c>
      <c r="N521" s="7"/>
      <c r="O521" s="7"/>
      <c r="P521" s="7"/>
    </row>
    <row r="522">
      <c r="A522" s="67" t="s">
        <v>1116</v>
      </c>
      <c r="B522" s="78"/>
      <c r="C522" s="62">
        <v>0.08</v>
      </c>
      <c r="D522" s="63">
        <v>0.69</v>
      </c>
      <c r="E522" s="63">
        <v>0.69</v>
      </c>
      <c r="F522" s="64" t="s">
        <v>254</v>
      </c>
      <c r="G522" s="59">
        <v>47848.0</v>
      </c>
      <c r="K522" s="65" t="s">
        <v>1115</v>
      </c>
      <c r="L522" s="7"/>
      <c r="M522" s="70" t="e">
        <v>#N/A</v>
      </c>
      <c r="N522" s="7"/>
      <c r="O522" s="7"/>
      <c r="P522" s="7"/>
    </row>
    <row r="523">
      <c r="A523" s="67" t="s">
        <v>1117</v>
      </c>
      <c r="B523" s="78"/>
      <c r="C523" s="62">
        <v>0.08</v>
      </c>
      <c r="D523" s="63">
        <v>0.69</v>
      </c>
      <c r="E523" s="63">
        <v>0.69</v>
      </c>
      <c r="F523" s="64" t="s">
        <v>254</v>
      </c>
      <c r="G523" s="59">
        <v>47848.0</v>
      </c>
      <c r="K523" s="65" t="s">
        <v>1116</v>
      </c>
      <c r="L523" s="7"/>
      <c r="M523" s="70" t="e">
        <v>#N/A</v>
      </c>
      <c r="N523" s="7"/>
      <c r="O523" s="7"/>
      <c r="P523" s="7"/>
    </row>
    <row r="524">
      <c r="A524" s="67" t="s">
        <v>1118</v>
      </c>
      <c r="B524" s="78"/>
      <c r="C524" s="62">
        <v>0.08</v>
      </c>
      <c r="D524" s="63">
        <v>0.69</v>
      </c>
      <c r="E524" s="63">
        <v>0.69</v>
      </c>
      <c r="F524" s="64" t="s">
        <v>254</v>
      </c>
      <c r="G524" s="59">
        <v>47848.0</v>
      </c>
      <c r="K524" s="65" t="s">
        <v>1117</v>
      </c>
      <c r="L524" s="7"/>
      <c r="M524" s="70" t="e">
        <v>#N/A</v>
      </c>
      <c r="N524" s="7"/>
      <c r="O524" s="7"/>
      <c r="P524" s="7"/>
    </row>
    <row r="525">
      <c r="A525" s="67" t="s">
        <v>1119</v>
      </c>
      <c r="B525" s="78"/>
      <c r="C525" s="62">
        <v>0.08</v>
      </c>
      <c r="D525" s="63">
        <v>0.69</v>
      </c>
      <c r="E525" s="63">
        <v>0.69</v>
      </c>
      <c r="F525" s="64" t="s">
        <v>254</v>
      </c>
      <c r="G525" s="59">
        <v>47848.0</v>
      </c>
      <c r="K525" s="65" t="s">
        <v>1118</v>
      </c>
      <c r="L525" s="7"/>
      <c r="M525" s="70" t="e">
        <v>#N/A</v>
      </c>
      <c r="N525" s="7"/>
      <c r="O525" s="7"/>
      <c r="P525" s="7"/>
    </row>
    <row r="526">
      <c r="A526" s="67" t="s">
        <v>1120</v>
      </c>
      <c r="B526" s="78"/>
      <c r="C526" s="62">
        <v>0.08</v>
      </c>
      <c r="D526" s="63">
        <v>0.69</v>
      </c>
      <c r="E526" s="63">
        <v>0.69</v>
      </c>
      <c r="F526" s="64" t="s">
        <v>254</v>
      </c>
      <c r="G526" s="59">
        <v>47848.0</v>
      </c>
      <c r="K526" s="65" t="s">
        <v>1119</v>
      </c>
      <c r="L526" s="7"/>
      <c r="M526" s="70" t="e">
        <v>#N/A</v>
      </c>
      <c r="N526" s="7"/>
      <c r="O526" s="7"/>
      <c r="P526" s="7"/>
    </row>
    <row r="527">
      <c r="A527" s="67" t="s">
        <v>1121</v>
      </c>
      <c r="B527" s="78"/>
      <c r="C527" s="62">
        <v>0.08</v>
      </c>
      <c r="D527" s="63">
        <v>0.69</v>
      </c>
      <c r="E527" s="63">
        <v>0.69</v>
      </c>
      <c r="F527" s="64" t="s">
        <v>254</v>
      </c>
      <c r="G527" s="59">
        <v>47848.0</v>
      </c>
      <c r="K527" s="65" t="s">
        <v>1120</v>
      </c>
      <c r="L527" s="7"/>
      <c r="M527" s="70" t="e">
        <v>#N/A</v>
      </c>
      <c r="N527" s="7"/>
      <c r="O527" s="7"/>
      <c r="P527" s="7"/>
    </row>
    <row r="528">
      <c r="A528" s="67" t="s">
        <v>1122</v>
      </c>
      <c r="B528" s="78"/>
      <c r="C528" s="62">
        <v>0.08</v>
      </c>
      <c r="D528" s="63">
        <v>0.69</v>
      </c>
      <c r="E528" s="63">
        <v>0.69</v>
      </c>
      <c r="F528" s="64" t="s">
        <v>254</v>
      </c>
      <c r="G528" s="59">
        <v>47848.0</v>
      </c>
      <c r="K528" s="65" t="s">
        <v>1121</v>
      </c>
      <c r="L528" s="7"/>
      <c r="M528" s="70" t="e">
        <v>#N/A</v>
      </c>
      <c r="N528" s="7"/>
      <c r="O528" s="7"/>
      <c r="P528" s="7"/>
    </row>
    <row r="529">
      <c r="A529" s="67" t="s">
        <v>1123</v>
      </c>
      <c r="B529" s="78"/>
      <c r="C529" s="62">
        <v>0.08</v>
      </c>
      <c r="D529" s="63">
        <v>0.69</v>
      </c>
      <c r="E529" s="63">
        <v>0.69</v>
      </c>
      <c r="F529" s="64" t="s">
        <v>254</v>
      </c>
      <c r="G529" s="59">
        <v>47848.0</v>
      </c>
      <c r="K529" s="65" t="s">
        <v>1122</v>
      </c>
      <c r="L529" s="7"/>
      <c r="M529" s="70" t="e">
        <v>#N/A</v>
      </c>
      <c r="N529" s="7"/>
      <c r="O529" s="7"/>
      <c r="P529" s="7"/>
    </row>
    <row r="530">
      <c r="A530" s="67" t="s">
        <v>1124</v>
      </c>
      <c r="B530" s="78"/>
      <c r="C530" s="62">
        <v>0.08</v>
      </c>
      <c r="D530" s="63">
        <v>0.69</v>
      </c>
      <c r="E530" s="63">
        <v>0.69</v>
      </c>
      <c r="F530" s="64" t="s">
        <v>254</v>
      </c>
      <c r="G530" s="59">
        <v>47848.0</v>
      </c>
      <c r="K530" s="65" t="s">
        <v>1123</v>
      </c>
      <c r="L530" s="7"/>
      <c r="M530" s="70" t="e">
        <v>#N/A</v>
      </c>
      <c r="N530" s="7"/>
      <c r="O530" s="7"/>
      <c r="P530" s="7"/>
    </row>
    <row r="531">
      <c r="A531" s="67" t="s">
        <v>1125</v>
      </c>
      <c r="B531" s="78"/>
      <c r="C531" s="62">
        <v>0.08</v>
      </c>
      <c r="D531" s="63">
        <v>0.69</v>
      </c>
      <c r="E531" s="63">
        <v>0.69</v>
      </c>
      <c r="F531" s="64" t="s">
        <v>254</v>
      </c>
      <c r="G531" s="59">
        <v>47848.0</v>
      </c>
      <c r="K531" s="65" t="s">
        <v>1124</v>
      </c>
      <c r="L531" s="7"/>
      <c r="M531" s="70" t="e">
        <v>#N/A</v>
      </c>
      <c r="N531" s="7"/>
      <c r="O531" s="7"/>
      <c r="P531" s="7"/>
    </row>
    <row r="532">
      <c r="A532" s="67" t="s">
        <v>1126</v>
      </c>
      <c r="B532" s="78"/>
      <c r="C532" s="62">
        <v>0.08</v>
      </c>
      <c r="D532" s="63">
        <v>0.69</v>
      </c>
      <c r="E532" s="63">
        <v>0.69</v>
      </c>
      <c r="F532" s="64" t="s">
        <v>254</v>
      </c>
      <c r="G532" s="59">
        <v>47848.0</v>
      </c>
      <c r="K532" s="65" t="s">
        <v>1125</v>
      </c>
      <c r="L532" s="7"/>
      <c r="M532" s="70" t="e">
        <v>#N/A</v>
      </c>
      <c r="N532" s="7"/>
      <c r="O532" s="7"/>
      <c r="P532" s="7"/>
    </row>
    <row r="533">
      <c r="A533" s="67" t="s">
        <v>1127</v>
      </c>
      <c r="B533" s="78"/>
      <c r="C533" s="62">
        <v>0.08</v>
      </c>
      <c r="D533" s="63">
        <v>0.69</v>
      </c>
      <c r="E533" s="63">
        <v>0.69</v>
      </c>
      <c r="F533" s="64" t="s">
        <v>254</v>
      </c>
      <c r="G533" s="59">
        <v>47848.0</v>
      </c>
      <c r="K533" s="65" t="s">
        <v>1126</v>
      </c>
      <c r="L533" s="7"/>
      <c r="M533" s="70" t="e">
        <v>#N/A</v>
      </c>
      <c r="N533" s="7"/>
      <c r="O533" s="7"/>
      <c r="P533" s="7"/>
    </row>
    <row r="534">
      <c r="A534" s="67" t="s">
        <v>1128</v>
      </c>
      <c r="B534" s="78"/>
      <c r="C534" s="62">
        <v>0.08</v>
      </c>
      <c r="D534" s="63">
        <v>0.69</v>
      </c>
      <c r="E534" s="63">
        <v>0.69</v>
      </c>
      <c r="F534" s="64" t="s">
        <v>254</v>
      </c>
      <c r="G534" s="59">
        <v>47848.0</v>
      </c>
      <c r="K534" s="65" t="s">
        <v>1127</v>
      </c>
      <c r="L534" s="7"/>
      <c r="M534" s="70" t="e">
        <v>#N/A</v>
      </c>
      <c r="N534" s="7"/>
      <c r="O534" s="7"/>
      <c r="P534" s="7"/>
    </row>
    <row r="535">
      <c r="A535" s="67" t="s">
        <v>1129</v>
      </c>
      <c r="B535" s="78"/>
      <c r="C535" s="62">
        <v>0.08</v>
      </c>
      <c r="D535" s="63">
        <v>0.69</v>
      </c>
      <c r="E535" s="63">
        <v>0.69</v>
      </c>
      <c r="F535" s="64" t="s">
        <v>254</v>
      </c>
      <c r="G535" s="59">
        <v>47848.0</v>
      </c>
      <c r="K535" s="65" t="s">
        <v>1128</v>
      </c>
      <c r="L535" s="7"/>
      <c r="M535" s="70" t="e">
        <v>#N/A</v>
      </c>
      <c r="N535" s="7"/>
      <c r="O535" s="7"/>
      <c r="P535" s="7"/>
    </row>
    <row r="536">
      <c r="A536" s="67" t="s">
        <v>1130</v>
      </c>
      <c r="B536" s="78"/>
      <c r="C536" s="62">
        <v>0.08</v>
      </c>
      <c r="D536" s="63">
        <v>0.69</v>
      </c>
      <c r="E536" s="63">
        <v>0.69</v>
      </c>
      <c r="F536" s="64" t="s">
        <v>254</v>
      </c>
      <c r="G536" s="59">
        <v>47848.0</v>
      </c>
      <c r="K536" s="65" t="s">
        <v>1129</v>
      </c>
      <c r="L536" s="7"/>
      <c r="M536" s="70" t="e">
        <v>#N/A</v>
      </c>
      <c r="N536" s="7"/>
      <c r="O536" s="7"/>
      <c r="P536" s="7"/>
    </row>
    <row r="537">
      <c r="A537" s="67" t="s">
        <v>1131</v>
      </c>
      <c r="B537" s="78"/>
      <c r="C537" s="62">
        <v>0.08</v>
      </c>
      <c r="D537" s="63">
        <v>0.69</v>
      </c>
      <c r="E537" s="63">
        <v>0.69</v>
      </c>
      <c r="F537" s="64" t="s">
        <v>254</v>
      </c>
      <c r="G537" s="59">
        <v>47848.0</v>
      </c>
      <c r="K537" s="65" t="s">
        <v>1130</v>
      </c>
      <c r="L537" s="7"/>
      <c r="M537" s="70" t="e">
        <v>#N/A</v>
      </c>
      <c r="N537" s="7"/>
      <c r="O537" s="7"/>
      <c r="P537" s="7"/>
    </row>
    <row r="538">
      <c r="A538" s="67" t="s">
        <v>1132</v>
      </c>
      <c r="B538" s="78"/>
      <c r="C538" s="62">
        <v>0.08</v>
      </c>
      <c r="D538" s="63">
        <v>0.69</v>
      </c>
      <c r="E538" s="63">
        <v>0.69</v>
      </c>
      <c r="F538" s="64" t="s">
        <v>254</v>
      </c>
      <c r="G538" s="59">
        <v>47848.0</v>
      </c>
      <c r="K538" s="65" t="s">
        <v>1131</v>
      </c>
      <c r="L538" s="7"/>
      <c r="M538" s="70" t="e">
        <v>#N/A</v>
      </c>
      <c r="N538" s="7"/>
      <c r="O538" s="7"/>
      <c r="P538" s="7"/>
    </row>
    <row r="539">
      <c r="A539" s="67" t="s">
        <v>1133</v>
      </c>
      <c r="B539" s="78"/>
      <c r="C539" s="62">
        <v>0.08</v>
      </c>
      <c r="D539" s="63">
        <v>0.69</v>
      </c>
      <c r="E539" s="63">
        <v>0.69</v>
      </c>
      <c r="F539" s="64" t="s">
        <v>254</v>
      </c>
      <c r="G539" s="59">
        <v>47848.0</v>
      </c>
      <c r="K539" s="65" t="s">
        <v>1132</v>
      </c>
      <c r="L539" s="7"/>
      <c r="M539" s="70" t="e">
        <v>#N/A</v>
      </c>
      <c r="N539" s="7"/>
      <c r="O539" s="7"/>
      <c r="P539" s="7"/>
    </row>
    <row r="540">
      <c r="A540" s="67" t="s">
        <v>1134</v>
      </c>
      <c r="B540" s="78"/>
      <c r="C540" s="62">
        <v>0.08</v>
      </c>
      <c r="D540" s="63">
        <v>0.69</v>
      </c>
      <c r="E540" s="63">
        <v>0.69</v>
      </c>
      <c r="F540" s="64" t="s">
        <v>254</v>
      </c>
      <c r="G540" s="59">
        <v>47848.0</v>
      </c>
      <c r="K540" s="65" t="s">
        <v>1133</v>
      </c>
      <c r="L540" s="7"/>
      <c r="M540" s="70" t="e">
        <v>#N/A</v>
      </c>
      <c r="N540" s="7"/>
      <c r="O540" s="7"/>
      <c r="P540" s="7"/>
    </row>
    <row r="541">
      <c r="A541" s="67" t="s">
        <v>1135</v>
      </c>
      <c r="B541" s="78"/>
      <c r="C541" s="62">
        <v>0.08</v>
      </c>
      <c r="D541" s="63">
        <v>0.69</v>
      </c>
      <c r="E541" s="63">
        <v>0.69</v>
      </c>
      <c r="F541" s="64" t="s">
        <v>254</v>
      </c>
      <c r="G541" s="59">
        <v>47848.0</v>
      </c>
      <c r="K541" s="65" t="s">
        <v>1134</v>
      </c>
      <c r="L541" s="7"/>
      <c r="M541" s="70" t="e">
        <v>#N/A</v>
      </c>
      <c r="N541" s="7"/>
      <c r="O541" s="7"/>
      <c r="P541" s="7"/>
    </row>
    <row r="542">
      <c r="A542" s="67" t="s">
        <v>1136</v>
      </c>
      <c r="B542" s="78"/>
      <c r="C542" s="62">
        <v>0.08</v>
      </c>
      <c r="D542" s="63">
        <v>0.69</v>
      </c>
      <c r="E542" s="63">
        <v>0.69</v>
      </c>
      <c r="F542" s="64" t="s">
        <v>254</v>
      </c>
      <c r="G542" s="59">
        <v>47848.0</v>
      </c>
      <c r="K542" s="65" t="s">
        <v>1135</v>
      </c>
      <c r="L542" s="7"/>
      <c r="M542" s="70" t="e">
        <v>#N/A</v>
      </c>
      <c r="N542" s="7"/>
      <c r="O542" s="7"/>
      <c r="P542" s="7"/>
    </row>
    <row r="543">
      <c r="A543" s="67" t="s">
        <v>1137</v>
      </c>
      <c r="B543" s="78"/>
      <c r="C543" s="62">
        <v>0.08</v>
      </c>
      <c r="D543" s="63">
        <v>0.69</v>
      </c>
      <c r="E543" s="63">
        <v>0.69</v>
      </c>
      <c r="F543" s="64" t="s">
        <v>254</v>
      </c>
      <c r="G543" s="59">
        <v>47848.0</v>
      </c>
      <c r="K543" s="65" t="s">
        <v>1136</v>
      </c>
      <c r="L543" s="7"/>
      <c r="M543" s="70" t="e">
        <v>#N/A</v>
      </c>
      <c r="N543" s="7"/>
      <c r="O543" s="7"/>
      <c r="P543" s="7"/>
    </row>
    <row r="544">
      <c r="A544" s="67" t="s">
        <v>1138</v>
      </c>
      <c r="B544" s="78"/>
      <c r="C544" s="62">
        <v>0.08</v>
      </c>
      <c r="D544" s="63">
        <v>0.69</v>
      </c>
      <c r="E544" s="63">
        <v>0.69</v>
      </c>
      <c r="F544" s="64" t="s">
        <v>254</v>
      </c>
      <c r="G544" s="59">
        <v>47848.0</v>
      </c>
      <c r="K544" s="65" t="s">
        <v>1137</v>
      </c>
      <c r="L544" s="7"/>
      <c r="M544" s="70" t="e">
        <v>#N/A</v>
      </c>
      <c r="N544" s="7"/>
      <c r="O544" s="7"/>
      <c r="P544" s="7"/>
    </row>
    <row r="545">
      <c r="A545" s="67" t="s">
        <v>1139</v>
      </c>
      <c r="B545" s="78"/>
      <c r="C545" s="62">
        <v>0.08</v>
      </c>
      <c r="D545" s="63">
        <v>0.69</v>
      </c>
      <c r="E545" s="63">
        <v>0.69</v>
      </c>
      <c r="F545" s="64" t="s">
        <v>254</v>
      </c>
      <c r="G545" s="59">
        <v>47848.0</v>
      </c>
      <c r="K545" s="65" t="s">
        <v>1138</v>
      </c>
      <c r="L545" s="7"/>
      <c r="M545" s="70" t="e">
        <v>#N/A</v>
      </c>
      <c r="N545" s="7"/>
      <c r="O545" s="7"/>
      <c r="P545" s="7"/>
    </row>
    <row r="546">
      <c r="A546" s="67" t="s">
        <v>1140</v>
      </c>
      <c r="B546" s="78"/>
      <c r="C546" s="62">
        <v>0.08</v>
      </c>
      <c r="D546" s="63">
        <v>0.69</v>
      </c>
      <c r="E546" s="63">
        <v>0.69</v>
      </c>
      <c r="F546" s="64" t="s">
        <v>254</v>
      </c>
      <c r="G546" s="59">
        <v>47848.0</v>
      </c>
      <c r="K546" s="65" t="s">
        <v>1139</v>
      </c>
      <c r="L546" s="7"/>
      <c r="M546" s="70" t="e">
        <v>#N/A</v>
      </c>
      <c r="N546" s="7"/>
      <c r="O546" s="7"/>
      <c r="P546" s="7"/>
    </row>
    <row r="547">
      <c r="A547" s="67" t="s">
        <v>1141</v>
      </c>
      <c r="B547" s="78"/>
      <c r="C547" s="62">
        <v>0.08</v>
      </c>
      <c r="D547" s="63">
        <v>0.69</v>
      </c>
      <c r="E547" s="63">
        <v>0.69</v>
      </c>
      <c r="F547" s="64" t="s">
        <v>254</v>
      </c>
      <c r="G547" s="59">
        <v>47848.0</v>
      </c>
      <c r="K547" s="65" t="s">
        <v>1140</v>
      </c>
      <c r="L547" s="7"/>
      <c r="M547" s="70" t="e">
        <v>#N/A</v>
      </c>
      <c r="N547" s="7"/>
      <c r="O547" s="7"/>
      <c r="P547" s="7"/>
    </row>
    <row r="548">
      <c r="A548" s="67" t="s">
        <v>1142</v>
      </c>
      <c r="B548" s="78"/>
      <c r="C548" s="62">
        <v>0.08</v>
      </c>
      <c r="D548" s="63">
        <v>0.69</v>
      </c>
      <c r="E548" s="63">
        <v>0.69</v>
      </c>
      <c r="F548" s="64" t="s">
        <v>254</v>
      </c>
      <c r="G548" s="59">
        <v>47848.0</v>
      </c>
      <c r="K548" s="65" t="s">
        <v>1141</v>
      </c>
      <c r="L548" s="7"/>
      <c r="M548" s="70" t="e">
        <v>#N/A</v>
      </c>
      <c r="N548" s="7"/>
      <c r="O548" s="7"/>
      <c r="P548" s="7"/>
    </row>
    <row r="549">
      <c r="A549" s="67" t="s">
        <v>1143</v>
      </c>
      <c r="B549" s="78"/>
      <c r="C549" s="62">
        <v>0.08</v>
      </c>
      <c r="D549" s="63">
        <v>0.69</v>
      </c>
      <c r="E549" s="63">
        <v>0.69</v>
      </c>
      <c r="F549" s="64" t="s">
        <v>254</v>
      </c>
      <c r="G549" s="59">
        <v>47848.0</v>
      </c>
      <c r="K549" s="65" t="s">
        <v>1142</v>
      </c>
      <c r="L549" s="7"/>
      <c r="M549" s="70" t="e">
        <v>#N/A</v>
      </c>
      <c r="N549" s="7"/>
      <c r="O549" s="7"/>
      <c r="P549" s="7"/>
    </row>
    <row r="550">
      <c r="A550" s="67" t="s">
        <v>1144</v>
      </c>
      <c r="B550" s="78"/>
      <c r="C550" s="62">
        <v>0.08</v>
      </c>
      <c r="D550" s="63">
        <v>0.69</v>
      </c>
      <c r="E550" s="63">
        <v>0.69</v>
      </c>
      <c r="F550" s="64" t="s">
        <v>254</v>
      </c>
      <c r="G550" s="59">
        <v>47848.0</v>
      </c>
      <c r="K550" s="65" t="s">
        <v>1143</v>
      </c>
      <c r="L550" s="7"/>
      <c r="M550" s="70" t="e">
        <v>#N/A</v>
      </c>
      <c r="N550" s="7"/>
      <c r="O550" s="7"/>
      <c r="P550" s="7"/>
    </row>
    <row r="551">
      <c r="A551" s="67" t="s">
        <v>1145</v>
      </c>
      <c r="B551" s="78"/>
      <c r="C551" s="62">
        <v>0.08</v>
      </c>
      <c r="D551" s="63">
        <v>0.69</v>
      </c>
      <c r="E551" s="63">
        <v>0.69</v>
      </c>
      <c r="F551" s="64" t="s">
        <v>254</v>
      </c>
      <c r="G551" s="59">
        <v>47848.0</v>
      </c>
      <c r="K551" s="65" t="s">
        <v>1144</v>
      </c>
      <c r="L551" s="7"/>
      <c r="M551" s="70" t="e">
        <v>#N/A</v>
      </c>
      <c r="N551" s="7"/>
      <c r="O551" s="7"/>
      <c r="P551" s="7"/>
    </row>
    <row r="552">
      <c r="A552" s="67" t="s">
        <v>1146</v>
      </c>
      <c r="B552" s="78"/>
      <c r="C552" s="62">
        <v>0.08</v>
      </c>
      <c r="D552" s="63">
        <v>0.69</v>
      </c>
      <c r="E552" s="63">
        <v>0.69</v>
      </c>
      <c r="F552" s="64" t="s">
        <v>254</v>
      </c>
      <c r="G552" s="59">
        <v>47848.0</v>
      </c>
      <c r="K552" s="65" t="s">
        <v>1145</v>
      </c>
      <c r="L552" s="7"/>
      <c r="M552" s="70" t="e">
        <v>#N/A</v>
      </c>
      <c r="N552" s="7"/>
      <c r="O552" s="7"/>
      <c r="P552" s="7"/>
    </row>
    <row r="553">
      <c r="A553" s="67" t="s">
        <v>1147</v>
      </c>
      <c r="B553" s="78"/>
      <c r="C553" s="62">
        <v>0.08</v>
      </c>
      <c r="D553" s="63">
        <v>0.69</v>
      </c>
      <c r="E553" s="63">
        <v>0.69</v>
      </c>
      <c r="F553" s="64" t="s">
        <v>254</v>
      </c>
      <c r="G553" s="59">
        <v>47848.0</v>
      </c>
      <c r="K553" s="65" t="s">
        <v>1146</v>
      </c>
      <c r="L553" s="7"/>
      <c r="M553" s="70" t="e">
        <v>#N/A</v>
      </c>
      <c r="N553" s="7"/>
      <c r="O553" s="7"/>
      <c r="P553" s="7"/>
    </row>
    <row r="554">
      <c r="A554" s="67" t="s">
        <v>1148</v>
      </c>
      <c r="B554" s="78"/>
      <c r="C554" s="62">
        <v>0.08</v>
      </c>
      <c r="D554" s="63">
        <v>0.69</v>
      </c>
      <c r="E554" s="63">
        <v>0.69</v>
      </c>
      <c r="F554" s="64" t="s">
        <v>254</v>
      </c>
      <c r="G554" s="59">
        <v>47848.0</v>
      </c>
      <c r="K554" s="65" t="s">
        <v>1147</v>
      </c>
      <c r="L554" s="7"/>
      <c r="M554" s="70" t="e">
        <v>#N/A</v>
      </c>
      <c r="N554" s="7"/>
      <c r="O554" s="7"/>
      <c r="P554" s="7"/>
    </row>
    <row r="555">
      <c r="A555" s="67" t="s">
        <v>1149</v>
      </c>
      <c r="B555" s="78"/>
      <c r="C555" s="62">
        <v>0.08</v>
      </c>
      <c r="D555" s="63">
        <v>0.69</v>
      </c>
      <c r="E555" s="63">
        <v>0.69</v>
      </c>
      <c r="F555" s="64" t="s">
        <v>254</v>
      </c>
      <c r="G555" s="59">
        <v>47848.0</v>
      </c>
      <c r="K555" s="65" t="s">
        <v>1148</v>
      </c>
      <c r="L555" s="7"/>
      <c r="M555" s="70" t="e">
        <v>#N/A</v>
      </c>
      <c r="N555" s="7"/>
      <c r="O555" s="7"/>
      <c r="P555" s="7"/>
    </row>
    <row r="556">
      <c r="A556" s="67" t="s">
        <v>1150</v>
      </c>
      <c r="B556" s="78"/>
      <c r="C556" s="62">
        <v>0.08</v>
      </c>
      <c r="D556" s="63">
        <v>0.69</v>
      </c>
      <c r="E556" s="63">
        <v>0.69</v>
      </c>
      <c r="F556" s="64" t="s">
        <v>254</v>
      </c>
      <c r="G556" s="59">
        <v>47848.0</v>
      </c>
      <c r="K556" s="65" t="s">
        <v>1149</v>
      </c>
      <c r="L556" s="7"/>
      <c r="M556" s="70" t="e">
        <v>#N/A</v>
      </c>
      <c r="N556" s="7"/>
      <c r="O556" s="7"/>
      <c r="P556" s="7"/>
    </row>
    <row r="557">
      <c r="A557" s="67" t="s">
        <v>1151</v>
      </c>
      <c r="B557" s="78"/>
      <c r="C557" s="62">
        <v>0.08</v>
      </c>
      <c r="D557" s="63">
        <v>0.69</v>
      </c>
      <c r="E557" s="63">
        <v>0.69</v>
      </c>
      <c r="F557" s="64" t="s">
        <v>254</v>
      </c>
      <c r="G557" s="59">
        <v>47848.0</v>
      </c>
      <c r="K557" s="65" t="s">
        <v>1150</v>
      </c>
      <c r="L557" s="7"/>
      <c r="M557" s="70" t="e">
        <v>#N/A</v>
      </c>
      <c r="N557" s="7"/>
      <c r="O557" s="7"/>
      <c r="P557" s="7"/>
    </row>
    <row r="558">
      <c r="A558" s="67" t="s">
        <v>1152</v>
      </c>
      <c r="B558" s="78"/>
      <c r="C558" s="62">
        <v>0.08</v>
      </c>
      <c r="D558" s="63">
        <v>0.69</v>
      </c>
      <c r="E558" s="63">
        <v>0.69</v>
      </c>
      <c r="F558" s="64" t="s">
        <v>254</v>
      </c>
      <c r="G558" s="59">
        <v>47848.0</v>
      </c>
      <c r="K558" s="65" t="s">
        <v>1151</v>
      </c>
      <c r="L558" s="7"/>
      <c r="M558" s="70" t="e">
        <v>#N/A</v>
      </c>
      <c r="N558" s="7"/>
      <c r="O558" s="7"/>
      <c r="P558" s="7"/>
    </row>
    <row r="559">
      <c r="A559" s="67" t="s">
        <v>1153</v>
      </c>
      <c r="B559" s="78"/>
      <c r="C559" s="62">
        <v>0.08</v>
      </c>
      <c r="D559" s="63">
        <v>0.69</v>
      </c>
      <c r="E559" s="63">
        <v>0.69</v>
      </c>
      <c r="F559" s="64" t="s">
        <v>254</v>
      </c>
      <c r="G559" s="59">
        <v>47848.0</v>
      </c>
      <c r="K559" s="65" t="s">
        <v>1152</v>
      </c>
      <c r="L559" s="7"/>
      <c r="M559" s="70" t="e">
        <v>#N/A</v>
      </c>
      <c r="N559" s="7"/>
      <c r="O559" s="7"/>
      <c r="P559" s="7"/>
    </row>
    <row r="560">
      <c r="A560" s="67" t="s">
        <v>1154</v>
      </c>
      <c r="B560" s="78"/>
      <c r="C560" s="62">
        <v>0.08</v>
      </c>
      <c r="D560" s="63">
        <v>0.69</v>
      </c>
      <c r="E560" s="63">
        <v>0.69</v>
      </c>
      <c r="F560" s="64" t="s">
        <v>254</v>
      </c>
      <c r="G560" s="59">
        <v>47848.0</v>
      </c>
      <c r="K560" s="65" t="s">
        <v>1153</v>
      </c>
      <c r="L560" s="7"/>
      <c r="M560" s="70" t="e">
        <v>#N/A</v>
      </c>
      <c r="N560" s="7"/>
      <c r="O560" s="7"/>
      <c r="P560" s="7"/>
    </row>
    <row r="561">
      <c r="A561" s="67" t="s">
        <v>1155</v>
      </c>
      <c r="B561" s="78"/>
      <c r="C561" s="62">
        <v>0.08</v>
      </c>
      <c r="D561" s="63">
        <v>0.69</v>
      </c>
      <c r="E561" s="63">
        <v>0.69</v>
      </c>
      <c r="F561" s="64" t="s">
        <v>254</v>
      </c>
      <c r="G561" s="59">
        <v>47848.0</v>
      </c>
      <c r="K561" s="65" t="s">
        <v>1154</v>
      </c>
      <c r="L561" s="7"/>
      <c r="M561" s="70" t="e">
        <v>#N/A</v>
      </c>
      <c r="N561" s="7"/>
      <c r="O561" s="7"/>
      <c r="P561" s="7"/>
    </row>
    <row r="562">
      <c r="A562" s="67" t="s">
        <v>1156</v>
      </c>
      <c r="B562" s="78"/>
      <c r="C562" s="62">
        <v>0.08</v>
      </c>
      <c r="D562" s="63">
        <v>0.69</v>
      </c>
      <c r="E562" s="63">
        <v>0.69</v>
      </c>
      <c r="F562" s="64" t="s">
        <v>254</v>
      </c>
      <c r="G562" s="59">
        <v>47848.0</v>
      </c>
      <c r="K562" s="65" t="s">
        <v>1155</v>
      </c>
      <c r="L562" s="7"/>
      <c r="M562" s="70" t="e">
        <v>#N/A</v>
      </c>
      <c r="N562" s="7"/>
      <c r="O562" s="7"/>
      <c r="P562" s="7"/>
    </row>
    <row r="563">
      <c r="A563" s="67" t="s">
        <v>1157</v>
      </c>
      <c r="B563" s="78"/>
      <c r="C563" s="62">
        <v>0.08</v>
      </c>
      <c r="D563" s="63">
        <v>0.69</v>
      </c>
      <c r="E563" s="63">
        <v>0.69</v>
      </c>
      <c r="F563" s="64" t="s">
        <v>254</v>
      </c>
      <c r="G563" s="59">
        <v>47848.0</v>
      </c>
      <c r="K563" s="65" t="s">
        <v>1156</v>
      </c>
      <c r="L563" s="7"/>
      <c r="M563" s="70" t="e">
        <v>#N/A</v>
      </c>
      <c r="N563" s="7"/>
      <c r="O563" s="7"/>
      <c r="P563" s="7"/>
    </row>
    <row r="564">
      <c r="A564" s="67" t="s">
        <v>1158</v>
      </c>
      <c r="B564" s="78"/>
      <c r="C564" s="62">
        <v>0.08</v>
      </c>
      <c r="D564" s="63">
        <v>0.69</v>
      </c>
      <c r="E564" s="63">
        <v>0.69</v>
      </c>
      <c r="F564" s="64" t="s">
        <v>254</v>
      </c>
      <c r="G564" s="59">
        <v>47848.0</v>
      </c>
      <c r="K564" s="65" t="s">
        <v>1157</v>
      </c>
      <c r="L564" s="7"/>
      <c r="M564" s="70" t="e">
        <v>#N/A</v>
      </c>
      <c r="N564" s="7"/>
      <c r="O564" s="7"/>
      <c r="P564" s="7"/>
    </row>
    <row r="565">
      <c r="A565" s="67" t="s">
        <v>1159</v>
      </c>
      <c r="B565" s="78"/>
      <c r="C565" s="62">
        <v>0.08</v>
      </c>
      <c r="D565" s="63">
        <v>0.69</v>
      </c>
      <c r="E565" s="63">
        <v>0.69</v>
      </c>
      <c r="F565" s="64" t="s">
        <v>254</v>
      </c>
      <c r="G565" s="59">
        <v>47848.0</v>
      </c>
      <c r="K565" s="65" t="s">
        <v>1158</v>
      </c>
      <c r="L565" s="7"/>
      <c r="M565" s="70" t="e">
        <v>#N/A</v>
      </c>
      <c r="N565" s="7"/>
      <c r="O565" s="7"/>
      <c r="P565" s="7"/>
    </row>
    <row r="566">
      <c r="A566" s="67" t="s">
        <v>1160</v>
      </c>
      <c r="B566" s="78"/>
      <c r="C566" s="62">
        <v>0.08</v>
      </c>
      <c r="D566" s="63">
        <v>0.69</v>
      </c>
      <c r="E566" s="63">
        <v>0.69</v>
      </c>
      <c r="F566" s="64" t="s">
        <v>254</v>
      </c>
      <c r="G566" s="59">
        <v>47848.0</v>
      </c>
      <c r="K566" s="65" t="s">
        <v>1159</v>
      </c>
      <c r="L566" s="7"/>
      <c r="M566" s="70" t="e">
        <v>#N/A</v>
      </c>
      <c r="N566" s="7"/>
      <c r="O566" s="7"/>
      <c r="P566" s="7"/>
    </row>
    <row r="567">
      <c r="A567" s="67" t="s">
        <v>1161</v>
      </c>
      <c r="B567" s="78"/>
      <c r="C567" s="62">
        <v>0.08</v>
      </c>
      <c r="D567" s="63">
        <v>0.69</v>
      </c>
      <c r="E567" s="63">
        <v>0.69</v>
      </c>
      <c r="F567" s="64" t="s">
        <v>254</v>
      </c>
      <c r="G567" s="59">
        <v>47848.0</v>
      </c>
      <c r="K567" s="65" t="s">
        <v>1160</v>
      </c>
      <c r="L567" s="7"/>
      <c r="M567" s="70" t="e">
        <v>#N/A</v>
      </c>
      <c r="N567" s="7"/>
      <c r="O567" s="7"/>
      <c r="P567" s="7"/>
    </row>
    <row r="568">
      <c r="A568" s="67" t="s">
        <v>1162</v>
      </c>
      <c r="B568" s="78"/>
      <c r="C568" s="62">
        <v>0.08</v>
      </c>
      <c r="D568" s="63">
        <v>0.69</v>
      </c>
      <c r="E568" s="63">
        <v>0.69</v>
      </c>
      <c r="F568" s="64" t="s">
        <v>254</v>
      </c>
      <c r="G568" s="59">
        <v>47848.0</v>
      </c>
      <c r="K568" s="65" t="s">
        <v>1161</v>
      </c>
      <c r="L568" s="7"/>
      <c r="M568" s="70" t="e">
        <v>#N/A</v>
      </c>
      <c r="N568" s="7"/>
      <c r="O568" s="7"/>
      <c r="P568" s="7"/>
    </row>
    <row r="569">
      <c r="A569" s="67" t="s">
        <v>1163</v>
      </c>
      <c r="B569" s="78"/>
      <c r="C569" s="62">
        <v>0.08</v>
      </c>
      <c r="D569" s="63">
        <v>0.69</v>
      </c>
      <c r="E569" s="63">
        <v>0.69</v>
      </c>
      <c r="F569" s="64" t="s">
        <v>254</v>
      </c>
      <c r="G569" s="59">
        <v>47848.0</v>
      </c>
      <c r="K569" s="65" t="s">
        <v>1162</v>
      </c>
      <c r="L569" s="7"/>
      <c r="M569" s="70" t="e">
        <v>#N/A</v>
      </c>
      <c r="N569" s="7"/>
      <c r="O569" s="7"/>
      <c r="P569" s="7"/>
    </row>
    <row r="570">
      <c r="A570" s="67" t="s">
        <v>1164</v>
      </c>
      <c r="B570" s="78"/>
      <c r="C570" s="62">
        <v>0.08</v>
      </c>
      <c r="D570" s="63">
        <v>0.69</v>
      </c>
      <c r="E570" s="63">
        <v>0.69</v>
      </c>
      <c r="F570" s="64" t="s">
        <v>254</v>
      </c>
      <c r="G570" s="59">
        <v>47848.0</v>
      </c>
      <c r="K570" s="65" t="s">
        <v>1163</v>
      </c>
      <c r="L570" s="7"/>
      <c r="M570" s="70" t="e">
        <v>#N/A</v>
      </c>
      <c r="N570" s="7"/>
      <c r="O570" s="7"/>
      <c r="P570" s="7"/>
    </row>
    <row r="571">
      <c r="A571" s="67" t="s">
        <v>1165</v>
      </c>
      <c r="B571" s="78"/>
      <c r="C571" s="62">
        <v>0.08</v>
      </c>
      <c r="D571" s="63">
        <v>0.69</v>
      </c>
      <c r="E571" s="63">
        <v>0.69</v>
      </c>
      <c r="F571" s="64" t="s">
        <v>254</v>
      </c>
      <c r="G571" s="59">
        <v>47848.0</v>
      </c>
      <c r="K571" s="65" t="s">
        <v>1164</v>
      </c>
      <c r="L571" s="7"/>
      <c r="M571" s="70" t="e">
        <v>#N/A</v>
      </c>
      <c r="N571" s="7"/>
      <c r="O571" s="7"/>
      <c r="P571" s="7"/>
    </row>
    <row r="572">
      <c r="A572" s="67" t="s">
        <v>1166</v>
      </c>
      <c r="B572" s="78"/>
      <c r="C572" s="62">
        <v>0.08</v>
      </c>
      <c r="D572" s="63">
        <v>0.69</v>
      </c>
      <c r="E572" s="63">
        <v>0.69</v>
      </c>
      <c r="F572" s="64" t="s">
        <v>254</v>
      </c>
      <c r="G572" s="59">
        <v>47848.0</v>
      </c>
      <c r="K572" s="65" t="s">
        <v>1165</v>
      </c>
      <c r="L572" s="7"/>
      <c r="M572" s="70" t="e">
        <v>#N/A</v>
      </c>
      <c r="N572" s="7"/>
      <c r="O572" s="7"/>
      <c r="P572" s="7"/>
    </row>
    <row r="573">
      <c r="A573" s="67" t="s">
        <v>1167</v>
      </c>
      <c r="B573" s="25">
        <v>315.0</v>
      </c>
      <c r="C573" s="62">
        <v>0.08</v>
      </c>
      <c r="D573" s="63">
        <v>0.69</v>
      </c>
      <c r="E573" s="63">
        <v>0.69</v>
      </c>
      <c r="F573" s="64" t="s">
        <v>254</v>
      </c>
      <c r="G573" s="59">
        <v>47848.0</v>
      </c>
      <c r="K573" s="65" t="s">
        <v>1166</v>
      </c>
      <c r="L573" s="7"/>
      <c r="M573" s="70" t="e">
        <v>#N/A</v>
      </c>
      <c r="N573" s="7"/>
      <c r="O573" s="7"/>
      <c r="P573" s="7"/>
    </row>
    <row r="574">
      <c r="A574" s="67" t="s">
        <v>1168</v>
      </c>
      <c r="B574" s="78"/>
      <c r="C574" s="62">
        <v>0.08</v>
      </c>
      <c r="D574" s="63">
        <v>0.69</v>
      </c>
      <c r="E574" s="63">
        <v>0.69</v>
      </c>
      <c r="F574" s="64" t="s">
        <v>254</v>
      </c>
      <c r="G574" s="59">
        <v>47848.0</v>
      </c>
      <c r="K574" s="65" t="s">
        <v>1167</v>
      </c>
      <c r="L574" s="66">
        <v>315.0</v>
      </c>
      <c r="M574" s="70" t="e">
        <v>#N/A</v>
      </c>
      <c r="N574" s="7"/>
      <c r="O574" s="7"/>
      <c r="P574" s="7"/>
    </row>
    <row r="575">
      <c r="A575" s="67" t="s">
        <v>1169</v>
      </c>
      <c r="B575" s="78"/>
      <c r="C575" s="62">
        <v>0.08</v>
      </c>
      <c r="D575" s="63">
        <v>0.69</v>
      </c>
      <c r="E575" s="63">
        <v>0.69</v>
      </c>
      <c r="F575" s="64" t="s">
        <v>254</v>
      </c>
      <c r="G575" s="59">
        <v>47848.0</v>
      </c>
      <c r="K575" s="65" t="s">
        <v>1168</v>
      </c>
      <c r="L575" s="7"/>
      <c r="M575" s="70" t="e">
        <v>#N/A</v>
      </c>
      <c r="N575" s="7"/>
      <c r="O575" s="7"/>
      <c r="P575" s="7"/>
    </row>
    <row r="576">
      <c r="A576" s="67" t="s">
        <v>1170</v>
      </c>
      <c r="B576" s="78"/>
      <c r="C576" s="62">
        <v>0.08</v>
      </c>
      <c r="D576" s="63">
        <v>0.69</v>
      </c>
      <c r="E576" s="63">
        <v>0.69</v>
      </c>
      <c r="F576" s="64" t="s">
        <v>254</v>
      </c>
      <c r="G576" s="59">
        <v>47848.0</v>
      </c>
      <c r="K576" s="65" t="s">
        <v>1169</v>
      </c>
      <c r="L576" s="7"/>
      <c r="M576" s="70" t="e">
        <v>#N/A</v>
      </c>
      <c r="N576" s="7"/>
      <c r="O576" s="7"/>
      <c r="P576" s="7"/>
    </row>
    <row r="577">
      <c r="A577" s="67" t="s">
        <v>1171</v>
      </c>
      <c r="B577" s="78"/>
      <c r="C577" s="62">
        <v>0.08</v>
      </c>
      <c r="D577" s="63">
        <v>0.69</v>
      </c>
      <c r="E577" s="63">
        <v>0.69</v>
      </c>
      <c r="F577" s="64" t="s">
        <v>254</v>
      </c>
      <c r="G577" s="59">
        <v>47848.0</v>
      </c>
      <c r="K577" s="65" t="s">
        <v>1170</v>
      </c>
      <c r="L577" s="7"/>
      <c r="M577" s="70" t="e">
        <v>#N/A</v>
      </c>
      <c r="N577" s="7"/>
      <c r="O577" s="7"/>
      <c r="P577" s="7"/>
    </row>
    <row r="578">
      <c r="A578" s="67" t="s">
        <v>1172</v>
      </c>
      <c r="B578" s="78"/>
      <c r="C578" s="62">
        <v>0.08</v>
      </c>
      <c r="D578" s="63">
        <v>0.69</v>
      </c>
      <c r="E578" s="63">
        <v>0.69</v>
      </c>
      <c r="F578" s="64" t="s">
        <v>254</v>
      </c>
      <c r="G578" s="59">
        <v>47848.0</v>
      </c>
      <c r="K578" s="65" t="s">
        <v>1171</v>
      </c>
      <c r="L578" s="7"/>
      <c r="M578" s="70" t="e">
        <v>#N/A</v>
      </c>
      <c r="N578" s="7"/>
      <c r="O578" s="7"/>
      <c r="P578" s="7"/>
    </row>
    <row r="579">
      <c r="A579" s="67" t="s">
        <v>1173</v>
      </c>
      <c r="B579" s="78"/>
      <c r="C579" s="62">
        <v>0.08</v>
      </c>
      <c r="D579" s="63">
        <v>0.69</v>
      </c>
      <c r="E579" s="63">
        <v>0.69</v>
      </c>
      <c r="F579" s="64" t="s">
        <v>254</v>
      </c>
      <c r="G579" s="59">
        <v>47848.0</v>
      </c>
      <c r="K579" s="65" t="s">
        <v>1172</v>
      </c>
      <c r="L579" s="7"/>
      <c r="M579" s="70" t="e">
        <v>#N/A</v>
      </c>
      <c r="N579" s="7"/>
      <c r="O579" s="7"/>
      <c r="P579" s="7"/>
    </row>
    <row r="580">
      <c r="A580" s="67" t="s">
        <v>1174</v>
      </c>
      <c r="B580" s="78"/>
      <c r="C580" s="62">
        <v>0.08</v>
      </c>
      <c r="D580" s="63">
        <v>0.69</v>
      </c>
      <c r="E580" s="63">
        <v>0.69</v>
      </c>
      <c r="F580" s="64" t="s">
        <v>254</v>
      </c>
      <c r="G580" s="59">
        <v>47848.0</v>
      </c>
      <c r="K580" s="65" t="s">
        <v>1173</v>
      </c>
      <c r="L580" s="7"/>
      <c r="M580" s="70" t="e">
        <v>#N/A</v>
      </c>
      <c r="N580" s="7"/>
      <c r="O580" s="7"/>
      <c r="P580" s="7"/>
    </row>
    <row r="581">
      <c r="A581" s="67" t="s">
        <v>1175</v>
      </c>
      <c r="B581" s="78"/>
      <c r="C581" s="62">
        <v>0.08</v>
      </c>
      <c r="D581" s="63">
        <v>0.69</v>
      </c>
      <c r="E581" s="63">
        <v>0.69</v>
      </c>
      <c r="F581" s="64" t="s">
        <v>254</v>
      </c>
      <c r="G581" s="59">
        <v>47848.0</v>
      </c>
      <c r="K581" s="65" t="s">
        <v>1174</v>
      </c>
      <c r="L581" s="7"/>
      <c r="M581" s="70" t="e">
        <v>#N/A</v>
      </c>
      <c r="N581" s="7"/>
      <c r="O581" s="7"/>
      <c r="P581" s="7"/>
    </row>
    <row r="582">
      <c r="A582" s="67" t="s">
        <v>1176</v>
      </c>
      <c r="B582" s="78"/>
      <c r="C582" s="62">
        <v>0.08</v>
      </c>
      <c r="D582" s="63">
        <v>0.69</v>
      </c>
      <c r="E582" s="63">
        <v>0.69</v>
      </c>
      <c r="F582" s="64" t="s">
        <v>254</v>
      </c>
      <c r="G582" s="59">
        <v>47848.0</v>
      </c>
      <c r="K582" s="65" t="s">
        <v>1175</v>
      </c>
      <c r="L582" s="7"/>
      <c r="M582" s="70" t="e">
        <v>#N/A</v>
      </c>
      <c r="N582" s="7"/>
      <c r="O582" s="7"/>
      <c r="P582" s="7"/>
    </row>
    <row r="583">
      <c r="A583" s="67" t="s">
        <v>1177</v>
      </c>
      <c r="B583" s="78"/>
      <c r="C583" s="62">
        <v>0.08</v>
      </c>
      <c r="D583" s="63">
        <v>0.69</v>
      </c>
      <c r="E583" s="63">
        <v>0.69</v>
      </c>
      <c r="F583" s="64" t="s">
        <v>254</v>
      </c>
      <c r="G583" s="59">
        <v>47848.0</v>
      </c>
      <c r="K583" s="65" t="s">
        <v>1176</v>
      </c>
      <c r="L583" s="7"/>
      <c r="M583" s="70" t="e">
        <v>#N/A</v>
      </c>
      <c r="N583" s="7"/>
      <c r="O583" s="7"/>
      <c r="P583" s="7"/>
    </row>
    <row r="584">
      <c r="A584" s="67" t="s">
        <v>1178</v>
      </c>
      <c r="B584" s="78"/>
      <c r="C584" s="62">
        <v>0.08</v>
      </c>
      <c r="D584" s="63">
        <v>0.69</v>
      </c>
      <c r="E584" s="63">
        <v>0.69</v>
      </c>
      <c r="F584" s="64" t="s">
        <v>254</v>
      </c>
      <c r="G584" s="59">
        <v>47848.0</v>
      </c>
      <c r="K584" s="65" t="s">
        <v>1177</v>
      </c>
      <c r="L584" s="7"/>
      <c r="M584" s="70" t="e">
        <v>#N/A</v>
      </c>
      <c r="N584" s="7"/>
      <c r="O584" s="7"/>
      <c r="P584" s="7"/>
    </row>
    <row r="585">
      <c r="A585" s="67" t="s">
        <v>1179</v>
      </c>
      <c r="B585" s="78"/>
      <c r="C585" s="62">
        <v>0.08</v>
      </c>
      <c r="D585" s="63">
        <v>0.69</v>
      </c>
      <c r="E585" s="63">
        <v>0.69</v>
      </c>
      <c r="F585" s="64" t="s">
        <v>254</v>
      </c>
      <c r="G585" s="59">
        <v>47848.0</v>
      </c>
      <c r="K585" s="65" t="s">
        <v>1178</v>
      </c>
      <c r="L585" s="7"/>
      <c r="M585" s="70" t="e">
        <v>#N/A</v>
      </c>
      <c r="N585" s="7"/>
      <c r="O585" s="7"/>
      <c r="P585" s="7"/>
    </row>
    <row r="586">
      <c r="A586" s="67" t="s">
        <v>1180</v>
      </c>
      <c r="B586" s="78"/>
      <c r="C586" s="62">
        <v>0.08</v>
      </c>
      <c r="D586" s="63">
        <v>0.69</v>
      </c>
      <c r="E586" s="63">
        <v>0.69</v>
      </c>
      <c r="F586" s="64" t="s">
        <v>254</v>
      </c>
      <c r="G586" s="59">
        <v>47848.0</v>
      </c>
      <c r="K586" s="65" t="s">
        <v>1179</v>
      </c>
      <c r="L586" s="7"/>
      <c r="M586" s="70" t="e">
        <v>#N/A</v>
      </c>
      <c r="N586" s="7"/>
      <c r="O586" s="7"/>
      <c r="P586" s="7"/>
    </row>
    <row r="587">
      <c r="A587" s="67" t="s">
        <v>1181</v>
      </c>
      <c r="B587" s="78"/>
      <c r="C587" s="62">
        <v>0.08</v>
      </c>
      <c r="D587" s="63">
        <v>0.69</v>
      </c>
      <c r="E587" s="63">
        <v>0.69</v>
      </c>
      <c r="F587" s="64" t="s">
        <v>254</v>
      </c>
      <c r="G587" s="59">
        <v>47848.0</v>
      </c>
      <c r="K587" s="65" t="s">
        <v>1180</v>
      </c>
      <c r="L587" s="7"/>
      <c r="M587" s="70" t="e">
        <v>#N/A</v>
      </c>
      <c r="N587" s="7"/>
      <c r="O587" s="7"/>
      <c r="P587" s="7"/>
    </row>
    <row r="588">
      <c r="A588" s="67" t="s">
        <v>1182</v>
      </c>
      <c r="B588" s="78"/>
      <c r="C588" s="62">
        <v>0.08</v>
      </c>
      <c r="D588" s="63">
        <v>0.69</v>
      </c>
      <c r="E588" s="63">
        <v>0.69</v>
      </c>
      <c r="F588" s="64" t="s">
        <v>254</v>
      </c>
      <c r="G588" s="59">
        <v>47848.0</v>
      </c>
      <c r="K588" s="65" t="s">
        <v>1181</v>
      </c>
      <c r="L588" s="7"/>
      <c r="M588" s="70" t="e">
        <v>#N/A</v>
      </c>
      <c r="N588" s="7"/>
      <c r="O588" s="7"/>
      <c r="P588" s="7"/>
    </row>
    <row r="589">
      <c r="A589" s="67" t="s">
        <v>1183</v>
      </c>
      <c r="B589" s="78"/>
      <c r="C589" s="62">
        <v>0.08</v>
      </c>
      <c r="D589" s="63">
        <v>0.69</v>
      </c>
      <c r="E589" s="63">
        <v>0.69</v>
      </c>
      <c r="F589" s="64" t="s">
        <v>254</v>
      </c>
      <c r="G589" s="59">
        <v>47848.0</v>
      </c>
      <c r="K589" s="65" t="s">
        <v>1182</v>
      </c>
      <c r="L589" s="7"/>
      <c r="M589" s="70" t="e">
        <v>#N/A</v>
      </c>
      <c r="N589" s="7"/>
      <c r="O589" s="7"/>
      <c r="P589" s="7"/>
    </row>
    <row r="590">
      <c r="A590" s="67" t="s">
        <v>1184</v>
      </c>
      <c r="B590" s="78"/>
      <c r="C590" s="62">
        <v>0.08</v>
      </c>
      <c r="D590" s="63">
        <v>0.69</v>
      </c>
      <c r="E590" s="63">
        <v>0.69</v>
      </c>
      <c r="F590" s="64" t="s">
        <v>254</v>
      </c>
      <c r="G590" s="59">
        <v>47848.0</v>
      </c>
      <c r="K590" s="65" t="s">
        <v>1183</v>
      </c>
      <c r="L590" s="7"/>
      <c r="M590" s="70" t="e">
        <v>#N/A</v>
      </c>
      <c r="N590" s="7"/>
      <c r="O590" s="7"/>
      <c r="P590" s="7"/>
    </row>
    <row r="591">
      <c r="A591" s="67" t="s">
        <v>1185</v>
      </c>
      <c r="B591" s="78"/>
      <c r="C591" s="62">
        <v>0.08</v>
      </c>
      <c r="D591" s="63">
        <v>0.69</v>
      </c>
      <c r="E591" s="63">
        <v>0.69</v>
      </c>
      <c r="F591" s="64" t="s">
        <v>254</v>
      </c>
      <c r="G591" s="59">
        <v>47848.0</v>
      </c>
      <c r="K591" s="65" t="s">
        <v>1184</v>
      </c>
      <c r="L591" s="7"/>
      <c r="M591" s="70" t="e">
        <v>#N/A</v>
      </c>
      <c r="N591" s="7"/>
      <c r="O591" s="7"/>
      <c r="P591" s="7"/>
    </row>
    <row r="592">
      <c r="A592" s="67" t="s">
        <v>1186</v>
      </c>
      <c r="B592" s="78"/>
      <c r="C592" s="62">
        <v>0.08</v>
      </c>
      <c r="D592" s="63">
        <v>0.69</v>
      </c>
      <c r="E592" s="63">
        <v>0.69</v>
      </c>
      <c r="F592" s="64" t="s">
        <v>254</v>
      </c>
      <c r="G592" s="59">
        <v>47848.0</v>
      </c>
      <c r="K592" s="65" t="s">
        <v>1185</v>
      </c>
      <c r="L592" s="7"/>
      <c r="M592" s="70" t="e">
        <v>#N/A</v>
      </c>
      <c r="N592" s="7"/>
      <c r="O592" s="7"/>
      <c r="P592" s="7"/>
    </row>
    <row r="593">
      <c r="A593" s="67" t="s">
        <v>1187</v>
      </c>
      <c r="B593" s="78"/>
      <c r="C593" s="62">
        <v>0.08</v>
      </c>
      <c r="D593" s="63">
        <v>0.69</v>
      </c>
      <c r="E593" s="63">
        <v>0.69</v>
      </c>
      <c r="F593" s="64" t="s">
        <v>254</v>
      </c>
      <c r="G593" s="59">
        <v>47848.0</v>
      </c>
      <c r="K593" s="65" t="s">
        <v>1186</v>
      </c>
      <c r="L593" s="7"/>
      <c r="M593" s="70" t="e">
        <v>#N/A</v>
      </c>
      <c r="N593" s="7"/>
      <c r="O593" s="7"/>
      <c r="P593" s="7"/>
    </row>
    <row r="594">
      <c r="A594" s="67" t="s">
        <v>1188</v>
      </c>
      <c r="B594" s="78"/>
      <c r="C594" s="62">
        <v>0.08</v>
      </c>
      <c r="D594" s="63">
        <v>0.69</v>
      </c>
      <c r="E594" s="63">
        <v>0.69</v>
      </c>
      <c r="F594" s="64" t="s">
        <v>254</v>
      </c>
      <c r="G594" s="59">
        <v>47848.0</v>
      </c>
      <c r="K594" s="65" t="s">
        <v>1187</v>
      </c>
      <c r="L594" s="7"/>
      <c r="M594" s="70" t="e">
        <v>#N/A</v>
      </c>
      <c r="N594" s="7"/>
      <c r="O594" s="7"/>
      <c r="P594" s="7"/>
    </row>
    <row r="595">
      <c r="A595" s="67" t="s">
        <v>1189</v>
      </c>
      <c r="B595" s="78"/>
      <c r="C595" s="62">
        <v>0.08</v>
      </c>
      <c r="D595" s="63">
        <v>0.69</v>
      </c>
      <c r="E595" s="63">
        <v>0.69</v>
      </c>
      <c r="F595" s="64" t="s">
        <v>254</v>
      </c>
      <c r="G595" s="59">
        <v>47848.0</v>
      </c>
      <c r="K595" s="65" t="s">
        <v>1188</v>
      </c>
      <c r="L595" s="7"/>
      <c r="M595" s="70" t="e">
        <v>#N/A</v>
      </c>
      <c r="N595" s="7"/>
      <c r="O595" s="7"/>
      <c r="P595" s="7"/>
    </row>
    <row r="596">
      <c r="A596" s="67" t="s">
        <v>1190</v>
      </c>
      <c r="B596" s="78"/>
      <c r="C596" s="62">
        <v>0.08</v>
      </c>
      <c r="D596" s="63">
        <v>0.69</v>
      </c>
      <c r="E596" s="63">
        <v>0.69</v>
      </c>
      <c r="F596" s="64" t="s">
        <v>254</v>
      </c>
      <c r="G596" s="59">
        <v>47848.0</v>
      </c>
      <c r="K596" s="65" t="s">
        <v>1189</v>
      </c>
      <c r="L596" s="7"/>
      <c r="M596" s="70" t="e">
        <v>#N/A</v>
      </c>
      <c r="N596" s="7"/>
      <c r="O596" s="7"/>
      <c r="P596" s="7"/>
    </row>
    <row r="597">
      <c r="A597" s="67" t="s">
        <v>1191</v>
      </c>
      <c r="B597" s="78"/>
      <c r="C597" s="62">
        <v>0.08</v>
      </c>
      <c r="D597" s="63">
        <v>0.69</v>
      </c>
      <c r="E597" s="63">
        <v>0.69</v>
      </c>
      <c r="F597" s="64" t="s">
        <v>254</v>
      </c>
      <c r="G597" s="59">
        <v>47848.0</v>
      </c>
      <c r="K597" s="65" t="s">
        <v>1190</v>
      </c>
      <c r="L597" s="7"/>
      <c r="M597" s="70" t="e">
        <v>#N/A</v>
      </c>
      <c r="N597" s="7"/>
      <c r="O597" s="7"/>
      <c r="P597" s="7"/>
    </row>
    <row r="598">
      <c r="A598" s="67" t="s">
        <v>1192</v>
      </c>
      <c r="B598" s="78"/>
      <c r="C598" s="62">
        <v>0.08</v>
      </c>
      <c r="D598" s="63">
        <v>0.69</v>
      </c>
      <c r="E598" s="63">
        <v>0.69</v>
      </c>
      <c r="F598" s="64" t="s">
        <v>254</v>
      </c>
      <c r="G598" s="59">
        <v>47848.0</v>
      </c>
      <c r="K598" s="65" t="s">
        <v>1191</v>
      </c>
      <c r="L598" s="7"/>
      <c r="M598" s="70" t="e">
        <v>#N/A</v>
      </c>
      <c r="N598" s="7"/>
      <c r="O598" s="7"/>
      <c r="P598" s="7"/>
    </row>
    <row r="599">
      <c r="A599" s="67" t="s">
        <v>1193</v>
      </c>
      <c r="B599" s="78"/>
      <c r="C599" s="62">
        <v>0.08</v>
      </c>
      <c r="D599" s="63">
        <v>0.69</v>
      </c>
      <c r="E599" s="63">
        <v>0.69</v>
      </c>
      <c r="F599" s="64" t="s">
        <v>254</v>
      </c>
      <c r="G599" s="59">
        <v>47848.0</v>
      </c>
      <c r="K599" s="65" t="s">
        <v>1192</v>
      </c>
      <c r="L599" s="7"/>
      <c r="M599" s="70" t="e">
        <v>#N/A</v>
      </c>
      <c r="N599" s="7"/>
      <c r="O599" s="7"/>
      <c r="P599" s="7"/>
    </row>
    <row r="600">
      <c r="A600" s="67" t="s">
        <v>1194</v>
      </c>
      <c r="B600" s="78"/>
      <c r="C600" s="62">
        <v>0.08</v>
      </c>
      <c r="D600" s="63">
        <v>0.69</v>
      </c>
      <c r="E600" s="63">
        <v>0.69</v>
      </c>
      <c r="F600" s="64" t="s">
        <v>254</v>
      </c>
      <c r="G600" s="59">
        <v>47848.0</v>
      </c>
      <c r="K600" s="65" t="s">
        <v>1193</v>
      </c>
      <c r="L600" s="7"/>
      <c r="M600" s="70" t="e">
        <v>#N/A</v>
      </c>
      <c r="N600" s="7"/>
      <c r="O600" s="7"/>
      <c r="P600" s="7"/>
    </row>
    <row r="601">
      <c r="A601" s="67" t="s">
        <v>1195</v>
      </c>
      <c r="B601" s="78"/>
      <c r="C601" s="62">
        <v>0.08</v>
      </c>
      <c r="D601" s="63">
        <v>0.69</v>
      </c>
      <c r="E601" s="63">
        <v>0.69</v>
      </c>
      <c r="F601" s="64" t="s">
        <v>254</v>
      </c>
      <c r="G601" s="59">
        <v>47848.0</v>
      </c>
      <c r="K601" s="65" t="s">
        <v>1194</v>
      </c>
      <c r="L601" s="7"/>
      <c r="M601" s="70" t="e">
        <v>#N/A</v>
      </c>
      <c r="N601" s="7"/>
      <c r="O601" s="7"/>
      <c r="P601" s="7"/>
    </row>
    <row r="602">
      <c r="A602" s="67" t="s">
        <v>1196</v>
      </c>
      <c r="B602" s="78"/>
      <c r="C602" s="62">
        <v>0.08</v>
      </c>
      <c r="D602" s="63">
        <v>0.69</v>
      </c>
      <c r="E602" s="63">
        <v>0.69</v>
      </c>
      <c r="F602" s="64" t="s">
        <v>254</v>
      </c>
      <c r="G602" s="59">
        <v>47848.0</v>
      </c>
      <c r="K602" s="65" t="s">
        <v>1195</v>
      </c>
      <c r="L602" s="7"/>
      <c r="M602" s="70" t="e">
        <v>#N/A</v>
      </c>
      <c r="N602" s="7"/>
      <c r="O602" s="7"/>
      <c r="P602" s="7"/>
    </row>
    <row r="603">
      <c r="A603" s="67" t="s">
        <v>1197</v>
      </c>
      <c r="B603" s="78"/>
      <c r="C603" s="62">
        <v>0.08</v>
      </c>
      <c r="D603" s="63">
        <v>0.69</v>
      </c>
      <c r="E603" s="63">
        <v>0.69</v>
      </c>
      <c r="F603" s="64" t="s">
        <v>254</v>
      </c>
      <c r="G603" s="59">
        <v>47848.0</v>
      </c>
      <c r="K603" s="65" t="s">
        <v>1196</v>
      </c>
      <c r="L603" s="7"/>
      <c r="M603" s="70" t="e">
        <v>#N/A</v>
      </c>
      <c r="N603" s="7"/>
      <c r="O603" s="7"/>
      <c r="P603" s="7"/>
    </row>
    <row r="604">
      <c r="A604" s="67" t="s">
        <v>1198</v>
      </c>
      <c r="B604" s="78"/>
      <c r="C604" s="62">
        <v>0.08</v>
      </c>
      <c r="D604" s="63">
        <v>0.69</v>
      </c>
      <c r="E604" s="63">
        <v>0.69</v>
      </c>
      <c r="F604" s="64" t="s">
        <v>254</v>
      </c>
      <c r="G604" s="59">
        <v>47848.0</v>
      </c>
      <c r="K604" s="65" t="s">
        <v>1197</v>
      </c>
      <c r="L604" s="7"/>
      <c r="M604" s="70" t="e">
        <v>#N/A</v>
      </c>
      <c r="N604" s="7"/>
      <c r="O604" s="7"/>
      <c r="P604" s="7"/>
    </row>
    <row r="605">
      <c r="A605" s="67" t="s">
        <v>1199</v>
      </c>
      <c r="B605" s="78"/>
      <c r="C605" s="62">
        <v>0.08</v>
      </c>
      <c r="D605" s="63">
        <v>0.69</v>
      </c>
      <c r="E605" s="63">
        <v>0.69</v>
      </c>
      <c r="F605" s="64" t="s">
        <v>254</v>
      </c>
      <c r="G605" s="59">
        <v>47848.0</v>
      </c>
      <c r="K605" s="65" t="s">
        <v>1198</v>
      </c>
      <c r="L605" s="7"/>
      <c r="M605" s="70" t="e">
        <v>#N/A</v>
      </c>
      <c r="N605" s="7"/>
      <c r="O605" s="7"/>
      <c r="P605" s="7"/>
    </row>
    <row r="606">
      <c r="A606" s="67" t="s">
        <v>1200</v>
      </c>
      <c r="B606" s="78"/>
      <c r="C606" s="62">
        <v>0.08</v>
      </c>
      <c r="D606" s="63">
        <v>0.69</v>
      </c>
      <c r="E606" s="63">
        <v>0.69</v>
      </c>
      <c r="F606" s="64" t="s">
        <v>254</v>
      </c>
      <c r="G606" s="59">
        <v>47848.0</v>
      </c>
      <c r="K606" s="65" t="s">
        <v>1199</v>
      </c>
      <c r="L606" s="7"/>
      <c r="M606" s="70" t="e">
        <v>#N/A</v>
      </c>
      <c r="N606" s="7"/>
      <c r="O606" s="7"/>
      <c r="P606" s="7"/>
    </row>
    <row r="607">
      <c r="A607" s="67" t="s">
        <v>1201</v>
      </c>
      <c r="B607" s="78"/>
      <c r="C607" s="62">
        <v>0.08</v>
      </c>
      <c r="D607" s="63">
        <v>0.69</v>
      </c>
      <c r="E607" s="63">
        <v>0.69</v>
      </c>
      <c r="F607" s="64" t="s">
        <v>254</v>
      </c>
      <c r="G607" s="59">
        <v>47848.0</v>
      </c>
      <c r="K607" s="65" t="s">
        <v>1200</v>
      </c>
      <c r="L607" s="7"/>
      <c r="M607" s="70" t="e">
        <v>#N/A</v>
      </c>
      <c r="N607" s="7"/>
      <c r="O607" s="7"/>
      <c r="P607" s="7"/>
    </row>
    <row r="608">
      <c r="A608" s="67" t="s">
        <v>1202</v>
      </c>
      <c r="B608" s="78"/>
      <c r="C608" s="62">
        <v>0.08</v>
      </c>
      <c r="D608" s="63">
        <v>0.69</v>
      </c>
      <c r="E608" s="63">
        <v>0.69</v>
      </c>
      <c r="F608" s="64" t="s">
        <v>254</v>
      </c>
      <c r="G608" s="59">
        <v>47848.0</v>
      </c>
      <c r="K608" s="65" t="s">
        <v>1201</v>
      </c>
      <c r="L608" s="7"/>
      <c r="M608" s="70" t="e">
        <v>#N/A</v>
      </c>
      <c r="N608" s="7"/>
      <c r="O608" s="7"/>
      <c r="P608" s="7"/>
    </row>
    <row r="609">
      <c r="A609" s="67" t="s">
        <v>1203</v>
      </c>
      <c r="B609" s="78"/>
      <c r="C609" s="62">
        <v>0.08</v>
      </c>
      <c r="D609" s="63">
        <v>0.69</v>
      </c>
      <c r="E609" s="63">
        <v>0.69</v>
      </c>
      <c r="F609" s="64" t="s">
        <v>254</v>
      </c>
      <c r="G609" s="59">
        <v>47848.0</v>
      </c>
      <c r="K609" s="65" t="s">
        <v>1202</v>
      </c>
      <c r="L609" s="7"/>
      <c r="M609" s="70" t="e">
        <v>#N/A</v>
      </c>
      <c r="N609" s="7"/>
      <c r="O609" s="7"/>
      <c r="P609" s="7"/>
    </row>
    <row r="610">
      <c r="A610" s="67" t="s">
        <v>1204</v>
      </c>
      <c r="B610" s="78"/>
      <c r="C610" s="62">
        <v>0.08</v>
      </c>
      <c r="D610" s="63">
        <v>0.69</v>
      </c>
      <c r="E610" s="63">
        <v>0.69</v>
      </c>
      <c r="F610" s="64" t="s">
        <v>254</v>
      </c>
      <c r="G610" s="59">
        <v>47848.0</v>
      </c>
      <c r="K610" s="65" t="s">
        <v>1203</v>
      </c>
      <c r="L610" s="7"/>
      <c r="M610" s="70" t="e">
        <v>#N/A</v>
      </c>
      <c r="N610" s="7"/>
      <c r="O610" s="7"/>
      <c r="P610" s="7"/>
    </row>
    <row r="611">
      <c r="A611" s="67" t="s">
        <v>1205</v>
      </c>
      <c r="B611" s="78"/>
      <c r="C611" s="62">
        <v>0.08</v>
      </c>
      <c r="D611" s="63">
        <v>0.69</v>
      </c>
      <c r="E611" s="63">
        <v>0.69</v>
      </c>
      <c r="F611" s="64" t="s">
        <v>254</v>
      </c>
      <c r="G611" s="59">
        <v>47848.0</v>
      </c>
      <c r="K611" s="65" t="s">
        <v>1204</v>
      </c>
      <c r="L611" s="7"/>
      <c r="M611" s="70" t="e">
        <v>#N/A</v>
      </c>
      <c r="N611" s="7"/>
      <c r="O611" s="7"/>
      <c r="P611" s="7"/>
    </row>
    <row r="612">
      <c r="A612" s="67" t="s">
        <v>1206</v>
      </c>
      <c r="B612" s="78"/>
      <c r="C612" s="62">
        <v>0.08</v>
      </c>
      <c r="D612" s="63">
        <v>0.69</v>
      </c>
      <c r="E612" s="63">
        <v>0.69</v>
      </c>
      <c r="F612" s="64" t="s">
        <v>254</v>
      </c>
      <c r="G612" s="59">
        <v>47848.0</v>
      </c>
      <c r="K612" s="65" t="s">
        <v>1205</v>
      </c>
      <c r="L612" s="7"/>
      <c r="M612" s="70" t="e">
        <v>#N/A</v>
      </c>
      <c r="N612" s="7"/>
      <c r="O612" s="7"/>
      <c r="P612" s="7"/>
    </row>
    <row r="613">
      <c r="A613" s="67" t="s">
        <v>1207</v>
      </c>
      <c r="B613" s="78"/>
      <c r="C613" s="62">
        <v>0.08</v>
      </c>
      <c r="D613" s="63">
        <v>0.69</v>
      </c>
      <c r="E613" s="63">
        <v>0.69</v>
      </c>
      <c r="F613" s="64" t="s">
        <v>254</v>
      </c>
      <c r="G613" s="59">
        <v>47848.0</v>
      </c>
      <c r="K613" s="65" t="s">
        <v>1206</v>
      </c>
      <c r="L613" s="7"/>
      <c r="M613" s="70" t="e">
        <v>#N/A</v>
      </c>
      <c r="N613" s="7"/>
      <c r="O613" s="7"/>
      <c r="P613" s="7"/>
    </row>
    <row r="614">
      <c r="A614" s="67" t="s">
        <v>1208</v>
      </c>
      <c r="B614" s="78"/>
      <c r="C614" s="62">
        <v>0.08</v>
      </c>
      <c r="D614" s="63">
        <v>0.69</v>
      </c>
      <c r="E614" s="63">
        <v>0.69</v>
      </c>
      <c r="F614" s="64" t="s">
        <v>254</v>
      </c>
      <c r="G614" s="59">
        <v>47848.0</v>
      </c>
      <c r="K614" s="65" t="s">
        <v>1207</v>
      </c>
      <c r="L614" s="7"/>
      <c r="M614" s="70" t="e">
        <v>#N/A</v>
      </c>
      <c r="N614" s="7"/>
      <c r="O614" s="7"/>
      <c r="P614" s="7"/>
    </row>
    <row r="615">
      <c r="A615" s="67" t="s">
        <v>1209</v>
      </c>
      <c r="B615" s="78"/>
      <c r="C615" s="62">
        <v>0.08</v>
      </c>
      <c r="D615" s="63">
        <v>0.69</v>
      </c>
      <c r="E615" s="63">
        <v>0.69</v>
      </c>
      <c r="F615" s="64" t="s">
        <v>254</v>
      </c>
      <c r="G615" s="59">
        <v>47848.0</v>
      </c>
      <c r="K615" s="65" t="s">
        <v>1208</v>
      </c>
      <c r="L615" s="7"/>
      <c r="M615" s="70" t="e">
        <v>#N/A</v>
      </c>
      <c r="N615" s="7"/>
      <c r="O615" s="7"/>
      <c r="P615" s="7"/>
    </row>
    <row r="616">
      <c r="A616" s="67" t="s">
        <v>1210</v>
      </c>
      <c r="B616" s="78"/>
      <c r="C616" s="62">
        <v>0.08</v>
      </c>
      <c r="D616" s="63">
        <v>0.69</v>
      </c>
      <c r="E616" s="63">
        <v>0.69</v>
      </c>
      <c r="F616" s="64" t="s">
        <v>254</v>
      </c>
      <c r="G616" s="59">
        <v>47848.0</v>
      </c>
      <c r="K616" s="65" t="s">
        <v>1209</v>
      </c>
      <c r="L616" s="7"/>
      <c r="M616" s="70" t="e">
        <v>#N/A</v>
      </c>
      <c r="N616" s="7"/>
      <c r="O616" s="7"/>
      <c r="P616" s="7"/>
    </row>
    <row r="617">
      <c r="A617" s="67" t="s">
        <v>1211</v>
      </c>
      <c r="B617" s="78"/>
      <c r="C617" s="62">
        <v>0.08</v>
      </c>
      <c r="D617" s="63">
        <v>0.69</v>
      </c>
      <c r="E617" s="63">
        <v>0.69</v>
      </c>
      <c r="F617" s="64" t="s">
        <v>254</v>
      </c>
      <c r="G617" s="59">
        <v>47848.0</v>
      </c>
      <c r="K617" s="65" t="s">
        <v>1210</v>
      </c>
      <c r="L617" s="7"/>
      <c r="M617" s="70" t="e">
        <v>#N/A</v>
      </c>
      <c r="N617" s="7"/>
      <c r="O617" s="7"/>
      <c r="P617" s="7"/>
    </row>
    <row r="618">
      <c r="A618" s="67" t="s">
        <v>1212</v>
      </c>
      <c r="B618" s="78"/>
      <c r="C618" s="62">
        <v>0.08</v>
      </c>
      <c r="D618" s="63">
        <v>0.69</v>
      </c>
      <c r="E618" s="63">
        <v>0.69</v>
      </c>
      <c r="F618" s="64" t="s">
        <v>254</v>
      </c>
      <c r="G618" s="59">
        <v>47848.0</v>
      </c>
      <c r="K618" s="65" t="s">
        <v>1211</v>
      </c>
      <c r="L618" s="7"/>
      <c r="M618" s="70" t="e">
        <v>#N/A</v>
      </c>
      <c r="N618" s="7"/>
      <c r="O618" s="7"/>
      <c r="P618" s="7"/>
    </row>
    <row r="619">
      <c r="A619" s="67" t="s">
        <v>1213</v>
      </c>
      <c r="B619" s="78"/>
      <c r="C619" s="62">
        <v>0.08</v>
      </c>
      <c r="D619" s="63">
        <v>0.69</v>
      </c>
      <c r="E619" s="63">
        <v>0.69</v>
      </c>
      <c r="F619" s="64" t="s">
        <v>254</v>
      </c>
      <c r="G619" s="59">
        <v>47848.0</v>
      </c>
      <c r="K619" s="65" t="s">
        <v>1212</v>
      </c>
      <c r="L619" s="7"/>
      <c r="M619" s="70" t="e">
        <v>#N/A</v>
      </c>
      <c r="N619" s="7"/>
      <c r="O619" s="7"/>
      <c r="P619" s="7"/>
    </row>
    <row r="620">
      <c r="A620" s="67" t="s">
        <v>1214</v>
      </c>
      <c r="B620" s="78"/>
      <c r="C620" s="62">
        <v>0.08</v>
      </c>
      <c r="D620" s="63">
        <v>0.69</v>
      </c>
      <c r="E620" s="63">
        <v>0.69</v>
      </c>
      <c r="F620" s="64" t="s">
        <v>254</v>
      </c>
      <c r="G620" s="59">
        <v>47848.0</v>
      </c>
      <c r="K620" s="65" t="s">
        <v>1213</v>
      </c>
      <c r="L620" s="7"/>
      <c r="M620" s="70" t="e">
        <v>#N/A</v>
      </c>
      <c r="N620" s="7"/>
      <c r="O620" s="7"/>
      <c r="P620" s="7"/>
    </row>
    <row r="621">
      <c r="A621" s="67" t="s">
        <v>1215</v>
      </c>
      <c r="B621" s="78"/>
      <c r="C621" s="62">
        <v>0.08</v>
      </c>
      <c r="D621" s="63">
        <v>0.69</v>
      </c>
      <c r="E621" s="63">
        <v>0.69</v>
      </c>
      <c r="F621" s="64" t="s">
        <v>254</v>
      </c>
      <c r="G621" s="59">
        <v>47848.0</v>
      </c>
      <c r="K621" s="65" t="s">
        <v>1214</v>
      </c>
      <c r="L621" s="7"/>
      <c r="M621" s="70" t="e">
        <v>#N/A</v>
      </c>
      <c r="N621" s="7"/>
      <c r="O621" s="7"/>
      <c r="P621" s="7"/>
    </row>
    <row r="622">
      <c r="A622" s="67" t="s">
        <v>1216</v>
      </c>
      <c r="B622" s="78"/>
      <c r="C622" s="62">
        <v>0.08</v>
      </c>
      <c r="D622" s="63">
        <v>0.69</v>
      </c>
      <c r="E622" s="63">
        <v>0.69</v>
      </c>
      <c r="F622" s="64" t="s">
        <v>254</v>
      </c>
      <c r="G622" s="59">
        <v>47848.0</v>
      </c>
      <c r="K622" s="65" t="s">
        <v>1215</v>
      </c>
      <c r="L622" s="7"/>
      <c r="M622" s="70" t="e">
        <v>#N/A</v>
      </c>
      <c r="N622" s="7"/>
      <c r="O622" s="7"/>
      <c r="P622" s="7"/>
    </row>
    <row r="623">
      <c r="A623" s="67" t="s">
        <v>1217</v>
      </c>
      <c r="B623" s="78"/>
      <c r="C623" s="62">
        <v>0.08</v>
      </c>
      <c r="D623" s="63">
        <v>0.69</v>
      </c>
      <c r="E623" s="63">
        <v>0.69</v>
      </c>
      <c r="F623" s="64" t="s">
        <v>254</v>
      </c>
      <c r="G623" s="59">
        <v>47848.0</v>
      </c>
      <c r="K623" s="65" t="s">
        <v>1216</v>
      </c>
      <c r="L623" s="7"/>
      <c r="M623" s="70" t="e">
        <v>#N/A</v>
      </c>
      <c r="N623" s="7"/>
      <c r="O623" s="7"/>
      <c r="P623" s="7"/>
    </row>
    <row r="624">
      <c r="A624" s="67" t="s">
        <v>1218</v>
      </c>
      <c r="B624" s="78"/>
      <c r="C624" s="62">
        <v>0.08</v>
      </c>
      <c r="D624" s="63">
        <v>0.69</v>
      </c>
      <c r="E624" s="63">
        <v>0.69</v>
      </c>
      <c r="F624" s="64" t="s">
        <v>254</v>
      </c>
      <c r="G624" s="59">
        <v>47848.0</v>
      </c>
      <c r="K624" s="65" t="s">
        <v>1217</v>
      </c>
      <c r="L624" s="7"/>
      <c r="M624" s="70" t="e">
        <v>#N/A</v>
      </c>
      <c r="N624" s="7"/>
      <c r="O624" s="7"/>
      <c r="P624" s="7"/>
    </row>
    <row r="625">
      <c r="A625" s="67" t="s">
        <v>1219</v>
      </c>
      <c r="B625" s="78"/>
      <c r="C625" s="62">
        <v>0.08</v>
      </c>
      <c r="D625" s="63">
        <v>0.69</v>
      </c>
      <c r="E625" s="63">
        <v>0.69</v>
      </c>
      <c r="F625" s="64" t="s">
        <v>254</v>
      </c>
      <c r="G625" s="59">
        <v>47848.0</v>
      </c>
      <c r="K625" s="65" t="s">
        <v>1218</v>
      </c>
      <c r="L625" s="7"/>
      <c r="M625" s="70" t="e">
        <v>#N/A</v>
      </c>
      <c r="N625" s="7"/>
      <c r="O625" s="7"/>
      <c r="P625" s="7"/>
    </row>
    <row r="626">
      <c r="A626" s="67" t="s">
        <v>1220</v>
      </c>
      <c r="B626" s="78"/>
      <c r="C626" s="62">
        <v>0.08</v>
      </c>
      <c r="D626" s="63">
        <v>0.69</v>
      </c>
      <c r="E626" s="63">
        <v>0.69</v>
      </c>
      <c r="F626" s="64" t="s">
        <v>254</v>
      </c>
      <c r="G626" s="59">
        <v>47848.0</v>
      </c>
      <c r="K626" s="65" t="s">
        <v>1219</v>
      </c>
      <c r="L626" s="7"/>
      <c r="M626" s="70" t="e">
        <v>#N/A</v>
      </c>
      <c r="N626" s="7"/>
      <c r="O626" s="7"/>
      <c r="P626" s="7"/>
    </row>
    <row r="627">
      <c r="A627" s="67" t="s">
        <v>1221</v>
      </c>
      <c r="B627" s="78"/>
      <c r="C627" s="62">
        <v>0.08</v>
      </c>
      <c r="D627" s="63">
        <v>0.69</v>
      </c>
      <c r="E627" s="63">
        <v>0.69</v>
      </c>
      <c r="F627" s="64" t="s">
        <v>254</v>
      </c>
      <c r="G627" s="59">
        <v>47848.0</v>
      </c>
      <c r="K627" s="65" t="s">
        <v>1220</v>
      </c>
      <c r="L627" s="7"/>
      <c r="M627" s="70" t="e">
        <v>#N/A</v>
      </c>
      <c r="N627" s="7"/>
      <c r="O627" s="7"/>
      <c r="P627" s="7"/>
    </row>
    <row r="628">
      <c r="A628" s="67" t="s">
        <v>1222</v>
      </c>
      <c r="B628" s="78"/>
      <c r="C628" s="62">
        <v>0.08</v>
      </c>
      <c r="D628" s="63">
        <v>0.69</v>
      </c>
      <c r="E628" s="63">
        <v>0.69</v>
      </c>
      <c r="F628" s="64" t="s">
        <v>254</v>
      </c>
      <c r="G628" s="59">
        <v>47848.0</v>
      </c>
      <c r="K628" s="65" t="s">
        <v>1221</v>
      </c>
      <c r="L628" s="7"/>
      <c r="M628" s="70" t="e">
        <v>#N/A</v>
      </c>
      <c r="N628" s="7"/>
      <c r="O628" s="7"/>
      <c r="P628" s="7"/>
    </row>
    <row r="629">
      <c r="A629" s="67" t="s">
        <v>1223</v>
      </c>
      <c r="B629" s="78"/>
      <c r="C629" s="62">
        <v>0.08</v>
      </c>
      <c r="D629" s="63">
        <v>0.69</v>
      </c>
      <c r="E629" s="63">
        <v>0.69</v>
      </c>
      <c r="F629" s="64" t="s">
        <v>254</v>
      </c>
      <c r="G629" s="59">
        <v>47848.0</v>
      </c>
      <c r="K629" s="65" t="s">
        <v>1222</v>
      </c>
      <c r="L629" s="7"/>
      <c r="M629" s="70" t="e">
        <v>#N/A</v>
      </c>
      <c r="N629" s="7"/>
      <c r="O629" s="7"/>
      <c r="P629" s="7"/>
    </row>
    <row r="630">
      <c r="A630" s="67" t="s">
        <v>1224</v>
      </c>
      <c r="B630" s="78"/>
      <c r="C630" s="62">
        <v>0.08</v>
      </c>
      <c r="D630" s="63">
        <v>0.69</v>
      </c>
      <c r="E630" s="63">
        <v>0.69</v>
      </c>
      <c r="F630" s="64" t="s">
        <v>254</v>
      </c>
      <c r="G630" s="59">
        <v>47848.0</v>
      </c>
      <c r="K630" s="65" t="s">
        <v>1223</v>
      </c>
      <c r="L630" s="7"/>
      <c r="M630" s="70" t="e">
        <v>#N/A</v>
      </c>
      <c r="N630" s="7"/>
      <c r="O630" s="7"/>
      <c r="P630" s="7"/>
    </row>
    <row r="631">
      <c r="A631" s="67" t="s">
        <v>1225</v>
      </c>
      <c r="B631" s="78"/>
      <c r="C631" s="62">
        <v>0.08</v>
      </c>
      <c r="D631" s="63">
        <v>0.69</v>
      </c>
      <c r="E631" s="63">
        <v>0.69</v>
      </c>
      <c r="F631" s="64" t="s">
        <v>254</v>
      </c>
      <c r="G631" s="59">
        <v>47848.0</v>
      </c>
      <c r="K631" s="65" t="s">
        <v>1224</v>
      </c>
      <c r="L631" s="7"/>
      <c r="M631" s="70" t="e">
        <v>#N/A</v>
      </c>
      <c r="N631" s="7"/>
      <c r="O631" s="7"/>
      <c r="P631" s="7"/>
    </row>
    <row r="632">
      <c r="A632" s="67" t="s">
        <v>1226</v>
      </c>
      <c r="B632" s="78"/>
      <c r="C632" s="62">
        <v>0.08</v>
      </c>
      <c r="D632" s="63">
        <v>0.69</v>
      </c>
      <c r="E632" s="63">
        <v>0.69</v>
      </c>
      <c r="F632" s="64" t="s">
        <v>254</v>
      </c>
      <c r="G632" s="59">
        <v>47848.0</v>
      </c>
      <c r="K632" s="65" t="s">
        <v>1225</v>
      </c>
      <c r="L632" s="7"/>
      <c r="M632" s="70" t="e">
        <v>#N/A</v>
      </c>
      <c r="N632" s="7"/>
      <c r="O632" s="7"/>
      <c r="P632" s="7"/>
    </row>
    <row r="633">
      <c r="A633" s="67" t="s">
        <v>1227</v>
      </c>
      <c r="B633" s="78"/>
      <c r="C633" s="62">
        <v>0.08</v>
      </c>
      <c r="D633" s="63">
        <v>0.69</v>
      </c>
      <c r="E633" s="63">
        <v>0.69</v>
      </c>
      <c r="F633" s="64" t="s">
        <v>254</v>
      </c>
      <c r="G633" s="59">
        <v>47848.0</v>
      </c>
      <c r="K633" s="65" t="s">
        <v>1226</v>
      </c>
      <c r="L633" s="7"/>
      <c r="M633" s="70" t="e">
        <v>#N/A</v>
      </c>
      <c r="N633" s="7"/>
      <c r="O633" s="7"/>
      <c r="P633" s="7"/>
    </row>
    <row r="634">
      <c r="A634" s="67" t="s">
        <v>1228</v>
      </c>
      <c r="B634" s="78"/>
      <c r="C634" s="62">
        <v>0.08</v>
      </c>
      <c r="D634" s="63">
        <v>0.69</v>
      </c>
      <c r="E634" s="63">
        <v>0.69</v>
      </c>
      <c r="F634" s="64" t="s">
        <v>254</v>
      </c>
      <c r="G634" s="59">
        <v>47848.0</v>
      </c>
      <c r="K634" s="65" t="s">
        <v>1227</v>
      </c>
      <c r="L634" s="7"/>
      <c r="M634" s="70" t="e">
        <v>#N/A</v>
      </c>
      <c r="N634" s="7"/>
      <c r="O634" s="7"/>
      <c r="P634" s="7"/>
    </row>
    <row r="635">
      <c r="A635" s="67" t="s">
        <v>1229</v>
      </c>
      <c r="B635" s="78"/>
      <c r="C635" s="62">
        <v>0.08</v>
      </c>
      <c r="D635" s="63">
        <v>0.69</v>
      </c>
      <c r="E635" s="63">
        <v>0.69</v>
      </c>
      <c r="F635" s="64" t="s">
        <v>254</v>
      </c>
      <c r="G635" s="59">
        <v>47848.0</v>
      </c>
      <c r="K635" s="65" t="s">
        <v>1228</v>
      </c>
      <c r="L635" s="7"/>
      <c r="M635" s="70" t="e">
        <v>#N/A</v>
      </c>
      <c r="N635" s="7"/>
      <c r="O635" s="7"/>
      <c r="P635" s="7"/>
    </row>
    <row r="636">
      <c r="A636" s="67" t="s">
        <v>1230</v>
      </c>
      <c r="B636" s="78"/>
      <c r="C636" s="62">
        <v>0.08</v>
      </c>
      <c r="D636" s="63">
        <v>0.69</v>
      </c>
      <c r="E636" s="63">
        <v>0.69</v>
      </c>
      <c r="F636" s="64" t="s">
        <v>254</v>
      </c>
      <c r="G636" s="59">
        <v>47848.0</v>
      </c>
      <c r="K636" s="65" t="s">
        <v>1229</v>
      </c>
      <c r="L636" s="7"/>
      <c r="M636" s="70" t="e">
        <v>#N/A</v>
      </c>
      <c r="N636" s="7"/>
      <c r="O636" s="7"/>
      <c r="P636" s="7"/>
    </row>
    <row r="637">
      <c r="A637" s="67" t="s">
        <v>1231</v>
      </c>
      <c r="B637" s="78"/>
      <c r="C637" s="62">
        <v>0.08</v>
      </c>
      <c r="D637" s="63">
        <v>0.69</v>
      </c>
      <c r="E637" s="63">
        <v>0.69</v>
      </c>
      <c r="F637" s="64" t="s">
        <v>254</v>
      </c>
      <c r="G637" s="59">
        <v>47848.0</v>
      </c>
      <c r="K637" s="65" t="s">
        <v>1230</v>
      </c>
      <c r="L637" s="7"/>
      <c r="M637" s="70" t="e">
        <v>#N/A</v>
      </c>
      <c r="N637" s="7"/>
      <c r="O637" s="7"/>
      <c r="P637" s="7"/>
    </row>
    <row r="638">
      <c r="A638" s="67" t="s">
        <v>1232</v>
      </c>
      <c r="B638" s="78"/>
      <c r="C638" s="62">
        <v>0.08</v>
      </c>
      <c r="D638" s="63">
        <v>0.69</v>
      </c>
      <c r="E638" s="63">
        <v>0.69</v>
      </c>
      <c r="F638" s="64" t="s">
        <v>254</v>
      </c>
      <c r="G638" s="59">
        <v>47848.0</v>
      </c>
      <c r="K638" s="65" t="s">
        <v>1231</v>
      </c>
      <c r="L638" s="7"/>
      <c r="M638" s="70" t="e">
        <v>#N/A</v>
      </c>
      <c r="N638" s="7"/>
      <c r="O638" s="7"/>
      <c r="P638" s="7"/>
    </row>
    <row r="639">
      <c r="A639" s="67" t="s">
        <v>1233</v>
      </c>
      <c r="B639" s="78"/>
      <c r="C639" s="62">
        <v>0.08</v>
      </c>
      <c r="D639" s="63">
        <v>0.69</v>
      </c>
      <c r="E639" s="63">
        <v>0.69</v>
      </c>
      <c r="F639" s="64" t="s">
        <v>254</v>
      </c>
      <c r="G639" s="59">
        <v>47848.0</v>
      </c>
      <c r="K639" s="65" t="s">
        <v>1232</v>
      </c>
      <c r="L639" s="7"/>
      <c r="M639" s="70" t="e">
        <v>#N/A</v>
      </c>
      <c r="N639" s="7"/>
      <c r="O639" s="7"/>
      <c r="P639" s="7"/>
    </row>
    <row r="640">
      <c r="A640" s="67" t="s">
        <v>1234</v>
      </c>
      <c r="B640" s="78"/>
      <c r="C640" s="62">
        <v>0.08</v>
      </c>
      <c r="D640" s="63">
        <v>0.69</v>
      </c>
      <c r="E640" s="63">
        <v>0.69</v>
      </c>
      <c r="F640" s="64" t="s">
        <v>254</v>
      </c>
      <c r="G640" s="59">
        <v>47848.0</v>
      </c>
      <c r="K640" s="65" t="s">
        <v>1233</v>
      </c>
      <c r="L640" s="7"/>
      <c r="M640" s="70" t="e">
        <v>#N/A</v>
      </c>
      <c r="N640" s="7"/>
      <c r="O640" s="7"/>
      <c r="P640" s="7"/>
    </row>
    <row r="641">
      <c r="A641" s="67" t="s">
        <v>1235</v>
      </c>
      <c r="B641" s="78"/>
      <c r="C641" s="62">
        <v>0.08</v>
      </c>
      <c r="D641" s="63">
        <v>0.69</v>
      </c>
      <c r="E641" s="63">
        <v>0.69</v>
      </c>
      <c r="F641" s="64" t="s">
        <v>254</v>
      </c>
      <c r="G641" s="59">
        <v>47848.0</v>
      </c>
      <c r="K641" s="65" t="s">
        <v>1234</v>
      </c>
      <c r="L641" s="7"/>
      <c r="M641" s="70" t="e">
        <v>#N/A</v>
      </c>
      <c r="N641" s="7"/>
      <c r="O641" s="7"/>
      <c r="P641" s="7"/>
    </row>
    <row r="642">
      <c r="A642" s="67" t="s">
        <v>1236</v>
      </c>
      <c r="B642" s="78"/>
      <c r="C642" s="62">
        <v>0.08</v>
      </c>
      <c r="D642" s="63">
        <v>0.69</v>
      </c>
      <c r="E642" s="63">
        <v>0.69</v>
      </c>
      <c r="F642" s="64" t="s">
        <v>254</v>
      </c>
      <c r="G642" s="59">
        <v>47848.0</v>
      </c>
      <c r="K642" s="65" t="s">
        <v>1235</v>
      </c>
      <c r="L642" s="7"/>
      <c r="M642" s="70" t="e">
        <v>#N/A</v>
      </c>
      <c r="N642" s="7"/>
      <c r="O642" s="7"/>
      <c r="P642" s="7"/>
    </row>
    <row r="643">
      <c r="A643" s="67" t="s">
        <v>1237</v>
      </c>
      <c r="B643" s="78"/>
      <c r="C643" s="62">
        <v>0.08</v>
      </c>
      <c r="D643" s="63">
        <v>0.69</v>
      </c>
      <c r="E643" s="63">
        <v>0.69</v>
      </c>
      <c r="F643" s="64" t="s">
        <v>254</v>
      </c>
      <c r="G643" s="59">
        <v>47848.0</v>
      </c>
      <c r="K643" s="65" t="s">
        <v>1236</v>
      </c>
      <c r="L643" s="7"/>
      <c r="M643" s="70" t="e">
        <v>#N/A</v>
      </c>
      <c r="N643" s="7"/>
      <c r="O643" s="7"/>
      <c r="P643" s="7"/>
    </row>
    <row r="644">
      <c r="A644" s="67" t="s">
        <v>1238</v>
      </c>
      <c r="B644" s="78"/>
      <c r="C644" s="62">
        <v>0.08</v>
      </c>
      <c r="D644" s="63">
        <v>0.69</v>
      </c>
      <c r="E644" s="63">
        <v>0.69</v>
      </c>
      <c r="F644" s="64" t="s">
        <v>254</v>
      </c>
      <c r="G644" s="59">
        <v>47848.0</v>
      </c>
      <c r="K644" s="65" t="s">
        <v>1237</v>
      </c>
      <c r="L644" s="7"/>
      <c r="M644" s="70" t="e">
        <v>#N/A</v>
      </c>
      <c r="N644" s="7"/>
      <c r="O644" s="7"/>
      <c r="P644" s="7"/>
    </row>
    <row r="645">
      <c r="A645" s="67" t="s">
        <v>1239</v>
      </c>
      <c r="B645" s="78"/>
      <c r="C645" s="62">
        <v>0.08</v>
      </c>
      <c r="D645" s="63">
        <v>0.69</v>
      </c>
      <c r="E645" s="63">
        <v>0.69</v>
      </c>
      <c r="F645" s="64" t="s">
        <v>254</v>
      </c>
      <c r="G645" s="59">
        <v>47848.0</v>
      </c>
      <c r="K645" s="65" t="s">
        <v>1238</v>
      </c>
      <c r="L645" s="7"/>
      <c r="M645" s="70" t="e">
        <v>#N/A</v>
      </c>
      <c r="N645" s="7"/>
      <c r="O645" s="7"/>
      <c r="P645" s="7"/>
    </row>
    <row r="646">
      <c r="A646" s="67" t="s">
        <v>1240</v>
      </c>
      <c r="B646" s="78"/>
      <c r="C646" s="62">
        <v>0.08</v>
      </c>
      <c r="D646" s="63">
        <v>0.69</v>
      </c>
      <c r="E646" s="63">
        <v>0.69</v>
      </c>
      <c r="F646" s="64" t="s">
        <v>254</v>
      </c>
      <c r="G646" s="59">
        <v>47848.0</v>
      </c>
      <c r="K646" s="65" t="s">
        <v>1239</v>
      </c>
      <c r="L646" s="7"/>
      <c r="M646" s="70" t="e">
        <v>#N/A</v>
      </c>
      <c r="N646" s="7"/>
      <c r="O646" s="7"/>
      <c r="P646" s="7"/>
    </row>
    <row r="647">
      <c r="A647" s="67" t="s">
        <v>1241</v>
      </c>
      <c r="B647" s="78"/>
      <c r="C647" s="62">
        <v>0.08</v>
      </c>
      <c r="D647" s="63">
        <v>0.69</v>
      </c>
      <c r="E647" s="63">
        <v>0.69</v>
      </c>
      <c r="F647" s="64" t="s">
        <v>254</v>
      </c>
      <c r="G647" s="59">
        <v>47848.0</v>
      </c>
      <c r="K647" s="65" t="s">
        <v>1240</v>
      </c>
      <c r="L647" s="7"/>
      <c r="M647" s="70" t="e">
        <v>#N/A</v>
      </c>
      <c r="N647" s="7"/>
      <c r="O647" s="7"/>
      <c r="P647" s="7"/>
    </row>
    <row r="648">
      <c r="A648" s="67" t="s">
        <v>1242</v>
      </c>
      <c r="B648" s="78"/>
      <c r="C648" s="62">
        <v>0.08</v>
      </c>
      <c r="D648" s="63">
        <v>0.69</v>
      </c>
      <c r="E648" s="63">
        <v>0.69</v>
      </c>
      <c r="F648" s="64" t="s">
        <v>254</v>
      </c>
      <c r="G648" s="59">
        <v>47848.0</v>
      </c>
      <c r="K648" s="65" t="s">
        <v>1241</v>
      </c>
      <c r="L648" s="7"/>
      <c r="M648" s="70" t="e">
        <v>#N/A</v>
      </c>
      <c r="N648" s="7"/>
      <c r="O648" s="7"/>
      <c r="P648" s="7"/>
    </row>
    <row r="649">
      <c r="A649" s="67" t="s">
        <v>1243</v>
      </c>
      <c r="B649" s="78"/>
      <c r="C649" s="62">
        <v>0.08</v>
      </c>
      <c r="D649" s="63">
        <v>0.69</v>
      </c>
      <c r="E649" s="63">
        <v>0.69</v>
      </c>
      <c r="F649" s="64" t="s">
        <v>254</v>
      </c>
      <c r="G649" s="59">
        <v>47848.0</v>
      </c>
      <c r="K649" s="65" t="s">
        <v>1242</v>
      </c>
      <c r="L649" s="7"/>
      <c r="M649" s="70" t="e">
        <v>#N/A</v>
      </c>
      <c r="N649" s="7"/>
      <c r="O649" s="7"/>
      <c r="P649" s="7"/>
    </row>
    <row r="650">
      <c r="A650" s="67" t="s">
        <v>1244</v>
      </c>
      <c r="B650" s="78"/>
      <c r="C650" s="62">
        <v>0.08</v>
      </c>
      <c r="D650" s="63">
        <v>0.69</v>
      </c>
      <c r="E650" s="63">
        <v>0.69</v>
      </c>
      <c r="F650" s="64" t="s">
        <v>254</v>
      </c>
      <c r="G650" s="59">
        <v>47848.0</v>
      </c>
      <c r="K650" s="65" t="s">
        <v>1243</v>
      </c>
      <c r="L650" s="7"/>
      <c r="M650" s="70" t="e">
        <v>#N/A</v>
      </c>
      <c r="N650" s="7"/>
      <c r="O650" s="7"/>
      <c r="P650" s="7"/>
    </row>
    <row r="651">
      <c r="A651" s="67" t="s">
        <v>1245</v>
      </c>
      <c r="B651" s="78"/>
      <c r="C651" s="62">
        <v>0.08</v>
      </c>
      <c r="D651" s="63">
        <v>0.69</v>
      </c>
      <c r="E651" s="63">
        <v>0.69</v>
      </c>
      <c r="F651" s="64" t="s">
        <v>254</v>
      </c>
      <c r="G651" s="59">
        <v>47848.0</v>
      </c>
      <c r="K651" s="65" t="s">
        <v>1244</v>
      </c>
      <c r="L651" s="7"/>
      <c r="M651" s="70" t="e">
        <v>#N/A</v>
      </c>
      <c r="N651" s="7"/>
      <c r="O651" s="7"/>
      <c r="P651" s="7"/>
    </row>
    <row r="652">
      <c r="A652" s="67" t="s">
        <v>1246</v>
      </c>
      <c r="B652" s="78"/>
      <c r="C652" s="62">
        <v>0.08</v>
      </c>
      <c r="D652" s="63">
        <v>0.69</v>
      </c>
      <c r="E652" s="63">
        <v>0.69</v>
      </c>
      <c r="F652" s="64" t="s">
        <v>254</v>
      </c>
      <c r="G652" s="59">
        <v>47848.0</v>
      </c>
      <c r="K652" s="65" t="s">
        <v>1245</v>
      </c>
      <c r="L652" s="7"/>
      <c r="M652" s="70" t="e">
        <v>#N/A</v>
      </c>
      <c r="N652" s="7"/>
      <c r="O652" s="7"/>
      <c r="P652" s="7"/>
    </row>
    <row r="653">
      <c r="A653" s="67" t="s">
        <v>1247</v>
      </c>
      <c r="B653" s="78"/>
      <c r="C653" s="62">
        <v>0.08</v>
      </c>
      <c r="D653" s="63">
        <v>0.69</v>
      </c>
      <c r="E653" s="63">
        <v>0.69</v>
      </c>
      <c r="F653" s="64" t="s">
        <v>254</v>
      </c>
      <c r="G653" s="59">
        <v>47848.0</v>
      </c>
      <c r="K653" s="65" t="s">
        <v>1246</v>
      </c>
      <c r="L653" s="7"/>
      <c r="M653" s="70" t="e">
        <v>#N/A</v>
      </c>
      <c r="N653" s="7"/>
      <c r="O653" s="7"/>
      <c r="P653" s="7"/>
    </row>
    <row r="654">
      <c r="A654" s="67" t="s">
        <v>1248</v>
      </c>
      <c r="B654" s="78"/>
      <c r="C654" s="62">
        <v>0.08</v>
      </c>
      <c r="D654" s="63">
        <v>0.69</v>
      </c>
      <c r="E654" s="63">
        <v>0.69</v>
      </c>
      <c r="F654" s="64" t="s">
        <v>254</v>
      </c>
      <c r="G654" s="59">
        <v>47848.0</v>
      </c>
      <c r="K654" s="65" t="s">
        <v>1247</v>
      </c>
      <c r="L654" s="7"/>
      <c r="M654" s="70" t="e">
        <v>#N/A</v>
      </c>
      <c r="N654" s="7"/>
      <c r="O654" s="7"/>
      <c r="P654" s="7"/>
    </row>
    <row r="655">
      <c r="A655" s="67" t="s">
        <v>1249</v>
      </c>
      <c r="B655" s="78"/>
      <c r="C655" s="62">
        <v>0.08</v>
      </c>
      <c r="D655" s="63">
        <v>0.69</v>
      </c>
      <c r="E655" s="63">
        <v>0.69</v>
      </c>
      <c r="F655" s="64" t="s">
        <v>254</v>
      </c>
      <c r="G655" s="59">
        <v>47848.0</v>
      </c>
      <c r="K655" s="65" t="s">
        <v>1248</v>
      </c>
      <c r="L655" s="7"/>
      <c r="M655" s="70" t="e">
        <v>#N/A</v>
      </c>
      <c r="N655" s="7"/>
      <c r="O655" s="7"/>
      <c r="P655" s="7"/>
    </row>
    <row r="656">
      <c r="A656" s="67" t="s">
        <v>1250</v>
      </c>
      <c r="B656" s="78"/>
      <c r="C656" s="62">
        <v>0.08</v>
      </c>
      <c r="D656" s="63">
        <v>0.69</v>
      </c>
      <c r="E656" s="63">
        <v>0.69</v>
      </c>
      <c r="F656" s="64" t="s">
        <v>254</v>
      </c>
      <c r="G656" s="59">
        <v>47848.0</v>
      </c>
      <c r="K656" s="65" t="s">
        <v>1249</v>
      </c>
      <c r="L656" s="7"/>
      <c r="M656" s="70" t="e">
        <v>#N/A</v>
      </c>
      <c r="N656" s="7"/>
      <c r="O656" s="7"/>
      <c r="P656" s="7"/>
    </row>
    <row r="657">
      <c r="A657" s="67" t="s">
        <v>1251</v>
      </c>
      <c r="B657" s="78"/>
      <c r="C657" s="62">
        <v>0.08</v>
      </c>
      <c r="D657" s="63">
        <v>0.69</v>
      </c>
      <c r="E657" s="63">
        <v>0.69</v>
      </c>
      <c r="F657" s="64" t="s">
        <v>254</v>
      </c>
      <c r="G657" s="59">
        <v>47848.0</v>
      </c>
      <c r="K657" s="65" t="s">
        <v>1250</v>
      </c>
      <c r="L657" s="7"/>
      <c r="M657" s="70" t="e">
        <v>#N/A</v>
      </c>
      <c r="N657" s="7"/>
      <c r="O657" s="7"/>
      <c r="P657" s="7"/>
    </row>
    <row r="658">
      <c r="A658" s="67" t="s">
        <v>1252</v>
      </c>
      <c r="B658" s="78"/>
      <c r="C658" s="62">
        <v>0.08</v>
      </c>
      <c r="D658" s="63">
        <v>0.69</v>
      </c>
      <c r="E658" s="63">
        <v>0.69</v>
      </c>
      <c r="F658" s="64" t="s">
        <v>254</v>
      </c>
      <c r="G658" s="59">
        <v>47848.0</v>
      </c>
      <c r="K658" s="65" t="s">
        <v>1251</v>
      </c>
      <c r="L658" s="7"/>
      <c r="M658" s="70" t="e">
        <v>#N/A</v>
      </c>
      <c r="N658" s="7"/>
      <c r="O658" s="7"/>
      <c r="P658" s="7"/>
    </row>
    <row r="659">
      <c r="A659" s="67" t="s">
        <v>1253</v>
      </c>
      <c r="B659" s="78"/>
      <c r="C659" s="62">
        <v>0.08</v>
      </c>
      <c r="D659" s="63">
        <v>0.69</v>
      </c>
      <c r="E659" s="63">
        <v>0.69</v>
      </c>
      <c r="F659" s="64" t="s">
        <v>254</v>
      </c>
      <c r="G659" s="59">
        <v>47848.0</v>
      </c>
      <c r="K659" s="65" t="s">
        <v>1252</v>
      </c>
      <c r="L659" s="7"/>
      <c r="M659" s="70" t="e">
        <v>#N/A</v>
      </c>
      <c r="N659" s="7"/>
      <c r="O659" s="7"/>
      <c r="P659" s="7"/>
    </row>
    <row r="660">
      <c r="A660" s="67" t="s">
        <v>1254</v>
      </c>
      <c r="B660" s="78"/>
      <c r="C660" s="62">
        <v>0.08</v>
      </c>
      <c r="D660" s="63">
        <v>0.69</v>
      </c>
      <c r="E660" s="63">
        <v>0.69</v>
      </c>
      <c r="F660" s="64" t="s">
        <v>254</v>
      </c>
      <c r="G660" s="59">
        <v>47848.0</v>
      </c>
      <c r="K660" s="65" t="s">
        <v>1253</v>
      </c>
      <c r="L660" s="7"/>
      <c r="M660" s="70" t="e">
        <v>#N/A</v>
      </c>
      <c r="N660" s="7"/>
      <c r="O660" s="7"/>
      <c r="P660" s="7"/>
    </row>
    <row r="661">
      <c r="A661" s="67" t="s">
        <v>1255</v>
      </c>
      <c r="B661" s="78"/>
      <c r="C661" s="62">
        <v>0.08</v>
      </c>
      <c r="D661" s="63">
        <v>0.69</v>
      </c>
      <c r="E661" s="63">
        <v>0.69</v>
      </c>
      <c r="F661" s="64" t="s">
        <v>254</v>
      </c>
      <c r="G661" s="59">
        <v>47848.0</v>
      </c>
      <c r="K661" s="65" t="s">
        <v>1254</v>
      </c>
      <c r="L661" s="7"/>
      <c r="M661" s="70" t="e">
        <v>#N/A</v>
      </c>
      <c r="N661" s="7"/>
      <c r="O661" s="7"/>
      <c r="P661" s="7"/>
    </row>
    <row r="662">
      <c r="A662" s="67" t="s">
        <v>1256</v>
      </c>
      <c r="B662" s="78"/>
      <c r="C662" s="62">
        <v>0.08</v>
      </c>
      <c r="D662" s="63">
        <v>0.69</v>
      </c>
      <c r="E662" s="63">
        <v>0.69</v>
      </c>
      <c r="F662" s="64" t="s">
        <v>254</v>
      </c>
      <c r="G662" s="59">
        <v>47848.0</v>
      </c>
      <c r="K662" s="65" t="s">
        <v>1255</v>
      </c>
      <c r="L662" s="7"/>
      <c r="M662" s="70" t="e">
        <v>#N/A</v>
      </c>
      <c r="N662" s="7"/>
      <c r="O662" s="7"/>
      <c r="P662" s="7"/>
    </row>
    <row r="663">
      <c r="A663" s="67" t="s">
        <v>1257</v>
      </c>
      <c r="B663" s="78"/>
      <c r="C663" s="62">
        <v>0.08</v>
      </c>
      <c r="D663" s="63">
        <v>0.69</v>
      </c>
      <c r="E663" s="63">
        <v>0.69</v>
      </c>
      <c r="F663" s="64" t="s">
        <v>254</v>
      </c>
      <c r="G663" s="59">
        <v>47848.0</v>
      </c>
      <c r="K663" s="65" t="s">
        <v>1256</v>
      </c>
      <c r="L663" s="7"/>
      <c r="M663" s="70" t="e">
        <v>#N/A</v>
      </c>
      <c r="N663" s="7"/>
      <c r="O663" s="7"/>
      <c r="P663" s="7"/>
    </row>
    <row r="664">
      <c r="A664" s="67" t="s">
        <v>1258</v>
      </c>
      <c r="B664" s="78"/>
      <c r="C664" s="62">
        <v>0.08</v>
      </c>
      <c r="D664" s="63">
        <v>0.69</v>
      </c>
      <c r="E664" s="63">
        <v>0.69</v>
      </c>
      <c r="F664" s="64" t="s">
        <v>254</v>
      </c>
      <c r="G664" s="59">
        <v>47848.0</v>
      </c>
      <c r="K664" s="65" t="s">
        <v>1257</v>
      </c>
      <c r="L664" s="7"/>
      <c r="M664" s="70" t="e">
        <v>#N/A</v>
      </c>
      <c r="N664" s="7"/>
      <c r="O664" s="7"/>
      <c r="P664" s="7"/>
    </row>
    <row r="665">
      <c r="A665" s="67" t="s">
        <v>1259</v>
      </c>
      <c r="B665" s="78"/>
      <c r="C665" s="62">
        <v>0.08</v>
      </c>
      <c r="D665" s="63">
        <v>0.69</v>
      </c>
      <c r="E665" s="63">
        <v>0.69</v>
      </c>
      <c r="F665" s="64" t="s">
        <v>254</v>
      </c>
      <c r="G665" s="59">
        <v>47848.0</v>
      </c>
      <c r="K665" s="65" t="s">
        <v>1258</v>
      </c>
      <c r="L665" s="7"/>
      <c r="M665" s="70" t="e">
        <v>#N/A</v>
      </c>
      <c r="N665" s="7"/>
      <c r="O665" s="7"/>
      <c r="P665" s="7"/>
    </row>
    <row r="666">
      <c r="A666" s="67" t="s">
        <v>1260</v>
      </c>
      <c r="B666" s="78"/>
      <c r="C666" s="62">
        <v>0.08</v>
      </c>
      <c r="D666" s="63">
        <v>0.69</v>
      </c>
      <c r="E666" s="63">
        <v>0.69</v>
      </c>
      <c r="F666" s="64" t="s">
        <v>254</v>
      </c>
      <c r="G666" s="59">
        <v>47848.0</v>
      </c>
      <c r="K666" s="65" t="s">
        <v>1259</v>
      </c>
      <c r="L666" s="7"/>
      <c r="M666" s="70" t="e">
        <v>#N/A</v>
      </c>
      <c r="N666" s="7"/>
      <c r="O666" s="7"/>
      <c r="P666" s="7"/>
    </row>
    <row r="667">
      <c r="A667" s="67" t="s">
        <v>1261</v>
      </c>
      <c r="B667" s="78"/>
      <c r="C667" s="62">
        <v>0.08</v>
      </c>
      <c r="D667" s="63">
        <v>0.69</v>
      </c>
      <c r="E667" s="63">
        <v>0.69</v>
      </c>
      <c r="F667" s="64" t="s">
        <v>254</v>
      </c>
      <c r="G667" s="59">
        <v>47848.0</v>
      </c>
      <c r="K667" s="65" t="s">
        <v>1260</v>
      </c>
      <c r="L667" s="7"/>
      <c r="M667" s="70" t="e">
        <v>#N/A</v>
      </c>
      <c r="N667" s="7"/>
      <c r="O667" s="7"/>
      <c r="P667" s="7"/>
    </row>
    <row r="668">
      <c r="A668" s="67" t="s">
        <v>1262</v>
      </c>
      <c r="B668" s="78"/>
      <c r="C668" s="62">
        <v>0.08</v>
      </c>
      <c r="D668" s="63">
        <v>0.69</v>
      </c>
      <c r="E668" s="63">
        <v>0.69</v>
      </c>
      <c r="F668" s="64" t="s">
        <v>254</v>
      </c>
      <c r="G668" s="59">
        <v>47848.0</v>
      </c>
      <c r="K668" s="65" t="s">
        <v>1261</v>
      </c>
      <c r="L668" s="7"/>
      <c r="M668" s="70" t="e">
        <v>#N/A</v>
      </c>
      <c r="N668" s="7"/>
      <c r="O668" s="7"/>
      <c r="P668" s="7"/>
    </row>
    <row r="669">
      <c r="A669" s="67" t="s">
        <v>1263</v>
      </c>
      <c r="B669" s="78"/>
      <c r="C669" s="62">
        <v>0.08</v>
      </c>
      <c r="D669" s="63">
        <v>0.69</v>
      </c>
      <c r="E669" s="63">
        <v>0.69</v>
      </c>
      <c r="F669" s="64" t="s">
        <v>254</v>
      </c>
      <c r="G669" s="59">
        <v>47848.0</v>
      </c>
      <c r="K669" s="65" t="s">
        <v>1262</v>
      </c>
      <c r="L669" s="7"/>
      <c r="M669" s="70" t="e">
        <v>#N/A</v>
      </c>
      <c r="N669" s="7"/>
      <c r="O669" s="7"/>
      <c r="P669" s="7"/>
    </row>
    <row r="670">
      <c r="A670" s="67" t="s">
        <v>1264</v>
      </c>
      <c r="B670" s="78"/>
      <c r="C670" s="62">
        <v>0.08</v>
      </c>
      <c r="D670" s="63">
        <v>0.69</v>
      </c>
      <c r="E670" s="63">
        <v>0.69</v>
      </c>
      <c r="F670" s="64" t="s">
        <v>254</v>
      </c>
      <c r="G670" s="59">
        <v>47848.0</v>
      </c>
      <c r="K670" s="65" t="s">
        <v>1263</v>
      </c>
      <c r="L670" s="7"/>
      <c r="M670" s="70" t="e">
        <v>#N/A</v>
      </c>
      <c r="N670" s="7"/>
      <c r="O670" s="7"/>
      <c r="P670" s="7"/>
    </row>
    <row r="671">
      <c r="A671" s="67" t="s">
        <v>1265</v>
      </c>
      <c r="B671" s="78"/>
      <c r="C671" s="62">
        <v>0.08</v>
      </c>
      <c r="D671" s="63">
        <v>0.69</v>
      </c>
      <c r="E671" s="63">
        <v>0.69</v>
      </c>
      <c r="F671" s="64" t="s">
        <v>254</v>
      </c>
      <c r="G671" s="59">
        <v>47848.0</v>
      </c>
      <c r="K671" s="65" t="s">
        <v>1264</v>
      </c>
      <c r="L671" s="7"/>
      <c r="M671" s="70" t="e">
        <v>#N/A</v>
      </c>
      <c r="N671" s="7"/>
      <c r="O671" s="7"/>
      <c r="P671" s="7"/>
    </row>
    <row r="672">
      <c r="A672" s="67" t="s">
        <v>1266</v>
      </c>
      <c r="B672" s="78"/>
      <c r="C672" s="62">
        <v>0.08</v>
      </c>
      <c r="D672" s="63">
        <v>0.69</v>
      </c>
      <c r="E672" s="63">
        <v>0.69</v>
      </c>
      <c r="F672" s="64" t="s">
        <v>254</v>
      </c>
      <c r="G672" s="59">
        <v>47848.0</v>
      </c>
      <c r="K672" s="65" t="s">
        <v>1265</v>
      </c>
      <c r="L672" s="7"/>
      <c r="M672" s="70" t="e">
        <v>#N/A</v>
      </c>
      <c r="N672" s="7"/>
      <c r="O672" s="7"/>
      <c r="P672" s="7"/>
    </row>
    <row r="673">
      <c r="A673" s="67" t="s">
        <v>1267</v>
      </c>
      <c r="B673" s="78"/>
      <c r="C673" s="62">
        <v>0.08</v>
      </c>
      <c r="D673" s="63">
        <v>0.69</v>
      </c>
      <c r="E673" s="63">
        <v>0.69</v>
      </c>
      <c r="F673" s="64" t="s">
        <v>254</v>
      </c>
      <c r="G673" s="59">
        <v>47848.0</v>
      </c>
      <c r="K673" s="65" t="s">
        <v>1266</v>
      </c>
      <c r="L673" s="7"/>
      <c r="M673" s="70" t="e">
        <v>#N/A</v>
      </c>
      <c r="N673" s="7"/>
      <c r="O673" s="7"/>
      <c r="P673" s="7"/>
    </row>
    <row r="674">
      <c r="A674" s="67" t="s">
        <v>1268</v>
      </c>
      <c r="B674" s="78"/>
      <c r="C674" s="62">
        <v>0.08</v>
      </c>
      <c r="D674" s="63">
        <v>0.69</v>
      </c>
      <c r="E674" s="63">
        <v>0.69</v>
      </c>
      <c r="F674" s="64" t="s">
        <v>254</v>
      </c>
      <c r="G674" s="59">
        <v>47848.0</v>
      </c>
      <c r="K674" s="65" t="s">
        <v>1267</v>
      </c>
      <c r="L674" s="7"/>
      <c r="M674" s="70" t="e">
        <v>#N/A</v>
      </c>
      <c r="N674" s="7"/>
      <c r="O674" s="7"/>
      <c r="P674" s="7"/>
    </row>
    <row r="675">
      <c r="A675" s="67" t="s">
        <v>1269</v>
      </c>
      <c r="B675" s="78"/>
      <c r="C675" s="62">
        <v>0.08</v>
      </c>
      <c r="D675" s="63">
        <v>0.69</v>
      </c>
      <c r="E675" s="63">
        <v>0.69</v>
      </c>
      <c r="F675" s="64" t="s">
        <v>254</v>
      </c>
      <c r="G675" s="59">
        <v>47848.0</v>
      </c>
      <c r="K675" s="65" t="s">
        <v>1268</v>
      </c>
      <c r="L675" s="7"/>
      <c r="M675" s="70" t="e">
        <v>#N/A</v>
      </c>
      <c r="N675" s="7"/>
      <c r="O675" s="7"/>
      <c r="P675" s="7"/>
    </row>
    <row r="676">
      <c r="A676" s="67" t="s">
        <v>1270</v>
      </c>
      <c r="B676" s="78"/>
      <c r="C676" s="62">
        <v>0.08</v>
      </c>
      <c r="D676" s="63">
        <v>0.69</v>
      </c>
      <c r="E676" s="63">
        <v>0.69</v>
      </c>
      <c r="F676" s="64" t="s">
        <v>254</v>
      </c>
      <c r="G676" s="59">
        <v>47848.0</v>
      </c>
      <c r="K676" s="65" t="s">
        <v>1269</v>
      </c>
      <c r="L676" s="7"/>
      <c r="M676" s="70" t="e">
        <v>#N/A</v>
      </c>
      <c r="N676" s="7"/>
      <c r="O676" s="7"/>
      <c r="P676" s="7"/>
    </row>
    <row r="677">
      <c r="A677" s="67" t="s">
        <v>1271</v>
      </c>
      <c r="B677" s="78"/>
      <c r="C677" s="62">
        <v>0.08</v>
      </c>
      <c r="D677" s="63">
        <v>0.69</v>
      </c>
      <c r="E677" s="63">
        <v>0.69</v>
      </c>
      <c r="F677" s="64" t="s">
        <v>254</v>
      </c>
      <c r="G677" s="59">
        <v>47848.0</v>
      </c>
      <c r="K677" s="65" t="s">
        <v>1270</v>
      </c>
      <c r="L677" s="7"/>
      <c r="M677" s="70" t="e">
        <v>#N/A</v>
      </c>
      <c r="N677" s="7"/>
      <c r="O677" s="7"/>
      <c r="P677" s="7"/>
    </row>
    <row r="678">
      <c r="A678" s="67" t="s">
        <v>1272</v>
      </c>
      <c r="B678" s="78"/>
      <c r="C678" s="62">
        <v>0.08</v>
      </c>
      <c r="D678" s="63">
        <v>0.69</v>
      </c>
      <c r="E678" s="63">
        <v>0.69</v>
      </c>
      <c r="F678" s="64" t="s">
        <v>254</v>
      </c>
      <c r="G678" s="59">
        <v>47848.0</v>
      </c>
      <c r="K678" s="65" t="s">
        <v>1271</v>
      </c>
      <c r="L678" s="7"/>
      <c r="M678" s="70" t="e">
        <v>#N/A</v>
      </c>
      <c r="N678" s="7"/>
      <c r="O678" s="7"/>
      <c r="P678" s="7"/>
    </row>
    <row r="679">
      <c r="A679" s="67" t="s">
        <v>1273</v>
      </c>
      <c r="B679" s="78"/>
      <c r="C679" s="62">
        <v>0.08</v>
      </c>
      <c r="D679" s="63">
        <v>0.69</v>
      </c>
      <c r="E679" s="63">
        <v>0.69</v>
      </c>
      <c r="F679" s="64" t="s">
        <v>254</v>
      </c>
      <c r="G679" s="59">
        <v>47848.0</v>
      </c>
      <c r="K679" s="65" t="s">
        <v>1272</v>
      </c>
      <c r="L679" s="7"/>
      <c r="M679" s="70" t="e">
        <v>#N/A</v>
      </c>
      <c r="N679" s="7"/>
      <c r="O679" s="7"/>
      <c r="P679" s="7"/>
    </row>
    <row r="680">
      <c r="A680" s="67" t="s">
        <v>1274</v>
      </c>
      <c r="B680" s="78"/>
      <c r="C680" s="62">
        <v>0.08</v>
      </c>
      <c r="D680" s="63">
        <v>0.69</v>
      </c>
      <c r="E680" s="63">
        <v>0.69</v>
      </c>
      <c r="F680" s="64" t="s">
        <v>254</v>
      </c>
      <c r="G680" s="59">
        <v>47848.0</v>
      </c>
      <c r="K680" s="65" t="s">
        <v>1273</v>
      </c>
      <c r="L680" s="7"/>
      <c r="M680" s="70" t="e">
        <v>#N/A</v>
      </c>
      <c r="N680" s="7"/>
      <c r="O680" s="7"/>
      <c r="P680" s="7"/>
    </row>
    <row r="681">
      <c r="A681" s="67" t="s">
        <v>1275</v>
      </c>
      <c r="B681" s="78"/>
      <c r="C681" s="62">
        <v>0.08</v>
      </c>
      <c r="D681" s="63">
        <v>0.69</v>
      </c>
      <c r="E681" s="63">
        <v>0.69</v>
      </c>
      <c r="F681" s="64" t="s">
        <v>254</v>
      </c>
      <c r="G681" s="59">
        <v>47848.0</v>
      </c>
      <c r="K681" s="65" t="s">
        <v>1274</v>
      </c>
      <c r="L681" s="7"/>
      <c r="M681" s="70" t="e">
        <v>#N/A</v>
      </c>
      <c r="N681" s="7"/>
      <c r="O681" s="7"/>
      <c r="P681" s="7"/>
    </row>
    <row r="682">
      <c r="A682" s="67" t="s">
        <v>1276</v>
      </c>
      <c r="B682" s="78"/>
      <c r="C682" s="62">
        <v>0.08</v>
      </c>
      <c r="D682" s="63">
        <v>0.69</v>
      </c>
      <c r="E682" s="63">
        <v>0.69</v>
      </c>
      <c r="F682" s="64" t="s">
        <v>254</v>
      </c>
      <c r="G682" s="59">
        <v>47848.0</v>
      </c>
      <c r="K682" s="65" t="s">
        <v>1275</v>
      </c>
      <c r="L682" s="7"/>
      <c r="M682" s="70" t="e">
        <v>#N/A</v>
      </c>
      <c r="N682" s="7"/>
      <c r="O682" s="7"/>
      <c r="P682" s="7"/>
    </row>
    <row r="683">
      <c r="A683" s="67" t="s">
        <v>1277</v>
      </c>
      <c r="B683" s="78"/>
      <c r="C683" s="62">
        <v>0.08</v>
      </c>
      <c r="D683" s="63">
        <v>0.69</v>
      </c>
      <c r="E683" s="63">
        <v>0.69</v>
      </c>
      <c r="F683" s="64" t="s">
        <v>254</v>
      </c>
      <c r="G683" s="59">
        <v>47848.0</v>
      </c>
      <c r="K683" s="65" t="s">
        <v>1276</v>
      </c>
      <c r="L683" s="7"/>
      <c r="M683" s="70" t="e">
        <v>#N/A</v>
      </c>
      <c r="N683" s="7"/>
      <c r="O683" s="7"/>
      <c r="P683" s="7"/>
    </row>
    <row r="684">
      <c r="A684" s="67" t="s">
        <v>1278</v>
      </c>
      <c r="B684" s="78"/>
      <c r="C684" s="62">
        <v>0.08</v>
      </c>
      <c r="D684" s="63">
        <v>0.69</v>
      </c>
      <c r="E684" s="63">
        <v>0.69</v>
      </c>
      <c r="F684" s="64" t="s">
        <v>254</v>
      </c>
      <c r="G684" s="59">
        <v>47848.0</v>
      </c>
      <c r="K684" s="65" t="s">
        <v>1277</v>
      </c>
      <c r="L684" s="7"/>
      <c r="M684" s="70" t="e">
        <v>#N/A</v>
      </c>
      <c r="N684" s="7"/>
      <c r="O684" s="7"/>
      <c r="P684" s="7"/>
    </row>
    <row r="685">
      <c r="A685" s="67" t="s">
        <v>1279</v>
      </c>
      <c r="B685" s="78"/>
      <c r="C685" s="62">
        <v>0.08</v>
      </c>
      <c r="D685" s="63">
        <v>0.69</v>
      </c>
      <c r="E685" s="63">
        <v>0.69</v>
      </c>
      <c r="F685" s="64" t="s">
        <v>254</v>
      </c>
      <c r="G685" s="59">
        <v>47848.0</v>
      </c>
      <c r="K685" s="65" t="s">
        <v>1278</v>
      </c>
      <c r="L685" s="7"/>
      <c r="M685" s="70" t="e">
        <v>#N/A</v>
      </c>
      <c r="N685" s="7"/>
      <c r="O685" s="7"/>
      <c r="P685" s="7"/>
    </row>
    <row r="686">
      <c r="A686" s="67" t="s">
        <v>1280</v>
      </c>
      <c r="B686" s="78"/>
      <c r="C686" s="62">
        <v>0.08</v>
      </c>
      <c r="D686" s="63">
        <v>0.69</v>
      </c>
      <c r="E686" s="63">
        <v>0.69</v>
      </c>
      <c r="F686" s="64" t="s">
        <v>254</v>
      </c>
      <c r="G686" s="59">
        <v>47848.0</v>
      </c>
      <c r="K686" s="65" t="s">
        <v>1279</v>
      </c>
      <c r="L686" s="7"/>
      <c r="M686" s="70" t="e">
        <v>#N/A</v>
      </c>
      <c r="N686" s="7"/>
      <c r="O686" s="7"/>
      <c r="P686" s="7"/>
    </row>
    <row r="687">
      <c r="A687" s="67" t="s">
        <v>1281</v>
      </c>
      <c r="B687" s="78"/>
      <c r="C687" s="62">
        <v>0.08</v>
      </c>
      <c r="D687" s="63">
        <v>0.69</v>
      </c>
      <c r="E687" s="63">
        <v>0.69</v>
      </c>
      <c r="F687" s="64" t="s">
        <v>254</v>
      </c>
      <c r="G687" s="59">
        <v>47848.0</v>
      </c>
      <c r="K687" s="65" t="s">
        <v>1280</v>
      </c>
      <c r="L687" s="7"/>
      <c r="M687" s="70" t="e">
        <v>#N/A</v>
      </c>
      <c r="N687" s="7"/>
      <c r="O687" s="7"/>
      <c r="P687" s="7"/>
    </row>
    <row r="688">
      <c r="A688" s="67" t="s">
        <v>1282</v>
      </c>
      <c r="B688" s="78"/>
      <c r="C688" s="62">
        <v>0.08</v>
      </c>
      <c r="D688" s="63">
        <v>0.69</v>
      </c>
      <c r="E688" s="63">
        <v>0.69</v>
      </c>
      <c r="F688" s="64" t="s">
        <v>254</v>
      </c>
      <c r="G688" s="59">
        <v>47848.0</v>
      </c>
      <c r="K688" s="65" t="s">
        <v>1281</v>
      </c>
      <c r="L688" s="7"/>
      <c r="M688" s="70" t="e">
        <v>#N/A</v>
      </c>
      <c r="N688" s="7"/>
      <c r="O688" s="7"/>
      <c r="P688" s="7"/>
    </row>
    <row r="689">
      <c r="A689" s="67" t="s">
        <v>1283</v>
      </c>
      <c r="B689" s="78"/>
      <c r="C689" s="62">
        <v>0.08</v>
      </c>
      <c r="D689" s="63">
        <v>0.69</v>
      </c>
      <c r="E689" s="63">
        <v>0.69</v>
      </c>
      <c r="F689" s="64" t="s">
        <v>254</v>
      </c>
      <c r="G689" s="59">
        <v>47848.0</v>
      </c>
      <c r="K689" s="65" t="s">
        <v>1282</v>
      </c>
      <c r="L689" s="7"/>
      <c r="M689" s="70" t="e">
        <v>#N/A</v>
      </c>
      <c r="N689" s="7"/>
      <c r="O689" s="7"/>
      <c r="P689" s="7"/>
    </row>
    <row r="690">
      <c r="A690" s="67" t="s">
        <v>1284</v>
      </c>
      <c r="B690" s="78"/>
      <c r="C690" s="62">
        <v>0.08</v>
      </c>
      <c r="D690" s="63">
        <v>0.69</v>
      </c>
      <c r="E690" s="63">
        <v>0.69</v>
      </c>
      <c r="F690" s="64" t="s">
        <v>254</v>
      </c>
      <c r="G690" s="59">
        <v>47848.0</v>
      </c>
      <c r="K690" s="65" t="s">
        <v>1283</v>
      </c>
      <c r="L690" s="7"/>
      <c r="M690" s="70" t="e">
        <v>#N/A</v>
      </c>
      <c r="N690" s="7"/>
      <c r="O690" s="7"/>
      <c r="P690" s="7"/>
    </row>
    <row r="691">
      <c r="A691" s="67" t="s">
        <v>1285</v>
      </c>
      <c r="B691" s="78"/>
      <c r="C691" s="62">
        <v>0.08</v>
      </c>
      <c r="D691" s="63">
        <v>0.69</v>
      </c>
      <c r="E691" s="63">
        <v>0.69</v>
      </c>
      <c r="F691" s="64" t="s">
        <v>254</v>
      </c>
      <c r="G691" s="59">
        <v>47848.0</v>
      </c>
      <c r="K691" s="65" t="s">
        <v>1284</v>
      </c>
      <c r="L691" s="7"/>
      <c r="M691" s="70" t="e">
        <v>#N/A</v>
      </c>
      <c r="N691" s="7"/>
      <c r="O691" s="7"/>
      <c r="P691" s="7"/>
    </row>
    <row r="692">
      <c r="A692" s="67" t="s">
        <v>1286</v>
      </c>
      <c r="B692" s="78"/>
      <c r="C692" s="62">
        <v>0.08</v>
      </c>
      <c r="D692" s="63">
        <v>0.69</v>
      </c>
      <c r="E692" s="63">
        <v>0.69</v>
      </c>
      <c r="F692" s="64" t="s">
        <v>254</v>
      </c>
      <c r="G692" s="59">
        <v>47848.0</v>
      </c>
      <c r="K692" s="65" t="s">
        <v>1285</v>
      </c>
      <c r="L692" s="7"/>
      <c r="M692" s="70" t="e">
        <v>#N/A</v>
      </c>
      <c r="N692" s="7"/>
      <c r="O692" s="7"/>
      <c r="P692" s="7"/>
    </row>
    <row r="693">
      <c r="A693" s="67" t="s">
        <v>1287</v>
      </c>
      <c r="B693" s="78"/>
      <c r="C693" s="62">
        <v>0.08</v>
      </c>
      <c r="D693" s="63">
        <v>0.69</v>
      </c>
      <c r="E693" s="63">
        <v>0.69</v>
      </c>
      <c r="F693" s="64" t="s">
        <v>254</v>
      </c>
      <c r="G693" s="59">
        <v>47848.0</v>
      </c>
      <c r="K693" s="65" t="s">
        <v>1286</v>
      </c>
      <c r="L693" s="7"/>
      <c r="M693" s="70" t="e">
        <v>#N/A</v>
      </c>
      <c r="N693" s="7"/>
      <c r="O693" s="7"/>
      <c r="P693" s="7"/>
    </row>
    <row r="694">
      <c r="A694" s="67" t="s">
        <v>1288</v>
      </c>
      <c r="B694" s="78"/>
      <c r="C694" s="62">
        <v>0.08</v>
      </c>
      <c r="D694" s="63">
        <v>0.69</v>
      </c>
      <c r="E694" s="63">
        <v>0.69</v>
      </c>
      <c r="F694" s="64" t="s">
        <v>254</v>
      </c>
      <c r="G694" s="59">
        <v>47848.0</v>
      </c>
      <c r="K694" s="65" t="s">
        <v>1287</v>
      </c>
      <c r="L694" s="7"/>
      <c r="M694" s="70" t="e">
        <v>#N/A</v>
      </c>
      <c r="N694" s="7"/>
      <c r="O694" s="7"/>
      <c r="P694" s="7"/>
    </row>
    <row r="695">
      <c r="A695" s="67" t="s">
        <v>1289</v>
      </c>
      <c r="B695" s="78"/>
      <c r="C695" s="62">
        <v>0.08</v>
      </c>
      <c r="D695" s="63">
        <v>0.69</v>
      </c>
      <c r="E695" s="63">
        <v>0.69</v>
      </c>
      <c r="F695" s="64" t="s">
        <v>254</v>
      </c>
      <c r="G695" s="59">
        <v>47848.0</v>
      </c>
      <c r="K695" s="65" t="s">
        <v>1288</v>
      </c>
      <c r="L695" s="7"/>
      <c r="M695" s="70" t="e">
        <v>#N/A</v>
      </c>
      <c r="N695" s="7"/>
      <c r="O695" s="7"/>
      <c r="P695" s="7"/>
    </row>
    <row r="696">
      <c r="A696" s="67" t="s">
        <v>1290</v>
      </c>
      <c r="B696" s="78"/>
      <c r="C696" s="62">
        <v>0.08</v>
      </c>
      <c r="D696" s="63">
        <v>0.69</v>
      </c>
      <c r="E696" s="63">
        <v>0.69</v>
      </c>
      <c r="F696" s="64" t="s">
        <v>254</v>
      </c>
      <c r="G696" s="59">
        <v>47848.0</v>
      </c>
      <c r="K696" s="65" t="s">
        <v>1289</v>
      </c>
      <c r="L696" s="7"/>
      <c r="M696" s="70" t="e">
        <v>#N/A</v>
      </c>
      <c r="N696" s="7"/>
      <c r="O696" s="7"/>
      <c r="P696" s="7"/>
    </row>
    <row r="697">
      <c r="A697" s="67" t="s">
        <v>1291</v>
      </c>
      <c r="B697" s="78"/>
      <c r="C697" s="62">
        <v>0.08</v>
      </c>
      <c r="D697" s="63">
        <v>0.69</v>
      </c>
      <c r="E697" s="63">
        <v>0.69</v>
      </c>
      <c r="F697" s="64" t="s">
        <v>254</v>
      </c>
      <c r="G697" s="59">
        <v>47848.0</v>
      </c>
      <c r="K697" s="65" t="s">
        <v>1290</v>
      </c>
      <c r="L697" s="7"/>
      <c r="M697" s="70" t="e">
        <v>#N/A</v>
      </c>
      <c r="N697" s="7"/>
      <c r="O697" s="7"/>
      <c r="P697" s="7"/>
    </row>
    <row r="698">
      <c r="A698" s="67" t="s">
        <v>1292</v>
      </c>
      <c r="B698" s="78"/>
      <c r="C698" s="62">
        <v>0.08</v>
      </c>
      <c r="D698" s="63">
        <v>0.69</v>
      </c>
      <c r="E698" s="63">
        <v>0.69</v>
      </c>
      <c r="F698" s="64" t="s">
        <v>254</v>
      </c>
      <c r="G698" s="59">
        <v>47848.0</v>
      </c>
      <c r="K698" s="65" t="s">
        <v>1291</v>
      </c>
      <c r="L698" s="7"/>
      <c r="M698" s="70" t="e">
        <v>#N/A</v>
      </c>
      <c r="N698" s="7"/>
      <c r="O698" s="7"/>
      <c r="P698" s="7"/>
    </row>
    <row r="699">
      <c r="A699" s="67" t="s">
        <v>1293</v>
      </c>
      <c r="B699" s="78"/>
      <c r="C699" s="62">
        <v>0.08</v>
      </c>
      <c r="D699" s="63">
        <v>0.69</v>
      </c>
      <c r="E699" s="63">
        <v>0.69</v>
      </c>
      <c r="F699" s="64" t="s">
        <v>254</v>
      </c>
      <c r="G699" s="59">
        <v>47848.0</v>
      </c>
      <c r="K699" s="65" t="s">
        <v>1292</v>
      </c>
      <c r="L699" s="7"/>
      <c r="M699" s="70" t="e">
        <v>#N/A</v>
      </c>
      <c r="N699" s="7"/>
      <c r="O699" s="7"/>
      <c r="P699" s="7"/>
    </row>
    <row r="700">
      <c r="A700" s="67" t="s">
        <v>1294</v>
      </c>
      <c r="B700" s="78"/>
      <c r="C700" s="62">
        <v>0.08</v>
      </c>
      <c r="D700" s="63">
        <v>0.69</v>
      </c>
      <c r="E700" s="63">
        <v>0.69</v>
      </c>
      <c r="F700" s="64" t="s">
        <v>254</v>
      </c>
      <c r="G700" s="59">
        <v>47848.0</v>
      </c>
      <c r="K700" s="65" t="s">
        <v>1293</v>
      </c>
      <c r="L700" s="7"/>
      <c r="M700" s="70" t="e">
        <v>#N/A</v>
      </c>
      <c r="N700" s="7"/>
      <c r="O700" s="7"/>
      <c r="P700" s="7"/>
    </row>
    <row r="701">
      <c r="A701" s="67" t="s">
        <v>1295</v>
      </c>
      <c r="B701" s="78"/>
      <c r="C701" s="62">
        <v>0.08</v>
      </c>
      <c r="D701" s="63">
        <v>0.69</v>
      </c>
      <c r="E701" s="63">
        <v>0.69</v>
      </c>
      <c r="F701" s="64" t="s">
        <v>254</v>
      </c>
      <c r="G701" s="59">
        <v>47848.0</v>
      </c>
      <c r="K701" s="65" t="s">
        <v>1294</v>
      </c>
      <c r="L701" s="7"/>
      <c r="M701" s="70" t="e">
        <v>#N/A</v>
      </c>
      <c r="N701" s="7"/>
      <c r="O701" s="7"/>
      <c r="P701" s="7"/>
    </row>
    <row r="702">
      <c r="A702" s="67" t="s">
        <v>1296</v>
      </c>
      <c r="B702" s="78"/>
      <c r="C702" s="62">
        <v>0.08</v>
      </c>
      <c r="D702" s="63">
        <v>0.69</v>
      </c>
      <c r="E702" s="63">
        <v>0.69</v>
      </c>
      <c r="F702" s="64" t="s">
        <v>254</v>
      </c>
      <c r="G702" s="59">
        <v>47848.0</v>
      </c>
      <c r="K702" s="65" t="s">
        <v>1295</v>
      </c>
      <c r="L702" s="7"/>
      <c r="M702" s="70" t="e">
        <v>#N/A</v>
      </c>
      <c r="N702" s="7"/>
      <c r="O702" s="7"/>
      <c r="P702" s="7"/>
    </row>
    <row r="703">
      <c r="A703" s="67" t="s">
        <v>1297</v>
      </c>
      <c r="B703" s="78"/>
      <c r="C703" s="62">
        <v>0.08</v>
      </c>
      <c r="D703" s="63">
        <v>0.69</v>
      </c>
      <c r="E703" s="63">
        <v>0.69</v>
      </c>
      <c r="F703" s="64" t="s">
        <v>254</v>
      </c>
      <c r="G703" s="59">
        <v>47848.0</v>
      </c>
      <c r="K703" s="65" t="s">
        <v>1296</v>
      </c>
      <c r="L703" s="7"/>
      <c r="M703" s="70" t="e">
        <v>#N/A</v>
      </c>
      <c r="N703" s="7"/>
      <c r="O703" s="7"/>
      <c r="P703" s="7"/>
    </row>
    <row r="704">
      <c r="A704" s="67" t="s">
        <v>1298</v>
      </c>
      <c r="B704" s="78"/>
      <c r="C704" s="62">
        <v>0.08</v>
      </c>
      <c r="D704" s="63">
        <v>0.69</v>
      </c>
      <c r="E704" s="63">
        <v>0.69</v>
      </c>
      <c r="F704" s="64" t="s">
        <v>254</v>
      </c>
      <c r="G704" s="59">
        <v>47848.0</v>
      </c>
      <c r="K704" s="65" t="s">
        <v>1297</v>
      </c>
      <c r="L704" s="7"/>
      <c r="M704" s="70" t="e">
        <v>#N/A</v>
      </c>
      <c r="N704" s="7"/>
      <c r="O704" s="7"/>
      <c r="P704" s="7"/>
    </row>
    <row r="705">
      <c r="A705" s="67" t="s">
        <v>1299</v>
      </c>
      <c r="B705" s="78"/>
      <c r="C705" s="62">
        <v>0.08</v>
      </c>
      <c r="D705" s="63">
        <v>0.69</v>
      </c>
      <c r="E705" s="63">
        <v>0.69</v>
      </c>
      <c r="F705" s="64" t="s">
        <v>254</v>
      </c>
      <c r="G705" s="59">
        <v>47848.0</v>
      </c>
      <c r="K705" s="65" t="s">
        <v>1298</v>
      </c>
      <c r="L705" s="7"/>
      <c r="M705" s="70" t="e">
        <v>#N/A</v>
      </c>
      <c r="N705" s="7"/>
      <c r="O705" s="7"/>
      <c r="P705" s="7"/>
    </row>
    <row r="706">
      <c r="A706" s="67" t="s">
        <v>1300</v>
      </c>
      <c r="B706" s="78"/>
      <c r="C706" s="62">
        <v>0.08</v>
      </c>
      <c r="D706" s="63">
        <v>0.69</v>
      </c>
      <c r="E706" s="63">
        <v>0.69</v>
      </c>
      <c r="F706" s="64" t="s">
        <v>254</v>
      </c>
      <c r="G706" s="59">
        <v>47848.0</v>
      </c>
      <c r="K706" s="65" t="s">
        <v>1299</v>
      </c>
      <c r="L706" s="7"/>
      <c r="M706" s="70" t="e">
        <v>#N/A</v>
      </c>
      <c r="N706" s="7"/>
      <c r="O706" s="7"/>
      <c r="P706" s="7"/>
    </row>
    <row r="707">
      <c r="A707" s="67" t="s">
        <v>1301</v>
      </c>
      <c r="B707" s="78"/>
      <c r="C707" s="62">
        <v>0.08</v>
      </c>
      <c r="D707" s="63">
        <v>0.69</v>
      </c>
      <c r="E707" s="63">
        <v>0.69</v>
      </c>
      <c r="F707" s="64" t="s">
        <v>254</v>
      </c>
      <c r="G707" s="59">
        <v>47848.0</v>
      </c>
      <c r="K707" s="65" t="s">
        <v>1300</v>
      </c>
      <c r="L707" s="7"/>
      <c r="M707" s="70" t="e">
        <v>#N/A</v>
      </c>
      <c r="N707" s="7"/>
      <c r="O707" s="7"/>
      <c r="P707" s="7"/>
    </row>
    <row r="708">
      <c r="A708" s="67" t="s">
        <v>1302</v>
      </c>
      <c r="B708" s="78"/>
      <c r="C708" s="62">
        <v>0.08</v>
      </c>
      <c r="D708" s="63">
        <v>0.69</v>
      </c>
      <c r="E708" s="63">
        <v>0.69</v>
      </c>
      <c r="F708" s="64" t="s">
        <v>254</v>
      </c>
      <c r="G708" s="59">
        <v>47848.0</v>
      </c>
      <c r="K708" s="65" t="s">
        <v>1301</v>
      </c>
      <c r="L708" s="7"/>
      <c r="M708" s="70" t="e">
        <v>#N/A</v>
      </c>
      <c r="N708" s="7"/>
      <c r="O708" s="7"/>
      <c r="P708" s="7"/>
    </row>
    <row r="709">
      <c r="A709" s="67" t="s">
        <v>1303</v>
      </c>
      <c r="B709" s="78"/>
      <c r="C709" s="62">
        <v>0.08</v>
      </c>
      <c r="D709" s="63">
        <v>0.69</v>
      </c>
      <c r="E709" s="63">
        <v>0.69</v>
      </c>
      <c r="F709" s="64" t="s">
        <v>254</v>
      </c>
      <c r="G709" s="59">
        <v>47848.0</v>
      </c>
      <c r="K709" s="65" t="s">
        <v>1302</v>
      </c>
      <c r="L709" s="7"/>
      <c r="M709" s="70" t="e">
        <v>#N/A</v>
      </c>
      <c r="N709" s="7"/>
      <c r="O709" s="7"/>
      <c r="P709" s="7"/>
    </row>
    <row r="710">
      <c r="A710" s="67" t="s">
        <v>1304</v>
      </c>
      <c r="B710" s="78"/>
      <c r="C710" s="62">
        <v>0.08</v>
      </c>
      <c r="D710" s="63">
        <v>0.69</v>
      </c>
      <c r="E710" s="63">
        <v>0.69</v>
      </c>
      <c r="F710" s="64" t="s">
        <v>254</v>
      </c>
      <c r="G710" s="59">
        <v>47848.0</v>
      </c>
      <c r="K710" s="65" t="s">
        <v>1303</v>
      </c>
      <c r="L710" s="7"/>
      <c r="M710" s="70" t="e">
        <v>#N/A</v>
      </c>
      <c r="N710" s="7"/>
      <c r="O710" s="7"/>
      <c r="P710" s="7"/>
    </row>
    <row r="711">
      <c r="A711" s="67" t="s">
        <v>1305</v>
      </c>
      <c r="B711" s="78"/>
      <c r="C711" s="62">
        <v>0.08</v>
      </c>
      <c r="D711" s="63">
        <v>0.69</v>
      </c>
      <c r="E711" s="63">
        <v>0.69</v>
      </c>
      <c r="F711" s="64" t="s">
        <v>254</v>
      </c>
      <c r="G711" s="59">
        <v>47848.0</v>
      </c>
      <c r="K711" s="65" t="s">
        <v>1304</v>
      </c>
      <c r="L711" s="7"/>
      <c r="M711" s="70" t="e">
        <v>#N/A</v>
      </c>
      <c r="N711" s="7"/>
      <c r="O711" s="7"/>
      <c r="P711" s="7"/>
    </row>
    <row r="712">
      <c r="A712" s="67" t="s">
        <v>1306</v>
      </c>
      <c r="B712" s="78"/>
      <c r="C712" s="62">
        <v>0.08</v>
      </c>
      <c r="D712" s="63">
        <v>0.69</v>
      </c>
      <c r="E712" s="63">
        <v>0.69</v>
      </c>
      <c r="F712" s="64" t="s">
        <v>254</v>
      </c>
      <c r="G712" s="59">
        <v>47848.0</v>
      </c>
      <c r="K712" s="65" t="s">
        <v>1305</v>
      </c>
      <c r="L712" s="7"/>
      <c r="M712" s="70" t="e">
        <v>#N/A</v>
      </c>
      <c r="N712" s="7"/>
      <c r="O712" s="7"/>
      <c r="P712" s="7"/>
    </row>
    <row r="713">
      <c r="A713" s="67" t="s">
        <v>1307</v>
      </c>
      <c r="B713" s="78"/>
      <c r="C713" s="62">
        <v>0.08</v>
      </c>
      <c r="D713" s="63">
        <v>0.69</v>
      </c>
      <c r="E713" s="63">
        <v>0.69</v>
      </c>
      <c r="F713" s="64" t="s">
        <v>254</v>
      </c>
      <c r="G713" s="59">
        <v>47848.0</v>
      </c>
      <c r="K713" s="65" t="s">
        <v>1306</v>
      </c>
      <c r="L713" s="7"/>
      <c r="M713" s="70" t="e">
        <v>#N/A</v>
      </c>
      <c r="N713" s="7"/>
      <c r="O713" s="7"/>
      <c r="P713" s="7"/>
    </row>
    <row r="714">
      <c r="A714" s="67" t="s">
        <v>1308</v>
      </c>
      <c r="B714" s="78"/>
      <c r="C714" s="62">
        <v>0.08</v>
      </c>
      <c r="D714" s="63">
        <v>0.69</v>
      </c>
      <c r="E714" s="63">
        <v>0.69</v>
      </c>
      <c r="F714" s="64" t="s">
        <v>254</v>
      </c>
      <c r="G714" s="59">
        <v>47848.0</v>
      </c>
      <c r="K714" s="65" t="s">
        <v>1307</v>
      </c>
      <c r="L714" s="7"/>
      <c r="M714" s="70" t="e">
        <v>#N/A</v>
      </c>
      <c r="N714" s="7"/>
      <c r="O714" s="7"/>
      <c r="P714" s="7"/>
    </row>
    <row r="715">
      <c r="A715" s="67" t="s">
        <v>1309</v>
      </c>
      <c r="B715" s="78"/>
      <c r="C715" s="62">
        <v>0.08</v>
      </c>
      <c r="D715" s="63">
        <v>0.69</v>
      </c>
      <c r="E715" s="63">
        <v>0.69</v>
      </c>
      <c r="F715" s="64" t="s">
        <v>254</v>
      </c>
      <c r="G715" s="59">
        <v>47848.0</v>
      </c>
      <c r="K715" s="65" t="s">
        <v>1308</v>
      </c>
      <c r="L715" s="7"/>
      <c r="M715" s="70" t="e">
        <v>#N/A</v>
      </c>
      <c r="N715" s="7"/>
      <c r="O715" s="7"/>
      <c r="P715" s="7"/>
    </row>
    <row r="716">
      <c r="A716" s="67" t="s">
        <v>1310</v>
      </c>
      <c r="B716" s="78"/>
      <c r="C716" s="62">
        <v>0.08</v>
      </c>
      <c r="D716" s="63">
        <v>0.69</v>
      </c>
      <c r="E716" s="63">
        <v>0.69</v>
      </c>
      <c r="F716" s="64" t="s">
        <v>254</v>
      </c>
      <c r="G716" s="59">
        <v>47848.0</v>
      </c>
      <c r="K716" s="65" t="s">
        <v>1309</v>
      </c>
      <c r="L716" s="7"/>
      <c r="M716" s="70" t="e">
        <v>#N/A</v>
      </c>
      <c r="N716" s="7"/>
      <c r="O716" s="7"/>
      <c r="P716" s="7"/>
    </row>
    <row r="717">
      <c r="A717" s="67" t="s">
        <v>1311</v>
      </c>
      <c r="B717" s="78"/>
      <c r="C717" s="62">
        <v>0.08</v>
      </c>
      <c r="D717" s="63">
        <v>0.69</v>
      </c>
      <c r="E717" s="63">
        <v>0.69</v>
      </c>
      <c r="F717" s="64" t="s">
        <v>254</v>
      </c>
      <c r="G717" s="59">
        <v>47848.0</v>
      </c>
      <c r="K717" s="65" t="s">
        <v>1310</v>
      </c>
      <c r="L717" s="7"/>
      <c r="M717" s="70" t="e">
        <v>#N/A</v>
      </c>
      <c r="N717" s="7"/>
      <c r="O717" s="7"/>
      <c r="P717" s="7"/>
    </row>
    <row r="718">
      <c r="A718" s="67" t="s">
        <v>1312</v>
      </c>
      <c r="B718" s="78"/>
      <c r="C718" s="62">
        <v>0.08</v>
      </c>
      <c r="D718" s="63">
        <v>0.69</v>
      </c>
      <c r="E718" s="63">
        <v>0.69</v>
      </c>
      <c r="F718" s="64" t="s">
        <v>254</v>
      </c>
      <c r="G718" s="59">
        <v>47848.0</v>
      </c>
      <c r="K718" s="65" t="s">
        <v>1311</v>
      </c>
      <c r="L718" s="7"/>
      <c r="M718" s="70" t="e">
        <v>#N/A</v>
      </c>
      <c r="N718" s="7"/>
      <c r="O718" s="7"/>
      <c r="P718" s="7"/>
    </row>
    <row r="719">
      <c r="A719" s="67" t="s">
        <v>1313</v>
      </c>
      <c r="B719" s="78"/>
      <c r="C719" s="62">
        <v>0.08</v>
      </c>
      <c r="D719" s="63">
        <v>0.69</v>
      </c>
      <c r="E719" s="63">
        <v>0.69</v>
      </c>
      <c r="F719" s="64" t="s">
        <v>254</v>
      </c>
      <c r="G719" s="59">
        <v>47848.0</v>
      </c>
      <c r="K719" s="65" t="s">
        <v>1312</v>
      </c>
      <c r="L719" s="7"/>
      <c r="M719" s="70" t="e">
        <v>#N/A</v>
      </c>
      <c r="N719" s="7"/>
      <c r="O719" s="7"/>
      <c r="P719" s="7"/>
    </row>
    <row r="720">
      <c r="A720" s="67" t="s">
        <v>1314</v>
      </c>
      <c r="B720" s="78"/>
      <c r="C720" s="62">
        <v>0.08</v>
      </c>
      <c r="D720" s="63">
        <v>0.69</v>
      </c>
      <c r="E720" s="63">
        <v>0.69</v>
      </c>
      <c r="F720" s="64" t="s">
        <v>254</v>
      </c>
      <c r="G720" s="59">
        <v>47848.0</v>
      </c>
      <c r="K720" s="65" t="s">
        <v>1313</v>
      </c>
      <c r="L720" s="7"/>
      <c r="M720" s="70" t="e">
        <v>#N/A</v>
      </c>
      <c r="N720" s="7"/>
      <c r="O720" s="7"/>
      <c r="P720" s="7"/>
    </row>
    <row r="721">
      <c r="A721" s="67" t="s">
        <v>1315</v>
      </c>
      <c r="B721" s="78"/>
      <c r="C721" s="62">
        <v>0.08</v>
      </c>
      <c r="D721" s="63">
        <v>0.69</v>
      </c>
      <c r="E721" s="63">
        <v>0.69</v>
      </c>
      <c r="F721" s="64" t="s">
        <v>254</v>
      </c>
      <c r="G721" s="59">
        <v>47848.0</v>
      </c>
      <c r="K721" s="65" t="s">
        <v>1314</v>
      </c>
      <c r="L721" s="7"/>
      <c r="M721" s="70" t="e">
        <v>#N/A</v>
      </c>
      <c r="N721" s="7"/>
      <c r="O721" s="7"/>
      <c r="P721" s="7"/>
    </row>
    <row r="722">
      <c r="A722" s="67" t="s">
        <v>1316</v>
      </c>
      <c r="B722" s="78"/>
      <c r="C722" s="62">
        <v>0.08</v>
      </c>
      <c r="D722" s="63">
        <v>0.69</v>
      </c>
      <c r="E722" s="63">
        <v>0.69</v>
      </c>
      <c r="F722" s="64" t="s">
        <v>254</v>
      </c>
      <c r="G722" s="59">
        <v>47848.0</v>
      </c>
      <c r="K722" s="65" t="s">
        <v>1315</v>
      </c>
      <c r="L722" s="7"/>
      <c r="M722" s="70" t="e">
        <v>#N/A</v>
      </c>
      <c r="N722" s="7"/>
      <c r="O722" s="7"/>
      <c r="P722" s="7"/>
    </row>
    <row r="723">
      <c r="A723" s="67" t="s">
        <v>1317</v>
      </c>
      <c r="B723" s="78"/>
      <c r="C723" s="62">
        <v>0.08</v>
      </c>
      <c r="D723" s="63">
        <v>0.69</v>
      </c>
      <c r="E723" s="63">
        <v>0.69</v>
      </c>
      <c r="F723" s="64" t="s">
        <v>254</v>
      </c>
      <c r="G723" s="59">
        <v>47848.0</v>
      </c>
      <c r="K723" s="65" t="s">
        <v>1316</v>
      </c>
      <c r="L723" s="7"/>
      <c r="M723" s="70" t="e">
        <v>#N/A</v>
      </c>
      <c r="N723" s="7"/>
      <c r="O723" s="7"/>
      <c r="P723" s="7"/>
    </row>
    <row r="724">
      <c r="A724" s="67" t="s">
        <v>1318</v>
      </c>
      <c r="B724" s="78"/>
      <c r="C724" s="62">
        <v>0.08</v>
      </c>
      <c r="D724" s="63">
        <v>0.69</v>
      </c>
      <c r="E724" s="63">
        <v>0.69</v>
      </c>
      <c r="F724" s="64" t="s">
        <v>254</v>
      </c>
      <c r="G724" s="59">
        <v>47848.0</v>
      </c>
      <c r="K724" s="65" t="s">
        <v>1317</v>
      </c>
      <c r="L724" s="7"/>
      <c r="M724" s="70" t="e">
        <v>#N/A</v>
      </c>
      <c r="N724" s="7"/>
      <c r="O724" s="7"/>
      <c r="P724" s="7"/>
    </row>
    <row r="725">
      <c r="A725" s="67" t="s">
        <v>1319</v>
      </c>
      <c r="B725" s="78"/>
      <c r="C725" s="62">
        <v>0.08</v>
      </c>
      <c r="D725" s="63">
        <v>0.69</v>
      </c>
      <c r="E725" s="63">
        <v>0.69</v>
      </c>
      <c r="F725" s="64" t="s">
        <v>254</v>
      </c>
      <c r="G725" s="59">
        <v>47848.0</v>
      </c>
      <c r="K725" s="65" t="s">
        <v>1318</v>
      </c>
      <c r="L725" s="7"/>
      <c r="M725" s="70" t="e">
        <v>#N/A</v>
      </c>
      <c r="N725" s="7"/>
      <c r="O725" s="7"/>
      <c r="P725" s="7"/>
    </row>
    <row r="726">
      <c r="A726" s="67" t="s">
        <v>1320</v>
      </c>
      <c r="B726" s="78"/>
      <c r="C726" s="62">
        <v>0.08</v>
      </c>
      <c r="D726" s="63">
        <v>0.69</v>
      </c>
      <c r="E726" s="63">
        <v>0.69</v>
      </c>
      <c r="F726" s="64" t="s">
        <v>254</v>
      </c>
      <c r="G726" s="59">
        <v>47848.0</v>
      </c>
      <c r="K726" s="65" t="s">
        <v>1319</v>
      </c>
      <c r="L726" s="7"/>
      <c r="M726" s="70" t="e">
        <v>#N/A</v>
      </c>
      <c r="N726" s="7"/>
      <c r="O726" s="7"/>
      <c r="P726" s="7"/>
    </row>
    <row r="727">
      <c r="A727" s="67" t="s">
        <v>1321</v>
      </c>
      <c r="B727" s="78"/>
      <c r="C727" s="62">
        <v>0.08</v>
      </c>
      <c r="D727" s="63">
        <v>0.69</v>
      </c>
      <c r="E727" s="63">
        <v>0.69</v>
      </c>
      <c r="F727" s="64" t="s">
        <v>254</v>
      </c>
      <c r="G727" s="59">
        <v>47848.0</v>
      </c>
      <c r="K727" s="65" t="s">
        <v>1320</v>
      </c>
      <c r="L727" s="7"/>
      <c r="M727" s="70" t="e">
        <v>#N/A</v>
      </c>
      <c r="N727" s="7"/>
      <c r="O727" s="7"/>
      <c r="P727" s="7"/>
    </row>
    <row r="728">
      <c r="A728" s="67" t="s">
        <v>1322</v>
      </c>
      <c r="B728" s="78"/>
      <c r="C728" s="62">
        <v>0.08</v>
      </c>
      <c r="D728" s="63">
        <v>0.69</v>
      </c>
      <c r="E728" s="63">
        <v>0.69</v>
      </c>
      <c r="F728" s="64" t="s">
        <v>254</v>
      </c>
      <c r="G728" s="59">
        <v>47848.0</v>
      </c>
      <c r="K728" s="65" t="s">
        <v>1321</v>
      </c>
      <c r="L728" s="7"/>
      <c r="M728" s="70" t="e">
        <v>#N/A</v>
      </c>
      <c r="N728" s="7"/>
      <c r="O728" s="7"/>
      <c r="P728" s="7"/>
    </row>
    <row r="729">
      <c r="A729" s="67" t="s">
        <v>1323</v>
      </c>
      <c r="B729" s="78"/>
      <c r="C729" s="62">
        <v>0.08</v>
      </c>
      <c r="D729" s="63">
        <v>0.69</v>
      </c>
      <c r="E729" s="63">
        <v>0.69</v>
      </c>
      <c r="F729" s="64" t="s">
        <v>254</v>
      </c>
      <c r="G729" s="59">
        <v>47848.0</v>
      </c>
      <c r="K729" s="65" t="s">
        <v>1322</v>
      </c>
      <c r="L729" s="7"/>
      <c r="M729" s="70" t="e">
        <v>#N/A</v>
      </c>
      <c r="N729" s="7"/>
      <c r="O729" s="7"/>
      <c r="P729" s="7"/>
    </row>
    <row r="730">
      <c r="A730" s="67" t="s">
        <v>1324</v>
      </c>
      <c r="B730" s="78"/>
      <c r="C730" s="62">
        <v>0.08</v>
      </c>
      <c r="D730" s="63">
        <v>0.69</v>
      </c>
      <c r="E730" s="63">
        <v>0.69</v>
      </c>
      <c r="F730" s="64" t="s">
        <v>254</v>
      </c>
      <c r="G730" s="59">
        <v>47848.0</v>
      </c>
      <c r="K730" s="65" t="s">
        <v>1323</v>
      </c>
      <c r="L730" s="7"/>
      <c r="M730" s="70" t="e">
        <v>#N/A</v>
      </c>
      <c r="N730" s="7"/>
      <c r="O730" s="7"/>
      <c r="P730" s="7"/>
    </row>
    <row r="731">
      <c r="A731" s="67" t="s">
        <v>1325</v>
      </c>
      <c r="B731" s="78"/>
      <c r="C731" s="62">
        <v>0.08</v>
      </c>
      <c r="D731" s="63">
        <v>0.69</v>
      </c>
      <c r="E731" s="63">
        <v>0.69</v>
      </c>
      <c r="F731" s="64" t="s">
        <v>254</v>
      </c>
      <c r="G731" s="59">
        <v>47848.0</v>
      </c>
      <c r="K731" s="65" t="s">
        <v>1324</v>
      </c>
      <c r="L731" s="7"/>
      <c r="M731" s="70" t="e">
        <v>#N/A</v>
      </c>
      <c r="N731" s="7"/>
      <c r="O731" s="7"/>
      <c r="P731" s="7"/>
    </row>
    <row r="732">
      <c r="A732" s="67" t="s">
        <v>1326</v>
      </c>
      <c r="B732" s="78"/>
      <c r="C732" s="62">
        <v>0.08</v>
      </c>
      <c r="D732" s="63">
        <v>0.69</v>
      </c>
      <c r="E732" s="63">
        <v>0.69</v>
      </c>
      <c r="F732" s="64" t="s">
        <v>254</v>
      </c>
      <c r="G732" s="59">
        <v>47848.0</v>
      </c>
      <c r="K732" s="65" t="s">
        <v>1325</v>
      </c>
      <c r="L732" s="7"/>
      <c r="M732" s="70" t="e">
        <v>#N/A</v>
      </c>
      <c r="N732" s="7"/>
      <c r="O732" s="7"/>
      <c r="P732" s="7"/>
    </row>
    <row r="733">
      <c r="A733" s="67" t="s">
        <v>1327</v>
      </c>
      <c r="B733" s="78"/>
      <c r="C733" s="62">
        <v>0.08</v>
      </c>
      <c r="D733" s="63">
        <v>0.69</v>
      </c>
      <c r="E733" s="63">
        <v>0.69</v>
      </c>
      <c r="F733" s="64" t="s">
        <v>254</v>
      </c>
      <c r="G733" s="59">
        <v>47848.0</v>
      </c>
      <c r="K733" s="65" t="s">
        <v>1326</v>
      </c>
      <c r="L733" s="7"/>
      <c r="M733" s="70" t="e">
        <v>#N/A</v>
      </c>
      <c r="N733" s="7"/>
      <c r="O733" s="7"/>
      <c r="P733" s="7"/>
    </row>
    <row r="734">
      <c r="A734" s="67" t="s">
        <v>1328</v>
      </c>
      <c r="B734" s="78"/>
      <c r="C734" s="62">
        <v>0.08</v>
      </c>
      <c r="D734" s="63">
        <v>0.69</v>
      </c>
      <c r="E734" s="63">
        <v>0.69</v>
      </c>
      <c r="F734" s="64" t="s">
        <v>254</v>
      </c>
      <c r="G734" s="59">
        <v>47848.0</v>
      </c>
      <c r="K734" s="65" t="s">
        <v>1327</v>
      </c>
      <c r="L734" s="7"/>
      <c r="M734" s="70" t="e">
        <v>#N/A</v>
      </c>
      <c r="N734" s="7"/>
      <c r="O734" s="7"/>
      <c r="P734" s="7"/>
    </row>
    <row r="735">
      <c r="A735" s="67" t="s">
        <v>1329</v>
      </c>
      <c r="B735" s="78"/>
      <c r="C735" s="62">
        <v>0.08</v>
      </c>
      <c r="D735" s="63">
        <v>0.69</v>
      </c>
      <c r="E735" s="63">
        <v>0.69</v>
      </c>
      <c r="F735" s="64" t="s">
        <v>254</v>
      </c>
      <c r="G735" s="59">
        <v>47848.0</v>
      </c>
      <c r="K735" s="65" t="s">
        <v>1328</v>
      </c>
      <c r="L735" s="7"/>
      <c r="M735" s="70" t="e">
        <v>#N/A</v>
      </c>
      <c r="N735" s="7"/>
      <c r="O735" s="7"/>
      <c r="P735" s="7"/>
    </row>
    <row r="736">
      <c r="A736" s="67" t="s">
        <v>1330</v>
      </c>
      <c r="B736" s="78"/>
      <c r="C736" s="62">
        <v>0.08</v>
      </c>
      <c r="D736" s="63">
        <v>0.69</v>
      </c>
      <c r="E736" s="63">
        <v>0.69</v>
      </c>
      <c r="F736" s="64" t="s">
        <v>254</v>
      </c>
      <c r="G736" s="59">
        <v>47848.0</v>
      </c>
      <c r="K736" s="65" t="s">
        <v>1329</v>
      </c>
      <c r="L736" s="7"/>
      <c r="M736" s="70" t="e">
        <v>#N/A</v>
      </c>
      <c r="N736" s="7"/>
      <c r="O736" s="7"/>
      <c r="P736" s="7"/>
    </row>
    <row r="737">
      <c r="A737" s="67" t="s">
        <v>1331</v>
      </c>
      <c r="B737" s="78"/>
      <c r="C737" s="62">
        <v>0.08</v>
      </c>
      <c r="D737" s="63">
        <v>0.69</v>
      </c>
      <c r="E737" s="63">
        <v>0.69</v>
      </c>
      <c r="F737" s="64" t="s">
        <v>254</v>
      </c>
      <c r="G737" s="59">
        <v>47848.0</v>
      </c>
      <c r="K737" s="65" t="s">
        <v>1330</v>
      </c>
      <c r="L737" s="7"/>
      <c r="M737" s="70" t="e">
        <v>#N/A</v>
      </c>
      <c r="N737" s="7"/>
      <c r="O737" s="7"/>
      <c r="P737" s="7"/>
    </row>
    <row r="738">
      <c r="A738" s="67" t="s">
        <v>1332</v>
      </c>
      <c r="B738" s="78"/>
      <c r="C738" s="62">
        <v>0.08</v>
      </c>
      <c r="D738" s="63">
        <v>0.69</v>
      </c>
      <c r="E738" s="63">
        <v>0.69</v>
      </c>
      <c r="F738" s="64" t="s">
        <v>254</v>
      </c>
      <c r="G738" s="59">
        <v>47848.0</v>
      </c>
      <c r="K738" s="65" t="s">
        <v>1331</v>
      </c>
      <c r="L738" s="7"/>
      <c r="M738" s="70" t="e">
        <v>#N/A</v>
      </c>
      <c r="N738" s="7"/>
      <c r="O738" s="7"/>
      <c r="P738" s="7"/>
    </row>
    <row r="739">
      <c r="A739" s="67" t="s">
        <v>1333</v>
      </c>
      <c r="B739" s="78"/>
      <c r="C739" s="62">
        <v>0.08</v>
      </c>
      <c r="D739" s="63">
        <v>0.69</v>
      </c>
      <c r="E739" s="63">
        <v>0.69</v>
      </c>
      <c r="F739" s="64" t="s">
        <v>254</v>
      </c>
      <c r="G739" s="59">
        <v>47848.0</v>
      </c>
      <c r="K739" s="65" t="s">
        <v>1332</v>
      </c>
      <c r="L739" s="7"/>
      <c r="M739" s="70" t="e">
        <v>#N/A</v>
      </c>
      <c r="N739" s="7"/>
      <c r="O739" s="7"/>
      <c r="P739" s="7"/>
    </row>
    <row r="740">
      <c r="A740" s="67" t="s">
        <v>1334</v>
      </c>
      <c r="B740" s="78"/>
      <c r="C740" s="62">
        <v>0.08</v>
      </c>
      <c r="D740" s="63">
        <v>0.69</v>
      </c>
      <c r="E740" s="63">
        <v>0.69</v>
      </c>
      <c r="F740" s="64" t="s">
        <v>254</v>
      </c>
      <c r="G740" s="59">
        <v>47848.0</v>
      </c>
      <c r="K740" s="65" t="s">
        <v>1333</v>
      </c>
      <c r="L740" s="7"/>
      <c r="M740" s="70" t="e">
        <v>#N/A</v>
      </c>
      <c r="N740" s="7"/>
      <c r="O740" s="7"/>
      <c r="P740" s="7"/>
    </row>
    <row r="741">
      <c r="A741" s="67" t="s">
        <v>1335</v>
      </c>
      <c r="B741" s="78"/>
      <c r="C741" s="62">
        <v>0.08</v>
      </c>
      <c r="D741" s="63">
        <v>0.69</v>
      </c>
      <c r="E741" s="63">
        <v>0.69</v>
      </c>
      <c r="F741" s="64" t="s">
        <v>254</v>
      </c>
      <c r="G741" s="59">
        <v>47848.0</v>
      </c>
      <c r="K741" s="65" t="s">
        <v>1334</v>
      </c>
      <c r="L741" s="7"/>
      <c r="M741" s="70" t="e">
        <v>#N/A</v>
      </c>
      <c r="N741" s="7"/>
      <c r="O741" s="7"/>
      <c r="P741" s="7"/>
    </row>
    <row r="742">
      <c r="A742" s="67" t="s">
        <v>1336</v>
      </c>
      <c r="B742" s="78"/>
      <c r="C742" s="62">
        <v>0.08</v>
      </c>
      <c r="D742" s="63">
        <v>0.69</v>
      </c>
      <c r="E742" s="63">
        <v>0.69</v>
      </c>
      <c r="F742" s="64" t="s">
        <v>254</v>
      </c>
      <c r="G742" s="59">
        <v>47848.0</v>
      </c>
      <c r="K742" s="65" t="s">
        <v>1335</v>
      </c>
      <c r="L742" s="7"/>
      <c r="M742" s="70" t="e">
        <v>#N/A</v>
      </c>
      <c r="N742" s="7"/>
      <c r="O742" s="7"/>
      <c r="P742" s="7"/>
    </row>
    <row r="743">
      <c r="A743" s="67" t="s">
        <v>1337</v>
      </c>
      <c r="B743" s="78"/>
      <c r="C743" s="62">
        <v>0.08</v>
      </c>
      <c r="D743" s="63">
        <v>0.69</v>
      </c>
      <c r="E743" s="63">
        <v>0.69</v>
      </c>
      <c r="F743" s="64" t="s">
        <v>254</v>
      </c>
      <c r="G743" s="59">
        <v>47848.0</v>
      </c>
      <c r="K743" s="65" t="s">
        <v>1336</v>
      </c>
      <c r="L743" s="7"/>
      <c r="M743" s="70" t="e">
        <v>#N/A</v>
      </c>
      <c r="N743" s="7"/>
      <c r="O743" s="7"/>
      <c r="P743" s="7"/>
    </row>
    <row r="744">
      <c r="A744" s="67" t="s">
        <v>1338</v>
      </c>
      <c r="B744" s="78"/>
      <c r="C744" s="62">
        <v>0.08</v>
      </c>
      <c r="D744" s="63">
        <v>0.69</v>
      </c>
      <c r="E744" s="63">
        <v>0.69</v>
      </c>
      <c r="F744" s="64" t="s">
        <v>254</v>
      </c>
      <c r="G744" s="59">
        <v>47848.0</v>
      </c>
      <c r="K744" s="65" t="s">
        <v>1337</v>
      </c>
      <c r="L744" s="7"/>
      <c r="M744" s="70" t="e">
        <v>#N/A</v>
      </c>
      <c r="N744" s="7"/>
      <c r="O744" s="7"/>
      <c r="P744" s="7"/>
    </row>
    <row r="745">
      <c r="A745" s="67" t="s">
        <v>1339</v>
      </c>
      <c r="B745" s="78"/>
      <c r="C745" s="62">
        <v>0.08</v>
      </c>
      <c r="D745" s="63">
        <v>0.69</v>
      </c>
      <c r="E745" s="63">
        <v>0.69</v>
      </c>
      <c r="F745" s="64" t="s">
        <v>254</v>
      </c>
      <c r="G745" s="59">
        <v>47848.0</v>
      </c>
      <c r="K745" s="65" t="s">
        <v>1338</v>
      </c>
      <c r="L745" s="7"/>
      <c r="M745" s="70" t="e">
        <v>#N/A</v>
      </c>
      <c r="N745" s="7"/>
      <c r="O745" s="7"/>
      <c r="P745" s="7"/>
    </row>
    <row r="746">
      <c r="A746" s="67" t="s">
        <v>1340</v>
      </c>
      <c r="B746" s="78"/>
      <c r="C746" s="62">
        <v>0.08</v>
      </c>
      <c r="D746" s="63">
        <v>0.69</v>
      </c>
      <c r="E746" s="63">
        <v>0.69</v>
      </c>
      <c r="F746" s="64" t="s">
        <v>254</v>
      </c>
      <c r="G746" s="59">
        <v>47848.0</v>
      </c>
      <c r="K746" s="65" t="s">
        <v>1339</v>
      </c>
      <c r="L746" s="7"/>
      <c r="M746" s="70" t="e">
        <v>#N/A</v>
      </c>
      <c r="N746" s="7"/>
      <c r="O746" s="7"/>
      <c r="P746" s="7"/>
    </row>
    <row r="747">
      <c r="A747" s="67" t="s">
        <v>1341</v>
      </c>
      <c r="B747" s="78"/>
      <c r="C747" s="62">
        <v>0.08</v>
      </c>
      <c r="D747" s="63">
        <v>0.69</v>
      </c>
      <c r="E747" s="63">
        <v>0.69</v>
      </c>
      <c r="F747" s="64" t="s">
        <v>254</v>
      </c>
      <c r="G747" s="59">
        <v>47848.0</v>
      </c>
      <c r="K747" s="65" t="s">
        <v>1340</v>
      </c>
      <c r="L747" s="7"/>
      <c r="M747" s="70" t="e">
        <v>#N/A</v>
      </c>
      <c r="N747" s="7"/>
      <c r="O747" s="7"/>
      <c r="P747" s="7"/>
    </row>
    <row r="748">
      <c r="A748" s="67" t="s">
        <v>1342</v>
      </c>
      <c r="B748" s="78"/>
      <c r="C748" s="62">
        <v>0.08</v>
      </c>
      <c r="D748" s="63">
        <v>0.69</v>
      </c>
      <c r="E748" s="63">
        <v>0.69</v>
      </c>
      <c r="F748" s="64" t="s">
        <v>254</v>
      </c>
      <c r="G748" s="59">
        <v>47848.0</v>
      </c>
      <c r="K748" s="65" t="s">
        <v>1341</v>
      </c>
      <c r="L748" s="7"/>
      <c r="M748" s="70" t="e">
        <v>#N/A</v>
      </c>
      <c r="N748" s="7"/>
      <c r="O748" s="7"/>
      <c r="P748" s="7"/>
    </row>
    <row r="749">
      <c r="A749" s="67" t="s">
        <v>1343</v>
      </c>
      <c r="B749" s="78"/>
      <c r="C749" s="62">
        <v>0.08</v>
      </c>
      <c r="D749" s="63">
        <v>0.69</v>
      </c>
      <c r="E749" s="63">
        <v>0.69</v>
      </c>
      <c r="F749" s="64" t="s">
        <v>254</v>
      </c>
      <c r="G749" s="59">
        <v>47848.0</v>
      </c>
      <c r="K749" s="65" t="s">
        <v>1342</v>
      </c>
      <c r="L749" s="7"/>
      <c r="M749" s="70" t="e">
        <v>#N/A</v>
      </c>
      <c r="N749" s="7"/>
      <c r="O749" s="7"/>
      <c r="P749" s="7"/>
    </row>
    <row r="750">
      <c r="A750" s="67" t="s">
        <v>1344</v>
      </c>
      <c r="B750" s="78"/>
      <c r="C750" s="62">
        <v>0.08</v>
      </c>
      <c r="D750" s="63">
        <v>0.69</v>
      </c>
      <c r="E750" s="63">
        <v>0.69</v>
      </c>
      <c r="F750" s="64" t="s">
        <v>254</v>
      </c>
      <c r="G750" s="59">
        <v>47848.0</v>
      </c>
      <c r="K750" s="65" t="s">
        <v>1343</v>
      </c>
      <c r="L750" s="7"/>
      <c r="M750" s="70" t="e">
        <v>#N/A</v>
      </c>
      <c r="N750" s="7"/>
      <c r="O750" s="7"/>
      <c r="P750" s="7"/>
    </row>
    <row r="751">
      <c r="A751" s="67" t="s">
        <v>1345</v>
      </c>
      <c r="B751" s="78"/>
      <c r="C751" s="62">
        <v>0.08</v>
      </c>
      <c r="D751" s="63">
        <v>0.69</v>
      </c>
      <c r="E751" s="63">
        <v>0.69</v>
      </c>
      <c r="F751" s="64" t="s">
        <v>254</v>
      </c>
      <c r="G751" s="59">
        <v>47848.0</v>
      </c>
      <c r="K751" s="65" t="s">
        <v>1344</v>
      </c>
      <c r="L751" s="7"/>
      <c r="M751" s="70" t="e">
        <v>#N/A</v>
      </c>
      <c r="N751" s="7"/>
      <c r="O751" s="7"/>
      <c r="P751" s="7"/>
    </row>
    <row r="752">
      <c r="A752" s="67" t="s">
        <v>1346</v>
      </c>
      <c r="B752" s="78"/>
      <c r="C752" s="62">
        <v>0.08</v>
      </c>
      <c r="D752" s="63">
        <v>0.69</v>
      </c>
      <c r="E752" s="63">
        <v>0.69</v>
      </c>
      <c r="F752" s="64" t="s">
        <v>254</v>
      </c>
      <c r="G752" s="59">
        <v>47848.0</v>
      </c>
      <c r="K752" s="65" t="s">
        <v>1345</v>
      </c>
      <c r="L752" s="7"/>
      <c r="M752" s="70" t="e">
        <v>#N/A</v>
      </c>
      <c r="N752" s="7"/>
      <c r="O752" s="7"/>
      <c r="P752" s="7"/>
    </row>
    <row r="753">
      <c r="A753" s="67" t="s">
        <v>1347</v>
      </c>
      <c r="B753" s="78"/>
      <c r="C753" s="62">
        <v>0.08</v>
      </c>
      <c r="D753" s="63">
        <v>0.69</v>
      </c>
      <c r="E753" s="63">
        <v>0.69</v>
      </c>
      <c r="F753" s="64" t="s">
        <v>254</v>
      </c>
      <c r="G753" s="59">
        <v>47848.0</v>
      </c>
      <c r="K753" s="65" t="s">
        <v>1346</v>
      </c>
      <c r="L753" s="7"/>
      <c r="M753" s="70" t="e">
        <v>#N/A</v>
      </c>
      <c r="N753" s="7"/>
      <c r="O753" s="7"/>
      <c r="P753" s="7"/>
    </row>
    <row r="754">
      <c r="A754" s="67" t="s">
        <v>1348</v>
      </c>
      <c r="B754" s="78"/>
      <c r="C754" s="62">
        <v>0.08</v>
      </c>
      <c r="D754" s="63">
        <v>0.69</v>
      </c>
      <c r="E754" s="63">
        <v>0.69</v>
      </c>
      <c r="F754" s="64" t="s">
        <v>254</v>
      </c>
      <c r="G754" s="59">
        <v>47848.0</v>
      </c>
      <c r="K754" s="65" t="s">
        <v>1347</v>
      </c>
      <c r="L754" s="7"/>
      <c r="M754" s="70" t="e">
        <v>#N/A</v>
      </c>
      <c r="N754" s="7"/>
      <c r="O754" s="7"/>
      <c r="P754" s="7"/>
    </row>
    <row r="755">
      <c r="A755" s="67" t="s">
        <v>1349</v>
      </c>
      <c r="B755" s="78"/>
      <c r="C755" s="62">
        <v>0.08</v>
      </c>
      <c r="D755" s="63">
        <v>0.69</v>
      </c>
      <c r="E755" s="63">
        <v>0.69</v>
      </c>
      <c r="F755" s="64" t="s">
        <v>254</v>
      </c>
      <c r="G755" s="59">
        <v>47848.0</v>
      </c>
      <c r="K755" s="65" t="s">
        <v>1348</v>
      </c>
      <c r="L755" s="7"/>
      <c r="M755" s="70" t="e">
        <v>#N/A</v>
      </c>
      <c r="N755" s="7"/>
      <c r="O755" s="7"/>
      <c r="P755" s="7"/>
    </row>
    <row r="756">
      <c r="A756" s="67" t="s">
        <v>1350</v>
      </c>
      <c r="B756" s="78"/>
      <c r="C756" s="62">
        <v>0.08</v>
      </c>
      <c r="D756" s="63">
        <v>0.69</v>
      </c>
      <c r="E756" s="63">
        <v>0.69</v>
      </c>
      <c r="F756" s="64" t="s">
        <v>254</v>
      </c>
      <c r="G756" s="59">
        <v>47848.0</v>
      </c>
      <c r="K756" s="65" t="s">
        <v>1349</v>
      </c>
      <c r="L756" s="7"/>
      <c r="M756" s="70" t="e">
        <v>#N/A</v>
      </c>
      <c r="N756" s="7"/>
      <c r="O756" s="7"/>
      <c r="P756" s="7"/>
    </row>
    <row r="757">
      <c r="A757" s="67" t="s">
        <v>1351</v>
      </c>
      <c r="B757" s="78"/>
      <c r="C757" s="62">
        <v>0.08</v>
      </c>
      <c r="D757" s="63">
        <v>0.69</v>
      </c>
      <c r="E757" s="63">
        <v>0.69</v>
      </c>
      <c r="F757" s="64" t="s">
        <v>254</v>
      </c>
      <c r="G757" s="59">
        <v>47848.0</v>
      </c>
      <c r="K757" s="65" t="s">
        <v>1350</v>
      </c>
      <c r="L757" s="7"/>
      <c r="M757" s="70" t="e">
        <v>#N/A</v>
      </c>
      <c r="N757" s="7"/>
      <c r="O757" s="7"/>
      <c r="P757" s="7"/>
    </row>
    <row r="758">
      <c r="A758" s="67" t="s">
        <v>1352</v>
      </c>
      <c r="B758" s="78"/>
      <c r="C758" s="62">
        <v>0.08</v>
      </c>
      <c r="D758" s="63">
        <v>0.69</v>
      </c>
      <c r="E758" s="63">
        <v>0.69</v>
      </c>
      <c r="F758" s="64" t="s">
        <v>254</v>
      </c>
      <c r="G758" s="59">
        <v>47848.0</v>
      </c>
      <c r="K758" s="65" t="s">
        <v>1351</v>
      </c>
      <c r="L758" s="7"/>
      <c r="M758" s="70" t="e">
        <v>#N/A</v>
      </c>
      <c r="N758" s="7"/>
      <c r="O758" s="7"/>
      <c r="P758" s="7"/>
    </row>
    <row r="759">
      <c r="A759" s="67" t="s">
        <v>1353</v>
      </c>
      <c r="B759" s="78"/>
      <c r="C759" s="62">
        <v>0.08</v>
      </c>
      <c r="D759" s="63">
        <v>0.69</v>
      </c>
      <c r="E759" s="63">
        <v>0.69</v>
      </c>
      <c r="F759" s="64" t="s">
        <v>254</v>
      </c>
      <c r="G759" s="59">
        <v>47848.0</v>
      </c>
      <c r="K759" s="65" t="s">
        <v>1352</v>
      </c>
      <c r="L759" s="7"/>
      <c r="M759" s="70" t="e">
        <v>#N/A</v>
      </c>
      <c r="N759" s="7"/>
      <c r="O759" s="7"/>
      <c r="P759" s="7"/>
    </row>
    <row r="760">
      <c r="A760" s="67" t="s">
        <v>1354</v>
      </c>
      <c r="B760" s="78"/>
      <c r="C760" s="62">
        <v>0.08</v>
      </c>
      <c r="D760" s="63">
        <v>0.69</v>
      </c>
      <c r="E760" s="63">
        <v>0.69</v>
      </c>
      <c r="F760" s="64" t="s">
        <v>254</v>
      </c>
      <c r="G760" s="59">
        <v>47848.0</v>
      </c>
      <c r="K760" s="65" t="s">
        <v>1353</v>
      </c>
      <c r="L760" s="7"/>
      <c r="M760" s="70" t="e">
        <v>#N/A</v>
      </c>
      <c r="N760" s="7"/>
      <c r="O760" s="7"/>
      <c r="P760" s="7"/>
    </row>
    <row r="761">
      <c r="A761" s="67" t="s">
        <v>1355</v>
      </c>
      <c r="B761" s="78"/>
      <c r="C761" s="62">
        <v>0.08</v>
      </c>
      <c r="D761" s="63">
        <v>0.69</v>
      </c>
      <c r="E761" s="63">
        <v>0.69</v>
      </c>
      <c r="F761" s="64" t="s">
        <v>254</v>
      </c>
      <c r="G761" s="59">
        <v>47848.0</v>
      </c>
      <c r="K761" s="65" t="s">
        <v>1354</v>
      </c>
      <c r="L761" s="7"/>
      <c r="M761" s="70" t="e">
        <v>#N/A</v>
      </c>
      <c r="N761" s="7"/>
      <c r="O761" s="7"/>
      <c r="P761" s="7"/>
    </row>
    <row r="762">
      <c r="A762" s="67" t="s">
        <v>1356</v>
      </c>
      <c r="B762" s="78"/>
      <c r="C762" s="62">
        <v>0.08</v>
      </c>
      <c r="D762" s="63">
        <v>0.69</v>
      </c>
      <c r="E762" s="63">
        <v>0.69</v>
      </c>
      <c r="F762" s="64" t="s">
        <v>254</v>
      </c>
      <c r="G762" s="59">
        <v>47848.0</v>
      </c>
      <c r="K762" s="65" t="s">
        <v>1355</v>
      </c>
      <c r="L762" s="7"/>
      <c r="M762" s="70" t="e">
        <v>#N/A</v>
      </c>
      <c r="N762" s="7"/>
      <c r="O762" s="7"/>
      <c r="P762" s="7"/>
    </row>
    <row r="763">
      <c r="A763" s="67" t="s">
        <v>1357</v>
      </c>
      <c r="B763" s="78"/>
      <c r="C763" s="62">
        <v>0.08</v>
      </c>
      <c r="D763" s="63">
        <v>0.69</v>
      </c>
      <c r="E763" s="63">
        <v>0.69</v>
      </c>
      <c r="F763" s="64" t="s">
        <v>254</v>
      </c>
      <c r="G763" s="59">
        <v>47848.0</v>
      </c>
      <c r="K763" s="65" t="s">
        <v>1356</v>
      </c>
      <c r="L763" s="7"/>
      <c r="M763" s="70" t="e">
        <v>#N/A</v>
      </c>
      <c r="N763" s="7"/>
      <c r="O763" s="7"/>
      <c r="P763" s="7"/>
    </row>
    <row r="764">
      <c r="A764" s="67" t="s">
        <v>1358</v>
      </c>
      <c r="B764" s="78"/>
      <c r="C764" s="62">
        <v>0.08</v>
      </c>
      <c r="D764" s="63">
        <v>0.69</v>
      </c>
      <c r="E764" s="63">
        <v>0.69</v>
      </c>
      <c r="F764" s="64" t="s">
        <v>254</v>
      </c>
      <c r="G764" s="59">
        <v>47848.0</v>
      </c>
      <c r="K764" s="65" t="s">
        <v>1357</v>
      </c>
      <c r="L764" s="7"/>
      <c r="M764" s="70" t="e">
        <v>#N/A</v>
      </c>
      <c r="N764" s="7"/>
      <c r="O764" s="7"/>
      <c r="P764" s="7"/>
    </row>
    <row r="765">
      <c r="A765" s="67" t="s">
        <v>1359</v>
      </c>
      <c r="B765" s="78"/>
      <c r="C765" s="62">
        <v>0.08</v>
      </c>
      <c r="D765" s="63">
        <v>0.69</v>
      </c>
      <c r="E765" s="63">
        <v>0.69</v>
      </c>
      <c r="F765" s="64" t="s">
        <v>254</v>
      </c>
      <c r="G765" s="59">
        <v>47848.0</v>
      </c>
      <c r="K765" s="65" t="s">
        <v>1358</v>
      </c>
      <c r="L765" s="7"/>
      <c r="M765" s="70" t="e">
        <v>#N/A</v>
      </c>
      <c r="N765" s="7"/>
      <c r="O765" s="7"/>
      <c r="P765" s="7"/>
    </row>
    <row r="766">
      <c r="A766" s="67" t="s">
        <v>1360</v>
      </c>
      <c r="B766" s="78"/>
      <c r="C766" s="62">
        <v>0.08</v>
      </c>
      <c r="D766" s="63">
        <v>0.69</v>
      </c>
      <c r="E766" s="63">
        <v>0.69</v>
      </c>
      <c r="F766" s="64" t="s">
        <v>254</v>
      </c>
      <c r="G766" s="59">
        <v>47848.0</v>
      </c>
      <c r="K766" s="65" t="s">
        <v>1359</v>
      </c>
      <c r="L766" s="7"/>
      <c r="M766" s="70" t="e">
        <v>#N/A</v>
      </c>
      <c r="N766" s="7"/>
      <c r="O766" s="7"/>
      <c r="P766" s="7"/>
    </row>
    <row r="767">
      <c r="A767" s="67" t="s">
        <v>1361</v>
      </c>
      <c r="B767" s="78"/>
      <c r="C767" s="62">
        <v>0.08</v>
      </c>
      <c r="D767" s="63">
        <v>0.69</v>
      </c>
      <c r="E767" s="63">
        <v>0.69</v>
      </c>
      <c r="F767" s="64" t="s">
        <v>254</v>
      </c>
      <c r="G767" s="59">
        <v>47848.0</v>
      </c>
      <c r="K767" s="65" t="s">
        <v>1360</v>
      </c>
      <c r="L767" s="7"/>
      <c r="M767" s="70" t="e">
        <v>#N/A</v>
      </c>
      <c r="N767" s="7"/>
      <c r="O767" s="7"/>
      <c r="P767" s="7"/>
    </row>
    <row r="768">
      <c r="A768" s="67" t="s">
        <v>1362</v>
      </c>
      <c r="B768" s="78"/>
      <c r="C768" s="62">
        <v>0.08</v>
      </c>
      <c r="D768" s="63">
        <v>0.69</v>
      </c>
      <c r="E768" s="63">
        <v>0.69</v>
      </c>
      <c r="F768" s="64" t="s">
        <v>254</v>
      </c>
      <c r="G768" s="59">
        <v>47848.0</v>
      </c>
      <c r="K768" s="65" t="s">
        <v>1361</v>
      </c>
      <c r="L768" s="7"/>
      <c r="M768" s="70" t="e">
        <v>#N/A</v>
      </c>
      <c r="N768" s="7"/>
      <c r="O768" s="7"/>
      <c r="P768" s="7"/>
    </row>
    <row r="769">
      <c r="A769" s="67" t="s">
        <v>1363</v>
      </c>
      <c r="B769" s="78"/>
      <c r="C769" s="62">
        <v>0.08</v>
      </c>
      <c r="D769" s="63">
        <v>0.69</v>
      </c>
      <c r="E769" s="63">
        <v>0.69</v>
      </c>
      <c r="F769" s="64" t="s">
        <v>254</v>
      </c>
      <c r="G769" s="59">
        <v>47848.0</v>
      </c>
      <c r="K769" s="65" t="s">
        <v>1362</v>
      </c>
      <c r="L769" s="7"/>
      <c r="M769" s="70" t="e">
        <v>#N/A</v>
      </c>
      <c r="N769" s="7"/>
      <c r="O769" s="7"/>
      <c r="P769" s="7"/>
    </row>
    <row r="770">
      <c r="A770" s="67" t="s">
        <v>1364</v>
      </c>
      <c r="B770" s="78"/>
      <c r="C770" s="62">
        <v>0.08</v>
      </c>
      <c r="D770" s="63">
        <v>0.69</v>
      </c>
      <c r="E770" s="63">
        <v>0.69</v>
      </c>
      <c r="F770" s="64" t="s">
        <v>254</v>
      </c>
      <c r="G770" s="59">
        <v>47848.0</v>
      </c>
      <c r="K770" s="65" t="s">
        <v>1363</v>
      </c>
      <c r="L770" s="7"/>
      <c r="M770" s="70" t="e">
        <v>#N/A</v>
      </c>
      <c r="N770" s="7"/>
      <c r="O770" s="7"/>
      <c r="P770" s="7"/>
    </row>
    <row r="771">
      <c r="A771" s="67" t="s">
        <v>1365</v>
      </c>
      <c r="B771" s="78"/>
      <c r="C771" s="62">
        <v>0.08</v>
      </c>
      <c r="D771" s="63">
        <v>0.69</v>
      </c>
      <c r="E771" s="63">
        <v>0.69</v>
      </c>
      <c r="F771" s="64" t="s">
        <v>254</v>
      </c>
      <c r="G771" s="59">
        <v>47848.0</v>
      </c>
      <c r="K771" s="65" t="s">
        <v>1364</v>
      </c>
      <c r="L771" s="7"/>
      <c r="M771" s="70" t="e">
        <v>#N/A</v>
      </c>
      <c r="N771" s="7"/>
      <c r="O771" s="7"/>
      <c r="P771" s="7"/>
    </row>
    <row r="772">
      <c r="A772" s="67" t="s">
        <v>1366</v>
      </c>
      <c r="B772" s="78"/>
      <c r="C772" s="62">
        <v>0.08</v>
      </c>
      <c r="D772" s="63">
        <v>0.69</v>
      </c>
      <c r="E772" s="63">
        <v>0.69</v>
      </c>
      <c r="F772" s="64" t="s">
        <v>254</v>
      </c>
      <c r="G772" s="59">
        <v>47848.0</v>
      </c>
      <c r="K772" s="65" t="s">
        <v>1365</v>
      </c>
      <c r="L772" s="7"/>
      <c r="M772" s="70" t="e">
        <v>#N/A</v>
      </c>
      <c r="N772" s="7"/>
      <c r="O772" s="7"/>
      <c r="P772" s="7"/>
    </row>
    <row r="773">
      <c r="A773" s="67" t="s">
        <v>1367</v>
      </c>
      <c r="B773" s="78"/>
      <c r="C773" s="62">
        <v>0.08</v>
      </c>
      <c r="D773" s="63">
        <v>0.69</v>
      </c>
      <c r="E773" s="63">
        <v>0.69</v>
      </c>
      <c r="F773" s="64" t="s">
        <v>254</v>
      </c>
      <c r="G773" s="59">
        <v>47848.0</v>
      </c>
      <c r="K773" s="65" t="s">
        <v>1366</v>
      </c>
      <c r="L773" s="7"/>
      <c r="M773" s="70" t="e">
        <v>#N/A</v>
      </c>
      <c r="N773" s="7"/>
      <c r="O773" s="7"/>
      <c r="P773" s="7"/>
    </row>
    <row r="774">
      <c r="A774" s="67" t="s">
        <v>1368</v>
      </c>
      <c r="B774" s="78"/>
      <c r="C774" s="62">
        <v>0.08</v>
      </c>
      <c r="D774" s="63">
        <v>0.69</v>
      </c>
      <c r="E774" s="63">
        <v>0.69</v>
      </c>
      <c r="F774" s="64" t="s">
        <v>254</v>
      </c>
      <c r="G774" s="59">
        <v>47848.0</v>
      </c>
      <c r="K774" s="65" t="s">
        <v>1367</v>
      </c>
      <c r="L774" s="7"/>
      <c r="M774" s="70" t="e">
        <v>#N/A</v>
      </c>
      <c r="N774" s="7"/>
      <c r="O774" s="7"/>
      <c r="P774" s="7"/>
    </row>
    <row r="775">
      <c r="A775" s="67" t="s">
        <v>1369</v>
      </c>
      <c r="B775" s="78"/>
      <c r="C775" s="62">
        <v>0.08</v>
      </c>
      <c r="D775" s="63">
        <v>0.69</v>
      </c>
      <c r="E775" s="63">
        <v>0.69</v>
      </c>
      <c r="F775" s="64" t="s">
        <v>254</v>
      </c>
      <c r="G775" s="59">
        <v>47848.0</v>
      </c>
      <c r="K775" s="65" t="s">
        <v>1368</v>
      </c>
      <c r="L775" s="7"/>
      <c r="M775" s="70" t="e">
        <v>#N/A</v>
      </c>
      <c r="N775" s="7"/>
      <c r="O775" s="7"/>
      <c r="P775" s="7"/>
    </row>
    <row r="776">
      <c r="A776" s="67" t="s">
        <v>1370</v>
      </c>
      <c r="B776" s="78"/>
      <c r="C776" s="62">
        <v>0.08</v>
      </c>
      <c r="D776" s="63">
        <v>0.69</v>
      </c>
      <c r="E776" s="63">
        <v>0.69</v>
      </c>
      <c r="F776" s="64" t="s">
        <v>254</v>
      </c>
      <c r="G776" s="59">
        <v>47848.0</v>
      </c>
      <c r="K776" s="65" t="s">
        <v>1369</v>
      </c>
      <c r="L776" s="7"/>
      <c r="M776" s="70" t="e">
        <v>#N/A</v>
      </c>
      <c r="N776" s="7"/>
      <c r="O776" s="7"/>
      <c r="P776" s="7"/>
    </row>
    <row r="777">
      <c r="A777" s="67" t="s">
        <v>1371</v>
      </c>
      <c r="B777" s="78"/>
      <c r="C777" s="62">
        <v>0.08</v>
      </c>
      <c r="D777" s="63">
        <v>0.69</v>
      </c>
      <c r="E777" s="63">
        <v>0.69</v>
      </c>
      <c r="F777" s="64" t="s">
        <v>254</v>
      </c>
      <c r="G777" s="59">
        <v>47848.0</v>
      </c>
      <c r="K777" s="65" t="s">
        <v>1370</v>
      </c>
      <c r="L777" s="7"/>
      <c r="M777" s="70" t="e">
        <v>#N/A</v>
      </c>
      <c r="N777" s="7"/>
      <c r="O777" s="7"/>
      <c r="P777" s="7"/>
    </row>
    <row r="778">
      <c r="A778" s="67" t="s">
        <v>1372</v>
      </c>
      <c r="B778" s="78"/>
      <c r="C778" s="62">
        <v>0.08</v>
      </c>
      <c r="D778" s="63">
        <v>0.69</v>
      </c>
      <c r="E778" s="63">
        <v>0.69</v>
      </c>
      <c r="F778" s="64" t="s">
        <v>254</v>
      </c>
      <c r="G778" s="59">
        <v>47848.0</v>
      </c>
      <c r="K778" s="65" t="s">
        <v>1371</v>
      </c>
      <c r="L778" s="7"/>
      <c r="M778" s="70" t="e">
        <v>#N/A</v>
      </c>
      <c r="N778" s="7"/>
      <c r="O778" s="7"/>
      <c r="P778" s="7"/>
    </row>
    <row r="779">
      <c r="A779" s="67" t="s">
        <v>1373</v>
      </c>
      <c r="B779" s="78"/>
      <c r="C779" s="62">
        <v>0.08</v>
      </c>
      <c r="D779" s="63">
        <v>0.69</v>
      </c>
      <c r="E779" s="63">
        <v>0.69</v>
      </c>
      <c r="F779" s="64" t="s">
        <v>254</v>
      </c>
      <c r="G779" s="59">
        <v>47848.0</v>
      </c>
      <c r="K779" s="65" t="s">
        <v>1372</v>
      </c>
      <c r="L779" s="7"/>
      <c r="M779" s="70" t="e">
        <v>#N/A</v>
      </c>
      <c r="N779" s="7"/>
      <c r="O779" s="7"/>
      <c r="P779" s="7"/>
    </row>
    <row r="780">
      <c r="A780" s="67" t="s">
        <v>1374</v>
      </c>
      <c r="B780" s="78"/>
      <c r="C780" s="62">
        <v>0.08</v>
      </c>
      <c r="D780" s="63">
        <v>0.69</v>
      </c>
      <c r="E780" s="63">
        <v>0.69</v>
      </c>
      <c r="F780" s="64" t="s">
        <v>254</v>
      </c>
      <c r="G780" s="59">
        <v>47848.0</v>
      </c>
      <c r="K780" s="65" t="s">
        <v>1373</v>
      </c>
      <c r="L780" s="7"/>
      <c r="M780" s="70" t="e">
        <v>#N/A</v>
      </c>
      <c r="N780" s="7"/>
      <c r="O780" s="7"/>
      <c r="P780" s="7"/>
    </row>
    <row r="781">
      <c r="A781" s="67" t="s">
        <v>1375</v>
      </c>
      <c r="B781" s="78"/>
      <c r="C781" s="62">
        <v>0.08</v>
      </c>
      <c r="D781" s="63">
        <v>0.69</v>
      </c>
      <c r="E781" s="63">
        <v>0.69</v>
      </c>
      <c r="F781" s="64" t="s">
        <v>254</v>
      </c>
      <c r="G781" s="59">
        <v>47848.0</v>
      </c>
      <c r="K781" s="65" t="s">
        <v>1374</v>
      </c>
      <c r="L781" s="7"/>
      <c r="M781" s="70" t="e">
        <v>#N/A</v>
      </c>
      <c r="N781" s="7"/>
      <c r="O781" s="7"/>
      <c r="P781" s="7"/>
    </row>
    <row r="782">
      <c r="A782" s="67" t="s">
        <v>1376</v>
      </c>
      <c r="B782" s="78"/>
      <c r="C782" s="62">
        <v>0.08</v>
      </c>
      <c r="D782" s="63">
        <v>0.69</v>
      </c>
      <c r="E782" s="63">
        <v>0.69</v>
      </c>
      <c r="F782" s="64" t="s">
        <v>254</v>
      </c>
      <c r="G782" s="59">
        <v>47848.0</v>
      </c>
      <c r="K782" s="65" t="s">
        <v>1375</v>
      </c>
      <c r="L782" s="7"/>
      <c r="M782" s="70" t="e">
        <v>#N/A</v>
      </c>
      <c r="N782" s="7"/>
      <c r="O782" s="7"/>
      <c r="P782" s="7"/>
    </row>
    <row r="783">
      <c r="A783" s="67" t="s">
        <v>1377</v>
      </c>
      <c r="B783" s="78"/>
      <c r="C783" s="62">
        <v>0.08</v>
      </c>
      <c r="D783" s="63">
        <v>0.69</v>
      </c>
      <c r="E783" s="63">
        <v>0.69</v>
      </c>
      <c r="F783" s="64" t="s">
        <v>254</v>
      </c>
      <c r="G783" s="59">
        <v>47848.0</v>
      </c>
      <c r="K783" s="65" t="s">
        <v>1376</v>
      </c>
      <c r="L783" s="7"/>
      <c r="M783" s="70" t="e">
        <v>#N/A</v>
      </c>
      <c r="N783" s="7"/>
      <c r="O783" s="7"/>
      <c r="P783" s="7"/>
    </row>
    <row r="784">
      <c r="A784" s="67" t="s">
        <v>1378</v>
      </c>
      <c r="B784" s="78"/>
      <c r="C784" s="62">
        <v>0.08</v>
      </c>
      <c r="D784" s="63">
        <v>0.69</v>
      </c>
      <c r="E784" s="63">
        <v>0.69</v>
      </c>
      <c r="F784" s="64" t="s">
        <v>254</v>
      </c>
      <c r="G784" s="59">
        <v>47848.0</v>
      </c>
      <c r="K784" s="65" t="s">
        <v>1377</v>
      </c>
      <c r="L784" s="7"/>
      <c r="M784" s="70" t="e">
        <v>#N/A</v>
      </c>
      <c r="N784" s="7"/>
      <c r="O784" s="7"/>
      <c r="P784" s="7"/>
    </row>
    <row r="785">
      <c r="A785" s="67" t="s">
        <v>1379</v>
      </c>
      <c r="B785" s="78"/>
      <c r="C785" s="62">
        <v>0.08</v>
      </c>
      <c r="D785" s="63">
        <v>0.69</v>
      </c>
      <c r="E785" s="63">
        <v>0.69</v>
      </c>
      <c r="F785" s="64" t="s">
        <v>254</v>
      </c>
      <c r="G785" s="59">
        <v>47848.0</v>
      </c>
      <c r="K785" s="65" t="s">
        <v>1378</v>
      </c>
      <c r="L785" s="7"/>
      <c r="M785" s="70" t="e">
        <v>#N/A</v>
      </c>
      <c r="N785" s="7"/>
      <c r="O785" s="7"/>
      <c r="P785" s="7"/>
    </row>
    <row r="786">
      <c r="A786" s="67" t="s">
        <v>1380</v>
      </c>
      <c r="B786" s="78"/>
      <c r="C786" s="62">
        <v>0.08</v>
      </c>
      <c r="D786" s="63">
        <v>0.69</v>
      </c>
      <c r="E786" s="63">
        <v>0.69</v>
      </c>
      <c r="F786" s="64" t="s">
        <v>254</v>
      </c>
      <c r="G786" s="59">
        <v>47848.0</v>
      </c>
      <c r="K786" s="65" t="s">
        <v>1379</v>
      </c>
      <c r="L786" s="7"/>
      <c r="M786" s="70" t="e">
        <v>#N/A</v>
      </c>
      <c r="N786" s="7"/>
      <c r="O786" s="7"/>
      <c r="P786" s="7"/>
    </row>
    <row r="787">
      <c r="A787" s="67" t="s">
        <v>1381</v>
      </c>
      <c r="B787" s="78"/>
      <c r="C787" s="62">
        <v>0.08</v>
      </c>
      <c r="D787" s="63">
        <v>0.69</v>
      </c>
      <c r="E787" s="63">
        <v>0.69</v>
      </c>
      <c r="F787" s="64" t="s">
        <v>254</v>
      </c>
      <c r="G787" s="59">
        <v>47848.0</v>
      </c>
      <c r="K787" s="65" t="s">
        <v>1380</v>
      </c>
      <c r="L787" s="7"/>
      <c r="M787" s="70" t="e">
        <v>#N/A</v>
      </c>
      <c r="N787" s="7"/>
      <c r="O787" s="7"/>
      <c r="P787" s="7"/>
    </row>
    <row r="788">
      <c r="A788" s="67" t="s">
        <v>1382</v>
      </c>
      <c r="B788" s="78"/>
      <c r="C788" s="62">
        <v>0.08</v>
      </c>
      <c r="D788" s="63">
        <v>0.69</v>
      </c>
      <c r="E788" s="63">
        <v>0.69</v>
      </c>
      <c r="F788" s="64" t="s">
        <v>254</v>
      </c>
      <c r="G788" s="59">
        <v>47848.0</v>
      </c>
      <c r="K788" s="65" t="s">
        <v>1381</v>
      </c>
      <c r="L788" s="7"/>
      <c r="M788" s="70" t="e">
        <v>#N/A</v>
      </c>
      <c r="N788" s="7"/>
      <c r="O788" s="7"/>
      <c r="P788" s="7"/>
    </row>
    <row r="789">
      <c r="A789" s="67" t="s">
        <v>1383</v>
      </c>
      <c r="B789" s="78"/>
      <c r="C789" s="62">
        <v>0.08</v>
      </c>
      <c r="D789" s="63">
        <v>0.69</v>
      </c>
      <c r="E789" s="63">
        <v>0.69</v>
      </c>
      <c r="F789" s="64" t="s">
        <v>254</v>
      </c>
      <c r="G789" s="59">
        <v>47848.0</v>
      </c>
      <c r="K789" s="65" t="s">
        <v>1382</v>
      </c>
      <c r="L789" s="7"/>
      <c r="M789" s="70" t="e">
        <v>#N/A</v>
      </c>
      <c r="N789" s="7"/>
      <c r="O789" s="7"/>
      <c r="P789" s="7"/>
    </row>
    <row r="790">
      <c r="A790" s="67" t="s">
        <v>1384</v>
      </c>
      <c r="B790" s="78"/>
      <c r="C790" s="62">
        <v>0.08</v>
      </c>
      <c r="D790" s="63">
        <v>0.69</v>
      </c>
      <c r="E790" s="63">
        <v>0.69</v>
      </c>
      <c r="F790" s="64" t="s">
        <v>254</v>
      </c>
      <c r="G790" s="59">
        <v>47848.0</v>
      </c>
      <c r="K790" s="65" t="s">
        <v>1383</v>
      </c>
      <c r="L790" s="7"/>
      <c r="M790" s="70" t="e">
        <v>#N/A</v>
      </c>
      <c r="N790" s="7"/>
      <c r="O790" s="7"/>
      <c r="P790" s="7"/>
    </row>
    <row r="791">
      <c r="A791" s="67" t="s">
        <v>1385</v>
      </c>
      <c r="B791" s="78"/>
      <c r="C791" s="62">
        <v>0.08</v>
      </c>
      <c r="D791" s="63">
        <v>0.69</v>
      </c>
      <c r="E791" s="63">
        <v>0.69</v>
      </c>
      <c r="F791" s="64" t="s">
        <v>254</v>
      </c>
      <c r="G791" s="59">
        <v>47848.0</v>
      </c>
      <c r="K791" s="65" t="s">
        <v>1384</v>
      </c>
      <c r="L791" s="7"/>
      <c r="M791" s="70" t="e">
        <v>#N/A</v>
      </c>
      <c r="N791" s="7"/>
      <c r="O791" s="7"/>
      <c r="P791" s="7"/>
    </row>
    <row r="792">
      <c r="A792" s="67" t="s">
        <v>1386</v>
      </c>
      <c r="B792" s="78"/>
      <c r="C792" s="62">
        <v>0.08</v>
      </c>
      <c r="D792" s="63">
        <v>0.69</v>
      </c>
      <c r="E792" s="63">
        <v>0.69</v>
      </c>
      <c r="F792" s="64" t="s">
        <v>254</v>
      </c>
      <c r="G792" s="59">
        <v>47848.0</v>
      </c>
      <c r="K792" s="65" t="s">
        <v>1385</v>
      </c>
      <c r="L792" s="7"/>
      <c r="M792" s="70" t="e">
        <v>#N/A</v>
      </c>
      <c r="N792" s="7"/>
      <c r="O792" s="7"/>
      <c r="P792" s="7"/>
    </row>
    <row r="793">
      <c r="A793" s="67" t="s">
        <v>1387</v>
      </c>
      <c r="B793" s="78"/>
      <c r="C793" s="62">
        <v>0.08</v>
      </c>
      <c r="D793" s="63">
        <v>0.69</v>
      </c>
      <c r="E793" s="63">
        <v>0.69</v>
      </c>
      <c r="F793" s="64" t="s">
        <v>254</v>
      </c>
      <c r="G793" s="59">
        <v>47848.0</v>
      </c>
      <c r="K793" s="65" t="s">
        <v>1386</v>
      </c>
      <c r="L793" s="7"/>
      <c r="M793" s="70" t="e">
        <v>#N/A</v>
      </c>
      <c r="N793" s="7"/>
      <c r="O793" s="7"/>
      <c r="P793" s="7"/>
    </row>
    <row r="794">
      <c r="A794" s="67" t="s">
        <v>1388</v>
      </c>
      <c r="B794" s="78"/>
      <c r="C794" s="62">
        <v>0.08</v>
      </c>
      <c r="D794" s="63">
        <v>0.69</v>
      </c>
      <c r="E794" s="63">
        <v>0.69</v>
      </c>
      <c r="F794" s="64" t="s">
        <v>254</v>
      </c>
      <c r="G794" s="59">
        <v>47848.0</v>
      </c>
      <c r="K794" s="65" t="s">
        <v>1387</v>
      </c>
      <c r="L794" s="7"/>
      <c r="M794" s="70" t="e">
        <v>#N/A</v>
      </c>
      <c r="N794" s="7"/>
      <c r="O794" s="7"/>
      <c r="P794" s="7"/>
    </row>
    <row r="795">
      <c r="A795" s="67" t="s">
        <v>1389</v>
      </c>
      <c r="B795" s="78"/>
      <c r="C795" s="62">
        <v>0.08</v>
      </c>
      <c r="D795" s="63">
        <v>0.69</v>
      </c>
      <c r="E795" s="63">
        <v>0.69</v>
      </c>
      <c r="F795" s="64" t="s">
        <v>254</v>
      </c>
      <c r="G795" s="59">
        <v>47848.0</v>
      </c>
      <c r="K795" s="65" t="s">
        <v>1388</v>
      </c>
      <c r="L795" s="7"/>
      <c r="M795" s="70" t="e">
        <v>#N/A</v>
      </c>
      <c r="N795" s="7"/>
      <c r="O795" s="7"/>
      <c r="P795" s="7"/>
    </row>
    <row r="796">
      <c r="A796" s="67" t="s">
        <v>1390</v>
      </c>
      <c r="B796" s="78"/>
      <c r="C796" s="62">
        <v>0.08</v>
      </c>
      <c r="D796" s="63">
        <v>0.69</v>
      </c>
      <c r="E796" s="63">
        <v>0.69</v>
      </c>
      <c r="F796" s="64" t="s">
        <v>254</v>
      </c>
      <c r="G796" s="59">
        <v>47848.0</v>
      </c>
      <c r="K796" s="65" t="s">
        <v>1389</v>
      </c>
      <c r="L796" s="7"/>
      <c r="M796" s="70" t="e">
        <v>#N/A</v>
      </c>
      <c r="N796" s="7"/>
      <c r="O796" s="7"/>
      <c r="P796" s="7"/>
    </row>
    <row r="797">
      <c r="A797" s="67" t="s">
        <v>1391</v>
      </c>
      <c r="B797" s="78"/>
      <c r="C797" s="62">
        <v>0.08</v>
      </c>
      <c r="D797" s="63">
        <v>0.69</v>
      </c>
      <c r="E797" s="63">
        <v>0.69</v>
      </c>
      <c r="F797" s="64" t="s">
        <v>254</v>
      </c>
      <c r="G797" s="59">
        <v>47848.0</v>
      </c>
      <c r="K797" s="65" t="s">
        <v>1390</v>
      </c>
      <c r="L797" s="7"/>
      <c r="M797" s="70" t="e">
        <v>#N/A</v>
      </c>
      <c r="N797" s="7"/>
      <c r="O797" s="7"/>
      <c r="P797" s="7"/>
    </row>
    <row r="798">
      <c r="A798" s="67" t="s">
        <v>1392</v>
      </c>
      <c r="B798" s="78"/>
      <c r="C798" s="62">
        <v>0.08</v>
      </c>
      <c r="D798" s="63">
        <v>0.69</v>
      </c>
      <c r="E798" s="63">
        <v>0.69</v>
      </c>
      <c r="F798" s="64" t="s">
        <v>254</v>
      </c>
      <c r="G798" s="59">
        <v>47848.0</v>
      </c>
      <c r="K798" s="65" t="s">
        <v>1391</v>
      </c>
      <c r="L798" s="7"/>
      <c r="M798" s="70" t="e">
        <v>#N/A</v>
      </c>
      <c r="N798" s="7"/>
      <c r="O798" s="7"/>
      <c r="P798" s="7"/>
    </row>
    <row r="799">
      <c r="A799" s="67" t="s">
        <v>1393</v>
      </c>
      <c r="B799" s="78"/>
      <c r="C799" s="62">
        <v>0.08</v>
      </c>
      <c r="D799" s="63">
        <v>0.69</v>
      </c>
      <c r="E799" s="63">
        <v>0.69</v>
      </c>
      <c r="F799" s="64" t="s">
        <v>254</v>
      </c>
      <c r="G799" s="59">
        <v>47848.0</v>
      </c>
      <c r="K799" s="65" t="s">
        <v>1392</v>
      </c>
      <c r="L799" s="7"/>
      <c r="M799" s="70" t="e">
        <v>#N/A</v>
      </c>
      <c r="N799" s="7"/>
      <c r="O799" s="7"/>
      <c r="P799" s="7"/>
    </row>
    <row r="800">
      <c r="A800" s="67" t="s">
        <v>1394</v>
      </c>
      <c r="B800" s="78"/>
      <c r="C800" s="62">
        <v>0.08</v>
      </c>
      <c r="D800" s="63">
        <v>0.69</v>
      </c>
      <c r="E800" s="63">
        <v>0.69</v>
      </c>
      <c r="F800" s="64" t="s">
        <v>254</v>
      </c>
      <c r="G800" s="59">
        <v>47848.0</v>
      </c>
      <c r="K800" s="65" t="s">
        <v>1393</v>
      </c>
      <c r="L800" s="7"/>
      <c r="M800" s="70" t="e">
        <v>#N/A</v>
      </c>
      <c r="N800" s="7"/>
      <c r="O800" s="7"/>
      <c r="P800" s="7"/>
    </row>
    <row r="801">
      <c r="A801" s="67" t="s">
        <v>1395</v>
      </c>
      <c r="B801" s="78"/>
      <c r="C801" s="62">
        <v>0.08</v>
      </c>
      <c r="D801" s="63">
        <v>0.69</v>
      </c>
      <c r="E801" s="63">
        <v>0.69</v>
      </c>
      <c r="F801" s="64" t="s">
        <v>254</v>
      </c>
      <c r="G801" s="59">
        <v>47848.0</v>
      </c>
      <c r="K801" s="65" t="s">
        <v>1394</v>
      </c>
      <c r="L801" s="7"/>
      <c r="M801" s="70" t="e">
        <v>#N/A</v>
      </c>
      <c r="N801" s="7"/>
      <c r="O801" s="7"/>
      <c r="P801" s="7"/>
    </row>
    <row r="802">
      <c r="A802" s="67" t="s">
        <v>1396</v>
      </c>
      <c r="B802" s="78"/>
      <c r="C802" s="62">
        <v>0.08</v>
      </c>
      <c r="D802" s="63">
        <v>0.69</v>
      </c>
      <c r="E802" s="63">
        <v>0.69</v>
      </c>
      <c r="F802" s="64" t="s">
        <v>254</v>
      </c>
      <c r="G802" s="59">
        <v>47848.0</v>
      </c>
      <c r="K802" s="65" t="s">
        <v>1395</v>
      </c>
      <c r="L802" s="7"/>
      <c r="M802" s="70" t="e">
        <v>#N/A</v>
      </c>
      <c r="N802" s="7"/>
      <c r="O802" s="7"/>
      <c r="P802" s="7"/>
    </row>
    <row r="803">
      <c r="A803" s="67" t="s">
        <v>1397</v>
      </c>
      <c r="B803" s="78"/>
      <c r="C803" s="62">
        <v>0.08</v>
      </c>
      <c r="D803" s="63">
        <v>0.69</v>
      </c>
      <c r="E803" s="63">
        <v>0.69</v>
      </c>
      <c r="F803" s="64" t="s">
        <v>254</v>
      </c>
      <c r="G803" s="59">
        <v>47848.0</v>
      </c>
      <c r="K803" s="65" t="s">
        <v>1396</v>
      </c>
      <c r="L803" s="7"/>
      <c r="M803" s="70" t="e">
        <v>#N/A</v>
      </c>
      <c r="N803" s="7"/>
      <c r="O803" s="7"/>
      <c r="P803" s="7"/>
    </row>
    <row r="804">
      <c r="A804" s="67" t="s">
        <v>1398</v>
      </c>
      <c r="B804" s="78"/>
      <c r="C804" s="62">
        <v>0.08</v>
      </c>
      <c r="D804" s="63">
        <v>0.69</v>
      </c>
      <c r="E804" s="63">
        <v>0.69</v>
      </c>
      <c r="F804" s="64" t="s">
        <v>254</v>
      </c>
      <c r="G804" s="59">
        <v>47848.0</v>
      </c>
      <c r="K804" s="65" t="s">
        <v>1397</v>
      </c>
      <c r="L804" s="7"/>
      <c r="M804" s="70" t="e">
        <v>#N/A</v>
      </c>
      <c r="N804" s="7"/>
      <c r="O804" s="7"/>
      <c r="P804" s="7"/>
    </row>
    <row r="805">
      <c r="A805" s="67" t="s">
        <v>1399</v>
      </c>
      <c r="B805" s="78"/>
      <c r="C805" s="62">
        <v>0.08</v>
      </c>
      <c r="D805" s="63">
        <v>0.69</v>
      </c>
      <c r="E805" s="63">
        <v>0.69</v>
      </c>
      <c r="F805" s="64" t="s">
        <v>254</v>
      </c>
      <c r="G805" s="59">
        <v>47848.0</v>
      </c>
      <c r="K805" s="65" t="s">
        <v>1398</v>
      </c>
      <c r="L805" s="7"/>
      <c r="M805" s="70" t="e">
        <v>#N/A</v>
      </c>
      <c r="N805" s="7"/>
      <c r="O805" s="7"/>
      <c r="P805" s="7"/>
    </row>
    <row r="806">
      <c r="A806" s="67" t="s">
        <v>1400</v>
      </c>
      <c r="B806" s="78"/>
      <c r="C806" s="62">
        <v>0.08</v>
      </c>
      <c r="D806" s="63">
        <v>0.69</v>
      </c>
      <c r="E806" s="63">
        <v>0.69</v>
      </c>
      <c r="F806" s="64" t="s">
        <v>254</v>
      </c>
      <c r="G806" s="59">
        <v>47848.0</v>
      </c>
      <c r="K806" s="65" t="s">
        <v>1399</v>
      </c>
      <c r="L806" s="7"/>
      <c r="M806" s="70" t="e">
        <v>#N/A</v>
      </c>
      <c r="N806" s="7"/>
      <c r="O806" s="7"/>
      <c r="P806" s="7"/>
    </row>
    <row r="807">
      <c r="A807" s="67" t="s">
        <v>1401</v>
      </c>
      <c r="B807" s="78"/>
      <c r="C807" s="62">
        <v>0.08</v>
      </c>
      <c r="D807" s="63">
        <v>0.69</v>
      </c>
      <c r="E807" s="63">
        <v>0.69</v>
      </c>
      <c r="F807" s="64" t="s">
        <v>254</v>
      </c>
      <c r="G807" s="59">
        <v>47848.0</v>
      </c>
      <c r="K807" s="65" t="s">
        <v>1400</v>
      </c>
      <c r="L807" s="7"/>
      <c r="M807" s="70" t="e">
        <v>#N/A</v>
      </c>
      <c r="N807" s="7"/>
      <c r="O807" s="7"/>
      <c r="P807" s="7"/>
    </row>
    <row r="808">
      <c r="A808" s="67" t="s">
        <v>1402</v>
      </c>
      <c r="B808" s="78"/>
      <c r="C808" s="62">
        <v>0.08</v>
      </c>
      <c r="D808" s="63">
        <v>0.69</v>
      </c>
      <c r="E808" s="63">
        <v>0.69</v>
      </c>
      <c r="F808" s="64" t="s">
        <v>254</v>
      </c>
      <c r="G808" s="59">
        <v>47848.0</v>
      </c>
      <c r="K808" s="65" t="s">
        <v>1401</v>
      </c>
      <c r="L808" s="7"/>
      <c r="M808" s="70" t="e">
        <v>#N/A</v>
      </c>
      <c r="N808" s="7"/>
      <c r="O808" s="7"/>
      <c r="P808" s="7"/>
    </row>
    <row r="809">
      <c r="A809" s="67" t="s">
        <v>1403</v>
      </c>
      <c r="B809" s="78"/>
      <c r="C809" s="62">
        <v>0.08</v>
      </c>
      <c r="D809" s="63">
        <v>0.69</v>
      </c>
      <c r="E809" s="63">
        <v>0.69</v>
      </c>
      <c r="F809" s="64" t="s">
        <v>254</v>
      </c>
      <c r="G809" s="59">
        <v>47848.0</v>
      </c>
      <c r="K809" s="65" t="s">
        <v>1402</v>
      </c>
      <c r="L809" s="7"/>
      <c r="M809" s="70" t="e">
        <v>#N/A</v>
      </c>
      <c r="N809" s="7"/>
      <c r="O809" s="7"/>
      <c r="P809" s="7"/>
    </row>
    <row r="810">
      <c r="A810" s="67" t="s">
        <v>1404</v>
      </c>
      <c r="B810" s="78"/>
      <c r="C810" s="62">
        <v>0.08</v>
      </c>
      <c r="D810" s="63">
        <v>0.69</v>
      </c>
      <c r="E810" s="63">
        <v>0.69</v>
      </c>
      <c r="F810" s="64" t="s">
        <v>254</v>
      </c>
      <c r="G810" s="59">
        <v>47848.0</v>
      </c>
      <c r="K810" s="65" t="s">
        <v>1403</v>
      </c>
      <c r="L810" s="7"/>
      <c r="M810" s="70" t="e">
        <v>#N/A</v>
      </c>
      <c r="N810" s="7"/>
      <c r="O810" s="7"/>
      <c r="P810" s="7"/>
    </row>
    <row r="811">
      <c r="A811" s="67" t="s">
        <v>1405</v>
      </c>
      <c r="B811" s="78"/>
      <c r="C811" s="62">
        <v>0.08</v>
      </c>
      <c r="D811" s="63">
        <v>0.69</v>
      </c>
      <c r="E811" s="63">
        <v>0.69</v>
      </c>
      <c r="F811" s="64" t="s">
        <v>254</v>
      </c>
      <c r="G811" s="59">
        <v>47848.0</v>
      </c>
      <c r="K811" s="65" t="s">
        <v>1404</v>
      </c>
      <c r="L811" s="7"/>
      <c r="M811" s="70" t="e">
        <v>#N/A</v>
      </c>
      <c r="N811" s="7"/>
      <c r="O811" s="7"/>
      <c r="P811" s="7"/>
    </row>
    <row r="812">
      <c r="A812" s="67" t="s">
        <v>1406</v>
      </c>
      <c r="B812" s="78"/>
      <c r="C812" s="62">
        <v>0.08</v>
      </c>
      <c r="D812" s="63">
        <v>0.69</v>
      </c>
      <c r="E812" s="63">
        <v>0.69</v>
      </c>
      <c r="F812" s="64" t="s">
        <v>254</v>
      </c>
      <c r="G812" s="59">
        <v>47848.0</v>
      </c>
      <c r="K812" s="65" t="s">
        <v>1405</v>
      </c>
      <c r="L812" s="7"/>
      <c r="M812" s="70" t="e">
        <v>#N/A</v>
      </c>
      <c r="N812" s="7"/>
      <c r="O812" s="7"/>
      <c r="P812" s="7"/>
    </row>
    <row r="813">
      <c r="A813" s="67" t="s">
        <v>1407</v>
      </c>
      <c r="B813" s="78"/>
      <c r="C813" s="62">
        <v>0.08</v>
      </c>
      <c r="D813" s="63">
        <v>0.69</v>
      </c>
      <c r="E813" s="63">
        <v>0.69</v>
      </c>
      <c r="F813" s="64" t="s">
        <v>254</v>
      </c>
      <c r="G813" s="59">
        <v>47848.0</v>
      </c>
      <c r="K813" s="65" t="s">
        <v>1406</v>
      </c>
      <c r="L813" s="7"/>
      <c r="M813" s="70" t="e">
        <v>#N/A</v>
      </c>
      <c r="N813" s="7"/>
      <c r="O813" s="7"/>
      <c r="P813" s="7"/>
    </row>
    <row r="814">
      <c r="A814" s="67" t="s">
        <v>1408</v>
      </c>
      <c r="B814" s="78"/>
      <c r="C814" s="62">
        <v>0.08</v>
      </c>
      <c r="D814" s="63">
        <v>0.69</v>
      </c>
      <c r="E814" s="63">
        <v>0.69</v>
      </c>
      <c r="F814" s="64" t="s">
        <v>254</v>
      </c>
      <c r="G814" s="59">
        <v>47848.0</v>
      </c>
      <c r="K814" s="65" t="s">
        <v>1407</v>
      </c>
      <c r="L814" s="7"/>
      <c r="M814" s="70" t="e">
        <v>#N/A</v>
      </c>
      <c r="N814" s="7"/>
      <c r="O814" s="7"/>
      <c r="P814" s="7"/>
    </row>
    <row r="815">
      <c r="A815" s="67" t="s">
        <v>1409</v>
      </c>
      <c r="B815" s="78"/>
      <c r="C815" s="62">
        <v>0.08</v>
      </c>
      <c r="D815" s="63">
        <v>0.69</v>
      </c>
      <c r="E815" s="63">
        <v>0.69</v>
      </c>
      <c r="F815" s="64" t="s">
        <v>254</v>
      </c>
      <c r="G815" s="59">
        <v>47848.0</v>
      </c>
      <c r="K815" s="65" t="s">
        <v>1408</v>
      </c>
      <c r="L815" s="7"/>
      <c r="M815" s="70" t="e">
        <v>#N/A</v>
      </c>
      <c r="N815" s="7"/>
      <c r="O815" s="7"/>
      <c r="P815" s="7"/>
    </row>
    <row r="816">
      <c r="A816" s="67" t="s">
        <v>1410</v>
      </c>
      <c r="B816" s="78"/>
      <c r="C816" s="62">
        <v>0.08</v>
      </c>
      <c r="D816" s="63">
        <v>0.69</v>
      </c>
      <c r="E816" s="63">
        <v>0.69</v>
      </c>
      <c r="F816" s="64" t="s">
        <v>254</v>
      </c>
      <c r="G816" s="59">
        <v>47848.0</v>
      </c>
      <c r="K816" s="65" t="s">
        <v>1409</v>
      </c>
      <c r="L816" s="7"/>
      <c r="M816" s="70" t="e">
        <v>#N/A</v>
      </c>
      <c r="N816" s="7"/>
      <c r="O816" s="7"/>
      <c r="P816" s="7"/>
    </row>
    <row r="817">
      <c r="A817" s="67" t="s">
        <v>1411</v>
      </c>
      <c r="B817" s="78"/>
      <c r="C817" s="62">
        <v>0.08</v>
      </c>
      <c r="D817" s="63">
        <v>0.69</v>
      </c>
      <c r="E817" s="63">
        <v>0.69</v>
      </c>
      <c r="F817" s="64" t="s">
        <v>254</v>
      </c>
      <c r="G817" s="59">
        <v>47848.0</v>
      </c>
      <c r="K817" s="65" t="s">
        <v>1410</v>
      </c>
      <c r="L817" s="7"/>
      <c r="M817" s="70" t="e">
        <v>#N/A</v>
      </c>
      <c r="N817" s="7"/>
      <c r="O817" s="7"/>
      <c r="P817" s="7"/>
    </row>
    <row r="818">
      <c r="A818" s="67" t="s">
        <v>1412</v>
      </c>
      <c r="B818" s="78"/>
      <c r="C818" s="62">
        <v>0.08</v>
      </c>
      <c r="D818" s="63">
        <v>0.69</v>
      </c>
      <c r="E818" s="63">
        <v>0.69</v>
      </c>
      <c r="F818" s="64" t="s">
        <v>254</v>
      </c>
      <c r="G818" s="59">
        <v>47848.0</v>
      </c>
      <c r="K818" s="65" t="s">
        <v>1411</v>
      </c>
      <c r="L818" s="7"/>
      <c r="M818" s="70" t="e">
        <v>#N/A</v>
      </c>
      <c r="N818" s="7"/>
      <c r="O818" s="7"/>
      <c r="P818" s="7"/>
    </row>
    <row r="819">
      <c r="A819" s="67" t="s">
        <v>1413</v>
      </c>
      <c r="B819" s="78"/>
      <c r="C819" s="62">
        <v>0.08</v>
      </c>
      <c r="D819" s="63">
        <v>0.69</v>
      </c>
      <c r="E819" s="63">
        <v>0.69</v>
      </c>
      <c r="F819" s="64" t="s">
        <v>254</v>
      </c>
      <c r="G819" s="59">
        <v>47848.0</v>
      </c>
      <c r="K819" s="65" t="s">
        <v>1412</v>
      </c>
      <c r="L819" s="7"/>
      <c r="M819" s="70" t="e">
        <v>#N/A</v>
      </c>
      <c r="N819" s="7"/>
      <c r="O819" s="7"/>
      <c r="P819" s="7"/>
    </row>
    <row r="820">
      <c r="A820" s="67" t="s">
        <v>1414</v>
      </c>
      <c r="B820" s="78"/>
      <c r="C820" s="62">
        <v>0.08</v>
      </c>
      <c r="D820" s="63">
        <v>0.69</v>
      </c>
      <c r="E820" s="63">
        <v>0.69</v>
      </c>
      <c r="F820" s="64" t="s">
        <v>254</v>
      </c>
      <c r="G820" s="59">
        <v>47848.0</v>
      </c>
      <c r="K820" s="65" t="s">
        <v>1413</v>
      </c>
      <c r="L820" s="7"/>
      <c r="M820" s="70" t="e">
        <v>#N/A</v>
      </c>
      <c r="N820" s="7"/>
      <c r="O820" s="7"/>
      <c r="P820" s="7"/>
    </row>
    <row r="821">
      <c r="A821" s="67" t="s">
        <v>1415</v>
      </c>
      <c r="B821" s="78"/>
      <c r="C821" s="62">
        <v>0.08</v>
      </c>
      <c r="D821" s="63">
        <v>0.69</v>
      </c>
      <c r="E821" s="63">
        <v>0.69</v>
      </c>
      <c r="F821" s="64" t="s">
        <v>254</v>
      </c>
      <c r="G821" s="59">
        <v>47848.0</v>
      </c>
      <c r="K821" s="65" t="s">
        <v>1414</v>
      </c>
      <c r="L821" s="7"/>
      <c r="M821" s="70" t="e">
        <v>#N/A</v>
      </c>
      <c r="N821" s="7"/>
      <c r="O821" s="7"/>
      <c r="P821" s="7"/>
    </row>
    <row r="822">
      <c r="A822" s="67" t="s">
        <v>1416</v>
      </c>
      <c r="B822" s="78"/>
      <c r="C822" s="62">
        <v>0.08</v>
      </c>
      <c r="D822" s="63">
        <v>0.69</v>
      </c>
      <c r="E822" s="63">
        <v>0.69</v>
      </c>
      <c r="F822" s="64" t="s">
        <v>254</v>
      </c>
      <c r="G822" s="59">
        <v>47848.0</v>
      </c>
      <c r="K822" s="65" t="s">
        <v>1415</v>
      </c>
      <c r="L822" s="7"/>
      <c r="M822" s="70" t="e">
        <v>#N/A</v>
      </c>
      <c r="N822" s="7"/>
      <c r="O822" s="7"/>
      <c r="P822" s="7"/>
    </row>
    <row r="823">
      <c r="A823" s="67" t="s">
        <v>1417</v>
      </c>
      <c r="B823" s="78"/>
      <c r="C823" s="62">
        <v>0.08</v>
      </c>
      <c r="D823" s="63">
        <v>0.69</v>
      </c>
      <c r="E823" s="63">
        <v>0.69</v>
      </c>
      <c r="F823" s="64" t="s">
        <v>254</v>
      </c>
      <c r="G823" s="59">
        <v>47848.0</v>
      </c>
      <c r="K823" s="65" t="s">
        <v>1416</v>
      </c>
      <c r="L823" s="7"/>
      <c r="M823" s="70" t="e">
        <v>#N/A</v>
      </c>
      <c r="N823" s="7"/>
      <c r="O823" s="7"/>
      <c r="P823" s="7"/>
    </row>
    <row r="824">
      <c r="A824" s="67" t="s">
        <v>1418</v>
      </c>
      <c r="B824" s="78"/>
      <c r="C824" s="62">
        <v>0.08</v>
      </c>
      <c r="D824" s="63">
        <v>0.69</v>
      </c>
      <c r="E824" s="63">
        <v>0.69</v>
      </c>
      <c r="F824" s="64" t="s">
        <v>254</v>
      </c>
      <c r="G824" s="59">
        <v>47848.0</v>
      </c>
      <c r="K824" s="65" t="s">
        <v>1417</v>
      </c>
      <c r="L824" s="7"/>
      <c r="M824" s="70" t="e">
        <v>#N/A</v>
      </c>
      <c r="N824" s="7"/>
      <c r="O824" s="7"/>
      <c r="P824" s="7"/>
    </row>
    <row r="825">
      <c r="A825" s="67" t="s">
        <v>1419</v>
      </c>
      <c r="B825" s="78"/>
      <c r="C825" s="62">
        <v>0.08</v>
      </c>
      <c r="D825" s="63">
        <v>0.69</v>
      </c>
      <c r="E825" s="63">
        <v>0.69</v>
      </c>
      <c r="F825" s="64" t="s">
        <v>254</v>
      </c>
      <c r="G825" s="59">
        <v>47848.0</v>
      </c>
      <c r="K825" s="65" t="s">
        <v>1418</v>
      </c>
      <c r="L825" s="7"/>
      <c r="M825" s="70" t="e">
        <v>#N/A</v>
      </c>
      <c r="N825" s="7"/>
      <c r="O825" s="7"/>
      <c r="P825" s="7"/>
    </row>
    <row r="826">
      <c r="A826" s="67" t="s">
        <v>1420</v>
      </c>
      <c r="B826" s="78"/>
      <c r="C826" s="62">
        <v>0.08</v>
      </c>
      <c r="D826" s="63">
        <v>0.69</v>
      </c>
      <c r="E826" s="63">
        <v>0.69</v>
      </c>
      <c r="F826" s="64" t="s">
        <v>254</v>
      </c>
      <c r="G826" s="59">
        <v>47848.0</v>
      </c>
      <c r="K826" s="65" t="s">
        <v>1419</v>
      </c>
      <c r="L826" s="7"/>
      <c r="M826" s="70" t="e">
        <v>#N/A</v>
      </c>
      <c r="N826" s="7"/>
      <c r="O826" s="7"/>
      <c r="P826" s="7"/>
    </row>
    <row r="827">
      <c r="A827" s="67" t="s">
        <v>1421</v>
      </c>
      <c r="B827" s="78"/>
      <c r="C827" s="62">
        <v>0.08</v>
      </c>
      <c r="D827" s="63">
        <v>0.69</v>
      </c>
      <c r="E827" s="63">
        <v>0.69</v>
      </c>
      <c r="F827" s="64" t="s">
        <v>254</v>
      </c>
      <c r="G827" s="59">
        <v>47848.0</v>
      </c>
      <c r="K827" s="65" t="s">
        <v>1420</v>
      </c>
      <c r="L827" s="7"/>
      <c r="M827" s="70" t="e">
        <v>#N/A</v>
      </c>
      <c r="N827" s="7"/>
      <c r="O827" s="7"/>
      <c r="P827" s="7"/>
    </row>
    <row r="828">
      <c r="A828" s="67" t="s">
        <v>1422</v>
      </c>
      <c r="B828" s="78"/>
      <c r="C828" s="62">
        <v>0.08</v>
      </c>
      <c r="D828" s="63">
        <v>0.69</v>
      </c>
      <c r="E828" s="63">
        <v>0.69</v>
      </c>
      <c r="F828" s="64" t="s">
        <v>254</v>
      </c>
      <c r="G828" s="59">
        <v>47848.0</v>
      </c>
      <c r="K828" s="65" t="s">
        <v>1421</v>
      </c>
      <c r="L828" s="7"/>
      <c r="M828" s="70" t="e">
        <v>#N/A</v>
      </c>
      <c r="N828" s="7"/>
      <c r="O828" s="7"/>
      <c r="P828" s="7"/>
    </row>
    <row r="829">
      <c r="A829" s="67" t="s">
        <v>1423</v>
      </c>
      <c r="B829" s="78"/>
      <c r="C829" s="62">
        <v>0.08</v>
      </c>
      <c r="D829" s="63">
        <v>0.69</v>
      </c>
      <c r="E829" s="63">
        <v>0.69</v>
      </c>
      <c r="F829" s="64" t="s">
        <v>254</v>
      </c>
      <c r="G829" s="59">
        <v>47848.0</v>
      </c>
      <c r="K829" s="65" t="s">
        <v>1422</v>
      </c>
      <c r="L829" s="7"/>
      <c r="M829" s="70" t="e">
        <v>#N/A</v>
      </c>
      <c r="N829" s="7"/>
      <c r="O829" s="7"/>
      <c r="P829" s="7"/>
    </row>
    <row r="830">
      <c r="A830" s="67" t="s">
        <v>1424</v>
      </c>
      <c r="B830" s="78"/>
      <c r="C830" s="62">
        <v>0.08</v>
      </c>
      <c r="D830" s="63">
        <v>0.69</v>
      </c>
      <c r="E830" s="63">
        <v>0.69</v>
      </c>
      <c r="F830" s="64" t="s">
        <v>254</v>
      </c>
      <c r="G830" s="59">
        <v>47848.0</v>
      </c>
      <c r="K830" s="65" t="s">
        <v>1423</v>
      </c>
      <c r="L830" s="7"/>
      <c r="M830" s="70" t="e">
        <v>#N/A</v>
      </c>
      <c r="N830" s="7"/>
      <c r="O830" s="7"/>
      <c r="P830" s="7"/>
    </row>
    <row r="831">
      <c r="A831" s="67" t="s">
        <v>1425</v>
      </c>
      <c r="B831" s="78"/>
      <c r="C831" s="62">
        <v>0.08</v>
      </c>
      <c r="D831" s="63">
        <v>0.69</v>
      </c>
      <c r="E831" s="63">
        <v>0.69</v>
      </c>
      <c r="F831" s="64" t="s">
        <v>254</v>
      </c>
      <c r="G831" s="59">
        <v>47848.0</v>
      </c>
      <c r="K831" s="65" t="s">
        <v>1424</v>
      </c>
      <c r="L831" s="7"/>
      <c r="M831" s="70" t="e">
        <v>#N/A</v>
      </c>
      <c r="N831" s="7"/>
      <c r="O831" s="7"/>
      <c r="P831" s="7"/>
    </row>
    <row r="832">
      <c r="A832" s="67" t="s">
        <v>1426</v>
      </c>
      <c r="B832" s="78"/>
      <c r="C832" s="62">
        <v>0.08</v>
      </c>
      <c r="D832" s="63">
        <v>0.69</v>
      </c>
      <c r="E832" s="63">
        <v>0.69</v>
      </c>
      <c r="F832" s="64" t="s">
        <v>254</v>
      </c>
      <c r="G832" s="59">
        <v>47848.0</v>
      </c>
      <c r="K832" s="65" t="s">
        <v>1425</v>
      </c>
      <c r="L832" s="7"/>
      <c r="M832" s="70" t="e">
        <v>#N/A</v>
      </c>
      <c r="N832" s="7"/>
      <c r="O832" s="7"/>
      <c r="P832" s="7"/>
    </row>
    <row r="833">
      <c r="A833" s="67" t="s">
        <v>1427</v>
      </c>
      <c r="B833" s="78"/>
      <c r="C833" s="62">
        <v>0.08</v>
      </c>
      <c r="D833" s="63">
        <v>0.69</v>
      </c>
      <c r="E833" s="63">
        <v>0.69</v>
      </c>
      <c r="F833" s="64" t="s">
        <v>254</v>
      </c>
      <c r="G833" s="59">
        <v>47848.0</v>
      </c>
      <c r="K833" s="65" t="s">
        <v>1426</v>
      </c>
      <c r="L833" s="7"/>
      <c r="M833" s="70" t="e">
        <v>#N/A</v>
      </c>
      <c r="N833" s="7"/>
      <c r="O833" s="7"/>
      <c r="P833" s="7"/>
    </row>
    <row r="834">
      <c r="A834" s="67" t="s">
        <v>1428</v>
      </c>
      <c r="B834" s="78"/>
      <c r="C834" s="62">
        <v>0.08</v>
      </c>
      <c r="D834" s="63">
        <v>0.69</v>
      </c>
      <c r="E834" s="63">
        <v>0.69</v>
      </c>
      <c r="F834" s="64" t="s">
        <v>254</v>
      </c>
      <c r="G834" s="59">
        <v>47848.0</v>
      </c>
      <c r="K834" s="65" t="s">
        <v>1427</v>
      </c>
      <c r="L834" s="7"/>
      <c r="M834" s="70" t="e">
        <v>#N/A</v>
      </c>
      <c r="N834" s="7"/>
      <c r="O834" s="7"/>
      <c r="P834" s="7"/>
    </row>
    <row r="835">
      <c r="A835" s="67" t="s">
        <v>1429</v>
      </c>
      <c r="B835" s="78"/>
      <c r="C835" s="62">
        <v>0.08</v>
      </c>
      <c r="D835" s="63">
        <v>0.69</v>
      </c>
      <c r="E835" s="63">
        <v>0.69</v>
      </c>
      <c r="F835" s="64" t="s">
        <v>254</v>
      </c>
      <c r="G835" s="59">
        <v>47848.0</v>
      </c>
      <c r="K835" s="65" t="s">
        <v>1428</v>
      </c>
      <c r="L835" s="7"/>
      <c r="M835" s="70" t="e">
        <v>#N/A</v>
      </c>
      <c r="N835" s="7"/>
      <c r="O835" s="7"/>
      <c r="P835" s="7"/>
    </row>
    <row r="836">
      <c r="A836" s="67" t="s">
        <v>1430</v>
      </c>
      <c r="B836" s="78"/>
      <c r="C836" s="62">
        <v>0.08</v>
      </c>
      <c r="D836" s="63">
        <v>0.69</v>
      </c>
      <c r="E836" s="63">
        <v>0.69</v>
      </c>
      <c r="F836" s="64" t="s">
        <v>254</v>
      </c>
      <c r="G836" s="59">
        <v>47848.0</v>
      </c>
      <c r="K836" s="65" t="s">
        <v>1429</v>
      </c>
      <c r="L836" s="7"/>
      <c r="M836" s="70" t="e">
        <v>#N/A</v>
      </c>
      <c r="N836" s="7"/>
      <c r="O836" s="7"/>
      <c r="P836" s="7"/>
    </row>
    <row r="837">
      <c r="A837" s="67" t="s">
        <v>1431</v>
      </c>
      <c r="B837" s="78"/>
      <c r="C837" s="62">
        <v>0.08</v>
      </c>
      <c r="D837" s="63">
        <v>0.69</v>
      </c>
      <c r="E837" s="63">
        <v>0.69</v>
      </c>
      <c r="F837" s="64" t="s">
        <v>254</v>
      </c>
      <c r="G837" s="59">
        <v>47848.0</v>
      </c>
      <c r="K837" s="65" t="s">
        <v>1430</v>
      </c>
      <c r="L837" s="7"/>
      <c r="M837" s="70" t="e">
        <v>#N/A</v>
      </c>
      <c r="N837" s="7"/>
      <c r="O837" s="7"/>
      <c r="P837" s="7"/>
    </row>
    <row r="838">
      <c r="A838" s="67" t="s">
        <v>1432</v>
      </c>
      <c r="B838" s="78"/>
      <c r="C838" s="62">
        <v>0.08</v>
      </c>
      <c r="D838" s="63">
        <v>0.69</v>
      </c>
      <c r="E838" s="63">
        <v>0.69</v>
      </c>
      <c r="F838" s="64" t="s">
        <v>254</v>
      </c>
      <c r="G838" s="59">
        <v>47848.0</v>
      </c>
      <c r="K838" s="65" t="s">
        <v>1431</v>
      </c>
      <c r="L838" s="7"/>
      <c r="M838" s="70" t="e">
        <v>#N/A</v>
      </c>
      <c r="N838" s="7"/>
      <c r="O838" s="7"/>
      <c r="P838" s="7"/>
    </row>
    <row r="839">
      <c r="A839" s="67" t="s">
        <v>1433</v>
      </c>
      <c r="B839" s="78"/>
      <c r="C839" s="62">
        <v>0.08</v>
      </c>
      <c r="D839" s="63">
        <v>0.69</v>
      </c>
      <c r="E839" s="63">
        <v>0.69</v>
      </c>
      <c r="F839" s="64" t="s">
        <v>254</v>
      </c>
      <c r="G839" s="59">
        <v>47848.0</v>
      </c>
      <c r="K839" s="65" t="s">
        <v>1432</v>
      </c>
      <c r="L839" s="7"/>
      <c r="M839" s="70" t="e">
        <v>#N/A</v>
      </c>
      <c r="N839" s="7"/>
      <c r="O839" s="7"/>
      <c r="P839" s="7"/>
    </row>
    <row r="840">
      <c r="A840" s="67" t="s">
        <v>1434</v>
      </c>
      <c r="B840" s="78"/>
      <c r="C840" s="62">
        <v>0.08</v>
      </c>
      <c r="D840" s="63">
        <v>0.69</v>
      </c>
      <c r="E840" s="63">
        <v>0.69</v>
      </c>
      <c r="F840" s="64" t="s">
        <v>254</v>
      </c>
      <c r="G840" s="59">
        <v>47848.0</v>
      </c>
      <c r="K840" s="65" t="s">
        <v>1433</v>
      </c>
      <c r="L840" s="7"/>
      <c r="M840" s="70" t="e">
        <v>#N/A</v>
      </c>
      <c r="N840" s="7"/>
      <c r="O840" s="7"/>
      <c r="P840" s="7"/>
    </row>
    <row r="841">
      <c r="A841" s="67" t="s">
        <v>1435</v>
      </c>
      <c r="B841" s="78"/>
      <c r="C841" s="62">
        <v>0.08</v>
      </c>
      <c r="D841" s="63">
        <v>0.69</v>
      </c>
      <c r="E841" s="63">
        <v>0.69</v>
      </c>
      <c r="F841" s="64" t="s">
        <v>254</v>
      </c>
      <c r="G841" s="59">
        <v>47848.0</v>
      </c>
      <c r="K841" s="65" t="s">
        <v>1434</v>
      </c>
      <c r="L841" s="7"/>
      <c r="M841" s="70" t="e">
        <v>#N/A</v>
      </c>
      <c r="N841" s="7"/>
      <c r="O841" s="7"/>
      <c r="P841" s="7"/>
    </row>
    <row r="842">
      <c r="A842" s="67" t="s">
        <v>1436</v>
      </c>
      <c r="B842" s="78"/>
      <c r="C842" s="62">
        <v>0.08</v>
      </c>
      <c r="D842" s="63">
        <v>0.69</v>
      </c>
      <c r="E842" s="63">
        <v>0.69</v>
      </c>
      <c r="F842" s="64" t="s">
        <v>254</v>
      </c>
      <c r="G842" s="59">
        <v>47848.0</v>
      </c>
      <c r="K842" s="65" t="s">
        <v>1435</v>
      </c>
      <c r="L842" s="7"/>
      <c r="M842" s="70" t="e">
        <v>#N/A</v>
      </c>
      <c r="N842" s="7"/>
      <c r="O842" s="7"/>
      <c r="P842" s="7"/>
    </row>
    <row r="843">
      <c r="A843" s="67" t="s">
        <v>1437</v>
      </c>
      <c r="B843" s="78"/>
      <c r="C843" s="62">
        <v>0.08</v>
      </c>
      <c r="D843" s="63">
        <v>0.69</v>
      </c>
      <c r="E843" s="63">
        <v>0.69</v>
      </c>
      <c r="F843" s="64" t="s">
        <v>254</v>
      </c>
      <c r="G843" s="59">
        <v>47848.0</v>
      </c>
      <c r="K843" s="65" t="s">
        <v>1436</v>
      </c>
      <c r="L843" s="7"/>
      <c r="M843" s="70" t="e">
        <v>#N/A</v>
      </c>
      <c r="N843" s="7"/>
      <c r="O843" s="7"/>
      <c r="P843" s="7"/>
    </row>
    <row r="844">
      <c r="A844" s="67" t="s">
        <v>1438</v>
      </c>
      <c r="B844" s="78"/>
      <c r="C844" s="62">
        <v>0.08</v>
      </c>
      <c r="D844" s="63">
        <v>0.69</v>
      </c>
      <c r="E844" s="63">
        <v>0.69</v>
      </c>
      <c r="F844" s="64" t="s">
        <v>254</v>
      </c>
      <c r="G844" s="59">
        <v>47848.0</v>
      </c>
      <c r="K844" s="65" t="s">
        <v>1437</v>
      </c>
      <c r="L844" s="7"/>
      <c r="M844" s="70" t="e">
        <v>#N/A</v>
      </c>
      <c r="N844" s="7"/>
      <c r="O844" s="7"/>
      <c r="P844" s="7"/>
    </row>
    <row r="845">
      <c r="A845" s="67" t="s">
        <v>1439</v>
      </c>
      <c r="B845" s="78"/>
      <c r="C845" s="62">
        <v>0.08</v>
      </c>
      <c r="D845" s="63">
        <v>0.69</v>
      </c>
      <c r="E845" s="63">
        <v>0.69</v>
      </c>
      <c r="F845" s="64" t="s">
        <v>254</v>
      </c>
      <c r="G845" s="59">
        <v>47848.0</v>
      </c>
      <c r="K845" s="65" t="s">
        <v>1438</v>
      </c>
      <c r="L845" s="7"/>
      <c r="M845" s="70" t="e">
        <v>#N/A</v>
      </c>
      <c r="N845" s="7"/>
      <c r="O845" s="7"/>
      <c r="P845" s="7"/>
    </row>
    <row r="846">
      <c r="A846" s="67" t="s">
        <v>1440</v>
      </c>
      <c r="B846" s="78"/>
      <c r="C846" s="62">
        <v>0.08</v>
      </c>
      <c r="D846" s="63">
        <v>0.69</v>
      </c>
      <c r="E846" s="63">
        <v>0.69</v>
      </c>
      <c r="F846" s="64" t="s">
        <v>254</v>
      </c>
      <c r="G846" s="59">
        <v>47848.0</v>
      </c>
      <c r="K846" s="65" t="s">
        <v>1439</v>
      </c>
      <c r="L846" s="7"/>
      <c r="M846" s="70" t="e">
        <v>#N/A</v>
      </c>
      <c r="N846" s="7"/>
      <c r="O846" s="7"/>
      <c r="P846" s="7"/>
    </row>
    <row r="847">
      <c r="A847" s="67" t="s">
        <v>1441</v>
      </c>
      <c r="B847" s="78"/>
      <c r="C847" s="62">
        <v>0.08</v>
      </c>
      <c r="D847" s="63">
        <v>0.69</v>
      </c>
      <c r="E847" s="63">
        <v>0.69</v>
      </c>
      <c r="F847" s="64" t="s">
        <v>254</v>
      </c>
      <c r="G847" s="59">
        <v>47848.0</v>
      </c>
      <c r="K847" s="65" t="s">
        <v>1440</v>
      </c>
      <c r="L847" s="7"/>
      <c r="M847" s="70" t="e">
        <v>#N/A</v>
      </c>
      <c r="N847" s="7"/>
      <c r="O847" s="7"/>
      <c r="P847" s="7"/>
    </row>
    <row r="848">
      <c r="A848" s="67" t="s">
        <v>1442</v>
      </c>
      <c r="B848" s="78"/>
      <c r="C848" s="62">
        <v>0.08</v>
      </c>
      <c r="D848" s="63">
        <v>0.69</v>
      </c>
      <c r="E848" s="63">
        <v>0.69</v>
      </c>
      <c r="F848" s="64" t="s">
        <v>254</v>
      </c>
      <c r="G848" s="59">
        <v>47848.0</v>
      </c>
      <c r="K848" s="65" t="s">
        <v>1441</v>
      </c>
      <c r="L848" s="7"/>
      <c r="M848" s="70" t="e">
        <v>#N/A</v>
      </c>
      <c r="N848" s="7"/>
      <c r="O848" s="7"/>
      <c r="P848" s="7"/>
    </row>
    <row r="849">
      <c r="A849" s="67" t="s">
        <v>1443</v>
      </c>
      <c r="B849" s="78"/>
      <c r="C849" s="62">
        <v>0.08</v>
      </c>
      <c r="D849" s="63">
        <v>0.69</v>
      </c>
      <c r="E849" s="63">
        <v>0.69</v>
      </c>
      <c r="F849" s="64" t="s">
        <v>254</v>
      </c>
      <c r="G849" s="59">
        <v>47848.0</v>
      </c>
      <c r="K849" s="65" t="s">
        <v>1442</v>
      </c>
      <c r="L849" s="7"/>
      <c r="M849" s="70" t="e">
        <v>#N/A</v>
      </c>
      <c r="N849" s="7"/>
      <c r="O849" s="7"/>
      <c r="P849" s="7"/>
    </row>
    <row r="850">
      <c r="A850" s="67" t="s">
        <v>1444</v>
      </c>
      <c r="B850" s="25">
        <v>189.0</v>
      </c>
      <c r="C850" s="62">
        <v>0.08</v>
      </c>
      <c r="D850" s="76">
        <v>0.8</v>
      </c>
      <c r="E850" s="76">
        <v>0.8</v>
      </c>
      <c r="F850" s="64" t="s">
        <v>254</v>
      </c>
      <c r="G850" s="59">
        <v>47848.0</v>
      </c>
      <c r="K850" s="65" t="s">
        <v>1443</v>
      </c>
      <c r="L850" s="7"/>
      <c r="M850" s="70" t="e">
        <v>#N/A</v>
      </c>
      <c r="N850" s="7"/>
      <c r="O850" s="7"/>
      <c r="P850" s="7"/>
    </row>
    <row r="851">
      <c r="A851" s="67" t="s">
        <v>1445</v>
      </c>
      <c r="B851" s="25">
        <v>189.0</v>
      </c>
      <c r="C851" s="62">
        <v>0.08</v>
      </c>
      <c r="D851" s="76">
        <v>0.8</v>
      </c>
      <c r="E851" s="76">
        <v>0.8</v>
      </c>
      <c r="F851" s="64" t="s">
        <v>254</v>
      </c>
      <c r="G851" s="59">
        <v>47848.0</v>
      </c>
      <c r="K851" s="65" t="s">
        <v>1444</v>
      </c>
      <c r="L851" s="66">
        <v>189.0</v>
      </c>
      <c r="M851" s="70" t="e">
        <v>#N/A</v>
      </c>
      <c r="N851" s="7"/>
      <c r="O851" s="66">
        <v>189.0</v>
      </c>
      <c r="P851" s="7"/>
    </row>
    <row r="852">
      <c r="A852" s="67" t="s">
        <v>1446</v>
      </c>
      <c r="B852" s="78"/>
      <c r="C852" s="62">
        <v>0.08</v>
      </c>
      <c r="D852" s="63">
        <v>0.69</v>
      </c>
      <c r="E852" s="63">
        <v>0.69</v>
      </c>
      <c r="F852" s="64" t="s">
        <v>254</v>
      </c>
      <c r="G852" s="59">
        <v>47848.0</v>
      </c>
      <c r="K852" s="65" t="s">
        <v>1445</v>
      </c>
      <c r="L852" s="66">
        <v>189.0</v>
      </c>
      <c r="M852" s="70" t="e">
        <v>#N/A</v>
      </c>
      <c r="N852" s="7"/>
      <c r="O852" s="66">
        <v>189.0</v>
      </c>
      <c r="P852" s="7"/>
    </row>
    <row r="853">
      <c r="A853" s="67" t="s">
        <v>1447</v>
      </c>
      <c r="B853" s="78"/>
      <c r="C853" s="62">
        <v>0.08</v>
      </c>
      <c r="D853" s="63">
        <v>0.69</v>
      </c>
      <c r="E853" s="63">
        <v>0.69</v>
      </c>
      <c r="F853" s="64" t="s">
        <v>254</v>
      </c>
      <c r="G853" s="59">
        <v>47848.0</v>
      </c>
      <c r="K853" s="65" t="s">
        <v>1446</v>
      </c>
      <c r="L853" s="7"/>
      <c r="M853" s="70" t="e">
        <v>#N/A</v>
      </c>
      <c r="N853" s="7"/>
      <c r="O853" s="7"/>
      <c r="P853" s="7"/>
    </row>
    <row r="854">
      <c r="A854" s="67" t="s">
        <v>1448</v>
      </c>
      <c r="B854" s="78"/>
      <c r="C854" s="62">
        <v>0.08</v>
      </c>
      <c r="D854" s="63">
        <v>0.69</v>
      </c>
      <c r="E854" s="63">
        <v>0.69</v>
      </c>
      <c r="F854" s="64" t="s">
        <v>254</v>
      </c>
      <c r="G854" s="59">
        <v>47848.0</v>
      </c>
      <c r="K854" s="65" t="s">
        <v>1447</v>
      </c>
      <c r="L854" s="7"/>
      <c r="M854" s="70" t="e">
        <v>#N/A</v>
      </c>
      <c r="N854" s="7"/>
      <c r="O854" s="7"/>
      <c r="P854" s="7"/>
    </row>
    <row r="855">
      <c r="A855" s="67" t="s">
        <v>1449</v>
      </c>
      <c r="B855" s="78"/>
      <c r="C855" s="62">
        <v>0.08</v>
      </c>
      <c r="D855" s="63">
        <v>0.69</v>
      </c>
      <c r="E855" s="63">
        <v>0.69</v>
      </c>
      <c r="F855" s="64" t="s">
        <v>254</v>
      </c>
      <c r="G855" s="59">
        <v>47848.0</v>
      </c>
      <c r="K855" s="65" t="s">
        <v>1448</v>
      </c>
      <c r="L855" s="7"/>
      <c r="M855" s="70" t="e">
        <v>#N/A</v>
      </c>
      <c r="N855" s="7"/>
      <c r="O855" s="7"/>
      <c r="P855" s="7"/>
    </row>
    <row r="856">
      <c r="A856" s="67" t="s">
        <v>1450</v>
      </c>
      <c r="B856" s="25">
        <v>189.0</v>
      </c>
      <c r="C856" s="62">
        <v>0.08</v>
      </c>
      <c r="D856" s="76">
        <v>0.8</v>
      </c>
      <c r="E856" s="76">
        <v>0.8</v>
      </c>
      <c r="F856" s="64" t="s">
        <v>254</v>
      </c>
      <c r="G856" s="59">
        <v>47848.0</v>
      </c>
      <c r="K856" s="65" t="s">
        <v>1449</v>
      </c>
      <c r="L856" s="7"/>
      <c r="M856" s="70" t="e">
        <v>#N/A</v>
      </c>
      <c r="N856" s="7"/>
      <c r="O856" s="7"/>
      <c r="P856" s="7"/>
    </row>
    <row r="857">
      <c r="A857" s="67" t="s">
        <v>1451</v>
      </c>
      <c r="B857" s="78"/>
      <c r="C857" s="62">
        <v>0.08</v>
      </c>
      <c r="D857" s="63">
        <v>0.69</v>
      </c>
      <c r="E857" s="63">
        <v>0.69</v>
      </c>
      <c r="F857" s="64" t="s">
        <v>254</v>
      </c>
      <c r="G857" s="59">
        <v>47848.0</v>
      </c>
      <c r="K857" s="65" t="s">
        <v>1450</v>
      </c>
      <c r="L857" s="66">
        <v>189.0</v>
      </c>
      <c r="M857" s="70" t="e">
        <v>#N/A</v>
      </c>
      <c r="N857" s="7"/>
      <c r="O857" s="66">
        <v>189.0</v>
      </c>
      <c r="P857" s="7"/>
    </row>
    <row r="858">
      <c r="A858" s="67" t="s">
        <v>1452</v>
      </c>
      <c r="B858" s="25">
        <v>189.0</v>
      </c>
      <c r="C858" s="62">
        <v>0.08</v>
      </c>
      <c r="D858" s="76">
        <v>0.8</v>
      </c>
      <c r="E858" s="76">
        <v>0.8</v>
      </c>
      <c r="F858" s="64" t="s">
        <v>254</v>
      </c>
      <c r="G858" s="59">
        <v>47848.0</v>
      </c>
      <c r="K858" s="65" t="s">
        <v>1451</v>
      </c>
      <c r="L858" s="7"/>
      <c r="M858" s="70" t="e">
        <v>#N/A</v>
      </c>
      <c r="N858" s="7"/>
      <c r="O858" s="7"/>
      <c r="P858" s="7"/>
    </row>
    <row r="859">
      <c r="A859" s="67" t="s">
        <v>1453</v>
      </c>
      <c r="B859" s="78"/>
      <c r="C859" s="62">
        <v>0.08</v>
      </c>
      <c r="D859" s="63">
        <v>0.69</v>
      </c>
      <c r="E859" s="63">
        <v>0.69</v>
      </c>
      <c r="F859" s="64" t="s">
        <v>254</v>
      </c>
      <c r="G859" s="59">
        <v>47848.0</v>
      </c>
      <c r="K859" s="65" t="s">
        <v>1452</v>
      </c>
      <c r="L859" s="66">
        <v>189.0</v>
      </c>
      <c r="M859" s="72">
        <v>1.0</v>
      </c>
      <c r="N859" s="7"/>
      <c r="O859" s="66">
        <v>189.0</v>
      </c>
      <c r="P859" s="7"/>
    </row>
    <row r="860">
      <c r="A860" s="67" t="s">
        <v>1454</v>
      </c>
      <c r="B860" s="25">
        <v>4933.0</v>
      </c>
      <c r="C860" s="62">
        <v>0.08</v>
      </c>
      <c r="D860" s="63">
        <v>0.69</v>
      </c>
      <c r="E860" s="63">
        <v>0.69</v>
      </c>
      <c r="F860" s="64" t="s">
        <v>254</v>
      </c>
      <c r="G860" s="59">
        <v>47848.0</v>
      </c>
      <c r="K860" s="65" t="s">
        <v>1453</v>
      </c>
      <c r="L860" s="7"/>
      <c r="M860" s="70" t="e">
        <v>#N/A</v>
      </c>
      <c r="N860" s="7"/>
      <c r="O860" s="7"/>
      <c r="P860" s="7"/>
    </row>
    <row r="861">
      <c r="A861" s="67" t="s">
        <v>1455</v>
      </c>
      <c r="B861" s="25">
        <v>4933.0</v>
      </c>
      <c r="C861" s="62">
        <v>0.08</v>
      </c>
      <c r="D861" s="63">
        <v>0.69</v>
      </c>
      <c r="E861" s="63">
        <v>0.69</v>
      </c>
      <c r="F861" s="64" t="s">
        <v>254</v>
      </c>
      <c r="G861" s="59">
        <v>47848.0</v>
      </c>
      <c r="K861" s="65" t="s">
        <v>1454</v>
      </c>
      <c r="L861" s="66">
        <v>4933.0</v>
      </c>
      <c r="M861" s="70" t="e">
        <v>#N/A</v>
      </c>
      <c r="N861" s="7"/>
      <c r="O861" s="7"/>
      <c r="P861" s="7"/>
    </row>
    <row r="862">
      <c r="A862" s="67" t="s">
        <v>1456</v>
      </c>
      <c r="B862" s="25">
        <v>4933.0</v>
      </c>
      <c r="C862" s="62">
        <v>0.08</v>
      </c>
      <c r="D862" s="63">
        <v>0.69</v>
      </c>
      <c r="E862" s="63">
        <v>0.69</v>
      </c>
      <c r="F862" s="64" t="s">
        <v>254</v>
      </c>
      <c r="G862" s="59">
        <v>47848.0</v>
      </c>
      <c r="K862" s="65" t="s">
        <v>1455</v>
      </c>
      <c r="L862" s="66">
        <v>4933.0</v>
      </c>
      <c r="M862" s="70" t="e">
        <v>#N/A</v>
      </c>
      <c r="N862" s="7"/>
      <c r="O862" s="7"/>
      <c r="P862" s="7"/>
    </row>
    <row r="863">
      <c r="A863" s="67" t="s">
        <v>1457</v>
      </c>
      <c r="B863" s="25">
        <v>4933.0</v>
      </c>
      <c r="C863" s="62">
        <v>0.08</v>
      </c>
      <c r="D863" s="63">
        <v>0.69</v>
      </c>
      <c r="E863" s="63">
        <v>0.69</v>
      </c>
      <c r="F863" s="64" t="s">
        <v>254</v>
      </c>
      <c r="G863" s="59">
        <v>47848.0</v>
      </c>
      <c r="K863" s="65" t="s">
        <v>1456</v>
      </c>
      <c r="L863" s="66">
        <v>4933.0</v>
      </c>
      <c r="M863" s="70" t="e">
        <v>#N/A</v>
      </c>
      <c r="N863" s="7"/>
      <c r="O863" s="7"/>
      <c r="P863" s="7"/>
    </row>
    <row r="864">
      <c r="A864" s="67" t="s">
        <v>1458</v>
      </c>
      <c r="B864" s="25">
        <v>4933.0</v>
      </c>
      <c r="C864" s="62">
        <v>0.08</v>
      </c>
      <c r="D864" s="63">
        <v>0.69</v>
      </c>
      <c r="E864" s="63">
        <v>0.69</v>
      </c>
      <c r="F864" s="64" t="s">
        <v>254</v>
      </c>
      <c r="G864" s="59">
        <v>47848.0</v>
      </c>
      <c r="K864" s="65" t="s">
        <v>1457</v>
      </c>
      <c r="L864" s="66">
        <v>4933.0</v>
      </c>
      <c r="M864" s="70" t="e">
        <v>#N/A</v>
      </c>
      <c r="N864" s="7"/>
      <c r="O864" s="7"/>
      <c r="P864" s="7"/>
    </row>
    <row r="865">
      <c r="A865" s="67" t="s">
        <v>1459</v>
      </c>
      <c r="B865" s="25">
        <v>4933.0</v>
      </c>
      <c r="C865" s="62">
        <v>0.08</v>
      </c>
      <c r="D865" s="63">
        <v>0.69</v>
      </c>
      <c r="E865" s="63">
        <v>0.69</v>
      </c>
      <c r="F865" s="64" t="s">
        <v>254</v>
      </c>
      <c r="G865" s="59">
        <v>47848.0</v>
      </c>
      <c r="K865" s="65" t="s">
        <v>1458</v>
      </c>
      <c r="L865" s="66">
        <v>4933.0</v>
      </c>
      <c r="M865" s="70" t="e">
        <v>#N/A</v>
      </c>
      <c r="N865" s="7"/>
      <c r="O865" s="7"/>
      <c r="P865" s="7"/>
    </row>
    <row r="866">
      <c r="A866" s="67" t="s">
        <v>1460</v>
      </c>
      <c r="B866" s="25">
        <v>4933.0</v>
      </c>
      <c r="C866" s="62">
        <v>0.08</v>
      </c>
      <c r="D866" s="63">
        <v>0.69</v>
      </c>
      <c r="E866" s="63">
        <v>0.69</v>
      </c>
      <c r="F866" s="64" t="s">
        <v>254</v>
      </c>
      <c r="G866" s="59">
        <v>47848.0</v>
      </c>
      <c r="K866" s="65" t="s">
        <v>1459</v>
      </c>
      <c r="L866" s="66">
        <v>4933.0</v>
      </c>
      <c r="M866" s="70" t="e">
        <v>#N/A</v>
      </c>
      <c r="N866" s="7"/>
      <c r="O866" s="7"/>
      <c r="P866" s="7"/>
    </row>
    <row r="867">
      <c r="A867" s="67" t="s">
        <v>1461</v>
      </c>
      <c r="B867" s="25">
        <v>4933.0</v>
      </c>
      <c r="C867" s="62">
        <v>0.08</v>
      </c>
      <c r="D867" s="63">
        <v>0.69</v>
      </c>
      <c r="E867" s="63">
        <v>0.69</v>
      </c>
      <c r="F867" s="64" t="s">
        <v>254</v>
      </c>
      <c r="G867" s="59">
        <v>47848.0</v>
      </c>
      <c r="K867" s="65" t="s">
        <v>1460</v>
      </c>
      <c r="L867" s="66">
        <v>4933.0</v>
      </c>
      <c r="M867" s="70" t="e">
        <v>#N/A</v>
      </c>
      <c r="N867" s="7"/>
      <c r="O867" s="7"/>
      <c r="P867" s="7"/>
    </row>
    <row r="868">
      <c r="A868" s="67" t="s">
        <v>1462</v>
      </c>
      <c r="B868" s="25">
        <v>4933.0</v>
      </c>
      <c r="C868" s="62">
        <v>0.08</v>
      </c>
      <c r="D868" s="63">
        <v>0.69</v>
      </c>
      <c r="E868" s="63">
        <v>0.69</v>
      </c>
      <c r="F868" s="64" t="s">
        <v>254</v>
      </c>
      <c r="G868" s="59">
        <v>47848.0</v>
      </c>
      <c r="K868" s="65" t="s">
        <v>1461</v>
      </c>
      <c r="L868" s="66">
        <v>4933.0</v>
      </c>
      <c r="M868" s="70" t="e">
        <v>#N/A</v>
      </c>
      <c r="N868" s="7"/>
      <c r="O868" s="7"/>
      <c r="P868" s="7"/>
    </row>
    <row r="869">
      <c r="A869" s="67" t="s">
        <v>1463</v>
      </c>
      <c r="B869" s="25">
        <v>4933.0</v>
      </c>
      <c r="C869" s="62">
        <v>0.08</v>
      </c>
      <c r="D869" s="63">
        <v>0.69</v>
      </c>
      <c r="E869" s="63">
        <v>0.69</v>
      </c>
      <c r="F869" s="64" t="s">
        <v>254</v>
      </c>
      <c r="G869" s="59">
        <v>47848.0</v>
      </c>
      <c r="K869" s="65" t="s">
        <v>1462</v>
      </c>
      <c r="L869" s="66">
        <v>4933.0</v>
      </c>
      <c r="M869" s="70" t="e">
        <v>#N/A</v>
      </c>
      <c r="N869" s="7"/>
      <c r="O869" s="7"/>
      <c r="P869" s="7"/>
    </row>
    <row r="870">
      <c r="A870" s="67" t="s">
        <v>1464</v>
      </c>
      <c r="B870" s="25">
        <v>4933.0</v>
      </c>
      <c r="C870" s="62">
        <v>0.08</v>
      </c>
      <c r="D870" s="63">
        <v>0.69</v>
      </c>
      <c r="E870" s="63">
        <v>0.69</v>
      </c>
      <c r="F870" s="64" t="s">
        <v>254</v>
      </c>
      <c r="G870" s="59">
        <v>47848.0</v>
      </c>
      <c r="K870" s="65" t="s">
        <v>1463</v>
      </c>
      <c r="L870" s="66">
        <v>4933.0</v>
      </c>
      <c r="M870" s="70" t="e">
        <v>#N/A</v>
      </c>
      <c r="N870" s="7"/>
      <c r="O870" s="7"/>
      <c r="P870" s="7"/>
    </row>
    <row r="871">
      <c r="A871" s="67" t="s">
        <v>1465</v>
      </c>
      <c r="B871" s="25">
        <v>4933.0</v>
      </c>
      <c r="C871" s="62">
        <v>0.08</v>
      </c>
      <c r="D871" s="63">
        <v>0.69</v>
      </c>
      <c r="E871" s="63">
        <v>0.69</v>
      </c>
      <c r="F871" s="64" t="s">
        <v>254</v>
      </c>
      <c r="G871" s="59">
        <v>47848.0</v>
      </c>
      <c r="K871" s="65" t="s">
        <v>1464</v>
      </c>
      <c r="L871" s="66">
        <v>4933.0</v>
      </c>
      <c r="M871" s="70" t="e">
        <v>#N/A</v>
      </c>
      <c r="N871" s="7"/>
      <c r="O871" s="7"/>
      <c r="P871" s="7"/>
    </row>
    <row r="872">
      <c r="A872" s="67" t="s">
        <v>1466</v>
      </c>
      <c r="B872" s="25">
        <v>4933.0</v>
      </c>
      <c r="C872" s="62">
        <v>0.08</v>
      </c>
      <c r="D872" s="63">
        <v>0.69</v>
      </c>
      <c r="E872" s="63">
        <v>0.69</v>
      </c>
      <c r="F872" s="64" t="s">
        <v>254</v>
      </c>
      <c r="G872" s="59">
        <v>47848.0</v>
      </c>
      <c r="K872" s="65" t="s">
        <v>1465</v>
      </c>
      <c r="L872" s="66">
        <v>4933.0</v>
      </c>
      <c r="M872" s="70" t="e">
        <v>#N/A</v>
      </c>
      <c r="N872" s="7"/>
      <c r="O872" s="7"/>
      <c r="P872" s="7"/>
    </row>
    <row r="873">
      <c r="A873" s="67" t="s">
        <v>1467</v>
      </c>
      <c r="B873" s="25">
        <v>4933.0</v>
      </c>
      <c r="C873" s="62">
        <v>0.08</v>
      </c>
      <c r="D873" s="63">
        <v>0.69</v>
      </c>
      <c r="E873" s="63">
        <v>0.69</v>
      </c>
      <c r="F873" s="64" t="s">
        <v>254</v>
      </c>
      <c r="G873" s="59">
        <v>47848.0</v>
      </c>
      <c r="K873" s="65" t="s">
        <v>1466</v>
      </c>
      <c r="L873" s="66">
        <v>4933.0</v>
      </c>
      <c r="M873" s="70" t="e">
        <v>#N/A</v>
      </c>
      <c r="N873" s="7"/>
      <c r="O873" s="7"/>
      <c r="P873" s="7"/>
    </row>
    <row r="874">
      <c r="A874" s="67" t="s">
        <v>1468</v>
      </c>
      <c r="B874" s="25">
        <v>4933.0</v>
      </c>
      <c r="C874" s="62">
        <v>0.08</v>
      </c>
      <c r="D874" s="63">
        <v>0.69</v>
      </c>
      <c r="E874" s="63">
        <v>0.69</v>
      </c>
      <c r="F874" s="64" t="s">
        <v>254</v>
      </c>
      <c r="G874" s="59">
        <v>47848.0</v>
      </c>
      <c r="K874" s="65" t="s">
        <v>1467</v>
      </c>
      <c r="L874" s="66">
        <v>4933.0</v>
      </c>
      <c r="M874" s="70" t="e">
        <v>#N/A</v>
      </c>
      <c r="N874" s="7"/>
      <c r="O874" s="7"/>
      <c r="P874" s="7"/>
    </row>
    <row r="875">
      <c r="A875" s="67" t="s">
        <v>1469</v>
      </c>
      <c r="B875" s="25">
        <v>4933.0</v>
      </c>
      <c r="C875" s="62">
        <v>0.08</v>
      </c>
      <c r="D875" s="63">
        <v>0.69</v>
      </c>
      <c r="E875" s="63">
        <v>0.69</v>
      </c>
      <c r="F875" s="64" t="s">
        <v>254</v>
      </c>
      <c r="G875" s="59">
        <v>47848.0</v>
      </c>
      <c r="K875" s="65" t="s">
        <v>1468</v>
      </c>
      <c r="L875" s="66">
        <v>4933.0</v>
      </c>
      <c r="M875" s="70" t="e">
        <v>#N/A</v>
      </c>
      <c r="N875" s="7"/>
      <c r="O875" s="7"/>
      <c r="P875" s="7"/>
    </row>
    <row r="876">
      <c r="A876" s="67" t="s">
        <v>1470</v>
      </c>
      <c r="B876" s="25">
        <v>4933.0</v>
      </c>
      <c r="C876" s="62">
        <v>0.08</v>
      </c>
      <c r="D876" s="63">
        <v>0.69</v>
      </c>
      <c r="E876" s="63">
        <v>0.69</v>
      </c>
      <c r="F876" s="64" t="s">
        <v>254</v>
      </c>
      <c r="G876" s="59">
        <v>47848.0</v>
      </c>
      <c r="K876" s="65" t="s">
        <v>1469</v>
      </c>
      <c r="L876" s="66">
        <v>4933.0</v>
      </c>
      <c r="M876" s="70" t="e">
        <v>#N/A</v>
      </c>
      <c r="N876" s="7"/>
      <c r="O876" s="7"/>
      <c r="P876" s="7"/>
    </row>
    <row r="877">
      <c r="A877" s="67" t="s">
        <v>1471</v>
      </c>
      <c r="B877" s="25">
        <v>4933.0</v>
      </c>
      <c r="C877" s="62">
        <v>0.08</v>
      </c>
      <c r="D877" s="63">
        <v>0.69</v>
      </c>
      <c r="E877" s="63">
        <v>0.69</v>
      </c>
      <c r="F877" s="64" t="s">
        <v>254</v>
      </c>
      <c r="G877" s="59">
        <v>47848.0</v>
      </c>
      <c r="K877" s="65" t="s">
        <v>1470</v>
      </c>
      <c r="L877" s="66">
        <v>4933.0</v>
      </c>
      <c r="M877" s="70" t="e">
        <v>#N/A</v>
      </c>
      <c r="N877" s="7"/>
      <c r="O877" s="7"/>
      <c r="P877" s="7"/>
    </row>
    <row r="878">
      <c r="A878" s="67" t="s">
        <v>1472</v>
      </c>
      <c r="B878" s="25">
        <v>4933.0</v>
      </c>
      <c r="C878" s="62">
        <v>0.08</v>
      </c>
      <c r="D878" s="63">
        <v>0.69</v>
      </c>
      <c r="E878" s="63">
        <v>0.69</v>
      </c>
      <c r="F878" s="64" t="s">
        <v>254</v>
      </c>
      <c r="G878" s="59">
        <v>47848.0</v>
      </c>
      <c r="K878" s="65" t="s">
        <v>1471</v>
      </c>
      <c r="L878" s="66">
        <v>4933.0</v>
      </c>
      <c r="M878" s="70" t="e">
        <v>#N/A</v>
      </c>
      <c r="N878" s="7"/>
      <c r="O878" s="7"/>
      <c r="P878" s="7"/>
    </row>
    <row r="879">
      <c r="A879" s="67" t="s">
        <v>1473</v>
      </c>
      <c r="B879" s="25">
        <v>4933.0</v>
      </c>
      <c r="C879" s="62">
        <v>0.08</v>
      </c>
      <c r="D879" s="63">
        <v>0.69</v>
      </c>
      <c r="E879" s="63">
        <v>0.69</v>
      </c>
      <c r="F879" s="64" t="s">
        <v>254</v>
      </c>
      <c r="G879" s="59">
        <v>47848.0</v>
      </c>
      <c r="K879" s="65" t="s">
        <v>1472</v>
      </c>
      <c r="L879" s="66">
        <v>4933.0</v>
      </c>
      <c r="M879" s="70" t="e">
        <v>#N/A</v>
      </c>
      <c r="N879" s="7"/>
      <c r="O879" s="7"/>
      <c r="P879" s="7"/>
    </row>
    <row r="880">
      <c r="A880" s="67" t="s">
        <v>1474</v>
      </c>
      <c r="B880" s="25">
        <v>7055.0</v>
      </c>
      <c r="C880" s="62">
        <v>0.08</v>
      </c>
      <c r="D880" s="63">
        <v>0.69</v>
      </c>
      <c r="E880" s="63">
        <v>0.69</v>
      </c>
      <c r="F880" s="64" t="s">
        <v>254</v>
      </c>
      <c r="G880" s="59">
        <v>47848.0</v>
      </c>
      <c r="K880" s="65" t="s">
        <v>1473</v>
      </c>
      <c r="L880" s="66">
        <v>4933.0</v>
      </c>
      <c r="M880" s="70" t="e">
        <v>#N/A</v>
      </c>
      <c r="N880" s="7"/>
      <c r="O880" s="7"/>
      <c r="P880" s="7"/>
    </row>
    <row r="881">
      <c r="A881" s="67" t="s">
        <v>1475</v>
      </c>
      <c r="B881" s="78"/>
      <c r="C881" s="62">
        <v>0.08</v>
      </c>
      <c r="D881" s="63">
        <v>0.69</v>
      </c>
      <c r="E881" s="63">
        <v>0.69</v>
      </c>
      <c r="F881" s="64" t="s">
        <v>254</v>
      </c>
      <c r="G881" s="59">
        <v>47848.0</v>
      </c>
      <c r="K881" s="65" t="s">
        <v>1474</v>
      </c>
      <c r="L881" s="66">
        <v>7055.0</v>
      </c>
      <c r="M881" s="70" t="e">
        <v>#N/A</v>
      </c>
      <c r="N881" s="7"/>
      <c r="O881" s="7"/>
      <c r="P881" s="7"/>
    </row>
    <row r="882">
      <c r="A882" s="67" t="s">
        <v>1476</v>
      </c>
      <c r="B882" s="78"/>
      <c r="C882" s="62">
        <v>0.08</v>
      </c>
      <c r="D882" s="63">
        <v>0.69</v>
      </c>
      <c r="E882" s="63">
        <v>0.69</v>
      </c>
      <c r="F882" s="64" t="s">
        <v>254</v>
      </c>
      <c r="G882" s="59">
        <v>47848.0</v>
      </c>
      <c r="K882" s="65" t="s">
        <v>1475</v>
      </c>
      <c r="L882" s="7"/>
      <c r="M882" s="70" t="e">
        <v>#N/A</v>
      </c>
      <c r="N882" s="7"/>
      <c r="O882" s="7"/>
      <c r="P882" s="7"/>
    </row>
    <row r="883">
      <c r="A883" s="67" t="s">
        <v>1477</v>
      </c>
      <c r="B883" s="78"/>
      <c r="C883" s="62">
        <v>0.08</v>
      </c>
      <c r="D883" s="63">
        <v>0.69</v>
      </c>
      <c r="E883" s="63">
        <v>0.69</v>
      </c>
      <c r="F883" s="64" t="s">
        <v>254</v>
      </c>
      <c r="G883" s="59">
        <v>47848.0</v>
      </c>
      <c r="K883" s="65" t="s">
        <v>1476</v>
      </c>
      <c r="L883" s="7"/>
      <c r="M883" s="70" t="e">
        <v>#N/A</v>
      </c>
      <c r="N883" s="7"/>
      <c r="O883" s="7"/>
      <c r="P883" s="7"/>
    </row>
    <row r="884">
      <c r="A884" s="67" t="s">
        <v>1478</v>
      </c>
      <c r="B884" s="78"/>
      <c r="C884" s="62">
        <v>0.08</v>
      </c>
      <c r="D884" s="63">
        <v>0.69</v>
      </c>
      <c r="E884" s="63">
        <v>0.69</v>
      </c>
      <c r="F884" s="64" t="s">
        <v>254</v>
      </c>
      <c r="G884" s="59">
        <v>47848.0</v>
      </c>
      <c r="K884" s="65" t="s">
        <v>1477</v>
      </c>
      <c r="L884" s="7"/>
      <c r="M884" s="70" t="e">
        <v>#N/A</v>
      </c>
      <c r="N884" s="7"/>
      <c r="O884" s="7"/>
      <c r="P884" s="7"/>
    </row>
    <row r="885">
      <c r="A885" s="67" t="s">
        <v>1479</v>
      </c>
      <c r="B885" s="78"/>
      <c r="C885" s="62">
        <v>0.08</v>
      </c>
      <c r="D885" s="63">
        <v>0.69</v>
      </c>
      <c r="E885" s="63">
        <v>0.69</v>
      </c>
      <c r="F885" s="64" t="s">
        <v>254</v>
      </c>
      <c r="G885" s="59">
        <v>47848.0</v>
      </c>
      <c r="K885" s="65" t="s">
        <v>1478</v>
      </c>
      <c r="L885" s="7"/>
      <c r="M885" s="70" t="e">
        <v>#N/A</v>
      </c>
      <c r="N885" s="7"/>
      <c r="O885" s="7"/>
      <c r="P885" s="7"/>
    </row>
    <row r="886">
      <c r="A886" s="67" t="s">
        <v>1480</v>
      </c>
      <c r="B886" s="78"/>
      <c r="C886" s="62">
        <v>0.08</v>
      </c>
      <c r="D886" s="63">
        <v>0.69</v>
      </c>
      <c r="E886" s="63">
        <v>0.69</v>
      </c>
      <c r="F886" s="64" t="s">
        <v>254</v>
      </c>
      <c r="G886" s="59">
        <v>47848.0</v>
      </c>
      <c r="K886" s="65" t="s">
        <v>1479</v>
      </c>
      <c r="L886" s="7"/>
      <c r="M886" s="70" t="e">
        <v>#N/A</v>
      </c>
      <c r="N886" s="7"/>
      <c r="O886" s="7"/>
      <c r="P886" s="7"/>
    </row>
    <row r="887">
      <c r="A887" s="67" t="s">
        <v>1481</v>
      </c>
      <c r="B887" s="78"/>
      <c r="C887" s="62">
        <v>0.08</v>
      </c>
      <c r="D887" s="63">
        <v>0.69</v>
      </c>
      <c r="E887" s="63">
        <v>0.69</v>
      </c>
      <c r="F887" s="64" t="s">
        <v>254</v>
      </c>
      <c r="G887" s="59">
        <v>47848.0</v>
      </c>
      <c r="K887" s="65" t="s">
        <v>1480</v>
      </c>
      <c r="L887" s="7"/>
      <c r="M887" s="70" t="e">
        <v>#N/A</v>
      </c>
      <c r="N887" s="7"/>
      <c r="O887" s="7"/>
      <c r="P887" s="7"/>
    </row>
    <row r="888">
      <c r="A888" s="67" t="s">
        <v>1482</v>
      </c>
      <c r="B888" s="78"/>
      <c r="C888" s="62">
        <v>0.08</v>
      </c>
      <c r="D888" s="63">
        <v>0.69</v>
      </c>
      <c r="E888" s="63">
        <v>0.69</v>
      </c>
      <c r="F888" s="64" t="s">
        <v>254</v>
      </c>
      <c r="G888" s="59">
        <v>47848.0</v>
      </c>
      <c r="K888" s="65" t="s">
        <v>1481</v>
      </c>
      <c r="L888" s="7"/>
      <c r="M888" s="70" t="e">
        <v>#N/A</v>
      </c>
      <c r="N888" s="7"/>
      <c r="O888" s="7"/>
      <c r="P888" s="7"/>
    </row>
    <row r="889">
      <c r="A889" s="67" t="s">
        <v>1483</v>
      </c>
      <c r="B889" s="78"/>
      <c r="C889" s="62">
        <v>0.08</v>
      </c>
      <c r="D889" s="63">
        <v>0.69</v>
      </c>
      <c r="E889" s="63">
        <v>0.69</v>
      </c>
      <c r="F889" s="64" t="s">
        <v>254</v>
      </c>
      <c r="G889" s="59">
        <v>47848.0</v>
      </c>
      <c r="K889" s="65" t="s">
        <v>1482</v>
      </c>
      <c r="L889" s="7"/>
      <c r="M889" s="70" t="e">
        <v>#N/A</v>
      </c>
      <c r="N889" s="7"/>
      <c r="O889" s="7"/>
      <c r="P889" s="7"/>
    </row>
    <row r="890">
      <c r="A890" s="67" t="s">
        <v>1484</v>
      </c>
      <c r="B890" s="78"/>
      <c r="C890" s="62">
        <v>0.08</v>
      </c>
      <c r="D890" s="63">
        <v>0.69</v>
      </c>
      <c r="E890" s="63">
        <v>0.69</v>
      </c>
      <c r="F890" s="64" t="s">
        <v>254</v>
      </c>
      <c r="G890" s="59">
        <v>47848.0</v>
      </c>
      <c r="K890" s="65" t="s">
        <v>1483</v>
      </c>
      <c r="L890" s="7"/>
      <c r="M890" s="70" t="e">
        <v>#N/A</v>
      </c>
      <c r="N890" s="7"/>
      <c r="O890" s="7"/>
      <c r="P890" s="7"/>
    </row>
    <row r="891">
      <c r="A891" s="67" t="s">
        <v>1485</v>
      </c>
      <c r="B891" s="78"/>
      <c r="C891" s="62">
        <v>0.08</v>
      </c>
      <c r="D891" s="63">
        <v>0.69</v>
      </c>
      <c r="E891" s="63">
        <v>0.69</v>
      </c>
      <c r="F891" s="64" t="s">
        <v>254</v>
      </c>
      <c r="G891" s="59">
        <v>47848.0</v>
      </c>
      <c r="K891" s="65" t="s">
        <v>1484</v>
      </c>
      <c r="L891" s="7"/>
      <c r="M891" s="70" t="e">
        <v>#N/A</v>
      </c>
      <c r="N891" s="7"/>
      <c r="O891" s="7"/>
      <c r="P891" s="7"/>
    </row>
    <row r="892">
      <c r="A892" s="67" t="s">
        <v>1486</v>
      </c>
      <c r="B892" s="78"/>
      <c r="C892" s="62">
        <v>0.08</v>
      </c>
      <c r="D892" s="63">
        <v>0.69</v>
      </c>
      <c r="E892" s="63">
        <v>0.69</v>
      </c>
      <c r="F892" s="64" t="s">
        <v>254</v>
      </c>
      <c r="G892" s="59">
        <v>47848.0</v>
      </c>
      <c r="K892" s="65" t="s">
        <v>1485</v>
      </c>
      <c r="L892" s="7"/>
      <c r="M892" s="70" t="e">
        <v>#N/A</v>
      </c>
      <c r="N892" s="7"/>
      <c r="O892" s="7"/>
      <c r="P892" s="7"/>
    </row>
    <row r="893">
      <c r="A893" s="67" t="s">
        <v>1487</v>
      </c>
      <c r="B893" s="78"/>
      <c r="C893" s="62">
        <v>0.08</v>
      </c>
      <c r="D893" s="63">
        <v>0.69</v>
      </c>
      <c r="E893" s="63">
        <v>0.69</v>
      </c>
      <c r="F893" s="64" t="s">
        <v>254</v>
      </c>
      <c r="G893" s="59">
        <v>47848.0</v>
      </c>
      <c r="K893" s="65" t="s">
        <v>1486</v>
      </c>
      <c r="L893" s="7"/>
      <c r="M893" s="70" t="e">
        <v>#N/A</v>
      </c>
      <c r="N893" s="7"/>
      <c r="O893" s="7"/>
      <c r="P893" s="7"/>
    </row>
    <row r="894">
      <c r="A894" s="67" t="s">
        <v>1488</v>
      </c>
      <c r="B894" s="25">
        <v>9746.0</v>
      </c>
      <c r="C894" s="62">
        <v>0.08</v>
      </c>
      <c r="D894" s="63">
        <v>0.69</v>
      </c>
      <c r="E894" s="63">
        <v>0.69</v>
      </c>
      <c r="F894" s="64" t="s">
        <v>254</v>
      </c>
      <c r="G894" s="59">
        <v>47848.0</v>
      </c>
      <c r="K894" s="65" t="s">
        <v>1487</v>
      </c>
      <c r="L894" s="7"/>
      <c r="M894" s="70" t="e">
        <v>#N/A</v>
      </c>
      <c r="N894" s="7"/>
      <c r="O894" s="7"/>
      <c r="P894" s="7"/>
    </row>
    <row r="895">
      <c r="A895" s="67" t="s">
        <v>1489</v>
      </c>
      <c r="B895" s="78"/>
      <c r="C895" s="62">
        <v>0.08</v>
      </c>
      <c r="D895" s="63">
        <v>0.69</v>
      </c>
      <c r="E895" s="63">
        <v>0.69</v>
      </c>
      <c r="F895" s="64" t="s">
        <v>254</v>
      </c>
      <c r="G895" s="59">
        <v>47848.0</v>
      </c>
      <c r="K895" s="65" t="s">
        <v>1488</v>
      </c>
      <c r="L895" s="66">
        <v>9746.0</v>
      </c>
      <c r="M895" s="70" t="e">
        <v>#N/A</v>
      </c>
      <c r="N895" s="7"/>
      <c r="O895" s="7"/>
      <c r="P895" s="7"/>
    </row>
    <row r="896">
      <c r="A896" s="67" t="s">
        <v>1490</v>
      </c>
      <c r="B896" s="25">
        <v>6671.0</v>
      </c>
      <c r="C896" s="62">
        <v>0.08</v>
      </c>
      <c r="D896" s="83">
        <v>0.8</v>
      </c>
      <c r="E896" s="83">
        <v>0.8</v>
      </c>
      <c r="F896" s="64" t="s">
        <v>254</v>
      </c>
      <c r="G896" s="59">
        <v>47848.0</v>
      </c>
      <c r="K896" s="65" t="s">
        <v>1489</v>
      </c>
      <c r="L896" s="7"/>
      <c r="M896" s="70" t="e">
        <v>#N/A</v>
      </c>
      <c r="N896" s="7"/>
      <c r="O896" s="7"/>
      <c r="P896" s="7"/>
    </row>
    <row r="897">
      <c r="A897" s="67" t="s">
        <v>1491</v>
      </c>
      <c r="B897" s="78"/>
      <c r="C897" s="62">
        <v>0.08</v>
      </c>
      <c r="D897" s="63">
        <v>0.69</v>
      </c>
      <c r="E897" s="63">
        <v>0.69</v>
      </c>
      <c r="F897" s="64" t="s">
        <v>254</v>
      </c>
      <c r="G897" s="59">
        <v>47848.0</v>
      </c>
      <c r="K897" s="65" t="s">
        <v>1490</v>
      </c>
      <c r="L897" s="66">
        <v>6671.0</v>
      </c>
      <c r="M897" s="70" t="e">
        <v>#N/A</v>
      </c>
      <c r="N897" s="7"/>
      <c r="O897" s="7"/>
      <c r="P897" s="7"/>
    </row>
    <row r="898">
      <c r="A898" s="67" t="s">
        <v>1492</v>
      </c>
      <c r="B898" s="25">
        <v>7129.0</v>
      </c>
      <c r="C898" s="62">
        <v>0.08</v>
      </c>
      <c r="D898" s="63">
        <v>0.69</v>
      </c>
      <c r="E898" s="63">
        <v>0.69</v>
      </c>
      <c r="F898" s="64" t="s">
        <v>254</v>
      </c>
      <c r="G898" s="59">
        <v>47848.0</v>
      </c>
      <c r="K898" s="65" t="s">
        <v>1491</v>
      </c>
      <c r="L898" s="7"/>
      <c r="M898" s="70" t="e">
        <v>#N/A</v>
      </c>
      <c r="N898" s="7"/>
      <c r="O898" s="7"/>
      <c r="P898" s="7"/>
    </row>
    <row r="899">
      <c r="A899" s="67" t="s">
        <v>1493</v>
      </c>
      <c r="B899" s="78"/>
      <c r="C899" s="62">
        <v>0.08</v>
      </c>
      <c r="D899" s="63">
        <v>0.69</v>
      </c>
      <c r="E899" s="63">
        <v>0.69</v>
      </c>
      <c r="F899" s="64" t="s">
        <v>254</v>
      </c>
      <c r="G899" s="59">
        <v>47848.0</v>
      </c>
      <c r="K899" s="65" t="s">
        <v>1492</v>
      </c>
      <c r="L899" s="66">
        <v>7129.0</v>
      </c>
      <c r="M899" s="70" t="e">
        <v>#N/A</v>
      </c>
      <c r="N899" s="7"/>
      <c r="O899" s="7"/>
      <c r="P899" s="7"/>
    </row>
    <row r="900">
      <c r="A900" s="67" t="s">
        <v>1494</v>
      </c>
      <c r="B900" s="78"/>
      <c r="C900" s="62">
        <v>0.08</v>
      </c>
      <c r="D900" s="63">
        <v>0.69</v>
      </c>
      <c r="E900" s="63">
        <v>0.69</v>
      </c>
      <c r="F900" s="64" t="s">
        <v>254</v>
      </c>
      <c r="G900" s="59">
        <v>47848.0</v>
      </c>
      <c r="K900" s="65" t="s">
        <v>1493</v>
      </c>
      <c r="L900" s="7"/>
      <c r="M900" s="70" t="e">
        <v>#N/A</v>
      </c>
      <c r="N900" s="7"/>
      <c r="O900" s="7"/>
      <c r="P900" s="7"/>
    </row>
    <row r="901">
      <c r="A901" s="67" t="s">
        <v>1495</v>
      </c>
      <c r="B901" s="78"/>
      <c r="C901" s="62">
        <v>0.08</v>
      </c>
      <c r="D901" s="63">
        <v>0.69</v>
      </c>
      <c r="E901" s="63">
        <v>0.69</v>
      </c>
      <c r="F901" s="64" t="s">
        <v>254</v>
      </c>
      <c r="G901" s="59">
        <v>47848.0</v>
      </c>
      <c r="K901" s="65" t="s">
        <v>1494</v>
      </c>
      <c r="L901" s="7"/>
      <c r="M901" s="70" t="e">
        <v>#N/A</v>
      </c>
      <c r="N901" s="7"/>
      <c r="O901" s="7"/>
      <c r="P901" s="7"/>
    </row>
    <row r="902">
      <c r="A902" s="67" t="s">
        <v>1496</v>
      </c>
      <c r="B902" s="78"/>
      <c r="C902" s="62">
        <v>0.08</v>
      </c>
      <c r="D902" s="63">
        <v>0.69</v>
      </c>
      <c r="E902" s="63">
        <v>0.69</v>
      </c>
      <c r="F902" s="64" t="s">
        <v>254</v>
      </c>
      <c r="G902" s="59">
        <v>47848.0</v>
      </c>
      <c r="K902" s="65" t="s">
        <v>1495</v>
      </c>
      <c r="L902" s="7"/>
      <c r="M902" s="70" t="e">
        <v>#N/A</v>
      </c>
      <c r="N902" s="7"/>
      <c r="O902" s="7"/>
      <c r="P902" s="7"/>
    </row>
    <row r="903">
      <c r="A903" s="67" t="s">
        <v>1497</v>
      </c>
      <c r="B903" s="78"/>
      <c r="C903" s="62">
        <v>0.08</v>
      </c>
      <c r="D903" s="63">
        <v>0.69</v>
      </c>
      <c r="E903" s="63">
        <v>0.69</v>
      </c>
      <c r="F903" s="64" t="s">
        <v>254</v>
      </c>
      <c r="G903" s="59">
        <v>47848.0</v>
      </c>
      <c r="K903" s="65" t="s">
        <v>1496</v>
      </c>
      <c r="L903" s="7"/>
      <c r="M903" s="70" t="e">
        <v>#N/A</v>
      </c>
      <c r="N903" s="7"/>
      <c r="O903" s="7"/>
      <c r="P903" s="7"/>
    </row>
    <row r="904">
      <c r="A904" s="67" t="s">
        <v>1498</v>
      </c>
      <c r="B904" s="25">
        <v>6671.0</v>
      </c>
      <c r="C904" s="62">
        <v>0.08</v>
      </c>
      <c r="D904" s="83">
        <v>0.8</v>
      </c>
      <c r="E904" s="83">
        <v>0.8</v>
      </c>
      <c r="F904" s="64" t="s">
        <v>254</v>
      </c>
      <c r="G904" s="59">
        <v>47848.0</v>
      </c>
      <c r="K904" s="65" t="s">
        <v>1497</v>
      </c>
      <c r="L904" s="7"/>
      <c r="M904" s="70" t="e">
        <v>#N/A</v>
      </c>
      <c r="N904" s="7"/>
      <c r="O904" s="7"/>
      <c r="P904" s="7"/>
    </row>
    <row r="905">
      <c r="A905" s="67" t="s">
        <v>1499</v>
      </c>
      <c r="B905" s="78"/>
      <c r="C905" s="62">
        <v>0.08</v>
      </c>
      <c r="D905" s="63">
        <v>0.69</v>
      </c>
      <c r="E905" s="63">
        <v>0.69</v>
      </c>
      <c r="F905" s="64" t="s">
        <v>254</v>
      </c>
      <c r="G905" s="59">
        <v>47848.0</v>
      </c>
      <c r="K905" s="65" t="s">
        <v>1498</v>
      </c>
      <c r="L905" s="66">
        <v>6671.0</v>
      </c>
      <c r="M905" s="72">
        <v>1.0</v>
      </c>
      <c r="N905" s="7"/>
      <c r="O905" s="7"/>
      <c r="P905" s="7"/>
    </row>
    <row r="906">
      <c r="A906" s="67" t="s">
        <v>1500</v>
      </c>
      <c r="B906" s="25">
        <v>6671.0</v>
      </c>
      <c r="C906" s="62">
        <v>0.08</v>
      </c>
      <c r="D906" s="83">
        <v>0.8</v>
      </c>
      <c r="E906" s="83">
        <v>0.8</v>
      </c>
      <c r="F906" s="64" t="s">
        <v>254</v>
      </c>
      <c r="G906" s="59">
        <v>47848.0</v>
      </c>
      <c r="K906" s="65" t="s">
        <v>1499</v>
      </c>
      <c r="L906" s="65"/>
      <c r="M906" s="70" t="e">
        <v>#N/A</v>
      </c>
      <c r="N906" s="7"/>
      <c r="O906" s="7"/>
      <c r="P906" s="7"/>
    </row>
    <row r="907">
      <c r="A907" s="67" t="s">
        <v>1501</v>
      </c>
      <c r="B907" s="78"/>
      <c r="C907" s="62">
        <v>0.08</v>
      </c>
      <c r="D907" s="63">
        <v>0.69</v>
      </c>
      <c r="E907" s="63">
        <v>0.69</v>
      </c>
      <c r="F907" s="64" t="s">
        <v>254</v>
      </c>
      <c r="G907" s="59">
        <v>47848.0</v>
      </c>
      <c r="K907" s="65" t="s">
        <v>1500</v>
      </c>
      <c r="L907" s="66">
        <v>6671.0</v>
      </c>
      <c r="M907" s="70" t="e">
        <v>#N/A</v>
      </c>
      <c r="N907" s="7"/>
      <c r="O907" s="7"/>
      <c r="P907" s="7"/>
    </row>
    <row r="908">
      <c r="A908" s="67" t="s">
        <v>1502</v>
      </c>
      <c r="B908" s="78"/>
      <c r="C908" s="62">
        <v>0.08</v>
      </c>
      <c r="D908" s="63">
        <v>0.69</v>
      </c>
      <c r="E908" s="63">
        <v>0.69</v>
      </c>
      <c r="F908" s="64" t="s">
        <v>254</v>
      </c>
      <c r="G908" s="59">
        <v>47848.0</v>
      </c>
      <c r="K908" s="65" t="s">
        <v>1501</v>
      </c>
      <c r="L908" s="7"/>
      <c r="M908" s="70" t="e">
        <v>#N/A</v>
      </c>
      <c r="N908" s="7"/>
      <c r="O908" s="7"/>
      <c r="P908" s="7"/>
    </row>
    <row r="909">
      <c r="A909" s="67" t="s">
        <v>1503</v>
      </c>
      <c r="B909" s="78"/>
      <c r="C909" s="62">
        <v>0.08</v>
      </c>
      <c r="D909" s="63">
        <v>0.69</v>
      </c>
      <c r="E909" s="63">
        <v>0.69</v>
      </c>
      <c r="F909" s="64" t="s">
        <v>254</v>
      </c>
      <c r="G909" s="59">
        <v>47848.0</v>
      </c>
      <c r="K909" s="65" t="s">
        <v>1502</v>
      </c>
      <c r="L909" s="7"/>
      <c r="M909" s="70" t="e">
        <v>#N/A</v>
      </c>
      <c r="N909" s="7"/>
      <c r="O909" s="7"/>
      <c r="P909" s="7"/>
    </row>
    <row r="910">
      <c r="A910" s="67" t="s">
        <v>1504</v>
      </c>
      <c r="B910" s="78"/>
      <c r="C910" s="62">
        <v>0.08</v>
      </c>
      <c r="D910" s="63">
        <v>0.69</v>
      </c>
      <c r="E910" s="63">
        <v>0.69</v>
      </c>
      <c r="F910" s="64" t="s">
        <v>254</v>
      </c>
      <c r="G910" s="59">
        <v>47848.0</v>
      </c>
      <c r="K910" s="65" t="s">
        <v>1503</v>
      </c>
      <c r="L910" s="7"/>
      <c r="M910" s="70" t="e">
        <v>#N/A</v>
      </c>
      <c r="N910" s="7"/>
      <c r="O910" s="7"/>
      <c r="P910" s="7"/>
    </row>
    <row r="911">
      <c r="A911" s="67" t="s">
        <v>1505</v>
      </c>
      <c r="B911" s="25">
        <v>6998.0</v>
      </c>
      <c r="C911" s="62">
        <v>0.08</v>
      </c>
      <c r="D911" s="63">
        <v>0.69</v>
      </c>
      <c r="E911" s="63">
        <v>0.69</v>
      </c>
      <c r="F911" s="64" t="s">
        <v>254</v>
      </c>
      <c r="G911" s="59">
        <v>47848.0</v>
      </c>
      <c r="K911" s="65" t="s">
        <v>1504</v>
      </c>
      <c r="L911" s="7"/>
      <c r="M911" s="70" t="e">
        <v>#N/A</v>
      </c>
      <c r="N911" s="7"/>
      <c r="O911" s="7"/>
      <c r="P911" s="7"/>
    </row>
    <row r="912">
      <c r="A912" s="67" t="s">
        <v>1506</v>
      </c>
      <c r="B912" s="78"/>
      <c r="C912" s="62">
        <v>0.08</v>
      </c>
      <c r="D912" s="63">
        <v>0.69</v>
      </c>
      <c r="E912" s="63">
        <v>0.69</v>
      </c>
      <c r="F912" s="64" t="s">
        <v>254</v>
      </c>
      <c r="G912" s="59">
        <v>47848.0</v>
      </c>
      <c r="K912" s="65" t="s">
        <v>1505</v>
      </c>
      <c r="L912" s="66">
        <v>6998.0</v>
      </c>
      <c r="M912" s="70" t="e">
        <v>#N/A</v>
      </c>
      <c r="N912" s="7"/>
      <c r="O912" s="7"/>
      <c r="P912" s="7"/>
    </row>
    <row r="913">
      <c r="A913" s="67" t="s">
        <v>1507</v>
      </c>
      <c r="B913" s="78"/>
      <c r="C913" s="62">
        <v>0.08</v>
      </c>
      <c r="D913" s="63">
        <v>0.69</v>
      </c>
      <c r="E913" s="63">
        <v>0.69</v>
      </c>
      <c r="F913" s="64" t="s">
        <v>254</v>
      </c>
      <c r="G913" s="59">
        <v>47848.0</v>
      </c>
      <c r="K913" s="65" t="s">
        <v>1506</v>
      </c>
      <c r="L913" s="7"/>
      <c r="M913" s="70" t="e">
        <v>#N/A</v>
      </c>
      <c r="N913" s="7"/>
      <c r="O913" s="7"/>
      <c r="P913" s="7"/>
    </row>
    <row r="914">
      <c r="A914" s="67" t="s">
        <v>1508</v>
      </c>
      <c r="B914" s="78"/>
      <c r="C914" s="62">
        <v>0.08</v>
      </c>
      <c r="D914" s="63">
        <v>0.69</v>
      </c>
      <c r="E914" s="63">
        <v>0.69</v>
      </c>
      <c r="F914" s="64" t="s">
        <v>254</v>
      </c>
      <c r="G914" s="59">
        <v>47848.0</v>
      </c>
      <c r="K914" s="65" t="s">
        <v>1507</v>
      </c>
      <c r="L914" s="7"/>
      <c r="M914" s="70" t="e">
        <v>#N/A</v>
      </c>
      <c r="N914" s="7"/>
      <c r="O914" s="7"/>
      <c r="P914" s="7"/>
    </row>
    <row r="915">
      <c r="A915" s="67" t="s">
        <v>1509</v>
      </c>
      <c r="B915" s="78"/>
      <c r="C915" s="62">
        <v>0.08</v>
      </c>
      <c r="D915" s="63">
        <v>0.69</v>
      </c>
      <c r="E915" s="63">
        <v>0.69</v>
      </c>
      <c r="F915" s="64" t="s">
        <v>254</v>
      </c>
      <c r="G915" s="59">
        <v>47848.0</v>
      </c>
      <c r="K915" s="65" t="s">
        <v>1508</v>
      </c>
      <c r="L915" s="7"/>
      <c r="M915" s="70" t="e">
        <v>#N/A</v>
      </c>
      <c r="N915" s="7"/>
      <c r="O915" s="7"/>
      <c r="P915" s="7"/>
    </row>
    <row r="916">
      <c r="A916" s="67" t="s">
        <v>1510</v>
      </c>
      <c r="B916" s="78"/>
      <c r="C916" s="62">
        <v>0.08</v>
      </c>
      <c r="D916" s="63">
        <v>0.69</v>
      </c>
      <c r="E916" s="63">
        <v>0.69</v>
      </c>
      <c r="F916" s="64" t="s">
        <v>254</v>
      </c>
      <c r="G916" s="59">
        <v>47848.0</v>
      </c>
      <c r="K916" s="65" t="s">
        <v>1509</v>
      </c>
      <c r="L916" s="7"/>
      <c r="M916" s="70" t="e">
        <v>#N/A</v>
      </c>
      <c r="N916" s="7"/>
      <c r="O916" s="7"/>
      <c r="P916" s="7"/>
    </row>
    <row r="917">
      <c r="A917" s="67" t="s">
        <v>1511</v>
      </c>
      <c r="B917" s="78"/>
      <c r="C917" s="62">
        <v>0.08</v>
      </c>
      <c r="D917" s="63">
        <v>0.69</v>
      </c>
      <c r="E917" s="63">
        <v>0.69</v>
      </c>
      <c r="F917" s="64" t="s">
        <v>254</v>
      </c>
      <c r="G917" s="59">
        <v>47848.0</v>
      </c>
      <c r="K917" s="65" t="s">
        <v>1510</v>
      </c>
      <c r="L917" s="7"/>
      <c r="M917" s="70" t="e">
        <v>#N/A</v>
      </c>
      <c r="N917" s="7"/>
      <c r="O917" s="7"/>
      <c r="P917" s="7"/>
    </row>
    <row r="918">
      <c r="A918" s="67" t="s">
        <v>1512</v>
      </c>
      <c r="B918" s="78"/>
      <c r="C918" s="62">
        <v>0.08</v>
      </c>
      <c r="D918" s="63">
        <v>0.69</v>
      </c>
      <c r="E918" s="63">
        <v>0.69</v>
      </c>
      <c r="F918" s="64" t="s">
        <v>254</v>
      </c>
      <c r="G918" s="59">
        <v>47848.0</v>
      </c>
      <c r="K918" s="65" t="s">
        <v>1511</v>
      </c>
      <c r="L918" s="7"/>
      <c r="M918" s="70" t="e">
        <v>#N/A</v>
      </c>
      <c r="N918" s="7"/>
      <c r="O918" s="7"/>
      <c r="P918" s="7"/>
    </row>
    <row r="919">
      <c r="A919" s="67" t="s">
        <v>1513</v>
      </c>
      <c r="B919" s="78"/>
      <c r="C919" s="62">
        <v>0.08</v>
      </c>
      <c r="D919" s="63">
        <v>0.69</v>
      </c>
      <c r="E919" s="63">
        <v>0.69</v>
      </c>
      <c r="F919" s="64" t="s">
        <v>254</v>
      </c>
      <c r="G919" s="59">
        <v>47848.0</v>
      </c>
      <c r="K919" s="65" t="s">
        <v>1512</v>
      </c>
      <c r="L919" s="7"/>
      <c r="M919" s="70" t="e">
        <v>#N/A</v>
      </c>
      <c r="N919" s="7"/>
      <c r="O919" s="7"/>
      <c r="P919" s="7"/>
    </row>
    <row r="920">
      <c r="A920" s="67" t="s">
        <v>1514</v>
      </c>
      <c r="B920" s="25">
        <v>6671.0</v>
      </c>
      <c r="C920" s="62">
        <v>0.08</v>
      </c>
      <c r="D920" s="83">
        <v>0.8</v>
      </c>
      <c r="E920" s="83">
        <v>0.8</v>
      </c>
      <c r="F920" s="64" t="s">
        <v>254</v>
      </c>
      <c r="G920" s="59">
        <v>47848.0</v>
      </c>
      <c r="K920" s="65" t="s">
        <v>1513</v>
      </c>
      <c r="L920" s="7"/>
      <c r="M920" s="70" t="e">
        <v>#N/A</v>
      </c>
      <c r="N920" s="7"/>
      <c r="O920" s="7"/>
      <c r="P920" s="7"/>
    </row>
    <row r="921">
      <c r="A921" s="67" t="s">
        <v>1515</v>
      </c>
      <c r="B921" s="78"/>
      <c r="C921" s="62">
        <v>0.08</v>
      </c>
      <c r="D921" s="63">
        <v>0.69</v>
      </c>
      <c r="E921" s="63">
        <v>0.69</v>
      </c>
      <c r="F921" s="64" t="s">
        <v>254</v>
      </c>
      <c r="G921" s="59">
        <v>47848.0</v>
      </c>
      <c r="K921" s="65" t="s">
        <v>1514</v>
      </c>
      <c r="L921" s="66">
        <v>6671.0</v>
      </c>
      <c r="M921" s="70" t="e">
        <v>#N/A</v>
      </c>
      <c r="N921" s="7"/>
      <c r="O921" s="7"/>
      <c r="P921" s="7"/>
    </row>
    <row r="922">
      <c r="A922" s="67" t="s">
        <v>1516</v>
      </c>
      <c r="B922" s="78"/>
      <c r="C922" s="62">
        <v>0.08</v>
      </c>
      <c r="D922" s="63">
        <v>0.69</v>
      </c>
      <c r="E922" s="63">
        <v>0.69</v>
      </c>
      <c r="F922" s="64" t="s">
        <v>254</v>
      </c>
      <c r="G922" s="59">
        <v>47848.0</v>
      </c>
      <c r="K922" s="65" t="s">
        <v>1515</v>
      </c>
      <c r="L922" s="7"/>
      <c r="M922" s="70" t="e">
        <v>#N/A</v>
      </c>
      <c r="N922" s="7"/>
      <c r="O922" s="7"/>
      <c r="P922" s="7"/>
    </row>
    <row r="923">
      <c r="A923" s="67" t="s">
        <v>1517</v>
      </c>
      <c r="B923" s="25">
        <v>7055.0</v>
      </c>
      <c r="C923" s="62">
        <v>0.08</v>
      </c>
      <c r="D923" s="63">
        <v>0.69</v>
      </c>
      <c r="E923" s="63">
        <v>0.69</v>
      </c>
      <c r="F923" s="64" t="s">
        <v>254</v>
      </c>
      <c r="G923" s="59">
        <v>47848.0</v>
      </c>
      <c r="K923" s="65" t="s">
        <v>1516</v>
      </c>
      <c r="L923" s="7"/>
      <c r="M923" s="70" t="e">
        <v>#N/A</v>
      </c>
      <c r="N923" s="7"/>
      <c r="O923" s="7"/>
      <c r="P923" s="7"/>
    </row>
    <row r="924">
      <c r="A924" s="67" t="s">
        <v>1518</v>
      </c>
      <c r="B924" s="78"/>
      <c r="C924" s="62">
        <v>0.08</v>
      </c>
      <c r="D924" s="63">
        <v>0.69</v>
      </c>
      <c r="E924" s="63">
        <v>0.69</v>
      </c>
      <c r="F924" s="64" t="s">
        <v>254</v>
      </c>
      <c r="G924" s="59">
        <v>47848.0</v>
      </c>
      <c r="K924" s="65" t="s">
        <v>1517</v>
      </c>
      <c r="L924" s="66">
        <v>7055.0</v>
      </c>
      <c r="M924" s="70" t="e">
        <v>#N/A</v>
      </c>
      <c r="N924" s="7"/>
      <c r="O924" s="7"/>
      <c r="P924" s="7"/>
    </row>
    <row r="925">
      <c r="A925" s="67" t="s">
        <v>1519</v>
      </c>
      <c r="B925" s="78"/>
      <c r="C925" s="62">
        <v>0.08</v>
      </c>
      <c r="D925" s="63">
        <v>0.69</v>
      </c>
      <c r="E925" s="63">
        <v>0.69</v>
      </c>
      <c r="F925" s="64" t="s">
        <v>254</v>
      </c>
      <c r="G925" s="59">
        <v>47848.0</v>
      </c>
      <c r="K925" s="65" t="s">
        <v>1518</v>
      </c>
      <c r="L925" s="7"/>
      <c r="M925" s="70" t="e">
        <v>#N/A</v>
      </c>
      <c r="N925" s="7"/>
      <c r="O925" s="7"/>
      <c r="P925" s="7"/>
    </row>
    <row r="926">
      <c r="A926" s="67" t="s">
        <v>1520</v>
      </c>
      <c r="B926" s="78"/>
      <c r="C926" s="62">
        <v>0.08</v>
      </c>
      <c r="D926" s="63">
        <v>0.69</v>
      </c>
      <c r="E926" s="63">
        <v>0.69</v>
      </c>
      <c r="F926" s="64" t="s">
        <v>254</v>
      </c>
      <c r="G926" s="59">
        <v>47848.0</v>
      </c>
      <c r="K926" s="65" t="s">
        <v>1519</v>
      </c>
      <c r="L926" s="7"/>
      <c r="M926" s="70" t="e">
        <v>#N/A</v>
      </c>
      <c r="N926" s="7"/>
      <c r="O926" s="7"/>
      <c r="P926" s="7"/>
    </row>
    <row r="927">
      <c r="A927" s="67" t="s">
        <v>1521</v>
      </c>
      <c r="B927" s="78"/>
      <c r="C927" s="62">
        <v>0.08</v>
      </c>
      <c r="D927" s="63">
        <v>0.69</v>
      </c>
      <c r="E927" s="63">
        <v>0.69</v>
      </c>
      <c r="F927" s="64" t="s">
        <v>254</v>
      </c>
      <c r="G927" s="59">
        <v>47848.0</v>
      </c>
      <c r="K927" s="65" t="s">
        <v>1520</v>
      </c>
      <c r="L927" s="7"/>
      <c r="M927" s="70" t="e">
        <v>#N/A</v>
      </c>
      <c r="N927" s="7"/>
      <c r="O927" s="7"/>
      <c r="P927" s="7"/>
    </row>
    <row r="928">
      <c r="A928" s="67" t="s">
        <v>1522</v>
      </c>
      <c r="B928" s="78"/>
      <c r="C928" s="62">
        <v>0.08</v>
      </c>
      <c r="D928" s="63">
        <v>0.69</v>
      </c>
      <c r="E928" s="63">
        <v>0.69</v>
      </c>
      <c r="F928" s="64" t="s">
        <v>254</v>
      </c>
      <c r="G928" s="59">
        <v>47848.0</v>
      </c>
      <c r="K928" s="65" t="s">
        <v>1521</v>
      </c>
      <c r="L928" s="7"/>
      <c r="M928" s="70" t="e">
        <v>#N/A</v>
      </c>
      <c r="N928" s="7"/>
      <c r="O928" s="7"/>
      <c r="P928" s="7"/>
    </row>
    <row r="929">
      <c r="A929" s="67" t="s">
        <v>1523</v>
      </c>
      <c r="B929" s="78"/>
      <c r="C929" s="62">
        <v>0.08</v>
      </c>
      <c r="D929" s="63">
        <v>0.69</v>
      </c>
      <c r="E929" s="63">
        <v>0.69</v>
      </c>
      <c r="F929" s="64" t="s">
        <v>254</v>
      </c>
      <c r="G929" s="59">
        <v>47848.0</v>
      </c>
      <c r="K929" s="65" t="s">
        <v>1522</v>
      </c>
      <c r="L929" s="7"/>
      <c r="M929" s="70" t="e">
        <v>#N/A</v>
      </c>
      <c r="N929" s="7"/>
      <c r="O929" s="7"/>
      <c r="P929" s="7"/>
    </row>
    <row r="930">
      <c r="A930" s="67" t="s">
        <v>1524</v>
      </c>
      <c r="B930" s="25">
        <v>6675.0</v>
      </c>
      <c r="C930" s="62">
        <v>0.08</v>
      </c>
      <c r="D930" s="74">
        <v>0.9</v>
      </c>
      <c r="E930" s="74">
        <v>0.9</v>
      </c>
      <c r="F930" s="64" t="s">
        <v>254</v>
      </c>
      <c r="G930" s="59">
        <v>47848.0</v>
      </c>
      <c r="K930" s="65" t="s">
        <v>1523</v>
      </c>
      <c r="L930" s="7"/>
      <c r="M930" s="70" t="e">
        <v>#N/A</v>
      </c>
      <c r="N930" s="7"/>
      <c r="O930" s="7"/>
      <c r="P930" s="7"/>
    </row>
    <row r="931">
      <c r="A931" s="67" t="s">
        <v>1525</v>
      </c>
      <c r="B931" s="78"/>
      <c r="C931" s="62">
        <v>0.08</v>
      </c>
      <c r="D931" s="63">
        <v>0.69</v>
      </c>
      <c r="E931" s="63">
        <v>0.69</v>
      </c>
      <c r="F931" s="64" t="s">
        <v>254</v>
      </c>
      <c r="G931" s="59">
        <v>47848.0</v>
      </c>
      <c r="K931" s="65" t="s">
        <v>1524</v>
      </c>
      <c r="L931" s="84">
        <v>6675.0</v>
      </c>
      <c r="M931" s="72">
        <v>1.0</v>
      </c>
      <c r="N931" s="7"/>
      <c r="O931" s="66">
        <v>6675.0</v>
      </c>
      <c r="P931" s="7"/>
    </row>
    <row r="932">
      <c r="A932" s="67" t="s">
        <v>1526</v>
      </c>
      <c r="B932" s="78"/>
      <c r="C932" s="62">
        <v>0.08</v>
      </c>
      <c r="D932" s="63">
        <v>0.69</v>
      </c>
      <c r="E932" s="63">
        <v>0.69</v>
      </c>
      <c r="F932" s="64" t="s">
        <v>254</v>
      </c>
      <c r="G932" s="59">
        <v>47848.0</v>
      </c>
      <c r="K932" s="65" t="s">
        <v>1525</v>
      </c>
      <c r="L932" s="7"/>
      <c r="M932" s="70" t="e">
        <v>#N/A</v>
      </c>
      <c r="N932" s="7"/>
      <c r="O932" s="7"/>
      <c r="P932" s="7"/>
    </row>
    <row r="933">
      <c r="A933" s="67" t="s">
        <v>1527</v>
      </c>
      <c r="B933" s="25">
        <v>7073.0</v>
      </c>
      <c r="C933" s="62">
        <v>0.08</v>
      </c>
      <c r="D933" s="63">
        <v>0.69</v>
      </c>
      <c r="E933" s="63">
        <v>0.69</v>
      </c>
      <c r="F933" s="64" t="s">
        <v>254</v>
      </c>
      <c r="G933" s="59">
        <v>47848.0</v>
      </c>
      <c r="K933" s="65" t="s">
        <v>1526</v>
      </c>
      <c r="L933" s="7"/>
      <c r="M933" s="70" t="e">
        <v>#N/A</v>
      </c>
      <c r="N933" s="7"/>
      <c r="O933" s="7"/>
      <c r="P933" s="7"/>
    </row>
    <row r="934">
      <c r="A934" s="67" t="s">
        <v>1528</v>
      </c>
      <c r="B934" s="78"/>
      <c r="C934" s="62">
        <v>0.08</v>
      </c>
      <c r="D934" s="63">
        <v>0.69</v>
      </c>
      <c r="E934" s="63">
        <v>0.69</v>
      </c>
      <c r="F934" s="64" t="s">
        <v>254</v>
      </c>
      <c r="G934" s="59">
        <v>47848.0</v>
      </c>
      <c r="K934" s="65" t="s">
        <v>1527</v>
      </c>
      <c r="L934" s="66">
        <v>7073.0</v>
      </c>
      <c r="M934" s="72">
        <v>1.0</v>
      </c>
      <c r="N934" s="7"/>
      <c r="O934" s="7"/>
      <c r="P934" s="7"/>
    </row>
    <row r="935">
      <c r="A935" s="67" t="s">
        <v>1529</v>
      </c>
      <c r="B935" s="78"/>
      <c r="C935" s="62">
        <v>0.08</v>
      </c>
      <c r="D935" s="63">
        <v>0.69</v>
      </c>
      <c r="E935" s="63">
        <v>0.69</v>
      </c>
      <c r="F935" s="64" t="s">
        <v>254</v>
      </c>
      <c r="G935" s="59">
        <v>47848.0</v>
      </c>
      <c r="K935" s="65" t="s">
        <v>1528</v>
      </c>
      <c r="L935" s="7"/>
      <c r="M935" s="70" t="e">
        <v>#N/A</v>
      </c>
      <c r="N935" s="7"/>
      <c r="O935" s="7"/>
      <c r="P935" s="7"/>
    </row>
    <row r="936">
      <c r="A936" s="67" t="s">
        <v>1530</v>
      </c>
      <c r="B936" s="78"/>
      <c r="C936" s="62">
        <v>0.08</v>
      </c>
      <c r="D936" s="63">
        <v>0.69</v>
      </c>
      <c r="E936" s="63">
        <v>0.69</v>
      </c>
      <c r="F936" s="64" t="s">
        <v>254</v>
      </c>
      <c r="G936" s="59">
        <v>47848.0</v>
      </c>
      <c r="K936" s="65" t="s">
        <v>1529</v>
      </c>
      <c r="L936" s="65"/>
      <c r="M936" s="70" t="e">
        <v>#N/A</v>
      </c>
      <c r="N936" s="7"/>
      <c r="O936" s="7"/>
      <c r="P936" s="7"/>
    </row>
    <row r="937">
      <c r="A937" s="67" t="s">
        <v>1531</v>
      </c>
      <c r="B937" s="78"/>
      <c r="C937" s="62">
        <v>0.08</v>
      </c>
      <c r="D937" s="63">
        <v>0.69</v>
      </c>
      <c r="E937" s="63">
        <v>0.69</v>
      </c>
      <c r="F937" s="64" t="s">
        <v>254</v>
      </c>
      <c r="G937" s="59">
        <v>47848.0</v>
      </c>
      <c r="K937" s="65" t="s">
        <v>1530</v>
      </c>
      <c r="L937" s="7"/>
      <c r="M937" s="70" t="e">
        <v>#N/A</v>
      </c>
      <c r="N937" s="7"/>
      <c r="O937" s="7"/>
      <c r="P937" s="7"/>
    </row>
    <row r="938">
      <c r="A938" s="67" t="s">
        <v>1532</v>
      </c>
      <c r="B938" s="78"/>
      <c r="C938" s="62">
        <v>0.08</v>
      </c>
      <c r="D938" s="63">
        <v>0.69</v>
      </c>
      <c r="E938" s="63">
        <v>0.69</v>
      </c>
      <c r="F938" s="64" t="s">
        <v>254</v>
      </c>
      <c r="G938" s="59">
        <v>47848.0</v>
      </c>
      <c r="K938" s="65" t="s">
        <v>1531</v>
      </c>
      <c r="L938" s="7"/>
      <c r="M938" s="70" t="e">
        <v>#N/A</v>
      </c>
      <c r="N938" s="7"/>
      <c r="O938" s="7"/>
      <c r="P938" s="7"/>
    </row>
    <row r="939">
      <c r="A939" s="67" t="s">
        <v>1533</v>
      </c>
      <c r="B939" s="25">
        <v>6751.0</v>
      </c>
      <c r="C939" s="62">
        <v>0.08</v>
      </c>
      <c r="D939" s="63">
        <v>0.69</v>
      </c>
      <c r="E939" s="63">
        <v>0.69</v>
      </c>
      <c r="F939" s="64" t="s">
        <v>254</v>
      </c>
      <c r="G939" s="59">
        <v>47848.0</v>
      </c>
      <c r="K939" s="65" t="s">
        <v>1532</v>
      </c>
      <c r="L939" s="7"/>
      <c r="M939" s="70" t="e">
        <v>#N/A</v>
      </c>
      <c r="N939" s="7"/>
      <c r="O939" s="7"/>
      <c r="P939" s="7"/>
    </row>
    <row r="940">
      <c r="A940" s="67" t="s">
        <v>1534</v>
      </c>
      <c r="B940" s="78"/>
      <c r="C940" s="62">
        <v>0.08</v>
      </c>
      <c r="D940" s="63">
        <v>0.69</v>
      </c>
      <c r="E940" s="63">
        <v>0.69</v>
      </c>
      <c r="F940" s="64" t="s">
        <v>254</v>
      </c>
      <c r="G940" s="59">
        <v>47848.0</v>
      </c>
      <c r="K940" s="65" t="s">
        <v>1533</v>
      </c>
      <c r="L940" s="66">
        <v>6751.0</v>
      </c>
      <c r="M940" s="70" t="e">
        <v>#N/A</v>
      </c>
      <c r="N940" s="7"/>
      <c r="O940" s="7"/>
      <c r="P940" s="7"/>
    </row>
    <row r="941">
      <c r="A941" s="67" t="s">
        <v>1535</v>
      </c>
      <c r="B941" s="78"/>
      <c r="C941" s="62">
        <v>0.08</v>
      </c>
      <c r="D941" s="63">
        <v>0.69</v>
      </c>
      <c r="E941" s="63">
        <v>0.69</v>
      </c>
      <c r="F941" s="64" t="s">
        <v>254</v>
      </c>
      <c r="G941" s="59">
        <v>47848.0</v>
      </c>
      <c r="K941" s="65" t="s">
        <v>1534</v>
      </c>
      <c r="L941" s="7"/>
      <c r="M941" s="70" t="e">
        <v>#N/A</v>
      </c>
      <c r="N941" s="7"/>
      <c r="O941" s="7"/>
      <c r="P941" s="7"/>
    </row>
    <row r="942">
      <c r="A942" s="67" t="s">
        <v>1536</v>
      </c>
      <c r="B942" s="78"/>
      <c r="C942" s="62">
        <v>0.08</v>
      </c>
      <c r="D942" s="63">
        <v>0.69</v>
      </c>
      <c r="E942" s="63">
        <v>0.69</v>
      </c>
      <c r="F942" s="64" t="s">
        <v>254</v>
      </c>
      <c r="G942" s="59">
        <v>47848.0</v>
      </c>
      <c r="K942" s="65" t="s">
        <v>1535</v>
      </c>
      <c r="L942" s="7"/>
      <c r="M942" s="70" t="e">
        <v>#N/A</v>
      </c>
      <c r="N942" s="7"/>
      <c r="O942" s="7"/>
      <c r="P942" s="7"/>
    </row>
    <row r="943">
      <c r="A943" s="67" t="s">
        <v>1537</v>
      </c>
      <c r="B943" s="78"/>
      <c r="C943" s="62">
        <v>0.08</v>
      </c>
      <c r="D943" s="63">
        <v>0.69</v>
      </c>
      <c r="E943" s="63">
        <v>0.69</v>
      </c>
      <c r="F943" s="64" t="s">
        <v>254</v>
      </c>
      <c r="G943" s="59">
        <v>47848.0</v>
      </c>
      <c r="K943" s="65" t="s">
        <v>1536</v>
      </c>
      <c r="L943" s="7"/>
      <c r="M943" s="70" t="e">
        <v>#N/A</v>
      </c>
      <c r="N943" s="7"/>
      <c r="O943" s="7"/>
      <c r="P943" s="7"/>
    </row>
    <row r="944">
      <c r="A944" s="67" t="s">
        <v>1538</v>
      </c>
      <c r="B944" s="78"/>
      <c r="C944" s="62">
        <v>0.08</v>
      </c>
      <c r="D944" s="63">
        <v>0.69</v>
      </c>
      <c r="E944" s="63">
        <v>0.69</v>
      </c>
      <c r="F944" s="64" t="s">
        <v>254</v>
      </c>
      <c r="G944" s="59">
        <v>47848.0</v>
      </c>
      <c r="K944" s="65" t="s">
        <v>1537</v>
      </c>
      <c r="L944" s="7"/>
      <c r="M944" s="70" t="e">
        <v>#N/A</v>
      </c>
      <c r="N944" s="7"/>
      <c r="O944" s="7"/>
      <c r="P944" s="7"/>
    </row>
    <row r="945">
      <c r="A945" s="67" t="s">
        <v>1539</v>
      </c>
      <c r="B945" s="78"/>
      <c r="C945" s="62">
        <v>0.08</v>
      </c>
      <c r="D945" s="63">
        <v>0.69</v>
      </c>
      <c r="E945" s="63">
        <v>0.69</v>
      </c>
      <c r="F945" s="64" t="s">
        <v>254</v>
      </c>
      <c r="G945" s="59">
        <v>47848.0</v>
      </c>
      <c r="K945" s="65" t="s">
        <v>1538</v>
      </c>
      <c r="L945" s="7"/>
      <c r="M945" s="70" t="e">
        <v>#N/A</v>
      </c>
      <c r="N945" s="7"/>
      <c r="O945" s="7"/>
      <c r="P945" s="7"/>
    </row>
    <row r="946">
      <c r="A946" s="67" t="s">
        <v>1540</v>
      </c>
      <c r="B946" s="78"/>
      <c r="C946" s="62">
        <v>0.08</v>
      </c>
      <c r="D946" s="63">
        <v>0.69</v>
      </c>
      <c r="E946" s="63">
        <v>0.69</v>
      </c>
      <c r="F946" s="64" t="s">
        <v>254</v>
      </c>
      <c r="G946" s="59">
        <v>47848.0</v>
      </c>
      <c r="K946" s="65" t="s">
        <v>1539</v>
      </c>
      <c r="L946" s="7"/>
      <c r="M946" s="70" t="e">
        <v>#N/A</v>
      </c>
      <c r="N946" s="7"/>
      <c r="O946" s="7"/>
      <c r="P946" s="7"/>
    </row>
    <row r="947">
      <c r="A947" s="67" t="s">
        <v>1541</v>
      </c>
      <c r="B947" s="25">
        <v>7080.0</v>
      </c>
      <c r="C947" s="62">
        <v>0.08</v>
      </c>
      <c r="D947" s="63">
        <v>0.69</v>
      </c>
      <c r="E947" s="63">
        <v>0.69</v>
      </c>
      <c r="F947" s="64" t="s">
        <v>254</v>
      </c>
      <c r="G947" s="59">
        <v>47848.0</v>
      </c>
      <c r="K947" s="65" t="s">
        <v>1540</v>
      </c>
      <c r="L947" s="7"/>
      <c r="M947" s="70" t="e">
        <v>#N/A</v>
      </c>
      <c r="N947" s="7"/>
      <c r="O947" s="7"/>
      <c r="P947" s="7"/>
    </row>
    <row r="948">
      <c r="A948" s="67" t="s">
        <v>1542</v>
      </c>
      <c r="B948" s="78"/>
      <c r="C948" s="62">
        <v>0.08</v>
      </c>
      <c r="D948" s="63">
        <v>0.69</v>
      </c>
      <c r="E948" s="63">
        <v>0.69</v>
      </c>
      <c r="F948" s="64" t="s">
        <v>254</v>
      </c>
      <c r="G948" s="59">
        <v>47848.0</v>
      </c>
      <c r="K948" s="65" t="s">
        <v>1541</v>
      </c>
      <c r="L948" s="66">
        <v>7080.0</v>
      </c>
      <c r="M948" s="70" t="e">
        <v>#N/A</v>
      </c>
      <c r="N948" s="7"/>
      <c r="O948" s="7"/>
      <c r="P948" s="7"/>
    </row>
    <row r="949">
      <c r="A949" s="67" t="s">
        <v>1543</v>
      </c>
      <c r="B949" s="25">
        <v>14337.0</v>
      </c>
      <c r="C949" s="62">
        <v>0.08</v>
      </c>
      <c r="D949" s="63">
        <v>0.69</v>
      </c>
      <c r="E949" s="63">
        <v>0.69</v>
      </c>
      <c r="F949" s="64" t="s">
        <v>254</v>
      </c>
      <c r="G949" s="59">
        <v>47848.0</v>
      </c>
      <c r="K949" s="65" t="s">
        <v>1542</v>
      </c>
      <c r="L949" s="7"/>
      <c r="M949" s="70" t="e">
        <v>#N/A</v>
      </c>
      <c r="N949" s="7"/>
      <c r="O949" s="7"/>
      <c r="P949" s="7"/>
    </row>
    <row r="950">
      <c r="A950" s="67" t="s">
        <v>1544</v>
      </c>
      <c r="B950" s="25">
        <v>7023.0</v>
      </c>
      <c r="C950" s="62">
        <v>0.08</v>
      </c>
      <c r="D950" s="63">
        <v>0.69</v>
      </c>
      <c r="E950" s="63">
        <v>0.69</v>
      </c>
      <c r="F950" s="64" t="s">
        <v>254</v>
      </c>
      <c r="G950" s="59">
        <v>47848.0</v>
      </c>
      <c r="K950" s="65" t="s">
        <v>1543</v>
      </c>
      <c r="L950" s="66">
        <v>14337.0</v>
      </c>
      <c r="M950" s="70" t="e">
        <v>#N/A</v>
      </c>
      <c r="N950" s="7"/>
      <c r="O950" s="7"/>
      <c r="P950" s="7"/>
    </row>
    <row r="951">
      <c r="A951" s="67" t="s">
        <v>1545</v>
      </c>
      <c r="B951" s="25">
        <v>189.0</v>
      </c>
      <c r="C951" s="62">
        <v>0.08</v>
      </c>
      <c r="D951" s="76">
        <v>0.8</v>
      </c>
      <c r="E951" s="76">
        <v>0.8</v>
      </c>
      <c r="F951" s="64" t="s">
        <v>254</v>
      </c>
      <c r="G951" s="59">
        <v>47848.0</v>
      </c>
      <c r="K951" s="65" t="s">
        <v>1544</v>
      </c>
      <c r="L951" s="66">
        <v>7023.0</v>
      </c>
      <c r="M951" s="70" t="e">
        <v>#N/A</v>
      </c>
      <c r="N951" s="7"/>
      <c r="O951" s="66">
        <v>7023.0</v>
      </c>
      <c r="P951" s="7"/>
    </row>
    <row r="952">
      <c r="A952" s="67" t="s">
        <v>1546</v>
      </c>
      <c r="B952" s="25">
        <v>7100.0</v>
      </c>
      <c r="C952" s="62">
        <v>0.08</v>
      </c>
      <c r="D952" s="63">
        <v>0.69</v>
      </c>
      <c r="E952" s="63">
        <v>0.69</v>
      </c>
      <c r="F952" s="64" t="s">
        <v>254</v>
      </c>
      <c r="G952" s="59">
        <v>47848.0</v>
      </c>
      <c r="K952" s="65" t="s">
        <v>1545</v>
      </c>
      <c r="L952" s="66">
        <v>189.0</v>
      </c>
      <c r="M952" s="72">
        <v>1.0</v>
      </c>
      <c r="N952" s="7"/>
      <c r="O952" s="7"/>
      <c r="P952" s="7"/>
    </row>
    <row r="953">
      <c r="A953" s="67" t="s">
        <v>1547</v>
      </c>
      <c r="B953" s="25">
        <v>189.0</v>
      </c>
      <c r="C953" s="62">
        <v>0.08</v>
      </c>
      <c r="D953" s="76">
        <v>0.8</v>
      </c>
      <c r="E953" s="76">
        <v>0.8</v>
      </c>
      <c r="F953" s="64" t="s">
        <v>254</v>
      </c>
      <c r="G953" s="59">
        <v>47848.0</v>
      </c>
      <c r="K953" s="65" t="s">
        <v>1546</v>
      </c>
      <c r="L953" s="66">
        <v>7100.0</v>
      </c>
      <c r="M953" s="72">
        <v>1.0</v>
      </c>
      <c r="N953" s="7"/>
      <c r="O953" s="7"/>
      <c r="P953" s="7"/>
    </row>
    <row r="954">
      <c r="A954" s="67" t="s">
        <v>1548</v>
      </c>
      <c r="B954" s="78"/>
      <c r="C954" s="62">
        <v>0.08</v>
      </c>
      <c r="D954" s="63">
        <v>0.69</v>
      </c>
      <c r="E954" s="63">
        <v>0.69</v>
      </c>
      <c r="F954" s="64" t="s">
        <v>254</v>
      </c>
      <c r="G954" s="59">
        <v>47848.0</v>
      </c>
      <c r="K954" s="65" t="s">
        <v>1547</v>
      </c>
      <c r="L954" s="66">
        <v>189.0</v>
      </c>
      <c r="M954" s="72">
        <v>1.0</v>
      </c>
      <c r="N954" s="7"/>
      <c r="O954" s="7"/>
      <c r="P954" s="7"/>
    </row>
    <row r="955">
      <c r="A955" s="67" t="s">
        <v>1549</v>
      </c>
      <c r="B955" s="25">
        <v>6751.0</v>
      </c>
      <c r="C955" s="62">
        <v>0.08</v>
      </c>
      <c r="D955" s="63">
        <v>0.69</v>
      </c>
      <c r="E955" s="63">
        <v>0.69</v>
      </c>
      <c r="F955" s="64" t="s">
        <v>254</v>
      </c>
      <c r="G955" s="59">
        <v>47848.0</v>
      </c>
      <c r="K955" s="65" t="s">
        <v>1548</v>
      </c>
      <c r="L955" s="7"/>
      <c r="M955" s="70" t="e">
        <v>#N/A</v>
      </c>
      <c r="N955" s="7"/>
      <c r="O955" s="7"/>
      <c r="P955" s="7"/>
    </row>
    <row r="956">
      <c r="A956" s="67" t="s">
        <v>1550</v>
      </c>
      <c r="B956" s="25">
        <v>7083.0</v>
      </c>
      <c r="C956" s="62">
        <v>0.08</v>
      </c>
      <c r="D956" s="63">
        <v>0.69</v>
      </c>
      <c r="E956" s="63">
        <v>0.69</v>
      </c>
      <c r="F956" s="64" t="s">
        <v>254</v>
      </c>
      <c r="G956" s="59">
        <v>47848.0</v>
      </c>
      <c r="K956" s="65" t="s">
        <v>1549</v>
      </c>
      <c r="L956" s="66">
        <v>6751.0</v>
      </c>
      <c r="M956" s="70" t="e">
        <v>#N/A</v>
      </c>
      <c r="N956" s="7"/>
      <c r="O956" s="7"/>
      <c r="P956" s="7"/>
    </row>
    <row r="957">
      <c r="A957" s="67" t="s">
        <v>1551</v>
      </c>
      <c r="B957" s="78"/>
      <c r="C957" s="62">
        <v>0.08</v>
      </c>
      <c r="D957" s="63">
        <v>0.69</v>
      </c>
      <c r="E957" s="63">
        <v>0.69</v>
      </c>
      <c r="F957" s="64" t="s">
        <v>254</v>
      </c>
      <c r="G957" s="59">
        <v>47848.0</v>
      </c>
      <c r="K957" s="65" t="s">
        <v>1550</v>
      </c>
      <c r="L957" s="66">
        <v>7083.0</v>
      </c>
      <c r="M957" s="70" t="e">
        <v>#N/A</v>
      </c>
      <c r="N957" s="7"/>
      <c r="O957" s="7"/>
      <c r="P957" s="7"/>
    </row>
    <row r="958">
      <c r="A958" s="67" t="s">
        <v>1552</v>
      </c>
      <c r="B958" s="25">
        <v>930.0</v>
      </c>
      <c r="C958" s="62">
        <v>0.08</v>
      </c>
      <c r="D958" s="63">
        <v>0.69</v>
      </c>
      <c r="E958" s="63">
        <v>0.69</v>
      </c>
      <c r="F958" s="64" t="s">
        <v>254</v>
      </c>
      <c r="G958" s="59">
        <v>47848.0</v>
      </c>
      <c r="K958" s="65" t="s">
        <v>1551</v>
      </c>
      <c r="L958" s="7"/>
      <c r="M958" s="70" t="e">
        <v>#N/A</v>
      </c>
      <c r="N958" s="7"/>
      <c r="O958" s="7"/>
      <c r="P958" s="7"/>
    </row>
    <row r="959">
      <c r="A959" s="67" t="s">
        <v>1553</v>
      </c>
      <c r="B959" s="25">
        <v>14005.0</v>
      </c>
      <c r="C959" s="62">
        <v>0.08</v>
      </c>
      <c r="D959" s="63">
        <v>0.69</v>
      </c>
      <c r="E959" s="63">
        <v>0.69</v>
      </c>
      <c r="F959" s="64" t="s">
        <v>254</v>
      </c>
      <c r="G959" s="59">
        <v>47848.0</v>
      </c>
      <c r="K959" s="65" t="s">
        <v>1552</v>
      </c>
      <c r="L959" s="66">
        <v>930.0</v>
      </c>
      <c r="M959" s="70" t="e">
        <v>#N/A</v>
      </c>
      <c r="N959" s="7"/>
      <c r="O959" s="7"/>
      <c r="P959" s="7"/>
    </row>
    <row r="960">
      <c r="A960" s="67" t="s">
        <v>1554</v>
      </c>
      <c r="B960" s="78"/>
      <c r="C960" s="62">
        <v>0.08</v>
      </c>
      <c r="D960" s="63">
        <v>0.69</v>
      </c>
      <c r="E960" s="63">
        <v>0.69</v>
      </c>
      <c r="F960" s="64" t="s">
        <v>254</v>
      </c>
      <c r="G960" s="59">
        <v>47848.0</v>
      </c>
      <c r="K960" s="65" t="s">
        <v>1553</v>
      </c>
      <c r="L960" s="66">
        <v>14005.0</v>
      </c>
      <c r="M960" s="70" t="e">
        <v>#N/A</v>
      </c>
      <c r="N960" s="7"/>
      <c r="O960" s="7"/>
      <c r="P960" s="7"/>
    </row>
    <row r="961">
      <c r="A961" s="67" t="s">
        <v>1555</v>
      </c>
      <c r="B961" s="25">
        <v>189.0</v>
      </c>
      <c r="C961" s="62">
        <v>0.08</v>
      </c>
      <c r="D961" s="76">
        <v>0.8</v>
      </c>
      <c r="E961" s="76">
        <v>0.8</v>
      </c>
      <c r="F961" s="64" t="s">
        <v>254</v>
      </c>
      <c r="G961" s="59">
        <v>47848.0</v>
      </c>
      <c r="K961" s="65" t="s">
        <v>1554</v>
      </c>
      <c r="L961" s="7"/>
      <c r="M961" s="70" t="e">
        <v>#N/A</v>
      </c>
      <c r="N961" s="7"/>
      <c r="O961" s="7"/>
      <c r="P961" s="7"/>
    </row>
    <row r="962">
      <c r="A962" s="67" t="s">
        <v>1556</v>
      </c>
      <c r="B962" s="25">
        <v>7031.0</v>
      </c>
      <c r="C962" s="62">
        <v>0.08</v>
      </c>
      <c r="D962" s="63">
        <v>0.69</v>
      </c>
      <c r="E962" s="63">
        <v>0.69</v>
      </c>
      <c r="F962" s="64" t="s">
        <v>254</v>
      </c>
      <c r="G962" s="59">
        <v>47848.0</v>
      </c>
      <c r="K962" s="65" t="s">
        <v>1555</v>
      </c>
      <c r="L962" s="84">
        <v>189.0</v>
      </c>
      <c r="M962" s="70" t="e">
        <v>#N/A</v>
      </c>
      <c r="N962" s="7"/>
      <c r="O962" s="7"/>
      <c r="P962" s="7"/>
    </row>
    <row r="963">
      <c r="A963" s="67" t="s">
        <v>1557</v>
      </c>
      <c r="B963" s="25">
        <v>189.0</v>
      </c>
      <c r="C963" s="62">
        <v>0.08</v>
      </c>
      <c r="D963" s="76">
        <v>0.8</v>
      </c>
      <c r="E963" s="76">
        <v>0.8</v>
      </c>
      <c r="F963" s="64" t="s">
        <v>254</v>
      </c>
      <c r="G963" s="59">
        <v>47848.0</v>
      </c>
      <c r="K963" s="65" t="s">
        <v>1556</v>
      </c>
      <c r="L963" s="66">
        <v>7031.0</v>
      </c>
      <c r="M963" s="72">
        <v>1.0</v>
      </c>
      <c r="N963" s="7"/>
      <c r="O963" s="66">
        <v>7031.0</v>
      </c>
      <c r="P963" s="7"/>
    </row>
    <row r="964">
      <c r="A964" s="67" t="s">
        <v>1558</v>
      </c>
      <c r="B964" s="25">
        <v>5458.0</v>
      </c>
      <c r="C964" s="62">
        <v>0.08</v>
      </c>
      <c r="D964" s="63">
        <v>0.69</v>
      </c>
      <c r="E964" s="63">
        <v>0.69</v>
      </c>
      <c r="F964" s="64" t="s">
        <v>254</v>
      </c>
      <c r="G964" s="59">
        <v>47848.0</v>
      </c>
      <c r="K964" s="65" t="s">
        <v>1557</v>
      </c>
      <c r="L964" s="66">
        <v>189.0</v>
      </c>
      <c r="M964" s="72">
        <v>1.0</v>
      </c>
      <c r="N964" s="7"/>
      <c r="O964" s="7"/>
      <c r="P964" s="7"/>
    </row>
    <row r="965">
      <c r="A965" s="67" t="s">
        <v>1559</v>
      </c>
      <c r="B965" s="25">
        <v>5458.0</v>
      </c>
      <c r="C965" s="62">
        <v>0.08</v>
      </c>
      <c r="D965" s="63">
        <v>0.69</v>
      </c>
      <c r="E965" s="63">
        <v>0.69</v>
      </c>
      <c r="F965" s="64" t="s">
        <v>254</v>
      </c>
      <c r="G965" s="59">
        <v>47848.0</v>
      </c>
      <c r="K965" s="65" t="s">
        <v>1558</v>
      </c>
      <c r="L965" s="66">
        <v>5458.0</v>
      </c>
      <c r="M965" s="70" t="e">
        <v>#N/A</v>
      </c>
      <c r="N965" s="7"/>
      <c r="O965" s="66">
        <v>5458.0</v>
      </c>
      <c r="P965" s="7"/>
    </row>
    <row r="966">
      <c r="A966" s="67" t="s">
        <v>1560</v>
      </c>
      <c r="B966" s="25">
        <v>5458.0</v>
      </c>
      <c r="C966" s="62">
        <v>0.08</v>
      </c>
      <c r="D966" s="63">
        <v>0.69</v>
      </c>
      <c r="E966" s="63">
        <v>0.69</v>
      </c>
      <c r="F966" s="64" t="s">
        <v>254</v>
      </c>
      <c r="G966" s="59">
        <v>47848.0</v>
      </c>
      <c r="K966" s="65" t="s">
        <v>1559</v>
      </c>
      <c r="L966" s="66">
        <v>5458.0</v>
      </c>
      <c r="M966" s="70" t="e">
        <v>#N/A</v>
      </c>
      <c r="N966" s="7"/>
      <c r="O966" s="66">
        <v>5458.0</v>
      </c>
      <c r="P966" s="7"/>
    </row>
    <row r="967">
      <c r="A967" s="67" t="s">
        <v>1561</v>
      </c>
      <c r="B967" s="25">
        <v>5458.0</v>
      </c>
      <c r="C967" s="62">
        <v>0.08</v>
      </c>
      <c r="D967" s="63">
        <v>0.69</v>
      </c>
      <c r="E967" s="63">
        <v>0.69</v>
      </c>
      <c r="F967" s="64" t="s">
        <v>254</v>
      </c>
      <c r="G967" s="59">
        <v>47848.0</v>
      </c>
      <c r="K967" s="65" t="s">
        <v>1560</v>
      </c>
      <c r="L967" s="66">
        <v>5458.0</v>
      </c>
      <c r="M967" s="70" t="e">
        <v>#N/A</v>
      </c>
      <c r="N967" s="7"/>
      <c r="O967" s="66">
        <v>5458.0</v>
      </c>
      <c r="P967" s="7"/>
    </row>
    <row r="968">
      <c r="A968" s="37" t="s">
        <v>1562</v>
      </c>
      <c r="B968" s="37">
        <v>8576.0</v>
      </c>
      <c r="C968" s="62">
        <v>0.08</v>
      </c>
      <c r="D968" s="63">
        <v>0.69</v>
      </c>
      <c r="E968" s="63">
        <v>0.69</v>
      </c>
      <c r="F968" s="64" t="s">
        <v>254</v>
      </c>
      <c r="G968" s="59">
        <v>47848.0</v>
      </c>
      <c r="I968" s="37" t="s">
        <v>207</v>
      </c>
      <c r="K968" s="65" t="s">
        <v>1561</v>
      </c>
      <c r="L968" s="66">
        <v>5458.0</v>
      </c>
      <c r="M968" s="72">
        <v>1.0</v>
      </c>
      <c r="N968" s="7"/>
      <c r="O968" s="66">
        <v>5458.0</v>
      </c>
      <c r="P968" s="7"/>
    </row>
    <row r="969">
      <c r="A969" s="37" t="s">
        <v>1563</v>
      </c>
      <c r="B969" s="37">
        <v>9596.0</v>
      </c>
      <c r="C969" s="62">
        <v>0.08</v>
      </c>
      <c r="D969" s="63">
        <v>0.69</v>
      </c>
      <c r="E969" s="63">
        <v>0.69</v>
      </c>
      <c r="F969" s="64" t="s">
        <v>254</v>
      </c>
      <c r="G969" s="59">
        <v>47848.0</v>
      </c>
      <c r="I969" s="37" t="s">
        <v>207</v>
      </c>
      <c r="K969" s="85"/>
      <c r="L969" s="86"/>
    </row>
    <row r="970">
      <c r="A970" s="37" t="s">
        <v>1564</v>
      </c>
      <c r="B970" s="37">
        <v>8163.0</v>
      </c>
      <c r="C970" s="62">
        <v>0.08</v>
      </c>
      <c r="D970" s="63">
        <v>0.69</v>
      </c>
      <c r="E970" s="63">
        <v>0.69</v>
      </c>
      <c r="F970" s="64" t="s">
        <v>254</v>
      </c>
      <c r="G970" s="59">
        <v>47848.0</v>
      </c>
      <c r="I970" s="37" t="s">
        <v>207</v>
      </c>
    </row>
    <row r="971">
      <c r="A971" s="37" t="s">
        <v>1565</v>
      </c>
      <c r="B971" s="37">
        <v>9602.0</v>
      </c>
      <c r="C971" s="62">
        <v>0.08</v>
      </c>
      <c r="D971" s="63">
        <v>0.69</v>
      </c>
      <c r="E971" s="63">
        <v>0.69</v>
      </c>
      <c r="F971" s="64" t="s">
        <v>254</v>
      </c>
      <c r="G971" s="59">
        <v>47848.0</v>
      </c>
      <c r="I971" s="37" t="s">
        <v>207</v>
      </c>
    </row>
    <row r="972">
      <c r="A972" s="37" t="s">
        <v>1566</v>
      </c>
      <c r="B972" s="37">
        <v>9814.0</v>
      </c>
      <c r="C972" s="62">
        <v>0.08</v>
      </c>
      <c r="D972" s="63">
        <v>0.69</v>
      </c>
      <c r="E972" s="63">
        <v>0.69</v>
      </c>
      <c r="F972" s="64" t="s">
        <v>254</v>
      </c>
      <c r="G972" s="59">
        <v>47848.0</v>
      </c>
      <c r="I972" s="37" t="s">
        <v>207</v>
      </c>
    </row>
    <row r="973">
      <c r="A973" s="37" t="s">
        <v>1567</v>
      </c>
      <c r="B973" s="45"/>
      <c r="C973" s="62">
        <v>0.08</v>
      </c>
      <c r="D973" s="63">
        <v>0.69</v>
      </c>
      <c r="E973" s="63">
        <v>0.69</v>
      </c>
      <c r="F973" s="64" t="s">
        <v>254</v>
      </c>
      <c r="G973" s="59">
        <v>47848.0</v>
      </c>
      <c r="I973" s="37" t="s">
        <v>207</v>
      </c>
    </row>
    <row r="974">
      <c r="A974" s="37" t="s">
        <v>1568</v>
      </c>
      <c r="B974" s="37">
        <v>9572.0</v>
      </c>
      <c r="C974" s="62">
        <v>0.08</v>
      </c>
      <c r="D974" s="63">
        <v>0.69</v>
      </c>
      <c r="E974" s="63">
        <v>0.69</v>
      </c>
      <c r="F974" s="64" t="s">
        <v>254</v>
      </c>
      <c r="G974" s="59">
        <v>47848.0</v>
      </c>
      <c r="I974" s="37" t="s">
        <v>207</v>
      </c>
    </row>
    <row r="975">
      <c r="A975" s="37" t="s">
        <v>1569</v>
      </c>
      <c r="B975" s="45"/>
      <c r="C975" s="62">
        <v>0.08</v>
      </c>
      <c r="D975" s="63">
        <v>0.69</v>
      </c>
      <c r="E975" s="63">
        <v>0.69</v>
      </c>
      <c r="F975" s="64" t="s">
        <v>254</v>
      </c>
      <c r="G975" s="59">
        <v>47848.0</v>
      </c>
      <c r="I975" s="37" t="s">
        <v>207</v>
      </c>
    </row>
    <row r="976">
      <c r="A976" s="37" t="s">
        <v>1570</v>
      </c>
      <c r="B976" s="37">
        <v>10368.0</v>
      </c>
      <c r="C976" s="62">
        <v>0.08</v>
      </c>
      <c r="D976" s="63">
        <v>0.69</v>
      </c>
      <c r="E976" s="63">
        <v>0.69</v>
      </c>
      <c r="F976" s="64" t="s">
        <v>254</v>
      </c>
      <c r="G976" s="59">
        <v>47848.0</v>
      </c>
      <c r="I976" s="37" t="s">
        <v>207</v>
      </c>
    </row>
    <row r="977">
      <c r="A977" s="37" t="s">
        <v>1571</v>
      </c>
      <c r="B977" s="37">
        <v>12259.0</v>
      </c>
      <c r="C977" s="62">
        <v>0.08</v>
      </c>
      <c r="D977" s="63">
        <v>0.69</v>
      </c>
      <c r="E977" s="63">
        <v>0.69</v>
      </c>
      <c r="F977" s="64" t="s">
        <v>254</v>
      </c>
      <c r="G977" s="59">
        <v>47848.0</v>
      </c>
      <c r="I977" s="37" t="s">
        <v>207</v>
      </c>
    </row>
    <row r="978">
      <c r="A978" s="37" t="s">
        <v>1572</v>
      </c>
      <c r="B978" s="37">
        <v>11553.0</v>
      </c>
      <c r="C978" s="62">
        <v>0.08</v>
      </c>
      <c r="D978" s="63">
        <v>0.69</v>
      </c>
      <c r="E978" s="63">
        <v>0.69</v>
      </c>
      <c r="F978" s="64" t="s">
        <v>254</v>
      </c>
      <c r="G978" s="59">
        <v>47848.0</v>
      </c>
      <c r="I978" s="37" t="s">
        <v>207</v>
      </c>
    </row>
    <row r="979">
      <c r="A979" s="37" t="s">
        <v>1573</v>
      </c>
      <c r="B979" s="45"/>
      <c r="C979" s="62">
        <v>0.08</v>
      </c>
      <c r="D979" s="63">
        <v>0.69</v>
      </c>
      <c r="E979" s="63">
        <v>0.69</v>
      </c>
      <c r="F979" s="64" t="s">
        <v>254</v>
      </c>
      <c r="G979" s="59">
        <v>47848.0</v>
      </c>
      <c r="I979" s="37" t="s">
        <v>207</v>
      </c>
    </row>
    <row r="980">
      <c r="A980" s="37" t="s">
        <v>1574</v>
      </c>
      <c r="B980" s="37">
        <v>12277.0</v>
      </c>
      <c r="C980" s="62">
        <v>0.08</v>
      </c>
      <c r="D980" s="63">
        <v>0.69</v>
      </c>
      <c r="E980" s="63">
        <v>0.69</v>
      </c>
      <c r="F980" s="64" t="s">
        <v>254</v>
      </c>
      <c r="G980" s="59">
        <v>47848.0</v>
      </c>
      <c r="I980" s="37" t="s">
        <v>207</v>
      </c>
    </row>
    <row r="981">
      <c r="A981" s="37" t="s">
        <v>1575</v>
      </c>
      <c r="B981" s="37">
        <v>11768.0</v>
      </c>
      <c r="C981" s="62">
        <v>0.08</v>
      </c>
      <c r="D981" s="63">
        <v>0.69</v>
      </c>
      <c r="E981" s="63">
        <v>0.69</v>
      </c>
      <c r="F981" s="64" t="s">
        <v>254</v>
      </c>
      <c r="G981" s="59">
        <v>47848.0</v>
      </c>
      <c r="I981" s="37" t="s">
        <v>207</v>
      </c>
    </row>
    <row r="982">
      <c r="A982" s="37" t="s">
        <v>1576</v>
      </c>
      <c r="B982" s="45"/>
      <c r="C982" s="62">
        <v>0.08</v>
      </c>
      <c r="D982" s="63">
        <v>0.69</v>
      </c>
      <c r="E982" s="63">
        <v>0.69</v>
      </c>
      <c r="F982" s="64" t="s">
        <v>254</v>
      </c>
      <c r="G982" s="59">
        <v>47848.0</v>
      </c>
      <c r="I982" s="37" t="s">
        <v>207</v>
      </c>
    </row>
    <row r="983">
      <c r="A983" s="37" t="s">
        <v>1577</v>
      </c>
      <c r="B983" s="37">
        <v>14540.0</v>
      </c>
      <c r="C983" s="62">
        <v>0.08</v>
      </c>
      <c r="D983" s="63">
        <v>0.69</v>
      </c>
      <c r="E983" s="63">
        <v>0.69</v>
      </c>
      <c r="F983" s="64" t="s">
        <v>254</v>
      </c>
      <c r="G983" s="59">
        <v>47848.0</v>
      </c>
      <c r="I983" s="37" t="s">
        <v>207</v>
      </c>
    </row>
    <row r="984">
      <c r="A984" s="37" t="s">
        <v>1578</v>
      </c>
      <c r="B984" s="37">
        <v>9768.0</v>
      </c>
      <c r="C984" s="62">
        <v>0.08</v>
      </c>
      <c r="D984" s="63">
        <v>0.69</v>
      </c>
      <c r="E984" s="63">
        <v>0.69</v>
      </c>
      <c r="F984" s="64" t="s">
        <v>254</v>
      </c>
      <c r="G984" s="59">
        <v>47848.0</v>
      </c>
      <c r="I984" s="37" t="s">
        <v>207</v>
      </c>
    </row>
    <row r="985">
      <c r="A985" s="37" t="s">
        <v>1579</v>
      </c>
      <c r="B985" s="45"/>
      <c r="C985" s="62">
        <v>0.08</v>
      </c>
      <c r="D985" s="63">
        <v>0.69</v>
      </c>
      <c r="E985" s="63">
        <v>0.69</v>
      </c>
      <c r="F985" s="64" t="s">
        <v>254</v>
      </c>
      <c r="G985" s="59">
        <v>47848.0</v>
      </c>
      <c r="I985" s="37" t="s">
        <v>207</v>
      </c>
    </row>
    <row r="986">
      <c r="A986" s="37" t="s">
        <v>1580</v>
      </c>
      <c r="B986" s="45"/>
      <c r="C986" s="62">
        <v>0.08</v>
      </c>
      <c r="D986" s="63">
        <v>0.69</v>
      </c>
      <c r="E986" s="63">
        <v>0.69</v>
      </c>
      <c r="F986" s="64" t="s">
        <v>254</v>
      </c>
      <c r="G986" s="59">
        <v>47848.0</v>
      </c>
      <c r="I986" s="37" t="s">
        <v>207</v>
      </c>
    </row>
    <row r="987">
      <c r="A987" s="37" t="s">
        <v>1581</v>
      </c>
      <c r="B987" s="37">
        <v>7416.0</v>
      </c>
      <c r="C987" s="62">
        <v>0.08</v>
      </c>
      <c r="D987" s="63">
        <v>0.69</v>
      </c>
      <c r="E987" s="63">
        <v>0.69</v>
      </c>
      <c r="F987" s="64" t="s">
        <v>254</v>
      </c>
      <c r="G987" s="59">
        <v>47848.0</v>
      </c>
      <c r="I987" s="37" t="s">
        <v>207</v>
      </c>
    </row>
    <row r="988">
      <c r="A988" s="37" t="s">
        <v>1582</v>
      </c>
      <c r="B988" s="45"/>
      <c r="C988" s="62">
        <v>0.08</v>
      </c>
      <c r="D988" s="63">
        <v>0.69</v>
      </c>
      <c r="E988" s="63">
        <v>0.69</v>
      </c>
      <c r="F988" s="64" t="s">
        <v>254</v>
      </c>
      <c r="G988" s="59">
        <v>47848.0</v>
      </c>
      <c r="I988" s="37" t="s">
        <v>207</v>
      </c>
    </row>
    <row r="989">
      <c r="A989" s="37" t="s">
        <v>1583</v>
      </c>
      <c r="B989" s="37">
        <v>14071.0</v>
      </c>
      <c r="C989" s="62">
        <v>0.08</v>
      </c>
      <c r="D989" s="63">
        <v>0.69</v>
      </c>
      <c r="E989" s="63">
        <v>0.69</v>
      </c>
      <c r="F989" s="64" t="s">
        <v>254</v>
      </c>
      <c r="G989" s="59">
        <v>47848.0</v>
      </c>
      <c r="I989" s="37" t="s">
        <v>207</v>
      </c>
    </row>
    <row r="990">
      <c r="A990" s="37" t="s">
        <v>1584</v>
      </c>
      <c r="B990" s="37">
        <v>7416.0</v>
      </c>
      <c r="C990" s="62">
        <v>0.08</v>
      </c>
      <c r="D990" s="63">
        <v>0.69</v>
      </c>
      <c r="E990" s="63">
        <v>0.69</v>
      </c>
      <c r="F990" s="64" t="s">
        <v>254</v>
      </c>
      <c r="G990" s="59">
        <v>47848.0</v>
      </c>
      <c r="I990" s="37" t="s">
        <v>207</v>
      </c>
    </row>
    <row r="991">
      <c r="A991" s="37" t="s">
        <v>1585</v>
      </c>
      <c r="B991" s="37">
        <v>13987.0</v>
      </c>
      <c r="C991" s="62">
        <v>0.08</v>
      </c>
      <c r="D991" s="63">
        <v>0.69</v>
      </c>
      <c r="E991" s="63">
        <v>0.69</v>
      </c>
      <c r="F991" s="64" t="s">
        <v>254</v>
      </c>
      <c r="G991" s="59">
        <v>47848.0</v>
      </c>
      <c r="I991" s="37" t="s">
        <v>207</v>
      </c>
    </row>
    <row r="992">
      <c r="A992" s="37" t="s">
        <v>1586</v>
      </c>
      <c r="B992" s="45"/>
      <c r="C992" s="62">
        <v>0.08</v>
      </c>
      <c r="D992" s="63">
        <v>0.69</v>
      </c>
      <c r="E992" s="63">
        <v>0.69</v>
      </c>
      <c r="F992" s="64" t="s">
        <v>254</v>
      </c>
      <c r="G992" s="59">
        <v>47848.0</v>
      </c>
      <c r="I992" s="37" t="s">
        <v>207</v>
      </c>
    </row>
    <row r="993">
      <c r="A993" s="37" t="s">
        <v>1587</v>
      </c>
      <c r="B993" s="37">
        <v>14474.0</v>
      </c>
      <c r="C993" s="62">
        <v>0.08</v>
      </c>
      <c r="D993" s="63">
        <v>0.69</v>
      </c>
      <c r="E993" s="63">
        <v>0.69</v>
      </c>
      <c r="F993" s="64" t="s">
        <v>254</v>
      </c>
      <c r="G993" s="59">
        <v>47848.0</v>
      </c>
      <c r="I993" s="37" t="s">
        <v>207</v>
      </c>
    </row>
    <row r="994">
      <c r="A994" s="37" t="s">
        <v>1588</v>
      </c>
      <c r="B994" s="37">
        <v>13895.0</v>
      </c>
      <c r="C994" s="62">
        <v>0.08</v>
      </c>
      <c r="D994" s="63">
        <v>0.69</v>
      </c>
      <c r="E994" s="63">
        <v>0.69</v>
      </c>
      <c r="F994" s="64" t="s">
        <v>254</v>
      </c>
      <c r="G994" s="59">
        <v>47848.0</v>
      </c>
      <c r="I994" s="37" t="s">
        <v>207</v>
      </c>
    </row>
    <row r="995">
      <c r="A995" s="37" t="s">
        <v>1589</v>
      </c>
      <c r="B995" s="45"/>
      <c r="C995" s="62">
        <v>0.08</v>
      </c>
      <c r="D995" s="63">
        <v>0.69</v>
      </c>
      <c r="E995" s="63">
        <v>0.69</v>
      </c>
      <c r="F995" s="64" t="s">
        <v>254</v>
      </c>
      <c r="G995" s="59">
        <v>47848.0</v>
      </c>
      <c r="I995" s="37" t="s">
        <v>207</v>
      </c>
    </row>
    <row r="996">
      <c r="A996" s="37" t="s">
        <v>1590</v>
      </c>
      <c r="B996" s="37">
        <v>14185.0</v>
      </c>
      <c r="C996" s="62">
        <v>0.08</v>
      </c>
      <c r="D996" s="63">
        <v>0.69</v>
      </c>
      <c r="E996" s="63">
        <v>0.69</v>
      </c>
      <c r="F996" s="64" t="s">
        <v>254</v>
      </c>
      <c r="G996" s="59">
        <v>47848.0</v>
      </c>
      <c r="I996" s="37" t="s">
        <v>207</v>
      </c>
    </row>
    <row r="997">
      <c r="A997" s="37" t="s">
        <v>1591</v>
      </c>
      <c r="B997" s="37">
        <v>14771.0</v>
      </c>
      <c r="C997" s="62">
        <v>0.08</v>
      </c>
      <c r="D997" s="63">
        <v>0.69</v>
      </c>
      <c r="E997" s="63">
        <v>0.69</v>
      </c>
      <c r="F997" s="64" t="s">
        <v>254</v>
      </c>
      <c r="G997" s="59">
        <v>47848.0</v>
      </c>
      <c r="I997" s="37" t="s">
        <v>207</v>
      </c>
    </row>
    <row r="998">
      <c r="A998" s="37" t="s">
        <v>1592</v>
      </c>
      <c r="B998" s="37">
        <v>14031.0</v>
      </c>
      <c r="C998" s="62">
        <v>0.08</v>
      </c>
      <c r="D998" s="63">
        <v>0.69</v>
      </c>
      <c r="E998" s="63">
        <v>0.69</v>
      </c>
      <c r="F998" s="64" t="s">
        <v>254</v>
      </c>
      <c r="G998" s="59">
        <v>47848.0</v>
      </c>
      <c r="I998" s="37" t="s">
        <v>207</v>
      </c>
    </row>
    <row r="999">
      <c r="A999" s="37" t="s">
        <v>1593</v>
      </c>
      <c r="B999" s="45"/>
      <c r="C999" s="62">
        <v>0.08</v>
      </c>
      <c r="D999" s="63">
        <v>0.69</v>
      </c>
      <c r="E999" s="63">
        <v>0.69</v>
      </c>
      <c r="F999" s="64" t="s">
        <v>254</v>
      </c>
      <c r="G999" s="59">
        <v>47848.0</v>
      </c>
      <c r="I999" s="37" t="s">
        <v>207</v>
      </c>
    </row>
    <row r="1000">
      <c r="A1000" s="37" t="s">
        <v>1594</v>
      </c>
      <c r="B1000" s="37">
        <v>13988.0</v>
      </c>
      <c r="C1000" s="62">
        <v>0.08</v>
      </c>
      <c r="D1000" s="63">
        <v>0.69</v>
      </c>
      <c r="E1000" s="63">
        <v>0.69</v>
      </c>
      <c r="F1000" s="64" t="s">
        <v>254</v>
      </c>
      <c r="G1000" s="59">
        <v>47848.0</v>
      </c>
      <c r="I1000" s="37" t="s">
        <v>207</v>
      </c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9.88"/>
    <col customWidth="1" min="3" max="3" width="19.25"/>
  </cols>
  <sheetData>
    <row r="1">
      <c r="A1" s="11" t="s">
        <v>1</v>
      </c>
      <c r="B1" s="11" t="s">
        <v>1595</v>
      </c>
      <c r="C1" s="11" t="s">
        <v>1596</v>
      </c>
      <c r="D1" s="11" t="s">
        <v>1597</v>
      </c>
    </row>
    <row r="2">
      <c r="A2" s="11">
        <v>14663.0</v>
      </c>
      <c r="B2" s="87" t="s">
        <v>1598</v>
      </c>
      <c r="C2" s="49" t="s">
        <v>1599</v>
      </c>
      <c r="D2" s="11" t="s">
        <v>1600</v>
      </c>
    </row>
    <row r="3">
      <c r="A3" s="11">
        <v>14594.0</v>
      </c>
      <c r="B3" s="11" t="s">
        <v>1601</v>
      </c>
      <c r="C3" s="48" t="s">
        <v>1602</v>
      </c>
      <c r="D3" s="11" t="s">
        <v>1600</v>
      </c>
    </row>
    <row r="4">
      <c r="A4" s="11">
        <v>14594.0</v>
      </c>
      <c r="B4" s="11" t="s">
        <v>1603</v>
      </c>
      <c r="C4" s="48" t="s">
        <v>1604</v>
      </c>
      <c r="D4" s="11" t="s">
        <v>1605</v>
      </c>
    </row>
    <row r="5">
      <c r="A5" s="11">
        <v>7847.0</v>
      </c>
      <c r="B5" s="11" t="s">
        <v>1606</v>
      </c>
      <c r="C5" s="48" t="s">
        <v>1607</v>
      </c>
      <c r="D5" s="11" t="s">
        <v>1600</v>
      </c>
    </row>
    <row r="6">
      <c r="A6" s="11">
        <v>5356.0</v>
      </c>
      <c r="B6" s="11" t="s">
        <v>1608</v>
      </c>
      <c r="C6" s="48" t="s">
        <v>1609</v>
      </c>
      <c r="D6" s="11" t="s">
        <v>1600</v>
      </c>
    </row>
    <row r="7">
      <c r="A7" s="11">
        <v>5356.0</v>
      </c>
      <c r="B7" s="11" t="s">
        <v>1610</v>
      </c>
      <c r="C7" s="48" t="s">
        <v>1611</v>
      </c>
      <c r="D7" s="11" t="s">
        <v>1605</v>
      </c>
    </row>
    <row r="8">
      <c r="A8" s="11">
        <v>6658.0</v>
      </c>
      <c r="B8" s="88" t="s">
        <v>1612</v>
      </c>
      <c r="C8" s="49" t="s">
        <v>1613</v>
      </c>
      <c r="D8" s="11" t="s">
        <v>1600</v>
      </c>
    </row>
    <row r="9">
      <c r="A9" s="11">
        <v>6658.0</v>
      </c>
      <c r="B9" s="88" t="s">
        <v>1614</v>
      </c>
      <c r="C9" s="49" t="s">
        <v>1615</v>
      </c>
      <c r="D9" s="11" t="s">
        <v>1605</v>
      </c>
    </row>
    <row r="10">
      <c r="A10" s="11">
        <v>6829.0</v>
      </c>
      <c r="B10" s="11" t="s">
        <v>1616</v>
      </c>
      <c r="C10" s="48" t="s">
        <v>1617</v>
      </c>
      <c r="D10" s="11" t="s">
        <v>1600</v>
      </c>
    </row>
    <row r="11">
      <c r="A11" s="11">
        <v>6132.0</v>
      </c>
      <c r="B11" s="11" t="s">
        <v>1618</v>
      </c>
      <c r="C11" s="48" t="s">
        <v>1619</v>
      </c>
      <c r="D11" s="11" t="s">
        <v>1600</v>
      </c>
    </row>
    <row r="12">
      <c r="A12" s="11">
        <v>3607.0</v>
      </c>
      <c r="B12" s="11" t="s">
        <v>1620</v>
      </c>
      <c r="C12" s="48" t="s">
        <v>1621</v>
      </c>
      <c r="D12" s="11" t="s">
        <v>1600</v>
      </c>
    </row>
    <row r="13">
      <c r="A13" s="11">
        <v>6767.0</v>
      </c>
      <c r="B13" s="11" t="s">
        <v>1622</v>
      </c>
      <c r="C13" s="48" t="s">
        <v>1623</v>
      </c>
      <c r="D13" s="11" t="s">
        <v>1600</v>
      </c>
    </row>
    <row r="14">
      <c r="A14" s="11">
        <v>14638.0</v>
      </c>
      <c r="B14" s="11" t="s">
        <v>1624</v>
      </c>
      <c r="C14" s="48" t="s">
        <v>1625</v>
      </c>
      <c r="D14" s="11" t="s">
        <v>1600</v>
      </c>
    </row>
    <row r="15">
      <c r="A15" s="11">
        <v>7100.0</v>
      </c>
      <c r="B15" s="11" t="s">
        <v>1626</v>
      </c>
      <c r="C15" s="48" t="s">
        <v>1627</v>
      </c>
      <c r="D15" s="11" t="s">
        <v>1600</v>
      </c>
    </row>
    <row r="16">
      <c r="A16" s="11">
        <v>7229.0</v>
      </c>
      <c r="B16" s="11" t="s">
        <v>1628</v>
      </c>
      <c r="C16" s="48" t="s">
        <v>1629</v>
      </c>
      <c r="D16" s="11" t="s">
        <v>1600</v>
      </c>
    </row>
    <row r="17">
      <c r="A17" s="11">
        <v>7073.0</v>
      </c>
      <c r="B17" s="11" t="s">
        <v>1630</v>
      </c>
      <c r="C17" s="48" t="s">
        <v>1631</v>
      </c>
      <c r="D17" s="11" t="s">
        <v>1600</v>
      </c>
    </row>
    <row r="18">
      <c r="A18" s="11">
        <v>7073.0</v>
      </c>
      <c r="B18" s="11" t="s">
        <v>1632</v>
      </c>
      <c r="C18" s="48" t="s">
        <v>1633</v>
      </c>
      <c r="D18" s="11" t="s">
        <v>1605</v>
      </c>
    </row>
    <row r="19">
      <c r="A19" s="11">
        <v>7157.0</v>
      </c>
      <c r="B19" s="11" t="s">
        <v>1634</v>
      </c>
      <c r="C19" s="48" t="s">
        <v>1635</v>
      </c>
      <c r="D19" s="11" t="s">
        <v>1600</v>
      </c>
    </row>
    <row r="20">
      <c r="A20" s="11">
        <v>663.0</v>
      </c>
      <c r="B20" s="11" t="s">
        <v>1636</v>
      </c>
      <c r="C20" s="48" t="s">
        <v>1637</v>
      </c>
      <c r="D20" s="11" t="s">
        <v>1600</v>
      </c>
    </row>
    <row r="21">
      <c r="A21" s="11">
        <v>663.0</v>
      </c>
      <c r="B21" s="11" t="s">
        <v>1638</v>
      </c>
      <c r="C21" s="48" t="s">
        <v>1639</v>
      </c>
      <c r="D21" s="11" t="s">
        <v>1605</v>
      </c>
    </row>
    <row r="22">
      <c r="A22" s="11">
        <v>6875.0</v>
      </c>
      <c r="B22" s="11" t="s">
        <v>1640</v>
      </c>
      <c r="C22" s="49" t="s">
        <v>1641</v>
      </c>
      <c r="D22" s="11" t="s">
        <v>1600</v>
      </c>
    </row>
    <row r="23">
      <c r="A23" s="11">
        <v>7083.0</v>
      </c>
      <c r="B23" s="11" t="s">
        <v>1642</v>
      </c>
      <c r="C23" s="48" t="s">
        <v>1643</v>
      </c>
      <c r="D23" s="11" t="s">
        <v>1600</v>
      </c>
    </row>
    <row r="24">
      <c r="A24" s="11">
        <v>6947.0</v>
      </c>
      <c r="B24" s="11" t="s">
        <v>1644</v>
      </c>
      <c r="C24" s="48" t="s">
        <v>1645</v>
      </c>
      <c r="D24" s="11" t="s">
        <v>1600</v>
      </c>
    </row>
    <row r="25">
      <c r="A25" s="11">
        <v>14525.0</v>
      </c>
      <c r="B25" s="11" t="s">
        <v>1646</v>
      </c>
      <c r="C25" s="48" t="s">
        <v>1647</v>
      </c>
      <c r="D25" s="11" t="s">
        <v>1600</v>
      </c>
    </row>
    <row r="26">
      <c r="A26" s="11">
        <v>12932.0</v>
      </c>
      <c r="B26" s="11" t="s">
        <v>1648</v>
      </c>
      <c r="C26" s="48" t="s">
        <v>1649</v>
      </c>
      <c r="D26" s="11" t="s">
        <v>1600</v>
      </c>
    </row>
    <row r="27">
      <c r="A27" s="89">
        <v>8483.0</v>
      </c>
      <c r="D27" s="11" t="s">
        <v>1600</v>
      </c>
      <c r="E27" s="11" t="s">
        <v>207</v>
      </c>
    </row>
    <row r="28">
      <c r="A28" s="11">
        <v>6726.0</v>
      </c>
      <c r="B28" s="11" t="s">
        <v>1650</v>
      </c>
      <c r="C28" s="49" t="s">
        <v>1651</v>
      </c>
      <c r="D28" s="11" t="s">
        <v>1605</v>
      </c>
    </row>
    <row r="29">
      <c r="A29" s="11">
        <v>6726.0</v>
      </c>
      <c r="B29" s="11" t="s">
        <v>1650</v>
      </c>
      <c r="C29" s="48" t="s">
        <v>1652</v>
      </c>
      <c r="D29" s="11" t="s">
        <v>1653</v>
      </c>
    </row>
  </sheetData>
  <hyperlinks>
    <hyperlink r:id="rId2" ref="C2"/>
    <hyperlink r:id="rId3" ref="C3"/>
    <hyperlink r:id="rId4" ref="C4"/>
    <hyperlink r:id="rId5" ref="C5"/>
    <hyperlink r:id="rId6" ref="C6"/>
    <hyperlink r:id="rId7" ref="C7"/>
    <hyperlink r:id="rId8" ref="C8"/>
    <hyperlink r:id="rId9" ref="C9"/>
    <hyperlink r:id="rId10" ref="C10"/>
    <hyperlink r:id="rId11" ref="C11"/>
    <hyperlink r:id="rId12" ref="C12"/>
    <hyperlink r:id="rId13" ref="C13"/>
    <hyperlink r:id="rId14" ref="C14"/>
    <hyperlink r:id="rId15" ref="C15"/>
    <hyperlink r:id="rId16" ref="C16"/>
    <hyperlink r:id="rId17" ref="C17"/>
    <hyperlink r:id="rId18" ref="C18"/>
    <hyperlink r:id="rId19" ref="C19"/>
    <hyperlink r:id="rId20" ref="C20"/>
    <hyperlink r:id="rId21" ref="C21"/>
    <hyperlink r:id="rId22" ref="C22"/>
    <hyperlink r:id="rId23" ref="C23"/>
    <hyperlink r:id="rId24" ref="C24"/>
    <hyperlink r:id="rId25" ref="C25"/>
    <hyperlink r:id="rId26" ref="C26"/>
    <hyperlink r:id="rId27" ref="C28"/>
    <hyperlink r:id="rId28" ref="C29"/>
  </hyperlinks>
  <drawing r:id="rId29"/>
  <legacyDrawing r:id="rId30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20.5"/>
    <col customWidth="1" min="4" max="4" width="16.88"/>
    <col customWidth="1" min="5" max="5" width="26.13"/>
    <col hidden="1" min="14" max="16" width="12.63"/>
  </cols>
  <sheetData>
    <row r="1">
      <c r="A1" s="90" t="s">
        <v>44</v>
      </c>
      <c r="B1" s="91" t="s">
        <v>1</v>
      </c>
      <c r="C1" s="19" t="s">
        <v>246</v>
      </c>
      <c r="D1" s="55" t="s">
        <v>248</v>
      </c>
      <c r="E1" s="58" t="s">
        <v>249</v>
      </c>
      <c r="F1" s="58" t="s">
        <v>250</v>
      </c>
      <c r="G1" s="11" t="s">
        <v>251</v>
      </c>
      <c r="N1" s="92" t="s">
        <v>1654</v>
      </c>
      <c r="O1" s="92" t="s">
        <v>1</v>
      </c>
    </row>
    <row r="2">
      <c r="A2" s="93" t="s">
        <v>1655</v>
      </c>
      <c r="B2" s="93">
        <v>6706.0</v>
      </c>
      <c r="C2" s="94">
        <v>0.1</v>
      </c>
      <c r="D2" s="95">
        <v>0.75</v>
      </c>
      <c r="E2" s="95">
        <v>0.75</v>
      </c>
      <c r="F2" s="64" t="s">
        <v>1656</v>
      </c>
      <c r="G2" s="96">
        <v>46022.0</v>
      </c>
      <c r="N2" s="97" t="s">
        <v>1655</v>
      </c>
      <c r="O2" s="97">
        <v>6706.0</v>
      </c>
    </row>
    <row r="3">
      <c r="A3" s="25" t="s">
        <v>1657</v>
      </c>
      <c r="B3" s="25">
        <v>3607.0</v>
      </c>
      <c r="C3" s="94">
        <v>0.1</v>
      </c>
      <c r="D3" s="95">
        <v>0.75</v>
      </c>
      <c r="E3" s="95">
        <v>0.75</v>
      </c>
      <c r="F3" s="64" t="s">
        <v>1656</v>
      </c>
      <c r="G3" s="96">
        <v>46022.0</v>
      </c>
      <c r="N3" s="98" t="s">
        <v>1657</v>
      </c>
      <c r="O3" s="98">
        <v>189.0</v>
      </c>
      <c r="P3" s="36"/>
    </row>
    <row r="4">
      <c r="A4" s="25" t="s">
        <v>1658</v>
      </c>
      <c r="B4" s="25">
        <v>2345.0</v>
      </c>
      <c r="C4" s="94">
        <v>0.1</v>
      </c>
      <c r="D4" s="99">
        <v>0.9</v>
      </c>
      <c r="E4" s="100">
        <v>0.9</v>
      </c>
      <c r="F4" s="64" t="s">
        <v>1656</v>
      </c>
      <c r="G4" s="96">
        <v>46022.0</v>
      </c>
      <c r="N4" s="97" t="s">
        <v>1658</v>
      </c>
      <c r="O4" s="97">
        <v>2345.0</v>
      </c>
      <c r="P4" s="97">
        <v>7183.0</v>
      </c>
    </row>
    <row r="5">
      <c r="A5" s="25" t="s">
        <v>1659</v>
      </c>
      <c r="B5" s="25">
        <v>14516.0</v>
      </c>
      <c r="C5" s="94">
        <v>0.1</v>
      </c>
      <c r="D5" s="95">
        <v>0.75</v>
      </c>
      <c r="E5" s="95">
        <v>0.75</v>
      </c>
      <c r="F5" s="64" t="s">
        <v>1656</v>
      </c>
      <c r="G5" s="96">
        <v>46022.0</v>
      </c>
      <c r="N5" s="98" t="s">
        <v>1659</v>
      </c>
      <c r="O5" s="98">
        <v>2345.0</v>
      </c>
      <c r="P5" s="98">
        <v>7023.0</v>
      </c>
    </row>
    <row r="6">
      <c r="A6" s="25" t="s">
        <v>1660</v>
      </c>
      <c r="B6" s="25">
        <v>2345.0</v>
      </c>
      <c r="C6" s="94">
        <v>0.1</v>
      </c>
      <c r="D6" s="99">
        <v>0.9</v>
      </c>
      <c r="E6" s="100">
        <v>0.9</v>
      </c>
      <c r="F6" s="64" t="s">
        <v>1656</v>
      </c>
      <c r="G6" s="96">
        <v>46022.0</v>
      </c>
      <c r="N6" s="97" t="s">
        <v>1660</v>
      </c>
      <c r="O6" s="97">
        <v>2345.0</v>
      </c>
      <c r="P6" s="97">
        <v>663.0</v>
      </c>
    </row>
    <row r="7">
      <c r="A7" s="101" t="s">
        <v>1661</v>
      </c>
      <c r="B7" s="25">
        <v>3307.0</v>
      </c>
      <c r="C7" s="94">
        <v>0.1</v>
      </c>
      <c r="D7" s="95">
        <v>0.75</v>
      </c>
      <c r="E7" s="95">
        <v>0.75</v>
      </c>
      <c r="F7" s="64" t="s">
        <v>1656</v>
      </c>
      <c r="G7" s="96">
        <v>46022.0</v>
      </c>
      <c r="N7" s="102" t="s">
        <v>1661</v>
      </c>
      <c r="O7" s="98">
        <v>2345.0</v>
      </c>
      <c r="P7" s="98">
        <v>7186.0</v>
      </c>
    </row>
    <row r="8">
      <c r="A8" s="101" t="s">
        <v>1662</v>
      </c>
      <c r="B8" s="25">
        <v>2345.0</v>
      </c>
      <c r="C8" s="94">
        <v>0.1</v>
      </c>
      <c r="D8" s="76">
        <v>0.9</v>
      </c>
      <c r="E8" s="103">
        <v>0.9</v>
      </c>
      <c r="F8" s="64" t="s">
        <v>1656</v>
      </c>
      <c r="G8" s="96">
        <v>46022.0</v>
      </c>
      <c r="N8" s="104" t="s">
        <v>1662</v>
      </c>
      <c r="O8" s="97">
        <v>2345.0</v>
      </c>
      <c r="P8" s="97">
        <v>8199.0</v>
      </c>
    </row>
    <row r="9">
      <c r="A9" s="25" t="s">
        <v>1663</v>
      </c>
      <c r="B9" s="25">
        <v>2345.0</v>
      </c>
      <c r="C9" s="94">
        <v>0.1</v>
      </c>
      <c r="D9" s="76">
        <v>0.9</v>
      </c>
      <c r="E9" s="77">
        <v>0.9</v>
      </c>
      <c r="F9" s="64" t="s">
        <v>1656</v>
      </c>
      <c r="G9" s="96">
        <v>46022.0</v>
      </c>
      <c r="N9" s="97" t="s">
        <v>1663</v>
      </c>
      <c r="O9" s="97">
        <v>2345.0</v>
      </c>
      <c r="P9" s="97">
        <v>7100.0</v>
      </c>
    </row>
    <row r="10">
      <c r="A10" s="25" t="s">
        <v>1664</v>
      </c>
      <c r="B10" s="25">
        <v>6675.0</v>
      </c>
      <c r="C10" s="94">
        <v>0.1</v>
      </c>
      <c r="D10" s="74">
        <v>0.8</v>
      </c>
      <c r="E10" s="75">
        <v>0.8</v>
      </c>
      <c r="F10" s="64" t="s">
        <v>1656</v>
      </c>
      <c r="G10" s="96">
        <v>46022.0</v>
      </c>
      <c r="N10" s="97" t="s">
        <v>1664</v>
      </c>
      <c r="O10" s="97">
        <v>6675.0</v>
      </c>
      <c r="P10" s="97">
        <v>6675.0</v>
      </c>
    </row>
    <row r="11">
      <c r="A11" s="25" t="s">
        <v>1665</v>
      </c>
      <c r="B11" s="25">
        <v>7142.0</v>
      </c>
      <c r="C11" s="94">
        <v>0.1</v>
      </c>
      <c r="D11" s="95">
        <v>0.75</v>
      </c>
      <c r="E11" s="95">
        <v>0.75</v>
      </c>
      <c r="F11" s="64" t="s">
        <v>1656</v>
      </c>
      <c r="G11" s="96">
        <v>46022.0</v>
      </c>
      <c r="N11" s="97" t="s">
        <v>1665</v>
      </c>
      <c r="O11" s="97">
        <v>7142.0</v>
      </c>
      <c r="P11" s="97">
        <v>7142.0</v>
      </c>
    </row>
    <row r="12">
      <c r="A12" s="25" t="s">
        <v>1666</v>
      </c>
      <c r="B12" s="25">
        <v>2345.0</v>
      </c>
      <c r="C12" s="94">
        <v>0.1</v>
      </c>
      <c r="D12" s="76">
        <v>0.9</v>
      </c>
      <c r="E12" s="77">
        <v>0.9</v>
      </c>
      <c r="F12" s="64" t="s">
        <v>1656</v>
      </c>
      <c r="G12" s="96">
        <v>46022.0</v>
      </c>
      <c r="N12" s="97" t="s">
        <v>1666</v>
      </c>
      <c r="O12" s="97">
        <v>2345.0</v>
      </c>
      <c r="P12" s="97">
        <v>8199.0</v>
      </c>
    </row>
    <row r="13">
      <c r="A13" s="25" t="s">
        <v>1667</v>
      </c>
      <c r="B13" s="25">
        <v>5125.0</v>
      </c>
      <c r="C13" s="94">
        <v>0.1</v>
      </c>
      <c r="D13" s="95">
        <v>0.75</v>
      </c>
      <c r="E13" s="95">
        <v>0.75</v>
      </c>
      <c r="F13" s="64" t="s">
        <v>1656</v>
      </c>
      <c r="G13" s="96">
        <v>46022.0</v>
      </c>
      <c r="N13" s="97" t="s">
        <v>1667</v>
      </c>
      <c r="O13" s="97">
        <v>5125.0</v>
      </c>
      <c r="P13" s="97">
        <v>6132.0</v>
      </c>
    </row>
    <row r="14">
      <c r="A14" s="25" t="s">
        <v>1668</v>
      </c>
      <c r="B14" s="25">
        <v>986.0</v>
      </c>
      <c r="C14" s="94">
        <v>0.1</v>
      </c>
      <c r="D14" s="74">
        <v>0.8</v>
      </c>
      <c r="E14" s="105">
        <v>0.8</v>
      </c>
      <c r="F14" s="64" t="s">
        <v>1656</v>
      </c>
      <c r="G14" s="96">
        <v>46022.0</v>
      </c>
      <c r="N14" s="97" t="s">
        <v>1668</v>
      </c>
      <c r="O14" s="97">
        <v>986.0</v>
      </c>
      <c r="P14" s="97">
        <v>930.0</v>
      </c>
    </row>
    <row r="15">
      <c r="A15" s="25" t="s">
        <v>1669</v>
      </c>
      <c r="B15" s="25">
        <v>14575.0</v>
      </c>
      <c r="C15" s="94">
        <v>0.1</v>
      </c>
      <c r="D15" s="76">
        <v>0.85</v>
      </c>
      <c r="E15" s="77">
        <v>0.85</v>
      </c>
      <c r="F15" s="64" t="s">
        <v>1656</v>
      </c>
      <c r="G15" s="96">
        <v>46022.0</v>
      </c>
      <c r="N15" s="97" t="s">
        <v>1669</v>
      </c>
      <c r="O15" s="97">
        <v>986.0</v>
      </c>
      <c r="P15" s="97">
        <v>7168.0</v>
      </c>
    </row>
    <row r="16">
      <c r="A16" s="106" t="s">
        <v>1670</v>
      </c>
      <c r="B16" s="106">
        <v>2345.0</v>
      </c>
      <c r="C16" s="94">
        <v>0.1</v>
      </c>
      <c r="D16" s="76">
        <v>0.9</v>
      </c>
      <c r="E16" s="77">
        <v>0.9</v>
      </c>
      <c r="F16" s="64" t="s">
        <v>1656</v>
      </c>
      <c r="G16" s="96">
        <v>46022.0</v>
      </c>
      <c r="N16" s="97" t="s">
        <v>1670</v>
      </c>
      <c r="O16" s="97">
        <v>2345.0</v>
      </c>
      <c r="P16" s="97">
        <v>7023.0</v>
      </c>
    </row>
    <row r="17">
      <c r="A17" s="25" t="s">
        <v>1671</v>
      </c>
      <c r="B17" s="25">
        <v>2345.0</v>
      </c>
      <c r="C17" s="94">
        <v>0.1</v>
      </c>
      <c r="D17" s="76">
        <v>0.9</v>
      </c>
      <c r="E17" s="77">
        <v>0.9</v>
      </c>
      <c r="F17" s="64" t="s">
        <v>1656</v>
      </c>
      <c r="G17" s="96">
        <v>46022.0</v>
      </c>
      <c r="N17" s="97" t="s">
        <v>1671</v>
      </c>
      <c r="O17" s="97">
        <v>2345.0</v>
      </c>
      <c r="P17" s="97">
        <v>7619.0</v>
      </c>
    </row>
    <row r="18">
      <c r="A18" s="25" t="s">
        <v>1672</v>
      </c>
      <c r="B18" s="25">
        <v>8199.0</v>
      </c>
      <c r="C18" s="94">
        <v>0.1</v>
      </c>
      <c r="D18" s="95">
        <v>0.75</v>
      </c>
      <c r="E18" s="95">
        <v>0.75</v>
      </c>
      <c r="F18" s="64" t="s">
        <v>1656</v>
      </c>
      <c r="G18" s="96">
        <v>46022.0</v>
      </c>
      <c r="N18" s="98" t="s">
        <v>1672</v>
      </c>
      <c r="O18" s="98">
        <v>8199.0</v>
      </c>
      <c r="P18" s="98">
        <v>6772.0</v>
      </c>
    </row>
    <row r="19">
      <c r="A19" s="25" t="s">
        <v>1673</v>
      </c>
      <c r="B19" s="25">
        <v>10393.0</v>
      </c>
      <c r="C19" s="94">
        <v>0.1</v>
      </c>
      <c r="D19" s="95">
        <v>0.75</v>
      </c>
      <c r="E19" s="95">
        <v>0.75</v>
      </c>
      <c r="F19" s="64" t="s">
        <v>1656</v>
      </c>
      <c r="G19" s="96">
        <v>46022.0</v>
      </c>
      <c r="N19" s="97" t="s">
        <v>1673</v>
      </c>
      <c r="O19" s="97">
        <v>10393.0</v>
      </c>
      <c r="P19" s="97">
        <v>7033.0</v>
      </c>
    </row>
    <row r="20">
      <c r="A20" s="25" t="s">
        <v>1674</v>
      </c>
      <c r="B20" s="25">
        <v>986.0</v>
      </c>
      <c r="C20" s="94">
        <v>0.1</v>
      </c>
      <c r="D20" s="74">
        <v>0.8</v>
      </c>
      <c r="E20" s="75">
        <v>0.8</v>
      </c>
      <c r="F20" s="64" t="s">
        <v>1656</v>
      </c>
      <c r="G20" s="96">
        <v>46022.0</v>
      </c>
      <c r="N20" s="97" t="s">
        <v>1674</v>
      </c>
      <c r="O20" s="97">
        <v>986.0</v>
      </c>
      <c r="P20" s="97">
        <v>3616.0</v>
      </c>
    </row>
    <row r="21">
      <c r="A21" s="25" t="s">
        <v>1675</v>
      </c>
      <c r="B21" s="25">
        <v>2345.0</v>
      </c>
      <c r="C21" s="94">
        <v>0.1</v>
      </c>
      <c r="D21" s="76">
        <v>0.9</v>
      </c>
      <c r="E21" s="77">
        <v>0.9</v>
      </c>
      <c r="F21" s="64" t="s">
        <v>1656</v>
      </c>
      <c r="G21" s="96">
        <v>46022.0</v>
      </c>
      <c r="N21" s="97" t="s">
        <v>1675</v>
      </c>
      <c r="O21" s="97">
        <v>2345.0</v>
      </c>
      <c r="P21" s="97">
        <v>7010.0</v>
      </c>
    </row>
    <row r="22">
      <c r="A22" s="25" t="s">
        <v>1676</v>
      </c>
      <c r="B22" s="25">
        <v>2345.0</v>
      </c>
      <c r="C22" s="94">
        <v>0.1</v>
      </c>
      <c r="D22" s="76">
        <v>0.9</v>
      </c>
      <c r="E22" s="77">
        <v>0.9</v>
      </c>
      <c r="F22" s="64" t="s">
        <v>1656</v>
      </c>
      <c r="G22" s="96">
        <v>46022.0</v>
      </c>
      <c r="N22" s="97" t="s">
        <v>1676</v>
      </c>
      <c r="O22" s="97">
        <v>2345.0</v>
      </c>
      <c r="P22" s="97">
        <v>7157.0</v>
      </c>
    </row>
    <row r="23">
      <c r="A23" s="25" t="s">
        <v>1677</v>
      </c>
      <c r="B23" s="25">
        <v>2345.0</v>
      </c>
      <c r="C23" s="94">
        <v>0.1</v>
      </c>
      <c r="D23" s="76">
        <v>0.9</v>
      </c>
      <c r="E23" s="77">
        <v>0.9</v>
      </c>
      <c r="F23" s="64" t="s">
        <v>1656</v>
      </c>
      <c r="G23" s="96">
        <v>46022.0</v>
      </c>
      <c r="N23" s="97" t="s">
        <v>1677</v>
      </c>
      <c r="O23" s="97">
        <v>2345.0</v>
      </c>
      <c r="P23" s="97">
        <v>6671.0</v>
      </c>
    </row>
    <row r="24">
      <c r="A24" s="25" t="s">
        <v>1678</v>
      </c>
      <c r="B24" s="25">
        <v>2345.0</v>
      </c>
      <c r="C24" s="94">
        <v>0.1</v>
      </c>
      <c r="D24" s="76">
        <v>0.9</v>
      </c>
      <c r="E24" s="77">
        <v>0.9</v>
      </c>
      <c r="F24" s="64" t="s">
        <v>1656</v>
      </c>
      <c r="G24" s="96">
        <v>46022.0</v>
      </c>
      <c r="N24" s="97" t="s">
        <v>1678</v>
      </c>
      <c r="O24" s="97">
        <v>2345.0</v>
      </c>
      <c r="P24" s="97">
        <v>7031.0</v>
      </c>
    </row>
    <row r="25">
      <c r="A25" s="25" t="s">
        <v>1679</v>
      </c>
      <c r="B25" s="25">
        <v>6887.0</v>
      </c>
      <c r="C25" s="94">
        <v>0.1</v>
      </c>
      <c r="D25" s="95">
        <v>0.75</v>
      </c>
      <c r="E25" s="95">
        <v>0.75</v>
      </c>
      <c r="F25" s="64" t="s">
        <v>1656</v>
      </c>
      <c r="G25" s="96">
        <v>46022.0</v>
      </c>
      <c r="N25" s="98" t="s">
        <v>1679</v>
      </c>
      <c r="O25" s="98">
        <v>5421.0</v>
      </c>
      <c r="P25" s="98">
        <v>4933.0</v>
      </c>
    </row>
    <row r="26">
      <c r="A26" s="25" t="s">
        <v>1680</v>
      </c>
      <c r="B26" s="25">
        <v>5421.0</v>
      </c>
      <c r="C26" s="94">
        <v>0.1</v>
      </c>
      <c r="D26" s="95">
        <v>0.75</v>
      </c>
      <c r="E26" s="95">
        <v>0.75</v>
      </c>
      <c r="F26" s="64" t="s">
        <v>1656</v>
      </c>
      <c r="G26" s="96">
        <v>46022.0</v>
      </c>
      <c r="N26" s="107" t="s">
        <v>1680</v>
      </c>
      <c r="O26" s="97">
        <v>5421.0</v>
      </c>
      <c r="P26" s="97">
        <v>4933.0</v>
      </c>
    </row>
    <row r="27">
      <c r="A27" s="25" t="s">
        <v>1681</v>
      </c>
      <c r="B27" s="25">
        <v>8002.0</v>
      </c>
      <c r="C27" s="94">
        <v>0.1</v>
      </c>
      <c r="D27" s="95">
        <v>0.75</v>
      </c>
      <c r="E27" s="95">
        <v>0.75</v>
      </c>
      <c r="F27" s="64" t="s">
        <v>1656</v>
      </c>
      <c r="G27" s="96">
        <v>46022.0</v>
      </c>
      <c r="N27" s="98" t="s">
        <v>1681</v>
      </c>
      <c r="O27" s="98">
        <v>5421.0</v>
      </c>
      <c r="P27" s="98">
        <v>4933.0</v>
      </c>
    </row>
    <row r="28">
      <c r="A28" s="25" t="s">
        <v>1682</v>
      </c>
      <c r="B28" s="25">
        <v>5421.0</v>
      </c>
      <c r="C28" s="94">
        <v>0.1</v>
      </c>
      <c r="D28" s="95">
        <v>0.75</v>
      </c>
      <c r="E28" s="95">
        <v>0.75</v>
      </c>
      <c r="F28" s="64" t="s">
        <v>1656</v>
      </c>
      <c r="G28" s="96">
        <v>46022.0</v>
      </c>
      <c r="N28" s="97" t="s">
        <v>1682</v>
      </c>
      <c r="O28" s="97">
        <v>5421.0</v>
      </c>
      <c r="P28" s="97">
        <v>4933.0</v>
      </c>
    </row>
    <row r="29">
      <c r="A29" s="25" t="s">
        <v>1683</v>
      </c>
      <c r="B29" s="25">
        <v>6875.0</v>
      </c>
      <c r="C29" s="94">
        <v>0.1</v>
      </c>
      <c r="D29" s="95">
        <v>0.75</v>
      </c>
      <c r="E29" s="95">
        <v>0.75</v>
      </c>
      <c r="F29" s="64" t="s">
        <v>1656</v>
      </c>
      <c r="G29" s="96">
        <v>46022.0</v>
      </c>
      <c r="N29" s="97" t="s">
        <v>1683</v>
      </c>
      <c r="O29" s="97">
        <v>6875.0</v>
      </c>
    </row>
    <row r="30">
      <c r="A30" s="25" t="s">
        <v>1684</v>
      </c>
      <c r="B30" s="25">
        <v>5458.0</v>
      </c>
      <c r="C30" s="94">
        <v>0.1</v>
      </c>
      <c r="D30" s="95">
        <v>0.75</v>
      </c>
      <c r="E30" s="95">
        <v>0.75</v>
      </c>
      <c r="F30" s="64" t="s">
        <v>1656</v>
      </c>
      <c r="G30" s="96">
        <v>46022.0</v>
      </c>
      <c r="N30" s="97" t="s">
        <v>1684</v>
      </c>
      <c r="O30" s="11">
        <v>5458.0</v>
      </c>
    </row>
    <row r="31">
      <c r="A31" s="25" t="s">
        <v>1685</v>
      </c>
      <c r="B31" s="25">
        <v>14505.0</v>
      </c>
      <c r="C31" s="94">
        <v>0.1</v>
      </c>
      <c r="D31" s="95">
        <v>0.75</v>
      </c>
      <c r="E31" s="95">
        <v>0.75</v>
      </c>
      <c r="F31" s="64" t="s">
        <v>1656</v>
      </c>
      <c r="G31" s="96">
        <v>46022.0</v>
      </c>
      <c r="N31" s="98" t="s">
        <v>1685</v>
      </c>
      <c r="O31" s="35">
        <v>5458.0</v>
      </c>
      <c r="P31" s="36"/>
    </row>
    <row r="32">
      <c r="A32" s="25" t="s">
        <v>1686</v>
      </c>
      <c r="B32" s="25">
        <v>8486.0</v>
      </c>
      <c r="C32" s="94">
        <v>0.1</v>
      </c>
      <c r="D32" s="83">
        <v>0.85</v>
      </c>
      <c r="E32" s="77">
        <v>0.85</v>
      </c>
      <c r="F32" s="64" t="s">
        <v>1656</v>
      </c>
      <c r="G32" s="96">
        <v>46022.0</v>
      </c>
      <c r="N32" s="97" t="s">
        <v>1686</v>
      </c>
      <c r="O32" s="11">
        <v>8486.0</v>
      </c>
    </row>
    <row r="33">
      <c r="A33" s="25" t="s">
        <v>1687</v>
      </c>
      <c r="B33" s="25">
        <v>7083.0</v>
      </c>
      <c r="C33" s="94">
        <v>0.1</v>
      </c>
      <c r="D33" s="95">
        <v>0.75</v>
      </c>
      <c r="E33" s="95">
        <v>0.75</v>
      </c>
      <c r="F33" s="64" t="s">
        <v>1656</v>
      </c>
      <c r="G33" s="96">
        <v>46022.0</v>
      </c>
      <c r="N33" s="97" t="s">
        <v>1687</v>
      </c>
      <c r="O33" s="11">
        <v>7083.0</v>
      </c>
    </row>
    <row r="34">
      <c r="A34" s="25" t="s">
        <v>1688</v>
      </c>
      <c r="B34" s="25">
        <v>3607.0</v>
      </c>
      <c r="C34" s="94">
        <v>0.1</v>
      </c>
      <c r="D34" s="95">
        <v>0.75</v>
      </c>
      <c r="E34" s="95">
        <v>0.75</v>
      </c>
      <c r="F34" s="64" t="s">
        <v>1656</v>
      </c>
      <c r="G34" s="96">
        <v>46022.0</v>
      </c>
      <c r="N34" s="97" t="s">
        <v>1688</v>
      </c>
      <c r="O34" s="11">
        <v>3607.0</v>
      </c>
    </row>
    <row r="35">
      <c r="A35" s="25" t="s">
        <v>1689</v>
      </c>
      <c r="B35" s="25">
        <v>7083.0</v>
      </c>
      <c r="C35" s="94">
        <v>0.1</v>
      </c>
      <c r="D35" s="95">
        <v>0.75</v>
      </c>
      <c r="E35" s="95">
        <v>0.75</v>
      </c>
      <c r="F35" s="64" t="s">
        <v>1656</v>
      </c>
      <c r="G35" s="96">
        <v>46022.0</v>
      </c>
      <c r="N35" s="97" t="s">
        <v>1689</v>
      </c>
      <c r="O35" s="11">
        <v>7083.0</v>
      </c>
    </row>
    <row r="36">
      <c r="A36" s="25" t="s">
        <v>1690</v>
      </c>
      <c r="B36" s="25">
        <v>14659.0</v>
      </c>
      <c r="C36" s="94">
        <v>0.1</v>
      </c>
      <c r="D36" s="95">
        <v>0.75</v>
      </c>
      <c r="E36" s="95">
        <v>0.75</v>
      </c>
      <c r="F36" s="64" t="s">
        <v>1656</v>
      </c>
      <c r="G36" s="96">
        <v>46022.0</v>
      </c>
      <c r="N36" s="98" t="s">
        <v>1690</v>
      </c>
      <c r="O36" s="35">
        <v>14065.0</v>
      </c>
      <c r="P36" s="35" t="s">
        <v>1691</v>
      </c>
    </row>
    <row r="37">
      <c r="A37" s="25" t="s">
        <v>1692</v>
      </c>
      <c r="B37" s="25">
        <v>6669.0</v>
      </c>
      <c r="C37" s="94">
        <v>0.1</v>
      </c>
      <c r="D37" s="95">
        <v>0.75</v>
      </c>
      <c r="E37" s="95">
        <v>0.75</v>
      </c>
      <c r="F37" s="64" t="s">
        <v>1656</v>
      </c>
      <c r="G37" s="96">
        <v>46022.0</v>
      </c>
      <c r="N37" s="98" t="s">
        <v>1692</v>
      </c>
      <c r="O37" s="35">
        <v>9746.0</v>
      </c>
      <c r="P37" s="36"/>
    </row>
    <row r="38">
      <c r="A38" s="25" t="s">
        <v>1693</v>
      </c>
      <c r="B38" s="25">
        <v>7023.0</v>
      </c>
      <c r="C38" s="94">
        <v>0.1</v>
      </c>
      <c r="D38" s="95">
        <v>0.75</v>
      </c>
      <c r="E38" s="95">
        <v>0.75</v>
      </c>
      <c r="F38" s="64" t="s">
        <v>1656</v>
      </c>
      <c r="G38" s="96">
        <v>46022.0</v>
      </c>
      <c r="N38" s="98" t="s">
        <v>1693</v>
      </c>
      <c r="O38" s="35">
        <v>6106.0</v>
      </c>
      <c r="P38" s="36"/>
    </row>
    <row r="39">
      <c r="A39" s="25" t="s">
        <v>1694</v>
      </c>
      <c r="B39" s="25">
        <v>5458.0</v>
      </c>
      <c r="C39" s="94">
        <v>0.1</v>
      </c>
      <c r="D39" s="95">
        <v>0.75</v>
      </c>
      <c r="E39" s="95">
        <v>0.75</v>
      </c>
      <c r="F39" s="64" t="s">
        <v>1656</v>
      </c>
      <c r="G39" s="96">
        <v>46022.0</v>
      </c>
      <c r="N39" s="97" t="s">
        <v>1694</v>
      </c>
      <c r="O39" s="11">
        <v>5458.0</v>
      </c>
    </row>
    <row r="40">
      <c r="A40" s="25" t="s">
        <v>1695</v>
      </c>
      <c r="B40" s="25">
        <v>7040.0</v>
      </c>
      <c r="C40" s="94">
        <v>0.1</v>
      </c>
      <c r="D40" s="95">
        <v>0.75</v>
      </c>
      <c r="E40" s="95">
        <v>0.75</v>
      </c>
      <c r="F40" s="64" t="s">
        <v>1656</v>
      </c>
      <c r="G40" s="96">
        <v>46022.0</v>
      </c>
      <c r="N40" s="98" t="s">
        <v>1695</v>
      </c>
      <c r="O40" s="35">
        <v>5458.0</v>
      </c>
      <c r="P40" s="36"/>
    </row>
    <row r="41">
      <c r="A41" s="25" t="s">
        <v>1696</v>
      </c>
      <c r="B41" s="25">
        <v>6669.0</v>
      </c>
      <c r="C41" s="94">
        <v>0.1</v>
      </c>
      <c r="D41" s="95">
        <v>0.75</v>
      </c>
      <c r="E41" s="95">
        <v>0.75</v>
      </c>
      <c r="F41" s="64" t="s">
        <v>1656</v>
      </c>
      <c r="G41" s="96">
        <v>46022.0</v>
      </c>
      <c r="N41" s="98" t="s">
        <v>1696</v>
      </c>
      <c r="O41" s="35">
        <v>5458.0</v>
      </c>
      <c r="P41" s="36"/>
    </row>
    <row r="42">
      <c r="A42" s="25" t="s">
        <v>1697</v>
      </c>
      <c r="B42" s="25">
        <v>12609.0</v>
      </c>
      <c r="C42" s="94">
        <v>0.1</v>
      </c>
      <c r="D42" s="95">
        <v>0.75</v>
      </c>
      <c r="E42" s="95">
        <v>0.75</v>
      </c>
      <c r="F42" s="64" t="s">
        <v>1656</v>
      </c>
      <c r="G42" s="96">
        <v>46022.0</v>
      </c>
      <c r="N42" s="98" t="s">
        <v>1697</v>
      </c>
      <c r="O42" s="35">
        <v>12609.0</v>
      </c>
      <c r="P42" s="36"/>
    </row>
    <row r="43">
      <c r="A43" s="67" t="s">
        <v>1698</v>
      </c>
      <c r="B43" s="25">
        <v>6669.0</v>
      </c>
      <c r="C43" s="94">
        <v>0.1</v>
      </c>
      <c r="D43" s="95">
        <v>0.75</v>
      </c>
      <c r="E43" s="95">
        <v>0.75</v>
      </c>
      <c r="F43" s="64" t="s">
        <v>1656</v>
      </c>
      <c r="G43" s="96">
        <v>46022.0</v>
      </c>
      <c r="N43" s="108" t="s">
        <v>1698</v>
      </c>
      <c r="O43" s="35">
        <v>13862.0</v>
      </c>
      <c r="P43" s="36"/>
    </row>
    <row r="44">
      <c r="A44" s="67" t="s">
        <v>1699</v>
      </c>
      <c r="B44" s="25">
        <v>3607.0</v>
      </c>
      <c r="C44" s="94">
        <v>0.1</v>
      </c>
      <c r="D44" s="95">
        <v>0.75</v>
      </c>
      <c r="E44" s="95">
        <v>0.75</v>
      </c>
      <c r="F44" s="64" t="s">
        <v>1656</v>
      </c>
      <c r="G44" s="96">
        <v>46022.0</v>
      </c>
      <c r="N44" s="108" t="s">
        <v>1699</v>
      </c>
      <c r="O44" s="35">
        <v>3607.0</v>
      </c>
      <c r="P44" s="36"/>
    </row>
    <row r="45">
      <c r="A45" s="67" t="s">
        <v>1700</v>
      </c>
      <c r="B45" s="25">
        <v>3607.0</v>
      </c>
      <c r="C45" s="94">
        <v>0.1</v>
      </c>
      <c r="D45" s="95">
        <v>0.75</v>
      </c>
      <c r="E45" s="95">
        <v>0.75</v>
      </c>
      <c r="F45" s="64" t="s">
        <v>1656</v>
      </c>
      <c r="G45" s="96">
        <v>46022.0</v>
      </c>
      <c r="N45" s="108" t="s">
        <v>1700</v>
      </c>
      <c r="O45" s="35">
        <v>3607.0</v>
      </c>
      <c r="P45" s="36"/>
    </row>
    <row r="46">
      <c r="A46" s="67" t="s">
        <v>1701</v>
      </c>
      <c r="B46" s="25">
        <v>3607.0</v>
      </c>
      <c r="C46" s="94">
        <v>0.1</v>
      </c>
      <c r="D46" s="95">
        <v>0.75</v>
      </c>
      <c r="E46" s="95">
        <v>0.75</v>
      </c>
      <c r="F46" s="64" t="s">
        <v>1656</v>
      </c>
      <c r="G46" s="96">
        <v>46022.0</v>
      </c>
      <c r="N46" s="108" t="s">
        <v>1701</v>
      </c>
      <c r="O46" s="35">
        <v>3607.0</v>
      </c>
      <c r="P46" s="36"/>
    </row>
    <row r="47">
      <c r="A47" s="101" t="s">
        <v>1702</v>
      </c>
      <c r="B47" s="37">
        <v>14480.0</v>
      </c>
      <c r="C47" s="94">
        <v>0.1</v>
      </c>
      <c r="D47" s="95">
        <v>0.75</v>
      </c>
      <c r="E47" s="95">
        <v>0.75</v>
      </c>
      <c r="F47" s="64" t="s">
        <v>1656</v>
      </c>
      <c r="G47" s="96">
        <v>46022.0</v>
      </c>
      <c r="N47" s="102" t="s">
        <v>1702</v>
      </c>
      <c r="O47" s="35">
        <v>7229.0</v>
      </c>
      <c r="P47" s="36"/>
    </row>
    <row r="48">
      <c r="A48" s="101" t="s">
        <v>1703</v>
      </c>
      <c r="B48" s="25"/>
      <c r="C48" s="94">
        <v>0.1</v>
      </c>
      <c r="D48" s="95">
        <v>0.75</v>
      </c>
      <c r="E48" s="95">
        <v>0.75</v>
      </c>
      <c r="F48" s="64" t="s">
        <v>1656</v>
      </c>
      <c r="G48" s="96">
        <v>46022.0</v>
      </c>
      <c r="N48" s="102" t="s">
        <v>1703</v>
      </c>
      <c r="O48" s="35">
        <v>7149.0</v>
      </c>
      <c r="P48" s="36"/>
    </row>
    <row r="49">
      <c r="A49" s="101" t="s">
        <v>1704</v>
      </c>
      <c r="B49" s="25">
        <v>6802.0</v>
      </c>
      <c r="C49" s="94">
        <v>0.1</v>
      </c>
      <c r="D49" s="95">
        <v>0.75</v>
      </c>
      <c r="E49" s="95">
        <v>0.75</v>
      </c>
      <c r="F49" s="64" t="s">
        <v>1656</v>
      </c>
      <c r="G49" s="96">
        <v>46022.0</v>
      </c>
      <c r="N49" s="102" t="s">
        <v>1704</v>
      </c>
      <c r="O49" s="35">
        <v>7149.0</v>
      </c>
      <c r="P49" s="36"/>
    </row>
    <row r="50">
      <c r="A50" s="101" t="s">
        <v>1705</v>
      </c>
      <c r="B50" s="25">
        <v>3607.0</v>
      </c>
      <c r="C50" s="94">
        <v>0.1</v>
      </c>
      <c r="D50" s="95">
        <v>0.75</v>
      </c>
      <c r="E50" s="95">
        <v>0.75</v>
      </c>
      <c r="F50" s="64" t="s">
        <v>1656</v>
      </c>
      <c r="G50" s="96">
        <v>46022.0</v>
      </c>
      <c r="N50" s="102" t="s">
        <v>1705</v>
      </c>
      <c r="O50" s="35">
        <v>3607.0</v>
      </c>
      <c r="P50" s="36"/>
    </row>
    <row r="51">
      <c r="A51" s="101" t="s">
        <v>1706</v>
      </c>
      <c r="B51" s="25">
        <v>6132.0</v>
      </c>
      <c r="C51" s="94">
        <v>0.1</v>
      </c>
      <c r="D51" s="95">
        <v>0.75</v>
      </c>
      <c r="E51" s="95">
        <v>0.75</v>
      </c>
      <c r="F51" s="64" t="s">
        <v>1656</v>
      </c>
      <c r="G51" s="96">
        <v>46022.0</v>
      </c>
      <c r="N51" s="102" t="s">
        <v>1706</v>
      </c>
      <c r="O51" s="109">
        <v>13829.0</v>
      </c>
      <c r="P51" s="36"/>
    </row>
    <row r="52">
      <c r="A52" s="101" t="s">
        <v>1707</v>
      </c>
      <c r="B52" s="37">
        <v>14465.0</v>
      </c>
      <c r="C52" s="94">
        <v>0.1</v>
      </c>
      <c r="D52" s="76">
        <v>0.9</v>
      </c>
      <c r="E52" s="110">
        <v>0.9</v>
      </c>
      <c r="F52" s="64" t="s">
        <v>1656</v>
      </c>
      <c r="G52" s="96">
        <v>46022.0</v>
      </c>
      <c r="N52" s="102" t="s">
        <v>1707</v>
      </c>
      <c r="O52" s="111">
        <v>6729.0</v>
      </c>
      <c r="P52" s="36"/>
    </row>
    <row r="53">
      <c r="A53" s="101" t="s">
        <v>1708</v>
      </c>
      <c r="B53" s="25">
        <v>6668.0</v>
      </c>
      <c r="C53" s="94">
        <v>0.1</v>
      </c>
      <c r="D53" s="95">
        <v>0.75</v>
      </c>
      <c r="E53" s="95">
        <v>0.75</v>
      </c>
      <c r="F53" s="64" t="s">
        <v>1656</v>
      </c>
      <c r="G53" s="96">
        <v>46022.0</v>
      </c>
      <c r="N53" s="102" t="s">
        <v>1708</v>
      </c>
      <c r="O53" s="35">
        <v>13858.0</v>
      </c>
      <c r="P53" s="36"/>
    </row>
    <row r="54">
      <c r="A54" s="101" t="s">
        <v>1709</v>
      </c>
      <c r="B54" s="25">
        <v>14646.0</v>
      </c>
      <c r="C54" s="94">
        <v>0.1</v>
      </c>
      <c r="D54" s="95">
        <v>0.75</v>
      </c>
      <c r="E54" s="95">
        <v>0.75</v>
      </c>
      <c r="F54" s="64" t="s">
        <v>1656</v>
      </c>
      <c r="G54" s="96">
        <v>46022.0</v>
      </c>
      <c r="N54" s="102" t="s">
        <v>1709</v>
      </c>
      <c r="O54" s="35">
        <v>14337.0</v>
      </c>
      <c r="P54" s="36"/>
    </row>
    <row r="55">
      <c r="A55" s="101" t="s">
        <v>1710</v>
      </c>
      <c r="B55" s="25">
        <v>6903.0</v>
      </c>
      <c r="C55" s="94">
        <v>0.1</v>
      </c>
      <c r="D55" s="95">
        <v>0.75</v>
      </c>
      <c r="E55" s="95">
        <v>0.75</v>
      </c>
      <c r="F55" s="64" t="s">
        <v>1656</v>
      </c>
      <c r="G55" s="96">
        <v>46022.0</v>
      </c>
      <c r="N55" s="102" t="s">
        <v>1710</v>
      </c>
      <c r="O55" s="35">
        <v>6924.0</v>
      </c>
      <c r="P55" s="36"/>
    </row>
    <row r="56">
      <c r="A56" s="101" t="s">
        <v>1711</v>
      </c>
      <c r="B56" s="25">
        <v>6772.0</v>
      </c>
      <c r="C56" s="94">
        <v>0.1</v>
      </c>
      <c r="D56" s="95">
        <v>0.75</v>
      </c>
      <c r="E56" s="95">
        <v>0.75</v>
      </c>
      <c r="F56" s="64" t="s">
        <v>1656</v>
      </c>
      <c r="G56" s="96">
        <v>46022.0</v>
      </c>
      <c r="N56" s="102" t="s">
        <v>1711</v>
      </c>
      <c r="O56" s="35">
        <v>6891.0</v>
      </c>
      <c r="P56" s="36"/>
    </row>
    <row r="57">
      <c r="A57" s="101" t="s">
        <v>1712</v>
      </c>
      <c r="B57" s="25">
        <v>14594.0</v>
      </c>
      <c r="C57" s="94">
        <v>0.1</v>
      </c>
      <c r="D57" s="95">
        <v>0.75</v>
      </c>
      <c r="E57" s="95">
        <v>0.75</v>
      </c>
      <c r="F57" s="64" t="s">
        <v>1656</v>
      </c>
      <c r="G57" s="96">
        <v>46022.0</v>
      </c>
      <c r="N57" s="102" t="s">
        <v>1712</v>
      </c>
      <c r="O57" s="35">
        <v>13951.0</v>
      </c>
      <c r="P57" s="36"/>
    </row>
    <row r="58">
      <c r="A58" s="101" t="s">
        <v>1713</v>
      </c>
      <c r="B58" s="37">
        <v>7747.0</v>
      </c>
      <c r="C58" s="94">
        <v>0.1</v>
      </c>
      <c r="D58" s="95">
        <v>0.75</v>
      </c>
      <c r="E58" s="95">
        <v>0.75</v>
      </c>
      <c r="F58" s="64" t="s">
        <v>1656</v>
      </c>
      <c r="G58" s="96">
        <v>46022.0</v>
      </c>
      <c r="N58" s="102" t="s">
        <v>1713</v>
      </c>
      <c r="O58" s="35">
        <v>7149.0</v>
      </c>
      <c r="P58" s="36"/>
    </row>
    <row r="59">
      <c r="A59" s="101" t="s">
        <v>1714</v>
      </c>
      <c r="B59" s="25">
        <v>8486.0</v>
      </c>
      <c r="C59" s="94">
        <v>0.1</v>
      </c>
      <c r="D59" s="76">
        <v>0.85</v>
      </c>
      <c r="E59" s="110">
        <v>0.85</v>
      </c>
      <c r="F59" s="64" t="s">
        <v>1656</v>
      </c>
      <c r="G59" s="96">
        <v>46022.0</v>
      </c>
      <c r="N59" s="104" t="s">
        <v>1714</v>
      </c>
      <c r="O59" s="11">
        <v>8486.0</v>
      </c>
    </row>
    <row r="60">
      <c r="A60" s="101" t="s">
        <v>1715</v>
      </c>
      <c r="B60" s="25">
        <v>8486.0</v>
      </c>
      <c r="C60" s="94">
        <v>0.1</v>
      </c>
      <c r="D60" s="76">
        <v>0.85</v>
      </c>
      <c r="E60" s="110">
        <v>0.85</v>
      </c>
      <c r="F60" s="64" t="s">
        <v>1656</v>
      </c>
      <c r="G60" s="96">
        <v>46022.0</v>
      </c>
      <c r="N60" s="104" t="s">
        <v>1715</v>
      </c>
      <c r="O60" s="11">
        <v>8486.0</v>
      </c>
    </row>
    <row r="61">
      <c r="A61" s="112" t="s">
        <v>1716</v>
      </c>
      <c r="B61" s="37">
        <v>9066.0</v>
      </c>
      <c r="C61" s="94">
        <v>0.1</v>
      </c>
      <c r="D61" s="95">
        <v>0.75</v>
      </c>
      <c r="E61" s="95">
        <v>0.75</v>
      </c>
      <c r="F61" s="64" t="s">
        <v>1656</v>
      </c>
      <c r="G61" s="96">
        <v>46022.0</v>
      </c>
      <c r="N61" s="104"/>
    </row>
    <row r="62">
      <c r="A62" s="11" t="s">
        <v>1717</v>
      </c>
      <c r="B62" s="11">
        <v>14071.0</v>
      </c>
      <c r="C62" s="94">
        <v>0.1</v>
      </c>
      <c r="D62" s="95">
        <v>0.75</v>
      </c>
      <c r="E62" s="95">
        <v>0.75</v>
      </c>
      <c r="F62" s="64" t="s">
        <v>1656</v>
      </c>
      <c r="G62" s="96">
        <v>46022.0</v>
      </c>
    </row>
    <row r="63">
      <c r="A63" s="11" t="s">
        <v>1718</v>
      </c>
      <c r="B63" s="11">
        <v>10310.0</v>
      </c>
      <c r="C63" s="94">
        <v>0.1</v>
      </c>
      <c r="D63" s="95">
        <v>0.75</v>
      </c>
      <c r="E63" s="95">
        <v>0.75</v>
      </c>
      <c r="F63" s="64" t="s">
        <v>1656</v>
      </c>
      <c r="G63" s="96">
        <v>46022.0</v>
      </c>
    </row>
    <row r="64">
      <c r="A64" s="11" t="s">
        <v>1719</v>
      </c>
      <c r="B64" s="11">
        <v>8486.0</v>
      </c>
      <c r="C64" s="94">
        <v>0.1</v>
      </c>
      <c r="D64" s="76">
        <v>0.85</v>
      </c>
      <c r="E64" s="110">
        <v>0.85</v>
      </c>
      <c r="F64" s="64" t="s">
        <v>1656</v>
      </c>
      <c r="G64" s="96">
        <v>46022.0</v>
      </c>
    </row>
    <row r="65">
      <c r="A65" s="11" t="s">
        <v>1720</v>
      </c>
      <c r="B65" s="11">
        <v>14418.0</v>
      </c>
      <c r="C65" s="94">
        <v>0.1</v>
      </c>
      <c r="D65" s="95">
        <v>0.75</v>
      </c>
      <c r="E65" s="95">
        <v>0.75</v>
      </c>
      <c r="F65" s="64" t="s">
        <v>1656</v>
      </c>
      <c r="G65" s="96">
        <v>46022.0</v>
      </c>
    </row>
    <row r="66">
      <c r="A66" s="11" t="s">
        <v>1721</v>
      </c>
      <c r="B66" s="11">
        <v>13895.0</v>
      </c>
      <c r="C66" s="94">
        <v>0.1</v>
      </c>
      <c r="D66" s="95">
        <v>0.75</v>
      </c>
      <c r="E66" s="95">
        <v>0.75</v>
      </c>
      <c r="F66" s="64" t="s">
        <v>1656</v>
      </c>
      <c r="G66" s="96">
        <v>46022.0</v>
      </c>
    </row>
    <row r="67">
      <c r="A67" s="11" t="s">
        <v>1722</v>
      </c>
      <c r="B67" s="11">
        <v>13988.0</v>
      </c>
      <c r="C67" s="94">
        <v>0.1</v>
      </c>
      <c r="D67" s="95">
        <v>0.75</v>
      </c>
      <c r="E67" s="95">
        <v>0.75</v>
      </c>
      <c r="F67" s="64" t="s">
        <v>1656</v>
      </c>
      <c r="G67" s="96">
        <v>46022.0</v>
      </c>
    </row>
    <row r="68">
      <c r="A68" s="11" t="s">
        <v>1723</v>
      </c>
      <c r="B68" s="11">
        <v>13956.0</v>
      </c>
      <c r="C68" s="94">
        <v>0.1</v>
      </c>
      <c r="D68" s="95">
        <v>0.75</v>
      </c>
      <c r="E68" s="95">
        <v>0.75</v>
      </c>
      <c r="F68" s="64" t="s">
        <v>1656</v>
      </c>
      <c r="G68" s="96">
        <v>46022.0</v>
      </c>
    </row>
    <row r="69">
      <c r="A69" s="11" t="s">
        <v>1724</v>
      </c>
      <c r="B69" s="11">
        <v>9716.0</v>
      </c>
      <c r="C69" s="94">
        <v>0.1</v>
      </c>
      <c r="D69" s="95">
        <v>0.75</v>
      </c>
      <c r="E69" s="95">
        <v>0.75</v>
      </c>
      <c r="F69" s="64" t="s">
        <v>1656</v>
      </c>
      <c r="G69" s="96">
        <v>46022.0</v>
      </c>
    </row>
    <row r="70">
      <c r="A70" s="11" t="s">
        <v>1725</v>
      </c>
      <c r="B70" s="11">
        <v>13956.0</v>
      </c>
      <c r="C70" s="94">
        <v>0.1</v>
      </c>
      <c r="D70" s="95">
        <v>0.75</v>
      </c>
      <c r="E70" s="95">
        <v>0.75</v>
      </c>
      <c r="F70" s="64" t="s">
        <v>1656</v>
      </c>
      <c r="G70" s="96">
        <v>46022.0</v>
      </c>
    </row>
    <row r="71">
      <c r="A71" s="11" t="s">
        <v>1726</v>
      </c>
      <c r="B71" s="11">
        <v>14173.0</v>
      </c>
      <c r="C71" s="94">
        <v>0.1</v>
      </c>
      <c r="D71" s="95">
        <v>0.75</v>
      </c>
      <c r="E71" s="95">
        <v>0.75</v>
      </c>
      <c r="F71" s="64" t="s">
        <v>1656</v>
      </c>
      <c r="G71" s="96">
        <v>46022.0</v>
      </c>
    </row>
    <row r="72">
      <c r="A72" s="11" t="s">
        <v>1727</v>
      </c>
      <c r="B72" s="11">
        <v>7416.0</v>
      </c>
      <c r="C72" s="94">
        <v>0.1</v>
      </c>
      <c r="D72" s="95">
        <v>0.75</v>
      </c>
      <c r="E72" s="95">
        <v>0.75</v>
      </c>
      <c r="F72" s="64" t="s">
        <v>1656</v>
      </c>
      <c r="G72" s="96">
        <v>46022.0</v>
      </c>
    </row>
    <row r="73">
      <c r="A73" s="11" t="s">
        <v>1728</v>
      </c>
      <c r="B73" s="11">
        <v>14594.0</v>
      </c>
      <c r="C73" s="94">
        <v>0.1</v>
      </c>
      <c r="D73" s="95">
        <v>0.75</v>
      </c>
      <c r="E73" s="95">
        <v>0.75</v>
      </c>
      <c r="F73" s="64" t="s">
        <v>1656</v>
      </c>
      <c r="G73" s="96">
        <v>46022.0</v>
      </c>
    </row>
    <row r="74">
      <c r="A74" s="11" t="s">
        <v>220</v>
      </c>
      <c r="B74" s="11">
        <v>14663.0</v>
      </c>
      <c r="C74" s="94">
        <v>0.1</v>
      </c>
      <c r="D74" s="95">
        <v>0.75</v>
      </c>
      <c r="E74" s="95">
        <v>0.75</v>
      </c>
      <c r="F74" s="64" t="s">
        <v>1656</v>
      </c>
      <c r="G74" s="96">
        <v>46022.0</v>
      </c>
    </row>
    <row r="75">
      <c r="A75" s="11" t="s">
        <v>43</v>
      </c>
      <c r="B75" s="11">
        <v>14727.0</v>
      </c>
      <c r="C75" s="94">
        <v>0.1</v>
      </c>
      <c r="D75" s="95">
        <v>0.75</v>
      </c>
      <c r="E75" s="95">
        <v>0.75</v>
      </c>
      <c r="F75" s="64" t="s">
        <v>1656</v>
      </c>
      <c r="G75" s="96">
        <v>46022.0</v>
      </c>
    </row>
    <row r="76">
      <c r="A76" s="11" t="s">
        <v>1729</v>
      </c>
      <c r="B76" s="11">
        <v>14727.0</v>
      </c>
      <c r="C76" s="94">
        <v>0.1</v>
      </c>
      <c r="D76" s="95">
        <v>0.75</v>
      </c>
      <c r="E76" s="95">
        <v>0.75</v>
      </c>
      <c r="F76" s="64" t="s">
        <v>1656</v>
      </c>
      <c r="G76" s="96">
        <v>46022.0</v>
      </c>
    </row>
    <row r="77">
      <c r="A77" s="11" t="s">
        <v>1730</v>
      </c>
      <c r="B77" s="11">
        <v>14727.0</v>
      </c>
      <c r="C77" s="94">
        <v>0.1</v>
      </c>
      <c r="D77" s="95">
        <v>0.75</v>
      </c>
      <c r="E77" s="95">
        <v>0.75</v>
      </c>
      <c r="F77" s="64" t="s">
        <v>1656</v>
      </c>
      <c r="G77" s="96">
        <v>46022.0</v>
      </c>
    </row>
    <row r="78">
      <c r="E78" s="41"/>
    </row>
    <row r="79">
      <c r="E79" s="41"/>
    </row>
    <row r="80">
      <c r="E80" s="41"/>
    </row>
    <row r="81">
      <c r="E81" s="41"/>
    </row>
    <row r="82">
      <c r="E82" s="41"/>
    </row>
    <row r="83">
      <c r="E83" s="41"/>
    </row>
    <row r="84">
      <c r="E84" s="41"/>
    </row>
    <row r="85">
      <c r="E85" s="41"/>
    </row>
    <row r="86">
      <c r="E86" s="41"/>
    </row>
    <row r="87">
      <c r="E87" s="41"/>
    </row>
    <row r="88">
      <c r="E88" s="41"/>
    </row>
    <row r="89">
      <c r="E89" s="41"/>
    </row>
    <row r="90">
      <c r="E90" s="41"/>
    </row>
    <row r="91">
      <c r="E91" s="41"/>
    </row>
    <row r="92">
      <c r="E92" s="41"/>
    </row>
    <row r="93">
      <c r="E93" s="41"/>
    </row>
    <row r="94">
      <c r="E94" s="41"/>
    </row>
    <row r="95">
      <c r="E95" s="41"/>
    </row>
    <row r="96">
      <c r="E96" s="41"/>
    </row>
    <row r="97">
      <c r="E97" s="41"/>
    </row>
    <row r="98">
      <c r="E98" s="41"/>
    </row>
    <row r="99">
      <c r="E99" s="41"/>
    </row>
    <row r="100">
      <c r="E100" s="41"/>
    </row>
    <row r="101">
      <c r="E101" s="41"/>
    </row>
    <row r="102">
      <c r="E102" s="41"/>
    </row>
    <row r="103">
      <c r="E103" s="41"/>
    </row>
    <row r="104">
      <c r="E104" s="41"/>
    </row>
    <row r="105">
      <c r="E105" s="41"/>
    </row>
    <row r="106">
      <c r="E106" s="41"/>
    </row>
    <row r="107">
      <c r="E107" s="41"/>
    </row>
    <row r="108">
      <c r="E108" s="41"/>
    </row>
    <row r="109">
      <c r="E109" s="41"/>
    </row>
    <row r="110">
      <c r="E110" s="41"/>
    </row>
    <row r="111">
      <c r="E111" s="41"/>
    </row>
    <row r="112">
      <c r="E112" s="41"/>
    </row>
    <row r="113">
      <c r="E113" s="41"/>
    </row>
    <row r="114">
      <c r="E114" s="41"/>
    </row>
    <row r="115">
      <c r="E115" s="41"/>
    </row>
    <row r="116">
      <c r="E116" s="41"/>
    </row>
    <row r="117">
      <c r="E117" s="41"/>
    </row>
    <row r="118">
      <c r="E118" s="41"/>
    </row>
    <row r="119">
      <c r="E119" s="41"/>
    </row>
    <row r="120">
      <c r="E120" s="41"/>
    </row>
    <row r="121">
      <c r="E121" s="41"/>
    </row>
    <row r="122">
      <c r="E122" s="41"/>
    </row>
    <row r="123">
      <c r="E123" s="41"/>
    </row>
    <row r="124">
      <c r="E124" s="41"/>
    </row>
    <row r="125">
      <c r="E125" s="41"/>
    </row>
    <row r="126">
      <c r="E126" s="41"/>
    </row>
    <row r="127">
      <c r="E127" s="41"/>
    </row>
    <row r="128">
      <c r="E128" s="41"/>
    </row>
    <row r="129">
      <c r="E129" s="41"/>
    </row>
    <row r="130">
      <c r="E130" s="41"/>
    </row>
    <row r="131">
      <c r="E131" s="41"/>
    </row>
    <row r="132">
      <c r="E132" s="41"/>
    </row>
    <row r="133">
      <c r="E133" s="41"/>
    </row>
    <row r="134">
      <c r="E134" s="41"/>
    </row>
    <row r="135">
      <c r="E135" s="41"/>
    </row>
    <row r="136">
      <c r="E136" s="41"/>
    </row>
    <row r="137">
      <c r="E137" s="41"/>
    </row>
    <row r="138">
      <c r="E138" s="41"/>
    </row>
    <row r="139">
      <c r="E139" s="41"/>
    </row>
    <row r="140">
      <c r="E140" s="41"/>
    </row>
    <row r="141">
      <c r="E141" s="41"/>
    </row>
    <row r="142">
      <c r="E142" s="41"/>
    </row>
    <row r="143">
      <c r="E143" s="41"/>
    </row>
    <row r="144">
      <c r="E144" s="41"/>
    </row>
    <row r="145">
      <c r="E145" s="41"/>
    </row>
    <row r="146">
      <c r="E146" s="41"/>
    </row>
    <row r="147">
      <c r="E147" s="41"/>
    </row>
    <row r="148">
      <c r="E148" s="41"/>
    </row>
    <row r="149">
      <c r="E149" s="41"/>
    </row>
    <row r="150">
      <c r="E150" s="41"/>
    </row>
    <row r="151">
      <c r="E151" s="41"/>
    </row>
    <row r="152">
      <c r="E152" s="41"/>
    </row>
    <row r="153">
      <c r="E153" s="41"/>
    </row>
    <row r="154">
      <c r="E154" s="41"/>
    </row>
    <row r="155">
      <c r="E155" s="41"/>
    </row>
    <row r="156">
      <c r="E156" s="41"/>
    </row>
    <row r="157">
      <c r="E157" s="41"/>
    </row>
    <row r="158">
      <c r="E158" s="41"/>
    </row>
    <row r="159">
      <c r="E159" s="41"/>
    </row>
    <row r="160">
      <c r="E160" s="41"/>
    </row>
    <row r="161">
      <c r="E161" s="41"/>
    </row>
    <row r="162">
      <c r="E162" s="41"/>
    </row>
    <row r="163">
      <c r="E163" s="41"/>
    </row>
    <row r="164">
      <c r="E164" s="41"/>
    </row>
    <row r="165">
      <c r="E165" s="41"/>
    </row>
    <row r="166">
      <c r="E166" s="41"/>
    </row>
    <row r="167">
      <c r="E167" s="41"/>
    </row>
    <row r="168">
      <c r="E168" s="41"/>
    </row>
    <row r="169">
      <c r="E169" s="41"/>
    </row>
    <row r="170">
      <c r="E170" s="41"/>
    </row>
    <row r="171">
      <c r="E171" s="41"/>
    </row>
    <row r="172">
      <c r="E172" s="41"/>
    </row>
    <row r="173">
      <c r="E173" s="41"/>
    </row>
    <row r="174">
      <c r="E174" s="41"/>
    </row>
    <row r="175">
      <c r="E175" s="41"/>
    </row>
    <row r="176">
      <c r="E176" s="41"/>
    </row>
    <row r="177">
      <c r="E177" s="41"/>
    </row>
    <row r="178">
      <c r="E178" s="41"/>
    </row>
    <row r="179">
      <c r="E179" s="41"/>
    </row>
    <row r="180">
      <c r="E180" s="41"/>
    </row>
    <row r="181">
      <c r="E181" s="41"/>
    </row>
    <row r="182">
      <c r="E182" s="41"/>
    </row>
    <row r="183">
      <c r="E183" s="41"/>
    </row>
    <row r="184">
      <c r="E184" s="41"/>
    </row>
    <row r="185">
      <c r="E185" s="41"/>
    </row>
    <row r="186">
      <c r="E186" s="41"/>
    </row>
    <row r="187">
      <c r="E187" s="41"/>
    </row>
    <row r="188">
      <c r="E188" s="41"/>
    </row>
    <row r="189">
      <c r="E189" s="41"/>
    </row>
    <row r="190">
      <c r="E190" s="41"/>
    </row>
    <row r="191">
      <c r="E191" s="41"/>
    </row>
    <row r="192">
      <c r="E192" s="41"/>
    </row>
    <row r="193">
      <c r="E193" s="41"/>
    </row>
    <row r="194">
      <c r="E194" s="41"/>
    </row>
    <row r="195">
      <c r="E195" s="41"/>
    </row>
    <row r="196">
      <c r="E196" s="41"/>
    </row>
    <row r="197">
      <c r="E197" s="41"/>
    </row>
    <row r="198">
      <c r="E198" s="41"/>
    </row>
    <row r="199">
      <c r="E199" s="41"/>
    </row>
    <row r="200">
      <c r="E200" s="41"/>
    </row>
    <row r="201">
      <c r="E201" s="41"/>
    </row>
    <row r="202">
      <c r="E202" s="41"/>
    </row>
    <row r="203">
      <c r="E203" s="41"/>
    </row>
    <row r="204">
      <c r="E204" s="41"/>
    </row>
    <row r="205">
      <c r="E205" s="41"/>
    </row>
    <row r="206">
      <c r="E206" s="41"/>
    </row>
    <row r="207">
      <c r="E207" s="41"/>
    </row>
    <row r="208">
      <c r="E208" s="41"/>
    </row>
    <row r="209">
      <c r="E209" s="41"/>
    </row>
    <row r="210">
      <c r="E210" s="41"/>
    </row>
    <row r="211">
      <c r="E211" s="41"/>
    </row>
    <row r="212">
      <c r="E212" s="41"/>
    </row>
    <row r="213">
      <c r="E213" s="41"/>
    </row>
    <row r="214">
      <c r="E214" s="41"/>
    </row>
    <row r="215">
      <c r="E215" s="41"/>
    </row>
    <row r="216">
      <c r="E216" s="41"/>
    </row>
    <row r="217">
      <c r="E217" s="41"/>
    </row>
    <row r="218">
      <c r="E218" s="41"/>
    </row>
    <row r="219">
      <c r="E219" s="41"/>
    </row>
    <row r="220">
      <c r="E220" s="41"/>
    </row>
    <row r="221">
      <c r="E221" s="41"/>
    </row>
    <row r="222">
      <c r="E222" s="41"/>
    </row>
    <row r="223">
      <c r="E223" s="41"/>
    </row>
    <row r="224">
      <c r="E224" s="41"/>
    </row>
    <row r="225">
      <c r="E225" s="41"/>
    </row>
    <row r="226">
      <c r="E226" s="41"/>
    </row>
    <row r="227">
      <c r="E227" s="41"/>
    </row>
    <row r="228">
      <c r="E228" s="41"/>
    </row>
    <row r="229">
      <c r="E229" s="41"/>
    </row>
    <row r="230">
      <c r="E230" s="41"/>
    </row>
    <row r="231">
      <c r="E231" s="41"/>
    </row>
    <row r="232">
      <c r="E232" s="41"/>
    </row>
    <row r="233">
      <c r="E233" s="41"/>
    </row>
    <row r="234">
      <c r="E234" s="41"/>
    </row>
    <row r="235">
      <c r="E235" s="41"/>
    </row>
    <row r="236">
      <c r="E236" s="41"/>
    </row>
    <row r="237">
      <c r="E237" s="41"/>
    </row>
    <row r="238">
      <c r="E238" s="41"/>
    </row>
    <row r="239">
      <c r="E239" s="41"/>
    </row>
    <row r="240">
      <c r="E240" s="41"/>
    </row>
    <row r="241">
      <c r="E241" s="41"/>
    </row>
    <row r="242">
      <c r="E242" s="41"/>
    </row>
    <row r="243">
      <c r="E243" s="41"/>
    </row>
    <row r="244">
      <c r="E244" s="41"/>
    </row>
    <row r="245">
      <c r="E245" s="41"/>
    </row>
    <row r="246">
      <c r="E246" s="41"/>
    </row>
    <row r="247">
      <c r="E247" s="41"/>
    </row>
    <row r="248">
      <c r="E248" s="41"/>
    </row>
    <row r="249">
      <c r="E249" s="41"/>
    </row>
    <row r="250">
      <c r="E250" s="41"/>
    </row>
    <row r="251">
      <c r="E251" s="41"/>
    </row>
    <row r="252">
      <c r="E252" s="41"/>
    </row>
    <row r="253">
      <c r="E253" s="41"/>
    </row>
    <row r="254">
      <c r="E254" s="41"/>
    </row>
    <row r="255">
      <c r="E255" s="41"/>
    </row>
    <row r="256">
      <c r="E256" s="41"/>
    </row>
    <row r="257">
      <c r="E257" s="41"/>
    </row>
    <row r="258">
      <c r="E258" s="41"/>
    </row>
    <row r="259">
      <c r="E259" s="41"/>
    </row>
    <row r="260">
      <c r="E260" s="41"/>
    </row>
    <row r="261">
      <c r="E261" s="41"/>
    </row>
    <row r="262">
      <c r="E262" s="41"/>
    </row>
    <row r="263">
      <c r="E263" s="41"/>
    </row>
    <row r="264">
      <c r="E264" s="41"/>
    </row>
    <row r="265">
      <c r="E265" s="41"/>
    </row>
    <row r="266">
      <c r="E266" s="41"/>
    </row>
    <row r="267">
      <c r="E267" s="41"/>
    </row>
    <row r="268">
      <c r="E268" s="41"/>
    </row>
    <row r="269">
      <c r="E269" s="41"/>
    </row>
    <row r="270">
      <c r="E270" s="41"/>
    </row>
    <row r="271">
      <c r="E271" s="41"/>
    </row>
    <row r="272">
      <c r="E272" s="41"/>
    </row>
    <row r="273">
      <c r="E273" s="41"/>
    </row>
    <row r="274">
      <c r="E274" s="41"/>
    </row>
    <row r="275">
      <c r="E275" s="41"/>
    </row>
    <row r="276">
      <c r="E276" s="41"/>
    </row>
    <row r="277">
      <c r="E277" s="41"/>
    </row>
    <row r="278">
      <c r="E278" s="41"/>
    </row>
    <row r="279">
      <c r="E279" s="41"/>
    </row>
    <row r="280">
      <c r="E280" s="41"/>
    </row>
    <row r="281">
      <c r="E281" s="41"/>
    </row>
    <row r="282">
      <c r="E282" s="41"/>
    </row>
    <row r="283">
      <c r="E283" s="41"/>
    </row>
    <row r="284">
      <c r="E284" s="41"/>
    </row>
    <row r="285">
      <c r="E285" s="41"/>
    </row>
    <row r="286">
      <c r="E286" s="41"/>
    </row>
    <row r="287">
      <c r="E287" s="41"/>
    </row>
    <row r="288">
      <c r="E288" s="41"/>
    </row>
    <row r="289">
      <c r="E289" s="41"/>
    </row>
    <row r="290">
      <c r="E290" s="41"/>
    </row>
    <row r="291">
      <c r="E291" s="41"/>
    </row>
    <row r="292">
      <c r="E292" s="41"/>
    </row>
    <row r="293">
      <c r="E293" s="41"/>
    </row>
    <row r="294">
      <c r="E294" s="41"/>
    </row>
    <row r="295">
      <c r="E295" s="41"/>
    </row>
    <row r="296">
      <c r="E296" s="41"/>
    </row>
    <row r="297">
      <c r="E297" s="41"/>
    </row>
    <row r="298">
      <c r="E298" s="41"/>
    </row>
    <row r="299">
      <c r="E299" s="41"/>
    </row>
    <row r="300">
      <c r="E300" s="41"/>
    </row>
    <row r="301">
      <c r="E301" s="41"/>
    </row>
    <row r="302">
      <c r="E302" s="41"/>
    </row>
    <row r="303">
      <c r="E303" s="41"/>
    </row>
    <row r="304">
      <c r="E304" s="41"/>
    </row>
    <row r="305">
      <c r="E305" s="41"/>
    </row>
    <row r="306">
      <c r="E306" s="41"/>
    </row>
    <row r="307">
      <c r="E307" s="41"/>
    </row>
    <row r="308">
      <c r="E308" s="41"/>
    </row>
    <row r="309">
      <c r="E309" s="41"/>
    </row>
    <row r="310">
      <c r="E310" s="41"/>
    </row>
    <row r="311">
      <c r="E311" s="41"/>
    </row>
    <row r="312">
      <c r="E312" s="41"/>
    </row>
    <row r="313">
      <c r="E313" s="41"/>
    </row>
    <row r="314">
      <c r="E314" s="41"/>
    </row>
    <row r="315">
      <c r="E315" s="41"/>
    </row>
    <row r="316">
      <c r="E316" s="41"/>
    </row>
    <row r="317">
      <c r="E317" s="41"/>
    </row>
    <row r="318">
      <c r="E318" s="41"/>
    </row>
    <row r="319">
      <c r="E319" s="41"/>
    </row>
    <row r="320">
      <c r="E320" s="41"/>
    </row>
    <row r="321">
      <c r="E321" s="41"/>
    </row>
    <row r="322">
      <c r="E322" s="41"/>
    </row>
    <row r="323">
      <c r="E323" s="41"/>
    </row>
    <row r="324">
      <c r="E324" s="41"/>
    </row>
    <row r="325">
      <c r="E325" s="41"/>
    </row>
    <row r="326">
      <c r="E326" s="41"/>
    </row>
    <row r="327">
      <c r="E327" s="41"/>
    </row>
    <row r="328">
      <c r="E328" s="41"/>
    </row>
    <row r="329">
      <c r="E329" s="41"/>
    </row>
    <row r="330">
      <c r="E330" s="41"/>
    </row>
    <row r="331">
      <c r="E331" s="41"/>
    </row>
    <row r="332">
      <c r="E332" s="41"/>
    </row>
    <row r="333">
      <c r="E333" s="41"/>
    </row>
    <row r="334">
      <c r="E334" s="41"/>
    </row>
    <row r="335">
      <c r="E335" s="41"/>
    </row>
    <row r="336">
      <c r="E336" s="41"/>
    </row>
    <row r="337">
      <c r="E337" s="41"/>
    </row>
    <row r="338">
      <c r="E338" s="41"/>
    </row>
    <row r="339">
      <c r="E339" s="41"/>
    </row>
    <row r="340">
      <c r="E340" s="41"/>
    </row>
    <row r="341">
      <c r="E341" s="41"/>
    </row>
    <row r="342">
      <c r="E342" s="41"/>
    </row>
    <row r="343">
      <c r="E343" s="41"/>
    </row>
    <row r="344">
      <c r="E344" s="41"/>
    </row>
    <row r="345">
      <c r="E345" s="41"/>
    </row>
    <row r="346">
      <c r="E346" s="41"/>
    </row>
    <row r="347">
      <c r="E347" s="41"/>
    </row>
    <row r="348">
      <c r="E348" s="41"/>
    </row>
    <row r="349">
      <c r="E349" s="41"/>
    </row>
    <row r="350">
      <c r="E350" s="41"/>
    </row>
    <row r="351">
      <c r="E351" s="41"/>
    </row>
    <row r="352">
      <c r="E352" s="41"/>
    </row>
    <row r="353">
      <c r="E353" s="41"/>
    </row>
    <row r="354">
      <c r="E354" s="41"/>
    </row>
    <row r="355">
      <c r="E355" s="41"/>
    </row>
    <row r="356">
      <c r="E356" s="41"/>
    </row>
    <row r="357">
      <c r="E357" s="41"/>
    </row>
    <row r="358">
      <c r="E358" s="41"/>
    </row>
    <row r="359">
      <c r="E359" s="41"/>
    </row>
    <row r="360">
      <c r="E360" s="41"/>
    </row>
    <row r="361">
      <c r="E361" s="41"/>
    </row>
    <row r="362">
      <c r="E362" s="41"/>
    </row>
    <row r="363">
      <c r="E363" s="41"/>
    </row>
    <row r="364">
      <c r="E364" s="41"/>
    </row>
    <row r="365">
      <c r="E365" s="41"/>
    </row>
    <row r="366">
      <c r="E366" s="41"/>
    </row>
    <row r="367">
      <c r="E367" s="41"/>
    </row>
    <row r="368">
      <c r="E368" s="41"/>
    </row>
    <row r="369">
      <c r="E369" s="41"/>
    </row>
    <row r="370">
      <c r="E370" s="41"/>
    </row>
    <row r="371">
      <c r="E371" s="41"/>
    </row>
    <row r="372">
      <c r="E372" s="41"/>
    </row>
    <row r="373">
      <c r="E373" s="41"/>
    </row>
    <row r="374">
      <c r="E374" s="41"/>
    </row>
    <row r="375">
      <c r="E375" s="41"/>
    </row>
    <row r="376">
      <c r="E376" s="41"/>
    </row>
    <row r="377">
      <c r="E377" s="41"/>
    </row>
    <row r="378">
      <c r="E378" s="41"/>
    </row>
    <row r="379">
      <c r="E379" s="41"/>
    </row>
    <row r="380">
      <c r="E380" s="41"/>
    </row>
    <row r="381">
      <c r="E381" s="41"/>
    </row>
    <row r="382">
      <c r="E382" s="41"/>
    </row>
    <row r="383">
      <c r="E383" s="41"/>
    </row>
    <row r="384">
      <c r="E384" s="41"/>
    </row>
    <row r="385">
      <c r="E385" s="41"/>
    </row>
    <row r="386">
      <c r="E386" s="41"/>
    </row>
    <row r="387">
      <c r="E387" s="41"/>
    </row>
    <row r="388">
      <c r="E388" s="41"/>
    </row>
    <row r="389">
      <c r="E389" s="41"/>
    </row>
    <row r="390">
      <c r="E390" s="41"/>
    </row>
    <row r="391">
      <c r="E391" s="41"/>
    </row>
    <row r="392">
      <c r="E392" s="41"/>
    </row>
    <row r="393">
      <c r="E393" s="41"/>
    </row>
    <row r="394">
      <c r="E394" s="41"/>
    </row>
    <row r="395">
      <c r="E395" s="41"/>
    </row>
    <row r="396">
      <c r="E396" s="41"/>
    </row>
    <row r="397">
      <c r="E397" s="41"/>
    </row>
    <row r="398">
      <c r="E398" s="41"/>
    </row>
    <row r="399">
      <c r="E399" s="41"/>
    </row>
    <row r="400">
      <c r="E400" s="41"/>
    </row>
    <row r="401">
      <c r="E401" s="41"/>
    </row>
    <row r="402">
      <c r="E402" s="41"/>
    </row>
    <row r="403">
      <c r="E403" s="41"/>
    </row>
    <row r="404">
      <c r="E404" s="41"/>
    </row>
    <row r="405">
      <c r="E405" s="41"/>
    </row>
    <row r="406">
      <c r="E406" s="41"/>
    </row>
    <row r="407">
      <c r="E407" s="41"/>
    </row>
    <row r="408">
      <c r="E408" s="41"/>
    </row>
    <row r="409">
      <c r="E409" s="41"/>
    </row>
    <row r="410">
      <c r="E410" s="41"/>
    </row>
    <row r="411">
      <c r="E411" s="41"/>
    </row>
    <row r="412">
      <c r="E412" s="41"/>
    </row>
    <row r="413">
      <c r="E413" s="41"/>
    </row>
    <row r="414">
      <c r="E414" s="41"/>
    </row>
    <row r="415">
      <c r="E415" s="41"/>
    </row>
    <row r="416">
      <c r="E416" s="41"/>
    </row>
    <row r="417">
      <c r="E417" s="41"/>
    </row>
    <row r="418">
      <c r="E418" s="41"/>
    </row>
    <row r="419">
      <c r="E419" s="41"/>
    </row>
    <row r="420">
      <c r="E420" s="41"/>
    </row>
    <row r="421">
      <c r="E421" s="41"/>
    </row>
    <row r="422">
      <c r="E422" s="41"/>
    </row>
    <row r="423">
      <c r="E423" s="41"/>
    </row>
    <row r="424">
      <c r="E424" s="41"/>
    </row>
    <row r="425">
      <c r="E425" s="41"/>
    </row>
    <row r="426">
      <c r="E426" s="41"/>
    </row>
    <row r="427">
      <c r="E427" s="41"/>
    </row>
    <row r="428">
      <c r="E428" s="41"/>
    </row>
    <row r="429">
      <c r="E429" s="41"/>
    </row>
    <row r="430">
      <c r="E430" s="41"/>
    </row>
    <row r="431">
      <c r="E431" s="41"/>
    </row>
    <row r="432">
      <c r="E432" s="41"/>
    </row>
    <row r="433">
      <c r="E433" s="41"/>
    </row>
    <row r="434">
      <c r="E434" s="41"/>
    </row>
    <row r="435">
      <c r="E435" s="41"/>
    </row>
    <row r="436">
      <c r="E436" s="41"/>
    </row>
    <row r="437">
      <c r="E437" s="41"/>
    </row>
    <row r="438">
      <c r="E438" s="41"/>
    </row>
    <row r="439">
      <c r="E439" s="41"/>
    </row>
    <row r="440">
      <c r="E440" s="41"/>
    </row>
    <row r="441">
      <c r="E441" s="41"/>
    </row>
    <row r="442">
      <c r="E442" s="41"/>
    </row>
    <row r="443">
      <c r="E443" s="41"/>
    </row>
    <row r="444">
      <c r="E444" s="41"/>
    </row>
    <row r="445">
      <c r="E445" s="41"/>
    </row>
    <row r="446">
      <c r="E446" s="41"/>
    </row>
    <row r="447">
      <c r="E447" s="41"/>
    </row>
    <row r="448">
      <c r="E448" s="41"/>
    </row>
    <row r="449">
      <c r="E449" s="41"/>
    </row>
    <row r="450">
      <c r="E450" s="41"/>
    </row>
    <row r="451">
      <c r="E451" s="41"/>
    </row>
    <row r="452">
      <c r="E452" s="41"/>
    </row>
    <row r="453">
      <c r="E453" s="41"/>
    </row>
    <row r="454">
      <c r="E454" s="41"/>
    </row>
    <row r="455">
      <c r="E455" s="41"/>
    </row>
    <row r="456">
      <c r="E456" s="41"/>
    </row>
    <row r="457">
      <c r="E457" s="41"/>
    </row>
    <row r="458">
      <c r="E458" s="41"/>
    </row>
    <row r="459">
      <c r="E459" s="41"/>
    </row>
    <row r="460">
      <c r="E460" s="41"/>
    </row>
    <row r="461">
      <c r="E461" s="41"/>
    </row>
    <row r="462">
      <c r="E462" s="41"/>
    </row>
    <row r="463">
      <c r="E463" s="41"/>
    </row>
    <row r="464">
      <c r="E464" s="41"/>
    </row>
    <row r="465">
      <c r="E465" s="41"/>
    </row>
    <row r="466">
      <c r="E466" s="41"/>
    </row>
    <row r="467">
      <c r="E467" s="41"/>
    </row>
    <row r="468">
      <c r="E468" s="41"/>
    </row>
    <row r="469">
      <c r="E469" s="41"/>
    </row>
    <row r="470">
      <c r="E470" s="41"/>
    </row>
    <row r="471">
      <c r="E471" s="41"/>
    </row>
    <row r="472">
      <c r="E472" s="41"/>
    </row>
    <row r="473">
      <c r="E473" s="41"/>
    </row>
    <row r="474">
      <c r="E474" s="41"/>
    </row>
    <row r="475">
      <c r="E475" s="41"/>
    </row>
    <row r="476">
      <c r="E476" s="41"/>
    </row>
    <row r="477">
      <c r="E477" s="41"/>
    </row>
    <row r="478">
      <c r="E478" s="41"/>
    </row>
    <row r="479">
      <c r="E479" s="41"/>
    </row>
    <row r="480">
      <c r="E480" s="41"/>
    </row>
    <row r="481">
      <c r="E481" s="41"/>
    </row>
    <row r="482">
      <c r="E482" s="41"/>
    </row>
    <row r="483">
      <c r="E483" s="41"/>
    </row>
    <row r="484">
      <c r="E484" s="41"/>
    </row>
    <row r="485">
      <c r="E485" s="41"/>
    </row>
    <row r="486">
      <c r="E486" s="41"/>
    </row>
    <row r="487">
      <c r="E487" s="41"/>
    </row>
    <row r="488">
      <c r="E488" s="41"/>
    </row>
    <row r="489">
      <c r="E489" s="41"/>
    </row>
    <row r="490">
      <c r="E490" s="41"/>
    </row>
    <row r="491">
      <c r="E491" s="41"/>
    </row>
    <row r="492">
      <c r="E492" s="41"/>
    </row>
    <row r="493">
      <c r="E493" s="41"/>
    </row>
    <row r="494">
      <c r="E494" s="41"/>
    </row>
    <row r="495">
      <c r="E495" s="41"/>
    </row>
    <row r="496">
      <c r="E496" s="41"/>
    </row>
    <row r="497">
      <c r="E497" s="41"/>
    </row>
    <row r="498">
      <c r="E498" s="41"/>
    </row>
    <row r="499">
      <c r="E499" s="41"/>
    </row>
    <row r="500">
      <c r="E500" s="41"/>
    </row>
    <row r="501">
      <c r="E501" s="41"/>
    </row>
    <row r="502">
      <c r="E502" s="41"/>
    </row>
    <row r="503">
      <c r="E503" s="41"/>
    </row>
    <row r="504">
      <c r="E504" s="41"/>
    </row>
    <row r="505">
      <c r="E505" s="41"/>
    </row>
    <row r="506">
      <c r="E506" s="41"/>
    </row>
    <row r="507">
      <c r="E507" s="41"/>
    </row>
    <row r="508">
      <c r="E508" s="41"/>
    </row>
    <row r="509">
      <c r="E509" s="41"/>
    </row>
    <row r="510">
      <c r="E510" s="41"/>
    </row>
    <row r="511">
      <c r="E511" s="41"/>
    </row>
    <row r="512">
      <c r="E512" s="41"/>
    </row>
    <row r="513">
      <c r="E513" s="41"/>
    </row>
    <row r="514">
      <c r="E514" s="41"/>
    </row>
    <row r="515">
      <c r="E515" s="41"/>
    </row>
    <row r="516">
      <c r="E516" s="41"/>
    </row>
    <row r="517">
      <c r="E517" s="41"/>
    </row>
    <row r="518">
      <c r="E518" s="41"/>
    </row>
    <row r="519">
      <c r="E519" s="41"/>
    </row>
    <row r="520">
      <c r="E520" s="41"/>
    </row>
    <row r="521">
      <c r="E521" s="41"/>
    </row>
    <row r="522">
      <c r="E522" s="41"/>
    </row>
    <row r="523">
      <c r="E523" s="41"/>
    </row>
    <row r="524">
      <c r="E524" s="41"/>
    </row>
    <row r="525">
      <c r="E525" s="41"/>
    </row>
    <row r="526">
      <c r="E526" s="41"/>
    </row>
    <row r="527">
      <c r="E527" s="41"/>
    </row>
    <row r="528">
      <c r="E528" s="41"/>
    </row>
    <row r="529">
      <c r="E529" s="41"/>
    </row>
    <row r="530">
      <c r="E530" s="41"/>
    </row>
    <row r="531">
      <c r="E531" s="41"/>
    </row>
    <row r="532">
      <c r="E532" s="41"/>
    </row>
    <row r="533">
      <c r="E533" s="41"/>
    </row>
    <row r="534">
      <c r="E534" s="41"/>
    </row>
    <row r="535">
      <c r="E535" s="41"/>
    </row>
    <row r="536">
      <c r="E536" s="41"/>
    </row>
    <row r="537">
      <c r="E537" s="41"/>
    </row>
    <row r="538">
      <c r="E538" s="41"/>
    </row>
    <row r="539">
      <c r="E539" s="41"/>
    </row>
    <row r="540">
      <c r="E540" s="41"/>
    </row>
    <row r="541">
      <c r="E541" s="41"/>
    </row>
    <row r="542">
      <c r="E542" s="41"/>
    </row>
    <row r="543">
      <c r="E543" s="41"/>
    </row>
    <row r="544">
      <c r="E544" s="41"/>
    </row>
    <row r="545">
      <c r="E545" s="41"/>
    </row>
    <row r="546">
      <c r="E546" s="41"/>
    </row>
    <row r="547">
      <c r="E547" s="41"/>
    </row>
    <row r="548">
      <c r="E548" s="41"/>
    </row>
    <row r="549">
      <c r="E549" s="41"/>
    </row>
    <row r="550">
      <c r="E550" s="41"/>
    </row>
    <row r="551">
      <c r="E551" s="41"/>
    </row>
    <row r="552">
      <c r="E552" s="41"/>
    </row>
    <row r="553">
      <c r="E553" s="41"/>
    </row>
    <row r="554">
      <c r="E554" s="41"/>
    </row>
    <row r="555">
      <c r="E555" s="41"/>
    </row>
    <row r="556">
      <c r="E556" s="41"/>
    </row>
    <row r="557">
      <c r="E557" s="41"/>
    </row>
    <row r="558">
      <c r="E558" s="41"/>
    </row>
    <row r="559">
      <c r="E559" s="41"/>
    </row>
    <row r="560">
      <c r="E560" s="41"/>
    </row>
    <row r="561">
      <c r="E561" s="41"/>
    </row>
    <row r="562">
      <c r="E562" s="41"/>
    </row>
    <row r="563">
      <c r="E563" s="41"/>
    </row>
    <row r="564">
      <c r="E564" s="41"/>
    </row>
    <row r="565">
      <c r="E565" s="41"/>
    </row>
    <row r="566">
      <c r="E566" s="41"/>
    </row>
    <row r="567">
      <c r="E567" s="41"/>
    </row>
    <row r="568">
      <c r="E568" s="41"/>
    </row>
    <row r="569">
      <c r="E569" s="41"/>
    </row>
    <row r="570">
      <c r="E570" s="41"/>
    </row>
    <row r="571">
      <c r="E571" s="41"/>
    </row>
    <row r="572">
      <c r="E572" s="41"/>
    </row>
    <row r="573">
      <c r="E573" s="41"/>
    </row>
    <row r="574">
      <c r="E574" s="41"/>
    </row>
    <row r="575">
      <c r="E575" s="41"/>
    </row>
    <row r="576">
      <c r="E576" s="41"/>
    </row>
    <row r="577">
      <c r="E577" s="41"/>
    </row>
    <row r="578">
      <c r="E578" s="41"/>
    </row>
    <row r="579">
      <c r="E579" s="41"/>
    </row>
    <row r="580">
      <c r="E580" s="41"/>
    </row>
    <row r="581">
      <c r="E581" s="41"/>
    </row>
    <row r="582">
      <c r="E582" s="41"/>
    </row>
    <row r="583">
      <c r="E583" s="41"/>
    </row>
    <row r="584">
      <c r="E584" s="41"/>
    </row>
    <row r="585">
      <c r="E585" s="41"/>
    </row>
    <row r="586">
      <c r="E586" s="41"/>
    </row>
    <row r="587">
      <c r="E587" s="41"/>
    </row>
    <row r="588">
      <c r="E588" s="41"/>
    </row>
    <row r="589">
      <c r="E589" s="41"/>
    </row>
    <row r="590">
      <c r="E590" s="41"/>
    </row>
    <row r="591">
      <c r="E591" s="41"/>
    </row>
    <row r="592">
      <c r="E592" s="41"/>
    </row>
    <row r="593">
      <c r="E593" s="41"/>
    </row>
    <row r="594">
      <c r="E594" s="41"/>
    </row>
    <row r="595">
      <c r="E595" s="41"/>
    </row>
    <row r="596">
      <c r="E596" s="41"/>
    </row>
    <row r="597">
      <c r="E597" s="41"/>
    </row>
    <row r="598">
      <c r="E598" s="41"/>
    </row>
    <row r="599">
      <c r="E599" s="41"/>
    </row>
    <row r="600">
      <c r="E600" s="41"/>
    </row>
    <row r="601">
      <c r="E601" s="41"/>
    </row>
    <row r="602">
      <c r="E602" s="41"/>
    </row>
    <row r="603">
      <c r="E603" s="41"/>
    </row>
    <row r="604">
      <c r="E604" s="41"/>
    </row>
    <row r="605">
      <c r="E605" s="41"/>
    </row>
    <row r="606">
      <c r="E606" s="41"/>
    </row>
    <row r="607">
      <c r="E607" s="41"/>
    </row>
    <row r="608">
      <c r="E608" s="41"/>
    </row>
    <row r="609">
      <c r="E609" s="41"/>
    </row>
    <row r="610">
      <c r="E610" s="41"/>
    </row>
    <row r="611">
      <c r="E611" s="41"/>
    </row>
    <row r="612">
      <c r="E612" s="41"/>
    </row>
    <row r="613">
      <c r="E613" s="41"/>
    </row>
    <row r="614">
      <c r="E614" s="41"/>
    </row>
    <row r="615">
      <c r="E615" s="41"/>
    </row>
    <row r="616">
      <c r="E616" s="41"/>
    </row>
    <row r="617">
      <c r="E617" s="41"/>
    </row>
    <row r="618">
      <c r="E618" s="41"/>
    </row>
    <row r="619">
      <c r="E619" s="41"/>
    </row>
    <row r="620">
      <c r="E620" s="41"/>
    </row>
    <row r="621">
      <c r="E621" s="41"/>
    </row>
    <row r="622">
      <c r="E622" s="41"/>
    </row>
    <row r="623">
      <c r="E623" s="41"/>
    </row>
    <row r="624">
      <c r="E624" s="41"/>
    </row>
    <row r="625">
      <c r="E625" s="41"/>
    </row>
    <row r="626">
      <c r="E626" s="41"/>
    </row>
    <row r="627">
      <c r="E627" s="41"/>
    </row>
    <row r="628">
      <c r="E628" s="41"/>
    </row>
    <row r="629">
      <c r="E629" s="41"/>
    </row>
    <row r="630">
      <c r="E630" s="41"/>
    </row>
    <row r="631">
      <c r="E631" s="41"/>
    </row>
    <row r="632">
      <c r="E632" s="41"/>
    </row>
    <row r="633">
      <c r="E633" s="41"/>
    </row>
    <row r="634">
      <c r="E634" s="41"/>
    </row>
    <row r="635">
      <c r="E635" s="41"/>
    </row>
    <row r="636">
      <c r="E636" s="41"/>
    </row>
    <row r="637">
      <c r="E637" s="41"/>
    </row>
    <row r="638">
      <c r="E638" s="41"/>
    </row>
    <row r="639">
      <c r="E639" s="41"/>
    </row>
    <row r="640">
      <c r="E640" s="41"/>
    </row>
    <row r="641">
      <c r="E641" s="41"/>
    </row>
    <row r="642">
      <c r="E642" s="41"/>
    </row>
    <row r="643">
      <c r="E643" s="41"/>
    </row>
    <row r="644">
      <c r="E644" s="41"/>
    </row>
    <row r="645">
      <c r="E645" s="41"/>
    </row>
    <row r="646">
      <c r="E646" s="41"/>
    </row>
    <row r="647">
      <c r="E647" s="41"/>
    </row>
    <row r="648">
      <c r="E648" s="41"/>
    </row>
    <row r="649">
      <c r="E649" s="41"/>
    </row>
    <row r="650">
      <c r="E650" s="41"/>
    </row>
    <row r="651">
      <c r="E651" s="41"/>
    </row>
    <row r="652">
      <c r="E652" s="41"/>
    </row>
    <row r="653">
      <c r="E653" s="41"/>
    </row>
    <row r="654">
      <c r="E654" s="41"/>
    </row>
    <row r="655">
      <c r="E655" s="41"/>
    </row>
    <row r="656">
      <c r="E656" s="41"/>
    </row>
    <row r="657">
      <c r="E657" s="41"/>
    </row>
    <row r="658">
      <c r="E658" s="41"/>
    </row>
    <row r="659">
      <c r="E659" s="41"/>
    </row>
    <row r="660">
      <c r="E660" s="41"/>
    </row>
    <row r="661">
      <c r="E661" s="41"/>
    </row>
    <row r="662">
      <c r="E662" s="41"/>
    </row>
    <row r="663">
      <c r="E663" s="41"/>
    </row>
    <row r="664">
      <c r="E664" s="41"/>
    </row>
    <row r="665">
      <c r="E665" s="41"/>
    </row>
    <row r="666">
      <c r="E666" s="41"/>
    </row>
    <row r="667">
      <c r="E667" s="41"/>
    </row>
    <row r="668">
      <c r="E668" s="41"/>
    </row>
    <row r="669">
      <c r="E669" s="41"/>
    </row>
    <row r="670">
      <c r="E670" s="41"/>
    </row>
    <row r="671">
      <c r="E671" s="41"/>
    </row>
    <row r="672">
      <c r="E672" s="41"/>
    </row>
    <row r="673">
      <c r="E673" s="41"/>
    </row>
    <row r="674">
      <c r="E674" s="41"/>
    </row>
    <row r="675">
      <c r="E675" s="41"/>
    </row>
    <row r="676">
      <c r="E676" s="41"/>
    </row>
    <row r="677">
      <c r="E677" s="41"/>
    </row>
    <row r="678">
      <c r="E678" s="41"/>
    </row>
    <row r="679">
      <c r="E679" s="41"/>
    </row>
    <row r="680">
      <c r="E680" s="41"/>
    </row>
    <row r="681">
      <c r="E681" s="41"/>
    </row>
    <row r="682">
      <c r="E682" s="41"/>
    </row>
    <row r="683">
      <c r="E683" s="41"/>
    </row>
    <row r="684">
      <c r="E684" s="41"/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3.88"/>
  </cols>
  <sheetData>
    <row r="1">
      <c r="A1" s="11" t="s">
        <v>1</v>
      </c>
      <c r="B1" s="11" t="s">
        <v>1731</v>
      </c>
    </row>
    <row r="2">
      <c r="A2" s="11">
        <v>6722.0</v>
      </c>
      <c r="B2" s="48" t="s">
        <v>1732</v>
      </c>
    </row>
    <row r="3">
      <c r="A3" s="11">
        <v>6675.0</v>
      </c>
      <c r="B3" s="49" t="s">
        <v>1733</v>
      </c>
    </row>
    <row r="4">
      <c r="A4" s="11">
        <v>14560.0</v>
      </c>
      <c r="B4" s="49" t="s">
        <v>1734</v>
      </c>
    </row>
    <row r="5">
      <c r="A5" s="11">
        <v>14465.0</v>
      </c>
      <c r="B5" s="49" t="s">
        <v>1735</v>
      </c>
    </row>
  </sheetData>
  <hyperlinks>
    <hyperlink r:id="rId1" ref="B2"/>
    <hyperlink r:id="rId2" ref="B3"/>
    <hyperlink r:id="rId3" ref="B4"/>
    <hyperlink r:id="rId4" ref="B5"/>
  </hyperlinks>
  <drawing r:id="rId5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50.0"/>
    <col customWidth="1" min="4" max="4" width="17.38"/>
    <col customWidth="1" min="5" max="5" width="26.13"/>
    <col customWidth="1" min="6" max="6" width="13.0"/>
    <col customWidth="1" min="7" max="7" width="26.13"/>
    <col hidden="1" min="9" max="10" width="12.63"/>
    <col hidden="1" min="12" max="15" width="12.63"/>
  </cols>
  <sheetData>
    <row r="1">
      <c r="A1" s="113" t="s">
        <v>44</v>
      </c>
      <c r="B1" s="12" t="s">
        <v>1</v>
      </c>
      <c r="C1" s="19" t="s">
        <v>246</v>
      </c>
      <c r="D1" s="114" t="s">
        <v>248</v>
      </c>
      <c r="E1" s="58" t="s">
        <v>249</v>
      </c>
      <c r="F1" s="58" t="s">
        <v>250</v>
      </c>
      <c r="G1" s="11" t="s">
        <v>251</v>
      </c>
      <c r="L1" s="115" t="s">
        <v>1654</v>
      </c>
      <c r="M1" s="116" t="s">
        <v>1</v>
      </c>
    </row>
    <row r="2">
      <c r="A2" s="117" t="s">
        <v>1736</v>
      </c>
      <c r="B2" s="117">
        <v>6668.0</v>
      </c>
      <c r="C2" s="44" t="s">
        <v>1737</v>
      </c>
      <c r="D2" s="95">
        <v>0.77</v>
      </c>
      <c r="E2" s="95">
        <v>0.77</v>
      </c>
      <c r="F2" s="64" t="s">
        <v>1656</v>
      </c>
      <c r="L2" s="35" t="s">
        <v>1738</v>
      </c>
      <c r="M2" s="35">
        <v>986.0</v>
      </c>
      <c r="N2" s="36"/>
    </row>
    <row r="3">
      <c r="A3" s="117" t="s">
        <v>1739</v>
      </c>
      <c r="B3" s="117">
        <v>6722.0</v>
      </c>
      <c r="C3" s="44" t="s">
        <v>1737</v>
      </c>
      <c r="D3" s="95">
        <v>0.77</v>
      </c>
      <c r="E3" s="95">
        <v>0.77</v>
      </c>
      <c r="F3" s="64" t="s">
        <v>1656</v>
      </c>
      <c r="L3" s="35" t="s">
        <v>1736</v>
      </c>
      <c r="M3" s="35">
        <v>986.0</v>
      </c>
      <c r="N3" s="36"/>
    </row>
    <row r="4">
      <c r="A4" s="117" t="s">
        <v>1740</v>
      </c>
      <c r="B4" s="117">
        <v>889.0</v>
      </c>
      <c r="C4" s="44" t="s">
        <v>1737</v>
      </c>
      <c r="D4" s="95">
        <v>0.77</v>
      </c>
      <c r="E4" s="95">
        <v>0.77</v>
      </c>
      <c r="F4" s="64" t="s">
        <v>1656</v>
      </c>
      <c r="L4" s="35" t="s">
        <v>1739</v>
      </c>
      <c r="M4" s="35">
        <v>6722.0</v>
      </c>
      <c r="N4" s="35">
        <v>2095.0</v>
      </c>
    </row>
    <row r="5">
      <c r="A5" s="117" t="s">
        <v>1741</v>
      </c>
      <c r="B5" s="117">
        <v>1.0</v>
      </c>
      <c r="C5" s="44" t="s">
        <v>1737</v>
      </c>
      <c r="D5" s="95">
        <v>0.77</v>
      </c>
      <c r="E5" s="95">
        <v>0.77</v>
      </c>
      <c r="F5" s="64" t="s">
        <v>1656</v>
      </c>
      <c r="L5" s="35" t="s">
        <v>1740</v>
      </c>
      <c r="M5" s="35">
        <v>986.0</v>
      </c>
      <c r="N5" s="36"/>
    </row>
    <row r="6">
      <c r="A6" s="117" t="s">
        <v>1742</v>
      </c>
      <c r="B6" s="117">
        <v>6924.0</v>
      </c>
      <c r="C6" s="44" t="s">
        <v>1737</v>
      </c>
      <c r="D6" s="74">
        <v>0.81</v>
      </c>
      <c r="E6" s="74">
        <v>0.81</v>
      </c>
      <c r="F6" s="64" t="s">
        <v>1656</v>
      </c>
      <c r="L6" s="35" t="s">
        <v>1741</v>
      </c>
      <c r="M6" s="35">
        <v>1.0</v>
      </c>
      <c r="N6" s="35">
        <v>5458.0</v>
      </c>
    </row>
    <row r="7">
      <c r="A7" s="117" t="s">
        <v>1743</v>
      </c>
      <c r="B7" s="117">
        <v>8244.0</v>
      </c>
      <c r="C7" s="44" t="s">
        <v>1737</v>
      </c>
      <c r="D7" s="95">
        <v>0.77</v>
      </c>
      <c r="E7" s="95">
        <v>0.77</v>
      </c>
      <c r="F7" s="64" t="s">
        <v>1656</v>
      </c>
      <c r="G7" s="39"/>
      <c r="L7" s="35" t="s">
        <v>1742</v>
      </c>
      <c r="M7" s="35">
        <v>6924.0</v>
      </c>
      <c r="N7" s="35">
        <v>5458.0</v>
      </c>
      <c r="O7" s="11">
        <v>6697.0</v>
      </c>
    </row>
    <row r="8">
      <c r="A8" s="117" t="s">
        <v>1744</v>
      </c>
      <c r="B8" s="37">
        <v>7747.0</v>
      </c>
      <c r="C8" s="44" t="s">
        <v>1737</v>
      </c>
      <c r="D8" s="95">
        <v>0.77</v>
      </c>
      <c r="E8" s="95">
        <v>0.77</v>
      </c>
      <c r="F8" s="64" t="s">
        <v>1656</v>
      </c>
      <c r="G8" s="39"/>
      <c r="L8" s="11" t="s">
        <v>1745</v>
      </c>
      <c r="M8" s="11">
        <v>986.0</v>
      </c>
    </row>
    <row r="9">
      <c r="A9" s="117" t="s">
        <v>1746</v>
      </c>
      <c r="B9" s="117">
        <v>3307.0</v>
      </c>
      <c r="C9" s="44" t="s">
        <v>1737</v>
      </c>
      <c r="D9" s="95">
        <v>0.77</v>
      </c>
      <c r="E9" s="95">
        <v>0.77</v>
      </c>
      <c r="F9" s="64" t="s">
        <v>1656</v>
      </c>
      <c r="G9" s="39"/>
      <c r="L9" s="11" t="s">
        <v>1747</v>
      </c>
      <c r="M9" s="11">
        <v>986.0</v>
      </c>
    </row>
    <row r="10">
      <c r="A10" s="117" t="s">
        <v>1748</v>
      </c>
      <c r="B10" s="117">
        <v>14552.0</v>
      </c>
      <c r="C10" s="44" t="s">
        <v>1737</v>
      </c>
      <c r="D10" s="95">
        <v>0.77</v>
      </c>
      <c r="E10" s="95">
        <v>0.77</v>
      </c>
      <c r="F10" s="64" t="s">
        <v>1656</v>
      </c>
      <c r="G10" s="39"/>
      <c r="L10" s="11" t="s">
        <v>1749</v>
      </c>
      <c r="M10" s="9">
        <v>6729.0</v>
      </c>
      <c r="N10" s="11">
        <v>136.0</v>
      </c>
    </row>
    <row r="11">
      <c r="A11" s="117" t="s">
        <v>1750</v>
      </c>
      <c r="B11" s="117">
        <v>9363.0</v>
      </c>
      <c r="C11" s="44" t="s">
        <v>1737</v>
      </c>
      <c r="D11" s="95">
        <v>0.77</v>
      </c>
      <c r="E11" s="95">
        <v>0.77</v>
      </c>
      <c r="F11" s="64" t="s">
        <v>1656</v>
      </c>
      <c r="G11" s="39"/>
      <c r="L11" s="35" t="s">
        <v>1743</v>
      </c>
      <c r="M11" s="35">
        <v>986.0</v>
      </c>
      <c r="N11" s="36"/>
    </row>
    <row r="12">
      <c r="A12" s="117" t="s">
        <v>1751</v>
      </c>
      <c r="B12" s="117">
        <v>12553.0</v>
      </c>
      <c r="C12" s="44" t="s">
        <v>1737</v>
      </c>
      <c r="D12" s="95">
        <v>0.77</v>
      </c>
      <c r="E12" s="95">
        <v>0.77</v>
      </c>
      <c r="F12" s="64" t="s">
        <v>1656</v>
      </c>
      <c r="G12" s="39"/>
      <c r="L12" s="35" t="s">
        <v>1744</v>
      </c>
      <c r="M12" s="35">
        <v>663.0</v>
      </c>
      <c r="N12" s="36"/>
    </row>
    <row r="13">
      <c r="A13" s="117" t="s">
        <v>1752</v>
      </c>
      <c r="B13" s="117">
        <v>6669.0</v>
      </c>
      <c r="C13" s="44" t="s">
        <v>1737</v>
      </c>
      <c r="D13" s="95">
        <v>0.77</v>
      </c>
      <c r="E13" s="95">
        <v>0.77</v>
      </c>
      <c r="F13" s="64" t="s">
        <v>1656</v>
      </c>
      <c r="G13" s="39"/>
      <c r="L13" s="35" t="s">
        <v>1746</v>
      </c>
      <c r="M13" s="35">
        <v>663.0</v>
      </c>
      <c r="N13" s="36"/>
    </row>
    <row r="14">
      <c r="A14" s="117" t="s">
        <v>1753</v>
      </c>
      <c r="B14" s="117">
        <v>12388.0</v>
      </c>
      <c r="C14" s="44" t="s">
        <v>1737</v>
      </c>
      <c r="D14" s="95">
        <v>0.77</v>
      </c>
      <c r="E14" s="95">
        <v>0.77</v>
      </c>
      <c r="F14" s="64" t="s">
        <v>1656</v>
      </c>
      <c r="G14" s="39"/>
      <c r="L14" s="35" t="s">
        <v>1748</v>
      </c>
      <c r="M14" s="35">
        <v>986.0</v>
      </c>
      <c r="N14" s="36"/>
    </row>
    <row r="15">
      <c r="A15" s="117" t="s">
        <v>1754</v>
      </c>
      <c r="B15" s="117">
        <v>6669.0</v>
      </c>
      <c r="C15" s="44" t="s">
        <v>1737</v>
      </c>
      <c r="D15" s="95">
        <v>0.77</v>
      </c>
      <c r="E15" s="95">
        <v>0.77</v>
      </c>
      <c r="F15" s="64" t="s">
        <v>1656</v>
      </c>
      <c r="G15" s="39"/>
      <c r="L15" s="35" t="s">
        <v>1750</v>
      </c>
      <c r="M15" s="35">
        <v>3607.0</v>
      </c>
      <c r="N15" s="35">
        <v>1610.0</v>
      </c>
    </row>
    <row r="16">
      <c r="A16" s="117" t="s">
        <v>1755</v>
      </c>
      <c r="B16" s="117">
        <v>2345.0</v>
      </c>
      <c r="C16" s="44" t="s">
        <v>1737</v>
      </c>
      <c r="D16" s="74">
        <v>0.9</v>
      </c>
      <c r="E16" s="74">
        <v>0.9</v>
      </c>
      <c r="F16" s="64" t="s">
        <v>1656</v>
      </c>
      <c r="G16" s="39"/>
      <c r="L16" s="35" t="s">
        <v>1751</v>
      </c>
      <c r="M16" s="35">
        <v>3607.0</v>
      </c>
      <c r="N16" s="35">
        <v>1610.0</v>
      </c>
    </row>
    <row r="17">
      <c r="A17" s="117" t="s">
        <v>1756</v>
      </c>
      <c r="B17" s="117">
        <v>2345.0</v>
      </c>
      <c r="C17" s="44" t="s">
        <v>1737</v>
      </c>
      <c r="D17" s="74">
        <v>0.9</v>
      </c>
      <c r="E17" s="74">
        <v>0.9</v>
      </c>
      <c r="F17" s="64" t="s">
        <v>1656</v>
      </c>
      <c r="G17" s="39"/>
      <c r="L17" s="35" t="s">
        <v>1752</v>
      </c>
      <c r="M17" s="35">
        <v>986.0</v>
      </c>
      <c r="N17" s="36"/>
    </row>
    <row r="18">
      <c r="A18" s="117" t="s">
        <v>1757</v>
      </c>
      <c r="B18" s="117">
        <v>2345.0</v>
      </c>
      <c r="C18" s="44" t="s">
        <v>1737</v>
      </c>
      <c r="D18" s="74">
        <v>0.9</v>
      </c>
      <c r="E18" s="74">
        <v>0.9</v>
      </c>
      <c r="F18" s="64" t="s">
        <v>1656</v>
      </c>
      <c r="G18" s="39"/>
      <c r="L18" s="35" t="s">
        <v>1758</v>
      </c>
      <c r="M18" s="35">
        <v>7168.0</v>
      </c>
      <c r="N18" s="35">
        <v>7098.0</v>
      </c>
    </row>
    <row r="19">
      <c r="A19" s="117" t="s">
        <v>1759</v>
      </c>
      <c r="B19" s="117">
        <v>2345.0</v>
      </c>
      <c r="C19" s="44" t="s">
        <v>1737</v>
      </c>
      <c r="D19" s="74">
        <v>0.9</v>
      </c>
      <c r="E19" s="74">
        <v>0.9</v>
      </c>
      <c r="F19" s="64" t="s">
        <v>1656</v>
      </c>
      <c r="G19" s="39"/>
      <c r="L19" s="35" t="s">
        <v>1753</v>
      </c>
      <c r="M19" s="35">
        <v>189.0</v>
      </c>
      <c r="N19" s="36"/>
    </row>
    <row r="20">
      <c r="A20" s="117" t="s">
        <v>1760</v>
      </c>
      <c r="B20" s="117">
        <v>2345.0</v>
      </c>
      <c r="C20" s="44" t="s">
        <v>1737</v>
      </c>
      <c r="D20" s="74">
        <v>0.9</v>
      </c>
      <c r="E20" s="74">
        <v>0.9</v>
      </c>
      <c r="F20" s="64" t="s">
        <v>1656</v>
      </c>
      <c r="G20" s="39"/>
      <c r="L20" s="35" t="s">
        <v>1754</v>
      </c>
      <c r="M20" s="35">
        <v>189.0</v>
      </c>
      <c r="N20" s="36"/>
    </row>
    <row r="21">
      <c r="A21" s="117" t="s">
        <v>1761</v>
      </c>
      <c r="B21" s="117">
        <v>2345.0</v>
      </c>
      <c r="C21" s="44" t="s">
        <v>1737</v>
      </c>
      <c r="D21" s="74">
        <v>0.9</v>
      </c>
      <c r="E21" s="74">
        <v>0.9</v>
      </c>
      <c r="F21" s="64" t="s">
        <v>1656</v>
      </c>
      <c r="G21" s="39"/>
      <c r="L21" s="35" t="s">
        <v>1755</v>
      </c>
      <c r="M21" s="35">
        <v>986.0</v>
      </c>
      <c r="N21" s="36"/>
    </row>
    <row r="22">
      <c r="A22" s="117" t="s">
        <v>1762</v>
      </c>
      <c r="B22" s="117"/>
      <c r="C22" s="44" t="s">
        <v>1737</v>
      </c>
      <c r="D22" s="95">
        <v>0.77</v>
      </c>
      <c r="E22" s="95">
        <v>0.77</v>
      </c>
      <c r="F22" s="64" t="s">
        <v>1656</v>
      </c>
      <c r="G22" s="39"/>
      <c r="L22" s="35" t="s">
        <v>1756</v>
      </c>
      <c r="M22" s="35">
        <v>189.0</v>
      </c>
      <c r="N22" s="36"/>
    </row>
    <row r="23">
      <c r="A23" s="117" t="s">
        <v>1763</v>
      </c>
      <c r="B23" s="117"/>
      <c r="C23" s="44" t="s">
        <v>1737</v>
      </c>
      <c r="D23" s="95">
        <v>0.77</v>
      </c>
      <c r="E23" s="95">
        <v>0.77</v>
      </c>
      <c r="F23" s="64" t="s">
        <v>1656</v>
      </c>
      <c r="G23" s="39"/>
      <c r="L23" s="35" t="s">
        <v>1757</v>
      </c>
      <c r="M23" s="35">
        <v>986.0</v>
      </c>
      <c r="N23" s="36"/>
    </row>
    <row r="24">
      <c r="A24" s="117" t="s">
        <v>1764</v>
      </c>
      <c r="B24" s="117"/>
      <c r="C24" s="44" t="s">
        <v>1737</v>
      </c>
      <c r="D24" s="95">
        <v>0.77</v>
      </c>
      <c r="E24" s="95">
        <v>0.77</v>
      </c>
      <c r="F24" s="64" t="s">
        <v>1656</v>
      </c>
      <c r="G24" s="39"/>
      <c r="L24" s="35" t="s">
        <v>1759</v>
      </c>
      <c r="M24" s="35">
        <v>6893.0</v>
      </c>
      <c r="N24" s="35">
        <v>2095.0</v>
      </c>
    </row>
    <row r="25">
      <c r="A25" s="117" t="s">
        <v>1765</v>
      </c>
      <c r="B25" s="117"/>
      <c r="C25" s="44" t="s">
        <v>1737</v>
      </c>
      <c r="D25" s="95">
        <v>0.77</v>
      </c>
      <c r="E25" s="95">
        <v>0.77</v>
      </c>
      <c r="F25" s="64" t="s">
        <v>1656</v>
      </c>
      <c r="G25" s="39"/>
      <c r="L25" s="11" t="s">
        <v>1760</v>
      </c>
      <c r="M25" s="11">
        <v>7129.0</v>
      </c>
      <c r="N25" s="11">
        <v>2095.0</v>
      </c>
    </row>
    <row r="26">
      <c r="A26" s="117" t="s">
        <v>1766</v>
      </c>
      <c r="B26" s="117">
        <v>14516.0</v>
      </c>
      <c r="C26" s="44" t="s">
        <v>1737</v>
      </c>
      <c r="D26" s="95">
        <v>0.77</v>
      </c>
      <c r="E26" s="95">
        <v>0.77</v>
      </c>
      <c r="F26" s="64" t="s">
        <v>1656</v>
      </c>
      <c r="G26" s="39"/>
      <c r="L26" s="35" t="s">
        <v>1761</v>
      </c>
      <c r="M26" s="35">
        <v>986.0</v>
      </c>
      <c r="N26" s="36"/>
    </row>
    <row r="27">
      <c r="A27" s="117" t="s">
        <v>1767</v>
      </c>
      <c r="B27" s="117"/>
      <c r="C27" s="44" t="s">
        <v>1737</v>
      </c>
      <c r="D27" s="95">
        <v>0.77</v>
      </c>
      <c r="E27" s="95">
        <v>0.77</v>
      </c>
      <c r="F27" s="64" t="s">
        <v>1656</v>
      </c>
      <c r="G27" s="39"/>
      <c r="L27" s="35" t="s">
        <v>1762</v>
      </c>
      <c r="M27" s="35">
        <v>7104.0</v>
      </c>
      <c r="N27" s="35">
        <v>2095.0</v>
      </c>
    </row>
    <row r="28">
      <c r="A28" s="117" t="s">
        <v>1768</v>
      </c>
      <c r="B28" s="117"/>
      <c r="C28" s="44" t="s">
        <v>1737</v>
      </c>
      <c r="D28" s="95">
        <v>0.77</v>
      </c>
      <c r="E28" s="95">
        <v>0.77</v>
      </c>
      <c r="F28" s="64" t="s">
        <v>1656</v>
      </c>
      <c r="G28" s="39"/>
      <c r="L28" s="35" t="s">
        <v>1763</v>
      </c>
      <c r="M28" s="35">
        <v>986.0</v>
      </c>
      <c r="N28" s="36"/>
    </row>
    <row r="29">
      <c r="A29" s="117" t="s">
        <v>1769</v>
      </c>
      <c r="B29" s="117">
        <v>14575.0</v>
      </c>
      <c r="C29" s="44" t="s">
        <v>1737</v>
      </c>
      <c r="D29" s="74">
        <v>0.85</v>
      </c>
      <c r="E29" s="74">
        <v>0.85</v>
      </c>
      <c r="F29" s="64" t="s">
        <v>1656</v>
      </c>
      <c r="G29" s="39"/>
      <c r="L29" s="35" t="s">
        <v>1764</v>
      </c>
      <c r="M29" s="35">
        <v>6706.0</v>
      </c>
      <c r="N29" s="35">
        <v>6530.0</v>
      </c>
    </row>
    <row r="30">
      <c r="A30" s="117" t="s">
        <v>1770</v>
      </c>
      <c r="B30" s="117"/>
      <c r="C30" s="44" t="s">
        <v>1737</v>
      </c>
      <c r="D30" s="95">
        <v>0.77</v>
      </c>
      <c r="E30" s="95">
        <v>0.77</v>
      </c>
      <c r="F30" s="64" t="s">
        <v>1656</v>
      </c>
      <c r="G30" s="39"/>
      <c r="L30" s="35" t="s">
        <v>1765</v>
      </c>
      <c r="M30" s="35">
        <v>986.0</v>
      </c>
      <c r="N30" s="36"/>
    </row>
    <row r="31">
      <c r="A31" s="117" t="s">
        <v>1771</v>
      </c>
      <c r="B31" s="117"/>
      <c r="C31" s="44" t="s">
        <v>1737</v>
      </c>
      <c r="D31" s="95">
        <v>0.77</v>
      </c>
      <c r="E31" s="95">
        <v>0.77</v>
      </c>
      <c r="F31" s="64" t="s">
        <v>1656</v>
      </c>
      <c r="G31" s="39"/>
      <c r="L31" s="35" t="s">
        <v>1766</v>
      </c>
      <c r="M31" s="35">
        <v>986.0</v>
      </c>
      <c r="N31" s="36"/>
    </row>
    <row r="32">
      <c r="A32" s="117" t="s">
        <v>1772</v>
      </c>
      <c r="B32" s="117"/>
      <c r="C32" s="44" t="s">
        <v>1737</v>
      </c>
      <c r="D32" s="95">
        <v>0.77</v>
      </c>
      <c r="E32" s="95">
        <v>0.77</v>
      </c>
      <c r="F32" s="64" t="s">
        <v>1656</v>
      </c>
      <c r="G32" s="39"/>
      <c r="L32" s="11" t="s">
        <v>1767</v>
      </c>
      <c r="M32" s="11">
        <v>986.0</v>
      </c>
    </row>
    <row r="33">
      <c r="A33" s="117" t="s">
        <v>1773</v>
      </c>
      <c r="B33" s="117"/>
      <c r="C33" s="44" t="s">
        <v>1737</v>
      </c>
      <c r="D33" s="95">
        <v>0.77</v>
      </c>
      <c r="E33" s="95">
        <v>0.77</v>
      </c>
      <c r="F33" s="64" t="s">
        <v>1656</v>
      </c>
      <c r="G33" s="39"/>
      <c r="L33" s="11" t="s">
        <v>1768</v>
      </c>
      <c r="M33" s="11">
        <v>7081.0</v>
      </c>
      <c r="N33" s="11">
        <v>909.0</v>
      </c>
    </row>
    <row r="34">
      <c r="A34" s="117" t="s">
        <v>1774</v>
      </c>
      <c r="B34" s="44">
        <v>12932.0</v>
      </c>
      <c r="C34" s="44" t="s">
        <v>1737</v>
      </c>
      <c r="D34" s="95">
        <v>0.77</v>
      </c>
      <c r="E34" s="95">
        <v>0.77</v>
      </c>
      <c r="F34" s="64" t="s">
        <v>1656</v>
      </c>
      <c r="G34" s="39"/>
      <c r="L34" s="35" t="s">
        <v>1769</v>
      </c>
      <c r="M34" s="35">
        <v>2345.0</v>
      </c>
      <c r="N34" s="36"/>
    </row>
    <row r="35">
      <c r="A35" s="117" t="s">
        <v>1775</v>
      </c>
      <c r="B35" s="117"/>
      <c r="C35" s="44" t="s">
        <v>1737</v>
      </c>
      <c r="D35" s="95">
        <v>0.77</v>
      </c>
      <c r="E35" s="95">
        <v>0.77</v>
      </c>
      <c r="F35" s="64" t="s">
        <v>1656</v>
      </c>
      <c r="G35" s="39"/>
      <c r="L35" s="35" t="s">
        <v>1770</v>
      </c>
      <c r="M35" s="35">
        <v>6924.0</v>
      </c>
      <c r="N35" s="35">
        <v>909.0</v>
      </c>
    </row>
    <row r="36">
      <c r="A36" s="117" t="s">
        <v>1776</v>
      </c>
      <c r="B36" s="117"/>
      <c r="C36" s="44" t="s">
        <v>1737</v>
      </c>
      <c r="D36" s="95">
        <v>0.77</v>
      </c>
      <c r="E36" s="95">
        <v>0.77</v>
      </c>
      <c r="F36" s="64" t="s">
        <v>1656</v>
      </c>
      <c r="G36" s="39"/>
      <c r="L36" s="35" t="s">
        <v>1771</v>
      </c>
      <c r="M36" s="35">
        <v>986.0</v>
      </c>
      <c r="N36" s="36"/>
    </row>
    <row r="37">
      <c r="A37" s="117" t="s">
        <v>1777</v>
      </c>
      <c r="B37" s="117"/>
      <c r="C37" s="44" t="s">
        <v>1737</v>
      </c>
      <c r="D37" s="95">
        <v>0.77</v>
      </c>
      <c r="E37" s="95">
        <v>0.77</v>
      </c>
      <c r="F37" s="64" t="s">
        <v>1656</v>
      </c>
      <c r="G37" s="39"/>
      <c r="L37" s="35" t="s">
        <v>1772</v>
      </c>
      <c r="M37" s="35">
        <v>283.0</v>
      </c>
      <c r="N37" s="36"/>
    </row>
    <row r="38">
      <c r="A38" s="117" t="s">
        <v>1778</v>
      </c>
      <c r="B38" s="117"/>
      <c r="C38" s="44" t="s">
        <v>1737</v>
      </c>
      <c r="D38" s="95">
        <v>0.77</v>
      </c>
      <c r="E38" s="95">
        <v>0.77</v>
      </c>
      <c r="F38" s="64" t="s">
        <v>1656</v>
      </c>
      <c r="G38" s="39"/>
      <c r="L38" s="35" t="s">
        <v>1773</v>
      </c>
      <c r="M38" s="35">
        <v>283.0</v>
      </c>
      <c r="N38" s="36"/>
    </row>
    <row r="39">
      <c r="A39" s="117" t="s">
        <v>1779</v>
      </c>
      <c r="B39" s="117"/>
      <c r="C39" s="44" t="s">
        <v>1737</v>
      </c>
      <c r="D39" s="95">
        <v>0.77</v>
      </c>
      <c r="E39" s="95">
        <v>0.77</v>
      </c>
      <c r="F39" s="64" t="s">
        <v>1656</v>
      </c>
      <c r="G39" s="39"/>
      <c r="L39" s="35" t="s">
        <v>1774</v>
      </c>
      <c r="M39" s="35">
        <v>283.0</v>
      </c>
      <c r="N39" s="36"/>
    </row>
    <row r="40">
      <c r="A40" s="117" t="s">
        <v>1780</v>
      </c>
      <c r="B40" s="117"/>
      <c r="C40" s="44" t="s">
        <v>1737</v>
      </c>
      <c r="D40" s="95">
        <v>0.77</v>
      </c>
      <c r="E40" s="95">
        <v>0.77</v>
      </c>
      <c r="F40" s="64" t="s">
        <v>1656</v>
      </c>
      <c r="G40" s="39"/>
      <c r="L40" s="35" t="s">
        <v>1775</v>
      </c>
      <c r="M40" s="35">
        <v>6710.0</v>
      </c>
      <c r="N40" s="35">
        <v>283.0</v>
      </c>
    </row>
    <row r="41">
      <c r="A41" s="117" t="s">
        <v>1781</v>
      </c>
      <c r="B41" s="117"/>
      <c r="C41" s="44" t="s">
        <v>1737</v>
      </c>
      <c r="D41" s="95">
        <v>0.77</v>
      </c>
      <c r="E41" s="95">
        <v>0.77</v>
      </c>
      <c r="F41" s="64" t="s">
        <v>1656</v>
      </c>
      <c r="G41" s="39"/>
      <c r="L41" s="35" t="s">
        <v>1776</v>
      </c>
      <c r="M41" s="35">
        <v>2345.0</v>
      </c>
      <c r="N41" s="36"/>
    </row>
    <row r="42">
      <c r="A42" s="117" t="s">
        <v>1782</v>
      </c>
      <c r="B42" s="117"/>
      <c r="C42" s="44" t="s">
        <v>1737</v>
      </c>
      <c r="D42" s="95">
        <v>0.77</v>
      </c>
      <c r="E42" s="95">
        <v>0.77</v>
      </c>
      <c r="F42" s="64" t="s">
        <v>1656</v>
      </c>
      <c r="G42" s="39"/>
      <c r="L42" s="11" t="s">
        <v>1783</v>
      </c>
      <c r="M42" s="11">
        <v>2345.0</v>
      </c>
    </row>
    <row r="43">
      <c r="A43" s="117" t="s">
        <v>1784</v>
      </c>
      <c r="B43" s="117"/>
      <c r="C43" s="44" t="s">
        <v>1737</v>
      </c>
      <c r="D43" s="95">
        <v>0.77</v>
      </c>
      <c r="E43" s="95">
        <v>0.77</v>
      </c>
      <c r="F43" s="64" t="s">
        <v>1656</v>
      </c>
      <c r="G43" s="39"/>
      <c r="L43" s="35" t="s">
        <v>1777</v>
      </c>
      <c r="M43" s="35">
        <v>2345.0</v>
      </c>
      <c r="N43" s="36"/>
    </row>
    <row r="44">
      <c r="A44" s="117" t="s">
        <v>1785</v>
      </c>
      <c r="B44" s="117">
        <v>2205.0</v>
      </c>
      <c r="C44" s="44" t="s">
        <v>1737</v>
      </c>
      <c r="D44" s="95">
        <v>0.77</v>
      </c>
      <c r="E44" s="95">
        <v>0.77</v>
      </c>
      <c r="F44" s="64" t="s">
        <v>1656</v>
      </c>
      <c r="G44" s="39"/>
      <c r="L44" s="11" t="s">
        <v>1778</v>
      </c>
      <c r="M44" s="11">
        <v>2345.0</v>
      </c>
    </row>
    <row r="45">
      <c r="A45" s="117" t="s">
        <v>1786</v>
      </c>
      <c r="B45" s="117"/>
      <c r="C45" s="44" t="s">
        <v>1737</v>
      </c>
      <c r="D45" s="95">
        <v>0.77</v>
      </c>
      <c r="E45" s="95">
        <v>0.77</v>
      </c>
      <c r="F45" s="64" t="s">
        <v>1656</v>
      </c>
      <c r="G45" s="39"/>
      <c r="L45" s="11" t="s">
        <v>1787</v>
      </c>
      <c r="M45" s="11">
        <v>2345.0</v>
      </c>
    </row>
    <row r="46">
      <c r="A46" s="117" t="s">
        <v>1788</v>
      </c>
      <c r="B46" s="117">
        <v>7137.0</v>
      </c>
      <c r="C46" s="44" t="s">
        <v>1737</v>
      </c>
      <c r="D46" s="95">
        <v>0.77</v>
      </c>
      <c r="E46" s="95">
        <v>0.77</v>
      </c>
      <c r="F46" s="64" t="s">
        <v>1656</v>
      </c>
      <c r="G46" s="39"/>
      <c r="L46" s="35" t="s">
        <v>1779</v>
      </c>
      <c r="M46" s="35">
        <v>2345.0</v>
      </c>
      <c r="N46" s="36"/>
    </row>
    <row r="47">
      <c r="A47" s="117" t="s">
        <v>1789</v>
      </c>
      <c r="B47" s="117">
        <v>14580.0</v>
      </c>
      <c r="C47" s="44" t="s">
        <v>1737</v>
      </c>
      <c r="D47" s="95">
        <v>0.77</v>
      </c>
      <c r="E47" s="95">
        <v>0.77</v>
      </c>
      <c r="F47" s="64" t="s">
        <v>1656</v>
      </c>
      <c r="G47" s="39"/>
      <c r="L47" s="35" t="s">
        <v>1780</v>
      </c>
      <c r="M47" s="35">
        <v>2345.0</v>
      </c>
      <c r="N47" s="36"/>
    </row>
    <row r="48">
      <c r="A48" s="117" t="s">
        <v>1790</v>
      </c>
      <c r="B48" s="117"/>
      <c r="C48" s="44" t="s">
        <v>1737</v>
      </c>
      <c r="D48" s="95">
        <v>0.77</v>
      </c>
      <c r="E48" s="95">
        <v>0.77</v>
      </c>
      <c r="F48" s="64" t="s">
        <v>1656</v>
      </c>
      <c r="G48" s="39"/>
      <c r="L48" s="35" t="s">
        <v>1781</v>
      </c>
      <c r="M48" s="35">
        <v>5125.0</v>
      </c>
      <c r="N48" s="36"/>
    </row>
    <row r="49">
      <c r="A49" s="117" t="s">
        <v>1791</v>
      </c>
      <c r="B49" s="117">
        <v>6132.0</v>
      </c>
      <c r="C49" s="44" t="s">
        <v>1737</v>
      </c>
      <c r="D49" s="95">
        <v>0.77</v>
      </c>
      <c r="E49" s="95">
        <v>0.77</v>
      </c>
      <c r="F49" s="64" t="s">
        <v>1656</v>
      </c>
      <c r="G49" s="39"/>
      <c r="L49" s="35" t="s">
        <v>1782</v>
      </c>
      <c r="M49" s="35">
        <v>7492.0</v>
      </c>
      <c r="N49" s="35">
        <v>777.0</v>
      </c>
    </row>
    <row r="50">
      <c r="A50" s="117" t="s">
        <v>1792</v>
      </c>
      <c r="B50" s="117">
        <v>14659.0</v>
      </c>
      <c r="C50" s="44" t="s">
        <v>1737</v>
      </c>
      <c r="D50" s="95">
        <v>0.77</v>
      </c>
      <c r="E50" s="95">
        <v>0.77</v>
      </c>
      <c r="F50" s="64" t="s">
        <v>1656</v>
      </c>
      <c r="G50" s="39"/>
      <c r="L50" s="35" t="s">
        <v>1784</v>
      </c>
      <c r="M50" s="35">
        <v>6707.0</v>
      </c>
      <c r="N50" s="36"/>
    </row>
    <row r="51">
      <c r="A51" s="117" t="s">
        <v>1793</v>
      </c>
      <c r="B51" s="117"/>
      <c r="C51" s="44" t="s">
        <v>1737</v>
      </c>
      <c r="D51" s="95">
        <v>0.77</v>
      </c>
      <c r="E51" s="95">
        <v>0.77</v>
      </c>
      <c r="F51" s="64" t="s">
        <v>1656</v>
      </c>
      <c r="G51" s="39"/>
      <c r="L51" s="35" t="s">
        <v>1785</v>
      </c>
      <c r="M51" s="35">
        <v>3616.0</v>
      </c>
      <c r="N51" s="36"/>
    </row>
    <row r="52">
      <c r="A52" s="117" t="s">
        <v>1794</v>
      </c>
      <c r="B52" s="117"/>
      <c r="C52" s="44" t="s">
        <v>1737</v>
      </c>
      <c r="D52" s="95">
        <v>0.77</v>
      </c>
      <c r="E52" s="95">
        <v>0.77</v>
      </c>
      <c r="F52" s="64" t="s">
        <v>1656</v>
      </c>
      <c r="G52" s="39"/>
      <c r="L52" s="35" t="s">
        <v>1786</v>
      </c>
      <c r="M52" s="35">
        <v>6711.0</v>
      </c>
      <c r="N52" s="35" t="s">
        <v>207</v>
      </c>
    </row>
    <row r="53">
      <c r="A53" s="117" t="s">
        <v>1795</v>
      </c>
      <c r="B53" s="117"/>
      <c r="C53" s="44" t="s">
        <v>1737</v>
      </c>
      <c r="D53" s="95">
        <v>0.77</v>
      </c>
      <c r="E53" s="95">
        <v>0.77</v>
      </c>
      <c r="F53" s="64" t="s">
        <v>1656</v>
      </c>
      <c r="H53" s="21"/>
      <c r="L53" s="11" t="s">
        <v>1796</v>
      </c>
      <c r="M53" s="11">
        <v>6731.0</v>
      </c>
      <c r="N53" s="11" t="s">
        <v>207</v>
      </c>
    </row>
    <row r="54">
      <c r="A54" s="117" t="s">
        <v>1797</v>
      </c>
      <c r="B54" s="117"/>
      <c r="C54" s="44" t="s">
        <v>1737</v>
      </c>
      <c r="D54" s="95">
        <v>0.77</v>
      </c>
      <c r="E54" s="95">
        <v>0.77</v>
      </c>
      <c r="F54" s="64" t="s">
        <v>1656</v>
      </c>
      <c r="H54" s="21"/>
      <c r="L54" s="11" t="s">
        <v>1798</v>
      </c>
      <c r="M54" s="11">
        <v>5458.0</v>
      </c>
    </row>
    <row r="55">
      <c r="A55" s="117" t="s">
        <v>1799</v>
      </c>
      <c r="B55" s="117"/>
      <c r="C55" s="44" t="s">
        <v>1737</v>
      </c>
      <c r="D55" s="95">
        <v>0.77</v>
      </c>
      <c r="E55" s="95">
        <v>0.77</v>
      </c>
      <c r="F55" s="64" t="s">
        <v>1656</v>
      </c>
      <c r="H55" s="21"/>
      <c r="L55" s="11" t="s">
        <v>1800</v>
      </c>
      <c r="M55" s="11">
        <v>5458.0</v>
      </c>
    </row>
    <row r="56">
      <c r="A56" s="117" t="s">
        <v>1801</v>
      </c>
      <c r="B56" s="117"/>
      <c r="C56" s="44" t="s">
        <v>1737</v>
      </c>
      <c r="D56" s="95">
        <v>0.77</v>
      </c>
      <c r="E56" s="95">
        <v>0.77</v>
      </c>
      <c r="F56" s="64" t="s">
        <v>1656</v>
      </c>
      <c r="H56" s="21"/>
      <c r="L56" s="11" t="s">
        <v>1788</v>
      </c>
      <c r="M56" s="11">
        <v>5458.0</v>
      </c>
    </row>
    <row r="57">
      <c r="A57" s="117" t="s">
        <v>1802</v>
      </c>
      <c r="B57" s="117"/>
      <c r="C57" s="44" t="s">
        <v>1737</v>
      </c>
      <c r="D57" s="95">
        <v>0.77</v>
      </c>
      <c r="E57" s="95">
        <v>0.77</v>
      </c>
      <c r="F57" s="64" t="s">
        <v>1656</v>
      </c>
      <c r="H57" s="21"/>
      <c r="L57" s="11" t="s">
        <v>1803</v>
      </c>
      <c r="M57" s="11">
        <v>14292.0</v>
      </c>
      <c r="N57" s="11">
        <v>669.0</v>
      </c>
    </row>
    <row r="58">
      <c r="A58" s="117" t="s">
        <v>1804</v>
      </c>
      <c r="B58" s="117"/>
      <c r="C58" s="44" t="s">
        <v>1737</v>
      </c>
      <c r="D58" s="95">
        <v>0.77</v>
      </c>
      <c r="E58" s="95">
        <v>0.77</v>
      </c>
      <c r="F58" s="64" t="s">
        <v>1656</v>
      </c>
      <c r="H58" s="21"/>
      <c r="L58" s="11" t="s">
        <v>1805</v>
      </c>
      <c r="M58" s="11">
        <v>7142.0</v>
      </c>
    </row>
    <row r="59">
      <c r="A59" s="117" t="s">
        <v>1806</v>
      </c>
      <c r="B59" s="117"/>
      <c r="C59" s="44" t="s">
        <v>1737</v>
      </c>
      <c r="D59" s="95">
        <v>0.77</v>
      </c>
      <c r="E59" s="95">
        <v>0.77</v>
      </c>
      <c r="F59" s="64" t="s">
        <v>1656</v>
      </c>
      <c r="H59" s="21"/>
      <c r="L59" s="35" t="s">
        <v>1789</v>
      </c>
      <c r="M59" s="35">
        <v>986.0</v>
      </c>
      <c r="N59" s="36"/>
    </row>
    <row r="60">
      <c r="A60" s="117" t="s">
        <v>1807</v>
      </c>
      <c r="B60" s="117"/>
      <c r="C60" s="44" t="s">
        <v>1737</v>
      </c>
      <c r="D60" s="95">
        <v>0.77</v>
      </c>
      <c r="E60" s="95">
        <v>0.77</v>
      </c>
      <c r="F60" s="64" t="s">
        <v>1656</v>
      </c>
      <c r="H60" s="21"/>
      <c r="L60" s="35" t="s">
        <v>1790</v>
      </c>
      <c r="M60" s="35">
        <v>986.0</v>
      </c>
      <c r="N60" s="36"/>
    </row>
    <row r="61">
      <c r="A61" s="117" t="s">
        <v>1808</v>
      </c>
      <c r="B61" s="117">
        <v>6726.0</v>
      </c>
      <c r="C61" s="44" t="s">
        <v>1737</v>
      </c>
      <c r="D61" s="95">
        <v>0.77</v>
      </c>
      <c r="E61" s="95">
        <v>0.77</v>
      </c>
      <c r="F61" s="64" t="s">
        <v>1656</v>
      </c>
      <c r="H61" s="21"/>
      <c r="L61" s="35" t="s">
        <v>1791</v>
      </c>
      <c r="M61" s="35">
        <v>6132.0</v>
      </c>
      <c r="N61" s="36"/>
    </row>
    <row r="62">
      <c r="A62" s="117" t="s">
        <v>1809</v>
      </c>
      <c r="B62" s="117">
        <v>6726.0</v>
      </c>
      <c r="C62" s="44" t="s">
        <v>1737</v>
      </c>
      <c r="D62" s="95">
        <v>0.77</v>
      </c>
      <c r="E62" s="95">
        <v>0.77</v>
      </c>
      <c r="F62" s="64" t="s">
        <v>1656</v>
      </c>
      <c r="H62" s="21"/>
      <c r="L62" s="11" t="s">
        <v>1792</v>
      </c>
      <c r="M62" s="11">
        <v>986.0</v>
      </c>
    </row>
    <row r="63">
      <c r="A63" s="117" t="s">
        <v>1810</v>
      </c>
      <c r="B63" s="117">
        <v>6726.0</v>
      </c>
      <c r="C63" s="44" t="s">
        <v>1737</v>
      </c>
      <c r="D63" s="95">
        <v>0.77</v>
      </c>
      <c r="E63" s="95">
        <v>0.77</v>
      </c>
      <c r="F63" s="64" t="s">
        <v>1656</v>
      </c>
      <c r="H63" s="118"/>
      <c r="L63" s="11" t="s">
        <v>1811</v>
      </c>
      <c r="M63" s="11">
        <v>986.0</v>
      </c>
    </row>
    <row r="64">
      <c r="A64" s="117" t="s">
        <v>1812</v>
      </c>
      <c r="B64" s="117"/>
      <c r="C64" s="44" t="s">
        <v>1737</v>
      </c>
      <c r="D64" s="95">
        <v>0.77</v>
      </c>
      <c r="E64" s="95">
        <v>0.77</v>
      </c>
      <c r="F64" s="64" t="s">
        <v>1656</v>
      </c>
      <c r="H64" s="118"/>
      <c r="L64" s="35" t="s">
        <v>1793</v>
      </c>
      <c r="M64" s="35">
        <v>986.0</v>
      </c>
      <c r="N64" s="36"/>
    </row>
    <row r="65">
      <c r="A65" s="117" t="s">
        <v>1813</v>
      </c>
      <c r="B65" s="117"/>
      <c r="C65" s="44" t="s">
        <v>1737</v>
      </c>
      <c r="D65" s="95">
        <v>0.77</v>
      </c>
      <c r="E65" s="95">
        <v>0.77</v>
      </c>
      <c r="F65" s="64" t="s">
        <v>1656</v>
      </c>
      <c r="H65" s="40"/>
      <c r="L65" s="11" t="s">
        <v>1794</v>
      </c>
      <c r="M65" s="11">
        <v>986.0</v>
      </c>
    </row>
    <row r="66">
      <c r="A66" s="117" t="s">
        <v>1814</v>
      </c>
      <c r="B66" s="117"/>
      <c r="C66" s="44" t="s">
        <v>1737</v>
      </c>
      <c r="D66" s="95">
        <v>0.77</v>
      </c>
      <c r="E66" s="95">
        <v>0.77</v>
      </c>
      <c r="F66" s="64" t="s">
        <v>1656</v>
      </c>
      <c r="H66" s="40"/>
      <c r="L66" s="35" t="s">
        <v>1795</v>
      </c>
      <c r="M66" s="35">
        <v>6998.0</v>
      </c>
      <c r="N66" s="35">
        <v>1390.0</v>
      </c>
    </row>
    <row r="67">
      <c r="A67" s="117" t="s">
        <v>1815</v>
      </c>
      <c r="B67" s="117"/>
      <c r="C67" s="44" t="s">
        <v>1737</v>
      </c>
      <c r="D67" s="95">
        <v>0.77</v>
      </c>
      <c r="E67" s="95">
        <v>0.77</v>
      </c>
      <c r="F67" s="64" t="s">
        <v>1656</v>
      </c>
      <c r="H67" s="40"/>
      <c r="L67" s="35" t="s">
        <v>1797</v>
      </c>
      <c r="M67" s="35">
        <v>7492.0</v>
      </c>
      <c r="N67" s="35">
        <v>986.0</v>
      </c>
    </row>
    <row r="68">
      <c r="A68" s="117" t="s">
        <v>1816</v>
      </c>
      <c r="B68" s="37">
        <v>14480.0</v>
      </c>
      <c r="C68" s="44" t="s">
        <v>1737</v>
      </c>
      <c r="D68" s="95">
        <v>0.77</v>
      </c>
      <c r="E68" s="95">
        <v>0.77</v>
      </c>
      <c r="F68" s="64" t="s">
        <v>1656</v>
      </c>
      <c r="H68" s="40"/>
      <c r="L68" s="35" t="s">
        <v>1799</v>
      </c>
      <c r="M68" s="35">
        <v>7492.0</v>
      </c>
      <c r="N68" s="35">
        <v>986.0</v>
      </c>
    </row>
    <row r="69">
      <c r="A69" s="117" t="s">
        <v>1817</v>
      </c>
      <c r="B69" s="117"/>
      <c r="C69" s="44" t="s">
        <v>1737</v>
      </c>
      <c r="D69" s="95">
        <v>0.77</v>
      </c>
      <c r="E69" s="95">
        <v>0.77</v>
      </c>
      <c r="F69" s="64" t="s">
        <v>1656</v>
      </c>
      <c r="H69" s="40"/>
      <c r="L69" s="35" t="s">
        <v>1801</v>
      </c>
      <c r="M69" s="35">
        <v>7492.0</v>
      </c>
      <c r="N69" s="35">
        <v>986.0</v>
      </c>
    </row>
    <row r="70">
      <c r="A70" s="117" t="s">
        <v>1818</v>
      </c>
      <c r="B70" s="117"/>
      <c r="C70" s="44" t="s">
        <v>1737</v>
      </c>
      <c r="D70" s="95">
        <v>0.77</v>
      </c>
      <c r="E70" s="95">
        <v>0.77</v>
      </c>
      <c r="F70" s="64" t="s">
        <v>1656</v>
      </c>
      <c r="H70" s="40"/>
      <c r="L70" s="35" t="s">
        <v>1802</v>
      </c>
      <c r="M70" s="35">
        <v>986.0</v>
      </c>
      <c r="N70" s="36"/>
    </row>
    <row r="71">
      <c r="A71" s="117" t="s">
        <v>1819</v>
      </c>
      <c r="B71" s="117"/>
      <c r="C71" s="44" t="s">
        <v>1737</v>
      </c>
      <c r="D71" s="95">
        <v>0.77</v>
      </c>
      <c r="E71" s="95">
        <v>0.77</v>
      </c>
      <c r="F71" s="64" t="s">
        <v>1656</v>
      </c>
      <c r="H71" s="40"/>
      <c r="L71" s="11" t="s">
        <v>1804</v>
      </c>
      <c r="M71" s="11">
        <v>986.0</v>
      </c>
    </row>
    <row r="72">
      <c r="A72" s="117" t="s">
        <v>1820</v>
      </c>
      <c r="B72" s="117"/>
      <c r="C72" s="44" t="s">
        <v>1737</v>
      </c>
      <c r="D72" s="95">
        <v>0.77</v>
      </c>
      <c r="E72" s="95">
        <v>0.77</v>
      </c>
      <c r="F72" s="64" t="s">
        <v>1656</v>
      </c>
      <c r="H72" s="40"/>
      <c r="L72" s="35" t="s">
        <v>1806</v>
      </c>
      <c r="M72" s="35">
        <v>14337.0</v>
      </c>
      <c r="N72" s="35">
        <v>6779.0</v>
      </c>
    </row>
    <row r="73">
      <c r="A73" s="117" t="s">
        <v>1821</v>
      </c>
      <c r="B73" s="117"/>
      <c r="C73" s="44" t="s">
        <v>1737</v>
      </c>
      <c r="D73" s="95">
        <v>0.77</v>
      </c>
      <c r="E73" s="95">
        <v>0.77</v>
      </c>
      <c r="F73" s="64" t="s">
        <v>1656</v>
      </c>
      <c r="H73" s="40"/>
      <c r="L73" s="35" t="s">
        <v>1807</v>
      </c>
      <c r="M73" s="35">
        <v>6779.0</v>
      </c>
      <c r="N73" s="36"/>
    </row>
    <row r="74">
      <c r="A74" s="117" t="s">
        <v>1822</v>
      </c>
      <c r="B74" s="117"/>
      <c r="C74" s="44" t="s">
        <v>1737</v>
      </c>
      <c r="D74" s="95">
        <v>0.77</v>
      </c>
      <c r="E74" s="95">
        <v>0.77</v>
      </c>
      <c r="F74" s="64" t="s">
        <v>1656</v>
      </c>
      <c r="H74" s="40"/>
      <c r="L74" s="11" t="s">
        <v>1823</v>
      </c>
      <c r="M74" s="11">
        <v>6772.0</v>
      </c>
    </row>
    <row r="75">
      <c r="A75" s="117" t="s">
        <v>1824</v>
      </c>
      <c r="B75" s="117"/>
      <c r="C75" s="44" t="s">
        <v>1737</v>
      </c>
      <c r="D75" s="95">
        <v>0.77</v>
      </c>
      <c r="E75" s="95">
        <v>0.77</v>
      </c>
      <c r="F75" s="64" t="s">
        <v>1656</v>
      </c>
      <c r="H75" s="40"/>
      <c r="L75" s="35" t="s">
        <v>1808</v>
      </c>
      <c r="M75" s="35">
        <v>6772.0</v>
      </c>
      <c r="N75" s="36"/>
    </row>
    <row r="76">
      <c r="A76" s="117" t="s">
        <v>1825</v>
      </c>
      <c r="B76" s="117"/>
      <c r="C76" s="44" t="s">
        <v>1737</v>
      </c>
      <c r="D76" s="95">
        <v>0.77</v>
      </c>
      <c r="E76" s="95">
        <v>0.77</v>
      </c>
      <c r="F76" s="64" t="s">
        <v>1656</v>
      </c>
      <c r="H76" s="40"/>
      <c r="L76" s="35" t="s">
        <v>1809</v>
      </c>
      <c r="M76" s="35">
        <v>663.0</v>
      </c>
      <c r="N76" s="36"/>
    </row>
    <row r="77">
      <c r="A77" s="117" t="s">
        <v>1826</v>
      </c>
      <c r="B77" s="117"/>
      <c r="C77" s="44" t="s">
        <v>1737</v>
      </c>
      <c r="D77" s="95">
        <v>0.77</v>
      </c>
      <c r="E77" s="95">
        <v>0.77</v>
      </c>
      <c r="F77" s="64" t="s">
        <v>1656</v>
      </c>
      <c r="H77" s="40"/>
      <c r="L77" s="35" t="s">
        <v>1810</v>
      </c>
      <c r="M77" s="35">
        <v>986.0</v>
      </c>
      <c r="N77" s="36"/>
    </row>
    <row r="78">
      <c r="A78" s="117" t="s">
        <v>1827</v>
      </c>
      <c r="B78" s="117"/>
      <c r="C78" s="44" t="s">
        <v>1737</v>
      </c>
      <c r="D78" s="95">
        <v>0.77</v>
      </c>
      <c r="E78" s="95">
        <v>0.77</v>
      </c>
      <c r="F78" s="64" t="s">
        <v>1656</v>
      </c>
      <c r="H78" s="40"/>
      <c r="L78" s="35" t="s">
        <v>1812</v>
      </c>
      <c r="M78" s="35">
        <v>6732.0</v>
      </c>
      <c r="N78" s="36"/>
    </row>
    <row r="79">
      <c r="A79" s="117" t="s">
        <v>1828</v>
      </c>
      <c r="B79" s="117"/>
      <c r="C79" s="44" t="s">
        <v>1737</v>
      </c>
      <c r="D79" s="95">
        <v>0.77</v>
      </c>
      <c r="E79" s="95">
        <v>0.77</v>
      </c>
      <c r="F79" s="64" t="s">
        <v>1656</v>
      </c>
      <c r="H79" s="40"/>
      <c r="L79" s="35" t="s">
        <v>1813</v>
      </c>
      <c r="M79" s="35">
        <v>6732.0</v>
      </c>
      <c r="N79" s="36"/>
    </row>
    <row r="80">
      <c r="A80" s="117" t="s">
        <v>1829</v>
      </c>
      <c r="B80" s="117"/>
      <c r="C80" s="44" t="s">
        <v>1737</v>
      </c>
      <c r="D80" s="95">
        <v>0.77</v>
      </c>
      <c r="E80" s="95">
        <v>0.77</v>
      </c>
      <c r="F80" s="64" t="s">
        <v>1656</v>
      </c>
      <c r="H80" s="40"/>
      <c r="L80" s="11" t="s">
        <v>1830</v>
      </c>
      <c r="M80" s="11">
        <v>6732.0</v>
      </c>
    </row>
    <row r="81">
      <c r="A81" s="117" t="s">
        <v>1831</v>
      </c>
      <c r="B81" s="117"/>
      <c r="C81" s="44" t="s">
        <v>1737</v>
      </c>
      <c r="D81" s="95">
        <v>0.77</v>
      </c>
      <c r="E81" s="95">
        <v>0.77</v>
      </c>
      <c r="F81" s="64" t="s">
        <v>1656</v>
      </c>
      <c r="H81" s="40"/>
      <c r="L81" s="35" t="s">
        <v>1814</v>
      </c>
      <c r="M81" s="35">
        <v>6732.0</v>
      </c>
      <c r="N81" s="36"/>
    </row>
    <row r="82">
      <c r="A82" s="117" t="s">
        <v>1832</v>
      </c>
      <c r="B82" s="117"/>
      <c r="C82" s="44" t="s">
        <v>1737</v>
      </c>
      <c r="D82" s="95">
        <v>0.77</v>
      </c>
      <c r="E82" s="95">
        <v>0.77</v>
      </c>
      <c r="F82" s="64" t="s">
        <v>1656</v>
      </c>
      <c r="H82" s="40"/>
      <c r="L82" s="35" t="s">
        <v>1815</v>
      </c>
      <c r="M82" s="35">
        <v>6732.0</v>
      </c>
      <c r="N82" s="36"/>
    </row>
    <row r="83">
      <c r="A83" s="117" t="s">
        <v>1833</v>
      </c>
      <c r="B83" s="117"/>
      <c r="C83" s="44" t="s">
        <v>1737</v>
      </c>
      <c r="D83" s="95">
        <v>0.77</v>
      </c>
      <c r="E83" s="95">
        <v>0.77</v>
      </c>
      <c r="F83" s="64" t="s">
        <v>1656</v>
      </c>
      <c r="H83" s="40"/>
      <c r="L83" s="35" t="s">
        <v>1816</v>
      </c>
      <c r="M83" s="35">
        <v>6732.0</v>
      </c>
      <c r="N83" s="36"/>
    </row>
    <row r="84">
      <c r="A84" s="117" t="s">
        <v>1834</v>
      </c>
      <c r="B84" s="117"/>
      <c r="C84" s="44" t="s">
        <v>1737</v>
      </c>
      <c r="D84" s="95">
        <v>0.77</v>
      </c>
      <c r="E84" s="95">
        <v>0.77</v>
      </c>
      <c r="F84" s="64" t="s">
        <v>1656</v>
      </c>
      <c r="H84" s="40"/>
      <c r="L84" s="35" t="s">
        <v>1817</v>
      </c>
      <c r="M84" s="35">
        <v>189.0</v>
      </c>
      <c r="N84" s="36"/>
    </row>
    <row r="85">
      <c r="A85" s="117" t="s">
        <v>1835</v>
      </c>
      <c r="B85" s="117"/>
      <c r="C85" s="44" t="s">
        <v>1737</v>
      </c>
      <c r="D85" s="95">
        <v>0.77</v>
      </c>
      <c r="E85" s="95">
        <v>0.77</v>
      </c>
      <c r="F85" s="64" t="s">
        <v>1656</v>
      </c>
      <c r="H85" s="40"/>
      <c r="L85" s="35" t="s">
        <v>1818</v>
      </c>
      <c r="M85" s="35">
        <v>283.0</v>
      </c>
      <c r="N85" s="36"/>
    </row>
    <row r="86">
      <c r="A86" s="117" t="s">
        <v>1836</v>
      </c>
      <c r="B86" s="117"/>
      <c r="C86" s="44" t="s">
        <v>1737</v>
      </c>
      <c r="D86" s="95">
        <v>0.77</v>
      </c>
      <c r="E86" s="95">
        <v>0.77</v>
      </c>
      <c r="F86" s="64" t="s">
        <v>1656</v>
      </c>
      <c r="H86" s="40"/>
      <c r="L86" s="35" t="s">
        <v>1819</v>
      </c>
      <c r="M86" s="35">
        <v>283.0</v>
      </c>
      <c r="N86" s="36"/>
    </row>
    <row r="87">
      <c r="A87" s="117" t="s">
        <v>1837</v>
      </c>
      <c r="B87" s="119">
        <v>6668.0</v>
      </c>
      <c r="C87" s="44" t="s">
        <v>1737</v>
      </c>
      <c r="D87" s="95">
        <v>0.77</v>
      </c>
      <c r="E87" s="95">
        <v>0.77</v>
      </c>
      <c r="F87" s="64" t="s">
        <v>1656</v>
      </c>
      <c r="H87" s="40"/>
      <c r="L87" s="35" t="s">
        <v>1820</v>
      </c>
      <c r="M87" s="35">
        <v>283.0</v>
      </c>
      <c r="N87" s="36"/>
    </row>
    <row r="88">
      <c r="A88" s="117" t="s">
        <v>1838</v>
      </c>
      <c r="B88" s="117"/>
      <c r="C88" s="44" t="s">
        <v>1737</v>
      </c>
      <c r="D88" s="95">
        <v>0.77</v>
      </c>
      <c r="E88" s="95">
        <v>0.77</v>
      </c>
      <c r="F88" s="64" t="s">
        <v>1656</v>
      </c>
      <c r="H88" s="40"/>
      <c r="L88" s="35" t="s">
        <v>1821</v>
      </c>
      <c r="M88" s="35">
        <v>189.0</v>
      </c>
      <c r="N88" s="36"/>
    </row>
    <row r="89">
      <c r="A89" s="117" t="s">
        <v>1839</v>
      </c>
      <c r="B89" s="117"/>
      <c r="C89" s="44" t="s">
        <v>1737</v>
      </c>
      <c r="D89" s="95">
        <v>0.77</v>
      </c>
      <c r="E89" s="95">
        <v>0.77</v>
      </c>
      <c r="F89" s="64" t="s">
        <v>1656</v>
      </c>
      <c r="H89" s="40"/>
      <c r="L89" s="11" t="s">
        <v>1840</v>
      </c>
      <c r="M89" s="11">
        <v>6947.0</v>
      </c>
    </row>
    <row r="90">
      <c r="A90" s="117" t="s">
        <v>1841</v>
      </c>
      <c r="B90" s="117"/>
      <c r="C90" s="44" t="s">
        <v>1737</v>
      </c>
      <c r="D90" s="95">
        <v>0.77</v>
      </c>
      <c r="E90" s="95">
        <v>0.77</v>
      </c>
      <c r="F90" s="64" t="s">
        <v>1656</v>
      </c>
      <c r="H90" s="40"/>
      <c r="L90" s="35" t="s">
        <v>1822</v>
      </c>
      <c r="M90" s="35">
        <v>6671.0</v>
      </c>
      <c r="N90" s="36"/>
    </row>
    <row r="91">
      <c r="A91" s="117" t="s">
        <v>1842</v>
      </c>
      <c r="B91" s="117"/>
      <c r="C91" s="44" t="s">
        <v>1737</v>
      </c>
      <c r="D91" s="95">
        <v>0.77</v>
      </c>
      <c r="E91" s="95">
        <v>0.77</v>
      </c>
      <c r="F91" s="64" t="s">
        <v>1656</v>
      </c>
      <c r="H91" s="40"/>
      <c r="L91" s="35" t="s">
        <v>1824</v>
      </c>
      <c r="M91" s="35">
        <v>6671.0</v>
      </c>
      <c r="N91" s="36"/>
    </row>
    <row r="92">
      <c r="A92" s="117" t="s">
        <v>1843</v>
      </c>
      <c r="B92" s="117"/>
      <c r="C92" s="44" t="s">
        <v>1737</v>
      </c>
      <c r="D92" s="95">
        <v>0.77</v>
      </c>
      <c r="E92" s="95">
        <v>0.77</v>
      </c>
      <c r="F92" s="64" t="s">
        <v>1656</v>
      </c>
      <c r="H92" s="40"/>
      <c r="L92" s="35" t="s">
        <v>1825</v>
      </c>
      <c r="M92" s="35">
        <v>6671.0</v>
      </c>
      <c r="N92" s="36"/>
    </row>
    <row r="93">
      <c r="A93" s="117" t="s">
        <v>1844</v>
      </c>
      <c r="B93" s="117"/>
      <c r="C93" s="44" t="s">
        <v>1737</v>
      </c>
      <c r="D93" s="95">
        <v>0.77</v>
      </c>
      <c r="E93" s="95">
        <v>0.77</v>
      </c>
      <c r="F93" s="64" t="s">
        <v>1656</v>
      </c>
      <c r="H93" s="40"/>
      <c r="L93" s="35" t="s">
        <v>1826</v>
      </c>
      <c r="M93" s="35">
        <v>3607.0</v>
      </c>
      <c r="N93" s="36"/>
    </row>
    <row r="94">
      <c r="A94" s="117" t="s">
        <v>1845</v>
      </c>
      <c r="B94" s="117"/>
      <c r="C94" s="44" t="s">
        <v>1737</v>
      </c>
      <c r="D94" s="95">
        <v>0.77</v>
      </c>
      <c r="E94" s="95">
        <v>0.77</v>
      </c>
      <c r="F94" s="64" t="s">
        <v>1656</v>
      </c>
      <c r="H94" s="40"/>
      <c r="L94" s="35" t="s">
        <v>1827</v>
      </c>
      <c r="M94" s="35">
        <v>3607.0</v>
      </c>
      <c r="N94" s="36"/>
    </row>
    <row r="95">
      <c r="A95" s="117" t="s">
        <v>1846</v>
      </c>
      <c r="B95" s="117">
        <v>14594.0</v>
      </c>
      <c r="C95" s="44" t="s">
        <v>1737</v>
      </c>
      <c r="D95" s="95">
        <v>0.77</v>
      </c>
      <c r="E95" s="95">
        <v>0.77</v>
      </c>
      <c r="F95" s="64" t="s">
        <v>1656</v>
      </c>
      <c r="H95" s="40"/>
      <c r="L95" s="35" t="s">
        <v>1828</v>
      </c>
      <c r="M95" s="35">
        <v>189.0</v>
      </c>
      <c r="N95" s="36"/>
    </row>
    <row r="96">
      <c r="A96" s="117" t="s">
        <v>1847</v>
      </c>
      <c r="B96" s="117"/>
      <c r="C96" s="44" t="s">
        <v>1737</v>
      </c>
      <c r="D96" s="95">
        <v>0.77</v>
      </c>
      <c r="E96" s="95">
        <v>0.77</v>
      </c>
      <c r="F96" s="64" t="s">
        <v>1656</v>
      </c>
      <c r="H96" s="40"/>
      <c r="L96" s="35" t="s">
        <v>1829</v>
      </c>
      <c r="M96" s="35">
        <v>3607.0</v>
      </c>
      <c r="N96" s="36"/>
    </row>
    <row r="97">
      <c r="A97" s="117" t="s">
        <v>1848</v>
      </c>
      <c r="B97" s="117"/>
      <c r="C97" s="44" t="s">
        <v>1737</v>
      </c>
      <c r="D97" s="95">
        <v>0.77</v>
      </c>
      <c r="E97" s="95">
        <v>0.77</v>
      </c>
      <c r="F97" s="64" t="s">
        <v>1656</v>
      </c>
      <c r="H97" s="40"/>
      <c r="L97" s="35" t="s">
        <v>1831</v>
      </c>
      <c r="M97" s="35">
        <v>3607.0</v>
      </c>
      <c r="N97" s="36"/>
    </row>
    <row r="98">
      <c r="A98" s="117" t="s">
        <v>1849</v>
      </c>
      <c r="B98" s="117"/>
      <c r="C98" s="44" t="s">
        <v>1737</v>
      </c>
      <c r="D98" s="95">
        <v>0.77</v>
      </c>
      <c r="E98" s="95">
        <v>0.77</v>
      </c>
      <c r="F98" s="64" t="s">
        <v>1656</v>
      </c>
      <c r="H98" s="40"/>
      <c r="L98" s="35" t="s">
        <v>1832</v>
      </c>
      <c r="M98" s="35">
        <v>7492.0</v>
      </c>
      <c r="N98" s="35">
        <v>6557.0</v>
      </c>
    </row>
    <row r="99">
      <c r="A99" s="117" t="s">
        <v>1850</v>
      </c>
      <c r="B99" s="117"/>
      <c r="C99" s="44" t="s">
        <v>1737</v>
      </c>
      <c r="D99" s="95">
        <v>0.77</v>
      </c>
      <c r="E99" s="95">
        <v>0.77</v>
      </c>
      <c r="F99" s="64" t="s">
        <v>1656</v>
      </c>
      <c r="H99" s="40"/>
      <c r="L99" s="35" t="s">
        <v>1833</v>
      </c>
      <c r="M99" s="35">
        <v>3607.0</v>
      </c>
      <c r="N99" s="36"/>
    </row>
    <row r="100">
      <c r="A100" s="117" t="s">
        <v>1851</v>
      </c>
      <c r="B100" s="117"/>
      <c r="C100" s="44" t="s">
        <v>1737</v>
      </c>
      <c r="D100" s="95">
        <v>0.77</v>
      </c>
      <c r="E100" s="95">
        <v>0.77</v>
      </c>
      <c r="F100" s="64" t="s">
        <v>1656</v>
      </c>
      <c r="H100" s="40"/>
      <c r="L100" s="35" t="s">
        <v>1834</v>
      </c>
      <c r="M100" s="35">
        <v>3607.0</v>
      </c>
      <c r="N100" s="36"/>
    </row>
    <row r="101">
      <c r="A101" s="117" t="s">
        <v>1852</v>
      </c>
      <c r="B101" s="117"/>
      <c r="C101" s="44" t="s">
        <v>1737</v>
      </c>
      <c r="D101" s="95">
        <v>0.77</v>
      </c>
      <c r="E101" s="95">
        <v>0.77</v>
      </c>
      <c r="F101" s="64" t="s">
        <v>1656</v>
      </c>
      <c r="H101" s="40"/>
      <c r="L101" s="11" t="s">
        <v>1853</v>
      </c>
      <c r="M101" s="11">
        <v>3607.0</v>
      </c>
    </row>
    <row r="102">
      <c r="A102" s="117" t="s">
        <v>1854</v>
      </c>
      <c r="B102" s="117"/>
      <c r="C102" s="44" t="s">
        <v>1737</v>
      </c>
      <c r="D102" s="95">
        <v>0.77</v>
      </c>
      <c r="E102" s="95">
        <v>0.77</v>
      </c>
      <c r="F102" s="64" t="s">
        <v>1656</v>
      </c>
      <c r="H102" s="40"/>
      <c r="L102" s="35" t="s">
        <v>1835</v>
      </c>
      <c r="M102" s="35">
        <v>3607.0</v>
      </c>
      <c r="N102" s="36"/>
    </row>
    <row r="103">
      <c r="A103" s="117" t="s">
        <v>1855</v>
      </c>
      <c r="B103" s="117">
        <v>6675.0</v>
      </c>
      <c r="C103" s="44" t="s">
        <v>1737</v>
      </c>
      <c r="D103" s="74">
        <v>0.81</v>
      </c>
      <c r="E103" s="74">
        <v>0.81</v>
      </c>
      <c r="F103" s="64" t="s">
        <v>1656</v>
      </c>
      <c r="H103" s="40"/>
      <c r="L103" s="11" t="s">
        <v>1856</v>
      </c>
      <c r="M103" s="11">
        <v>3607.0</v>
      </c>
    </row>
    <row r="104">
      <c r="A104" s="117" t="s">
        <v>1857</v>
      </c>
      <c r="B104" s="117"/>
      <c r="C104" s="44" t="s">
        <v>1737</v>
      </c>
      <c r="D104" s="95">
        <v>0.77</v>
      </c>
      <c r="E104" s="95">
        <v>0.77</v>
      </c>
      <c r="F104" s="64" t="s">
        <v>1656</v>
      </c>
      <c r="H104" s="40"/>
      <c r="L104" s="35" t="s">
        <v>1836</v>
      </c>
      <c r="M104" s="35">
        <v>3607.0</v>
      </c>
      <c r="N104" s="36"/>
    </row>
    <row r="105">
      <c r="A105" s="117" t="s">
        <v>1858</v>
      </c>
      <c r="B105" s="120"/>
      <c r="C105" s="44" t="s">
        <v>1737</v>
      </c>
      <c r="D105" s="95">
        <v>0.77</v>
      </c>
      <c r="E105" s="95">
        <v>0.77</v>
      </c>
      <c r="F105" s="64" t="s">
        <v>1656</v>
      </c>
      <c r="H105" s="40"/>
      <c r="L105" s="11" t="s">
        <v>1837</v>
      </c>
      <c r="M105" s="121">
        <v>5389.0</v>
      </c>
    </row>
    <row r="106">
      <c r="A106" s="117" t="s">
        <v>1859</v>
      </c>
      <c r="B106" s="117"/>
      <c r="C106" s="44" t="s">
        <v>1737</v>
      </c>
      <c r="D106" s="95">
        <v>0.77</v>
      </c>
      <c r="E106" s="95">
        <v>0.77</v>
      </c>
      <c r="F106" s="64" t="s">
        <v>1656</v>
      </c>
      <c r="H106" s="40"/>
      <c r="L106" s="35" t="s">
        <v>1838</v>
      </c>
      <c r="M106" s="35">
        <v>189.0</v>
      </c>
      <c r="N106" s="36"/>
    </row>
    <row r="107">
      <c r="A107" s="117" t="s">
        <v>1860</v>
      </c>
      <c r="B107" s="117">
        <v>6675.0</v>
      </c>
      <c r="C107" s="44" t="s">
        <v>1737</v>
      </c>
      <c r="D107" s="74">
        <v>0.81</v>
      </c>
      <c r="E107" s="74">
        <v>0.81</v>
      </c>
      <c r="F107" s="64" t="s">
        <v>1656</v>
      </c>
      <c r="H107" s="40"/>
      <c r="L107" s="35" t="s">
        <v>1839</v>
      </c>
      <c r="M107" s="35">
        <v>189.0</v>
      </c>
      <c r="N107" s="36"/>
    </row>
    <row r="108">
      <c r="A108" s="117" t="s">
        <v>1861</v>
      </c>
      <c r="B108" s="117"/>
      <c r="C108" s="44" t="s">
        <v>1737</v>
      </c>
      <c r="D108" s="95">
        <v>0.77</v>
      </c>
      <c r="E108" s="95">
        <v>0.77</v>
      </c>
      <c r="F108" s="64" t="s">
        <v>1656</v>
      </c>
      <c r="H108" s="40"/>
      <c r="L108" s="35" t="s">
        <v>1841</v>
      </c>
      <c r="M108" s="35">
        <v>189.0</v>
      </c>
      <c r="N108" s="36"/>
    </row>
    <row r="109">
      <c r="A109" s="117" t="s">
        <v>1862</v>
      </c>
      <c r="B109" s="117"/>
      <c r="C109" s="44" t="s">
        <v>1737</v>
      </c>
      <c r="D109" s="95">
        <v>0.77</v>
      </c>
      <c r="E109" s="95">
        <v>0.77</v>
      </c>
      <c r="F109" s="64" t="s">
        <v>1656</v>
      </c>
      <c r="H109" s="40"/>
      <c r="L109" s="35" t="s">
        <v>1842</v>
      </c>
      <c r="M109" s="35">
        <v>189.0</v>
      </c>
      <c r="N109" s="36"/>
    </row>
    <row r="110">
      <c r="A110" s="117" t="s">
        <v>1863</v>
      </c>
      <c r="B110" s="117"/>
      <c r="C110" s="44" t="s">
        <v>1737</v>
      </c>
      <c r="D110" s="95">
        <v>0.77</v>
      </c>
      <c r="E110" s="95">
        <v>0.77</v>
      </c>
      <c r="F110" s="64" t="s">
        <v>1656</v>
      </c>
      <c r="H110" s="40"/>
      <c r="L110" s="35" t="s">
        <v>1843</v>
      </c>
      <c r="M110" s="35">
        <v>3607.0</v>
      </c>
      <c r="N110" s="36"/>
    </row>
    <row r="111">
      <c r="A111" s="117" t="s">
        <v>1864</v>
      </c>
      <c r="B111" s="117"/>
      <c r="C111" s="44" t="s">
        <v>1737</v>
      </c>
      <c r="D111" s="95">
        <v>0.77</v>
      </c>
      <c r="E111" s="95">
        <v>0.77</v>
      </c>
      <c r="F111" s="64" t="s">
        <v>1656</v>
      </c>
      <c r="H111" s="40"/>
      <c r="L111" s="35" t="s">
        <v>1844</v>
      </c>
      <c r="M111" s="35">
        <v>3607.0</v>
      </c>
      <c r="N111" s="36"/>
    </row>
    <row r="112">
      <c r="A112" s="117" t="s">
        <v>1865</v>
      </c>
      <c r="B112" s="117"/>
      <c r="C112" s="44" t="s">
        <v>1737</v>
      </c>
      <c r="D112" s="95">
        <v>0.77</v>
      </c>
      <c r="E112" s="95">
        <v>0.77</v>
      </c>
      <c r="F112" s="64" t="s">
        <v>1656</v>
      </c>
      <c r="H112" s="40"/>
      <c r="L112" s="35" t="s">
        <v>1845</v>
      </c>
      <c r="M112" s="35">
        <v>3607.0</v>
      </c>
      <c r="N112" s="36"/>
    </row>
    <row r="113">
      <c r="A113" s="117" t="s">
        <v>1866</v>
      </c>
      <c r="B113" s="117"/>
      <c r="C113" s="44" t="s">
        <v>1737</v>
      </c>
      <c r="D113" s="95">
        <v>0.77</v>
      </c>
      <c r="E113" s="95">
        <v>0.77</v>
      </c>
      <c r="F113" s="64" t="s">
        <v>1656</v>
      </c>
      <c r="H113" s="40"/>
      <c r="L113" s="35" t="s">
        <v>1846</v>
      </c>
      <c r="M113" s="35">
        <v>3378.0</v>
      </c>
      <c r="N113" s="36"/>
    </row>
    <row r="114">
      <c r="A114" s="117" t="s">
        <v>1867</v>
      </c>
      <c r="B114" s="117"/>
      <c r="C114" s="44" t="s">
        <v>1737</v>
      </c>
      <c r="D114" s="95">
        <v>0.77</v>
      </c>
      <c r="E114" s="95">
        <v>0.77</v>
      </c>
      <c r="F114" s="64" t="s">
        <v>1656</v>
      </c>
      <c r="H114" s="40"/>
      <c r="L114" s="35" t="s">
        <v>1847</v>
      </c>
      <c r="M114" s="35">
        <v>6530.0</v>
      </c>
      <c r="N114" s="35">
        <v>1360.0</v>
      </c>
    </row>
    <row r="115">
      <c r="A115" s="117" t="s">
        <v>1868</v>
      </c>
      <c r="B115" s="117"/>
      <c r="C115" s="44" t="s">
        <v>1737</v>
      </c>
      <c r="D115" s="95">
        <v>0.77</v>
      </c>
      <c r="E115" s="95">
        <v>0.77</v>
      </c>
      <c r="F115" s="64" t="s">
        <v>1656</v>
      </c>
      <c r="H115" s="40"/>
      <c r="L115" s="35" t="s">
        <v>1848</v>
      </c>
      <c r="M115" s="35">
        <v>6969.0</v>
      </c>
      <c r="N115" s="35" t="s">
        <v>207</v>
      </c>
    </row>
    <row r="116">
      <c r="A116" s="117" t="s">
        <v>1869</v>
      </c>
      <c r="B116" s="117"/>
      <c r="C116" s="44" t="s">
        <v>1737</v>
      </c>
      <c r="D116" s="95">
        <v>0.77</v>
      </c>
      <c r="E116" s="95">
        <v>0.77</v>
      </c>
      <c r="F116" s="64" t="s">
        <v>1656</v>
      </c>
      <c r="H116" s="40"/>
      <c r="L116" s="11" t="s">
        <v>1870</v>
      </c>
      <c r="M116" s="11">
        <v>7010.0</v>
      </c>
      <c r="N116" s="11">
        <v>6779.0</v>
      </c>
    </row>
    <row r="117">
      <c r="A117" s="117" t="s">
        <v>1871</v>
      </c>
      <c r="B117" s="117"/>
      <c r="C117" s="44" t="s">
        <v>1737</v>
      </c>
      <c r="D117" s="95">
        <v>0.77</v>
      </c>
      <c r="E117" s="95">
        <v>0.77</v>
      </c>
      <c r="F117" s="64" t="s">
        <v>1656</v>
      </c>
      <c r="H117" s="40"/>
      <c r="L117" s="35" t="s">
        <v>1849</v>
      </c>
      <c r="M117" s="35">
        <v>2345.0</v>
      </c>
      <c r="N117" s="36"/>
    </row>
    <row r="118">
      <c r="A118" s="117" t="s">
        <v>1872</v>
      </c>
      <c r="B118" s="117"/>
      <c r="C118" s="44" t="s">
        <v>1737</v>
      </c>
      <c r="D118" s="95">
        <v>0.77</v>
      </c>
      <c r="E118" s="95">
        <v>0.77</v>
      </c>
      <c r="F118" s="64" t="s">
        <v>1656</v>
      </c>
      <c r="H118" s="40"/>
      <c r="L118" s="35" t="s">
        <v>1850</v>
      </c>
      <c r="M118" s="35">
        <v>2345.0</v>
      </c>
      <c r="N118" s="36"/>
    </row>
    <row r="119">
      <c r="A119" s="117" t="s">
        <v>1873</v>
      </c>
      <c r="B119" s="117"/>
      <c r="C119" s="44" t="s">
        <v>1737</v>
      </c>
      <c r="D119" s="95">
        <v>0.77</v>
      </c>
      <c r="E119" s="95">
        <v>0.77</v>
      </c>
      <c r="F119" s="64" t="s">
        <v>1656</v>
      </c>
      <c r="H119" s="40"/>
      <c r="L119" s="35" t="s">
        <v>1851</v>
      </c>
      <c r="M119" s="35">
        <v>2345.0</v>
      </c>
      <c r="N119" s="36"/>
    </row>
    <row r="120">
      <c r="A120" s="117" t="s">
        <v>1874</v>
      </c>
      <c r="B120" s="117"/>
      <c r="C120" s="44" t="s">
        <v>1737</v>
      </c>
      <c r="D120" s="95">
        <v>0.77</v>
      </c>
      <c r="E120" s="95">
        <v>0.77</v>
      </c>
      <c r="F120" s="64" t="s">
        <v>1656</v>
      </c>
      <c r="H120" s="40"/>
      <c r="L120" s="35" t="s">
        <v>1852</v>
      </c>
      <c r="M120" s="35">
        <v>2345.0</v>
      </c>
      <c r="N120" s="36"/>
    </row>
    <row r="121">
      <c r="A121" s="117" t="s">
        <v>1875</v>
      </c>
      <c r="B121" s="117"/>
      <c r="C121" s="44" t="s">
        <v>1737</v>
      </c>
      <c r="D121" s="95">
        <v>0.77</v>
      </c>
      <c r="E121" s="95">
        <v>0.77</v>
      </c>
      <c r="F121" s="64" t="s">
        <v>1656</v>
      </c>
      <c r="H121" s="40"/>
      <c r="L121" s="35" t="s">
        <v>1854</v>
      </c>
      <c r="M121" s="35">
        <v>2345.0</v>
      </c>
      <c r="N121" s="36"/>
    </row>
    <row r="122">
      <c r="A122" s="117" t="s">
        <v>1876</v>
      </c>
      <c r="B122" s="117"/>
      <c r="C122" s="44" t="s">
        <v>1737</v>
      </c>
      <c r="D122" s="95">
        <v>0.77</v>
      </c>
      <c r="E122" s="95">
        <v>0.77</v>
      </c>
      <c r="F122" s="64" t="s">
        <v>1656</v>
      </c>
      <c r="H122" s="40"/>
      <c r="L122" s="11" t="s">
        <v>1877</v>
      </c>
      <c r="M122" s="11">
        <v>2345.0</v>
      </c>
    </row>
    <row r="123">
      <c r="A123" s="117" t="s">
        <v>1878</v>
      </c>
      <c r="B123" s="117"/>
      <c r="C123" s="44" t="s">
        <v>1737</v>
      </c>
      <c r="D123" s="95">
        <v>0.77</v>
      </c>
      <c r="E123" s="95">
        <v>0.77</v>
      </c>
      <c r="F123" s="64" t="s">
        <v>1656</v>
      </c>
      <c r="H123" s="40"/>
      <c r="L123" s="35" t="s">
        <v>1855</v>
      </c>
      <c r="M123" s="35">
        <v>2345.0</v>
      </c>
      <c r="N123" s="36"/>
    </row>
    <row r="124">
      <c r="A124" s="117" t="s">
        <v>1879</v>
      </c>
      <c r="B124" s="117"/>
      <c r="C124" s="44" t="s">
        <v>1737</v>
      </c>
      <c r="D124" s="95">
        <v>0.77</v>
      </c>
      <c r="E124" s="95">
        <v>0.77</v>
      </c>
      <c r="F124" s="64" t="s">
        <v>1656</v>
      </c>
      <c r="H124" s="40"/>
      <c r="L124" s="35" t="s">
        <v>1857</v>
      </c>
      <c r="M124" s="35">
        <v>6675.0</v>
      </c>
      <c r="N124" s="36"/>
    </row>
    <row r="125">
      <c r="A125" s="117" t="s">
        <v>1880</v>
      </c>
      <c r="B125" s="117"/>
      <c r="C125" s="44" t="s">
        <v>1737</v>
      </c>
      <c r="D125" s="95">
        <v>0.77</v>
      </c>
      <c r="E125" s="95">
        <v>0.77</v>
      </c>
      <c r="F125" s="64" t="s">
        <v>1656</v>
      </c>
      <c r="H125" s="40"/>
      <c r="L125" s="35" t="s">
        <v>1858</v>
      </c>
      <c r="M125" s="35">
        <v>3607.0</v>
      </c>
      <c r="N125" s="36"/>
    </row>
    <row r="126">
      <c r="A126" s="117" t="s">
        <v>1881</v>
      </c>
      <c r="B126" s="117"/>
      <c r="C126" s="44" t="s">
        <v>1737</v>
      </c>
      <c r="D126" s="95">
        <v>0.77</v>
      </c>
      <c r="E126" s="95">
        <v>0.77</v>
      </c>
      <c r="F126" s="64" t="s">
        <v>1656</v>
      </c>
      <c r="H126" s="40"/>
      <c r="L126" s="35" t="s">
        <v>1859</v>
      </c>
      <c r="M126" s="35">
        <v>3607.0</v>
      </c>
      <c r="N126" s="36"/>
    </row>
    <row r="127">
      <c r="A127" s="117" t="s">
        <v>1882</v>
      </c>
      <c r="B127" s="117"/>
      <c r="C127" s="44" t="s">
        <v>1737</v>
      </c>
      <c r="D127" s="95">
        <v>0.77</v>
      </c>
      <c r="E127" s="95">
        <v>0.77</v>
      </c>
      <c r="F127" s="64" t="s">
        <v>1656</v>
      </c>
      <c r="H127" s="40"/>
      <c r="L127" s="11" t="s">
        <v>1883</v>
      </c>
      <c r="M127" s="11">
        <v>6675.0</v>
      </c>
    </row>
    <row r="128">
      <c r="A128" s="117" t="s">
        <v>1884</v>
      </c>
      <c r="B128" s="117"/>
      <c r="C128" s="44" t="s">
        <v>1737</v>
      </c>
      <c r="D128" s="95">
        <v>0.77</v>
      </c>
      <c r="E128" s="95">
        <v>0.77</v>
      </c>
      <c r="F128" s="64" t="s">
        <v>1656</v>
      </c>
      <c r="H128" s="40"/>
      <c r="L128" s="35" t="s">
        <v>1860</v>
      </c>
      <c r="M128" s="35">
        <v>6557.0</v>
      </c>
      <c r="N128" s="36"/>
    </row>
    <row r="129">
      <c r="A129" s="117" t="s">
        <v>1885</v>
      </c>
      <c r="B129" s="117"/>
      <c r="C129" s="44" t="s">
        <v>1737</v>
      </c>
      <c r="D129" s="95">
        <v>0.77</v>
      </c>
      <c r="E129" s="95">
        <v>0.77</v>
      </c>
      <c r="F129" s="64" t="s">
        <v>1656</v>
      </c>
      <c r="H129" s="40"/>
      <c r="L129" s="11" t="s">
        <v>1886</v>
      </c>
      <c r="M129" s="11">
        <v>6133.0</v>
      </c>
    </row>
    <row r="130">
      <c r="A130" s="117" t="s">
        <v>1887</v>
      </c>
      <c r="B130" s="117"/>
      <c r="C130" s="44" t="s">
        <v>1737</v>
      </c>
      <c r="D130" s="95">
        <v>0.77</v>
      </c>
      <c r="E130" s="95">
        <v>0.77</v>
      </c>
      <c r="F130" s="64" t="s">
        <v>1656</v>
      </c>
      <c r="H130" s="40"/>
      <c r="L130" s="35" t="s">
        <v>1861</v>
      </c>
      <c r="M130" s="35">
        <v>6133.0</v>
      </c>
      <c r="N130" s="36"/>
    </row>
    <row r="131">
      <c r="A131" s="117" t="s">
        <v>1888</v>
      </c>
      <c r="B131" s="117"/>
      <c r="C131" s="44" t="s">
        <v>1737</v>
      </c>
      <c r="D131" s="95">
        <v>0.77</v>
      </c>
      <c r="E131" s="95">
        <v>0.77</v>
      </c>
      <c r="F131" s="64" t="s">
        <v>1656</v>
      </c>
      <c r="H131" s="40"/>
      <c r="L131" s="11" t="s">
        <v>1889</v>
      </c>
      <c r="M131" s="11">
        <v>6949.0</v>
      </c>
    </row>
    <row r="132">
      <c r="A132" s="117" t="s">
        <v>1890</v>
      </c>
      <c r="B132" s="117"/>
      <c r="C132" s="44" t="s">
        <v>1737</v>
      </c>
      <c r="D132" s="95">
        <v>0.77</v>
      </c>
      <c r="E132" s="95">
        <v>0.77</v>
      </c>
      <c r="F132" s="64" t="s">
        <v>1656</v>
      </c>
      <c r="H132" s="40"/>
      <c r="L132" s="35" t="s">
        <v>1862</v>
      </c>
      <c r="M132" s="35">
        <v>6949.0</v>
      </c>
      <c r="N132" s="36"/>
    </row>
    <row r="133">
      <c r="A133" s="117" t="s">
        <v>1891</v>
      </c>
      <c r="B133" s="117"/>
      <c r="C133" s="44" t="s">
        <v>1737</v>
      </c>
      <c r="D133" s="95">
        <v>0.77</v>
      </c>
      <c r="E133" s="95">
        <v>0.77</v>
      </c>
      <c r="F133" s="64" t="s">
        <v>1656</v>
      </c>
      <c r="H133" s="40"/>
      <c r="L133" s="35" t="s">
        <v>1863</v>
      </c>
      <c r="M133" s="35">
        <v>6949.0</v>
      </c>
      <c r="N133" s="36"/>
    </row>
    <row r="134">
      <c r="A134" s="117" t="s">
        <v>1892</v>
      </c>
      <c r="B134" s="117"/>
      <c r="C134" s="44" t="s">
        <v>1737</v>
      </c>
      <c r="D134" s="95">
        <v>0.77</v>
      </c>
      <c r="E134" s="95">
        <v>0.77</v>
      </c>
      <c r="F134" s="64" t="s">
        <v>1656</v>
      </c>
      <c r="H134" s="40"/>
      <c r="L134" s="35" t="s">
        <v>1864</v>
      </c>
      <c r="M134" s="35">
        <v>6463.0</v>
      </c>
      <c r="N134" s="36"/>
    </row>
    <row r="135">
      <c r="A135" s="117" t="s">
        <v>1893</v>
      </c>
      <c r="B135" s="117"/>
      <c r="C135" s="44" t="s">
        <v>1737</v>
      </c>
      <c r="D135" s="95">
        <v>0.77</v>
      </c>
      <c r="E135" s="95">
        <v>0.77</v>
      </c>
      <c r="F135" s="64" t="s">
        <v>1656</v>
      </c>
      <c r="H135" s="40"/>
      <c r="L135" s="35" t="s">
        <v>1865</v>
      </c>
      <c r="M135" s="35">
        <v>6133.0</v>
      </c>
      <c r="N135" s="36"/>
    </row>
    <row r="136">
      <c r="A136" s="117" t="s">
        <v>1894</v>
      </c>
      <c r="B136" s="117"/>
      <c r="C136" s="44" t="s">
        <v>1737</v>
      </c>
      <c r="D136" s="95">
        <v>0.77</v>
      </c>
      <c r="E136" s="95">
        <v>0.77</v>
      </c>
      <c r="F136" s="64" t="s">
        <v>1656</v>
      </c>
      <c r="H136" s="40"/>
      <c r="L136" s="35" t="s">
        <v>1866</v>
      </c>
      <c r="M136" s="35">
        <v>6133.0</v>
      </c>
      <c r="N136" s="36"/>
    </row>
    <row r="137">
      <c r="A137" s="117" t="s">
        <v>1895</v>
      </c>
      <c r="B137" s="117"/>
      <c r="C137" s="44" t="s">
        <v>1737</v>
      </c>
      <c r="D137" s="95">
        <v>0.77</v>
      </c>
      <c r="E137" s="95">
        <v>0.77</v>
      </c>
      <c r="F137" s="64" t="s">
        <v>1656</v>
      </c>
      <c r="H137" s="40"/>
      <c r="L137" s="35" t="s">
        <v>1867</v>
      </c>
      <c r="M137" s="35">
        <v>6727.0</v>
      </c>
      <c r="N137" s="36"/>
    </row>
    <row r="138">
      <c r="A138" s="117" t="s">
        <v>1896</v>
      </c>
      <c r="B138" s="117"/>
      <c r="C138" s="44" t="s">
        <v>1737</v>
      </c>
      <c r="D138" s="95">
        <v>0.77</v>
      </c>
      <c r="E138" s="95">
        <v>0.77</v>
      </c>
      <c r="F138" s="64" t="s">
        <v>1656</v>
      </c>
      <c r="H138" s="40"/>
      <c r="L138" s="35" t="s">
        <v>1868</v>
      </c>
      <c r="M138" s="35">
        <v>6671.0</v>
      </c>
      <c r="N138" s="36"/>
    </row>
    <row r="139">
      <c r="A139" s="117" t="s">
        <v>1897</v>
      </c>
      <c r="B139" s="117"/>
      <c r="C139" s="44" t="s">
        <v>1737</v>
      </c>
      <c r="D139" s="95">
        <v>0.77</v>
      </c>
      <c r="E139" s="95">
        <v>0.77</v>
      </c>
      <c r="F139" s="64" t="s">
        <v>1656</v>
      </c>
      <c r="H139" s="40"/>
      <c r="L139" s="35" t="s">
        <v>1869</v>
      </c>
      <c r="M139" s="35">
        <v>6557.0</v>
      </c>
      <c r="N139" s="36"/>
    </row>
    <row r="140">
      <c r="A140" s="117" t="s">
        <v>1898</v>
      </c>
      <c r="B140" s="117"/>
      <c r="C140" s="44" t="s">
        <v>1737</v>
      </c>
      <c r="D140" s="95">
        <v>0.77</v>
      </c>
      <c r="E140" s="95">
        <v>0.77</v>
      </c>
      <c r="F140" s="64" t="s">
        <v>1656</v>
      </c>
      <c r="H140" s="40"/>
      <c r="L140" s="35" t="s">
        <v>1871</v>
      </c>
      <c r="M140" s="35">
        <v>6727.0</v>
      </c>
      <c r="N140" s="36"/>
    </row>
    <row r="141">
      <c r="A141" s="117" t="s">
        <v>1899</v>
      </c>
      <c r="B141" s="117"/>
      <c r="C141" s="44" t="s">
        <v>1737</v>
      </c>
      <c r="D141" s="95">
        <v>0.77</v>
      </c>
      <c r="E141" s="95">
        <v>0.77</v>
      </c>
      <c r="F141" s="64" t="s">
        <v>1656</v>
      </c>
      <c r="H141" s="40"/>
      <c r="L141" s="35" t="s">
        <v>1872</v>
      </c>
      <c r="M141" s="35">
        <v>6727.0</v>
      </c>
      <c r="N141" s="36"/>
    </row>
    <row r="142">
      <c r="A142" s="117" t="s">
        <v>1900</v>
      </c>
      <c r="B142" s="117"/>
      <c r="C142" s="44" t="s">
        <v>1737</v>
      </c>
      <c r="D142" s="95">
        <v>0.77</v>
      </c>
      <c r="E142" s="95">
        <v>0.77</v>
      </c>
      <c r="F142" s="64" t="s">
        <v>1656</v>
      </c>
      <c r="H142" s="40"/>
      <c r="L142" s="35" t="s">
        <v>1873</v>
      </c>
      <c r="M142" s="35">
        <v>2207.0</v>
      </c>
      <c r="N142" s="36"/>
    </row>
    <row r="143">
      <c r="A143" s="117" t="s">
        <v>1901</v>
      </c>
      <c r="B143" s="117"/>
      <c r="C143" s="44" t="s">
        <v>1737</v>
      </c>
      <c r="D143" s="95">
        <v>0.77</v>
      </c>
      <c r="E143" s="95">
        <v>0.77</v>
      </c>
      <c r="F143" s="64" t="s">
        <v>1656</v>
      </c>
      <c r="H143" s="40"/>
      <c r="L143" s="35" t="s">
        <v>1874</v>
      </c>
      <c r="M143" s="35">
        <v>6732.0</v>
      </c>
      <c r="N143" s="36"/>
    </row>
    <row r="144">
      <c r="A144" s="117" t="s">
        <v>1902</v>
      </c>
      <c r="B144" s="117"/>
      <c r="C144" s="44" t="s">
        <v>1737</v>
      </c>
      <c r="D144" s="95">
        <v>0.77</v>
      </c>
      <c r="E144" s="95">
        <v>0.77</v>
      </c>
      <c r="F144" s="64" t="s">
        <v>1656</v>
      </c>
      <c r="H144" s="40"/>
      <c r="L144" s="35" t="s">
        <v>1875</v>
      </c>
      <c r="M144" s="35">
        <v>6530.0</v>
      </c>
      <c r="N144" s="35">
        <v>6998.0</v>
      </c>
    </row>
    <row r="145">
      <c r="A145" s="117" t="s">
        <v>1903</v>
      </c>
      <c r="B145" s="117"/>
      <c r="C145" s="44" t="s">
        <v>1737</v>
      </c>
      <c r="D145" s="95">
        <v>0.77</v>
      </c>
      <c r="E145" s="95">
        <v>0.77</v>
      </c>
      <c r="F145" s="64" t="s">
        <v>1656</v>
      </c>
      <c r="H145" s="40"/>
      <c r="L145" s="35" t="s">
        <v>1876</v>
      </c>
      <c r="M145" s="35">
        <v>6133.0</v>
      </c>
      <c r="N145" s="36"/>
    </row>
    <row r="146">
      <c r="A146" s="117" t="s">
        <v>1904</v>
      </c>
      <c r="B146" s="117"/>
      <c r="C146" s="44" t="s">
        <v>1737</v>
      </c>
      <c r="D146" s="95">
        <v>0.77</v>
      </c>
      <c r="E146" s="95">
        <v>0.77</v>
      </c>
      <c r="F146" s="64" t="s">
        <v>1656</v>
      </c>
      <c r="H146" s="40"/>
      <c r="L146" s="35" t="s">
        <v>1878</v>
      </c>
      <c r="M146" s="35">
        <v>6133.0</v>
      </c>
      <c r="N146" s="36"/>
    </row>
    <row r="147">
      <c r="A147" s="117" t="s">
        <v>1905</v>
      </c>
      <c r="B147" s="117"/>
      <c r="C147" s="44" t="s">
        <v>1737</v>
      </c>
      <c r="D147" s="95">
        <v>0.77</v>
      </c>
      <c r="E147" s="95">
        <v>0.77</v>
      </c>
      <c r="F147" s="64" t="s">
        <v>1656</v>
      </c>
      <c r="H147" s="40"/>
      <c r="L147" s="35" t="s">
        <v>1879</v>
      </c>
      <c r="M147" s="35">
        <v>3142.0</v>
      </c>
      <c r="N147" s="36"/>
    </row>
    <row r="148">
      <c r="A148" s="117" t="s">
        <v>1906</v>
      </c>
      <c r="B148" s="117"/>
      <c r="C148" s="44" t="s">
        <v>1737</v>
      </c>
      <c r="D148" s="95">
        <v>0.77</v>
      </c>
      <c r="E148" s="95">
        <v>0.77</v>
      </c>
      <c r="F148" s="64" t="s">
        <v>1656</v>
      </c>
      <c r="H148" s="40"/>
      <c r="L148" s="35" t="s">
        <v>1880</v>
      </c>
      <c r="M148" s="35">
        <v>467.0</v>
      </c>
      <c r="N148" s="36"/>
    </row>
    <row r="149">
      <c r="A149" s="117" t="s">
        <v>1907</v>
      </c>
      <c r="B149" s="117"/>
      <c r="C149" s="44" t="s">
        <v>1737</v>
      </c>
      <c r="D149" s="95">
        <v>0.77</v>
      </c>
      <c r="E149" s="95">
        <v>0.77</v>
      </c>
      <c r="F149" s="64" t="s">
        <v>1656</v>
      </c>
      <c r="H149" s="40"/>
      <c r="L149" s="35" t="s">
        <v>1881</v>
      </c>
      <c r="M149" s="35">
        <v>467.0</v>
      </c>
      <c r="N149" s="36"/>
    </row>
    <row r="150">
      <c r="A150" s="117" t="s">
        <v>1908</v>
      </c>
      <c r="B150" s="117"/>
      <c r="C150" s="44" t="s">
        <v>1737</v>
      </c>
      <c r="D150" s="95">
        <v>0.77</v>
      </c>
      <c r="E150" s="95">
        <v>0.77</v>
      </c>
      <c r="F150" s="64" t="s">
        <v>1656</v>
      </c>
      <c r="H150" s="40"/>
      <c r="L150" s="35" t="s">
        <v>1882</v>
      </c>
      <c r="M150" s="35">
        <v>6557.0</v>
      </c>
      <c r="N150" s="36"/>
    </row>
    <row r="151">
      <c r="A151" s="117" t="s">
        <v>1909</v>
      </c>
      <c r="B151" s="117"/>
      <c r="C151" s="44" t="s">
        <v>1737</v>
      </c>
      <c r="D151" s="95">
        <v>0.77</v>
      </c>
      <c r="E151" s="95">
        <v>0.77</v>
      </c>
      <c r="F151" s="64" t="s">
        <v>1656</v>
      </c>
      <c r="H151" s="40"/>
      <c r="L151" s="35" t="s">
        <v>1884</v>
      </c>
      <c r="M151" s="35">
        <v>499.0</v>
      </c>
      <c r="N151" s="36"/>
    </row>
    <row r="152">
      <c r="A152" s="117" t="s">
        <v>1910</v>
      </c>
      <c r="B152" s="117"/>
      <c r="C152" s="44" t="s">
        <v>1737</v>
      </c>
      <c r="D152" s="95">
        <v>0.77</v>
      </c>
      <c r="E152" s="95">
        <v>0.77</v>
      </c>
      <c r="F152" s="64" t="s">
        <v>1656</v>
      </c>
      <c r="H152" s="40"/>
      <c r="L152" s="35" t="s">
        <v>1885</v>
      </c>
      <c r="M152" s="35">
        <v>930.0</v>
      </c>
      <c r="N152" s="36"/>
    </row>
    <row r="153">
      <c r="A153" s="117" t="s">
        <v>1911</v>
      </c>
      <c r="B153" s="117"/>
      <c r="C153" s="44" t="s">
        <v>1737</v>
      </c>
      <c r="D153" s="95">
        <v>0.77</v>
      </c>
      <c r="E153" s="95">
        <v>0.77</v>
      </c>
      <c r="F153" s="64" t="s">
        <v>1656</v>
      </c>
      <c r="H153" s="40"/>
      <c r="L153" s="35" t="s">
        <v>1887</v>
      </c>
      <c r="M153" s="35">
        <v>6732.0</v>
      </c>
      <c r="N153" s="36"/>
    </row>
    <row r="154">
      <c r="A154" s="117" t="s">
        <v>1912</v>
      </c>
      <c r="B154" s="117"/>
      <c r="C154" s="44" t="s">
        <v>1737</v>
      </c>
      <c r="D154" s="95">
        <v>0.77</v>
      </c>
      <c r="E154" s="95">
        <v>0.77</v>
      </c>
      <c r="F154" s="64" t="s">
        <v>1656</v>
      </c>
      <c r="H154" s="40"/>
      <c r="L154" s="35" t="s">
        <v>1888</v>
      </c>
      <c r="M154" s="35">
        <v>4933.0</v>
      </c>
      <c r="N154" s="36"/>
    </row>
    <row r="155">
      <c r="A155" s="117" t="s">
        <v>1913</v>
      </c>
      <c r="B155" s="117"/>
      <c r="C155" s="44" t="s">
        <v>1737</v>
      </c>
      <c r="D155" s="95">
        <v>0.77</v>
      </c>
      <c r="E155" s="95">
        <v>0.77</v>
      </c>
      <c r="F155" s="64" t="s">
        <v>1656</v>
      </c>
      <c r="H155" s="40"/>
      <c r="L155" s="35" t="s">
        <v>1890</v>
      </c>
      <c r="M155" s="35">
        <v>4933.0</v>
      </c>
      <c r="N155" s="36"/>
    </row>
    <row r="156">
      <c r="A156" s="117" t="s">
        <v>1914</v>
      </c>
      <c r="B156" s="117"/>
      <c r="C156" s="44" t="s">
        <v>1737</v>
      </c>
      <c r="D156" s="95">
        <v>0.77</v>
      </c>
      <c r="E156" s="95">
        <v>0.77</v>
      </c>
      <c r="F156" s="64" t="s">
        <v>1656</v>
      </c>
      <c r="H156" s="40"/>
      <c r="L156" s="35" t="s">
        <v>1891</v>
      </c>
      <c r="M156" s="35">
        <v>4933.0</v>
      </c>
      <c r="N156" s="36"/>
    </row>
    <row r="157">
      <c r="A157" s="117" t="s">
        <v>1915</v>
      </c>
      <c r="B157" s="117"/>
      <c r="C157" s="44" t="s">
        <v>1737</v>
      </c>
      <c r="D157" s="95">
        <v>0.77</v>
      </c>
      <c r="E157" s="95">
        <v>0.77</v>
      </c>
      <c r="F157" s="64" t="s">
        <v>1656</v>
      </c>
      <c r="H157" s="40"/>
      <c r="L157" s="35" t="s">
        <v>1892</v>
      </c>
      <c r="M157" s="35">
        <v>6736.0</v>
      </c>
      <c r="N157" s="36"/>
    </row>
    <row r="158">
      <c r="A158" s="117" t="s">
        <v>1916</v>
      </c>
      <c r="B158" s="117"/>
      <c r="C158" s="44" t="s">
        <v>1737</v>
      </c>
      <c r="D158" s="95">
        <v>0.77</v>
      </c>
      <c r="E158" s="95">
        <v>0.77</v>
      </c>
      <c r="F158" s="64" t="s">
        <v>1656</v>
      </c>
      <c r="H158" s="40"/>
      <c r="L158" s="35" t="s">
        <v>1893</v>
      </c>
      <c r="M158" s="35">
        <v>6732.0</v>
      </c>
      <c r="N158" s="36"/>
    </row>
    <row r="159">
      <c r="A159" s="117" t="s">
        <v>1917</v>
      </c>
      <c r="B159" s="117"/>
      <c r="C159" s="44" t="s">
        <v>1737</v>
      </c>
      <c r="D159" s="95">
        <v>0.77</v>
      </c>
      <c r="E159" s="95">
        <v>0.77</v>
      </c>
      <c r="F159" s="64" t="s">
        <v>1656</v>
      </c>
      <c r="H159" s="40"/>
      <c r="L159" s="35" t="s">
        <v>1894</v>
      </c>
      <c r="M159" s="35">
        <v>6732.0</v>
      </c>
      <c r="N159" s="36"/>
    </row>
    <row r="160">
      <c r="A160" s="117" t="s">
        <v>1918</v>
      </c>
      <c r="B160" s="117"/>
      <c r="C160" s="44" t="s">
        <v>1737</v>
      </c>
      <c r="D160" s="95">
        <v>0.77</v>
      </c>
      <c r="E160" s="95">
        <v>0.77</v>
      </c>
      <c r="F160" s="64" t="s">
        <v>1656</v>
      </c>
      <c r="H160" s="40"/>
      <c r="L160" s="35" t="s">
        <v>1895</v>
      </c>
      <c r="M160" s="35">
        <v>6732.0</v>
      </c>
      <c r="N160" s="36"/>
    </row>
    <row r="161">
      <c r="A161" s="117" t="s">
        <v>1919</v>
      </c>
      <c r="B161" s="117"/>
      <c r="C161" s="44" t="s">
        <v>1737</v>
      </c>
      <c r="D161" s="95">
        <v>0.77</v>
      </c>
      <c r="E161" s="95">
        <v>0.77</v>
      </c>
      <c r="F161" s="64" t="s">
        <v>1656</v>
      </c>
      <c r="H161" s="40"/>
      <c r="L161" s="35" t="s">
        <v>1896</v>
      </c>
      <c r="M161" s="35">
        <v>6557.0</v>
      </c>
      <c r="N161" s="36"/>
    </row>
    <row r="162">
      <c r="A162" s="117" t="s">
        <v>1920</v>
      </c>
      <c r="B162" s="117"/>
      <c r="C162" s="44" t="s">
        <v>1737</v>
      </c>
      <c r="D162" s="95">
        <v>0.77</v>
      </c>
      <c r="E162" s="95">
        <v>0.77</v>
      </c>
      <c r="F162" s="64" t="s">
        <v>1656</v>
      </c>
      <c r="H162" s="40"/>
      <c r="L162" s="35" t="s">
        <v>1897</v>
      </c>
      <c r="M162" s="35">
        <v>6736.0</v>
      </c>
      <c r="N162" s="36"/>
    </row>
    <row r="163">
      <c r="A163" s="117" t="s">
        <v>1921</v>
      </c>
      <c r="B163" s="117"/>
      <c r="C163" s="44" t="s">
        <v>1737</v>
      </c>
      <c r="D163" s="95">
        <v>0.77</v>
      </c>
      <c r="E163" s="95">
        <v>0.77</v>
      </c>
      <c r="F163" s="64" t="s">
        <v>1656</v>
      </c>
      <c r="H163" s="40"/>
      <c r="L163" s="35" t="s">
        <v>1898</v>
      </c>
      <c r="M163" s="35">
        <v>6732.0</v>
      </c>
      <c r="N163" s="36"/>
    </row>
    <row r="164">
      <c r="A164" s="117" t="s">
        <v>1922</v>
      </c>
      <c r="B164" s="117"/>
      <c r="C164" s="44" t="s">
        <v>1737</v>
      </c>
      <c r="D164" s="95">
        <v>0.77</v>
      </c>
      <c r="E164" s="95">
        <v>0.77</v>
      </c>
      <c r="F164" s="64" t="s">
        <v>1656</v>
      </c>
      <c r="H164" s="40"/>
      <c r="L164" s="35" t="s">
        <v>1899</v>
      </c>
      <c r="M164" s="35">
        <v>3607.0</v>
      </c>
      <c r="N164" s="36"/>
    </row>
    <row r="165">
      <c r="A165" s="117" t="s">
        <v>1923</v>
      </c>
      <c r="B165" s="117"/>
      <c r="C165" s="44" t="s">
        <v>1737</v>
      </c>
      <c r="D165" s="95">
        <v>0.77</v>
      </c>
      <c r="E165" s="95">
        <v>0.77</v>
      </c>
      <c r="F165" s="64" t="s">
        <v>1656</v>
      </c>
      <c r="H165" s="40"/>
      <c r="L165" s="35" t="s">
        <v>1900</v>
      </c>
      <c r="M165" s="35">
        <v>3607.0</v>
      </c>
      <c r="N165" s="36"/>
    </row>
    <row r="166">
      <c r="A166" s="117" t="s">
        <v>1924</v>
      </c>
      <c r="B166" s="117"/>
      <c r="C166" s="44" t="s">
        <v>1737</v>
      </c>
      <c r="D166" s="95">
        <v>0.77</v>
      </c>
      <c r="E166" s="95">
        <v>0.77</v>
      </c>
      <c r="F166" s="64" t="s">
        <v>1656</v>
      </c>
      <c r="H166" s="40"/>
      <c r="L166" s="35" t="s">
        <v>1901</v>
      </c>
      <c r="M166" s="35">
        <v>3607.0</v>
      </c>
      <c r="N166" s="36"/>
    </row>
    <row r="167">
      <c r="A167" s="117" t="s">
        <v>1925</v>
      </c>
      <c r="B167" s="117"/>
      <c r="C167" s="44" t="s">
        <v>1737</v>
      </c>
      <c r="D167" s="95">
        <v>0.77</v>
      </c>
      <c r="E167" s="95">
        <v>0.77</v>
      </c>
      <c r="F167" s="64" t="s">
        <v>1656</v>
      </c>
      <c r="H167" s="40"/>
      <c r="L167" s="35" t="s">
        <v>1902</v>
      </c>
      <c r="M167" s="35">
        <v>3607.0</v>
      </c>
      <c r="N167" s="36"/>
    </row>
    <row r="168">
      <c r="A168" s="117" t="s">
        <v>1926</v>
      </c>
      <c r="B168" s="117"/>
      <c r="C168" s="44" t="s">
        <v>1737</v>
      </c>
      <c r="D168" s="95">
        <v>0.77</v>
      </c>
      <c r="E168" s="95">
        <v>0.77</v>
      </c>
      <c r="F168" s="64" t="s">
        <v>1656</v>
      </c>
      <c r="H168" s="40"/>
      <c r="L168" s="35" t="s">
        <v>1903</v>
      </c>
      <c r="M168" s="35">
        <v>3607.0</v>
      </c>
      <c r="N168" s="36"/>
    </row>
    <row r="169">
      <c r="A169" s="117" t="s">
        <v>1927</v>
      </c>
      <c r="B169" s="117"/>
      <c r="C169" s="44" t="s">
        <v>1737</v>
      </c>
      <c r="D169" s="95">
        <v>0.77</v>
      </c>
      <c r="E169" s="95">
        <v>0.77</v>
      </c>
      <c r="F169" s="64" t="s">
        <v>1656</v>
      </c>
      <c r="H169" s="40"/>
      <c r="L169" s="35" t="s">
        <v>1904</v>
      </c>
      <c r="M169" s="35">
        <v>3607.0</v>
      </c>
      <c r="N169" s="36"/>
    </row>
    <row r="170">
      <c r="A170" s="117" t="s">
        <v>1928</v>
      </c>
      <c r="B170" s="117"/>
      <c r="C170" s="44" t="s">
        <v>1737</v>
      </c>
      <c r="D170" s="95">
        <v>0.77</v>
      </c>
      <c r="E170" s="95">
        <v>0.77</v>
      </c>
      <c r="F170" s="64" t="s">
        <v>1656</v>
      </c>
      <c r="H170" s="40"/>
      <c r="L170" s="35" t="s">
        <v>1905</v>
      </c>
      <c r="M170" s="35">
        <v>3607.0</v>
      </c>
      <c r="N170" s="36"/>
    </row>
    <row r="171">
      <c r="A171" s="117" t="s">
        <v>1929</v>
      </c>
      <c r="B171" s="117"/>
      <c r="C171" s="44" t="s">
        <v>1737</v>
      </c>
      <c r="D171" s="95">
        <v>0.77</v>
      </c>
      <c r="E171" s="95">
        <v>0.77</v>
      </c>
      <c r="F171" s="64" t="s">
        <v>1656</v>
      </c>
      <c r="H171" s="40"/>
      <c r="L171" s="35" t="s">
        <v>1906</v>
      </c>
      <c r="M171" s="35">
        <v>3607.0</v>
      </c>
      <c r="N171" s="36"/>
    </row>
    <row r="172">
      <c r="A172" s="117" t="s">
        <v>1930</v>
      </c>
      <c r="B172" s="117"/>
      <c r="C172" s="44" t="s">
        <v>1737</v>
      </c>
      <c r="D172" s="95">
        <v>0.77</v>
      </c>
      <c r="E172" s="95">
        <v>0.77</v>
      </c>
      <c r="F172" s="64" t="s">
        <v>1656</v>
      </c>
      <c r="H172" s="40"/>
      <c r="L172" s="35" t="s">
        <v>1907</v>
      </c>
      <c r="M172" s="35">
        <v>6779.0</v>
      </c>
      <c r="N172" s="36"/>
    </row>
    <row r="173">
      <c r="A173" s="117" t="s">
        <v>1931</v>
      </c>
      <c r="B173" s="117"/>
      <c r="C173" s="44" t="s">
        <v>1737</v>
      </c>
      <c r="D173" s="95">
        <v>0.77</v>
      </c>
      <c r="E173" s="95">
        <v>0.77</v>
      </c>
      <c r="F173" s="64" t="s">
        <v>1656</v>
      </c>
      <c r="H173" s="40"/>
      <c r="L173" s="35" t="s">
        <v>1908</v>
      </c>
      <c r="M173" s="35">
        <v>3607.0</v>
      </c>
      <c r="N173" s="36"/>
    </row>
    <row r="174">
      <c r="A174" s="117" t="s">
        <v>1932</v>
      </c>
      <c r="B174" s="117"/>
      <c r="C174" s="44" t="s">
        <v>1737</v>
      </c>
      <c r="D174" s="95">
        <v>0.77</v>
      </c>
      <c r="E174" s="95">
        <v>0.77</v>
      </c>
      <c r="F174" s="64" t="s">
        <v>1656</v>
      </c>
      <c r="H174" s="40"/>
      <c r="L174" s="35" t="s">
        <v>1909</v>
      </c>
      <c r="M174" s="35">
        <v>189.0</v>
      </c>
      <c r="N174" s="36"/>
    </row>
    <row r="175">
      <c r="A175" s="117" t="s">
        <v>1933</v>
      </c>
      <c r="B175" s="117"/>
      <c r="C175" s="44" t="s">
        <v>1737</v>
      </c>
      <c r="D175" s="95">
        <v>0.77</v>
      </c>
      <c r="E175" s="95">
        <v>0.77</v>
      </c>
      <c r="F175" s="64" t="s">
        <v>1656</v>
      </c>
      <c r="H175" s="40"/>
      <c r="L175" s="35" t="s">
        <v>1910</v>
      </c>
      <c r="M175" s="35">
        <v>189.0</v>
      </c>
      <c r="N175" s="36"/>
    </row>
    <row r="176">
      <c r="A176" s="117" t="s">
        <v>1934</v>
      </c>
      <c r="B176" s="117"/>
      <c r="C176" s="44" t="s">
        <v>1737</v>
      </c>
      <c r="D176" s="95">
        <v>0.77</v>
      </c>
      <c r="E176" s="95">
        <v>0.77</v>
      </c>
      <c r="F176" s="64" t="s">
        <v>1656</v>
      </c>
      <c r="H176" s="40"/>
      <c r="L176" s="11" t="s">
        <v>1935</v>
      </c>
      <c r="M176" s="11">
        <v>189.0</v>
      </c>
    </row>
    <row r="177">
      <c r="A177" s="117" t="s">
        <v>1936</v>
      </c>
      <c r="B177" s="117"/>
      <c r="C177" s="44" t="s">
        <v>1737</v>
      </c>
      <c r="D177" s="95">
        <v>0.77</v>
      </c>
      <c r="E177" s="95">
        <v>0.77</v>
      </c>
      <c r="F177" s="64" t="s">
        <v>1656</v>
      </c>
      <c r="H177" s="40"/>
      <c r="L177" s="35" t="s">
        <v>1911</v>
      </c>
      <c r="M177" s="35">
        <v>3607.0</v>
      </c>
      <c r="N177" s="36"/>
    </row>
    <row r="178">
      <c r="A178" s="117" t="s">
        <v>1937</v>
      </c>
      <c r="B178" s="117"/>
      <c r="C178" s="44" t="s">
        <v>1737</v>
      </c>
      <c r="D178" s="95">
        <v>0.77</v>
      </c>
      <c r="E178" s="95">
        <v>0.77</v>
      </c>
      <c r="F178" s="64" t="s">
        <v>1656</v>
      </c>
      <c r="H178" s="40"/>
      <c r="L178" s="35" t="s">
        <v>1912</v>
      </c>
      <c r="M178" s="35">
        <v>3607.0</v>
      </c>
      <c r="N178" s="36"/>
    </row>
    <row r="179">
      <c r="A179" s="117" t="s">
        <v>1938</v>
      </c>
      <c r="B179" s="117"/>
      <c r="C179" s="44" t="s">
        <v>1737</v>
      </c>
      <c r="D179" s="95">
        <v>0.77</v>
      </c>
      <c r="E179" s="95">
        <v>0.77</v>
      </c>
      <c r="F179" s="64" t="s">
        <v>1656</v>
      </c>
      <c r="H179" s="40"/>
      <c r="L179" s="35" t="s">
        <v>1913</v>
      </c>
      <c r="M179" s="35">
        <v>3607.0</v>
      </c>
      <c r="N179" s="36"/>
    </row>
    <row r="180">
      <c r="A180" s="117" t="s">
        <v>1939</v>
      </c>
      <c r="B180" s="117"/>
      <c r="C180" s="44" t="s">
        <v>1737</v>
      </c>
      <c r="D180" s="95">
        <v>0.77</v>
      </c>
      <c r="E180" s="95">
        <v>0.77</v>
      </c>
      <c r="F180" s="64" t="s">
        <v>1656</v>
      </c>
      <c r="H180" s="40"/>
      <c r="L180" s="35" t="s">
        <v>1914</v>
      </c>
      <c r="M180" s="35">
        <v>3607.0</v>
      </c>
      <c r="N180" s="36"/>
    </row>
    <row r="181">
      <c r="A181" s="117" t="s">
        <v>1940</v>
      </c>
      <c r="B181" s="117"/>
      <c r="C181" s="44" t="s">
        <v>1737</v>
      </c>
      <c r="D181" s="95">
        <v>0.77</v>
      </c>
      <c r="E181" s="95">
        <v>0.77</v>
      </c>
      <c r="F181" s="64" t="s">
        <v>1656</v>
      </c>
      <c r="H181" s="40"/>
      <c r="L181" s="35" t="s">
        <v>1915</v>
      </c>
      <c r="M181" s="35">
        <v>3920.0</v>
      </c>
      <c r="N181" s="36"/>
    </row>
    <row r="182">
      <c r="A182" s="117" t="s">
        <v>1941</v>
      </c>
      <c r="B182" s="117"/>
      <c r="C182" s="44" t="s">
        <v>1737</v>
      </c>
      <c r="D182" s="95">
        <v>0.77</v>
      </c>
      <c r="E182" s="95">
        <v>0.77</v>
      </c>
      <c r="F182" s="64" t="s">
        <v>1656</v>
      </c>
      <c r="H182" s="40"/>
      <c r="L182" s="35" t="s">
        <v>1916</v>
      </c>
      <c r="M182" s="35">
        <v>6797.0</v>
      </c>
      <c r="N182" s="36"/>
    </row>
    <row r="183">
      <c r="A183" s="117" t="s">
        <v>1942</v>
      </c>
      <c r="B183" s="122"/>
      <c r="C183" s="44" t="s">
        <v>1737</v>
      </c>
      <c r="D183" s="95">
        <v>0.77</v>
      </c>
      <c r="E183" s="95">
        <v>0.77</v>
      </c>
      <c r="F183" s="64" t="s">
        <v>1656</v>
      </c>
      <c r="H183" s="40"/>
      <c r="L183" s="35" t="s">
        <v>1917</v>
      </c>
      <c r="M183" s="35">
        <v>6770.0</v>
      </c>
      <c r="N183" s="36"/>
    </row>
    <row r="184">
      <c r="A184" s="117" t="s">
        <v>1943</v>
      </c>
      <c r="B184" s="117"/>
      <c r="C184" s="44" t="s">
        <v>1737</v>
      </c>
      <c r="D184" s="95">
        <v>0.77</v>
      </c>
      <c r="E184" s="95">
        <v>0.77</v>
      </c>
      <c r="F184" s="64" t="s">
        <v>1656</v>
      </c>
      <c r="H184" s="40"/>
      <c r="L184" s="35" t="s">
        <v>1918</v>
      </c>
      <c r="M184" s="35">
        <v>6770.0</v>
      </c>
      <c r="N184" s="36"/>
    </row>
    <row r="185">
      <c r="A185" s="117" t="s">
        <v>1944</v>
      </c>
      <c r="B185" s="117"/>
      <c r="C185" s="44" t="s">
        <v>1737</v>
      </c>
      <c r="D185" s="95">
        <v>0.77</v>
      </c>
      <c r="E185" s="95">
        <v>0.77</v>
      </c>
      <c r="F185" s="64" t="s">
        <v>1656</v>
      </c>
      <c r="H185" s="40"/>
      <c r="L185" s="35" t="s">
        <v>1919</v>
      </c>
      <c r="M185" s="35">
        <v>6770.0</v>
      </c>
      <c r="N185" s="36"/>
    </row>
    <row r="186">
      <c r="A186" s="117" t="s">
        <v>1945</v>
      </c>
      <c r="B186" s="117"/>
      <c r="C186" s="44" t="s">
        <v>1737</v>
      </c>
      <c r="D186" s="95">
        <v>0.77</v>
      </c>
      <c r="E186" s="95">
        <v>0.77</v>
      </c>
      <c r="F186" s="64" t="s">
        <v>1656</v>
      </c>
      <c r="H186" s="40"/>
      <c r="L186" s="35" t="s">
        <v>1920</v>
      </c>
      <c r="M186" s="35">
        <v>6770.0</v>
      </c>
      <c r="N186" s="36"/>
    </row>
    <row r="187">
      <c r="A187" s="117" t="s">
        <v>1946</v>
      </c>
      <c r="B187" s="122"/>
      <c r="C187" s="44" t="s">
        <v>1737</v>
      </c>
      <c r="D187" s="95">
        <v>0.77</v>
      </c>
      <c r="E187" s="95">
        <v>0.77</v>
      </c>
      <c r="F187" s="64" t="s">
        <v>1656</v>
      </c>
      <c r="H187" s="40"/>
      <c r="L187" s="35" t="s">
        <v>1921</v>
      </c>
      <c r="M187" s="35">
        <v>2207.0</v>
      </c>
      <c r="N187" s="36"/>
    </row>
    <row r="188">
      <c r="A188" s="117" t="s">
        <v>1947</v>
      </c>
      <c r="B188" s="117">
        <v>6779.0</v>
      </c>
      <c r="C188" s="44" t="s">
        <v>1737</v>
      </c>
      <c r="D188" s="95">
        <v>0.77</v>
      </c>
      <c r="E188" s="95">
        <v>0.77</v>
      </c>
      <c r="F188" s="64" t="s">
        <v>1656</v>
      </c>
      <c r="H188" s="40"/>
      <c r="L188" s="35" t="s">
        <v>1922</v>
      </c>
      <c r="M188" s="35">
        <v>2207.0</v>
      </c>
      <c r="N188" s="36"/>
    </row>
    <row r="189">
      <c r="A189" s="117" t="s">
        <v>1948</v>
      </c>
      <c r="B189" s="117"/>
      <c r="C189" s="44" t="s">
        <v>1737</v>
      </c>
      <c r="D189" s="95">
        <v>0.77</v>
      </c>
      <c r="E189" s="95">
        <v>0.77</v>
      </c>
      <c r="F189" s="64" t="s">
        <v>1656</v>
      </c>
      <c r="H189" s="40"/>
      <c r="L189" s="35" t="s">
        <v>1923</v>
      </c>
      <c r="M189" s="35">
        <v>2207.0</v>
      </c>
      <c r="N189" s="36"/>
    </row>
    <row r="190">
      <c r="A190" s="117" t="s">
        <v>1949</v>
      </c>
      <c r="B190" s="117"/>
      <c r="C190" s="44" t="s">
        <v>1737</v>
      </c>
      <c r="D190" s="95">
        <v>0.77</v>
      </c>
      <c r="E190" s="95">
        <v>0.77</v>
      </c>
      <c r="F190" s="64" t="s">
        <v>1656</v>
      </c>
      <c r="H190" s="40"/>
      <c r="L190" s="35" t="s">
        <v>1924</v>
      </c>
      <c r="M190" s="35">
        <v>2207.0</v>
      </c>
      <c r="N190" s="36"/>
    </row>
    <row r="191">
      <c r="A191" s="117" t="s">
        <v>1950</v>
      </c>
      <c r="B191" s="122"/>
      <c r="C191" s="44" t="s">
        <v>1737</v>
      </c>
      <c r="D191" s="95">
        <v>0.77</v>
      </c>
      <c r="E191" s="95">
        <v>0.77</v>
      </c>
      <c r="F191" s="64" t="s">
        <v>1656</v>
      </c>
      <c r="H191" s="40"/>
      <c r="L191" s="11" t="s">
        <v>1951</v>
      </c>
      <c r="M191" s="11">
        <v>6887.0</v>
      </c>
    </row>
    <row r="192">
      <c r="A192" s="117" t="s">
        <v>1952</v>
      </c>
      <c r="B192" s="117"/>
      <c r="C192" s="44" t="s">
        <v>1737</v>
      </c>
      <c r="D192" s="95">
        <v>0.77</v>
      </c>
      <c r="E192" s="95">
        <v>0.77</v>
      </c>
      <c r="F192" s="64" t="s">
        <v>1656</v>
      </c>
      <c r="H192" s="40"/>
      <c r="L192" s="11" t="s">
        <v>1953</v>
      </c>
      <c r="M192" s="11">
        <v>7031.0</v>
      </c>
    </row>
    <row r="193">
      <c r="A193" s="117" t="s">
        <v>1954</v>
      </c>
      <c r="B193" s="117">
        <v>7023.0</v>
      </c>
      <c r="C193" s="44" t="s">
        <v>1737</v>
      </c>
      <c r="D193" s="95">
        <v>0.77</v>
      </c>
      <c r="E193" s="95">
        <v>0.77</v>
      </c>
      <c r="F193" s="64" t="s">
        <v>1656</v>
      </c>
      <c r="H193" s="40"/>
      <c r="L193" s="11" t="s">
        <v>1955</v>
      </c>
      <c r="M193" s="11">
        <v>12941.0</v>
      </c>
      <c r="N193" s="11">
        <v>6727.0</v>
      </c>
    </row>
    <row r="194">
      <c r="A194" s="117" t="s">
        <v>1956</v>
      </c>
      <c r="B194" s="117"/>
      <c r="C194" s="44" t="s">
        <v>1737</v>
      </c>
      <c r="D194" s="95">
        <v>0.77</v>
      </c>
      <c r="E194" s="95">
        <v>0.77</v>
      </c>
      <c r="F194" s="64" t="s">
        <v>1656</v>
      </c>
      <c r="H194" s="40"/>
      <c r="L194" s="35" t="s">
        <v>1925</v>
      </c>
      <c r="M194" s="35">
        <v>10856.0</v>
      </c>
      <c r="N194" s="35">
        <v>6727.0</v>
      </c>
    </row>
    <row r="195">
      <c r="A195" s="117" t="s">
        <v>9</v>
      </c>
      <c r="B195" s="117">
        <v>6671.0</v>
      </c>
      <c r="C195" s="44" t="s">
        <v>1737</v>
      </c>
      <c r="D195" s="95">
        <v>0.77</v>
      </c>
      <c r="E195" s="95">
        <v>0.77</v>
      </c>
      <c r="F195" s="64" t="s">
        <v>1656</v>
      </c>
      <c r="H195" s="11" t="s">
        <v>1957</v>
      </c>
      <c r="L195" s="35" t="s">
        <v>1926</v>
      </c>
      <c r="M195" s="35">
        <v>6727.0</v>
      </c>
      <c r="N195" s="36"/>
    </row>
    <row r="196">
      <c r="A196" s="117" t="s">
        <v>1958</v>
      </c>
      <c r="B196" s="117">
        <v>6671.0</v>
      </c>
      <c r="C196" s="44" t="s">
        <v>1737</v>
      </c>
      <c r="D196" s="95">
        <v>0.77</v>
      </c>
      <c r="E196" s="95">
        <v>0.77</v>
      </c>
      <c r="F196" s="64" t="s">
        <v>1656</v>
      </c>
      <c r="H196" s="11" t="s">
        <v>1957</v>
      </c>
      <c r="L196" s="35" t="s">
        <v>1927</v>
      </c>
      <c r="M196" s="35">
        <v>6727.0</v>
      </c>
      <c r="N196" s="36"/>
    </row>
    <row r="197">
      <c r="A197" s="117" t="s">
        <v>1959</v>
      </c>
      <c r="B197" s="117"/>
      <c r="C197" s="44" t="s">
        <v>1737</v>
      </c>
      <c r="D197" s="95">
        <v>0.77</v>
      </c>
      <c r="E197" s="95">
        <v>0.77</v>
      </c>
      <c r="F197" s="64" t="s">
        <v>1656</v>
      </c>
      <c r="H197" s="40"/>
      <c r="L197" s="35" t="s">
        <v>1928</v>
      </c>
      <c r="M197" s="35">
        <v>6727.0</v>
      </c>
      <c r="N197" s="36"/>
    </row>
    <row r="198">
      <c r="A198" s="123" t="s">
        <v>1960</v>
      </c>
      <c r="B198" s="117"/>
      <c r="C198" s="44" t="s">
        <v>1737</v>
      </c>
      <c r="D198" s="95">
        <v>0.77</v>
      </c>
      <c r="E198" s="95">
        <v>0.77</v>
      </c>
      <c r="F198" s="64" t="s">
        <v>1656</v>
      </c>
      <c r="H198" s="40"/>
      <c r="L198" s="35" t="s">
        <v>1929</v>
      </c>
      <c r="M198" s="35">
        <v>7022.0</v>
      </c>
      <c r="N198" s="36"/>
    </row>
    <row r="199">
      <c r="A199" s="123" t="s">
        <v>1961</v>
      </c>
      <c r="B199" s="117"/>
      <c r="C199" s="44" t="s">
        <v>1737</v>
      </c>
      <c r="D199" s="95">
        <v>0.77</v>
      </c>
      <c r="E199" s="95">
        <v>0.77</v>
      </c>
      <c r="F199" s="64" t="s">
        <v>1656</v>
      </c>
      <c r="H199" s="40"/>
      <c r="L199" s="35" t="s">
        <v>1930</v>
      </c>
      <c r="M199" s="35">
        <v>7022.0</v>
      </c>
      <c r="N199" s="36"/>
    </row>
    <row r="200">
      <c r="A200" s="123" t="s">
        <v>1962</v>
      </c>
      <c r="B200" s="117"/>
      <c r="C200" s="44" t="s">
        <v>1737</v>
      </c>
      <c r="D200" s="95">
        <v>0.77</v>
      </c>
      <c r="E200" s="95">
        <v>0.77</v>
      </c>
      <c r="F200" s="64" t="s">
        <v>1656</v>
      </c>
      <c r="H200" s="40"/>
      <c r="L200" s="35" t="s">
        <v>1931</v>
      </c>
      <c r="M200" s="35">
        <v>7022.0</v>
      </c>
      <c r="N200" s="36"/>
    </row>
    <row r="201">
      <c r="A201" s="123" t="s">
        <v>1963</v>
      </c>
      <c r="B201" s="117"/>
      <c r="C201" s="44" t="s">
        <v>1737</v>
      </c>
      <c r="D201" s="95">
        <v>0.77</v>
      </c>
      <c r="E201" s="95">
        <v>0.77</v>
      </c>
      <c r="F201" s="64" t="s">
        <v>1656</v>
      </c>
      <c r="H201" s="40"/>
      <c r="L201" s="35" t="s">
        <v>1932</v>
      </c>
      <c r="M201" s="35">
        <v>7022.0</v>
      </c>
      <c r="N201" s="36"/>
    </row>
    <row r="202">
      <c r="A202" s="123" t="s">
        <v>1964</v>
      </c>
      <c r="B202" s="117"/>
      <c r="C202" s="44" t="s">
        <v>1737</v>
      </c>
      <c r="D202" s="95">
        <v>0.77</v>
      </c>
      <c r="E202" s="95">
        <v>0.77</v>
      </c>
      <c r="F202" s="64" t="s">
        <v>1656</v>
      </c>
      <c r="H202" s="40"/>
      <c r="L202" s="35" t="s">
        <v>1933</v>
      </c>
      <c r="M202" s="35">
        <v>7022.0</v>
      </c>
      <c r="N202" s="36"/>
    </row>
    <row r="203">
      <c r="A203" s="123" t="s">
        <v>1965</v>
      </c>
      <c r="B203" s="117"/>
      <c r="C203" s="44" t="s">
        <v>1737</v>
      </c>
      <c r="D203" s="95">
        <v>0.77</v>
      </c>
      <c r="E203" s="95">
        <v>0.77</v>
      </c>
      <c r="F203" s="64" t="s">
        <v>1656</v>
      </c>
      <c r="H203" s="40"/>
      <c r="L203" s="35" t="s">
        <v>1934</v>
      </c>
      <c r="M203" s="35">
        <v>7022.0</v>
      </c>
      <c r="N203" s="36"/>
    </row>
    <row r="204">
      <c r="A204" s="123" t="s">
        <v>1966</v>
      </c>
      <c r="B204" s="117"/>
      <c r="C204" s="44" t="s">
        <v>1737</v>
      </c>
      <c r="D204" s="95">
        <v>0.77</v>
      </c>
      <c r="E204" s="95">
        <v>0.77</v>
      </c>
      <c r="F204" s="64" t="s">
        <v>1656</v>
      </c>
      <c r="H204" s="40"/>
      <c r="L204" s="35" t="s">
        <v>1936</v>
      </c>
      <c r="M204" s="35">
        <v>7051.0</v>
      </c>
      <c r="N204" s="36"/>
    </row>
    <row r="205">
      <c r="A205" s="123" t="s">
        <v>1967</v>
      </c>
      <c r="B205" s="117"/>
      <c r="C205" s="44" t="s">
        <v>1737</v>
      </c>
      <c r="D205" s="95">
        <v>0.77</v>
      </c>
      <c r="E205" s="95">
        <v>0.77</v>
      </c>
      <c r="F205" s="64" t="s">
        <v>1656</v>
      </c>
      <c r="H205" s="40"/>
      <c r="L205" s="35" t="s">
        <v>1968</v>
      </c>
      <c r="M205" s="35">
        <v>7010.0</v>
      </c>
      <c r="N205" s="36"/>
    </row>
    <row r="206">
      <c r="A206" s="123" t="s">
        <v>1969</v>
      </c>
      <c r="B206" s="117"/>
      <c r="C206" s="44" t="s">
        <v>1737</v>
      </c>
      <c r="D206" s="95">
        <v>0.77</v>
      </c>
      <c r="E206" s="95">
        <v>0.77</v>
      </c>
      <c r="F206" s="64" t="s">
        <v>1656</v>
      </c>
      <c r="H206" s="40"/>
      <c r="L206" s="11" t="s">
        <v>1970</v>
      </c>
      <c r="M206" s="11">
        <v>7010.0</v>
      </c>
    </row>
    <row r="207">
      <c r="A207" s="123" t="s">
        <v>1971</v>
      </c>
      <c r="B207" s="117"/>
      <c r="C207" s="44" t="s">
        <v>1737</v>
      </c>
      <c r="D207" s="95">
        <v>0.77</v>
      </c>
      <c r="E207" s="95">
        <v>0.77</v>
      </c>
      <c r="F207" s="64" t="s">
        <v>1656</v>
      </c>
      <c r="H207" s="40"/>
      <c r="L207" s="35" t="s">
        <v>1937</v>
      </c>
      <c r="M207" s="35">
        <v>7036.0</v>
      </c>
      <c r="N207" s="36"/>
    </row>
    <row r="208">
      <c r="A208" s="123" t="s">
        <v>1972</v>
      </c>
      <c r="B208" s="117">
        <v>6875.0</v>
      </c>
      <c r="C208" s="44" t="s">
        <v>1737</v>
      </c>
      <c r="D208" s="95">
        <v>0.77</v>
      </c>
      <c r="E208" s="95">
        <v>0.77</v>
      </c>
      <c r="F208" s="64" t="s">
        <v>1656</v>
      </c>
      <c r="H208" s="40"/>
      <c r="L208" s="35" t="s">
        <v>1938</v>
      </c>
      <c r="M208" s="35">
        <v>7036.0</v>
      </c>
      <c r="N208" s="36"/>
    </row>
    <row r="209">
      <c r="A209" s="123" t="s">
        <v>1973</v>
      </c>
      <c r="B209" s="117"/>
      <c r="C209" s="44" t="s">
        <v>1737</v>
      </c>
      <c r="D209" s="95">
        <v>0.77</v>
      </c>
      <c r="E209" s="95">
        <v>0.77</v>
      </c>
      <c r="F209" s="64" t="s">
        <v>1656</v>
      </c>
      <c r="H209" s="40"/>
      <c r="L209" s="35" t="s">
        <v>1939</v>
      </c>
      <c r="M209" s="35">
        <v>7036.0</v>
      </c>
      <c r="N209" s="36"/>
    </row>
    <row r="210">
      <c r="A210" s="123" t="s">
        <v>1974</v>
      </c>
      <c r="B210" s="117"/>
      <c r="C210" s="44" t="s">
        <v>1737</v>
      </c>
      <c r="D210" s="95">
        <v>0.77</v>
      </c>
      <c r="E210" s="95">
        <v>0.77</v>
      </c>
      <c r="F210" s="64" t="s">
        <v>1656</v>
      </c>
      <c r="H210" s="40"/>
      <c r="L210" s="35" t="s">
        <v>1940</v>
      </c>
      <c r="M210" s="35">
        <v>7036.0</v>
      </c>
      <c r="N210" s="36"/>
    </row>
    <row r="211">
      <c r="A211" s="123" t="s">
        <v>1975</v>
      </c>
      <c r="B211" s="117"/>
      <c r="C211" s="44" t="s">
        <v>1737</v>
      </c>
      <c r="D211" s="95">
        <v>0.77</v>
      </c>
      <c r="E211" s="95">
        <v>0.77</v>
      </c>
      <c r="F211" s="64" t="s">
        <v>1656</v>
      </c>
      <c r="H211" s="40"/>
      <c r="L211" s="35" t="s">
        <v>1941</v>
      </c>
      <c r="M211" s="35">
        <v>7036.0</v>
      </c>
      <c r="N211" s="36"/>
    </row>
    <row r="212">
      <c r="A212" s="123" t="s">
        <v>1976</v>
      </c>
      <c r="B212" s="117"/>
      <c r="C212" s="44" t="s">
        <v>1737</v>
      </c>
      <c r="D212" s="95">
        <v>0.77</v>
      </c>
      <c r="E212" s="95">
        <v>0.77</v>
      </c>
      <c r="F212" s="64" t="s">
        <v>1656</v>
      </c>
      <c r="H212" s="40"/>
      <c r="L212" s="35" t="s">
        <v>1942</v>
      </c>
      <c r="M212" s="124">
        <v>6697.0</v>
      </c>
      <c r="N212" s="36"/>
    </row>
    <row r="213">
      <c r="A213" s="123" t="s">
        <v>1977</v>
      </c>
      <c r="B213" s="117"/>
      <c r="C213" s="44" t="s">
        <v>1737</v>
      </c>
      <c r="D213" s="95">
        <v>0.77</v>
      </c>
      <c r="E213" s="95">
        <v>0.77</v>
      </c>
      <c r="F213" s="64" t="s">
        <v>1656</v>
      </c>
      <c r="H213" s="40"/>
      <c r="L213" s="35" t="s">
        <v>1943</v>
      </c>
      <c r="M213" s="35">
        <v>7033.0</v>
      </c>
      <c r="N213" s="36"/>
    </row>
    <row r="214">
      <c r="A214" s="123" t="s">
        <v>1978</v>
      </c>
      <c r="B214" s="117"/>
      <c r="C214" s="44" t="s">
        <v>1737</v>
      </c>
      <c r="D214" s="95">
        <v>0.77</v>
      </c>
      <c r="E214" s="95">
        <v>0.77</v>
      </c>
      <c r="F214" s="64" t="s">
        <v>1656</v>
      </c>
      <c r="H214" s="40"/>
      <c r="L214" s="35" t="s">
        <v>1944</v>
      </c>
      <c r="M214" s="35">
        <v>6903.0</v>
      </c>
      <c r="N214" s="36"/>
    </row>
    <row r="215">
      <c r="A215" s="123" t="s">
        <v>1979</v>
      </c>
      <c r="B215" s="117"/>
      <c r="C215" s="44" t="s">
        <v>1737</v>
      </c>
      <c r="D215" s="95">
        <v>0.77</v>
      </c>
      <c r="E215" s="95">
        <v>0.77</v>
      </c>
      <c r="F215" s="64" t="s">
        <v>1656</v>
      </c>
      <c r="H215" s="40"/>
      <c r="L215" s="35" t="s">
        <v>1945</v>
      </c>
      <c r="M215" s="35">
        <v>136.0</v>
      </c>
      <c r="N215" s="36"/>
    </row>
    <row r="216">
      <c r="A216" s="123" t="s">
        <v>1980</v>
      </c>
      <c r="B216" s="117"/>
      <c r="C216" s="44" t="s">
        <v>1737</v>
      </c>
      <c r="D216" s="95">
        <v>0.77</v>
      </c>
      <c r="E216" s="95">
        <v>0.77</v>
      </c>
      <c r="F216" s="64" t="s">
        <v>1656</v>
      </c>
      <c r="H216" s="40"/>
      <c r="L216" s="35" t="s">
        <v>1946</v>
      </c>
      <c r="M216" s="124">
        <v>7113.0</v>
      </c>
      <c r="N216" s="35">
        <v>7040.0</v>
      </c>
    </row>
    <row r="217">
      <c r="A217" s="123" t="s">
        <v>1981</v>
      </c>
      <c r="B217" s="117"/>
      <c r="C217" s="44" t="s">
        <v>1737</v>
      </c>
      <c r="D217" s="95">
        <v>0.77</v>
      </c>
      <c r="E217" s="95">
        <v>0.77</v>
      </c>
      <c r="F217" s="64" t="s">
        <v>1656</v>
      </c>
      <c r="H217" s="40"/>
      <c r="L217" s="11" t="s">
        <v>1982</v>
      </c>
      <c r="M217" s="11">
        <v>12609.0</v>
      </c>
      <c r="N217" s="11">
        <v>8486.0</v>
      </c>
    </row>
    <row r="218">
      <c r="A218" s="123" t="s">
        <v>1983</v>
      </c>
      <c r="B218" s="117"/>
      <c r="C218" s="44" t="s">
        <v>1737</v>
      </c>
      <c r="D218" s="95">
        <v>0.77</v>
      </c>
      <c r="E218" s="95">
        <v>0.77</v>
      </c>
      <c r="F218" s="64" t="s">
        <v>1656</v>
      </c>
      <c r="H218" s="40"/>
      <c r="L218" s="35" t="s">
        <v>1947</v>
      </c>
      <c r="M218" s="35">
        <v>3307.0</v>
      </c>
      <c r="N218" s="36"/>
    </row>
    <row r="219">
      <c r="A219" s="123" t="s">
        <v>1984</v>
      </c>
      <c r="B219" s="117"/>
      <c r="C219" s="44" t="s">
        <v>1737</v>
      </c>
      <c r="D219" s="95">
        <v>0.77</v>
      </c>
      <c r="E219" s="95">
        <v>0.77</v>
      </c>
      <c r="F219" s="64" t="s">
        <v>1656</v>
      </c>
      <c r="H219" s="40"/>
      <c r="L219" s="35" t="s">
        <v>1948</v>
      </c>
      <c r="M219" s="35">
        <v>3607.0</v>
      </c>
      <c r="N219" s="36"/>
    </row>
    <row r="220">
      <c r="A220" s="123" t="s">
        <v>1985</v>
      </c>
      <c r="B220" s="117"/>
      <c r="C220" s="44" t="s">
        <v>1737</v>
      </c>
      <c r="D220" s="95">
        <v>0.77</v>
      </c>
      <c r="E220" s="95">
        <v>0.77</v>
      </c>
      <c r="F220" s="64" t="s">
        <v>1656</v>
      </c>
      <c r="H220" s="40"/>
      <c r="L220" s="35" t="s">
        <v>1949</v>
      </c>
      <c r="M220" s="35">
        <v>3607.0</v>
      </c>
      <c r="N220" s="36"/>
    </row>
    <row r="221">
      <c r="A221" s="123" t="s">
        <v>1986</v>
      </c>
      <c r="B221" s="117"/>
      <c r="C221" s="44" t="s">
        <v>1737</v>
      </c>
      <c r="D221" s="95">
        <v>0.77</v>
      </c>
      <c r="E221" s="95">
        <v>0.77</v>
      </c>
      <c r="F221" s="64" t="s">
        <v>1656</v>
      </c>
      <c r="H221" s="40"/>
      <c r="L221" s="35" t="s">
        <v>1950</v>
      </c>
      <c r="M221" s="124">
        <v>6802.0</v>
      </c>
      <c r="N221" s="36"/>
    </row>
    <row r="222">
      <c r="A222" s="123" t="s">
        <v>1987</v>
      </c>
      <c r="B222" s="117"/>
      <c r="C222" s="44" t="s">
        <v>1737</v>
      </c>
      <c r="D222" s="95">
        <v>0.77</v>
      </c>
      <c r="E222" s="95">
        <v>0.77</v>
      </c>
      <c r="F222" s="64" t="s">
        <v>1656</v>
      </c>
      <c r="H222" s="40"/>
      <c r="L222" s="35" t="s">
        <v>1952</v>
      </c>
      <c r="M222" s="35">
        <v>7070.0</v>
      </c>
      <c r="N222" s="36"/>
    </row>
    <row r="223">
      <c r="A223" s="123" t="s">
        <v>1988</v>
      </c>
      <c r="B223" s="117"/>
      <c r="C223" s="44" t="s">
        <v>1737</v>
      </c>
      <c r="D223" s="95">
        <v>0.77</v>
      </c>
      <c r="E223" s="95">
        <v>0.77</v>
      </c>
      <c r="F223" s="64" t="s">
        <v>1656</v>
      </c>
      <c r="H223" s="40"/>
      <c r="L223" s="35" t="s">
        <v>1954</v>
      </c>
      <c r="M223" s="35">
        <v>7023.0</v>
      </c>
      <c r="N223" s="36"/>
    </row>
    <row r="224">
      <c r="A224" s="123" t="s">
        <v>1989</v>
      </c>
      <c r="B224" s="117"/>
      <c r="C224" s="44" t="s">
        <v>1737</v>
      </c>
      <c r="D224" s="95">
        <v>0.77</v>
      </c>
      <c r="E224" s="95">
        <v>0.77</v>
      </c>
      <c r="F224" s="64" t="s">
        <v>1656</v>
      </c>
      <c r="H224" s="40"/>
      <c r="L224" s="35" t="s">
        <v>1956</v>
      </c>
      <c r="M224" s="35">
        <v>7055.0</v>
      </c>
      <c r="N224" s="36"/>
    </row>
    <row r="225">
      <c r="A225" s="123" t="s">
        <v>1990</v>
      </c>
      <c r="B225" s="117"/>
      <c r="C225" s="44" t="s">
        <v>1737</v>
      </c>
      <c r="D225" s="95">
        <v>0.77</v>
      </c>
      <c r="E225" s="95">
        <v>0.77</v>
      </c>
      <c r="F225" s="64" t="s">
        <v>1656</v>
      </c>
      <c r="H225" s="40"/>
      <c r="L225" s="35" t="s">
        <v>9</v>
      </c>
      <c r="M225" s="35">
        <v>6671.0</v>
      </c>
      <c r="N225" s="36"/>
    </row>
    <row r="226">
      <c r="A226" s="123" t="s">
        <v>1991</v>
      </c>
      <c r="B226" s="117"/>
      <c r="C226" s="44" t="s">
        <v>1737</v>
      </c>
      <c r="D226" s="95">
        <v>0.77</v>
      </c>
      <c r="E226" s="95">
        <v>0.77</v>
      </c>
      <c r="F226" s="64" t="s">
        <v>1656</v>
      </c>
      <c r="H226" s="40"/>
      <c r="L226" s="35" t="s">
        <v>1958</v>
      </c>
      <c r="M226" s="35">
        <v>6671.0</v>
      </c>
      <c r="N226" s="36"/>
    </row>
    <row r="227">
      <c r="A227" s="123" t="s">
        <v>1992</v>
      </c>
      <c r="B227" s="117"/>
      <c r="C227" s="44" t="s">
        <v>1737</v>
      </c>
      <c r="D227" s="95">
        <v>0.77</v>
      </c>
      <c r="E227" s="95">
        <v>0.77</v>
      </c>
      <c r="F227" s="64" t="s">
        <v>1656</v>
      </c>
      <c r="H227" s="40"/>
      <c r="L227" s="35" t="s">
        <v>1959</v>
      </c>
      <c r="M227" s="35">
        <v>7132.0</v>
      </c>
      <c r="N227" s="36"/>
    </row>
    <row r="228">
      <c r="A228" s="123" t="s">
        <v>1993</v>
      </c>
      <c r="B228" s="117"/>
      <c r="C228" s="44" t="s">
        <v>1737</v>
      </c>
      <c r="D228" s="95">
        <v>0.77</v>
      </c>
      <c r="E228" s="95">
        <v>0.77</v>
      </c>
      <c r="F228" s="64" t="s">
        <v>1656</v>
      </c>
      <c r="H228" s="40"/>
      <c r="L228" s="125" t="s">
        <v>1994</v>
      </c>
      <c r="M228" s="122">
        <v>3294.0</v>
      </c>
    </row>
    <row r="229">
      <c r="A229" s="123" t="s">
        <v>1995</v>
      </c>
      <c r="B229" s="117"/>
      <c r="C229" s="44" t="s">
        <v>1737</v>
      </c>
      <c r="D229" s="95">
        <v>0.77</v>
      </c>
      <c r="E229" s="95">
        <v>0.77</v>
      </c>
      <c r="F229" s="64" t="s">
        <v>1656</v>
      </c>
      <c r="H229" s="40"/>
      <c r="L229" s="125" t="s">
        <v>1996</v>
      </c>
      <c r="M229" s="126">
        <v>7100.0</v>
      </c>
    </row>
    <row r="230">
      <c r="A230" s="123" t="s">
        <v>1997</v>
      </c>
      <c r="B230" s="117"/>
      <c r="C230" s="44" t="s">
        <v>1737</v>
      </c>
      <c r="D230" s="95">
        <v>0.77</v>
      </c>
      <c r="E230" s="95">
        <v>0.77</v>
      </c>
      <c r="F230" s="64" t="s">
        <v>1656</v>
      </c>
      <c r="H230" s="40"/>
      <c r="L230" s="127" t="s">
        <v>1960</v>
      </c>
      <c r="M230" s="35">
        <v>3381.0</v>
      </c>
      <c r="N230" s="36"/>
    </row>
    <row r="231">
      <c r="A231" s="123" t="s">
        <v>1998</v>
      </c>
      <c r="B231" s="117"/>
      <c r="C231" s="44" t="s">
        <v>1737</v>
      </c>
      <c r="D231" s="95">
        <v>0.77</v>
      </c>
      <c r="E231" s="95">
        <v>0.77</v>
      </c>
      <c r="F231" s="64" t="s">
        <v>1656</v>
      </c>
      <c r="H231" s="40"/>
      <c r="L231" s="125" t="s">
        <v>1999</v>
      </c>
      <c r="M231" s="11">
        <v>6658.0</v>
      </c>
    </row>
    <row r="232">
      <c r="A232" s="123" t="s">
        <v>2000</v>
      </c>
      <c r="B232" s="117"/>
      <c r="C232" s="44" t="s">
        <v>1737</v>
      </c>
      <c r="D232" s="95">
        <v>0.77</v>
      </c>
      <c r="E232" s="95">
        <v>0.77</v>
      </c>
      <c r="F232" s="64" t="s">
        <v>1656</v>
      </c>
      <c r="H232" s="40"/>
      <c r="L232" s="127" t="s">
        <v>1961</v>
      </c>
      <c r="M232" s="35">
        <v>6936.0</v>
      </c>
      <c r="N232" s="36"/>
    </row>
    <row r="233">
      <c r="A233" s="123" t="s">
        <v>2001</v>
      </c>
      <c r="B233" s="117"/>
      <c r="C233" s="44" t="s">
        <v>1737</v>
      </c>
      <c r="D233" s="95">
        <v>0.77</v>
      </c>
      <c r="E233" s="95">
        <v>0.77</v>
      </c>
      <c r="F233" s="64" t="s">
        <v>1656</v>
      </c>
      <c r="H233" s="40"/>
      <c r="L233" s="127" t="s">
        <v>1962</v>
      </c>
      <c r="M233" s="35">
        <v>6924.0</v>
      </c>
      <c r="N233" s="36"/>
    </row>
    <row r="234">
      <c r="A234" s="123" t="s">
        <v>2002</v>
      </c>
      <c r="B234" s="117"/>
      <c r="C234" s="44" t="s">
        <v>1737</v>
      </c>
      <c r="D234" s="95">
        <v>0.77</v>
      </c>
      <c r="E234" s="95">
        <v>0.77</v>
      </c>
      <c r="F234" s="64" t="s">
        <v>1656</v>
      </c>
      <c r="H234" s="40"/>
      <c r="L234" s="127" t="s">
        <v>1963</v>
      </c>
      <c r="M234" s="11">
        <v>6924.0</v>
      </c>
      <c r="N234" s="109">
        <v>7073.0</v>
      </c>
    </row>
    <row r="235">
      <c r="A235" s="123" t="s">
        <v>2003</v>
      </c>
      <c r="B235" s="117"/>
      <c r="C235" s="44" t="s">
        <v>1737</v>
      </c>
      <c r="D235" s="95">
        <v>0.77</v>
      </c>
      <c r="E235" s="95">
        <v>0.77</v>
      </c>
      <c r="F235" s="64" t="s">
        <v>1656</v>
      </c>
      <c r="H235" s="40"/>
      <c r="L235" s="127" t="s">
        <v>1964</v>
      </c>
      <c r="M235" s="35">
        <v>7229.0</v>
      </c>
      <c r="N235" s="36"/>
    </row>
    <row r="236">
      <c r="A236" s="123" t="s">
        <v>2004</v>
      </c>
      <c r="B236" s="117"/>
      <c r="C236" s="44" t="s">
        <v>1737</v>
      </c>
      <c r="D236" s="95">
        <v>0.77</v>
      </c>
      <c r="E236" s="95">
        <v>0.77</v>
      </c>
      <c r="F236" s="64" t="s">
        <v>1656</v>
      </c>
      <c r="H236" s="40"/>
      <c r="L236" s="127" t="s">
        <v>1965</v>
      </c>
      <c r="M236" s="35">
        <v>7181.0</v>
      </c>
      <c r="N236" s="36"/>
    </row>
    <row r="237">
      <c r="A237" s="123" t="s">
        <v>2005</v>
      </c>
      <c r="B237" s="117"/>
      <c r="C237" s="44" t="s">
        <v>1737</v>
      </c>
      <c r="D237" s="95">
        <v>0.77</v>
      </c>
      <c r="E237" s="95">
        <v>0.77</v>
      </c>
      <c r="F237" s="64" t="s">
        <v>1656</v>
      </c>
      <c r="H237" s="40"/>
      <c r="L237" s="127" t="s">
        <v>1966</v>
      </c>
      <c r="M237" s="35">
        <v>7416.0</v>
      </c>
      <c r="N237" s="36"/>
    </row>
    <row r="238">
      <c r="A238" s="123" t="s">
        <v>2006</v>
      </c>
      <c r="B238" s="117"/>
      <c r="C238" s="44" t="s">
        <v>1737</v>
      </c>
      <c r="D238" s="95">
        <v>0.77</v>
      </c>
      <c r="E238" s="95">
        <v>0.77</v>
      </c>
      <c r="F238" s="64" t="s">
        <v>1656</v>
      </c>
      <c r="H238" s="40"/>
      <c r="L238" s="127" t="s">
        <v>1967</v>
      </c>
      <c r="M238" s="35">
        <v>7492.0</v>
      </c>
      <c r="N238" s="36"/>
    </row>
    <row r="239">
      <c r="A239" s="123" t="s">
        <v>2007</v>
      </c>
      <c r="B239" s="117"/>
      <c r="C239" s="44" t="s">
        <v>1737</v>
      </c>
      <c r="D239" s="95">
        <v>0.77</v>
      </c>
      <c r="E239" s="95">
        <v>0.77</v>
      </c>
      <c r="F239" s="64" t="s">
        <v>1656</v>
      </c>
      <c r="H239" s="40"/>
      <c r="I239" s="128" t="s">
        <v>2008</v>
      </c>
      <c r="J239" s="129">
        <v>7.0</v>
      </c>
      <c r="L239" s="127" t="s">
        <v>1969</v>
      </c>
      <c r="M239" s="35">
        <v>7492.0</v>
      </c>
      <c r="N239" s="36"/>
    </row>
    <row r="240">
      <c r="A240" s="123" t="s">
        <v>2009</v>
      </c>
      <c r="B240" s="117"/>
      <c r="C240" s="44" t="s">
        <v>1737</v>
      </c>
      <c r="D240" s="95">
        <v>0.77</v>
      </c>
      <c r="E240" s="95">
        <v>0.77</v>
      </c>
      <c r="F240" s="64" t="s">
        <v>1656</v>
      </c>
      <c r="H240" s="40"/>
      <c r="L240" s="127" t="s">
        <v>1971</v>
      </c>
      <c r="M240" s="35">
        <v>7492.0</v>
      </c>
      <c r="N240" s="36"/>
    </row>
    <row r="241">
      <c r="A241" s="123" t="s">
        <v>2010</v>
      </c>
      <c r="B241" s="117"/>
      <c r="C241" s="44" t="s">
        <v>1737</v>
      </c>
      <c r="D241" s="95">
        <v>0.77</v>
      </c>
      <c r="E241" s="95">
        <v>0.77</v>
      </c>
      <c r="F241" s="64" t="s">
        <v>1656</v>
      </c>
      <c r="H241" s="40"/>
      <c r="I241" s="130" t="s">
        <v>1999</v>
      </c>
      <c r="J241" s="39">
        <v>1.0</v>
      </c>
      <c r="L241" s="127" t="s">
        <v>1972</v>
      </c>
      <c r="M241" s="35">
        <v>6875.0</v>
      </c>
      <c r="N241" s="36"/>
    </row>
    <row r="242">
      <c r="A242" s="123" t="s">
        <v>2011</v>
      </c>
      <c r="B242" s="117"/>
      <c r="C242" s="44" t="s">
        <v>1737</v>
      </c>
      <c r="D242" s="95">
        <v>0.77</v>
      </c>
      <c r="E242" s="95">
        <v>0.77</v>
      </c>
      <c r="F242" s="64" t="s">
        <v>1656</v>
      </c>
      <c r="H242" s="40"/>
      <c r="I242" s="130" t="s">
        <v>2012</v>
      </c>
      <c r="J242" s="39">
        <v>3.0</v>
      </c>
      <c r="L242" s="127" t="s">
        <v>1973</v>
      </c>
      <c r="M242" s="35">
        <v>7492.0</v>
      </c>
      <c r="N242" s="36"/>
    </row>
    <row r="243">
      <c r="A243" s="123" t="s">
        <v>2013</v>
      </c>
      <c r="B243" s="131"/>
      <c r="C243" s="44" t="s">
        <v>1737</v>
      </c>
      <c r="D243" s="95">
        <v>0.77</v>
      </c>
      <c r="E243" s="95">
        <v>0.77</v>
      </c>
      <c r="F243" s="64" t="s">
        <v>1656</v>
      </c>
      <c r="H243" s="40"/>
      <c r="I243" s="130" t="s">
        <v>2014</v>
      </c>
      <c r="J243" s="39">
        <v>11.0</v>
      </c>
      <c r="L243" s="125" t="s">
        <v>1974</v>
      </c>
      <c r="M243" s="11">
        <v>7492.0</v>
      </c>
    </row>
    <row r="244">
      <c r="A244" s="123" t="s">
        <v>2015</v>
      </c>
      <c r="B244" s="117"/>
      <c r="C244" s="44" t="s">
        <v>1737</v>
      </c>
      <c r="D244" s="95">
        <v>0.77</v>
      </c>
      <c r="E244" s="95">
        <v>0.77</v>
      </c>
      <c r="F244" s="64" t="s">
        <v>1656</v>
      </c>
      <c r="H244" s="40"/>
      <c r="I244" s="130" t="s">
        <v>2016</v>
      </c>
      <c r="J244" s="39">
        <v>4.0</v>
      </c>
      <c r="L244" s="127" t="s">
        <v>1975</v>
      </c>
      <c r="M244" s="35">
        <v>7492.0</v>
      </c>
      <c r="N244" s="36"/>
    </row>
    <row r="245">
      <c r="A245" s="123" t="s">
        <v>2017</v>
      </c>
      <c r="B245" s="117"/>
      <c r="C245" s="44" t="s">
        <v>1737</v>
      </c>
      <c r="D245" s="95">
        <v>0.77</v>
      </c>
      <c r="E245" s="95">
        <v>0.77</v>
      </c>
      <c r="F245" s="64" t="s">
        <v>1656</v>
      </c>
      <c r="H245" s="40"/>
      <c r="I245" s="130" t="s">
        <v>2018</v>
      </c>
      <c r="J245" s="39">
        <v>1.0</v>
      </c>
      <c r="L245" s="127" t="s">
        <v>1976</v>
      </c>
      <c r="M245" s="35">
        <v>7492.0</v>
      </c>
      <c r="N245" s="36"/>
    </row>
    <row r="246">
      <c r="A246" s="123" t="s">
        <v>2019</v>
      </c>
      <c r="B246" s="132"/>
      <c r="C246" s="44" t="s">
        <v>1737</v>
      </c>
      <c r="D246" s="95">
        <v>0.77</v>
      </c>
      <c r="E246" s="95">
        <v>0.77</v>
      </c>
      <c r="F246" s="64" t="s">
        <v>1656</v>
      </c>
      <c r="H246" s="40"/>
      <c r="I246" s="130" t="s">
        <v>2020</v>
      </c>
      <c r="J246" s="39">
        <v>2.0</v>
      </c>
      <c r="L246" s="125" t="s">
        <v>1977</v>
      </c>
      <c r="M246" s="97">
        <v>8199.0</v>
      </c>
    </row>
    <row r="247">
      <c r="A247" s="123" t="s">
        <v>2021</v>
      </c>
      <c r="B247" s="133"/>
      <c r="C247" s="44" t="s">
        <v>1737</v>
      </c>
      <c r="D247" s="95">
        <v>0.77</v>
      </c>
      <c r="E247" s="95">
        <v>0.77</v>
      </c>
      <c r="F247" s="64" t="s">
        <v>1656</v>
      </c>
      <c r="H247" s="40"/>
      <c r="I247" s="130" t="s">
        <v>1968</v>
      </c>
      <c r="J247" s="39">
        <v>1.0</v>
      </c>
      <c r="L247" s="127" t="s">
        <v>1978</v>
      </c>
      <c r="M247" s="35">
        <v>7492.0</v>
      </c>
      <c r="N247" s="36"/>
    </row>
    <row r="248">
      <c r="A248" s="123" t="s">
        <v>2022</v>
      </c>
      <c r="B248" s="132"/>
      <c r="C248" s="44" t="s">
        <v>1737</v>
      </c>
      <c r="D248" s="95">
        <v>0.77</v>
      </c>
      <c r="E248" s="95">
        <v>0.77</v>
      </c>
      <c r="F248" s="64" t="s">
        <v>1656</v>
      </c>
      <c r="H248" s="40"/>
      <c r="I248" s="130" t="s">
        <v>1758</v>
      </c>
      <c r="J248" s="39">
        <v>1.0</v>
      </c>
      <c r="L248" s="125" t="s">
        <v>1979</v>
      </c>
      <c r="M248" s="97">
        <v>8199.0</v>
      </c>
    </row>
    <row r="249">
      <c r="A249" s="123" t="s">
        <v>2023</v>
      </c>
      <c r="B249" s="117"/>
      <c r="C249" s="44" t="s">
        <v>1737</v>
      </c>
      <c r="D249" s="95">
        <v>0.77</v>
      </c>
      <c r="E249" s="95">
        <v>0.77</v>
      </c>
      <c r="F249" s="64" t="s">
        <v>1656</v>
      </c>
      <c r="H249" s="40"/>
      <c r="L249" s="127" t="s">
        <v>1980</v>
      </c>
      <c r="M249" s="35">
        <v>7492.0</v>
      </c>
      <c r="N249" s="36"/>
    </row>
    <row r="250">
      <c r="A250" s="123" t="s">
        <v>2024</v>
      </c>
      <c r="B250" s="117"/>
      <c r="C250" s="44" t="s">
        <v>1737</v>
      </c>
      <c r="D250" s="95">
        <v>0.77</v>
      </c>
      <c r="E250" s="95">
        <v>0.77</v>
      </c>
      <c r="F250" s="64" t="s">
        <v>1656</v>
      </c>
      <c r="H250" s="40"/>
      <c r="L250" s="127" t="s">
        <v>1981</v>
      </c>
      <c r="M250" s="35">
        <v>7492.0</v>
      </c>
      <c r="N250" s="36"/>
    </row>
    <row r="251">
      <c r="A251" s="123" t="s">
        <v>2025</v>
      </c>
      <c r="B251" s="117"/>
      <c r="C251" s="44" t="s">
        <v>1737</v>
      </c>
      <c r="D251" s="95">
        <v>0.77</v>
      </c>
      <c r="E251" s="95">
        <v>0.77</v>
      </c>
      <c r="F251" s="64" t="s">
        <v>1656</v>
      </c>
      <c r="H251" s="40"/>
      <c r="L251" s="127" t="s">
        <v>1983</v>
      </c>
      <c r="M251" s="35">
        <v>7492.0</v>
      </c>
      <c r="N251" s="36"/>
    </row>
    <row r="252">
      <c r="A252" s="123" t="s">
        <v>2026</v>
      </c>
      <c r="B252" s="117"/>
      <c r="C252" s="44" t="s">
        <v>1737</v>
      </c>
      <c r="D252" s="95">
        <v>0.77</v>
      </c>
      <c r="E252" s="95">
        <v>0.77</v>
      </c>
      <c r="F252" s="64" t="s">
        <v>1656</v>
      </c>
      <c r="H252" s="40"/>
      <c r="L252" s="127" t="s">
        <v>1984</v>
      </c>
      <c r="M252" s="35">
        <v>7492.0</v>
      </c>
      <c r="N252" s="36"/>
    </row>
    <row r="253">
      <c r="A253" s="123" t="s">
        <v>2027</v>
      </c>
      <c r="B253" s="117">
        <v>14465.0</v>
      </c>
      <c r="C253" s="44" t="s">
        <v>1737</v>
      </c>
      <c r="D253" s="74">
        <v>0.9</v>
      </c>
      <c r="E253" s="74">
        <v>0.9</v>
      </c>
      <c r="F253" s="64" t="s">
        <v>1656</v>
      </c>
      <c r="H253" s="40"/>
      <c r="L253" s="127" t="s">
        <v>1985</v>
      </c>
      <c r="M253" s="35">
        <v>7492.0</v>
      </c>
      <c r="N253" s="36"/>
    </row>
    <row r="254">
      <c r="A254" s="134" t="s">
        <v>2028</v>
      </c>
      <c r="B254" s="117">
        <v>6143.0</v>
      </c>
      <c r="C254" s="44" t="s">
        <v>1737</v>
      </c>
      <c r="D254" s="95">
        <v>0.77</v>
      </c>
      <c r="E254" s="95">
        <v>0.77</v>
      </c>
      <c r="F254" s="64" t="s">
        <v>1656</v>
      </c>
      <c r="H254" s="40"/>
      <c r="L254" s="127" t="s">
        <v>1986</v>
      </c>
      <c r="M254" s="35">
        <v>7157.0</v>
      </c>
      <c r="N254" s="36"/>
    </row>
    <row r="255">
      <c r="A255" s="117" t="s">
        <v>1738</v>
      </c>
      <c r="B255" s="117">
        <v>986.0</v>
      </c>
      <c r="C255" s="44" t="s">
        <v>1737</v>
      </c>
      <c r="D255" s="95">
        <v>0.84</v>
      </c>
      <c r="E255" s="95">
        <v>0.84</v>
      </c>
      <c r="F255" s="64" t="s">
        <v>1656</v>
      </c>
      <c r="H255" s="40"/>
      <c r="L255" s="125" t="s">
        <v>1987</v>
      </c>
      <c r="M255" s="11">
        <v>7492.0</v>
      </c>
    </row>
    <row r="256">
      <c r="A256" s="117" t="s">
        <v>1745</v>
      </c>
      <c r="B256" s="117">
        <v>986.0</v>
      </c>
      <c r="C256" s="44" t="s">
        <v>1737</v>
      </c>
      <c r="D256" s="95">
        <v>0.84</v>
      </c>
      <c r="E256" s="95">
        <v>0.84</v>
      </c>
      <c r="F256" s="64" t="s">
        <v>1656</v>
      </c>
      <c r="H256" s="40"/>
      <c r="L256" s="127" t="s">
        <v>1988</v>
      </c>
      <c r="M256" s="35">
        <v>7183.0</v>
      </c>
      <c r="N256" s="36"/>
    </row>
    <row r="257">
      <c r="A257" s="117" t="s">
        <v>1747</v>
      </c>
      <c r="B257" s="117">
        <v>986.0</v>
      </c>
      <c r="C257" s="44" t="s">
        <v>1737</v>
      </c>
      <c r="D257" s="95">
        <v>0.84</v>
      </c>
      <c r="E257" s="95">
        <v>0.84</v>
      </c>
      <c r="F257" s="64" t="s">
        <v>1656</v>
      </c>
      <c r="H257" s="40"/>
      <c r="L257" s="125" t="s">
        <v>1989</v>
      </c>
      <c r="M257" s="11">
        <v>7492.0</v>
      </c>
    </row>
    <row r="258">
      <c r="A258" s="117" t="s">
        <v>1749</v>
      </c>
      <c r="B258" s="134"/>
      <c r="C258" s="44" t="s">
        <v>1737</v>
      </c>
      <c r="D258" s="74">
        <v>0.81</v>
      </c>
      <c r="E258" s="74">
        <v>0.81</v>
      </c>
      <c r="F258" s="64" t="s">
        <v>1656</v>
      </c>
      <c r="H258" s="40"/>
      <c r="L258" s="127" t="s">
        <v>1990</v>
      </c>
      <c r="M258" s="35">
        <v>7492.0</v>
      </c>
      <c r="N258" s="36"/>
    </row>
    <row r="259">
      <c r="A259" s="117" t="s">
        <v>1758</v>
      </c>
      <c r="B259" s="117">
        <v>7168.0</v>
      </c>
      <c r="C259" s="44" t="s">
        <v>1737</v>
      </c>
      <c r="D259" s="95">
        <v>0.77</v>
      </c>
      <c r="E259" s="95">
        <v>0.77</v>
      </c>
      <c r="F259" s="64" t="s">
        <v>1656</v>
      </c>
      <c r="G259" s="59"/>
      <c r="H259" s="40"/>
      <c r="L259" s="125" t="s">
        <v>2018</v>
      </c>
      <c r="M259" s="11">
        <v>4193.0</v>
      </c>
    </row>
    <row r="260">
      <c r="A260" s="117" t="s">
        <v>1783</v>
      </c>
      <c r="B260" s="117">
        <v>2345.0</v>
      </c>
      <c r="C260" s="44" t="s">
        <v>1737</v>
      </c>
      <c r="D260" s="74">
        <v>0.9</v>
      </c>
      <c r="E260" s="74">
        <v>0.9</v>
      </c>
      <c r="F260" s="64" t="s">
        <v>1656</v>
      </c>
      <c r="H260" s="40"/>
      <c r="L260" s="127" t="s">
        <v>1991</v>
      </c>
      <c r="M260" s="35">
        <v>7492.0</v>
      </c>
      <c r="N260" s="36"/>
    </row>
    <row r="261">
      <c r="A261" s="117" t="s">
        <v>1787</v>
      </c>
      <c r="B261" s="117">
        <v>2345.0</v>
      </c>
      <c r="C261" s="44" t="s">
        <v>1737</v>
      </c>
      <c r="D261" s="74">
        <v>0.9</v>
      </c>
      <c r="E261" s="74">
        <v>0.9</v>
      </c>
      <c r="F261" s="64" t="s">
        <v>1656</v>
      </c>
      <c r="H261" s="40"/>
      <c r="L261" s="127" t="s">
        <v>1992</v>
      </c>
      <c r="M261" s="35">
        <v>6924.0</v>
      </c>
      <c r="N261" s="36"/>
    </row>
    <row r="262">
      <c r="A262" s="117" t="s">
        <v>1796</v>
      </c>
      <c r="B262" s="117">
        <v>6731.0</v>
      </c>
      <c r="C262" s="44" t="s">
        <v>1737</v>
      </c>
      <c r="D262" s="95">
        <v>0.77</v>
      </c>
      <c r="E262" s="95">
        <v>0.77</v>
      </c>
      <c r="F262" s="64" t="s">
        <v>1656</v>
      </c>
      <c r="H262" s="40"/>
      <c r="L262" s="127" t="s">
        <v>1993</v>
      </c>
      <c r="M262" s="35">
        <v>7492.0</v>
      </c>
      <c r="N262" s="36"/>
    </row>
    <row r="263">
      <c r="A263" s="117" t="s">
        <v>1798</v>
      </c>
      <c r="B263" s="117">
        <v>5458.0</v>
      </c>
      <c r="C263" s="44" t="s">
        <v>1737</v>
      </c>
      <c r="D263" s="95">
        <v>0.77</v>
      </c>
      <c r="E263" s="95">
        <v>0.77</v>
      </c>
      <c r="F263" s="64" t="s">
        <v>1656</v>
      </c>
      <c r="H263" s="40"/>
      <c r="L263" s="127" t="s">
        <v>1995</v>
      </c>
      <c r="M263" s="35">
        <v>7492.0</v>
      </c>
      <c r="N263" s="36"/>
    </row>
    <row r="264">
      <c r="A264" s="117" t="s">
        <v>1800</v>
      </c>
      <c r="B264" s="117">
        <v>5458.0</v>
      </c>
      <c r="C264" s="44" t="s">
        <v>1737</v>
      </c>
      <c r="D264" s="95">
        <v>0.77</v>
      </c>
      <c r="E264" s="95">
        <v>0.77</v>
      </c>
      <c r="F264" s="64" t="s">
        <v>1656</v>
      </c>
      <c r="H264" s="40"/>
      <c r="L264" s="127" t="s">
        <v>1997</v>
      </c>
      <c r="M264" s="35">
        <v>7492.0</v>
      </c>
      <c r="N264" s="36"/>
    </row>
    <row r="265">
      <c r="A265" s="117" t="s">
        <v>1803</v>
      </c>
      <c r="B265" s="117">
        <v>14292.0</v>
      </c>
      <c r="C265" s="44" t="s">
        <v>1737</v>
      </c>
      <c r="D265" s="95">
        <v>0.77</v>
      </c>
      <c r="E265" s="95">
        <v>0.77</v>
      </c>
      <c r="F265" s="64" t="s">
        <v>1656</v>
      </c>
      <c r="H265" s="40"/>
      <c r="L265" s="127" t="s">
        <v>1998</v>
      </c>
      <c r="M265" s="35">
        <v>6669.0</v>
      </c>
      <c r="N265" s="36"/>
    </row>
    <row r="266">
      <c r="A266" s="117" t="s">
        <v>1805</v>
      </c>
      <c r="B266" s="117">
        <v>7142.0</v>
      </c>
      <c r="C266" s="44" t="s">
        <v>1737</v>
      </c>
      <c r="D266" s="95">
        <v>0.77</v>
      </c>
      <c r="E266" s="95">
        <v>0.77</v>
      </c>
      <c r="F266" s="64" t="s">
        <v>1656</v>
      </c>
      <c r="H266" s="40"/>
      <c r="L266" s="127" t="s">
        <v>2000</v>
      </c>
      <c r="M266" s="35">
        <v>7186.0</v>
      </c>
      <c r="N266" s="36"/>
    </row>
    <row r="267">
      <c r="A267" s="117" t="s">
        <v>1811</v>
      </c>
      <c r="B267" s="117">
        <v>986.0</v>
      </c>
      <c r="C267" s="44" t="s">
        <v>1737</v>
      </c>
      <c r="D267" s="95">
        <v>0.84</v>
      </c>
      <c r="E267" s="95">
        <v>0.84</v>
      </c>
      <c r="F267" s="64" t="s">
        <v>1656</v>
      </c>
      <c r="H267" s="40"/>
      <c r="L267" s="127" t="s">
        <v>2001</v>
      </c>
      <c r="M267" s="35">
        <v>6669.0</v>
      </c>
      <c r="N267" s="36"/>
    </row>
    <row r="268">
      <c r="A268" s="117" t="s">
        <v>1823</v>
      </c>
      <c r="B268" s="117">
        <v>6772.0</v>
      </c>
      <c r="C268" s="44" t="s">
        <v>1737</v>
      </c>
      <c r="D268" s="95">
        <v>0.77</v>
      </c>
      <c r="E268" s="95">
        <v>0.77</v>
      </c>
      <c r="F268" s="64" t="s">
        <v>1656</v>
      </c>
      <c r="H268" s="40"/>
      <c r="L268" s="127" t="s">
        <v>2002</v>
      </c>
      <c r="M268" s="35">
        <v>6669.0</v>
      </c>
      <c r="N268" s="36"/>
    </row>
    <row r="269">
      <c r="A269" s="117" t="s">
        <v>1830</v>
      </c>
      <c r="B269" s="117">
        <v>6732.0</v>
      </c>
      <c r="C269" s="44" t="s">
        <v>1737</v>
      </c>
      <c r="D269" s="74">
        <v>0.81</v>
      </c>
      <c r="E269" s="74">
        <v>0.81</v>
      </c>
      <c r="F269" s="64" t="s">
        <v>1656</v>
      </c>
      <c r="H269" s="40"/>
      <c r="L269" s="127" t="s">
        <v>2003</v>
      </c>
      <c r="M269" s="35">
        <v>7246.0</v>
      </c>
      <c r="N269" s="36"/>
    </row>
    <row r="270">
      <c r="A270" s="117" t="s">
        <v>1840</v>
      </c>
      <c r="B270" s="117">
        <v>6947.0</v>
      </c>
      <c r="C270" s="44" t="s">
        <v>1737</v>
      </c>
      <c r="D270" s="95">
        <v>0.77</v>
      </c>
      <c r="E270" s="95">
        <v>0.77</v>
      </c>
      <c r="F270" s="64" t="s">
        <v>1656</v>
      </c>
      <c r="H270" s="40"/>
      <c r="L270" s="127" t="s">
        <v>2004</v>
      </c>
      <c r="M270" s="35">
        <v>5389.0</v>
      </c>
      <c r="N270" s="36"/>
    </row>
    <row r="271">
      <c r="A271" s="117" t="s">
        <v>1853</v>
      </c>
      <c r="B271" s="117">
        <v>3607.0</v>
      </c>
      <c r="C271" s="44" t="s">
        <v>1737</v>
      </c>
      <c r="D271" s="74">
        <v>0.81</v>
      </c>
      <c r="E271" s="74">
        <v>0.81</v>
      </c>
      <c r="F271" s="64" t="s">
        <v>1656</v>
      </c>
      <c r="H271" s="40"/>
      <c r="L271" s="127" t="s">
        <v>2005</v>
      </c>
      <c r="M271" s="35">
        <v>10141.0</v>
      </c>
      <c r="N271" s="36"/>
    </row>
    <row r="272">
      <c r="A272" s="117" t="s">
        <v>1856</v>
      </c>
      <c r="B272" s="117">
        <v>3607.0</v>
      </c>
      <c r="C272" s="44" t="s">
        <v>1737</v>
      </c>
      <c r="D272" s="74">
        <v>0.81</v>
      </c>
      <c r="E272" s="74">
        <v>0.81</v>
      </c>
      <c r="F272" s="64" t="s">
        <v>1656</v>
      </c>
      <c r="H272" s="40"/>
      <c r="L272" s="127" t="s">
        <v>2006</v>
      </c>
      <c r="M272" s="35">
        <v>7049.0</v>
      </c>
      <c r="N272" s="36"/>
    </row>
    <row r="273">
      <c r="A273" s="117" t="s">
        <v>1870</v>
      </c>
      <c r="B273" s="117">
        <v>7010.0</v>
      </c>
      <c r="C273" s="44" t="s">
        <v>1737</v>
      </c>
      <c r="D273" s="74">
        <v>0.81</v>
      </c>
      <c r="E273" s="74">
        <v>0.81</v>
      </c>
      <c r="F273" s="64" t="s">
        <v>1656</v>
      </c>
      <c r="H273" s="40"/>
      <c r="L273" s="127" t="s">
        <v>2007</v>
      </c>
      <c r="M273" s="35">
        <v>3307.0</v>
      </c>
      <c r="N273" s="36"/>
    </row>
    <row r="274">
      <c r="A274" s="117" t="s">
        <v>1877</v>
      </c>
      <c r="B274" s="117">
        <v>2345.0</v>
      </c>
      <c r="C274" s="44" t="s">
        <v>1737</v>
      </c>
      <c r="D274" s="74">
        <v>0.9</v>
      </c>
      <c r="E274" s="74">
        <v>0.9</v>
      </c>
      <c r="F274" s="64" t="s">
        <v>1656</v>
      </c>
      <c r="H274" s="40"/>
      <c r="L274" s="127" t="s">
        <v>2009</v>
      </c>
      <c r="M274" s="35">
        <v>3689.0</v>
      </c>
      <c r="N274" s="36"/>
    </row>
    <row r="275">
      <c r="A275" s="117" t="s">
        <v>1883</v>
      </c>
      <c r="B275" s="117">
        <v>6675.0</v>
      </c>
      <c r="C275" s="44" t="s">
        <v>1737</v>
      </c>
      <c r="D275" s="74">
        <v>0.81</v>
      </c>
      <c r="E275" s="74">
        <v>0.81</v>
      </c>
      <c r="F275" s="64" t="s">
        <v>1656</v>
      </c>
      <c r="H275" s="40"/>
      <c r="L275" s="127" t="s">
        <v>2010</v>
      </c>
      <c r="M275" s="35">
        <v>9307.0</v>
      </c>
      <c r="N275" s="36"/>
    </row>
    <row r="276">
      <c r="A276" s="117" t="s">
        <v>1886</v>
      </c>
      <c r="B276" s="117">
        <v>6133.0</v>
      </c>
      <c r="C276" s="44" t="s">
        <v>1737</v>
      </c>
      <c r="D276" s="95">
        <v>0.77</v>
      </c>
      <c r="E276" s="95">
        <v>0.77</v>
      </c>
      <c r="F276" s="64" t="s">
        <v>1656</v>
      </c>
      <c r="H276" s="40"/>
      <c r="L276" s="125" t="s">
        <v>2029</v>
      </c>
      <c r="M276" s="11">
        <v>7003.0</v>
      </c>
      <c r="N276" s="11">
        <v>6924.0</v>
      </c>
    </row>
    <row r="277">
      <c r="A277" s="117" t="s">
        <v>1889</v>
      </c>
      <c r="B277" s="117">
        <v>6949.0</v>
      </c>
      <c r="C277" s="44" t="s">
        <v>1737</v>
      </c>
      <c r="D277" s="95">
        <v>0.77</v>
      </c>
      <c r="E277" s="95">
        <v>0.77</v>
      </c>
      <c r="F277" s="64" t="s">
        <v>1656</v>
      </c>
      <c r="H277" s="40"/>
      <c r="L277" s="127" t="s">
        <v>2030</v>
      </c>
      <c r="M277" s="127">
        <v>12078.0</v>
      </c>
      <c r="N277" s="36"/>
    </row>
    <row r="278">
      <c r="A278" s="117" t="s">
        <v>1935</v>
      </c>
      <c r="B278" s="117">
        <v>189.0</v>
      </c>
      <c r="C278" s="44" t="s">
        <v>1737</v>
      </c>
      <c r="D278" s="74">
        <v>0.81</v>
      </c>
      <c r="E278" s="74">
        <v>0.81</v>
      </c>
      <c r="F278" s="64" t="s">
        <v>1656</v>
      </c>
      <c r="H278" s="40"/>
      <c r="L278" s="127" t="s">
        <v>2011</v>
      </c>
      <c r="M278" s="35">
        <v>3689.0</v>
      </c>
      <c r="N278" s="36"/>
    </row>
    <row r="279">
      <c r="A279" s="117" t="s">
        <v>1951</v>
      </c>
      <c r="B279" s="117">
        <v>6887.0</v>
      </c>
      <c r="C279" s="44" t="s">
        <v>1737</v>
      </c>
      <c r="D279" s="95">
        <v>0.77</v>
      </c>
      <c r="E279" s="95">
        <v>0.77</v>
      </c>
      <c r="F279" s="64" t="s">
        <v>1656</v>
      </c>
      <c r="H279" s="40"/>
      <c r="L279" s="127" t="s">
        <v>2013</v>
      </c>
      <c r="M279" s="109">
        <v>13829.0</v>
      </c>
      <c r="N279" s="36"/>
    </row>
    <row r="280">
      <c r="A280" s="117" t="s">
        <v>1953</v>
      </c>
      <c r="B280" s="117">
        <v>7031.0</v>
      </c>
      <c r="C280" s="44" t="s">
        <v>1737</v>
      </c>
      <c r="D280" s="95">
        <v>0.77</v>
      </c>
      <c r="E280" s="95">
        <v>0.77</v>
      </c>
      <c r="F280" s="64" t="s">
        <v>1656</v>
      </c>
      <c r="H280" s="40"/>
      <c r="L280" s="127" t="s">
        <v>2015</v>
      </c>
      <c r="M280" s="35">
        <v>2507.0</v>
      </c>
      <c r="N280" s="36"/>
    </row>
    <row r="281">
      <c r="A281" s="117" t="s">
        <v>1955</v>
      </c>
      <c r="B281" s="117">
        <v>12941.0</v>
      </c>
      <c r="C281" s="44" t="s">
        <v>1737</v>
      </c>
      <c r="D281" s="74">
        <v>0.81</v>
      </c>
      <c r="E281" s="74">
        <v>0.81</v>
      </c>
      <c r="F281" s="64" t="s">
        <v>1656</v>
      </c>
      <c r="H281" s="40"/>
      <c r="L281" s="125" t="s">
        <v>2031</v>
      </c>
      <c r="M281" s="11">
        <v>14065.0</v>
      </c>
    </row>
    <row r="282">
      <c r="A282" s="117" t="s">
        <v>1968</v>
      </c>
      <c r="B282" s="117">
        <v>7010.0</v>
      </c>
      <c r="C282" s="44" t="s">
        <v>1737</v>
      </c>
      <c r="D282" s="74">
        <v>0.81</v>
      </c>
      <c r="E282" s="74">
        <v>0.81</v>
      </c>
      <c r="F282" s="64" t="s">
        <v>1656</v>
      </c>
      <c r="H282" s="40"/>
      <c r="L282" s="127" t="s">
        <v>2017</v>
      </c>
      <c r="M282" s="35">
        <v>6873.0</v>
      </c>
      <c r="N282" s="36"/>
    </row>
    <row r="283">
      <c r="A283" s="117" t="s">
        <v>1970</v>
      </c>
      <c r="B283" s="117">
        <v>7010.0</v>
      </c>
      <c r="C283" s="44" t="s">
        <v>1737</v>
      </c>
      <c r="D283" s="74">
        <v>0.81</v>
      </c>
      <c r="E283" s="74">
        <v>0.81</v>
      </c>
      <c r="F283" s="64" t="s">
        <v>1656</v>
      </c>
      <c r="H283" s="40"/>
      <c r="L283" s="127" t="s">
        <v>2019</v>
      </c>
      <c r="M283" s="35">
        <v>9746.0</v>
      </c>
      <c r="N283" s="36"/>
    </row>
    <row r="284">
      <c r="A284" s="117" t="s">
        <v>1982</v>
      </c>
      <c r="B284" s="117">
        <v>12609.0</v>
      </c>
      <c r="C284" s="44" t="s">
        <v>1737</v>
      </c>
      <c r="D284" s="95">
        <v>0.77</v>
      </c>
      <c r="E284" s="95">
        <v>0.77</v>
      </c>
      <c r="F284" s="64" t="s">
        <v>1656</v>
      </c>
      <c r="H284" s="40"/>
      <c r="L284" s="127" t="s">
        <v>2021</v>
      </c>
      <c r="M284" s="135">
        <v>767.0</v>
      </c>
      <c r="N284" s="36"/>
    </row>
    <row r="285">
      <c r="A285" s="123" t="s">
        <v>1994</v>
      </c>
      <c r="B285" s="122">
        <v>3294.0</v>
      </c>
      <c r="C285" s="44" t="s">
        <v>1737</v>
      </c>
      <c r="D285" s="95">
        <v>0.77</v>
      </c>
      <c r="E285" s="95">
        <v>0.77</v>
      </c>
      <c r="F285" s="64" t="s">
        <v>1656</v>
      </c>
      <c r="H285" s="40"/>
      <c r="L285" s="127" t="s">
        <v>2032</v>
      </c>
      <c r="M285" s="43">
        <v>12553.0</v>
      </c>
      <c r="N285" s="36"/>
    </row>
    <row r="286">
      <c r="A286" s="123" t="s">
        <v>1996</v>
      </c>
      <c r="B286" s="136">
        <v>7100.0</v>
      </c>
      <c r="C286" s="44" t="s">
        <v>1737</v>
      </c>
      <c r="D286" s="95">
        <v>0.77</v>
      </c>
      <c r="E286" s="95">
        <v>0.77</v>
      </c>
      <c r="F286" s="64" t="s">
        <v>1656</v>
      </c>
      <c r="H286" s="40"/>
      <c r="L286" s="127" t="s">
        <v>2022</v>
      </c>
      <c r="M286" s="35">
        <v>6106.0</v>
      </c>
      <c r="N286" s="36"/>
    </row>
    <row r="287">
      <c r="A287" s="123" t="s">
        <v>1999</v>
      </c>
      <c r="B287" s="117">
        <v>6658.0</v>
      </c>
      <c r="C287" s="44" t="s">
        <v>1737</v>
      </c>
      <c r="D287" s="74">
        <v>0.77</v>
      </c>
      <c r="E287" s="74">
        <v>0.77</v>
      </c>
      <c r="F287" s="64" t="s">
        <v>1656</v>
      </c>
      <c r="H287" s="40"/>
      <c r="L287" s="127" t="s">
        <v>2023</v>
      </c>
      <c r="M287" s="35">
        <v>8199.0</v>
      </c>
      <c r="N287" s="36"/>
    </row>
    <row r="288">
      <c r="A288" s="123" t="s">
        <v>2018</v>
      </c>
      <c r="B288" s="117">
        <v>14482.0</v>
      </c>
      <c r="C288" s="44" t="s">
        <v>1737</v>
      </c>
      <c r="D288" s="95">
        <v>0.77</v>
      </c>
      <c r="E288" s="95">
        <v>0.77</v>
      </c>
      <c r="F288" s="64" t="s">
        <v>1656</v>
      </c>
      <c r="H288" s="40"/>
      <c r="L288" s="125" t="s">
        <v>2033</v>
      </c>
      <c r="M288" s="11">
        <v>189.0</v>
      </c>
    </row>
    <row r="289">
      <c r="A289" s="123" t="s">
        <v>2029</v>
      </c>
      <c r="B289" s="117">
        <v>7003.0</v>
      </c>
      <c r="C289" s="44" t="s">
        <v>1737</v>
      </c>
      <c r="D289" s="95">
        <v>0.77</v>
      </c>
      <c r="E289" s="95">
        <v>0.77</v>
      </c>
      <c r="F289" s="64" t="s">
        <v>1656</v>
      </c>
      <c r="H289" s="40"/>
      <c r="L289" s="125" t="s">
        <v>2034</v>
      </c>
      <c r="M289" s="11">
        <v>189.0</v>
      </c>
    </row>
    <row r="290">
      <c r="A290" s="123" t="s">
        <v>2030</v>
      </c>
      <c r="B290" s="123">
        <v>12078.0</v>
      </c>
      <c r="C290" s="44" t="s">
        <v>1737</v>
      </c>
      <c r="D290" s="95">
        <v>0.77</v>
      </c>
      <c r="E290" s="95">
        <v>0.77</v>
      </c>
      <c r="F290" s="64" t="s">
        <v>1656</v>
      </c>
      <c r="H290" s="40"/>
      <c r="L290" s="125" t="s">
        <v>2035</v>
      </c>
      <c r="M290" s="11">
        <v>189.0</v>
      </c>
    </row>
    <row r="291">
      <c r="A291" s="123" t="s">
        <v>2031</v>
      </c>
      <c r="B291" s="117">
        <v>14065.0</v>
      </c>
      <c r="C291" s="44" t="s">
        <v>1737</v>
      </c>
      <c r="D291" s="95">
        <v>0.77</v>
      </c>
      <c r="E291" s="95">
        <v>0.77</v>
      </c>
      <c r="F291" s="64" t="s">
        <v>1656</v>
      </c>
      <c r="H291" s="40"/>
      <c r="L291" s="125" t="s">
        <v>2036</v>
      </c>
      <c r="M291" s="11">
        <v>12941.0</v>
      </c>
    </row>
    <row r="292">
      <c r="A292" s="123" t="s">
        <v>2032</v>
      </c>
      <c r="B292" s="16">
        <v>12553.0</v>
      </c>
      <c r="C292" s="44" t="s">
        <v>1737</v>
      </c>
      <c r="D292" s="95">
        <v>0.77</v>
      </c>
      <c r="E292" s="95">
        <v>0.77</v>
      </c>
      <c r="F292" s="64" t="s">
        <v>1656</v>
      </c>
      <c r="H292" s="40"/>
      <c r="L292" s="127" t="s">
        <v>2024</v>
      </c>
      <c r="M292" s="35">
        <v>13858.0</v>
      </c>
      <c r="N292" s="36"/>
    </row>
    <row r="293">
      <c r="A293" s="123" t="s">
        <v>2033</v>
      </c>
      <c r="B293" s="117">
        <v>189.0</v>
      </c>
      <c r="C293" s="44" t="s">
        <v>1737</v>
      </c>
      <c r="D293" s="74">
        <v>0.81</v>
      </c>
      <c r="E293" s="74">
        <v>0.81</v>
      </c>
      <c r="F293" s="64" t="s">
        <v>1656</v>
      </c>
      <c r="H293" s="40"/>
      <c r="L293" s="125" t="s">
        <v>2037</v>
      </c>
      <c r="M293" s="11">
        <v>12941.0</v>
      </c>
    </row>
    <row r="294">
      <c r="A294" s="123" t="s">
        <v>2034</v>
      </c>
      <c r="B294" s="117">
        <v>189.0</v>
      </c>
      <c r="C294" s="44" t="s">
        <v>1737</v>
      </c>
      <c r="D294" s="74">
        <v>0.81</v>
      </c>
      <c r="E294" s="74">
        <v>0.81</v>
      </c>
      <c r="F294" s="64" t="s">
        <v>1656</v>
      </c>
      <c r="H294" s="40"/>
      <c r="L294" s="127" t="s">
        <v>2025</v>
      </c>
      <c r="M294" s="35">
        <v>12941.0</v>
      </c>
      <c r="N294" s="36"/>
    </row>
    <row r="295">
      <c r="A295" s="123" t="s">
        <v>2035</v>
      </c>
      <c r="B295" s="117">
        <v>189.0</v>
      </c>
      <c r="C295" s="44" t="s">
        <v>1737</v>
      </c>
      <c r="D295" s="74">
        <v>0.81</v>
      </c>
      <c r="E295" s="74">
        <v>0.81</v>
      </c>
      <c r="F295" s="64" t="s">
        <v>1656</v>
      </c>
      <c r="H295" s="40"/>
      <c r="L295" s="127" t="s">
        <v>2026</v>
      </c>
      <c r="M295" s="35">
        <v>12941.0</v>
      </c>
      <c r="N295" s="36"/>
    </row>
    <row r="296">
      <c r="A296" s="123" t="s">
        <v>2036</v>
      </c>
      <c r="B296" s="117">
        <v>12941.0</v>
      </c>
      <c r="C296" s="44" t="s">
        <v>1737</v>
      </c>
      <c r="D296" s="74">
        <v>0.81</v>
      </c>
      <c r="E296" s="74">
        <v>0.81</v>
      </c>
      <c r="F296" s="64" t="s">
        <v>1656</v>
      </c>
      <c r="H296" s="40"/>
      <c r="L296" s="125" t="s">
        <v>2038</v>
      </c>
      <c r="M296" s="11">
        <v>12941.0</v>
      </c>
    </row>
    <row r="297">
      <c r="A297" s="123" t="s">
        <v>2037</v>
      </c>
      <c r="B297" s="117">
        <v>12941.0</v>
      </c>
      <c r="C297" s="44" t="s">
        <v>1737</v>
      </c>
      <c r="D297" s="74">
        <v>0.81</v>
      </c>
      <c r="E297" s="74">
        <v>0.81</v>
      </c>
      <c r="F297" s="64" t="s">
        <v>1656</v>
      </c>
      <c r="H297" s="40"/>
      <c r="L297" s="127" t="s">
        <v>2027</v>
      </c>
      <c r="M297" s="35">
        <v>12941.0</v>
      </c>
      <c r="N297" s="36"/>
    </row>
    <row r="298">
      <c r="A298" s="123" t="s">
        <v>2038</v>
      </c>
      <c r="B298" s="117">
        <v>12941.0</v>
      </c>
      <c r="C298" s="44" t="s">
        <v>1737</v>
      </c>
      <c r="D298" s="74">
        <v>0.81</v>
      </c>
      <c r="E298" s="74">
        <v>0.81</v>
      </c>
      <c r="F298" s="64" t="s">
        <v>1656</v>
      </c>
      <c r="H298" s="40"/>
      <c r="L298" s="125" t="s">
        <v>2016</v>
      </c>
      <c r="M298" s="11">
        <v>6629.0</v>
      </c>
    </row>
    <row r="299">
      <c r="A299" s="123" t="s">
        <v>2016</v>
      </c>
      <c r="B299" s="117">
        <v>6629.0</v>
      </c>
      <c r="C299" s="44" t="s">
        <v>1737</v>
      </c>
      <c r="D299" s="95">
        <v>0.77</v>
      </c>
      <c r="E299" s="95">
        <v>0.77</v>
      </c>
      <c r="F299" s="64" t="s">
        <v>1656</v>
      </c>
      <c r="H299" s="40"/>
      <c r="L299" s="111" t="s">
        <v>2028</v>
      </c>
      <c r="M299" s="35">
        <v>6143.0</v>
      </c>
      <c r="N299" s="36"/>
    </row>
    <row r="300">
      <c r="A300" s="37" t="s">
        <v>2039</v>
      </c>
      <c r="B300" s="37">
        <v>7647.0</v>
      </c>
      <c r="C300" s="44" t="s">
        <v>1737</v>
      </c>
      <c r="D300" s="95">
        <v>0.77</v>
      </c>
      <c r="E300" s="95">
        <v>0.77</v>
      </c>
      <c r="F300" s="64" t="s">
        <v>1656</v>
      </c>
      <c r="H300" s="40"/>
    </row>
    <row r="301">
      <c r="A301" s="37" t="s">
        <v>2040</v>
      </c>
      <c r="B301" s="37">
        <v>9596.0</v>
      </c>
      <c r="C301" s="44" t="s">
        <v>1737</v>
      </c>
      <c r="D301" s="95">
        <v>0.77</v>
      </c>
      <c r="E301" s="95">
        <v>0.77</v>
      </c>
      <c r="F301" s="64" t="s">
        <v>1656</v>
      </c>
      <c r="H301" s="40"/>
    </row>
    <row r="302">
      <c r="A302" s="37" t="s">
        <v>2041</v>
      </c>
      <c r="B302" s="37">
        <v>9602.0</v>
      </c>
      <c r="C302" s="44" t="s">
        <v>1737</v>
      </c>
      <c r="D302" s="95">
        <v>0.77</v>
      </c>
      <c r="E302" s="95">
        <v>0.77</v>
      </c>
      <c r="F302" s="64" t="s">
        <v>1656</v>
      </c>
      <c r="H302" s="40"/>
    </row>
    <row r="303">
      <c r="A303" s="37" t="s">
        <v>2042</v>
      </c>
      <c r="B303" s="37">
        <v>10253.0</v>
      </c>
      <c r="C303" s="44" t="s">
        <v>1737</v>
      </c>
      <c r="D303" s="95">
        <v>0.77</v>
      </c>
      <c r="E303" s="95">
        <v>0.77</v>
      </c>
      <c r="F303" s="64" t="s">
        <v>1656</v>
      </c>
      <c r="H303" s="40"/>
    </row>
    <row r="304">
      <c r="A304" s="37" t="s">
        <v>2043</v>
      </c>
      <c r="B304" s="37">
        <v>7519.0</v>
      </c>
      <c r="C304" s="44" t="s">
        <v>1737</v>
      </c>
      <c r="D304" s="95">
        <v>0.77</v>
      </c>
      <c r="E304" s="95">
        <v>0.77</v>
      </c>
      <c r="F304" s="64" t="s">
        <v>1656</v>
      </c>
      <c r="H304" s="40"/>
    </row>
    <row r="305">
      <c r="A305" s="37" t="s">
        <v>2044</v>
      </c>
      <c r="B305" s="37">
        <v>9825.0</v>
      </c>
      <c r="C305" s="44" t="s">
        <v>1737</v>
      </c>
      <c r="D305" s="95">
        <v>0.77</v>
      </c>
      <c r="E305" s="95">
        <v>0.77</v>
      </c>
      <c r="F305" s="64" t="s">
        <v>1656</v>
      </c>
      <c r="H305" s="40"/>
    </row>
    <row r="306">
      <c r="A306" s="37" t="s">
        <v>2045</v>
      </c>
      <c r="B306" s="37">
        <v>10368.0</v>
      </c>
      <c r="C306" s="44" t="s">
        <v>1737</v>
      </c>
      <c r="D306" s="95">
        <v>0.77</v>
      </c>
      <c r="E306" s="95">
        <v>0.77</v>
      </c>
      <c r="F306" s="64" t="s">
        <v>1656</v>
      </c>
      <c r="H306" s="40"/>
    </row>
    <row r="307">
      <c r="A307" s="37" t="s">
        <v>2046</v>
      </c>
      <c r="B307" s="37">
        <v>9768.0</v>
      </c>
      <c r="C307" s="44" t="s">
        <v>1737</v>
      </c>
      <c r="D307" s="95">
        <v>0.77</v>
      </c>
      <c r="E307" s="95">
        <v>0.77</v>
      </c>
      <c r="F307" s="64" t="s">
        <v>1656</v>
      </c>
      <c r="H307" s="40"/>
    </row>
    <row r="308">
      <c r="A308" s="37" t="s">
        <v>2047</v>
      </c>
      <c r="B308" s="37">
        <v>11768.0</v>
      </c>
      <c r="C308" s="44" t="s">
        <v>1737</v>
      </c>
      <c r="D308" s="95">
        <v>0.77</v>
      </c>
      <c r="E308" s="95">
        <v>0.77</v>
      </c>
      <c r="F308" s="64" t="s">
        <v>1656</v>
      </c>
      <c r="H308" s="40"/>
    </row>
    <row r="309">
      <c r="A309" s="37" t="s">
        <v>2048</v>
      </c>
      <c r="B309" s="37">
        <v>7780.0</v>
      </c>
      <c r="C309" s="44" t="s">
        <v>1737</v>
      </c>
      <c r="D309" s="95">
        <v>0.77</v>
      </c>
      <c r="E309" s="95">
        <v>0.77</v>
      </c>
      <c r="F309" s="64" t="s">
        <v>1656</v>
      </c>
      <c r="H309" s="40"/>
    </row>
    <row r="310">
      <c r="A310" s="37" t="s">
        <v>2012</v>
      </c>
      <c r="B310" s="37">
        <v>13999.0</v>
      </c>
      <c r="C310" s="44" t="s">
        <v>1737</v>
      </c>
      <c r="D310" s="95">
        <v>0.77</v>
      </c>
      <c r="E310" s="95">
        <v>0.77</v>
      </c>
      <c r="F310" s="64" t="s">
        <v>1656</v>
      </c>
      <c r="H310" s="40"/>
    </row>
    <row r="311">
      <c r="A311" s="37" t="s">
        <v>2049</v>
      </c>
      <c r="B311" s="45"/>
      <c r="C311" s="44" t="s">
        <v>1737</v>
      </c>
      <c r="D311" s="95">
        <v>0.77</v>
      </c>
      <c r="E311" s="95">
        <v>0.77</v>
      </c>
      <c r="F311" s="64" t="s">
        <v>1656</v>
      </c>
      <c r="H311" s="40"/>
    </row>
    <row r="312">
      <c r="A312" s="37" t="s">
        <v>2050</v>
      </c>
      <c r="B312" s="37">
        <v>7715.0</v>
      </c>
      <c r="C312" s="44" t="s">
        <v>1737</v>
      </c>
      <c r="D312" s="95">
        <v>0.77</v>
      </c>
      <c r="E312" s="95">
        <v>0.77</v>
      </c>
      <c r="F312" s="64" t="s">
        <v>1656</v>
      </c>
      <c r="H312" s="40"/>
    </row>
    <row r="313">
      <c r="A313" s="37" t="s">
        <v>2051</v>
      </c>
      <c r="B313" s="37">
        <v>10861.0</v>
      </c>
      <c r="C313" s="44" t="s">
        <v>1737</v>
      </c>
      <c r="D313" s="74">
        <v>0.81</v>
      </c>
      <c r="E313" s="74">
        <v>0.81</v>
      </c>
      <c r="F313" s="64" t="s">
        <v>1656</v>
      </c>
      <c r="H313" s="40"/>
    </row>
    <row r="314">
      <c r="A314" s="37" t="s">
        <v>2052</v>
      </c>
      <c r="B314" s="37">
        <v>8696.0</v>
      </c>
      <c r="C314" s="44" t="s">
        <v>1737</v>
      </c>
      <c r="D314" s="95">
        <v>0.77</v>
      </c>
      <c r="E314" s="95">
        <v>0.77</v>
      </c>
      <c r="F314" s="64" t="s">
        <v>1656</v>
      </c>
      <c r="H314" s="40"/>
    </row>
    <row r="315">
      <c r="A315" s="37" t="s">
        <v>2053</v>
      </c>
      <c r="B315" s="37">
        <v>11553.0</v>
      </c>
      <c r="C315" s="44" t="s">
        <v>1737</v>
      </c>
      <c r="D315" s="95">
        <v>0.77</v>
      </c>
      <c r="E315" s="95">
        <v>0.77</v>
      </c>
      <c r="F315" s="64" t="s">
        <v>1656</v>
      </c>
      <c r="H315" s="40"/>
    </row>
    <row r="316">
      <c r="A316" s="37" t="s">
        <v>2054</v>
      </c>
      <c r="B316" s="37">
        <v>12259.0</v>
      </c>
      <c r="C316" s="44" t="s">
        <v>1737</v>
      </c>
      <c r="D316" s="95">
        <v>0.77</v>
      </c>
      <c r="E316" s="95">
        <v>0.77</v>
      </c>
      <c r="F316" s="64" t="s">
        <v>1656</v>
      </c>
      <c r="H316" s="40"/>
    </row>
    <row r="317">
      <c r="A317" s="37" t="s">
        <v>2014</v>
      </c>
      <c r="B317" s="37">
        <v>8486.0</v>
      </c>
      <c r="C317" s="44" t="s">
        <v>1737</v>
      </c>
      <c r="D317" s="74">
        <v>0.84</v>
      </c>
      <c r="E317" s="74">
        <v>0.84</v>
      </c>
      <c r="F317" s="64" t="s">
        <v>1656</v>
      </c>
      <c r="H317" s="40"/>
    </row>
    <row r="318">
      <c r="A318" s="37" t="s">
        <v>2055</v>
      </c>
      <c r="B318" s="37">
        <v>13895.0</v>
      </c>
      <c r="C318" s="44" t="s">
        <v>1737</v>
      </c>
      <c r="D318" s="95">
        <v>0.77</v>
      </c>
      <c r="E318" s="95">
        <v>0.77</v>
      </c>
      <c r="F318" s="64" t="s">
        <v>1656</v>
      </c>
      <c r="H318" s="40"/>
    </row>
    <row r="319">
      <c r="A319" s="37" t="s">
        <v>2056</v>
      </c>
      <c r="B319" s="37">
        <v>11775.0</v>
      </c>
      <c r="C319" s="44" t="s">
        <v>1737</v>
      </c>
      <c r="D319" s="95">
        <v>0.77</v>
      </c>
      <c r="E319" s="95">
        <v>0.77</v>
      </c>
      <c r="F319" s="64" t="s">
        <v>1656</v>
      </c>
      <c r="H319" s="40"/>
    </row>
    <row r="320">
      <c r="A320" s="37" t="s">
        <v>2057</v>
      </c>
      <c r="B320" s="37">
        <v>12277.0</v>
      </c>
      <c r="C320" s="44" t="s">
        <v>1737</v>
      </c>
      <c r="D320" s="95">
        <v>0.77</v>
      </c>
      <c r="E320" s="95">
        <v>0.77</v>
      </c>
      <c r="F320" s="64" t="s">
        <v>1656</v>
      </c>
      <c r="H320" s="40"/>
    </row>
    <row r="321">
      <c r="A321" s="37" t="s">
        <v>2058</v>
      </c>
      <c r="B321" s="45"/>
      <c r="C321" s="44" t="s">
        <v>1737</v>
      </c>
      <c r="D321" s="95">
        <v>0.77</v>
      </c>
      <c r="E321" s="95">
        <v>0.77</v>
      </c>
      <c r="F321" s="64" t="s">
        <v>1656</v>
      </c>
      <c r="H321" s="40"/>
    </row>
    <row r="322">
      <c r="A322" s="37" t="s">
        <v>2059</v>
      </c>
      <c r="B322" s="45"/>
      <c r="C322" s="44" t="s">
        <v>1737</v>
      </c>
      <c r="D322" s="95">
        <v>0.77</v>
      </c>
      <c r="E322" s="95">
        <v>0.77</v>
      </c>
      <c r="F322" s="64" t="s">
        <v>1656</v>
      </c>
      <c r="H322" s="40"/>
    </row>
    <row r="323">
      <c r="A323" s="37" t="s">
        <v>2060</v>
      </c>
      <c r="B323" s="45"/>
      <c r="C323" s="44" t="s">
        <v>1737</v>
      </c>
      <c r="D323" s="95">
        <v>0.77</v>
      </c>
      <c r="E323" s="95">
        <v>0.77</v>
      </c>
      <c r="F323" s="64" t="s">
        <v>1656</v>
      </c>
      <c r="H323" s="40"/>
    </row>
    <row r="324">
      <c r="A324" s="37" t="s">
        <v>2061</v>
      </c>
      <c r="B324" s="37">
        <v>8623.0</v>
      </c>
      <c r="C324" s="44" t="s">
        <v>1737</v>
      </c>
      <c r="D324" s="74">
        <v>0.81</v>
      </c>
      <c r="E324" s="74">
        <v>0.81</v>
      </c>
      <c r="F324" s="64" t="s">
        <v>1656</v>
      </c>
      <c r="H324" s="40"/>
    </row>
    <row r="325">
      <c r="A325" s="37" t="s">
        <v>2062</v>
      </c>
      <c r="B325" s="45"/>
      <c r="C325" s="44" t="s">
        <v>1737</v>
      </c>
      <c r="D325" s="95">
        <v>0.77</v>
      </c>
      <c r="E325" s="95">
        <v>0.77</v>
      </c>
      <c r="F325" s="64" t="s">
        <v>1656</v>
      </c>
      <c r="H325" s="40"/>
    </row>
    <row r="326">
      <c r="A326" s="37" t="s">
        <v>2063</v>
      </c>
      <c r="B326" s="37">
        <v>7983.0</v>
      </c>
      <c r="C326" s="44" t="s">
        <v>1737</v>
      </c>
      <c r="D326" s="95">
        <v>0.77</v>
      </c>
      <c r="E326" s="95">
        <v>0.77</v>
      </c>
      <c r="F326" s="64" t="s">
        <v>1656</v>
      </c>
      <c r="H326" s="40"/>
    </row>
    <row r="327">
      <c r="A327" s="37" t="s">
        <v>2064</v>
      </c>
      <c r="B327" s="37">
        <v>8005.0</v>
      </c>
      <c r="C327" s="44" t="s">
        <v>1737</v>
      </c>
      <c r="D327" s="95">
        <v>0.77</v>
      </c>
      <c r="E327" s="95">
        <v>0.77</v>
      </c>
      <c r="F327" s="64" t="s">
        <v>1656</v>
      </c>
      <c r="H327" s="40"/>
    </row>
    <row r="328">
      <c r="A328" s="37" t="s">
        <v>2065</v>
      </c>
      <c r="B328" s="37">
        <v>8163.0</v>
      </c>
      <c r="C328" s="44" t="s">
        <v>1737</v>
      </c>
      <c r="D328" s="95">
        <v>0.77</v>
      </c>
      <c r="E328" s="95">
        <v>0.77</v>
      </c>
      <c r="F328" s="64" t="s">
        <v>1656</v>
      </c>
      <c r="H328" s="40"/>
    </row>
    <row r="329">
      <c r="A329" s="37" t="s">
        <v>2066</v>
      </c>
      <c r="B329" s="37">
        <v>7416.0</v>
      </c>
      <c r="C329" s="44" t="s">
        <v>1737</v>
      </c>
      <c r="D329" s="95">
        <v>0.77</v>
      </c>
      <c r="E329" s="95">
        <v>0.77</v>
      </c>
      <c r="F329" s="64" t="s">
        <v>1656</v>
      </c>
      <c r="H329" s="40"/>
    </row>
    <row r="330">
      <c r="A330" s="37" t="s">
        <v>2067</v>
      </c>
      <c r="B330" s="37">
        <v>13988.0</v>
      </c>
      <c r="C330" s="44" t="s">
        <v>1737</v>
      </c>
      <c r="D330" s="95">
        <v>0.77</v>
      </c>
      <c r="E330" s="95">
        <v>0.77</v>
      </c>
      <c r="F330" s="64" t="s">
        <v>1656</v>
      </c>
      <c r="H330" s="40"/>
    </row>
    <row r="331">
      <c r="A331" s="37" t="s">
        <v>2068</v>
      </c>
      <c r="B331" s="37">
        <v>13987.0</v>
      </c>
      <c r="C331" s="44" t="s">
        <v>1737</v>
      </c>
      <c r="D331" s="95">
        <v>0.77</v>
      </c>
      <c r="E331" s="95">
        <v>0.77</v>
      </c>
      <c r="F331" s="64" t="s">
        <v>1656</v>
      </c>
      <c r="H331" s="40"/>
    </row>
    <row r="332">
      <c r="A332" s="37" t="s">
        <v>2069</v>
      </c>
      <c r="B332" s="45"/>
      <c r="C332" s="44" t="s">
        <v>1737</v>
      </c>
      <c r="D332" s="95">
        <v>0.77</v>
      </c>
      <c r="E332" s="95">
        <v>0.77</v>
      </c>
      <c r="F332" s="64" t="s">
        <v>1656</v>
      </c>
      <c r="H332" s="40"/>
    </row>
    <row r="333">
      <c r="A333" s="37" t="s">
        <v>2070</v>
      </c>
      <c r="B333" s="37">
        <v>14076.0</v>
      </c>
      <c r="C333" s="44" t="s">
        <v>1737</v>
      </c>
      <c r="D333" s="95">
        <v>0.77</v>
      </c>
      <c r="E333" s="95">
        <v>0.77</v>
      </c>
      <c r="F333" s="64" t="s">
        <v>1656</v>
      </c>
      <c r="H333" s="40"/>
    </row>
    <row r="334">
      <c r="A334" s="37" t="s">
        <v>2071</v>
      </c>
      <c r="B334" s="37">
        <v>7518.0</v>
      </c>
      <c r="C334" s="44" t="s">
        <v>1737</v>
      </c>
      <c r="D334" s="95">
        <v>0.77</v>
      </c>
      <c r="E334" s="95">
        <v>0.77</v>
      </c>
      <c r="F334" s="64" t="s">
        <v>1656</v>
      </c>
      <c r="H334" s="40"/>
    </row>
    <row r="335">
      <c r="A335" s="37" t="s">
        <v>2072</v>
      </c>
      <c r="B335" s="37">
        <v>14011.0</v>
      </c>
      <c r="C335" s="44" t="s">
        <v>1737</v>
      </c>
      <c r="D335" s="95">
        <v>0.77</v>
      </c>
      <c r="E335" s="95">
        <v>0.77</v>
      </c>
      <c r="F335" s="64" t="s">
        <v>1656</v>
      </c>
      <c r="H335" s="40"/>
    </row>
    <row r="336">
      <c r="A336" s="37" t="s">
        <v>2020</v>
      </c>
      <c r="B336" s="37">
        <v>13842.0</v>
      </c>
      <c r="C336" s="44" t="s">
        <v>1737</v>
      </c>
      <c r="D336" s="95">
        <v>0.77</v>
      </c>
      <c r="E336" s="95">
        <v>0.77</v>
      </c>
      <c r="F336" s="64" t="s">
        <v>1656</v>
      </c>
      <c r="H336" s="40"/>
    </row>
    <row r="337">
      <c r="A337" s="45"/>
      <c r="B337" s="45"/>
      <c r="H337" s="40"/>
    </row>
    <row r="338">
      <c r="A338" s="45"/>
      <c r="B338" s="45"/>
      <c r="H338" s="40"/>
    </row>
    <row r="339">
      <c r="A339" s="45"/>
      <c r="B339" s="45"/>
      <c r="H339" s="40"/>
    </row>
    <row r="340">
      <c r="A340" s="45"/>
      <c r="B340" s="45"/>
      <c r="H340" s="40"/>
    </row>
    <row r="341">
      <c r="A341" s="45"/>
      <c r="B341" s="45"/>
      <c r="H341" s="40"/>
    </row>
    <row r="342">
      <c r="A342" s="45"/>
      <c r="B342" s="45"/>
      <c r="H342" s="40"/>
    </row>
    <row r="343">
      <c r="A343" s="45"/>
      <c r="B343" s="45"/>
      <c r="H343" s="40"/>
    </row>
    <row r="344">
      <c r="A344" s="45"/>
      <c r="B344" s="45"/>
      <c r="H344" s="40"/>
    </row>
    <row r="345">
      <c r="A345" s="45"/>
      <c r="B345" s="45"/>
      <c r="H345" s="40"/>
    </row>
    <row r="346">
      <c r="A346" s="45"/>
      <c r="B346" s="45"/>
      <c r="H346" s="40"/>
    </row>
    <row r="347">
      <c r="A347" s="45"/>
      <c r="B347" s="45"/>
      <c r="H347" s="40"/>
    </row>
    <row r="348">
      <c r="A348" s="45"/>
      <c r="B348" s="45"/>
      <c r="H348" s="40"/>
    </row>
    <row r="349">
      <c r="A349" s="45"/>
      <c r="B349" s="45"/>
      <c r="H349" s="40"/>
    </row>
    <row r="350">
      <c r="A350" s="45"/>
      <c r="B350" s="45"/>
      <c r="H350" s="40"/>
    </row>
    <row r="351">
      <c r="A351" s="45"/>
      <c r="B351" s="45"/>
      <c r="H351" s="40"/>
    </row>
    <row r="352">
      <c r="A352" s="45"/>
      <c r="B352" s="45"/>
      <c r="H352" s="40"/>
    </row>
    <row r="353">
      <c r="A353" s="45"/>
      <c r="B353" s="45"/>
      <c r="H353" s="40"/>
    </row>
    <row r="354">
      <c r="A354" s="45"/>
      <c r="B354" s="45"/>
      <c r="H354" s="40"/>
    </row>
    <row r="355">
      <c r="A355" s="45"/>
      <c r="B355" s="45"/>
      <c r="H355" s="40"/>
    </row>
    <row r="356">
      <c r="A356" s="45"/>
      <c r="B356" s="45"/>
      <c r="H356" s="40"/>
    </row>
    <row r="357">
      <c r="A357" s="45"/>
      <c r="B357" s="45"/>
      <c r="H357" s="40"/>
    </row>
    <row r="358">
      <c r="A358" s="45"/>
      <c r="B358" s="45"/>
      <c r="H358" s="40"/>
    </row>
    <row r="359">
      <c r="A359" s="45"/>
      <c r="B359" s="45"/>
      <c r="H359" s="40"/>
    </row>
    <row r="360">
      <c r="A360" s="45"/>
      <c r="B360" s="45"/>
      <c r="H360" s="40"/>
    </row>
    <row r="361">
      <c r="A361" s="45"/>
      <c r="B361" s="45"/>
      <c r="H361" s="40"/>
    </row>
    <row r="362">
      <c r="A362" s="45"/>
      <c r="B362" s="45"/>
      <c r="H362" s="40"/>
    </row>
    <row r="363">
      <c r="A363" s="45"/>
      <c r="B363" s="45"/>
      <c r="H363" s="40"/>
    </row>
    <row r="364">
      <c r="A364" s="45"/>
      <c r="B364" s="45"/>
      <c r="H364" s="40"/>
    </row>
    <row r="365">
      <c r="A365" s="45"/>
      <c r="B365" s="45"/>
      <c r="H365" s="40"/>
    </row>
    <row r="366">
      <c r="A366" s="45"/>
      <c r="B366" s="45"/>
      <c r="H366" s="40"/>
    </row>
    <row r="367">
      <c r="A367" s="45"/>
      <c r="B367" s="45"/>
      <c r="H367" s="40"/>
    </row>
    <row r="368">
      <c r="A368" s="45"/>
      <c r="B368" s="45"/>
      <c r="H368" s="40"/>
    </row>
    <row r="369">
      <c r="A369" s="45"/>
      <c r="B369" s="45"/>
      <c r="H369" s="40"/>
    </row>
    <row r="370">
      <c r="A370" s="45"/>
      <c r="B370" s="45"/>
      <c r="H370" s="40"/>
    </row>
    <row r="371">
      <c r="A371" s="45"/>
      <c r="B371" s="45"/>
    </row>
    <row r="372">
      <c r="A372" s="45"/>
      <c r="B372" s="45"/>
    </row>
    <row r="373">
      <c r="A373" s="45"/>
      <c r="B373" s="45"/>
    </row>
    <row r="374">
      <c r="A374" s="45"/>
      <c r="B374" s="45"/>
    </row>
    <row r="375">
      <c r="A375" s="45"/>
      <c r="B375" s="45"/>
    </row>
    <row r="376">
      <c r="A376" s="45"/>
      <c r="B376" s="45"/>
    </row>
    <row r="377">
      <c r="A377" s="45"/>
      <c r="B377" s="45"/>
    </row>
    <row r="378">
      <c r="A378" s="45"/>
      <c r="B378" s="45"/>
    </row>
    <row r="379">
      <c r="A379" s="45"/>
      <c r="B379" s="45"/>
    </row>
    <row r="380">
      <c r="A380" s="45"/>
      <c r="B380" s="45"/>
    </row>
    <row r="381">
      <c r="A381" s="45"/>
      <c r="B381" s="45"/>
    </row>
    <row r="382">
      <c r="A382" s="45"/>
      <c r="B382" s="45"/>
    </row>
    <row r="383">
      <c r="A383" s="45"/>
      <c r="B383" s="45"/>
    </row>
    <row r="384">
      <c r="A384" s="45"/>
      <c r="B384" s="45"/>
    </row>
    <row r="385">
      <c r="A385" s="45"/>
      <c r="B385" s="45"/>
    </row>
    <row r="386">
      <c r="A386" s="45"/>
      <c r="B386" s="45"/>
    </row>
    <row r="387">
      <c r="A387" s="45"/>
      <c r="B387" s="45"/>
    </row>
    <row r="388">
      <c r="A388" s="45"/>
      <c r="B388" s="45"/>
    </row>
    <row r="389">
      <c r="A389" s="45"/>
      <c r="B389" s="45"/>
    </row>
    <row r="390">
      <c r="A390" s="45"/>
      <c r="B390" s="45"/>
    </row>
    <row r="391">
      <c r="A391" s="45"/>
      <c r="B391" s="45"/>
    </row>
    <row r="392">
      <c r="A392" s="45"/>
      <c r="B392" s="45"/>
    </row>
    <row r="393">
      <c r="A393" s="45"/>
      <c r="B393" s="45"/>
    </row>
    <row r="394">
      <c r="A394" s="45"/>
      <c r="B394" s="45"/>
    </row>
    <row r="395">
      <c r="A395" s="45"/>
      <c r="B395" s="45"/>
    </row>
    <row r="396">
      <c r="A396" s="45"/>
      <c r="B396" s="45"/>
    </row>
    <row r="397">
      <c r="A397" s="45"/>
      <c r="B397" s="45"/>
    </row>
    <row r="398">
      <c r="A398" s="45"/>
      <c r="B398" s="45"/>
    </row>
    <row r="399">
      <c r="A399" s="45"/>
      <c r="B399" s="45"/>
    </row>
    <row r="400">
      <c r="A400" s="45"/>
      <c r="B400" s="45"/>
    </row>
    <row r="401">
      <c r="A401" s="45"/>
      <c r="B401" s="45"/>
    </row>
    <row r="402">
      <c r="A402" s="45"/>
      <c r="B402" s="45"/>
    </row>
    <row r="403">
      <c r="A403" s="45"/>
      <c r="B403" s="45"/>
    </row>
    <row r="404">
      <c r="A404" s="45"/>
      <c r="B404" s="45"/>
    </row>
    <row r="405">
      <c r="A405" s="45"/>
      <c r="B405" s="45"/>
    </row>
    <row r="406">
      <c r="A406" s="45"/>
      <c r="B406" s="45"/>
    </row>
    <row r="407">
      <c r="A407" s="45"/>
      <c r="B407" s="45"/>
    </row>
    <row r="408">
      <c r="A408" s="45"/>
      <c r="B408" s="45"/>
    </row>
    <row r="409">
      <c r="A409" s="45"/>
      <c r="B409" s="45"/>
    </row>
    <row r="410">
      <c r="A410" s="45"/>
      <c r="B410" s="45"/>
    </row>
    <row r="411">
      <c r="A411" s="45"/>
      <c r="B411" s="45"/>
    </row>
    <row r="412">
      <c r="A412" s="45"/>
      <c r="B412" s="45"/>
    </row>
    <row r="413">
      <c r="A413" s="45"/>
      <c r="B413" s="45"/>
    </row>
    <row r="414">
      <c r="A414" s="45"/>
      <c r="B414" s="45"/>
    </row>
    <row r="415">
      <c r="A415" s="45"/>
      <c r="B415" s="45"/>
    </row>
    <row r="416">
      <c r="A416" s="45"/>
      <c r="B416" s="45"/>
    </row>
    <row r="417">
      <c r="A417" s="45"/>
      <c r="B417" s="45"/>
    </row>
    <row r="418">
      <c r="A418" s="45"/>
      <c r="B418" s="45"/>
    </row>
    <row r="419">
      <c r="A419" s="45"/>
      <c r="B419" s="45"/>
    </row>
    <row r="420">
      <c r="A420" s="45"/>
      <c r="B420" s="45"/>
    </row>
    <row r="421">
      <c r="A421" s="45"/>
      <c r="B421" s="45"/>
    </row>
    <row r="422">
      <c r="A422" s="45"/>
      <c r="B422" s="45"/>
    </row>
    <row r="423">
      <c r="A423" s="45"/>
      <c r="B423" s="45"/>
    </row>
    <row r="424">
      <c r="A424" s="45"/>
      <c r="B424" s="45"/>
    </row>
    <row r="425">
      <c r="A425" s="45"/>
      <c r="B425" s="45"/>
    </row>
    <row r="426">
      <c r="A426" s="45"/>
      <c r="B426" s="45"/>
    </row>
    <row r="427">
      <c r="A427" s="45"/>
      <c r="B427" s="45"/>
    </row>
    <row r="428">
      <c r="A428" s="45"/>
      <c r="B428" s="45"/>
    </row>
    <row r="429">
      <c r="A429" s="45"/>
      <c r="B429" s="45"/>
    </row>
    <row r="430">
      <c r="A430" s="45"/>
      <c r="B430" s="45"/>
    </row>
    <row r="431">
      <c r="A431" s="45"/>
      <c r="B431" s="45"/>
    </row>
    <row r="432">
      <c r="A432" s="45"/>
      <c r="B432" s="45"/>
    </row>
    <row r="433">
      <c r="A433" s="45"/>
      <c r="B433" s="45"/>
    </row>
    <row r="434">
      <c r="A434" s="45"/>
      <c r="B434" s="45"/>
    </row>
    <row r="435">
      <c r="A435" s="45"/>
      <c r="B435" s="45"/>
    </row>
    <row r="436">
      <c r="A436" s="45"/>
      <c r="B436" s="45"/>
    </row>
    <row r="437">
      <c r="A437" s="45"/>
      <c r="B437" s="45"/>
    </row>
    <row r="438">
      <c r="A438" s="45"/>
      <c r="B438" s="45"/>
    </row>
    <row r="439">
      <c r="A439" s="45"/>
      <c r="B439" s="45"/>
    </row>
    <row r="440">
      <c r="A440" s="45"/>
      <c r="B440" s="45"/>
    </row>
    <row r="441">
      <c r="A441" s="45"/>
      <c r="B441" s="45"/>
    </row>
    <row r="442">
      <c r="A442" s="45"/>
      <c r="B442" s="45"/>
    </row>
    <row r="443">
      <c r="A443" s="45"/>
      <c r="B443" s="45"/>
    </row>
    <row r="444">
      <c r="A444" s="45"/>
      <c r="B444" s="45"/>
    </row>
    <row r="445">
      <c r="A445" s="45"/>
      <c r="B445" s="45"/>
    </row>
    <row r="446">
      <c r="A446" s="45"/>
      <c r="B446" s="45"/>
    </row>
    <row r="447">
      <c r="A447" s="45"/>
      <c r="B447" s="45"/>
    </row>
    <row r="448">
      <c r="A448" s="45"/>
      <c r="B448" s="45"/>
    </row>
    <row r="449">
      <c r="A449" s="45"/>
      <c r="B449" s="45"/>
    </row>
    <row r="450">
      <c r="A450" s="45"/>
      <c r="B450" s="45"/>
    </row>
    <row r="451">
      <c r="A451" s="45"/>
      <c r="B451" s="45"/>
    </row>
    <row r="452">
      <c r="A452" s="45"/>
      <c r="B452" s="45"/>
    </row>
    <row r="453">
      <c r="A453" s="45"/>
      <c r="B453" s="45"/>
    </row>
    <row r="454">
      <c r="A454" s="45"/>
      <c r="B454" s="45"/>
    </row>
    <row r="455">
      <c r="A455" s="45"/>
      <c r="B455" s="45"/>
    </row>
    <row r="456">
      <c r="A456" s="45"/>
      <c r="B456" s="45"/>
    </row>
    <row r="457">
      <c r="A457" s="45"/>
      <c r="B457" s="45"/>
    </row>
    <row r="458">
      <c r="A458" s="45"/>
      <c r="B458" s="45"/>
    </row>
    <row r="459">
      <c r="A459" s="45"/>
      <c r="B459" s="45"/>
    </row>
    <row r="460">
      <c r="A460" s="45"/>
      <c r="B460" s="45"/>
    </row>
    <row r="461">
      <c r="A461" s="45"/>
      <c r="B461" s="45"/>
    </row>
    <row r="462">
      <c r="A462" s="45"/>
      <c r="B462" s="45"/>
    </row>
    <row r="463">
      <c r="A463" s="45"/>
      <c r="B463" s="45"/>
    </row>
    <row r="464">
      <c r="A464" s="45"/>
      <c r="B464" s="45"/>
    </row>
    <row r="465">
      <c r="A465" s="45"/>
      <c r="B465" s="45"/>
    </row>
    <row r="466">
      <c r="A466" s="45"/>
      <c r="B466" s="45"/>
    </row>
    <row r="467">
      <c r="A467" s="45"/>
      <c r="B467" s="45"/>
    </row>
    <row r="468">
      <c r="A468" s="45"/>
      <c r="B468" s="45"/>
    </row>
    <row r="469">
      <c r="A469" s="45"/>
      <c r="B469" s="45"/>
    </row>
    <row r="470">
      <c r="A470" s="45"/>
      <c r="B470" s="45"/>
    </row>
    <row r="471">
      <c r="A471" s="45"/>
      <c r="B471" s="45"/>
    </row>
    <row r="472">
      <c r="A472" s="45"/>
      <c r="B472" s="45"/>
    </row>
    <row r="473">
      <c r="A473" s="45"/>
      <c r="B473" s="45"/>
    </row>
    <row r="474">
      <c r="A474" s="45"/>
      <c r="B474" s="45"/>
    </row>
    <row r="475">
      <c r="A475" s="45"/>
      <c r="B475" s="45"/>
    </row>
    <row r="476">
      <c r="A476" s="45"/>
      <c r="B476" s="45"/>
    </row>
    <row r="477">
      <c r="A477" s="45"/>
      <c r="B477" s="45"/>
    </row>
    <row r="478">
      <c r="A478" s="45"/>
      <c r="B478" s="45"/>
    </row>
    <row r="479">
      <c r="A479" s="45"/>
      <c r="B479" s="45"/>
    </row>
    <row r="480">
      <c r="A480" s="45"/>
      <c r="B480" s="45"/>
    </row>
    <row r="481">
      <c r="A481" s="45"/>
      <c r="B481" s="45"/>
    </row>
    <row r="482">
      <c r="A482" s="45"/>
      <c r="B482" s="45"/>
    </row>
    <row r="483">
      <c r="A483" s="45"/>
      <c r="B483" s="45"/>
    </row>
    <row r="484">
      <c r="A484" s="45"/>
      <c r="B484" s="45"/>
    </row>
    <row r="485">
      <c r="A485" s="45"/>
      <c r="B485" s="45"/>
    </row>
    <row r="486">
      <c r="A486" s="45"/>
      <c r="B486" s="45"/>
    </row>
    <row r="487">
      <c r="A487" s="45"/>
      <c r="B487" s="45"/>
    </row>
    <row r="488">
      <c r="A488" s="45"/>
      <c r="B488" s="45"/>
    </row>
    <row r="489">
      <c r="A489" s="45"/>
      <c r="B489" s="45"/>
    </row>
    <row r="490">
      <c r="A490" s="45"/>
      <c r="B490" s="45"/>
    </row>
    <row r="491">
      <c r="A491" s="45"/>
      <c r="B491" s="45"/>
    </row>
    <row r="492">
      <c r="A492" s="45"/>
      <c r="B492" s="45"/>
    </row>
    <row r="493">
      <c r="A493" s="45"/>
      <c r="B493" s="45"/>
    </row>
    <row r="494">
      <c r="A494" s="45"/>
      <c r="B494" s="45"/>
    </row>
    <row r="495">
      <c r="A495" s="45"/>
      <c r="B495" s="45"/>
    </row>
    <row r="496">
      <c r="A496" s="45"/>
      <c r="B496" s="45"/>
    </row>
    <row r="497">
      <c r="A497" s="45"/>
      <c r="B497" s="45"/>
    </row>
    <row r="498">
      <c r="A498" s="45"/>
      <c r="B498" s="45"/>
    </row>
    <row r="499">
      <c r="A499" s="45"/>
      <c r="B499" s="45"/>
    </row>
    <row r="500">
      <c r="A500" s="45"/>
      <c r="B500" s="45"/>
    </row>
    <row r="501">
      <c r="A501" s="45"/>
      <c r="B501" s="45"/>
    </row>
    <row r="502">
      <c r="A502" s="45"/>
      <c r="B502" s="45"/>
    </row>
    <row r="503">
      <c r="A503" s="45"/>
      <c r="B503" s="45"/>
    </row>
    <row r="504">
      <c r="A504" s="45"/>
      <c r="B504" s="45"/>
    </row>
    <row r="505">
      <c r="A505" s="45"/>
      <c r="B505" s="45"/>
    </row>
    <row r="506">
      <c r="A506" s="45"/>
      <c r="B506" s="45"/>
    </row>
    <row r="507">
      <c r="A507" s="45"/>
      <c r="B507" s="45"/>
    </row>
    <row r="508">
      <c r="A508" s="45"/>
      <c r="B508" s="45"/>
    </row>
    <row r="509">
      <c r="A509" s="45"/>
      <c r="B509" s="45"/>
    </row>
    <row r="510">
      <c r="A510" s="45"/>
      <c r="B510" s="45"/>
    </row>
    <row r="511">
      <c r="A511" s="45"/>
      <c r="B511" s="45"/>
    </row>
    <row r="512">
      <c r="A512" s="45"/>
      <c r="B512" s="45"/>
    </row>
    <row r="513">
      <c r="A513" s="45"/>
      <c r="B513" s="45"/>
    </row>
    <row r="514">
      <c r="A514" s="45"/>
      <c r="B514" s="45"/>
    </row>
    <row r="515">
      <c r="A515" s="45"/>
      <c r="B515" s="45"/>
    </row>
    <row r="516">
      <c r="A516" s="45"/>
      <c r="B516" s="45"/>
    </row>
    <row r="517">
      <c r="A517" s="45"/>
      <c r="B517" s="45"/>
    </row>
    <row r="518">
      <c r="A518" s="45"/>
      <c r="B518" s="45"/>
    </row>
    <row r="519">
      <c r="A519" s="45"/>
      <c r="B519" s="45"/>
    </row>
    <row r="520">
      <c r="A520" s="45"/>
      <c r="B520" s="45"/>
    </row>
    <row r="521">
      <c r="A521" s="45"/>
      <c r="B521" s="45"/>
    </row>
    <row r="522">
      <c r="A522" s="45"/>
      <c r="B522" s="45"/>
    </row>
    <row r="523">
      <c r="A523" s="45"/>
      <c r="B523" s="45"/>
    </row>
    <row r="524">
      <c r="A524" s="45"/>
      <c r="B524" s="45"/>
    </row>
    <row r="525">
      <c r="A525" s="45"/>
      <c r="B525" s="45"/>
    </row>
    <row r="526">
      <c r="A526" s="45"/>
      <c r="B526" s="45"/>
    </row>
    <row r="527">
      <c r="A527" s="45"/>
      <c r="B527" s="45"/>
    </row>
    <row r="528">
      <c r="A528" s="45"/>
      <c r="B528" s="45"/>
    </row>
    <row r="529">
      <c r="A529" s="45"/>
      <c r="B529" s="45"/>
    </row>
    <row r="530">
      <c r="A530" s="45"/>
      <c r="B530" s="45"/>
    </row>
    <row r="531">
      <c r="A531" s="45"/>
      <c r="B531" s="45"/>
    </row>
    <row r="532">
      <c r="A532" s="45"/>
      <c r="B532" s="45"/>
    </row>
    <row r="533">
      <c r="A533" s="45"/>
      <c r="B533" s="45"/>
    </row>
    <row r="534">
      <c r="A534" s="45"/>
      <c r="B534" s="45"/>
    </row>
    <row r="535">
      <c r="A535" s="45"/>
      <c r="B535" s="45"/>
    </row>
    <row r="536">
      <c r="A536" s="45"/>
      <c r="B536" s="45"/>
    </row>
    <row r="537">
      <c r="A537" s="45"/>
      <c r="B537" s="45"/>
    </row>
    <row r="538">
      <c r="A538" s="45"/>
      <c r="B538" s="45"/>
    </row>
    <row r="539">
      <c r="A539" s="45"/>
      <c r="B539" s="45"/>
    </row>
    <row r="540">
      <c r="A540" s="45"/>
      <c r="B540" s="45"/>
    </row>
    <row r="541">
      <c r="A541" s="45"/>
      <c r="B541" s="45"/>
    </row>
    <row r="542">
      <c r="A542" s="45"/>
      <c r="B542" s="45"/>
    </row>
    <row r="543">
      <c r="A543" s="45"/>
      <c r="B543" s="45"/>
    </row>
    <row r="544">
      <c r="A544" s="45"/>
      <c r="B544" s="45"/>
    </row>
    <row r="545">
      <c r="A545" s="45"/>
      <c r="B545" s="45"/>
    </row>
    <row r="546">
      <c r="A546" s="45"/>
      <c r="B546" s="45"/>
    </row>
    <row r="547">
      <c r="A547" s="45"/>
      <c r="B547" s="45"/>
    </row>
    <row r="548">
      <c r="A548" s="45"/>
      <c r="B548" s="45"/>
    </row>
    <row r="549">
      <c r="A549" s="45"/>
      <c r="B549" s="45"/>
    </row>
    <row r="550">
      <c r="A550" s="45"/>
      <c r="B550" s="45"/>
    </row>
    <row r="551">
      <c r="A551" s="45"/>
      <c r="B551" s="45"/>
    </row>
    <row r="552">
      <c r="A552" s="45"/>
      <c r="B552" s="45"/>
    </row>
    <row r="553">
      <c r="A553" s="45"/>
      <c r="B553" s="45"/>
    </row>
    <row r="554">
      <c r="A554" s="45"/>
      <c r="B554" s="45"/>
    </row>
    <row r="555">
      <c r="A555" s="45"/>
      <c r="B555" s="45"/>
    </row>
    <row r="556">
      <c r="A556" s="45"/>
      <c r="B556" s="45"/>
    </row>
    <row r="557">
      <c r="A557" s="45"/>
      <c r="B557" s="45"/>
    </row>
    <row r="558">
      <c r="A558" s="45"/>
      <c r="B558" s="45"/>
    </row>
    <row r="559">
      <c r="A559" s="45"/>
      <c r="B559" s="45"/>
    </row>
    <row r="560">
      <c r="A560" s="45"/>
      <c r="B560" s="45"/>
    </row>
    <row r="561">
      <c r="A561" s="45"/>
      <c r="B561" s="45"/>
    </row>
    <row r="562">
      <c r="A562" s="45"/>
      <c r="B562" s="45"/>
    </row>
    <row r="563">
      <c r="A563" s="45"/>
      <c r="B563" s="45"/>
    </row>
    <row r="564">
      <c r="A564" s="45"/>
      <c r="B564" s="45"/>
    </row>
    <row r="565">
      <c r="A565" s="45"/>
      <c r="B565" s="45"/>
    </row>
    <row r="566">
      <c r="A566" s="45"/>
      <c r="B566" s="45"/>
    </row>
    <row r="567">
      <c r="A567" s="45"/>
      <c r="B567" s="45"/>
    </row>
    <row r="568">
      <c r="A568" s="45"/>
      <c r="B568" s="45"/>
    </row>
    <row r="569">
      <c r="A569" s="45"/>
      <c r="B569" s="45"/>
    </row>
    <row r="570">
      <c r="A570" s="45"/>
      <c r="B570" s="45"/>
    </row>
    <row r="571">
      <c r="A571" s="45"/>
      <c r="B571" s="45"/>
    </row>
    <row r="572">
      <c r="A572" s="45"/>
      <c r="B572" s="45"/>
    </row>
    <row r="573">
      <c r="A573" s="45"/>
      <c r="B573" s="45"/>
    </row>
    <row r="574">
      <c r="A574" s="45"/>
      <c r="B574" s="45"/>
    </row>
    <row r="575">
      <c r="A575" s="45"/>
      <c r="B575" s="45"/>
    </row>
    <row r="576">
      <c r="A576" s="45"/>
      <c r="B576" s="45"/>
    </row>
    <row r="577">
      <c r="A577" s="45"/>
      <c r="B577" s="45"/>
    </row>
    <row r="578">
      <c r="A578" s="45"/>
      <c r="B578" s="45"/>
    </row>
    <row r="579">
      <c r="A579" s="45"/>
      <c r="B579" s="45"/>
    </row>
    <row r="580">
      <c r="A580" s="45"/>
      <c r="B580" s="45"/>
    </row>
    <row r="581">
      <c r="A581" s="45"/>
      <c r="B581" s="45"/>
    </row>
    <row r="582">
      <c r="A582" s="45"/>
      <c r="B582" s="45"/>
    </row>
    <row r="583">
      <c r="A583" s="45"/>
      <c r="B583" s="45"/>
    </row>
    <row r="584">
      <c r="A584" s="45"/>
      <c r="B584" s="45"/>
    </row>
    <row r="585">
      <c r="A585" s="45"/>
      <c r="B585" s="45"/>
    </row>
    <row r="586">
      <c r="A586" s="45"/>
      <c r="B586" s="45"/>
    </row>
    <row r="587">
      <c r="A587" s="45"/>
      <c r="B587" s="45"/>
    </row>
    <row r="588">
      <c r="A588" s="45"/>
      <c r="B588" s="45"/>
    </row>
    <row r="589">
      <c r="A589" s="45"/>
      <c r="B589" s="45"/>
    </row>
    <row r="590">
      <c r="A590" s="45"/>
      <c r="B590" s="45"/>
    </row>
    <row r="591">
      <c r="A591" s="45"/>
      <c r="B591" s="45"/>
    </row>
    <row r="592">
      <c r="A592" s="45"/>
      <c r="B592" s="45"/>
    </row>
    <row r="593">
      <c r="A593" s="45"/>
      <c r="B593" s="45"/>
    </row>
    <row r="594">
      <c r="A594" s="45"/>
      <c r="B594" s="45"/>
    </row>
    <row r="595">
      <c r="A595" s="45"/>
      <c r="B595" s="45"/>
    </row>
    <row r="596">
      <c r="A596" s="45"/>
      <c r="B596" s="45"/>
    </row>
    <row r="597">
      <c r="A597" s="45"/>
      <c r="B597" s="45"/>
    </row>
    <row r="598">
      <c r="A598" s="45"/>
      <c r="B598" s="45"/>
    </row>
    <row r="599">
      <c r="A599" s="45"/>
      <c r="B599" s="45"/>
    </row>
    <row r="600">
      <c r="A600" s="45"/>
      <c r="B600" s="45"/>
    </row>
    <row r="601">
      <c r="A601" s="45"/>
      <c r="B601" s="45"/>
    </row>
    <row r="602">
      <c r="A602" s="45"/>
      <c r="B602" s="45"/>
    </row>
    <row r="603">
      <c r="A603" s="45"/>
      <c r="B603" s="45"/>
    </row>
    <row r="604">
      <c r="A604" s="45"/>
      <c r="B604" s="45"/>
    </row>
    <row r="605">
      <c r="A605" s="45"/>
      <c r="B605" s="45"/>
    </row>
    <row r="606">
      <c r="A606" s="45"/>
      <c r="B606" s="45"/>
    </row>
    <row r="607">
      <c r="A607" s="45"/>
      <c r="B607" s="45"/>
    </row>
    <row r="608">
      <c r="A608" s="45"/>
      <c r="B608" s="45"/>
    </row>
    <row r="609">
      <c r="A609" s="45"/>
      <c r="B609" s="45"/>
    </row>
    <row r="610">
      <c r="A610" s="45"/>
      <c r="B610" s="45"/>
    </row>
    <row r="611">
      <c r="A611" s="45"/>
      <c r="B611" s="45"/>
    </row>
    <row r="612">
      <c r="A612" s="45"/>
      <c r="B612" s="45"/>
    </row>
    <row r="613">
      <c r="A613" s="45"/>
      <c r="B613" s="45"/>
    </row>
    <row r="614">
      <c r="A614" s="45"/>
      <c r="B614" s="45"/>
    </row>
    <row r="615">
      <c r="A615" s="45"/>
      <c r="B615" s="45"/>
    </row>
    <row r="616">
      <c r="A616" s="45"/>
      <c r="B616" s="45"/>
    </row>
    <row r="617">
      <c r="A617" s="45"/>
      <c r="B617" s="45"/>
    </row>
    <row r="618">
      <c r="A618" s="45"/>
      <c r="B618" s="45"/>
    </row>
    <row r="619">
      <c r="A619" s="45"/>
      <c r="B619" s="45"/>
    </row>
    <row r="620">
      <c r="A620" s="45"/>
      <c r="B620" s="45"/>
    </row>
    <row r="621">
      <c r="A621" s="45"/>
      <c r="B621" s="45"/>
    </row>
    <row r="622">
      <c r="A622" s="45"/>
      <c r="B622" s="45"/>
    </row>
    <row r="623">
      <c r="A623" s="45"/>
      <c r="B623" s="45"/>
    </row>
    <row r="624">
      <c r="A624" s="45"/>
      <c r="B624" s="45"/>
    </row>
    <row r="625">
      <c r="A625" s="45"/>
      <c r="B625" s="45"/>
    </row>
    <row r="626">
      <c r="A626" s="45"/>
      <c r="B626" s="45"/>
    </row>
    <row r="627">
      <c r="A627" s="45"/>
      <c r="B627" s="45"/>
    </row>
    <row r="628">
      <c r="A628" s="45"/>
      <c r="B628" s="45"/>
    </row>
    <row r="629">
      <c r="A629" s="45"/>
      <c r="B629" s="45"/>
    </row>
    <row r="630">
      <c r="A630" s="45"/>
      <c r="B630" s="45"/>
    </row>
    <row r="631">
      <c r="A631" s="45"/>
      <c r="B631" s="45"/>
    </row>
    <row r="632">
      <c r="A632" s="45"/>
      <c r="B632" s="45"/>
    </row>
    <row r="633">
      <c r="A633" s="45"/>
      <c r="B633" s="45"/>
    </row>
    <row r="634">
      <c r="A634" s="45"/>
      <c r="B634" s="45"/>
    </row>
    <row r="635">
      <c r="A635" s="45"/>
      <c r="B635" s="45"/>
    </row>
    <row r="636">
      <c r="A636" s="45"/>
      <c r="B636" s="45"/>
    </row>
    <row r="637">
      <c r="A637" s="45"/>
      <c r="B637" s="45"/>
    </row>
    <row r="638">
      <c r="A638" s="45"/>
      <c r="B638" s="45"/>
    </row>
    <row r="639">
      <c r="A639" s="45"/>
      <c r="B639" s="45"/>
    </row>
    <row r="640">
      <c r="A640" s="45"/>
      <c r="B640" s="45"/>
    </row>
    <row r="641">
      <c r="A641" s="45"/>
      <c r="B641" s="45"/>
    </row>
    <row r="642">
      <c r="A642" s="45"/>
      <c r="B642" s="45"/>
    </row>
    <row r="643">
      <c r="A643" s="45"/>
      <c r="B643" s="45"/>
    </row>
    <row r="644">
      <c r="A644" s="45"/>
      <c r="B644" s="45"/>
    </row>
    <row r="645">
      <c r="A645" s="45"/>
      <c r="B645" s="45"/>
    </row>
    <row r="646">
      <c r="A646" s="45"/>
      <c r="B646" s="45"/>
    </row>
    <row r="647">
      <c r="A647" s="45"/>
      <c r="B647" s="45"/>
    </row>
    <row r="648">
      <c r="A648" s="45"/>
      <c r="B648" s="45"/>
    </row>
    <row r="649">
      <c r="A649" s="45"/>
      <c r="B649" s="45"/>
    </row>
    <row r="650">
      <c r="A650" s="45"/>
      <c r="B650" s="45"/>
    </row>
    <row r="651">
      <c r="A651" s="45"/>
      <c r="B651" s="45"/>
    </row>
    <row r="652">
      <c r="A652" s="45"/>
      <c r="B652" s="45"/>
    </row>
    <row r="653">
      <c r="A653" s="45"/>
      <c r="B653" s="45"/>
    </row>
    <row r="654">
      <c r="A654" s="45"/>
      <c r="B654" s="45"/>
    </row>
    <row r="655">
      <c r="A655" s="45"/>
      <c r="B655" s="45"/>
    </row>
    <row r="656">
      <c r="A656" s="45"/>
      <c r="B656" s="45"/>
    </row>
    <row r="657">
      <c r="A657" s="45"/>
      <c r="B657" s="45"/>
    </row>
    <row r="658">
      <c r="A658" s="45"/>
      <c r="B658" s="45"/>
    </row>
    <row r="659">
      <c r="A659" s="45"/>
      <c r="B659" s="45"/>
    </row>
    <row r="660">
      <c r="A660" s="45"/>
      <c r="B660" s="45"/>
    </row>
    <row r="661">
      <c r="A661" s="45"/>
      <c r="B661" s="45"/>
    </row>
    <row r="662">
      <c r="A662" s="45"/>
      <c r="B662" s="45"/>
    </row>
    <row r="663">
      <c r="A663" s="45"/>
      <c r="B663" s="45"/>
    </row>
    <row r="664">
      <c r="A664" s="45"/>
      <c r="B664" s="45"/>
    </row>
    <row r="665">
      <c r="A665" s="45"/>
      <c r="B665" s="45"/>
    </row>
    <row r="666">
      <c r="A666" s="45"/>
      <c r="B666" s="45"/>
    </row>
    <row r="667">
      <c r="A667" s="45"/>
      <c r="B667" s="45"/>
    </row>
    <row r="668">
      <c r="A668" s="45"/>
      <c r="B668" s="45"/>
    </row>
    <row r="669">
      <c r="A669" s="45"/>
      <c r="B669" s="45"/>
    </row>
    <row r="670">
      <c r="A670" s="45"/>
      <c r="B670" s="45"/>
    </row>
    <row r="671">
      <c r="A671" s="45"/>
      <c r="B671" s="45"/>
    </row>
    <row r="672">
      <c r="A672" s="45"/>
      <c r="B672" s="45"/>
    </row>
    <row r="673">
      <c r="A673" s="45"/>
      <c r="B673" s="45"/>
    </row>
    <row r="674">
      <c r="A674" s="45"/>
      <c r="B674" s="45"/>
    </row>
    <row r="675">
      <c r="A675" s="45"/>
      <c r="B675" s="45"/>
    </row>
    <row r="676">
      <c r="A676" s="45"/>
      <c r="B676" s="45"/>
    </row>
    <row r="677">
      <c r="A677" s="45"/>
      <c r="B677" s="45"/>
    </row>
    <row r="678">
      <c r="A678" s="45"/>
      <c r="B678" s="45"/>
    </row>
    <row r="679">
      <c r="A679" s="45"/>
      <c r="B679" s="45"/>
    </row>
    <row r="680">
      <c r="A680" s="45"/>
      <c r="B680" s="45"/>
    </row>
    <row r="681">
      <c r="A681" s="45"/>
      <c r="B681" s="45"/>
    </row>
    <row r="682">
      <c r="A682" s="45"/>
      <c r="B682" s="45"/>
    </row>
    <row r="683">
      <c r="A683" s="45"/>
      <c r="B683" s="45"/>
    </row>
    <row r="684">
      <c r="A684" s="45"/>
      <c r="B684" s="45"/>
    </row>
    <row r="685">
      <c r="A685" s="45"/>
      <c r="B685" s="45"/>
    </row>
    <row r="686">
      <c r="A686" s="45"/>
      <c r="B686" s="45"/>
    </row>
    <row r="687">
      <c r="A687" s="45"/>
      <c r="B687" s="45"/>
    </row>
    <row r="688">
      <c r="A688" s="45"/>
      <c r="B688" s="45"/>
    </row>
    <row r="689">
      <c r="A689" s="45"/>
      <c r="B689" s="45"/>
    </row>
    <row r="690">
      <c r="A690" s="45"/>
      <c r="B690" s="45"/>
    </row>
    <row r="691">
      <c r="A691" s="45"/>
      <c r="B691" s="45"/>
    </row>
    <row r="692">
      <c r="A692" s="45"/>
      <c r="B692" s="45"/>
    </row>
    <row r="693">
      <c r="A693" s="45"/>
      <c r="B693" s="45"/>
    </row>
    <row r="694">
      <c r="A694" s="45"/>
      <c r="B694" s="45"/>
    </row>
    <row r="695">
      <c r="A695" s="45"/>
      <c r="B695" s="45"/>
    </row>
    <row r="696">
      <c r="A696" s="45"/>
      <c r="B696" s="45"/>
    </row>
    <row r="697">
      <c r="A697" s="45"/>
      <c r="B697" s="45"/>
    </row>
    <row r="698">
      <c r="A698" s="45"/>
      <c r="B698" s="45"/>
    </row>
    <row r="699">
      <c r="A699" s="45"/>
      <c r="B699" s="45"/>
    </row>
    <row r="700">
      <c r="A700" s="45"/>
      <c r="B700" s="45"/>
    </row>
    <row r="701">
      <c r="A701" s="45"/>
      <c r="B701" s="45"/>
    </row>
    <row r="702">
      <c r="A702" s="45"/>
      <c r="B702" s="45"/>
    </row>
    <row r="703">
      <c r="A703" s="45"/>
      <c r="B703" s="45"/>
    </row>
    <row r="704">
      <c r="A704" s="45"/>
      <c r="B704" s="45"/>
    </row>
    <row r="705">
      <c r="A705" s="45"/>
      <c r="B705" s="45"/>
    </row>
    <row r="706">
      <c r="A706" s="45"/>
      <c r="B706" s="45"/>
    </row>
    <row r="707">
      <c r="A707" s="45"/>
      <c r="B707" s="45"/>
    </row>
    <row r="708">
      <c r="A708" s="45"/>
      <c r="B708" s="45"/>
    </row>
    <row r="709">
      <c r="A709" s="45"/>
      <c r="B709" s="45"/>
    </row>
    <row r="710">
      <c r="A710" s="45"/>
      <c r="B710" s="45"/>
    </row>
    <row r="711">
      <c r="A711" s="45"/>
      <c r="B711" s="45"/>
    </row>
    <row r="712">
      <c r="A712" s="45"/>
      <c r="B712" s="45"/>
    </row>
    <row r="713">
      <c r="A713" s="45"/>
      <c r="B713" s="45"/>
    </row>
    <row r="714">
      <c r="A714" s="45"/>
      <c r="B714" s="45"/>
    </row>
    <row r="715">
      <c r="A715" s="45"/>
      <c r="B715" s="45"/>
    </row>
    <row r="716">
      <c r="A716" s="45"/>
      <c r="B716" s="45"/>
    </row>
    <row r="717">
      <c r="A717" s="45"/>
      <c r="B717" s="45"/>
    </row>
    <row r="718">
      <c r="A718" s="45"/>
      <c r="B718" s="45"/>
    </row>
    <row r="719">
      <c r="A719" s="45"/>
      <c r="B719" s="45"/>
    </row>
    <row r="720">
      <c r="A720" s="45"/>
      <c r="B720" s="45"/>
    </row>
    <row r="721">
      <c r="A721" s="45"/>
      <c r="B721" s="45"/>
    </row>
    <row r="722">
      <c r="A722" s="45"/>
      <c r="B722" s="45"/>
    </row>
    <row r="723">
      <c r="A723" s="45"/>
      <c r="B723" s="45"/>
    </row>
    <row r="724">
      <c r="A724" s="45"/>
      <c r="B724" s="45"/>
    </row>
    <row r="725">
      <c r="A725" s="45"/>
      <c r="B725" s="45"/>
    </row>
    <row r="726">
      <c r="A726" s="45"/>
      <c r="B726" s="45"/>
    </row>
    <row r="727">
      <c r="A727" s="45"/>
      <c r="B727" s="45"/>
    </row>
    <row r="728">
      <c r="A728" s="45"/>
      <c r="B728" s="45"/>
    </row>
    <row r="729">
      <c r="A729" s="45"/>
      <c r="B729" s="45"/>
    </row>
    <row r="730">
      <c r="A730" s="45"/>
      <c r="B730" s="45"/>
    </row>
    <row r="731">
      <c r="A731" s="45"/>
      <c r="B731" s="45"/>
    </row>
    <row r="732">
      <c r="A732" s="45"/>
      <c r="B732" s="45"/>
    </row>
    <row r="733">
      <c r="A733" s="45"/>
      <c r="B733" s="45"/>
    </row>
    <row r="734">
      <c r="A734" s="45"/>
      <c r="B734" s="45"/>
    </row>
    <row r="735">
      <c r="A735" s="45"/>
      <c r="B735" s="45"/>
    </row>
    <row r="736">
      <c r="A736" s="45"/>
      <c r="B736" s="45"/>
    </row>
    <row r="737">
      <c r="A737" s="45"/>
      <c r="B737" s="45"/>
    </row>
    <row r="738">
      <c r="A738" s="45"/>
      <c r="B738" s="45"/>
    </row>
    <row r="739">
      <c r="A739" s="45"/>
      <c r="B739" s="45"/>
    </row>
    <row r="740">
      <c r="A740" s="45"/>
      <c r="B740" s="45"/>
    </row>
    <row r="741">
      <c r="A741" s="45"/>
      <c r="B741" s="45"/>
    </row>
    <row r="742">
      <c r="A742" s="45"/>
      <c r="B742" s="45"/>
    </row>
    <row r="743">
      <c r="A743" s="45"/>
      <c r="B743" s="45"/>
    </row>
    <row r="744">
      <c r="A744" s="45"/>
      <c r="B744" s="45"/>
    </row>
    <row r="745">
      <c r="A745" s="45"/>
      <c r="B745" s="45"/>
    </row>
    <row r="746">
      <c r="A746" s="45"/>
      <c r="B746" s="45"/>
    </row>
    <row r="747">
      <c r="A747" s="45"/>
      <c r="B747" s="45"/>
    </row>
    <row r="748">
      <c r="A748" s="45"/>
      <c r="B748" s="45"/>
    </row>
    <row r="749">
      <c r="A749" s="45"/>
      <c r="B749" s="45"/>
    </row>
    <row r="750">
      <c r="A750" s="45"/>
      <c r="B750" s="45"/>
    </row>
    <row r="751">
      <c r="A751" s="45"/>
      <c r="B751" s="45"/>
    </row>
    <row r="752">
      <c r="A752" s="45"/>
      <c r="B752" s="45"/>
    </row>
    <row r="753">
      <c r="A753" s="45"/>
      <c r="B753" s="45"/>
    </row>
    <row r="754">
      <c r="A754" s="45"/>
      <c r="B754" s="45"/>
    </row>
    <row r="755">
      <c r="A755" s="45"/>
      <c r="B755" s="45"/>
    </row>
    <row r="756">
      <c r="A756" s="45"/>
      <c r="B756" s="45"/>
    </row>
    <row r="757">
      <c r="A757" s="45"/>
      <c r="B757" s="45"/>
    </row>
    <row r="758">
      <c r="A758" s="45"/>
      <c r="B758" s="45"/>
    </row>
    <row r="759">
      <c r="A759" s="45"/>
      <c r="B759" s="45"/>
    </row>
    <row r="760">
      <c r="A760" s="45"/>
      <c r="B760" s="45"/>
    </row>
    <row r="761">
      <c r="A761" s="45"/>
      <c r="B761" s="45"/>
    </row>
    <row r="762">
      <c r="A762" s="45"/>
      <c r="B762" s="45"/>
    </row>
    <row r="763">
      <c r="A763" s="45"/>
      <c r="B763" s="45"/>
    </row>
    <row r="764">
      <c r="A764" s="45"/>
      <c r="B764" s="45"/>
    </row>
    <row r="765">
      <c r="A765" s="45"/>
      <c r="B765" s="45"/>
    </row>
    <row r="766">
      <c r="A766" s="45"/>
      <c r="B766" s="45"/>
    </row>
    <row r="767">
      <c r="A767" s="45"/>
      <c r="B767" s="45"/>
    </row>
    <row r="768">
      <c r="A768" s="45"/>
      <c r="B768" s="45"/>
    </row>
    <row r="769">
      <c r="A769" s="45"/>
      <c r="B769" s="45"/>
    </row>
    <row r="770">
      <c r="A770" s="45"/>
      <c r="B770" s="45"/>
    </row>
    <row r="771">
      <c r="A771" s="45"/>
      <c r="B771" s="45"/>
    </row>
    <row r="772">
      <c r="A772" s="45"/>
      <c r="B772" s="45"/>
    </row>
    <row r="773">
      <c r="A773" s="45"/>
      <c r="B773" s="45"/>
    </row>
    <row r="774">
      <c r="A774" s="45"/>
      <c r="B774" s="45"/>
    </row>
    <row r="775">
      <c r="A775" s="45"/>
      <c r="B775" s="45"/>
    </row>
    <row r="776">
      <c r="A776" s="45"/>
      <c r="B776" s="45"/>
    </row>
    <row r="777">
      <c r="A777" s="45"/>
      <c r="B777" s="45"/>
    </row>
    <row r="778">
      <c r="A778" s="45"/>
      <c r="B778" s="45"/>
    </row>
    <row r="779">
      <c r="A779" s="45"/>
      <c r="B779" s="45"/>
    </row>
    <row r="780">
      <c r="A780" s="45"/>
      <c r="B780" s="45"/>
    </row>
    <row r="781">
      <c r="A781" s="45"/>
      <c r="B781" s="45"/>
    </row>
    <row r="782">
      <c r="A782" s="45"/>
      <c r="B782" s="45"/>
    </row>
    <row r="783">
      <c r="A783" s="45"/>
      <c r="B783" s="45"/>
    </row>
    <row r="784">
      <c r="A784" s="45"/>
      <c r="B784" s="45"/>
    </row>
    <row r="785">
      <c r="A785" s="45"/>
      <c r="B785" s="45"/>
    </row>
    <row r="786">
      <c r="A786" s="45"/>
      <c r="B786" s="45"/>
    </row>
    <row r="787">
      <c r="A787" s="45"/>
      <c r="B787" s="45"/>
    </row>
    <row r="788">
      <c r="A788" s="45"/>
      <c r="B788" s="45"/>
    </row>
    <row r="789">
      <c r="A789" s="45"/>
      <c r="B789" s="45"/>
    </row>
    <row r="790">
      <c r="A790" s="45"/>
      <c r="B790" s="45"/>
    </row>
    <row r="791">
      <c r="A791" s="45"/>
      <c r="B791" s="45"/>
    </row>
    <row r="792">
      <c r="A792" s="45"/>
      <c r="B792" s="45"/>
    </row>
    <row r="793">
      <c r="A793" s="45"/>
      <c r="B793" s="45"/>
    </row>
    <row r="794">
      <c r="A794" s="45"/>
      <c r="B794" s="45"/>
    </row>
    <row r="795">
      <c r="A795" s="45"/>
      <c r="B795" s="45"/>
    </row>
    <row r="796">
      <c r="A796" s="45"/>
      <c r="B796" s="45"/>
    </row>
    <row r="797">
      <c r="A797" s="45"/>
      <c r="B797" s="45"/>
    </row>
    <row r="798">
      <c r="A798" s="45"/>
      <c r="B798" s="45"/>
    </row>
    <row r="799">
      <c r="A799" s="45"/>
      <c r="B799" s="45"/>
    </row>
    <row r="800">
      <c r="A800" s="45"/>
      <c r="B800" s="45"/>
    </row>
    <row r="801">
      <c r="A801" s="45"/>
      <c r="B801" s="45"/>
    </row>
    <row r="802">
      <c r="A802" s="45"/>
      <c r="B802" s="45"/>
    </row>
    <row r="803">
      <c r="A803" s="45"/>
      <c r="B803" s="45"/>
    </row>
    <row r="804">
      <c r="A804" s="45"/>
      <c r="B804" s="45"/>
    </row>
    <row r="805">
      <c r="A805" s="45"/>
      <c r="B805" s="45"/>
    </row>
    <row r="806">
      <c r="A806" s="45"/>
      <c r="B806" s="45"/>
    </row>
    <row r="807">
      <c r="A807" s="45"/>
      <c r="B807" s="45"/>
    </row>
    <row r="808">
      <c r="A808" s="45"/>
      <c r="B808" s="45"/>
    </row>
    <row r="809">
      <c r="A809" s="45"/>
      <c r="B809" s="45"/>
    </row>
    <row r="810">
      <c r="A810" s="45"/>
      <c r="B810" s="45"/>
    </row>
    <row r="811">
      <c r="A811" s="45"/>
      <c r="B811" s="45"/>
    </row>
    <row r="812">
      <c r="A812" s="45"/>
      <c r="B812" s="45"/>
    </row>
    <row r="813">
      <c r="A813" s="45"/>
      <c r="B813" s="45"/>
    </row>
    <row r="814">
      <c r="A814" s="45"/>
      <c r="B814" s="45"/>
    </row>
    <row r="815">
      <c r="A815" s="45"/>
      <c r="B815" s="45"/>
    </row>
    <row r="816">
      <c r="A816" s="45"/>
      <c r="B816" s="45"/>
    </row>
    <row r="817">
      <c r="A817" s="45"/>
      <c r="B817" s="45"/>
    </row>
    <row r="818">
      <c r="A818" s="45"/>
      <c r="B818" s="45"/>
    </row>
    <row r="819">
      <c r="A819" s="45"/>
      <c r="B819" s="45"/>
    </row>
    <row r="820">
      <c r="A820" s="45"/>
      <c r="B820" s="45"/>
    </row>
    <row r="821">
      <c r="A821" s="45"/>
      <c r="B821" s="45"/>
    </row>
    <row r="822">
      <c r="A822" s="45"/>
      <c r="B822" s="45"/>
    </row>
    <row r="823">
      <c r="A823" s="45"/>
      <c r="B823" s="45"/>
    </row>
    <row r="824">
      <c r="A824" s="45"/>
      <c r="B824" s="45"/>
    </row>
    <row r="825">
      <c r="A825" s="45"/>
      <c r="B825" s="45"/>
    </row>
    <row r="826">
      <c r="A826" s="45"/>
      <c r="B826" s="45"/>
    </row>
    <row r="827">
      <c r="A827" s="45"/>
      <c r="B827" s="45"/>
    </row>
    <row r="828">
      <c r="A828" s="45"/>
      <c r="B828" s="45"/>
    </row>
    <row r="829">
      <c r="A829" s="45"/>
      <c r="B829" s="45"/>
    </row>
    <row r="830">
      <c r="A830" s="45"/>
      <c r="B830" s="45"/>
    </row>
    <row r="831">
      <c r="A831" s="45"/>
      <c r="B831" s="45"/>
    </row>
    <row r="832">
      <c r="A832" s="45"/>
      <c r="B832" s="45"/>
    </row>
    <row r="833">
      <c r="A833" s="45"/>
      <c r="B833" s="45"/>
    </row>
    <row r="834">
      <c r="A834" s="45"/>
      <c r="B834" s="45"/>
    </row>
    <row r="835">
      <c r="A835" s="45"/>
      <c r="B835" s="45"/>
    </row>
    <row r="836">
      <c r="A836" s="45"/>
      <c r="B836" s="45"/>
    </row>
    <row r="837">
      <c r="A837" s="45"/>
      <c r="B837" s="45"/>
    </row>
    <row r="838">
      <c r="A838" s="45"/>
      <c r="B838" s="45"/>
    </row>
    <row r="839">
      <c r="A839" s="45"/>
      <c r="B839" s="45"/>
    </row>
    <row r="840">
      <c r="A840" s="45"/>
      <c r="B840" s="45"/>
    </row>
    <row r="841">
      <c r="A841" s="45"/>
      <c r="B841" s="45"/>
    </row>
    <row r="842">
      <c r="A842" s="45"/>
      <c r="B842" s="45"/>
    </row>
    <row r="843">
      <c r="A843" s="45"/>
      <c r="B843" s="45"/>
    </row>
    <row r="844">
      <c r="A844" s="45"/>
      <c r="B844" s="45"/>
    </row>
    <row r="845">
      <c r="A845" s="45"/>
      <c r="B845" s="45"/>
    </row>
    <row r="846">
      <c r="A846" s="45"/>
      <c r="B846" s="45"/>
    </row>
    <row r="847">
      <c r="A847" s="45"/>
      <c r="B847" s="45"/>
    </row>
    <row r="848">
      <c r="A848" s="45"/>
      <c r="B848" s="45"/>
    </row>
    <row r="849">
      <c r="A849" s="45"/>
      <c r="B849" s="45"/>
    </row>
    <row r="850">
      <c r="A850" s="45"/>
      <c r="B850" s="45"/>
    </row>
    <row r="851">
      <c r="A851" s="45"/>
      <c r="B851" s="45"/>
    </row>
    <row r="852">
      <c r="A852" s="45"/>
      <c r="B852" s="45"/>
    </row>
    <row r="853">
      <c r="A853" s="45"/>
      <c r="B853" s="45"/>
    </row>
    <row r="854">
      <c r="A854" s="45"/>
      <c r="B854" s="45"/>
    </row>
    <row r="855">
      <c r="A855" s="45"/>
      <c r="B855" s="45"/>
    </row>
    <row r="856">
      <c r="A856" s="45"/>
      <c r="B856" s="45"/>
    </row>
    <row r="857">
      <c r="A857" s="45"/>
      <c r="B857" s="45"/>
    </row>
    <row r="858">
      <c r="A858" s="45"/>
      <c r="B858" s="45"/>
    </row>
    <row r="859">
      <c r="A859" s="45"/>
      <c r="B859" s="45"/>
    </row>
    <row r="860">
      <c r="A860" s="45"/>
      <c r="B860" s="45"/>
    </row>
    <row r="861">
      <c r="A861" s="45"/>
      <c r="B861" s="45"/>
    </row>
    <row r="862">
      <c r="A862" s="45"/>
      <c r="B862" s="45"/>
    </row>
    <row r="863">
      <c r="A863" s="45"/>
      <c r="B863" s="45"/>
    </row>
    <row r="864">
      <c r="A864" s="45"/>
      <c r="B864" s="45"/>
    </row>
    <row r="865">
      <c r="A865" s="45"/>
      <c r="B865" s="45"/>
    </row>
    <row r="866">
      <c r="A866" s="45"/>
      <c r="B866" s="45"/>
    </row>
    <row r="867">
      <c r="A867" s="45"/>
      <c r="B867" s="45"/>
    </row>
    <row r="868">
      <c r="A868" s="45"/>
      <c r="B868" s="45"/>
    </row>
    <row r="869">
      <c r="A869" s="45"/>
      <c r="B869" s="45"/>
    </row>
    <row r="870">
      <c r="A870" s="45"/>
      <c r="B870" s="45"/>
    </row>
    <row r="871">
      <c r="A871" s="45"/>
      <c r="B871" s="45"/>
    </row>
    <row r="872">
      <c r="A872" s="45"/>
      <c r="B872" s="45"/>
    </row>
    <row r="873">
      <c r="A873" s="45"/>
      <c r="B873" s="45"/>
    </row>
    <row r="874">
      <c r="A874" s="45"/>
      <c r="B874" s="45"/>
    </row>
    <row r="875">
      <c r="A875" s="45"/>
      <c r="B875" s="45"/>
    </row>
    <row r="876">
      <c r="A876" s="45"/>
      <c r="B876" s="45"/>
    </row>
    <row r="877">
      <c r="A877" s="45"/>
      <c r="B877" s="45"/>
    </row>
    <row r="878">
      <c r="A878" s="45"/>
      <c r="B878" s="45"/>
    </row>
    <row r="879">
      <c r="A879" s="45"/>
      <c r="B879" s="45"/>
    </row>
    <row r="880">
      <c r="A880" s="45"/>
      <c r="B880" s="45"/>
    </row>
    <row r="881">
      <c r="A881" s="45"/>
      <c r="B881" s="45"/>
    </row>
    <row r="882">
      <c r="A882" s="45"/>
      <c r="B882" s="45"/>
    </row>
    <row r="883">
      <c r="A883" s="45"/>
      <c r="B883" s="45"/>
    </row>
    <row r="884">
      <c r="A884" s="45"/>
      <c r="B884" s="45"/>
    </row>
    <row r="885">
      <c r="A885" s="45"/>
      <c r="B885" s="45"/>
    </row>
    <row r="886">
      <c r="A886" s="45"/>
      <c r="B886" s="45"/>
    </row>
    <row r="887">
      <c r="A887" s="45"/>
      <c r="B887" s="45"/>
    </row>
    <row r="888">
      <c r="A888" s="45"/>
      <c r="B888" s="45"/>
    </row>
    <row r="889">
      <c r="A889" s="45"/>
      <c r="B889" s="45"/>
    </row>
    <row r="890">
      <c r="A890" s="45"/>
      <c r="B890" s="45"/>
    </row>
    <row r="891">
      <c r="A891" s="45"/>
      <c r="B891" s="45"/>
    </row>
    <row r="892">
      <c r="A892" s="45"/>
      <c r="B892" s="45"/>
    </row>
    <row r="893">
      <c r="A893" s="45"/>
      <c r="B893" s="45"/>
    </row>
    <row r="894">
      <c r="A894" s="45"/>
      <c r="B894" s="45"/>
    </row>
    <row r="895">
      <c r="A895" s="45"/>
      <c r="B895" s="45"/>
    </row>
    <row r="896">
      <c r="A896" s="45"/>
      <c r="B896" s="45"/>
    </row>
    <row r="897">
      <c r="A897" s="45"/>
      <c r="B897" s="45"/>
    </row>
    <row r="898">
      <c r="A898" s="45"/>
      <c r="B898" s="45"/>
    </row>
    <row r="899">
      <c r="A899" s="45"/>
      <c r="B899" s="45"/>
    </row>
    <row r="900">
      <c r="A900" s="45"/>
      <c r="B900" s="45"/>
    </row>
    <row r="901">
      <c r="A901" s="45"/>
      <c r="B901" s="45"/>
    </row>
    <row r="902">
      <c r="A902" s="45"/>
      <c r="B902" s="45"/>
    </row>
    <row r="903">
      <c r="A903" s="45"/>
      <c r="B903" s="45"/>
    </row>
    <row r="904">
      <c r="A904" s="45"/>
      <c r="B904" s="45"/>
    </row>
    <row r="905">
      <c r="A905" s="45"/>
      <c r="B905" s="45"/>
    </row>
    <row r="906">
      <c r="A906" s="45"/>
      <c r="B906" s="45"/>
    </row>
    <row r="907">
      <c r="A907" s="45"/>
      <c r="B907" s="45"/>
    </row>
    <row r="908">
      <c r="A908" s="45"/>
      <c r="B908" s="45"/>
    </row>
    <row r="909">
      <c r="A909" s="45"/>
      <c r="B909" s="45"/>
    </row>
    <row r="910">
      <c r="A910" s="45"/>
      <c r="B910" s="45"/>
    </row>
    <row r="911">
      <c r="A911" s="45"/>
      <c r="B911" s="45"/>
    </row>
    <row r="912">
      <c r="A912" s="45"/>
      <c r="B912" s="45"/>
    </row>
    <row r="913">
      <c r="A913" s="45"/>
      <c r="B913" s="45"/>
    </row>
    <row r="914">
      <c r="A914" s="45"/>
      <c r="B914" s="45"/>
    </row>
    <row r="915">
      <c r="A915" s="45"/>
      <c r="B915" s="45"/>
    </row>
    <row r="916">
      <c r="A916" s="45"/>
      <c r="B916" s="45"/>
    </row>
    <row r="917">
      <c r="A917" s="45"/>
      <c r="B917" s="45"/>
    </row>
    <row r="918">
      <c r="A918" s="45"/>
      <c r="B918" s="45"/>
    </row>
    <row r="919">
      <c r="A919" s="45"/>
      <c r="B919" s="45"/>
    </row>
    <row r="920">
      <c r="A920" s="45"/>
      <c r="B920" s="45"/>
    </row>
    <row r="921">
      <c r="A921" s="45"/>
      <c r="B921" s="45"/>
    </row>
    <row r="922">
      <c r="A922" s="45"/>
      <c r="B922" s="45"/>
    </row>
    <row r="923">
      <c r="A923" s="45"/>
      <c r="B923" s="45"/>
    </row>
    <row r="924">
      <c r="A924" s="45"/>
      <c r="B924" s="45"/>
    </row>
    <row r="925">
      <c r="A925" s="45"/>
      <c r="B925" s="45"/>
    </row>
    <row r="926">
      <c r="A926" s="45"/>
      <c r="B926" s="45"/>
    </row>
    <row r="927">
      <c r="A927" s="45"/>
      <c r="B927" s="45"/>
    </row>
    <row r="928">
      <c r="A928" s="45"/>
      <c r="B928" s="45"/>
    </row>
    <row r="929">
      <c r="A929" s="45"/>
      <c r="B929" s="45"/>
    </row>
    <row r="930">
      <c r="A930" s="45"/>
      <c r="B930" s="45"/>
    </row>
    <row r="931">
      <c r="A931" s="45"/>
      <c r="B931" s="45"/>
    </row>
    <row r="932">
      <c r="A932" s="45"/>
      <c r="B932" s="45"/>
    </row>
    <row r="933">
      <c r="A933" s="45"/>
      <c r="B933" s="45"/>
    </row>
    <row r="934">
      <c r="A934" s="45"/>
      <c r="B934" s="45"/>
    </row>
    <row r="935">
      <c r="A935" s="45"/>
      <c r="B935" s="45"/>
    </row>
    <row r="936">
      <c r="A936" s="45"/>
      <c r="B936" s="45"/>
    </row>
    <row r="937">
      <c r="A937" s="45"/>
      <c r="B937" s="45"/>
    </row>
    <row r="938">
      <c r="A938" s="45"/>
      <c r="B938" s="45"/>
    </row>
    <row r="939">
      <c r="A939" s="45"/>
      <c r="B939" s="45"/>
    </row>
    <row r="940">
      <c r="A940" s="45"/>
      <c r="B940" s="45"/>
    </row>
    <row r="941">
      <c r="A941" s="45"/>
      <c r="B941" s="45"/>
    </row>
    <row r="942">
      <c r="A942" s="45"/>
      <c r="B942" s="45"/>
    </row>
    <row r="943">
      <c r="A943" s="45"/>
      <c r="B943" s="45"/>
    </row>
    <row r="944">
      <c r="A944" s="45"/>
      <c r="B944" s="45"/>
    </row>
    <row r="945">
      <c r="A945" s="45"/>
      <c r="B945" s="45"/>
    </row>
    <row r="946">
      <c r="A946" s="45"/>
      <c r="B946" s="45"/>
    </row>
    <row r="947">
      <c r="A947" s="45"/>
      <c r="B947" s="45"/>
    </row>
    <row r="948">
      <c r="A948" s="45"/>
      <c r="B948" s="45"/>
    </row>
    <row r="949">
      <c r="A949" s="45"/>
      <c r="B949" s="45"/>
    </row>
    <row r="950">
      <c r="A950" s="45"/>
      <c r="B950" s="45"/>
    </row>
    <row r="951">
      <c r="A951" s="45"/>
      <c r="B951" s="45"/>
    </row>
    <row r="952">
      <c r="A952" s="45"/>
      <c r="B952" s="45"/>
    </row>
    <row r="953">
      <c r="A953" s="45"/>
      <c r="B953" s="45"/>
    </row>
    <row r="954">
      <c r="A954" s="45"/>
      <c r="B954" s="45"/>
    </row>
    <row r="955">
      <c r="A955" s="45"/>
      <c r="B955" s="45"/>
    </row>
    <row r="956">
      <c r="A956" s="45"/>
      <c r="B956" s="45"/>
    </row>
    <row r="957">
      <c r="A957" s="45"/>
      <c r="B957" s="45"/>
    </row>
    <row r="958">
      <c r="A958" s="45"/>
      <c r="B958" s="45"/>
    </row>
    <row r="959">
      <c r="A959" s="45"/>
      <c r="B959" s="45"/>
    </row>
    <row r="960">
      <c r="A960" s="45"/>
      <c r="B960" s="45"/>
    </row>
    <row r="961">
      <c r="A961" s="45"/>
      <c r="B961" s="45"/>
    </row>
    <row r="962">
      <c r="A962" s="45"/>
      <c r="B962" s="45"/>
    </row>
    <row r="963">
      <c r="A963" s="45"/>
      <c r="B963" s="45"/>
    </row>
    <row r="964">
      <c r="A964" s="45"/>
      <c r="B964" s="45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20.5"/>
    <col customWidth="1" min="4" max="4" width="18.38"/>
    <col customWidth="1" min="5" max="5" width="17.5"/>
    <col customWidth="1" min="6" max="6" width="26.13"/>
    <col customWidth="1" min="7" max="7" width="14.63"/>
    <col hidden="1" min="12" max="15" width="12.63"/>
  </cols>
  <sheetData>
    <row r="1">
      <c r="A1" s="137" t="s">
        <v>2073</v>
      </c>
      <c r="B1" s="137" t="s">
        <v>1</v>
      </c>
      <c r="C1" s="19" t="s">
        <v>246</v>
      </c>
      <c r="D1" s="20" t="s">
        <v>248</v>
      </c>
      <c r="E1" s="20" t="s">
        <v>249</v>
      </c>
      <c r="F1" s="20" t="s">
        <v>250</v>
      </c>
      <c r="G1" s="19" t="s">
        <v>251</v>
      </c>
      <c r="H1" s="10"/>
      <c r="I1" s="10"/>
      <c r="J1" s="10"/>
      <c r="K1" s="10"/>
      <c r="L1" s="10"/>
      <c r="M1" s="10"/>
      <c r="N1" s="10"/>
      <c r="O1" s="10"/>
    </row>
    <row r="2">
      <c r="A2" s="138" t="s">
        <v>2074</v>
      </c>
      <c r="B2" s="134">
        <v>5389.0</v>
      </c>
      <c r="C2" s="31">
        <v>0.05</v>
      </c>
      <c r="D2" s="139">
        <v>0.64</v>
      </c>
      <c r="E2" s="139">
        <v>0.64</v>
      </c>
      <c r="F2" s="140"/>
      <c r="G2" s="10"/>
      <c r="H2" s="10"/>
      <c r="I2" s="10"/>
      <c r="J2" s="141"/>
      <c r="K2" s="10"/>
      <c r="L2" s="5" t="s">
        <v>2073</v>
      </c>
      <c r="M2" s="5" t="s">
        <v>1</v>
      </c>
      <c r="N2" s="5"/>
      <c r="O2" s="5"/>
    </row>
    <row r="3">
      <c r="A3" s="138" t="s">
        <v>2075</v>
      </c>
      <c r="B3" s="134">
        <v>5389.0</v>
      </c>
      <c r="C3" s="31">
        <v>0.05</v>
      </c>
      <c r="D3" s="139">
        <v>0.64</v>
      </c>
      <c r="E3" s="139">
        <v>0.64</v>
      </c>
      <c r="F3" s="140"/>
      <c r="G3" s="10"/>
      <c r="H3" s="142"/>
      <c r="I3" s="10"/>
      <c r="J3" s="10"/>
      <c r="K3" s="10"/>
      <c r="L3" s="143" t="s">
        <v>2074</v>
      </c>
      <c r="M3" s="144">
        <v>5389.0</v>
      </c>
      <c r="N3" s="144"/>
      <c r="O3" s="144"/>
    </row>
    <row r="4">
      <c r="A4" s="138" t="s">
        <v>2076</v>
      </c>
      <c r="B4" s="134">
        <v>5389.0</v>
      </c>
      <c r="C4" s="31">
        <v>0.05</v>
      </c>
      <c r="D4" s="139">
        <v>0.64</v>
      </c>
      <c r="E4" s="139">
        <v>0.64</v>
      </c>
      <c r="F4" s="140"/>
      <c r="G4" s="10"/>
      <c r="H4" s="142"/>
      <c r="I4" s="10"/>
      <c r="J4" s="10"/>
      <c r="K4" s="10"/>
      <c r="L4" s="143" t="s">
        <v>2075</v>
      </c>
      <c r="M4" s="144">
        <v>5389.0</v>
      </c>
      <c r="N4" s="144"/>
      <c r="O4" s="144"/>
    </row>
    <row r="5">
      <c r="A5" s="138" t="s">
        <v>2077</v>
      </c>
      <c r="B5" s="134">
        <v>6629.0</v>
      </c>
      <c r="C5" s="31">
        <v>0.05</v>
      </c>
      <c r="D5" s="139">
        <v>0.64</v>
      </c>
      <c r="E5" s="139">
        <v>0.64</v>
      </c>
      <c r="F5" s="140"/>
      <c r="G5" s="10"/>
      <c r="H5" s="142"/>
      <c r="I5" s="10"/>
      <c r="J5" s="10"/>
      <c r="K5" s="10"/>
      <c r="L5" s="143" t="s">
        <v>2076</v>
      </c>
      <c r="M5" s="144">
        <v>5389.0</v>
      </c>
      <c r="N5" s="144"/>
      <c r="O5" s="144"/>
    </row>
    <row r="6">
      <c r="A6" s="138" t="s">
        <v>2078</v>
      </c>
      <c r="B6" s="134">
        <v>7055.0</v>
      </c>
      <c r="C6" s="31">
        <v>0.05</v>
      </c>
      <c r="D6" s="139">
        <v>0.64</v>
      </c>
      <c r="E6" s="139">
        <v>0.64</v>
      </c>
      <c r="F6" s="140"/>
      <c r="G6" s="10"/>
      <c r="H6" s="142"/>
      <c r="I6" s="10"/>
      <c r="J6" s="10"/>
      <c r="K6" s="10"/>
      <c r="L6" s="145" t="s">
        <v>2077</v>
      </c>
      <c r="M6" s="5">
        <v>6629.0</v>
      </c>
      <c r="N6" s="5"/>
      <c r="O6" s="5"/>
    </row>
    <row r="7">
      <c r="A7" s="138" t="s">
        <v>2079</v>
      </c>
      <c r="B7" s="134">
        <v>6780.0</v>
      </c>
      <c r="C7" s="31">
        <v>0.05</v>
      </c>
      <c r="D7" s="139">
        <v>0.64</v>
      </c>
      <c r="E7" s="139">
        <v>0.64</v>
      </c>
      <c r="F7" s="52"/>
      <c r="G7" s="10"/>
      <c r="H7" s="142"/>
      <c r="I7" s="10"/>
      <c r="J7" s="10"/>
      <c r="K7" s="10"/>
      <c r="L7" s="143" t="s">
        <v>2078</v>
      </c>
      <c r="M7" s="144">
        <v>7055.0</v>
      </c>
      <c r="N7" s="144">
        <v>6712.0</v>
      </c>
      <c r="O7" s="144">
        <v>7055.0</v>
      </c>
    </row>
    <row r="8">
      <c r="A8" s="138" t="s">
        <v>2080</v>
      </c>
      <c r="B8" s="134">
        <v>189.0</v>
      </c>
      <c r="C8" s="31">
        <v>0.05</v>
      </c>
      <c r="D8" s="26">
        <v>0.78</v>
      </c>
      <c r="E8" s="26">
        <v>0.78</v>
      </c>
      <c r="F8" s="52"/>
      <c r="G8" s="10"/>
      <c r="H8" s="142"/>
      <c r="I8" s="10"/>
      <c r="J8" s="10"/>
      <c r="K8" s="10"/>
      <c r="L8" s="143" t="s">
        <v>2079</v>
      </c>
      <c r="M8" s="144">
        <v>6780.0</v>
      </c>
      <c r="N8" s="144"/>
      <c r="O8" s="144"/>
    </row>
    <row r="9">
      <c r="A9" s="138" t="s">
        <v>2081</v>
      </c>
      <c r="B9" s="134">
        <v>189.0</v>
      </c>
      <c r="C9" s="31">
        <v>0.05</v>
      </c>
      <c r="D9" s="26">
        <v>0.78</v>
      </c>
      <c r="E9" s="26">
        <v>0.78</v>
      </c>
      <c r="F9" s="52"/>
      <c r="G9" s="10"/>
      <c r="H9" s="142"/>
      <c r="I9" s="10"/>
      <c r="J9" s="10"/>
      <c r="K9" s="10"/>
      <c r="L9" s="143" t="s">
        <v>2080</v>
      </c>
      <c r="M9" s="5">
        <v>189.0</v>
      </c>
      <c r="N9" s="144">
        <v>6676.0</v>
      </c>
      <c r="O9" s="144"/>
    </row>
    <row r="10">
      <c r="A10" s="138" t="s">
        <v>2082</v>
      </c>
      <c r="B10" s="134">
        <v>6669.0</v>
      </c>
      <c r="C10" s="31">
        <v>0.05</v>
      </c>
      <c r="D10" s="139">
        <v>0.64</v>
      </c>
      <c r="E10" s="139">
        <v>0.64</v>
      </c>
      <c r="F10" s="142"/>
      <c r="G10" s="146"/>
      <c r="H10" s="142"/>
      <c r="I10" s="10"/>
      <c r="J10" s="10"/>
      <c r="K10" s="10"/>
      <c r="L10" s="143" t="s">
        <v>2081</v>
      </c>
      <c r="M10" s="5">
        <v>189.0</v>
      </c>
      <c r="N10" s="144">
        <v>6712.0</v>
      </c>
      <c r="O10" s="144"/>
    </row>
    <row r="11">
      <c r="A11" s="138" t="s">
        <v>2083</v>
      </c>
      <c r="B11" s="134">
        <v>2345.0</v>
      </c>
      <c r="C11" s="31">
        <v>0.05</v>
      </c>
      <c r="D11" s="147">
        <v>0.9</v>
      </c>
      <c r="E11" s="147">
        <v>0.9</v>
      </c>
      <c r="F11" s="142"/>
      <c r="G11" s="146"/>
      <c r="H11" s="142"/>
      <c r="I11" s="10"/>
      <c r="J11" s="10"/>
      <c r="K11" s="10"/>
      <c r="L11" s="143" t="s">
        <v>2082</v>
      </c>
      <c r="M11" s="144">
        <v>6669.0</v>
      </c>
      <c r="N11" s="144"/>
      <c r="O11" s="144"/>
    </row>
    <row r="12">
      <c r="A12" s="138" t="s">
        <v>2084</v>
      </c>
      <c r="B12" s="134">
        <v>2345.0</v>
      </c>
      <c r="C12" s="31">
        <v>0.05</v>
      </c>
      <c r="D12" s="147">
        <v>0.9</v>
      </c>
      <c r="E12" s="147">
        <v>0.9</v>
      </c>
      <c r="F12" s="142"/>
      <c r="G12" s="146"/>
      <c r="H12" s="142"/>
      <c r="I12" s="10"/>
      <c r="J12" s="10"/>
      <c r="K12" s="10"/>
      <c r="L12" s="145" t="s">
        <v>2083</v>
      </c>
      <c r="M12" s="5">
        <v>2345.0</v>
      </c>
      <c r="N12" s="5"/>
      <c r="O12" s="5"/>
    </row>
    <row r="13">
      <c r="A13" s="138" t="s">
        <v>2085</v>
      </c>
      <c r="B13" s="134">
        <v>2345.0</v>
      </c>
      <c r="C13" s="31">
        <v>0.05</v>
      </c>
      <c r="D13" s="147">
        <v>0.9</v>
      </c>
      <c r="E13" s="147">
        <v>0.9</v>
      </c>
      <c r="F13" s="142"/>
      <c r="G13" s="146"/>
      <c r="H13" s="142"/>
      <c r="I13" s="10"/>
      <c r="J13" s="10"/>
      <c r="K13" s="10"/>
      <c r="L13" s="143" t="s">
        <v>2084</v>
      </c>
      <c r="M13" s="144">
        <v>2345.0</v>
      </c>
      <c r="N13" s="144"/>
      <c r="O13" s="144"/>
    </row>
    <row r="14">
      <c r="A14" s="138" t="s">
        <v>2086</v>
      </c>
      <c r="B14" s="134">
        <v>2345.0</v>
      </c>
      <c r="C14" s="31">
        <v>0.05</v>
      </c>
      <c r="D14" s="147">
        <v>0.9</v>
      </c>
      <c r="E14" s="147">
        <v>0.9</v>
      </c>
      <c r="F14" s="142"/>
      <c r="G14" s="146"/>
      <c r="H14" s="142"/>
      <c r="I14" s="10"/>
      <c r="J14" s="10"/>
      <c r="K14" s="10"/>
      <c r="L14" s="143" t="s">
        <v>2085</v>
      </c>
      <c r="M14" s="144">
        <v>2345.0</v>
      </c>
      <c r="N14" s="144"/>
      <c r="O14" s="144"/>
    </row>
    <row r="15">
      <c r="A15" s="138" t="s">
        <v>2087</v>
      </c>
      <c r="B15" s="134">
        <v>2345.0</v>
      </c>
      <c r="C15" s="31">
        <v>0.05</v>
      </c>
      <c r="D15" s="147">
        <v>0.9</v>
      </c>
      <c r="E15" s="147">
        <v>0.9</v>
      </c>
      <c r="F15" s="142"/>
      <c r="G15" s="146"/>
      <c r="H15" s="142"/>
      <c r="I15" s="10"/>
      <c r="J15" s="10"/>
      <c r="K15" s="10"/>
      <c r="L15" s="143" t="s">
        <v>2086</v>
      </c>
      <c r="M15" s="144">
        <v>2345.0</v>
      </c>
      <c r="N15" s="144"/>
      <c r="O15" s="144"/>
    </row>
    <row r="16">
      <c r="A16" s="138" t="s">
        <v>2088</v>
      </c>
      <c r="B16" s="134">
        <v>2345.0</v>
      </c>
      <c r="C16" s="31">
        <v>0.05</v>
      </c>
      <c r="D16" s="147">
        <v>0.9</v>
      </c>
      <c r="E16" s="147">
        <v>0.9</v>
      </c>
      <c r="F16" s="142"/>
      <c r="G16" s="146"/>
      <c r="H16" s="142"/>
      <c r="I16" s="10"/>
      <c r="J16" s="10"/>
      <c r="K16" s="10"/>
      <c r="L16" s="145" t="s">
        <v>2087</v>
      </c>
      <c r="M16" s="5">
        <v>2345.0</v>
      </c>
      <c r="N16" s="5"/>
      <c r="O16" s="5"/>
    </row>
    <row r="17">
      <c r="A17" s="138" t="s">
        <v>2089</v>
      </c>
      <c r="B17" s="134">
        <v>2345.0</v>
      </c>
      <c r="C17" s="31">
        <v>0.05</v>
      </c>
      <c r="D17" s="147">
        <v>0.9</v>
      </c>
      <c r="E17" s="147">
        <v>0.9</v>
      </c>
      <c r="F17" s="142"/>
      <c r="G17" s="146"/>
      <c r="H17" s="142"/>
      <c r="I17" s="10"/>
      <c r="J17" s="10"/>
      <c r="K17" s="10"/>
      <c r="L17" s="145" t="s">
        <v>2088</v>
      </c>
      <c r="M17" s="5">
        <v>2345.0</v>
      </c>
      <c r="N17" s="5"/>
      <c r="O17" s="5"/>
    </row>
    <row r="18">
      <c r="A18" s="138" t="s">
        <v>2090</v>
      </c>
      <c r="B18" s="134">
        <v>2345.0</v>
      </c>
      <c r="C18" s="31">
        <v>0.05</v>
      </c>
      <c r="D18" s="147">
        <v>0.9</v>
      </c>
      <c r="E18" s="147">
        <v>0.9</v>
      </c>
      <c r="F18" s="142"/>
      <c r="G18" s="146"/>
      <c r="H18" s="142"/>
      <c r="I18" s="10"/>
      <c r="J18" s="10"/>
      <c r="K18" s="10"/>
      <c r="L18" s="145" t="s">
        <v>2089</v>
      </c>
      <c r="M18" s="5">
        <v>2345.0</v>
      </c>
      <c r="N18" s="5"/>
      <c r="O18" s="5"/>
    </row>
    <row r="19">
      <c r="A19" s="138" t="s">
        <v>2091</v>
      </c>
      <c r="B19" s="134">
        <v>2345.0</v>
      </c>
      <c r="C19" s="31">
        <v>0.05</v>
      </c>
      <c r="D19" s="147">
        <v>0.9</v>
      </c>
      <c r="E19" s="147">
        <v>0.9</v>
      </c>
      <c r="F19" s="142"/>
      <c r="G19" s="146"/>
      <c r="H19" s="142"/>
      <c r="I19" s="10"/>
      <c r="J19" s="10"/>
      <c r="K19" s="10"/>
      <c r="L19" s="143" t="s">
        <v>2090</v>
      </c>
      <c r="M19" s="144">
        <v>2345.0</v>
      </c>
      <c r="N19" s="144"/>
      <c r="O19" s="144"/>
    </row>
    <row r="20">
      <c r="A20" s="138" t="s">
        <v>2092</v>
      </c>
      <c r="B20" s="134">
        <v>2345.0</v>
      </c>
      <c r="C20" s="31">
        <v>0.05</v>
      </c>
      <c r="D20" s="147">
        <v>0.9</v>
      </c>
      <c r="E20" s="147">
        <v>0.9</v>
      </c>
      <c r="F20" s="142"/>
      <c r="G20" s="146"/>
      <c r="H20" s="142"/>
      <c r="I20" s="10"/>
      <c r="J20" s="10"/>
      <c r="K20" s="10"/>
      <c r="L20" s="145" t="s">
        <v>2091</v>
      </c>
      <c r="M20" s="5">
        <v>2345.0</v>
      </c>
      <c r="N20" s="5"/>
      <c r="O20" s="5"/>
    </row>
    <row r="21">
      <c r="A21" s="138" t="s">
        <v>2093</v>
      </c>
      <c r="B21" s="134">
        <v>2345.0</v>
      </c>
      <c r="C21" s="31">
        <v>0.05</v>
      </c>
      <c r="D21" s="147">
        <v>0.9</v>
      </c>
      <c r="E21" s="147">
        <v>0.9</v>
      </c>
      <c r="F21" s="142"/>
      <c r="G21" s="10"/>
      <c r="H21" s="142"/>
      <c r="I21" s="10"/>
      <c r="J21" s="10"/>
      <c r="K21" s="10"/>
      <c r="L21" s="145" t="s">
        <v>2092</v>
      </c>
      <c r="M21" s="5">
        <v>2345.0</v>
      </c>
      <c r="N21" s="5"/>
      <c r="O21" s="5"/>
    </row>
    <row r="22">
      <c r="A22" s="138" t="s">
        <v>2094</v>
      </c>
      <c r="B22" s="134">
        <v>2345.0</v>
      </c>
      <c r="C22" s="31">
        <v>0.05</v>
      </c>
      <c r="D22" s="147">
        <v>0.9</v>
      </c>
      <c r="E22" s="147">
        <v>0.9</v>
      </c>
      <c r="F22" s="142"/>
      <c r="G22" s="10"/>
      <c r="H22" s="142"/>
      <c r="I22" s="10"/>
      <c r="J22" s="10"/>
      <c r="K22" s="10"/>
      <c r="L22" s="143" t="s">
        <v>2093</v>
      </c>
      <c r="M22" s="144">
        <v>2345.0</v>
      </c>
      <c r="N22" s="144"/>
      <c r="O22" s="144"/>
    </row>
    <row r="23">
      <c r="A23" s="138" t="s">
        <v>2095</v>
      </c>
      <c r="B23" s="134">
        <v>2345.0</v>
      </c>
      <c r="C23" s="31">
        <v>0.05</v>
      </c>
      <c r="D23" s="147">
        <v>0.9</v>
      </c>
      <c r="E23" s="147">
        <v>0.9</v>
      </c>
      <c r="F23" s="142"/>
      <c r="G23" s="10"/>
      <c r="H23" s="142"/>
      <c r="I23" s="10"/>
      <c r="J23" s="10"/>
      <c r="K23" s="10"/>
      <c r="L23" s="143" t="s">
        <v>2094</v>
      </c>
      <c r="M23" s="144">
        <v>2345.0</v>
      </c>
      <c r="N23" s="144"/>
      <c r="O23" s="144"/>
    </row>
    <row r="24">
      <c r="A24" s="138" t="s">
        <v>2096</v>
      </c>
      <c r="B24" s="134">
        <v>2345.0</v>
      </c>
      <c r="C24" s="31">
        <v>0.05</v>
      </c>
      <c r="D24" s="147">
        <v>0.9</v>
      </c>
      <c r="E24" s="147">
        <v>0.9</v>
      </c>
      <c r="F24" s="142"/>
      <c r="G24" s="10"/>
      <c r="H24" s="142"/>
      <c r="I24" s="10"/>
      <c r="J24" s="10"/>
      <c r="K24" s="10"/>
      <c r="L24" s="143" t="s">
        <v>2095</v>
      </c>
      <c r="M24" s="144">
        <v>2345.0</v>
      </c>
      <c r="N24" s="144"/>
      <c r="O24" s="144"/>
    </row>
    <row r="25">
      <c r="A25" s="138" t="s">
        <v>2097</v>
      </c>
      <c r="B25" s="134">
        <v>2345.0</v>
      </c>
      <c r="C25" s="31">
        <v>0.05</v>
      </c>
      <c r="D25" s="147">
        <v>0.9</v>
      </c>
      <c r="E25" s="147">
        <v>0.9</v>
      </c>
      <c r="F25" s="142"/>
      <c r="G25" s="10"/>
      <c r="H25" s="142"/>
      <c r="I25" s="10"/>
      <c r="J25" s="10"/>
      <c r="K25" s="10"/>
      <c r="L25" s="145" t="s">
        <v>2096</v>
      </c>
      <c r="M25" s="5">
        <v>2345.0</v>
      </c>
      <c r="N25" s="5"/>
      <c r="O25" s="5"/>
    </row>
    <row r="26">
      <c r="A26" s="138" t="s">
        <v>2098</v>
      </c>
      <c r="B26" s="134">
        <v>6736.0</v>
      </c>
      <c r="C26" s="31">
        <v>0.05</v>
      </c>
      <c r="D26" s="139">
        <v>0.64</v>
      </c>
      <c r="E26" s="139">
        <v>0.64</v>
      </c>
      <c r="F26" s="142"/>
      <c r="G26" s="10"/>
      <c r="H26" s="142"/>
      <c r="I26" s="10"/>
      <c r="J26" s="10"/>
      <c r="K26" s="10"/>
      <c r="L26" s="143" t="s">
        <v>2097</v>
      </c>
      <c r="M26" s="144">
        <v>2345.0</v>
      </c>
      <c r="N26" s="144"/>
      <c r="O26" s="144"/>
    </row>
    <row r="27">
      <c r="A27" s="138" t="s">
        <v>2099</v>
      </c>
      <c r="B27" s="134">
        <v>189.0</v>
      </c>
      <c r="C27" s="31">
        <v>0.05</v>
      </c>
      <c r="D27" s="26">
        <v>0.78</v>
      </c>
      <c r="E27" s="26">
        <v>0.78</v>
      </c>
      <c r="F27" s="142"/>
      <c r="G27" s="10"/>
      <c r="H27" s="142"/>
      <c r="I27" s="10"/>
      <c r="J27" s="10"/>
      <c r="K27" s="10"/>
      <c r="L27" s="145" t="s">
        <v>2098</v>
      </c>
      <c r="M27" s="5">
        <v>6736.0</v>
      </c>
      <c r="N27" s="5"/>
      <c r="O27" s="5"/>
    </row>
    <row r="28">
      <c r="A28" s="138" t="s">
        <v>2100</v>
      </c>
      <c r="B28" s="134">
        <v>189.0</v>
      </c>
      <c r="C28" s="31">
        <v>0.05</v>
      </c>
      <c r="D28" s="26">
        <v>0.78</v>
      </c>
      <c r="E28" s="26">
        <v>0.78</v>
      </c>
      <c r="F28" s="142"/>
      <c r="G28" s="10"/>
      <c r="H28" s="142"/>
      <c r="I28" s="10"/>
      <c r="J28" s="10"/>
      <c r="K28" s="10"/>
      <c r="L28" s="143" t="s">
        <v>2099</v>
      </c>
      <c r="M28" s="5">
        <v>189.0</v>
      </c>
      <c r="N28" s="144">
        <v>6727.0</v>
      </c>
      <c r="O28" s="144"/>
    </row>
    <row r="29">
      <c r="A29" s="138" t="s">
        <v>2101</v>
      </c>
      <c r="B29" s="134">
        <v>6727.0</v>
      </c>
      <c r="C29" s="31">
        <v>0.05</v>
      </c>
      <c r="D29" s="139">
        <v>0.64</v>
      </c>
      <c r="E29" s="139">
        <v>0.64</v>
      </c>
      <c r="F29" s="142"/>
      <c r="G29" s="10"/>
      <c r="H29" s="142"/>
      <c r="I29" s="10"/>
      <c r="J29" s="10"/>
      <c r="K29" s="10"/>
      <c r="L29" s="143" t="s">
        <v>2100</v>
      </c>
      <c r="M29" s="5">
        <v>189.0</v>
      </c>
      <c r="N29" s="144">
        <v>6727.0</v>
      </c>
      <c r="O29" s="144"/>
    </row>
    <row r="30">
      <c r="A30" s="138" t="s">
        <v>2102</v>
      </c>
      <c r="B30" s="134">
        <v>6727.0</v>
      </c>
      <c r="C30" s="31">
        <v>0.05</v>
      </c>
      <c r="D30" s="139">
        <v>0.64</v>
      </c>
      <c r="E30" s="139">
        <v>0.64</v>
      </c>
      <c r="F30" s="142"/>
      <c r="G30" s="10"/>
      <c r="H30" s="142"/>
      <c r="I30" s="10"/>
      <c r="J30" s="10"/>
      <c r="K30" s="10"/>
      <c r="L30" s="143" t="s">
        <v>2101</v>
      </c>
      <c r="M30" s="144">
        <v>6727.0</v>
      </c>
      <c r="N30" s="144"/>
      <c r="O30" s="144"/>
    </row>
    <row r="31">
      <c r="A31" s="138" t="s">
        <v>2103</v>
      </c>
      <c r="B31" s="134">
        <v>6727.0</v>
      </c>
      <c r="C31" s="31">
        <v>0.05</v>
      </c>
      <c r="D31" s="139">
        <v>0.64</v>
      </c>
      <c r="E31" s="139">
        <v>0.64</v>
      </c>
      <c r="F31" s="142"/>
      <c r="G31" s="10"/>
      <c r="H31" s="142"/>
      <c r="I31" s="10"/>
      <c r="J31" s="10"/>
      <c r="K31" s="10"/>
      <c r="L31" s="143" t="s">
        <v>2102</v>
      </c>
      <c r="M31" s="144">
        <v>6727.0</v>
      </c>
      <c r="N31" s="144"/>
      <c r="O31" s="144"/>
    </row>
    <row r="32">
      <c r="A32" s="138" t="s">
        <v>2104</v>
      </c>
      <c r="B32" s="134">
        <v>6727.0</v>
      </c>
      <c r="C32" s="31">
        <v>0.05</v>
      </c>
      <c r="D32" s="139">
        <v>0.64</v>
      </c>
      <c r="E32" s="139">
        <v>0.64</v>
      </c>
      <c r="F32" s="142"/>
      <c r="G32" s="10"/>
      <c r="H32" s="142"/>
      <c r="I32" s="10"/>
      <c r="J32" s="10"/>
      <c r="K32" s="10"/>
      <c r="L32" s="143" t="s">
        <v>2103</v>
      </c>
      <c r="M32" s="144">
        <v>6727.0</v>
      </c>
      <c r="N32" s="144"/>
      <c r="O32" s="144"/>
    </row>
    <row r="33">
      <c r="A33" s="138" t="s">
        <v>2105</v>
      </c>
      <c r="B33" s="134">
        <v>6727.0</v>
      </c>
      <c r="C33" s="31">
        <v>0.05</v>
      </c>
      <c r="D33" s="139">
        <v>0.64</v>
      </c>
      <c r="E33" s="139">
        <v>0.64</v>
      </c>
      <c r="F33" s="142"/>
      <c r="G33" s="10"/>
      <c r="H33" s="142"/>
      <c r="I33" s="10"/>
      <c r="J33" s="10"/>
      <c r="K33" s="10"/>
      <c r="L33" s="143" t="s">
        <v>2104</v>
      </c>
      <c r="M33" s="144">
        <v>6727.0</v>
      </c>
      <c r="N33" s="144"/>
      <c r="O33" s="144"/>
    </row>
    <row r="34">
      <c r="A34" s="138" t="s">
        <v>2106</v>
      </c>
      <c r="B34" s="134">
        <v>4933.0</v>
      </c>
      <c r="C34" s="31">
        <v>0.05</v>
      </c>
      <c r="D34" s="139">
        <v>0.64</v>
      </c>
      <c r="E34" s="139">
        <v>0.64</v>
      </c>
      <c r="F34" s="142"/>
      <c r="G34" s="10"/>
      <c r="H34" s="142"/>
      <c r="I34" s="10"/>
      <c r="J34" s="10"/>
      <c r="K34" s="10"/>
      <c r="L34" s="143" t="s">
        <v>2105</v>
      </c>
      <c r="M34" s="144">
        <v>6727.0</v>
      </c>
      <c r="N34" s="144"/>
      <c r="O34" s="144"/>
    </row>
    <row r="35">
      <c r="A35" s="138" t="s">
        <v>2107</v>
      </c>
      <c r="B35" s="134">
        <v>4933.0</v>
      </c>
      <c r="C35" s="31">
        <v>0.05</v>
      </c>
      <c r="D35" s="139">
        <v>0.64</v>
      </c>
      <c r="E35" s="139">
        <v>0.64</v>
      </c>
      <c r="F35" s="142"/>
      <c r="G35" s="10"/>
      <c r="H35" s="142"/>
      <c r="I35" s="10"/>
      <c r="J35" s="10"/>
      <c r="K35" s="10"/>
      <c r="L35" s="143" t="s">
        <v>2106</v>
      </c>
      <c r="M35" s="144">
        <v>4933.0</v>
      </c>
      <c r="N35" s="144"/>
      <c r="O35" s="144"/>
    </row>
    <row r="36">
      <c r="A36" s="138" t="s">
        <v>2108</v>
      </c>
      <c r="B36" s="134">
        <v>4933.0</v>
      </c>
      <c r="C36" s="31">
        <v>0.05</v>
      </c>
      <c r="D36" s="139">
        <v>0.64</v>
      </c>
      <c r="E36" s="139">
        <v>0.64</v>
      </c>
      <c r="F36" s="142"/>
      <c r="G36" s="10"/>
      <c r="H36" s="142"/>
      <c r="I36" s="10"/>
      <c r="J36" s="10"/>
      <c r="K36" s="10"/>
      <c r="L36" s="143" t="s">
        <v>2107</v>
      </c>
      <c r="M36" s="144">
        <v>4933.0</v>
      </c>
      <c r="N36" s="144"/>
      <c r="O36" s="144"/>
    </row>
    <row r="37">
      <c r="A37" s="138" t="s">
        <v>2109</v>
      </c>
      <c r="B37" s="134">
        <v>4933.0</v>
      </c>
      <c r="C37" s="31">
        <v>0.05</v>
      </c>
      <c r="D37" s="139">
        <v>0.64</v>
      </c>
      <c r="E37" s="139">
        <v>0.64</v>
      </c>
      <c r="F37" s="142"/>
      <c r="G37" s="10"/>
      <c r="H37" s="142"/>
      <c r="I37" s="10"/>
      <c r="J37" s="10"/>
      <c r="K37" s="10"/>
      <c r="L37" s="143" t="s">
        <v>2108</v>
      </c>
      <c r="M37" s="144">
        <v>4933.0</v>
      </c>
      <c r="N37" s="144"/>
      <c r="O37" s="144"/>
    </row>
    <row r="38">
      <c r="A38" s="138" t="s">
        <v>2110</v>
      </c>
      <c r="B38" s="134">
        <v>4933.0</v>
      </c>
      <c r="C38" s="31">
        <v>0.05</v>
      </c>
      <c r="D38" s="139">
        <v>0.64</v>
      </c>
      <c r="E38" s="139">
        <v>0.64</v>
      </c>
      <c r="F38" s="142"/>
      <c r="G38" s="10"/>
      <c r="H38" s="142"/>
      <c r="I38" s="10"/>
      <c r="J38" s="10"/>
      <c r="K38" s="10"/>
      <c r="L38" s="143" t="s">
        <v>2109</v>
      </c>
      <c r="M38" s="144">
        <v>4933.0</v>
      </c>
      <c r="N38" s="144"/>
      <c r="O38" s="144"/>
    </row>
    <row r="39">
      <c r="A39" s="138" t="s">
        <v>2111</v>
      </c>
      <c r="B39" s="134">
        <v>4933.0</v>
      </c>
      <c r="C39" s="31">
        <v>0.05</v>
      </c>
      <c r="D39" s="139">
        <v>0.64</v>
      </c>
      <c r="E39" s="139">
        <v>0.64</v>
      </c>
      <c r="F39" s="142"/>
      <c r="G39" s="10"/>
      <c r="H39" s="142"/>
      <c r="I39" s="10"/>
      <c r="J39" s="10"/>
      <c r="K39" s="10"/>
      <c r="L39" s="143" t="s">
        <v>2110</v>
      </c>
      <c r="M39" s="144">
        <v>4933.0</v>
      </c>
      <c r="N39" s="144"/>
      <c r="O39" s="144"/>
    </row>
    <row r="40">
      <c r="A40" s="138" t="s">
        <v>2112</v>
      </c>
      <c r="B40" s="134">
        <v>4933.0</v>
      </c>
      <c r="C40" s="31">
        <v>0.05</v>
      </c>
      <c r="D40" s="139">
        <v>0.64</v>
      </c>
      <c r="E40" s="139">
        <v>0.64</v>
      </c>
      <c r="F40" s="142"/>
      <c r="G40" s="10"/>
      <c r="H40" s="142"/>
      <c r="I40" s="10"/>
      <c r="J40" s="10"/>
      <c r="K40" s="10"/>
      <c r="L40" s="143" t="s">
        <v>2111</v>
      </c>
      <c r="M40" s="144">
        <v>4933.0</v>
      </c>
      <c r="N40" s="144"/>
      <c r="O40" s="144"/>
    </row>
    <row r="41">
      <c r="A41" s="138" t="s">
        <v>2113</v>
      </c>
      <c r="B41" s="134">
        <v>4933.0</v>
      </c>
      <c r="C41" s="31">
        <v>0.05</v>
      </c>
      <c r="D41" s="139">
        <v>0.64</v>
      </c>
      <c r="E41" s="139">
        <v>0.64</v>
      </c>
      <c r="F41" s="142"/>
      <c r="G41" s="10"/>
      <c r="H41" s="142"/>
      <c r="I41" s="10"/>
      <c r="J41" s="10"/>
      <c r="K41" s="10"/>
      <c r="L41" s="143" t="s">
        <v>2112</v>
      </c>
      <c r="M41" s="144">
        <v>4933.0</v>
      </c>
      <c r="N41" s="144"/>
      <c r="O41" s="144"/>
    </row>
    <row r="42">
      <c r="A42" s="138" t="s">
        <v>2114</v>
      </c>
      <c r="B42" s="134">
        <v>6831.0</v>
      </c>
      <c r="C42" s="31">
        <v>0.05</v>
      </c>
      <c r="D42" s="139">
        <v>0.64</v>
      </c>
      <c r="E42" s="139">
        <v>0.64</v>
      </c>
      <c r="F42" s="142"/>
      <c r="G42" s="10"/>
      <c r="H42" s="142"/>
      <c r="I42" s="10"/>
      <c r="J42" s="10"/>
      <c r="K42" s="10"/>
      <c r="L42" s="143" t="s">
        <v>2113</v>
      </c>
      <c r="M42" s="144">
        <v>4933.0</v>
      </c>
      <c r="N42" s="144"/>
      <c r="O42" s="144"/>
    </row>
    <row r="43">
      <c r="A43" s="138" t="s">
        <v>2115</v>
      </c>
      <c r="B43" s="134">
        <v>6831.0</v>
      </c>
      <c r="C43" s="31">
        <v>0.05</v>
      </c>
      <c r="D43" s="139">
        <v>0.64</v>
      </c>
      <c r="E43" s="139">
        <v>0.64</v>
      </c>
      <c r="F43" s="142"/>
      <c r="G43" s="10"/>
      <c r="H43" s="142"/>
      <c r="I43" s="10"/>
      <c r="J43" s="10"/>
      <c r="K43" s="10"/>
      <c r="L43" s="143" t="s">
        <v>2114</v>
      </c>
      <c r="M43" s="144">
        <v>6831.0</v>
      </c>
      <c r="N43" s="144">
        <v>4933.0</v>
      </c>
      <c r="O43" s="144">
        <v>6831.0</v>
      </c>
    </row>
    <row r="44">
      <c r="A44" s="138" t="s">
        <v>2116</v>
      </c>
      <c r="B44" s="134">
        <v>4933.0</v>
      </c>
      <c r="C44" s="31">
        <v>0.05</v>
      </c>
      <c r="D44" s="139">
        <v>0.64</v>
      </c>
      <c r="E44" s="139">
        <v>0.64</v>
      </c>
      <c r="F44" s="142"/>
      <c r="G44" s="10"/>
      <c r="H44" s="142"/>
      <c r="I44" s="10"/>
      <c r="J44" s="10"/>
      <c r="K44" s="10"/>
      <c r="L44" s="143" t="s">
        <v>2115</v>
      </c>
      <c r="M44" s="144">
        <v>6831.0</v>
      </c>
      <c r="N44" s="144">
        <v>4933.0</v>
      </c>
      <c r="O44" s="144">
        <v>6831.0</v>
      </c>
    </row>
    <row r="45">
      <c r="A45" s="138" t="s">
        <v>2117</v>
      </c>
      <c r="B45" s="134">
        <v>4933.0</v>
      </c>
      <c r="C45" s="31">
        <v>0.05</v>
      </c>
      <c r="D45" s="139">
        <v>0.64</v>
      </c>
      <c r="E45" s="139">
        <v>0.64</v>
      </c>
      <c r="F45" s="142"/>
      <c r="G45" s="10"/>
      <c r="H45" s="142"/>
      <c r="I45" s="10"/>
      <c r="J45" s="10"/>
      <c r="K45" s="10"/>
      <c r="L45" s="143" t="s">
        <v>2116</v>
      </c>
      <c r="M45" s="144">
        <v>4933.0</v>
      </c>
      <c r="N45" s="144"/>
      <c r="O45" s="144"/>
    </row>
    <row r="46">
      <c r="A46" s="138" t="s">
        <v>2118</v>
      </c>
      <c r="B46" s="134">
        <v>4933.0</v>
      </c>
      <c r="C46" s="31">
        <v>0.05</v>
      </c>
      <c r="D46" s="139">
        <v>0.64</v>
      </c>
      <c r="E46" s="139">
        <v>0.64</v>
      </c>
      <c r="F46" s="142"/>
      <c r="G46" s="10"/>
      <c r="H46" s="142"/>
      <c r="I46" s="10"/>
      <c r="J46" s="10"/>
      <c r="K46" s="10"/>
      <c r="L46" s="143" t="s">
        <v>2117</v>
      </c>
      <c r="M46" s="144">
        <v>4933.0</v>
      </c>
      <c r="N46" s="144"/>
      <c r="O46" s="144"/>
    </row>
    <row r="47">
      <c r="A47" s="138" t="s">
        <v>2119</v>
      </c>
      <c r="B47" s="134">
        <v>4933.0</v>
      </c>
      <c r="C47" s="31">
        <v>0.05</v>
      </c>
      <c r="D47" s="139">
        <v>0.64</v>
      </c>
      <c r="E47" s="139">
        <v>0.64</v>
      </c>
      <c r="F47" s="142"/>
      <c r="G47" s="10"/>
      <c r="H47" s="142"/>
      <c r="I47" s="10"/>
      <c r="J47" s="10"/>
      <c r="K47" s="10"/>
      <c r="L47" s="143" t="s">
        <v>2118</v>
      </c>
      <c r="M47" s="144">
        <v>4933.0</v>
      </c>
      <c r="N47" s="144"/>
      <c r="O47" s="144"/>
    </row>
    <row r="48">
      <c r="A48" s="138" t="s">
        <v>2120</v>
      </c>
      <c r="B48" s="134">
        <v>4933.0</v>
      </c>
      <c r="C48" s="31">
        <v>0.05</v>
      </c>
      <c r="D48" s="139">
        <v>0.64</v>
      </c>
      <c r="E48" s="139">
        <v>0.64</v>
      </c>
      <c r="F48" s="142"/>
      <c r="G48" s="10"/>
      <c r="H48" s="142"/>
      <c r="I48" s="10"/>
      <c r="J48" s="10"/>
      <c r="K48" s="10"/>
      <c r="L48" s="143" t="s">
        <v>2119</v>
      </c>
      <c r="M48" s="144">
        <v>4933.0</v>
      </c>
      <c r="N48" s="144"/>
      <c r="O48" s="144"/>
    </row>
    <row r="49">
      <c r="A49" s="138" t="s">
        <v>2121</v>
      </c>
      <c r="B49" s="134">
        <v>4933.0</v>
      </c>
      <c r="C49" s="31">
        <v>0.05</v>
      </c>
      <c r="D49" s="139">
        <v>0.64</v>
      </c>
      <c r="E49" s="139">
        <v>0.64</v>
      </c>
      <c r="F49" s="142"/>
      <c r="G49" s="10"/>
      <c r="H49" s="142"/>
      <c r="I49" s="10"/>
      <c r="J49" s="10"/>
      <c r="K49" s="10"/>
      <c r="L49" s="143" t="s">
        <v>2120</v>
      </c>
      <c r="M49" s="144">
        <v>4933.0</v>
      </c>
      <c r="N49" s="144"/>
      <c r="O49" s="144"/>
    </row>
    <row r="50">
      <c r="A50" s="138" t="s">
        <v>2122</v>
      </c>
      <c r="B50" s="134">
        <v>4933.0</v>
      </c>
      <c r="C50" s="31">
        <v>0.05</v>
      </c>
      <c r="D50" s="139">
        <v>0.64</v>
      </c>
      <c r="E50" s="139">
        <v>0.64</v>
      </c>
      <c r="F50" s="142"/>
      <c r="G50" s="10"/>
      <c r="H50" s="142"/>
      <c r="I50" s="10"/>
      <c r="J50" s="10"/>
      <c r="K50" s="10"/>
      <c r="L50" s="143" t="s">
        <v>2121</v>
      </c>
      <c r="M50" s="144">
        <v>4933.0</v>
      </c>
      <c r="N50" s="144"/>
      <c r="O50" s="144"/>
    </row>
    <row r="51">
      <c r="A51" s="138" t="s">
        <v>2123</v>
      </c>
      <c r="B51" s="134">
        <v>4933.0</v>
      </c>
      <c r="C51" s="31">
        <v>0.05</v>
      </c>
      <c r="D51" s="139">
        <v>0.64</v>
      </c>
      <c r="E51" s="139">
        <v>0.64</v>
      </c>
      <c r="F51" s="142"/>
      <c r="G51" s="10"/>
      <c r="H51" s="142"/>
      <c r="I51" s="10"/>
      <c r="J51" s="10"/>
      <c r="K51" s="10"/>
      <c r="L51" s="143" t="s">
        <v>2122</v>
      </c>
      <c r="M51" s="144">
        <v>4933.0</v>
      </c>
      <c r="N51" s="144"/>
      <c r="O51" s="144"/>
    </row>
    <row r="52">
      <c r="A52" s="138" t="s">
        <v>2124</v>
      </c>
      <c r="B52" s="134">
        <v>6890.0</v>
      </c>
      <c r="C52" s="31">
        <v>0.05</v>
      </c>
      <c r="D52" s="139">
        <v>0.64</v>
      </c>
      <c r="E52" s="139">
        <v>0.64</v>
      </c>
      <c r="F52" s="142"/>
      <c r="G52" s="10"/>
      <c r="H52" s="142"/>
      <c r="I52" s="10"/>
      <c r="J52" s="10"/>
      <c r="K52" s="10"/>
      <c r="L52" s="145" t="s">
        <v>2123</v>
      </c>
      <c r="M52" s="5">
        <v>4933.0</v>
      </c>
      <c r="N52" s="5"/>
      <c r="O52" s="5"/>
    </row>
    <row r="53">
      <c r="A53" s="138" t="s">
        <v>2125</v>
      </c>
      <c r="B53" s="134">
        <v>6671.0</v>
      </c>
      <c r="C53" s="31">
        <v>0.05</v>
      </c>
      <c r="D53" s="139">
        <v>0.64</v>
      </c>
      <c r="E53" s="139">
        <v>0.64</v>
      </c>
      <c r="F53" s="142"/>
      <c r="G53" s="10"/>
      <c r="H53" s="142"/>
      <c r="I53" s="10"/>
      <c r="J53" s="10"/>
      <c r="K53" s="10"/>
      <c r="L53" s="143" t="s">
        <v>2124</v>
      </c>
      <c r="M53" s="144">
        <v>6890.0</v>
      </c>
      <c r="N53" s="144"/>
      <c r="O53" s="144"/>
    </row>
    <row r="54">
      <c r="A54" s="138" t="s">
        <v>2126</v>
      </c>
      <c r="B54" s="134">
        <v>6671.0</v>
      </c>
      <c r="C54" s="31">
        <v>0.05</v>
      </c>
      <c r="D54" s="139">
        <v>0.64</v>
      </c>
      <c r="E54" s="139">
        <v>0.64</v>
      </c>
      <c r="F54" s="142"/>
      <c r="G54" s="10"/>
      <c r="H54" s="142"/>
      <c r="I54" s="10"/>
      <c r="J54" s="10"/>
      <c r="K54" s="10"/>
      <c r="L54" s="143" t="s">
        <v>2125</v>
      </c>
      <c r="M54" s="144">
        <v>6671.0</v>
      </c>
      <c r="N54" s="144"/>
      <c r="O54" s="144"/>
    </row>
    <row r="55">
      <c r="A55" s="138" t="s">
        <v>2127</v>
      </c>
      <c r="B55" s="134">
        <v>6890.0</v>
      </c>
      <c r="C55" s="31">
        <v>0.05</v>
      </c>
      <c r="D55" s="139">
        <v>0.64</v>
      </c>
      <c r="E55" s="139">
        <v>0.64</v>
      </c>
      <c r="F55" s="142"/>
      <c r="G55" s="10"/>
      <c r="H55" s="142"/>
      <c r="I55" s="10"/>
      <c r="J55" s="10"/>
      <c r="K55" s="10"/>
      <c r="L55" s="143" t="s">
        <v>2126</v>
      </c>
      <c r="M55" s="144">
        <v>6671.0</v>
      </c>
      <c r="N55" s="144"/>
      <c r="O55" s="144"/>
    </row>
    <row r="56">
      <c r="A56" s="138" t="s">
        <v>2128</v>
      </c>
      <c r="B56" s="134">
        <v>6908.0</v>
      </c>
      <c r="C56" s="31">
        <v>0.05</v>
      </c>
      <c r="D56" s="139">
        <v>0.64</v>
      </c>
      <c r="E56" s="139">
        <v>0.64</v>
      </c>
      <c r="F56" s="142"/>
      <c r="G56" s="10"/>
      <c r="H56" s="142"/>
      <c r="I56" s="10"/>
      <c r="J56" s="10"/>
      <c r="K56" s="10"/>
      <c r="L56" s="143" t="s">
        <v>2127</v>
      </c>
      <c r="M56" s="144">
        <v>6890.0</v>
      </c>
      <c r="N56" s="144"/>
      <c r="O56" s="144"/>
    </row>
    <row r="57">
      <c r="A57" s="138" t="s">
        <v>2129</v>
      </c>
      <c r="B57" s="134">
        <v>3142.0</v>
      </c>
      <c r="C57" s="31">
        <v>0.05</v>
      </c>
      <c r="D57" s="139">
        <v>0.64</v>
      </c>
      <c r="E57" s="139">
        <v>0.64</v>
      </c>
      <c r="F57" s="142"/>
      <c r="G57" s="10"/>
      <c r="H57" s="142"/>
      <c r="I57" s="10"/>
      <c r="J57" s="10"/>
      <c r="K57" s="10"/>
      <c r="L57" s="143" t="s">
        <v>2128</v>
      </c>
      <c r="M57" s="144">
        <v>6908.0</v>
      </c>
      <c r="N57" s="144"/>
      <c r="O57" s="144"/>
    </row>
    <row r="58">
      <c r="A58" s="138" t="s">
        <v>2130</v>
      </c>
      <c r="B58" s="134">
        <v>6946.0</v>
      </c>
      <c r="C58" s="31">
        <v>0.05</v>
      </c>
      <c r="D58" s="139">
        <v>0.64</v>
      </c>
      <c r="E58" s="139">
        <v>0.64</v>
      </c>
      <c r="F58" s="142"/>
      <c r="G58" s="10"/>
      <c r="H58" s="142"/>
      <c r="I58" s="10"/>
      <c r="J58" s="10"/>
      <c r="K58" s="10"/>
      <c r="L58" s="143" t="s">
        <v>2129</v>
      </c>
      <c r="M58" s="144">
        <v>3142.0</v>
      </c>
      <c r="N58" s="144"/>
      <c r="O58" s="144"/>
    </row>
    <row r="59">
      <c r="A59" s="138" t="s">
        <v>2131</v>
      </c>
      <c r="B59" s="134">
        <v>6947.0</v>
      </c>
      <c r="C59" s="31">
        <v>0.05</v>
      </c>
      <c r="D59" s="139">
        <v>0.64</v>
      </c>
      <c r="E59" s="139">
        <v>0.64</v>
      </c>
      <c r="F59" s="142"/>
      <c r="G59" s="10"/>
      <c r="H59" s="142"/>
      <c r="I59" s="10"/>
      <c r="J59" s="10"/>
      <c r="K59" s="10"/>
      <c r="L59" s="143" t="s">
        <v>2130</v>
      </c>
      <c r="M59" s="144">
        <v>6946.0</v>
      </c>
      <c r="N59" s="144"/>
      <c r="O59" s="144"/>
    </row>
    <row r="60">
      <c r="A60" s="138" t="s">
        <v>2132</v>
      </c>
      <c r="B60" s="134">
        <v>6924.0</v>
      </c>
      <c r="C60" s="31">
        <v>0.05</v>
      </c>
      <c r="D60" s="139">
        <v>0.64</v>
      </c>
      <c r="E60" s="139">
        <v>0.64</v>
      </c>
      <c r="F60" s="142"/>
      <c r="G60" s="10"/>
      <c r="H60" s="142"/>
      <c r="I60" s="10"/>
      <c r="J60" s="10"/>
      <c r="K60" s="10"/>
      <c r="L60" s="143" t="s">
        <v>2131</v>
      </c>
      <c r="M60" s="144">
        <v>6947.0</v>
      </c>
      <c r="N60" s="144"/>
      <c r="O60" s="144"/>
    </row>
    <row r="61">
      <c r="A61" s="138" t="s">
        <v>2133</v>
      </c>
      <c r="B61" s="134">
        <v>6924.0</v>
      </c>
      <c r="C61" s="31">
        <v>0.05</v>
      </c>
      <c r="D61" s="139">
        <v>0.64</v>
      </c>
      <c r="E61" s="139">
        <v>0.64</v>
      </c>
      <c r="F61" s="142"/>
      <c r="G61" s="10"/>
      <c r="H61" s="142"/>
      <c r="I61" s="10"/>
      <c r="J61" s="10"/>
      <c r="K61" s="10"/>
      <c r="L61" s="143" t="s">
        <v>2132</v>
      </c>
      <c r="M61" s="144">
        <v>6924.0</v>
      </c>
      <c r="N61" s="144"/>
      <c r="O61" s="144"/>
    </row>
    <row r="62">
      <c r="A62" s="138" t="s">
        <v>2134</v>
      </c>
      <c r="B62" s="134">
        <v>6929.0</v>
      </c>
      <c r="C62" s="31">
        <v>0.05</v>
      </c>
      <c r="D62" s="139">
        <v>0.64</v>
      </c>
      <c r="E62" s="139">
        <v>0.64</v>
      </c>
      <c r="F62" s="142"/>
      <c r="G62" s="10"/>
      <c r="H62" s="142"/>
      <c r="I62" s="10"/>
      <c r="J62" s="10"/>
      <c r="K62" s="10"/>
      <c r="L62" s="143" t="s">
        <v>2133</v>
      </c>
      <c r="M62" s="144">
        <v>6924.0</v>
      </c>
      <c r="N62" s="144"/>
      <c r="O62" s="144"/>
    </row>
    <row r="63">
      <c r="A63" s="138" t="s">
        <v>2135</v>
      </c>
      <c r="B63" s="134">
        <v>6916.0</v>
      </c>
      <c r="C63" s="31">
        <v>0.05</v>
      </c>
      <c r="D63" s="139">
        <v>0.64</v>
      </c>
      <c r="E63" s="139">
        <v>0.64</v>
      </c>
      <c r="F63" s="142"/>
      <c r="G63" s="10"/>
      <c r="H63" s="142"/>
      <c r="I63" s="10"/>
      <c r="J63" s="10"/>
      <c r="K63" s="10"/>
      <c r="L63" s="143" t="s">
        <v>2134</v>
      </c>
      <c r="M63" s="144">
        <v>6929.0</v>
      </c>
      <c r="N63" s="144"/>
      <c r="O63" s="144"/>
    </row>
    <row r="64">
      <c r="A64" s="138" t="s">
        <v>2136</v>
      </c>
      <c r="B64" s="134">
        <v>5458.0</v>
      </c>
      <c r="C64" s="31">
        <v>0.05</v>
      </c>
      <c r="D64" s="139">
        <v>0.64</v>
      </c>
      <c r="E64" s="139">
        <v>0.64</v>
      </c>
      <c r="F64" s="142"/>
      <c r="G64" s="10"/>
      <c r="H64" s="142"/>
      <c r="I64" s="10"/>
      <c r="J64" s="10"/>
      <c r="K64" s="10"/>
      <c r="L64" s="143" t="s">
        <v>2135</v>
      </c>
      <c r="M64" s="144">
        <v>6916.0</v>
      </c>
      <c r="N64" s="144"/>
      <c r="O64" s="144"/>
    </row>
    <row r="65">
      <c r="A65" s="138" t="s">
        <v>2137</v>
      </c>
      <c r="B65" s="134">
        <v>6969.0</v>
      </c>
      <c r="C65" s="31">
        <v>0.05</v>
      </c>
      <c r="D65" s="139">
        <v>0.64</v>
      </c>
      <c r="E65" s="139">
        <v>0.64</v>
      </c>
      <c r="F65" s="142"/>
      <c r="G65" s="10"/>
      <c r="H65" s="142"/>
      <c r="I65" s="10"/>
      <c r="J65" s="10"/>
      <c r="K65" s="10"/>
      <c r="L65" s="143" t="s">
        <v>2136</v>
      </c>
      <c r="M65" s="144">
        <v>5458.0</v>
      </c>
      <c r="N65" s="144"/>
      <c r="O65" s="144"/>
    </row>
    <row r="66">
      <c r="A66" s="138" t="s">
        <v>2138</v>
      </c>
      <c r="B66" s="134">
        <v>7876.0</v>
      </c>
      <c r="C66" s="31">
        <v>0.05</v>
      </c>
      <c r="D66" s="139">
        <v>0.64</v>
      </c>
      <c r="E66" s="139">
        <v>0.64</v>
      </c>
      <c r="F66" s="142"/>
      <c r="G66" s="10"/>
      <c r="H66" s="142"/>
      <c r="I66" s="10"/>
      <c r="J66" s="10"/>
      <c r="K66" s="10"/>
      <c r="L66" s="143" t="s">
        <v>2137</v>
      </c>
      <c r="M66" s="144">
        <v>6969.0</v>
      </c>
      <c r="N66" s="144"/>
      <c r="O66" s="144"/>
    </row>
    <row r="67">
      <c r="A67" s="138" t="s">
        <v>2139</v>
      </c>
      <c r="B67" s="134">
        <v>930.0</v>
      </c>
      <c r="C67" s="31">
        <v>0.05</v>
      </c>
      <c r="D67" s="139">
        <v>0.64</v>
      </c>
      <c r="E67" s="139">
        <v>0.64</v>
      </c>
      <c r="F67" s="142"/>
      <c r="G67" s="10"/>
      <c r="H67" s="142"/>
      <c r="I67" s="10"/>
      <c r="J67" s="10"/>
      <c r="K67" s="10"/>
      <c r="L67" s="143" t="s">
        <v>2138</v>
      </c>
      <c r="M67" s="144">
        <v>7876.0</v>
      </c>
      <c r="N67" s="144"/>
      <c r="O67" s="144"/>
    </row>
    <row r="68">
      <c r="A68" s="138" t="s">
        <v>1384</v>
      </c>
      <c r="B68" s="134">
        <v>5458.0</v>
      </c>
      <c r="C68" s="31">
        <v>0.05</v>
      </c>
      <c r="D68" s="139">
        <v>0.64</v>
      </c>
      <c r="E68" s="139">
        <v>0.64</v>
      </c>
      <c r="F68" s="142"/>
      <c r="G68" s="10"/>
      <c r="H68" s="142"/>
      <c r="I68" s="10"/>
      <c r="J68" s="10"/>
      <c r="K68" s="10"/>
      <c r="L68" s="145" t="s">
        <v>2139</v>
      </c>
      <c r="M68" s="5">
        <v>930.0</v>
      </c>
      <c r="N68" s="5"/>
      <c r="O68" s="5"/>
    </row>
    <row r="69">
      <c r="A69" s="138" t="s">
        <v>2140</v>
      </c>
      <c r="B69" s="134">
        <v>6824.0</v>
      </c>
      <c r="C69" s="31">
        <v>0.05</v>
      </c>
      <c r="D69" s="139">
        <v>0.64</v>
      </c>
      <c r="E69" s="139">
        <v>0.64</v>
      </c>
      <c r="F69" s="142"/>
      <c r="G69" s="10"/>
      <c r="H69" s="142"/>
      <c r="I69" s="10"/>
      <c r="J69" s="10"/>
      <c r="K69" s="10"/>
      <c r="L69" s="143" t="s">
        <v>1384</v>
      </c>
      <c r="M69" s="144">
        <v>5458.0</v>
      </c>
      <c r="N69" s="144"/>
      <c r="O69" s="144"/>
    </row>
    <row r="70">
      <c r="A70" s="138" t="s">
        <v>2141</v>
      </c>
      <c r="B70" s="134">
        <v>6998.0</v>
      </c>
      <c r="C70" s="31">
        <v>0.05</v>
      </c>
      <c r="D70" s="139">
        <v>0.64</v>
      </c>
      <c r="E70" s="139">
        <v>0.64</v>
      </c>
      <c r="F70" s="142"/>
      <c r="G70" s="10"/>
      <c r="H70" s="142"/>
      <c r="I70" s="10"/>
      <c r="J70" s="10"/>
      <c r="K70" s="10"/>
      <c r="L70" s="143" t="s">
        <v>2140</v>
      </c>
      <c r="M70" s="144">
        <v>6824.0</v>
      </c>
      <c r="N70" s="144"/>
      <c r="O70" s="144"/>
    </row>
    <row r="71">
      <c r="A71" s="138" t="s">
        <v>2142</v>
      </c>
      <c r="B71" s="134">
        <v>5458.0</v>
      </c>
      <c r="C71" s="31">
        <v>0.05</v>
      </c>
      <c r="D71" s="139">
        <v>0.64</v>
      </c>
      <c r="E71" s="139">
        <v>0.64</v>
      </c>
      <c r="F71" s="142"/>
      <c r="G71" s="10"/>
      <c r="H71" s="142"/>
      <c r="I71" s="10"/>
      <c r="J71" s="10"/>
      <c r="K71" s="10"/>
      <c r="L71" s="145" t="s">
        <v>2141</v>
      </c>
      <c r="M71" s="5">
        <v>6998.0</v>
      </c>
      <c r="N71" s="5"/>
      <c r="O71" s="5"/>
    </row>
    <row r="72">
      <c r="A72" s="138" t="s">
        <v>2143</v>
      </c>
      <c r="B72" s="134">
        <v>6106.0</v>
      </c>
      <c r="C72" s="31">
        <v>0.05</v>
      </c>
      <c r="D72" s="139">
        <v>0.64</v>
      </c>
      <c r="E72" s="139">
        <v>0.64</v>
      </c>
      <c r="F72" s="142"/>
      <c r="G72" s="10"/>
      <c r="H72" s="142"/>
      <c r="I72" s="10"/>
      <c r="J72" s="10"/>
      <c r="K72" s="10"/>
      <c r="L72" s="143" t="s">
        <v>2142</v>
      </c>
      <c r="M72" s="144">
        <v>5458.0</v>
      </c>
      <c r="N72" s="144"/>
      <c r="O72" s="144"/>
    </row>
    <row r="73">
      <c r="A73" s="138" t="s">
        <v>2144</v>
      </c>
      <c r="B73" s="134">
        <v>986.0</v>
      </c>
      <c r="C73" s="31">
        <v>0.05</v>
      </c>
      <c r="D73" s="139">
        <v>0.64</v>
      </c>
      <c r="E73" s="139">
        <v>0.64</v>
      </c>
      <c r="F73" s="142"/>
      <c r="G73" s="10"/>
      <c r="H73" s="142"/>
      <c r="I73" s="10"/>
      <c r="J73" s="10"/>
      <c r="K73" s="10"/>
      <c r="L73" s="143" t="s">
        <v>2143</v>
      </c>
      <c r="M73" s="144">
        <v>6106.0</v>
      </c>
      <c r="N73" s="144"/>
      <c r="O73" s="144"/>
    </row>
    <row r="74">
      <c r="A74" s="138" t="s">
        <v>2145</v>
      </c>
      <c r="B74" s="134">
        <v>986.0</v>
      </c>
      <c r="C74" s="31">
        <v>0.05</v>
      </c>
      <c r="D74" s="139">
        <v>0.64</v>
      </c>
      <c r="E74" s="139">
        <v>0.64</v>
      </c>
      <c r="F74" s="142"/>
      <c r="G74" s="10"/>
      <c r="H74" s="142"/>
      <c r="I74" s="10"/>
      <c r="J74" s="10"/>
      <c r="K74" s="10"/>
      <c r="L74" s="143" t="s">
        <v>2144</v>
      </c>
      <c r="M74" s="144">
        <v>986.0</v>
      </c>
      <c r="N74" s="144"/>
      <c r="O74" s="144"/>
    </row>
    <row r="75">
      <c r="A75" s="138" t="s">
        <v>1272</v>
      </c>
      <c r="B75" s="134">
        <v>986.0</v>
      </c>
      <c r="C75" s="31">
        <v>0.05</v>
      </c>
      <c r="D75" s="139">
        <v>0.64</v>
      </c>
      <c r="E75" s="139">
        <v>0.64</v>
      </c>
      <c r="F75" s="142"/>
      <c r="G75" s="10"/>
      <c r="H75" s="142"/>
      <c r="I75" s="10"/>
      <c r="J75" s="10"/>
      <c r="K75" s="10"/>
      <c r="L75" s="143" t="s">
        <v>2145</v>
      </c>
      <c r="M75" s="144">
        <v>986.0</v>
      </c>
      <c r="N75" s="144"/>
      <c r="O75" s="144"/>
    </row>
    <row r="76">
      <c r="A76" s="138" t="s">
        <v>2146</v>
      </c>
      <c r="B76" s="134">
        <v>986.0</v>
      </c>
      <c r="C76" s="31">
        <v>0.05</v>
      </c>
      <c r="D76" s="139">
        <v>0.64</v>
      </c>
      <c r="E76" s="139">
        <v>0.64</v>
      </c>
      <c r="F76" s="142"/>
      <c r="G76" s="10"/>
      <c r="H76" s="142"/>
      <c r="I76" s="10"/>
      <c r="J76" s="10"/>
      <c r="K76" s="10"/>
      <c r="L76" s="143" t="s">
        <v>1272</v>
      </c>
      <c r="M76" s="144">
        <v>986.0</v>
      </c>
      <c r="N76" s="144"/>
      <c r="O76" s="144"/>
    </row>
    <row r="77">
      <c r="A77" s="138" t="s">
        <v>2147</v>
      </c>
      <c r="B77" s="134">
        <v>986.0</v>
      </c>
      <c r="C77" s="31">
        <v>0.05</v>
      </c>
      <c r="D77" s="139">
        <v>0.64</v>
      </c>
      <c r="E77" s="139">
        <v>0.64</v>
      </c>
      <c r="F77" s="142"/>
      <c r="G77" s="10"/>
      <c r="H77" s="142"/>
      <c r="I77" s="10"/>
      <c r="J77" s="10"/>
      <c r="K77" s="10"/>
      <c r="L77" s="143" t="s">
        <v>2146</v>
      </c>
      <c r="M77" s="144">
        <v>986.0</v>
      </c>
      <c r="N77" s="144"/>
      <c r="O77" s="144"/>
    </row>
    <row r="78">
      <c r="A78" s="138" t="s">
        <v>2148</v>
      </c>
      <c r="B78" s="134">
        <v>986.0</v>
      </c>
      <c r="C78" s="31">
        <v>0.05</v>
      </c>
      <c r="D78" s="139">
        <v>0.64</v>
      </c>
      <c r="E78" s="139">
        <v>0.64</v>
      </c>
      <c r="F78" s="142"/>
      <c r="G78" s="10"/>
      <c r="H78" s="142"/>
      <c r="I78" s="10"/>
      <c r="J78" s="10"/>
      <c r="K78" s="10"/>
      <c r="L78" s="143" t="s">
        <v>2147</v>
      </c>
      <c r="M78" s="144">
        <v>986.0</v>
      </c>
      <c r="N78" s="144"/>
      <c r="O78" s="144"/>
    </row>
    <row r="79">
      <c r="A79" s="138" t="s">
        <v>2149</v>
      </c>
      <c r="B79" s="134">
        <v>986.0</v>
      </c>
      <c r="C79" s="31">
        <v>0.05</v>
      </c>
      <c r="D79" s="139">
        <v>0.64</v>
      </c>
      <c r="E79" s="139">
        <v>0.64</v>
      </c>
      <c r="F79" s="142"/>
      <c r="G79" s="10"/>
      <c r="H79" s="142"/>
      <c r="I79" s="10"/>
      <c r="J79" s="10"/>
      <c r="K79" s="10"/>
      <c r="L79" s="143" t="s">
        <v>2148</v>
      </c>
      <c r="M79" s="144">
        <v>986.0</v>
      </c>
      <c r="N79" s="144"/>
      <c r="O79" s="144"/>
    </row>
    <row r="80">
      <c r="A80" s="138" t="s">
        <v>2150</v>
      </c>
      <c r="B80" s="134">
        <v>986.0</v>
      </c>
      <c r="C80" s="31">
        <v>0.05</v>
      </c>
      <c r="D80" s="139">
        <v>0.64</v>
      </c>
      <c r="E80" s="139">
        <v>0.64</v>
      </c>
      <c r="F80" s="142"/>
      <c r="G80" s="10"/>
      <c r="H80" s="142"/>
      <c r="I80" s="10"/>
      <c r="J80" s="10"/>
      <c r="K80" s="10"/>
      <c r="L80" s="143" t="s">
        <v>2149</v>
      </c>
      <c r="M80" s="144">
        <v>986.0</v>
      </c>
      <c r="N80" s="144"/>
      <c r="O80" s="144"/>
    </row>
    <row r="81">
      <c r="A81" s="138" t="s">
        <v>2151</v>
      </c>
      <c r="B81" s="134">
        <v>986.0</v>
      </c>
      <c r="C81" s="31">
        <v>0.05</v>
      </c>
      <c r="D81" s="139">
        <v>0.64</v>
      </c>
      <c r="E81" s="139">
        <v>0.64</v>
      </c>
      <c r="F81" s="142"/>
      <c r="G81" s="10"/>
      <c r="H81" s="142"/>
      <c r="I81" s="10"/>
      <c r="J81" s="10"/>
      <c r="K81" s="10"/>
      <c r="L81" s="143" t="s">
        <v>2150</v>
      </c>
      <c r="M81" s="144">
        <v>986.0</v>
      </c>
      <c r="N81" s="144"/>
      <c r="O81" s="144"/>
    </row>
    <row r="82">
      <c r="A82" s="138" t="s">
        <v>2152</v>
      </c>
      <c r="B82" s="134">
        <v>986.0</v>
      </c>
      <c r="C82" s="31">
        <v>0.05</v>
      </c>
      <c r="D82" s="139">
        <v>0.64</v>
      </c>
      <c r="E82" s="139">
        <v>0.64</v>
      </c>
      <c r="F82" s="142"/>
      <c r="G82" s="10"/>
      <c r="H82" s="10"/>
      <c r="I82" s="10"/>
      <c r="J82" s="10"/>
      <c r="K82" s="10"/>
      <c r="L82" s="143" t="s">
        <v>2151</v>
      </c>
      <c r="M82" s="144">
        <v>986.0</v>
      </c>
      <c r="N82" s="144"/>
      <c r="O82" s="144"/>
    </row>
    <row r="83">
      <c r="A83" s="138" t="s">
        <v>2153</v>
      </c>
      <c r="B83" s="134">
        <v>986.0</v>
      </c>
      <c r="C83" s="31">
        <v>0.05</v>
      </c>
      <c r="D83" s="139">
        <v>0.64</v>
      </c>
      <c r="E83" s="139">
        <v>0.64</v>
      </c>
      <c r="F83" s="142"/>
      <c r="G83" s="10"/>
      <c r="H83" s="10"/>
      <c r="I83" s="10"/>
      <c r="J83" s="10"/>
      <c r="K83" s="10"/>
      <c r="L83" s="143" t="s">
        <v>2152</v>
      </c>
      <c r="M83" s="144">
        <v>986.0</v>
      </c>
      <c r="N83" s="144"/>
      <c r="O83" s="144"/>
    </row>
    <row r="84">
      <c r="A84" s="138" t="s">
        <v>2154</v>
      </c>
      <c r="B84" s="134">
        <v>986.0</v>
      </c>
      <c r="C84" s="31">
        <v>0.05</v>
      </c>
      <c r="D84" s="139">
        <v>0.64</v>
      </c>
      <c r="E84" s="139">
        <v>0.64</v>
      </c>
      <c r="F84" s="142"/>
      <c r="G84" s="10"/>
      <c r="H84" s="10"/>
      <c r="I84" s="10"/>
      <c r="J84" s="10"/>
      <c r="K84" s="10"/>
      <c r="L84" s="143" t="s">
        <v>2153</v>
      </c>
      <c r="M84" s="144">
        <v>986.0</v>
      </c>
      <c r="N84" s="144"/>
      <c r="O84" s="144"/>
    </row>
    <row r="85">
      <c r="A85" s="138" t="s">
        <v>2155</v>
      </c>
      <c r="B85" s="134">
        <v>986.0</v>
      </c>
      <c r="C85" s="31">
        <v>0.05</v>
      </c>
      <c r="D85" s="139">
        <v>0.64</v>
      </c>
      <c r="E85" s="139">
        <v>0.64</v>
      </c>
      <c r="F85" s="142"/>
      <c r="G85" s="10"/>
      <c r="H85" s="10"/>
      <c r="I85" s="10"/>
      <c r="J85" s="10"/>
      <c r="K85" s="10"/>
      <c r="L85" s="143" t="s">
        <v>2154</v>
      </c>
      <c r="M85" s="144">
        <v>986.0</v>
      </c>
      <c r="N85" s="144"/>
      <c r="O85" s="144"/>
    </row>
    <row r="86">
      <c r="A86" s="138" t="s">
        <v>2156</v>
      </c>
      <c r="B86" s="134">
        <v>986.0</v>
      </c>
      <c r="C86" s="31">
        <v>0.05</v>
      </c>
      <c r="D86" s="139">
        <v>0.64</v>
      </c>
      <c r="E86" s="139">
        <v>0.64</v>
      </c>
      <c r="F86" s="142"/>
      <c r="G86" s="10"/>
      <c r="H86" s="10"/>
      <c r="I86" s="10"/>
      <c r="J86" s="10"/>
      <c r="K86" s="10"/>
      <c r="L86" s="143" t="s">
        <v>2155</v>
      </c>
      <c r="M86" s="144">
        <v>986.0</v>
      </c>
      <c r="N86" s="144"/>
      <c r="O86" s="144"/>
    </row>
    <row r="87">
      <c r="A87" s="138" t="s">
        <v>1225</v>
      </c>
      <c r="B87" s="134">
        <v>986.0</v>
      </c>
      <c r="C87" s="31">
        <v>0.05</v>
      </c>
      <c r="D87" s="139">
        <v>0.64</v>
      </c>
      <c r="E87" s="139">
        <v>0.64</v>
      </c>
      <c r="F87" s="142"/>
      <c r="G87" s="10"/>
      <c r="H87" s="10"/>
      <c r="I87" s="10"/>
      <c r="J87" s="10"/>
      <c r="K87" s="10"/>
      <c r="L87" s="143" t="s">
        <v>2156</v>
      </c>
      <c r="M87" s="144">
        <v>986.0</v>
      </c>
      <c r="N87" s="144"/>
      <c r="O87" s="144"/>
    </row>
    <row r="88">
      <c r="A88" s="138" t="s">
        <v>2157</v>
      </c>
      <c r="B88" s="134">
        <v>1360.0</v>
      </c>
      <c r="C88" s="31">
        <v>0.05</v>
      </c>
      <c r="D88" s="139">
        <v>0.64</v>
      </c>
      <c r="E88" s="139">
        <v>0.64</v>
      </c>
      <c r="F88" s="142"/>
      <c r="G88" s="10"/>
      <c r="H88" s="10"/>
      <c r="I88" s="10"/>
      <c r="J88" s="10"/>
      <c r="K88" s="10"/>
      <c r="L88" s="143" t="s">
        <v>1225</v>
      </c>
      <c r="M88" s="144">
        <v>986.0</v>
      </c>
      <c r="N88" s="144"/>
      <c r="O88" s="144"/>
    </row>
    <row r="89">
      <c r="A89" s="138" t="s">
        <v>2158</v>
      </c>
      <c r="B89" s="134">
        <v>669.0</v>
      </c>
      <c r="C89" s="31">
        <v>0.05</v>
      </c>
      <c r="D89" s="139">
        <v>0.64</v>
      </c>
      <c r="E89" s="139">
        <v>0.64</v>
      </c>
      <c r="F89" s="52"/>
      <c r="G89" s="10"/>
      <c r="H89" s="10"/>
      <c r="I89" s="10"/>
      <c r="J89" s="10"/>
      <c r="K89" s="10"/>
      <c r="L89" s="143" t="s">
        <v>2157</v>
      </c>
      <c r="M89" s="144">
        <v>1360.0</v>
      </c>
      <c r="N89" s="144"/>
      <c r="O89" s="144"/>
    </row>
    <row r="90">
      <c r="A90" s="138" t="s">
        <v>2159</v>
      </c>
      <c r="B90" s="134">
        <v>669.0</v>
      </c>
      <c r="C90" s="31">
        <v>0.05</v>
      </c>
      <c r="D90" s="139">
        <v>0.64</v>
      </c>
      <c r="E90" s="139">
        <v>0.64</v>
      </c>
      <c r="F90" s="52"/>
      <c r="G90" s="10"/>
      <c r="H90" s="10"/>
      <c r="I90" s="10"/>
      <c r="J90" s="10"/>
      <c r="K90" s="10"/>
      <c r="L90" s="143" t="s">
        <v>2158</v>
      </c>
      <c r="M90" s="144">
        <v>669.0</v>
      </c>
      <c r="N90" s="144"/>
      <c r="O90" s="144"/>
    </row>
    <row r="91">
      <c r="A91" s="138" t="s">
        <v>2160</v>
      </c>
      <c r="B91" s="134">
        <v>669.0</v>
      </c>
      <c r="C91" s="31">
        <v>0.05</v>
      </c>
      <c r="D91" s="139">
        <v>0.64</v>
      </c>
      <c r="E91" s="139">
        <v>0.64</v>
      </c>
      <c r="F91" s="52"/>
      <c r="G91" s="10"/>
      <c r="H91" s="10"/>
      <c r="I91" s="10"/>
      <c r="J91" s="10"/>
      <c r="K91" s="10"/>
      <c r="L91" s="143" t="s">
        <v>2159</v>
      </c>
      <c r="M91" s="144">
        <v>669.0</v>
      </c>
      <c r="N91" s="144"/>
      <c r="O91" s="144"/>
    </row>
    <row r="92">
      <c r="A92" s="138" t="s">
        <v>2161</v>
      </c>
      <c r="B92" s="134">
        <v>6133.0</v>
      </c>
      <c r="C92" s="31">
        <v>0.05</v>
      </c>
      <c r="D92" s="139">
        <v>0.64</v>
      </c>
      <c r="E92" s="139">
        <v>0.64</v>
      </c>
      <c r="F92" s="52"/>
      <c r="G92" s="10"/>
      <c r="H92" s="10"/>
      <c r="I92" s="10"/>
      <c r="J92" s="10"/>
      <c r="K92" s="10"/>
      <c r="L92" s="143" t="s">
        <v>2160</v>
      </c>
      <c r="M92" s="144">
        <v>669.0</v>
      </c>
      <c r="N92" s="144"/>
      <c r="O92" s="144"/>
    </row>
    <row r="93">
      <c r="A93" s="138" t="s">
        <v>2162</v>
      </c>
      <c r="B93" s="134">
        <v>6133.0</v>
      </c>
      <c r="C93" s="31">
        <v>0.05</v>
      </c>
      <c r="D93" s="139">
        <v>0.64</v>
      </c>
      <c r="E93" s="139">
        <v>0.64</v>
      </c>
      <c r="F93" s="52"/>
      <c r="G93" s="10"/>
      <c r="H93" s="10"/>
      <c r="I93" s="10"/>
      <c r="J93" s="10"/>
      <c r="K93" s="10"/>
      <c r="L93" s="143" t="s">
        <v>2161</v>
      </c>
      <c r="M93" s="144">
        <v>6133.0</v>
      </c>
      <c r="N93" s="144"/>
      <c r="O93" s="144"/>
    </row>
    <row r="94">
      <c r="A94" s="138" t="s">
        <v>2163</v>
      </c>
      <c r="B94" s="134">
        <v>6771.0</v>
      </c>
      <c r="C94" s="31">
        <v>0.05</v>
      </c>
      <c r="D94" s="139">
        <v>0.64</v>
      </c>
      <c r="E94" s="139">
        <v>0.64</v>
      </c>
      <c r="F94" s="52"/>
      <c r="G94" s="10"/>
      <c r="H94" s="10"/>
      <c r="I94" s="10"/>
      <c r="J94" s="10"/>
      <c r="K94" s="10"/>
      <c r="L94" s="143" t="s">
        <v>2162</v>
      </c>
      <c r="M94" s="144">
        <v>6133.0</v>
      </c>
      <c r="N94" s="144"/>
      <c r="O94" s="144"/>
    </row>
    <row r="95">
      <c r="A95" s="138" t="s">
        <v>2164</v>
      </c>
      <c r="B95" s="134">
        <v>499.0</v>
      </c>
      <c r="C95" s="31">
        <v>0.05</v>
      </c>
      <c r="D95" s="139">
        <v>0.64</v>
      </c>
      <c r="E95" s="139">
        <v>0.64</v>
      </c>
      <c r="F95" s="52"/>
      <c r="G95" s="10"/>
      <c r="H95" s="10"/>
      <c r="I95" s="10"/>
      <c r="J95" s="10"/>
      <c r="K95" s="10"/>
      <c r="L95" s="145" t="s">
        <v>2163</v>
      </c>
      <c r="M95" s="5">
        <v>6771.0</v>
      </c>
      <c r="N95" s="5"/>
      <c r="O95" s="5"/>
    </row>
    <row r="96">
      <c r="A96" s="138" t="s">
        <v>750</v>
      </c>
      <c r="B96" s="134">
        <v>499.0</v>
      </c>
      <c r="C96" s="31">
        <v>0.05</v>
      </c>
      <c r="D96" s="139">
        <v>0.64</v>
      </c>
      <c r="E96" s="139">
        <v>0.64</v>
      </c>
      <c r="F96" s="52"/>
      <c r="G96" s="10"/>
      <c r="H96" s="10"/>
      <c r="I96" s="10"/>
      <c r="J96" s="10"/>
      <c r="K96" s="10"/>
      <c r="L96" s="143" t="s">
        <v>2164</v>
      </c>
      <c r="M96" s="144">
        <v>499.0</v>
      </c>
      <c r="N96" s="144"/>
      <c r="O96" s="144"/>
    </row>
    <row r="97">
      <c r="A97" s="138" t="s">
        <v>2165</v>
      </c>
      <c r="B97" s="134">
        <v>6658.0</v>
      </c>
      <c r="C97" s="31">
        <v>0.05</v>
      </c>
      <c r="D97" s="148">
        <v>0.75</v>
      </c>
      <c r="E97" s="83">
        <v>0.75</v>
      </c>
      <c r="F97" s="52"/>
      <c r="G97" s="10"/>
      <c r="H97" s="10"/>
      <c r="I97" s="10"/>
      <c r="J97" s="10"/>
      <c r="K97" s="10"/>
      <c r="L97" s="143" t="s">
        <v>750</v>
      </c>
      <c r="M97" s="144">
        <v>499.0</v>
      </c>
      <c r="N97" s="144"/>
      <c r="O97" s="144"/>
    </row>
    <row r="98">
      <c r="A98" s="138" t="s">
        <v>2166</v>
      </c>
      <c r="B98" s="134">
        <v>6658.0</v>
      </c>
      <c r="C98" s="31">
        <v>0.05</v>
      </c>
      <c r="D98" s="148">
        <v>0.75</v>
      </c>
      <c r="E98" s="83">
        <v>0.75</v>
      </c>
      <c r="F98" s="52"/>
      <c r="G98" s="10"/>
      <c r="H98" s="10"/>
      <c r="I98" s="10"/>
      <c r="J98" s="10"/>
      <c r="K98" s="10"/>
      <c r="L98" s="143" t="s">
        <v>2165</v>
      </c>
      <c r="M98" s="144">
        <v>6658.0</v>
      </c>
      <c r="N98" s="144"/>
      <c r="O98" s="144"/>
    </row>
    <row r="99">
      <c r="A99" s="138" t="s">
        <v>2167</v>
      </c>
      <c r="B99" s="134">
        <v>6658.0</v>
      </c>
      <c r="C99" s="31">
        <v>0.05</v>
      </c>
      <c r="D99" s="148">
        <v>0.75</v>
      </c>
      <c r="E99" s="83">
        <v>0.75</v>
      </c>
      <c r="F99" s="52"/>
      <c r="G99" s="10"/>
      <c r="H99" s="10"/>
      <c r="I99" s="10"/>
      <c r="J99" s="10"/>
      <c r="K99" s="10"/>
      <c r="L99" s="145" t="s">
        <v>2166</v>
      </c>
      <c r="M99" s="5">
        <v>6658.0</v>
      </c>
      <c r="N99" s="5"/>
      <c r="O99" s="5"/>
    </row>
    <row r="100">
      <c r="A100" s="138" t="s">
        <v>2168</v>
      </c>
      <c r="B100" s="134">
        <v>7158.0</v>
      </c>
      <c r="C100" s="31">
        <v>0.05</v>
      </c>
      <c r="D100" s="139">
        <v>0.64</v>
      </c>
      <c r="E100" s="139">
        <v>0.64</v>
      </c>
      <c r="F100" s="52"/>
      <c r="G100" s="10"/>
      <c r="H100" s="10"/>
      <c r="I100" s="10"/>
      <c r="J100" s="10"/>
      <c r="K100" s="10"/>
      <c r="L100" s="143" t="s">
        <v>2167</v>
      </c>
      <c r="M100" s="144">
        <v>6658.0</v>
      </c>
      <c r="N100" s="144"/>
      <c r="O100" s="144"/>
    </row>
    <row r="101">
      <c r="A101" s="138" t="s">
        <v>2169</v>
      </c>
      <c r="B101" s="134">
        <v>136.0</v>
      </c>
      <c r="C101" s="31">
        <v>0.05</v>
      </c>
      <c r="D101" s="139">
        <v>0.64</v>
      </c>
      <c r="E101" s="139">
        <v>0.64</v>
      </c>
      <c r="F101" s="52"/>
      <c r="G101" s="10"/>
      <c r="H101" s="10"/>
      <c r="I101" s="10"/>
      <c r="J101" s="10"/>
      <c r="K101" s="10"/>
      <c r="L101" s="143" t="s">
        <v>2168</v>
      </c>
      <c r="M101" s="144">
        <v>7158.0</v>
      </c>
      <c r="N101" s="144"/>
      <c r="O101" s="144"/>
    </row>
    <row r="102">
      <c r="A102" s="138" t="s">
        <v>2170</v>
      </c>
      <c r="B102" s="134">
        <v>7031.0</v>
      </c>
      <c r="C102" s="31">
        <v>0.05</v>
      </c>
      <c r="D102" s="139">
        <v>0.64</v>
      </c>
      <c r="E102" s="139">
        <v>0.64</v>
      </c>
      <c r="F102" s="52"/>
      <c r="G102" s="10"/>
      <c r="H102" s="10"/>
      <c r="I102" s="10"/>
      <c r="J102" s="10"/>
      <c r="K102" s="10"/>
      <c r="L102" s="143" t="s">
        <v>2169</v>
      </c>
      <c r="M102" s="144">
        <v>136.0</v>
      </c>
      <c r="N102" s="144"/>
      <c r="O102" s="144"/>
    </row>
    <row r="103">
      <c r="A103" s="138" t="s">
        <v>2171</v>
      </c>
      <c r="B103" s="134">
        <v>3307.0</v>
      </c>
      <c r="C103" s="31">
        <v>0.05</v>
      </c>
      <c r="D103" s="139">
        <v>0.64</v>
      </c>
      <c r="E103" s="139">
        <v>0.64</v>
      </c>
      <c r="F103" s="52"/>
      <c r="G103" s="10"/>
      <c r="H103" s="10"/>
      <c r="I103" s="10"/>
      <c r="J103" s="10"/>
      <c r="K103" s="10"/>
      <c r="L103" s="145" t="s">
        <v>2170</v>
      </c>
      <c r="M103" s="5">
        <v>7031.0</v>
      </c>
      <c r="N103" s="5"/>
      <c r="O103" s="5">
        <v>7031.0</v>
      </c>
    </row>
    <row r="104">
      <c r="A104" s="138" t="s">
        <v>2172</v>
      </c>
      <c r="B104" s="134">
        <v>7033.0</v>
      </c>
      <c r="C104" s="31">
        <v>0.05</v>
      </c>
      <c r="D104" s="139">
        <v>0.64</v>
      </c>
      <c r="E104" s="139">
        <v>0.64</v>
      </c>
      <c r="F104" s="52"/>
      <c r="G104" s="10"/>
      <c r="H104" s="10"/>
      <c r="I104" s="10"/>
      <c r="J104" s="10"/>
      <c r="K104" s="10"/>
      <c r="L104" s="143" t="s">
        <v>2171</v>
      </c>
      <c r="M104" s="144">
        <v>3307.0</v>
      </c>
      <c r="N104" s="144"/>
      <c r="O104" s="144"/>
    </row>
    <row r="105">
      <c r="A105" s="138" t="s">
        <v>2173</v>
      </c>
      <c r="B105" s="134">
        <v>499.0</v>
      </c>
      <c r="C105" s="31">
        <v>0.05</v>
      </c>
      <c r="D105" s="139">
        <v>0.64</v>
      </c>
      <c r="E105" s="139">
        <v>0.64</v>
      </c>
      <c r="F105" s="52"/>
      <c r="G105" s="10"/>
      <c r="H105" s="10"/>
      <c r="I105" s="10"/>
      <c r="J105" s="10"/>
      <c r="K105" s="10"/>
      <c r="L105" s="145" t="s">
        <v>2172</v>
      </c>
      <c r="M105" s="5">
        <v>7033.0</v>
      </c>
      <c r="N105" s="5"/>
      <c r="O105" s="5">
        <v>7033.0</v>
      </c>
    </row>
    <row r="106">
      <c r="A106" s="138" t="s">
        <v>2174</v>
      </c>
      <c r="B106" s="134">
        <v>7020.0</v>
      </c>
      <c r="C106" s="31">
        <v>0.05</v>
      </c>
      <c r="D106" s="139">
        <v>0.64</v>
      </c>
      <c r="E106" s="139">
        <v>0.64</v>
      </c>
      <c r="F106" s="52"/>
      <c r="G106" s="10"/>
      <c r="H106" s="10"/>
      <c r="I106" s="10"/>
      <c r="J106" s="10"/>
      <c r="K106" s="10"/>
      <c r="L106" s="143" t="s">
        <v>2173</v>
      </c>
      <c r="M106" s="144">
        <v>499.0</v>
      </c>
      <c r="N106" s="144"/>
      <c r="O106" s="144"/>
    </row>
    <row r="107">
      <c r="A107" s="138" t="s">
        <v>2175</v>
      </c>
      <c r="B107" s="134">
        <v>7020.0</v>
      </c>
      <c r="C107" s="31">
        <v>0.05</v>
      </c>
      <c r="D107" s="139">
        <v>0.64</v>
      </c>
      <c r="E107" s="139">
        <v>0.64</v>
      </c>
      <c r="F107" s="52"/>
      <c r="G107" s="10"/>
      <c r="H107" s="10"/>
      <c r="I107" s="10"/>
      <c r="J107" s="10"/>
      <c r="K107" s="10"/>
      <c r="L107" s="143" t="s">
        <v>2174</v>
      </c>
      <c r="M107" s="144">
        <v>7020.0</v>
      </c>
      <c r="N107" s="144"/>
      <c r="O107" s="144"/>
    </row>
    <row r="108">
      <c r="A108" s="138" t="s">
        <v>2176</v>
      </c>
      <c r="B108" s="134">
        <v>4933.0</v>
      </c>
      <c r="C108" s="31">
        <v>0.05</v>
      </c>
      <c r="D108" s="139">
        <v>0.64</v>
      </c>
      <c r="E108" s="139">
        <v>0.64</v>
      </c>
      <c r="F108" s="52"/>
      <c r="G108" s="10"/>
      <c r="H108" s="10"/>
      <c r="I108" s="10"/>
      <c r="J108" s="10"/>
      <c r="K108" s="10"/>
      <c r="L108" s="143" t="s">
        <v>2175</v>
      </c>
      <c r="M108" s="144">
        <v>7020.0</v>
      </c>
      <c r="N108" s="144"/>
      <c r="O108" s="144"/>
    </row>
    <row r="109">
      <c r="A109" s="138" t="s">
        <v>2177</v>
      </c>
      <c r="B109" s="134">
        <v>4933.0</v>
      </c>
      <c r="C109" s="31">
        <v>0.05</v>
      </c>
      <c r="D109" s="139">
        <v>0.64</v>
      </c>
      <c r="E109" s="139">
        <v>0.64</v>
      </c>
      <c r="F109" s="52"/>
      <c r="G109" s="10"/>
      <c r="H109" s="10"/>
      <c r="I109" s="10"/>
      <c r="J109" s="10"/>
      <c r="K109" s="10"/>
      <c r="L109" s="143" t="s">
        <v>2176</v>
      </c>
      <c r="M109" s="144">
        <v>4933.0</v>
      </c>
      <c r="N109" s="144"/>
      <c r="O109" s="144"/>
    </row>
    <row r="110">
      <c r="A110" s="138" t="s">
        <v>2178</v>
      </c>
      <c r="B110" s="134">
        <v>4933.0</v>
      </c>
      <c r="C110" s="31">
        <v>0.05</v>
      </c>
      <c r="D110" s="139">
        <v>0.64</v>
      </c>
      <c r="E110" s="139">
        <v>0.64</v>
      </c>
      <c r="F110" s="52"/>
      <c r="G110" s="10"/>
      <c r="H110" s="10"/>
      <c r="I110" s="10"/>
      <c r="J110" s="10"/>
      <c r="K110" s="10"/>
      <c r="L110" s="143" t="s">
        <v>2177</v>
      </c>
      <c r="M110" s="144">
        <v>4933.0</v>
      </c>
      <c r="N110" s="144"/>
      <c r="O110" s="144"/>
    </row>
    <row r="111">
      <c r="A111" s="138" t="s">
        <v>2179</v>
      </c>
      <c r="B111" s="134">
        <v>4933.0</v>
      </c>
      <c r="C111" s="31">
        <v>0.05</v>
      </c>
      <c r="D111" s="139">
        <v>0.64</v>
      </c>
      <c r="E111" s="139">
        <v>0.64</v>
      </c>
      <c r="F111" s="52"/>
      <c r="G111" s="10"/>
      <c r="H111" s="10"/>
      <c r="I111" s="10"/>
      <c r="J111" s="10"/>
      <c r="K111" s="10"/>
      <c r="L111" s="143" t="s">
        <v>2178</v>
      </c>
      <c r="M111" s="144">
        <v>4933.0</v>
      </c>
      <c r="N111" s="144"/>
      <c r="O111" s="144"/>
    </row>
    <row r="112">
      <c r="A112" s="138" t="s">
        <v>2180</v>
      </c>
      <c r="B112" s="134">
        <v>4933.0</v>
      </c>
      <c r="C112" s="31">
        <v>0.05</v>
      </c>
      <c r="D112" s="139">
        <v>0.64</v>
      </c>
      <c r="E112" s="139">
        <v>0.64</v>
      </c>
      <c r="F112" s="52"/>
      <c r="G112" s="10"/>
      <c r="H112" s="10"/>
      <c r="I112" s="10"/>
      <c r="J112" s="10"/>
      <c r="K112" s="10"/>
      <c r="L112" s="143" t="s">
        <v>2179</v>
      </c>
      <c r="M112" s="144">
        <v>4933.0</v>
      </c>
      <c r="N112" s="144"/>
      <c r="O112" s="144"/>
    </row>
    <row r="113">
      <c r="A113" s="138" t="s">
        <v>2181</v>
      </c>
      <c r="B113" s="134">
        <v>6727.0</v>
      </c>
      <c r="C113" s="31">
        <v>0.05</v>
      </c>
      <c r="D113" s="139">
        <v>0.64</v>
      </c>
      <c r="E113" s="139">
        <v>0.64</v>
      </c>
      <c r="F113" s="52"/>
      <c r="G113" s="10"/>
      <c r="H113" s="10"/>
      <c r="I113" s="10"/>
      <c r="J113" s="10"/>
      <c r="K113" s="10"/>
      <c r="L113" s="143" t="s">
        <v>2180</v>
      </c>
      <c r="M113" s="144">
        <v>4933.0</v>
      </c>
      <c r="N113" s="144"/>
      <c r="O113" s="144"/>
    </row>
    <row r="114">
      <c r="A114" s="138" t="s">
        <v>2182</v>
      </c>
      <c r="B114" s="134">
        <v>6727.0</v>
      </c>
      <c r="C114" s="31">
        <v>0.05</v>
      </c>
      <c r="D114" s="139">
        <v>0.64</v>
      </c>
      <c r="E114" s="139">
        <v>0.64</v>
      </c>
      <c r="F114" s="52"/>
      <c r="G114" s="10"/>
      <c r="H114" s="10"/>
      <c r="I114" s="10"/>
      <c r="J114" s="10"/>
      <c r="K114" s="10"/>
      <c r="L114" s="143" t="s">
        <v>2181</v>
      </c>
      <c r="M114" s="144">
        <v>6727.0</v>
      </c>
      <c r="N114" s="144"/>
      <c r="O114" s="144"/>
    </row>
    <row r="115">
      <c r="A115" s="138" t="s">
        <v>2183</v>
      </c>
      <c r="B115" s="134">
        <v>6727.0</v>
      </c>
      <c r="C115" s="31">
        <v>0.05</v>
      </c>
      <c r="D115" s="139">
        <v>0.64</v>
      </c>
      <c r="E115" s="139">
        <v>0.64</v>
      </c>
      <c r="F115" s="52"/>
      <c r="G115" s="10"/>
      <c r="H115" s="10"/>
      <c r="I115" s="10"/>
      <c r="J115" s="10"/>
      <c r="K115" s="10"/>
      <c r="L115" s="143" t="s">
        <v>2182</v>
      </c>
      <c r="M115" s="144">
        <v>6727.0</v>
      </c>
      <c r="N115" s="144"/>
      <c r="O115" s="144"/>
    </row>
    <row r="116">
      <c r="A116" s="138" t="s">
        <v>2184</v>
      </c>
      <c r="B116" s="134">
        <v>6727.0</v>
      </c>
      <c r="C116" s="31">
        <v>0.05</v>
      </c>
      <c r="D116" s="139">
        <v>0.64</v>
      </c>
      <c r="E116" s="139">
        <v>0.64</v>
      </c>
      <c r="F116" s="52"/>
      <c r="G116" s="10"/>
      <c r="H116" s="10"/>
      <c r="I116" s="10"/>
      <c r="J116" s="10"/>
      <c r="K116" s="10"/>
      <c r="L116" s="143" t="s">
        <v>2183</v>
      </c>
      <c r="M116" s="144">
        <v>6727.0</v>
      </c>
      <c r="N116" s="144"/>
      <c r="O116" s="144"/>
    </row>
    <row r="117">
      <c r="A117" s="138" t="s">
        <v>2185</v>
      </c>
      <c r="B117" s="134">
        <v>6727.0</v>
      </c>
      <c r="C117" s="31">
        <v>0.05</v>
      </c>
      <c r="D117" s="139">
        <v>0.64</v>
      </c>
      <c r="E117" s="139">
        <v>0.64</v>
      </c>
      <c r="F117" s="52"/>
      <c r="G117" s="10"/>
      <c r="H117" s="10"/>
      <c r="I117" s="10"/>
      <c r="J117" s="10"/>
      <c r="K117" s="10"/>
      <c r="L117" s="143" t="s">
        <v>2184</v>
      </c>
      <c r="M117" s="144">
        <v>6727.0</v>
      </c>
      <c r="N117" s="144"/>
      <c r="O117" s="144"/>
    </row>
    <row r="118">
      <c r="A118" s="138" t="s">
        <v>2186</v>
      </c>
      <c r="B118" s="134">
        <v>6727.0</v>
      </c>
      <c r="C118" s="31">
        <v>0.05</v>
      </c>
      <c r="D118" s="139">
        <v>0.64</v>
      </c>
      <c r="E118" s="139">
        <v>0.64</v>
      </c>
      <c r="F118" s="52"/>
      <c r="G118" s="10"/>
      <c r="H118" s="10"/>
      <c r="I118" s="10"/>
      <c r="J118" s="10"/>
      <c r="K118" s="10"/>
      <c r="L118" s="143" t="s">
        <v>2185</v>
      </c>
      <c r="M118" s="144">
        <v>6727.0</v>
      </c>
      <c r="N118" s="144"/>
      <c r="O118" s="144"/>
    </row>
    <row r="119">
      <c r="A119" s="138" t="s">
        <v>2187</v>
      </c>
      <c r="B119" s="134">
        <v>6727.0</v>
      </c>
      <c r="C119" s="31">
        <v>0.05</v>
      </c>
      <c r="D119" s="139">
        <v>0.64</v>
      </c>
      <c r="E119" s="139">
        <v>0.64</v>
      </c>
      <c r="F119" s="52"/>
      <c r="G119" s="10"/>
      <c r="H119" s="10"/>
      <c r="I119" s="10"/>
      <c r="J119" s="10"/>
      <c r="K119" s="10"/>
      <c r="L119" s="143" t="s">
        <v>2186</v>
      </c>
      <c r="M119" s="144">
        <v>6727.0</v>
      </c>
      <c r="N119" s="144"/>
      <c r="O119" s="144"/>
    </row>
    <row r="120">
      <c r="A120" s="138" t="s">
        <v>2188</v>
      </c>
      <c r="B120" s="134">
        <v>6727.0</v>
      </c>
      <c r="C120" s="31">
        <v>0.05</v>
      </c>
      <c r="D120" s="139">
        <v>0.64</v>
      </c>
      <c r="E120" s="139">
        <v>0.64</v>
      </c>
      <c r="F120" s="52"/>
      <c r="G120" s="10"/>
      <c r="H120" s="10"/>
      <c r="I120" s="10"/>
      <c r="J120" s="10"/>
      <c r="K120" s="10"/>
      <c r="L120" s="143" t="s">
        <v>2187</v>
      </c>
      <c r="M120" s="144">
        <v>6727.0</v>
      </c>
      <c r="N120" s="144"/>
      <c r="O120" s="144"/>
    </row>
    <row r="121">
      <c r="A121" s="138" t="s">
        <v>2189</v>
      </c>
      <c r="B121" s="134">
        <v>6727.0</v>
      </c>
      <c r="C121" s="31">
        <v>0.05</v>
      </c>
      <c r="D121" s="139">
        <v>0.64</v>
      </c>
      <c r="E121" s="139">
        <v>0.64</v>
      </c>
      <c r="F121" s="52"/>
      <c r="G121" s="10"/>
      <c r="H121" s="10"/>
      <c r="I121" s="10"/>
      <c r="J121" s="10"/>
      <c r="K121" s="10"/>
      <c r="L121" s="143" t="s">
        <v>2188</v>
      </c>
      <c r="M121" s="144">
        <v>6727.0</v>
      </c>
      <c r="N121" s="144"/>
      <c r="O121" s="144"/>
    </row>
    <row r="122">
      <c r="A122" s="138" t="s">
        <v>2190</v>
      </c>
      <c r="B122" s="134">
        <v>6727.0</v>
      </c>
      <c r="C122" s="31">
        <v>0.05</v>
      </c>
      <c r="D122" s="139">
        <v>0.64</v>
      </c>
      <c r="E122" s="139">
        <v>0.64</v>
      </c>
      <c r="F122" s="52"/>
      <c r="G122" s="10"/>
      <c r="H122" s="10"/>
      <c r="I122" s="10"/>
      <c r="J122" s="10"/>
      <c r="K122" s="10"/>
      <c r="L122" s="143" t="s">
        <v>2189</v>
      </c>
      <c r="M122" s="144">
        <v>6727.0</v>
      </c>
      <c r="N122" s="144"/>
      <c r="O122" s="144"/>
    </row>
    <row r="123">
      <c r="A123" s="138" t="s">
        <v>2191</v>
      </c>
      <c r="B123" s="134">
        <v>6732.0</v>
      </c>
      <c r="C123" s="31">
        <v>0.05</v>
      </c>
      <c r="D123" s="139">
        <v>0.64</v>
      </c>
      <c r="E123" s="139">
        <v>0.64</v>
      </c>
      <c r="F123" s="52"/>
      <c r="G123" s="10"/>
      <c r="H123" s="10"/>
      <c r="I123" s="10"/>
      <c r="J123" s="10"/>
      <c r="K123" s="10"/>
      <c r="L123" s="143" t="s">
        <v>2190</v>
      </c>
      <c r="M123" s="144">
        <v>6727.0</v>
      </c>
      <c r="N123" s="144"/>
      <c r="O123" s="144"/>
    </row>
    <row r="124">
      <c r="A124" s="138" t="s">
        <v>2192</v>
      </c>
      <c r="B124" s="134">
        <v>6732.0</v>
      </c>
      <c r="C124" s="31">
        <v>0.05</v>
      </c>
      <c r="D124" s="139">
        <v>0.64</v>
      </c>
      <c r="E124" s="139">
        <v>0.64</v>
      </c>
      <c r="F124" s="52"/>
      <c r="G124" s="10"/>
      <c r="H124" s="10"/>
      <c r="I124" s="10"/>
      <c r="J124" s="10"/>
      <c r="K124" s="10"/>
      <c r="L124" s="145" t="s">
        <v>2191</v>
      </c>
      <c r="M124" s="5">
        <v>6732.0</v>
      </c>
      <c r="N124" s="5"/>
      <c r="O124" s="5"/>
    </row>
    <row r="125">
      <c r="A125" s="138" t="s">
        <v>2193</v>
      </c>
      <c r="B125" s="134">
        <v>6732.0</v>
      </c>
      <c r="C125" s="31">
        <v>0.05</v>
      </c>
      <c r="D125" s="139">
        <v>0.64</v>
      </c>
      <c r="E125" s="139">
        <v>0.64</v>
      </c>
      <c r="F125" s="52"/>
      <c r="G125" s="10"/>
      <c r="H125" s="10"/>
      <c r="I125" s="10"/>
      <c r="J125" s="10"/>
      <c r="K125" s="10"/>
      <c r="L125" s="143" t="s">
        <v>2192</v>
      </c>
      <c r="M125" s="144">
        <v>6732.0</v>
      </c>
      <c r="N125" s="144"/>
      <c r="O125" s="144"/>
    </row>
    <row r="126">
      <c r="A126" s="138" t="s">
        <v>2194</v>
      </c>
      <c r="B126" s="134">
        <v>6732.0</v>
      </c>
      <c r="C126" s="31">
        <v>0.05</v>
      </c>
      <c r="D126" s="139">
        <v>0.64</v>
      </c>
      <c r="E126" s="139">
        <v>0.64</v>
      </c>
      <c r="F126" s="52"/>
      <c r="G126" s="10"/>
      <c r="H126" s="10"/>
      <c r="I126" s="10"/>
      <c r="J126" s="10"/>
      <c r="K126" s="10"/>
      <c r="L126" s="143" t="s">
        <v>2193</v>
      </c>
      <c r="M126" s="144">
        <v>6732.0</v>
      </c>
      <c r="N126" s="144"/>
      <c r="O126" s="144"/>
    </row>
    <row r="127">
      <c r="A127" s="138" t="s">
        <v>2195</v>
      </c>
      <c r="B127" s="134">
        <v>6732.0</v>
      </c>
      <c r="C127" s="31">
        <v>0.05</v>
      </c>
      <c r="D127" s="139">
        <v>0.64</v>
      </c>
      <c r="E127" s="139">
        <v>0.64</v>
      </c>
      <c r="F127" s="52"/>
      <c r="G127" s="10"/>
      <c r="H127" s="10"/>
      <c r="I127" s="10"/>
      <c r="J127" s="10"/>
      <c r="K127" s="10"/>
      <c r="L127" s="143" t="s">
        <v>2194</v>
      </c>
      <c r="M127" s="144">
        <v>6732.0</v>
      </c>
      <c r="N127" s="144"/>
      <c r="O127" s="144"/>
    </row>
    <row r="128">
      <c r="A128" s="138" t="s">
        <v>2196</v>
      </c>
      <c r="B128" s="134">
        <v>6732.0</v>
      </c>
      <c r="C128" s="31">
        <v>0.05</v>
      </c>
      <c r="D128" s="139">
        <v>0.64</v>
      </c>
      <c r="E128" s="139">
        <v>0.64</v>
      </c>
      <c r="F128" s="52"/>
      <c r="G128" s="10"/>
      <c r="H128" s="10"/>
      <c r="I128" s="10"/>
      <c r="J128" s="10"/>
      <c r="K128" s="10"/>
      <c r="L128" s="143" t="s">
        <v>2195</v>
      </c>
      <c r="M128" s="144">
        <v>6732.0</v>
      </c>
      <c r="N128" s="144"/>
      <c r="O128" s="144"/>
    </row>
    <row r="129">
      <c r="A129" s="138" t="s">
        <v>2197</v>
      </c>
      <c r="B129" s="134">
        <v>6732.0</v>
      </c>
      <c r="C129" s="31">
        <v>0.05</v>
      </c>
      <c r="D129" s="139">
        <v>0.64</v>
      </c>
      <c r="E129" s="139">
        <v>0.64</v>
      </c>
      <c r="F129" s="52"/>
      <c r="G129" s="10"/>
      <c r="H129" s="10"/>
      <c r="I129" s="10"/>
      <c r="J129" s="10"/>
      <c r="K129" s="10"/>
      <c r="L129" s="143" t="s">
        <v>2196</v>
      </c>
      <c r="M129" s="144">
        <v>6732.0</v>
      </c>
      <c r="N129" s="144"/>
      <c r="O129" s="144"/>
    </row>
    <row r="130">
      <c r="A130" s="138" t="s">
        <v>2198</v>
      </c>
      <c r="B130" s="134">
        <v>6732.0</v>
      </c>
      <c r="C130" s="31">
        <v>0.05</v>
      </c>
      <c r="D130" s="139">
        <v>0.64</v>
      </c>
      <c r="E130" s="139">
        <v>0.64</v>
      </c>
      <c r="F130" s="52"/>
      <c r="G130" s="10"/>
      <c r="H130" s="10"/>
      <c r="I130" s="10"/>
      <c r="J130" s="10"/>
      <c r="K130" s="10"/>
      <c r="L130" s="143" t="s">
        <v>2197</v>
      </c>
      <c r="M130" s="144">
        <v>6732.0</v>
      </c>
      <c r="N130" s="144"/>
      <c r="O130" s="144"/>
    </row>
    <row r="131">
      <c r="A131" s="138" t="s">
        <v>2199</v>
      </c>
      <c r="B131" s="134">
        <v>6732.0</v>
      </c>
      <c r="C131" s="31">
        <v>0.05</v>
      </c>
      <c r="D131" s="139">
        <v>0.64</v>
      </c>
      <c r="E131" s="139">
        <v>0.64</v>
      </c>
      <c r="F131" s="52"/>
      <c r="G131" s="10"/>
      <c r="H131" s="10"/>
      <c r="I131" s="10"/>
      <c r="J131" s="10"/>
      <c r="K131" s="10"/>
      <c r="L131" s="143" t="s">
        <v>2198</v>
      </c>
      <c r="M131" s="144">
        <v>6732.0</v>
      </c>
      <c r="N131" s="144"/>
      <c r="O131" s="144"/>
    </row>
    <row r="132">
      <c r="A132" s="138" t="s">
        <v>2200</v>
      </c>
      <c r="B132" s="134">
        <v>6732.0</v>
      </c>
      <c r="C132" s="31">
        <v>0.05</v>
      </c>
      <c r="D132" s="139">
        <v>0.64</v>
      </c>
      <c r="E132" s="139">
        <v>0.64</v>
      </c>
      <c r="F132" s="52"/>
      <c r="G132" s="10"/>
      <c r="H132" s="10"/>
      <c r="I132" s="10"/>
      <c r="J132" s="10"/>
      <c r="K132" s="10"/>
      <c r="L132" s="143" t="s">
        <v>2199</v>
      </c>
      <c r="M132" s="144">
        <v>6732.0</v>
      </c>
      <c r="N132" s="144"/>
      <c r="O132" s="144"/>
    </row>
    <row r="133">
      <c r="A133" s="138" t="s">
        <v>2201</v>
      </c>
      <c r="B133" s="134">
        <v>6732.0</v>
      </c>
      <c r="C133" s="31">
        <v>0.05</v>
      </c>
      <c r="D133" s="139">
        <v>0.64</v>
      </c>
      <c r="E133" s="139">
        <v>0.64</v>
      </c>
      <c r="F133" s="52"/>
      <c r="G133" s="10"/>
      <c r="H133" s="10"/>
      <c r="I133" s="10"/>
      <c r="J133" s="10"/>
      <c r="K133" s="10"/>
      <c r="L133" s="143" t="s">
        <v>2200</v>
      </c>
      <c r="M133" s="144">
        <v>6732.0</v>
      </c>
      <c r="N133" s="144"/>
      <c r="O133" s="144"/>
    </row>
    <row r="134">
      <c r="A134" s="138" t="s">
        <v>2202</v>
      </c>
      <c r="B134" s="134">
        <v>7132.0</v>
      </c>
      <c r="C134" s="31">
        <v>0.05</v>
      </c>
      <c r="D134" s="139">
        <v>0.64</v>
      </c>
      <c r="E134" s="139">
        <v>0.64</v>
      </c>
      <c r="F134" s="52"/>
      <c r="G134" s="10"/>
      <c r="H134" s="10"/>
      <c r="I134" s="10"/>
      <c r="J134" s="10"/>
      <c r="K134" s="10"/>
      <c r="L134" s="143" t="s">
        <v>2201</v>
      </c>
      <c r="M134" s="144">
        <v>6732.0</v>
      </c>
      <c r="N134" s="144"/>
      <c r="O134" s="144"/>
    </row>
    <row r="135">
      <c r="A135" s="138" t="s">
        <v>2203</v>
      </c>
      <c r="B135" s="134">
        <v>6827.0</v>
      </c>
      <c r="C135" s="31">
        <v>0.05</v>
      </c>
      <c r="D135" s="139">
        <v>0.64</v>
      </c>
      <c r="E135" s="139">
        <v>0.64</v>
      </c>
      <c r="F135" s="52"/>
      <c r="G135" s="10"/>
      <c r="H135" s="10"/>
      <c r="I135" s="10"/>
      <c r="J135" s="10"/>
      <c r="K135" s="10"/>
      <c r="L135" s="143" t="s">
        <v>2202</v>
      </c>
      <c r="M135" s="144">
        <v>7132.0</v>
      </c>
      <c r="N135" s="144"/>
      <c r="O135" s="144"/>
    </row>
    <row r="136">
      <c r="A136" s="138" t="s">
        <v>2204</v>
      </c>
      <c r="B136" s="134">
        <v>7183.0</v>
      </c>
      <c r="C136" s="31">
        <v>0.05</v>
      </c>
      <c r="D136" s="139">
        <v>0.64</v>
      </c>
      <c r="E136" s="139">
        <v>0.64</v>
      </c>
      <c r="F136" s="52"/>
      <c r="G136" s="10"/>
      <c r="H136" s="10"/>
      <c r="I136" s="10"/>
      <c r="J136" s="10"/>
      <c r="K136" s="10"/>
      <c r="L136" s="143" t="s">
        <v>2203</v>
      </c>
      <c r="M136" s="144">
        <v>6827.0</v>
      </c>
      <c r="N136" s="144"/>
      <c r="O136" s="144"/>
    </row>
    <row r="137">
      <c r="A137" s="138" t="s">
        <v>2205</v>
      </c>
      <c r="B137" s="134">
        <v>7020.0</v>
      </c>
      <c r="C137" s="31">
        <v>0.05</v>
      </c>
      <c r="D137" s="139">
        <v>0.64</v>
      </c>
      <c r="E137" s="139">
        <v>0.64</v>
      </c>
      <c r="F137" s="52"/>
      <c r="G137" s="10"/>
      <c r="H137" s="10"/>
      <c r="I137" s="10"/>
      <c r="J137" s="10"/>
      <c r="K137" s="10"/>
      <c r="L137" s="143" t="s">
        <v>2204</v>
      </c>
      <c r="M137" s="144">
        <v>7183.0</v>
      </c>
      <c r="N137" s="144"/>
      <c r="O137" s="144"/>
    </row>
    <row r="138">
      <c r="A138" s="138" t="s">
        <v>2206</v>
      </c>
      <c r="B138" s="134">
        <v>7020.0</v>
      </c>
      <c r="C138" s="31">
        <v>0.05</v>
      </c>
      <c r="D138" s="139">
        <v>0.64</v>
      </c>
      <c r="E138" s="139">
        <v>0.64</v>
      </c>
      <c r="F138" s="52"/>
      <c r="G138" s="10"/>
      <c r="H138" s="10"/>
      <c r="I138" s="10"/>
      <c r="J138" s="10"/>
      <c r="K138" s="10"/>
      <c r="L138" s="143" t="s">
        <v>2205</v>
      </c>
      <c r="M138" s="144">
        <v>7020.0</v>
      </c>
      <c r="N138" s="144"/>
      <c r="O138" s="144"/>
    </row>
    <row r="139">
      <c r="A139" s="138" t="s">
        <v>2207</v>
      </c>
      <c r="B139" s="134">
        <v>6779.0</v>
      </c>
      <c r="C139" s="31">
        <v>0.05</v>
      </c>
      <c r="D139" s="139">
        <v>0.64</v>
      </c>
      <c r="E139" s="139">
        <v>0.64</v>
      </c>
      <c r="F139" s="52"/>
      <c r="G139" s="10"/>
      <c r="H139" s="10"/>
      <c r="I139" s="10"/>
      <c r="J139" s="10"/>
      <c r="K139" s="10"/>
      <c r="L139" s="143" t="s">
        <v>2206</v>
      </c>
      <c r="M139" s="144">
        <v>7020.0</v>
      </c>
      <c r="N139" s="144"/>
      <c r="O139" s="144"/>
    </row>
    <row r="140">
      <c r="A140" s="138" t="s">
        <v>2208</v>
      </c>
      <c r="B140" s="134">
        <v>7908.0</v>
      </c>
      <c r="C140" s="31">
        <v>0.05</v>
      </c>
      <c r="D140" s="139">
        <v>0.64</v>
      </c>
      <c r="E140" s="139">
        <v>0.64</v>
      </c>
      <c r="F140" s="52"/>
      <c r="G140" s="10"/>
      <c r="H140" s="10"/>
      <c r="I140" s="10"/>
      <c r="J140" s="10"/>
      <c r="K140" s="10"/>
      <c r="L140" s="143" t="s">
        <v>2207</v>
      </c>
      <c r="M140" s="144">
        <v>6779.0</v>
      </c>
      <c r="N140" s="144"/>
      <c r="O140" s="144"/>
    </row>
    <row r="141">
      <c r="A141" s="138" t="s">
        <v>2209</v>
      </c>
      <c r="B141" s="134">
        <v>7039.0</v>
      </c>
      <c r="C141" s="31">
        <v>0.05</v>
      </c>
      <c r="D141" s="139">
        <v>0.64</v>
      </c>
      <c r="E141" s="139">
        <v>0.64</v>
      </c>
      <c r="F141" s="52"/>
      <c r="G141" s="10"/>
      <c r="H141" s="10"/>
      <c r="I141" s="10"/>
      <c r="J141" s="10"/>
      <c r="K141" s="10"/>
      <c r="L141" s="143" t="s">
        <v>2208</v>
      </c>
      <c r="M141" s="144">
        <v>7908.0</v>
      </c>
      <c r="N141" s="144"/>
      <c r="O141" s="144"/>
    </row>
    <row r="142">
      <c r="A142" s="138" t="s">
        <v>2210</v>
      </c>
      <c r="B142" s="134">
        <v>7046.0</v>
      </c>
      <c r="C142" s="31">
        <v>0.05</v>
      </c>
      <c r="D142" s="139">
        <v>0.64</v>
      </c>
      <c r="E142" s="139">
        <v>0.64</v>
      </c>
      <c r="F142" s="52"/>
      <c r="G142" s="10"/>
      <c r="H142" s="10"/>
      <c r="I142" s="10"/>
      <c r="J142" s="10"/>
      <c r="K142" s="10"/>
      <c r="L142" s="143" t="s">
        <v>2209</v>
      </c>
      <c r="M142" s="144">
        <v>7039.0</v>
      </c>
      <c r="N142" s="144"/>
      <c r="O142" s="144"/>
    </row>
    <row r="143">
      <c r="A143" s="138" t="s">
        <v>2211</v>
      </c>
      <c r="B143" s="134">
        <v>986.0</v>
      </c>
      <c r="C143" s="31">
        <v>0.05</v>
      </c>
      <c r="D143" s="139">
        <v>0.64</v>
      </c>
      <c r="E143" s="139">
        <v>0.64</v>
      </c>
      <c r="F143" s="52"/>
      <c r="G143" s="10"/>
      <c r="H143" s="10"/>
      <c r="I143" s="10"/>
      <c r="J143" s="10"/>
      <c r="K143" s="10"/>
      <c r="L143" s="143" t="s">
        <v>2210</v>
      </c>
      <c r="M143" s="144">
        <v>7046.0</v>
      </c>
      <c r="N143" s="144"/>
      <c r="O143" s="144"/>
    </row>
    <row r="144">
      <c r="A144" s="138" t="s">
        <v>2212</v>
      </c>
      <c r="B144" s="134">
        <v>7186.0</v>
      </c>
      <c r="C144" s="31">
        <v>0.05</v>
      </c>
      <c r="D144" s="139">
        <v>0.64</v>
      </c>
      <c r="E144" s="139">
        <v>0.64</v>
      </c>
      <c r="F144" s="52"/>
      <c r="G144" s="10"/>
      <c r="H144" s="10"/>
      <c r="I144" s="10"/>
      <c r="J144" s="10"/>
      <c r="K144" s="10"/>
      <c r="L144" s="143" t="s">
        <v>2211</v>
      </c>
      <c r="M144" s="144">
        <v>986.0</v>
      </c>
      <c r="N144" s="144"/>
      <c r="O144" s="144"/>
    </row>
    <row r="145">
      <c r="A145" s="138" t="s">
        <v>2213</v>
      </c>
      <c r="B145" s="134">
        <v>986.0</v>
      </c>
      <c r="C145" s="31">
        <v>0.05</v>
      </c>
      <c r="D145" s="139">
        <v>0.64</v>
      </c>
      <c r="E145" s="139">
        <v>0.64</v>
      </c>
      <c r="F145" s="52"/>
      <c r="G145" s="10"/>
      <c r="H145" s="10"/>
      <c r="I145" s="10"/>
      <c r="J145" s="10"/>
      <c r="K145" s="10"/>
      <c r="L145" s="143" t="s">
        <v>2212</v>
      </c>
      <c r="M145" s="144">
        <v>7186.0</v>
      </c>
      <c r="N145" s="144"/>
      <c r="O145" s="144"/>
    </row>
    <row r="146">
      <c r="A146" s="138" t="s">
        <v>2214</v>
      </c>
      <c r="B146" s="134">
        <v>6675.0</v>
      </c>
      <c r="C146" s="31">
        <v>0.05</v>
      </c>
      <c r="D146" s="148">
        <v>0.85</v>
      </c>
      <c r="E146" s="83">
        <v>0.85</v>
      </c>
      <c r="F146" s="52"/>
      <c r="G146" s="10"/>
      <c r="H146" s="10"/>
      <c r="I146" s="10"/>
      <c r="J146" s="10"/>
      <c r="K146" s="10"/>
      <c r="L146" s="143" t="s">
        <v>2213</v>
      </c>
      <c r="M146" s="144">
        <v>986.0</v>
      </c>
      <c r="N146" s="144"/>
      <c r="O146" s="144"/>
    </row>
    <row r="147">
      <c r="A147" s="138" t="s">
        <v>2215</v>
      </c>
      <c r="B147" s="134">
        <v>986.0</v>
      </c>
      <c r="C147" s="31">
        <v>0.05</v>
      </c>
      <c r="D147" s="139">
        <v>0.64</v>
      </c>
      <c r="E147" s="139">
        <v>0.64</v>
      </c>
      <c r="F147" s="52"/>
      <c r="G147" s="10"/>
      <c r="H147" s="10"/>
      <c r="I147" s="10"/>
      <c r="J147" s="10"/>
      <c r="K147" s="10"/>
      <c r="L147" s="143" t="s">
        <v>2214</v>
      </c>
      <c r="M147" s="144">
        <v>6675.0</v>
      </c>
      <c r="N147" s="144">
        <v>6779.0</v>
      </c>
      <c r="O147" s="144"/>
    </row>
    <row r="148">
      <c r="A148" s="138" t="s">
        <v>2216</v>
      </c>
      <c r="B148" s="134">
        <v>986.0</v>
      </c>
      <c r="C148" s="31">
        <v>0.05</v>
      </c>
      <c r="D148" s="139">
        <v>0.64</v>
      </c>
      <c r="E148" s="139">
        <v>0.64</v>
      </c>
      <c r="F148" s="52"/>
      <c r="G148" s="10"/>
      <c r="H148" s="10"/>
      <c r="I148" s="10"/>
      <c r="J148" s="10"/>
      <c r="K148" s="10"/>
      <c r="L148" s="143" t="s">
        <v>2215</v>
      </c>
      <c r="M148" s="144">
        <v>986.0</v>
      </c>
      <c r="N148" s="144"/>
      <c r="O148" s="144"/>
    </row>
    <row r="149">
      <c r="A149" s="138" t="s">
        <v>2217</v>
      </c>
      <c r="B149" s="134">
        <v>986.0</v>
      </c>
      <c r="C149" s="31">
        <v>0.05</v>
      </c>
      <c r="D149" s="139">
        <v>0.64</v>
      </c>
      <c r="E149" s="139">
        <v>0.64</v>
      </c>
      <c r="F149" s="52"/>
      <c r="G149" s="10"/>
      <c r="H149" s="10"/>
      <c r="I149" s="10"/>
      <c r="J149" s="10"/>
      <c r="K149" s="10"/>
      <c r="L149" s="143" t="s">
        <v>2216</v>
      </c>
      <c r="M149" s="144">
        <v>986.0</v>
      </c>
      <c r="N149" s="144"/>
      <c r="O149" s="144"/>
    </row>
    <row r="150">
      <c r="A150" s="138" t="s">
        <v>2218</v>
      </c>
      <c r="B150" s="134">
        <v>986.0</v>
      </c>
      <c r="C150" s="31">
        <v>0.05</v>
      </c>
      <c r="D150" s="139">
        <v>0.64</v>
      </c>
      <c r="E150" s="139">
        <v>0.64</v>
      </c>
      <c r="F150" s="52"/>
      <c r="G150" s="10"/>
      <c r="H150" s="10"/>
      <c r="I150" s="10"/>
      <c r="J150" s="10"/>
      <c r="K150" s="10"/>
      <c r="L150" s="143" t="s">
        <v>2217</v>
      </c>
      <c r="M150" s="144">
        <v>986.0</v>
      </c>
      <c r="N150" s="144"/>
      <c r="O150" s="144"/>
    </row>
    <row r="151">
      <c r="A151" s="138" t="s">
        <v>2219</v>
      </c>
      <c r="B151" s="134">
        <v>6675.0</v>
      </c>
      <c r="C151" s="31">
        <v>0.05</v>
      </c>
      <c r="D151" s="148">
        <v>0.85</v>
      </c>
      <c r="E151" s="83">
        <v>0.85</v>
      </c>
      <c r="F151" s="52"/>
      <c r="G151" s="10"/>
      <c r="H151" s="10"/>
      <c r="I151" s="10"/>
      <c r="J151" s="10"/>
      <c r="K151" s="10"/>
      <c r="L151" s="143" t="s">
        <v>2218</v>
      </c>
      <c r="M151" s="144">
        <v>986.0</v>
      </c>
      <c r="N151" s="144"/>
      <c r="O151" s="144"/>
    </row>
    <row r="152">
      <c r="A152" s="138" t="s">
        <v>2220</v>
      </c>
      <c r="B152" s="134">
        <v>986.0</v>
      </c>
      <c r="C152" s="31">
        <v>0.05</v>
      </c>
      <c r="D152" s="139">
        <v>0.64</v>
      </c>
      <c r="E152" s="139">
        <v>0.64</v>
      </c>
      <c r="F152" s="52"/>
      <c r="G152" s="10"/>
      <c r="H152" s="10"/>
      <c r="I152" s="10"/>
      <c r="J152" s="10"/>
      <c r="K152" s="10"/>
      <c r="L152" s="145" t="s">
        <v>2219</v>
      </c>
      <c r="M152" s="5">
        <v>6675.0</v>
      </c>
      <c r="N152" s="5"/>
      <c r="O152" s="5">
        <v>6675.0</v>
      </c>
    </row>
    <row r="153">
      <c r="A153" s="138" t="s">
        <v>2221</v>
      </c>
      <c r="B153" s="134">
        <v>986.0</v>
      </c>
      <c r="C153" s="31">
        <v>0.05</v>
      </c>
      <c r="D153" s="139">
        <v>0.64</v>
      </c>
      <c r="E153" s="139">
        <v>0.64</v>
      </c>
      <c r="F153" s="52"/>
      <c r="G153" s="10"/>
      <c r="H153" s="10"/>
      <c r="I153" s="10"/>
      <c r="J153" s="10"/>
      <c r="K153" s="10"/>
      <c r="L153" s="143" t="s">
        <v>2220</v>
      </c>
      <c r="M153" s="144">
        <v>986.0</v>
      </c>
      <c r="N153" s="144"/>
      <c r="O153" s="144"/>
    </row>
    <row r="154">
      <c r="A154" s="138" t="s">
        <v>2222</v>
      </c>
      <c r="B154" s="134">
        <v>6875.0</v>
      </c>
      <c r="C154" s="31">
        <v>0.05</v>
      </c>
      <c r="D154" s="139">
        <v>0.64</v>
      </c>
      <c r="E154" s="139">
        <v>0.64</v>
      </c>
      <c r="F154" s="52"/>
      <c r="G154" s="10"/>
      <c r="H154" s="10"/>
      <c r="I154" s="10"/>
      <c r="J154" s="10"/>
      <c r="K154" s="10"/>
      <c r="L154" s="143" t="s">
        <v>2221</v>
      </c>
      <c r="M154" s="144">
        <v>986.0</v>
      </c>
      <c r="N154" s="144"/>
      <c r="O154" s="144"/>
    </row>
    <row r="155">
      <c r="A155" s="138" t="s">
        <v>2223</v>
      </c>
      <c r="B155" s="134">
        <v>7010.0</v>
      </c>
      <c r="C155" s="31">
        <v>0.05</v>
      </c>
      <c r="D155" s="139">
        <v>0.64</v>
      </c>
      <c r="E155" s="139">
        <v>0.64</v>
      </c>
      <c r="F155" s="52"/>
      <c r="G155" s="10"/>
      <c r="H155" s="10"/>
      <c r="I155" s="10"/>
      <c r="J155" s="10"/>
      <c r="K155" s="10"/>
      <c r="L155" s="143" t="s">
        <v>2222</v>
      </c>
      <c r="M155" s="144">
        <v>6875.0</v>
      </c>
      <c r="N155" s="144"/>
      <c r="O155" s="144"/>
    </row>
    <row r="156">
      <c r="A156" s="138" t="s">
        <v>2224</v>
      </c>
      <c r="B156" s="134">
        <v>663.0</v>
      </c>
      <c r="C156" s="31">
        <v>0.05</v>
      </c>
      <c r="D156" s="139">
        <v>0.64</v>
      </c>
      <c r="E156" s="139">
        <v>0.64</v>
      </c>
      <c r="F156" s="52"/>
      <c r="G156" s="10"/>
      <c r="H156" s="10"/>
      <c r="I156" s="10"/>
      <c r="J156" s="10"/>
      <c r="K156" s="10"/>
      <c r="L156" s="143" t="s">
        <v>2223</v>
      </c>
      <c r="M156" s="144">
        <v>7010.0</v>
      </c>
      <c r="N156" s="144"/>
      <c r="O156" s="144"/>
    </row>
    <row r="157">
      <c r="A157" s="138" t="s">
        <v>2225</v>
      </c>
      <c r="B157" s="134">
        <v>986.0</v>
      </c>
      <c r="C157" s="31">
        <v>0.05</v>
      </c>
      <c r="D157" s="139">
        <v>0.64</v>
      </c>
      <c r="E157" s="139">
        <v>0.64</v>
      </c>
      <c r="F157" s="52"/>
      <c r="G157" s="10"/>
      <c r="H157" s="10"/>
      <c r="I157" s="10"/>
      <c r="J157" s="10"/>
      <c r="K157" s="10"/>
      <c r="L157" s="143" t="s">
        <v>2224</v>
      </c>
      <c r="M157" s="144">
        <v>663.0</v>
      </c>
      <c r="N157" s="144"/>
      <c r="O157" s="144"/>
    </row>
    <row r="158">
      <c r="A158" s="138" t="s">
        <v>2226</v>
      </c>
      <c r="B158" s="134">
        <v>986.0</v>
      </c>
      <c r="C158" s="31">
        <v>0.05</v>
      </c>
      <c r="D158" s="139">
        <v>0.64</v>
      </c>
      <c r="E158" s="139">
        <v>0.64</v>
      </c>
      <c r="F158" s="52"/>
      <c r="G158" s="10"/>
      <c r="H158" s="10"/>
      <c r="I158" s="10"/>
      <c r="J158" s="10"/>
      <c r="K158" s="10"/>
      <c r="L158" s="143" t="s">
        <v>2225</v>
      </c>
      <c r="M158" s="144">
        <v>986.0</v>
      </c>
      <c r="N158" s="144"/>
      <c r="O158" s="144"/>
    </row>
    <row r="159">
      <c r="A159" s="138" t="s">
        <v>2227</v>
      </c>
      <c r="B159" s="134">
        <v>986.0</v>
      </c>
      <c r="C159" s="31">
        <v>0.05</v>
      </c>
      <c r="D159" s="139">
        <v>0.64</v>
      </c>
      <c r="E159" s="139">
        <v>0.64</v>
      </c>
      <c r="F159" s="52"/>
      <c r="G159" s="10"/>
      <c r="H159" s="10"/>
      <c r="I159" s="10"/>
      <c r="J159" s="10"/>
      <c r="K159" s="10"/>
      <c r="L159" s="143" t="s">
        <v>2226</v>
      </c>
      <c r="M159" s="144">
        <v>986.0</v>
      </c>
      <c r="N159" s="144"/>
      <c r="O159" s="144"/>
    </row>
    <row r="160">
      <c r="A160" s="138" t="s">
        <v>2228</v>
      </c>
      <c r="B160" s="134">
        <v>6772.0</v>
      </c>
      <c r="C160" s="31">
        <v>0.05</v>
      </c>
      <c r="D160" s="139">
        <v>0.64</v>
      </c>
      <c r="E160" s="139">
        <v>0.64</v>
      </c>
      <c r="F160" s="52"/>
      <c r="G160" s="10"/>
      <c r="H160" s="10"/>
      <c r="I160" s="10"/>
      <c r="J160" s="10"/>
      <c r="K160" s="10"/>
      <c r="L160" s="143" t="s">
        <v>2227</v>
      </c>
      <c r="M160" s="144">
        <v>986.0</v>
      </c>
      <c r="N160" s="144"/>
      <c r="O160" s="144"/>
    </row>
    <row r="161">
      <c r="A161" s="138" t="s">
        <v>2229</v>
      </c>
      <c r="B161" s="134">
        <v>6132.0</v>
      </c>
      <c r="C161" s="31">
        <v>0.05</v>
      </c>
      <c r="D161" s="139">
        <v>0.64</v>
      </c>
      <c r="E161" s="139">
        <v>0.64</v>
      </c>
      <c r="F161" s="52"/>
      <c r="G161" s="10"/>
      <c r="H161" s="10"/>
      <c r="I161" s="10"/>
      <c r="J161" s="10"/>
      <c r="K161" s="10"/>
      <c r="L161" s="143" t="s">
        <v>2228</v>
      </c>
      <c r="M161" s="144">
        <v>6772.0</v>
      </c>
      <c r="N161" s="144"/>
      <c r="O161" s="144">
        <v>6772.0</v>
      </c>
    </row>
    <row r="162">
      <c r="A162" s="138" t="s">
        <v>2230</v>
      </c>
      <c r="B162" s="134">
        <v>6678.0</v>
      </c>
      <c r="C162" s="31">
        <v>0.05</v>
      </c>
      <c r="D162" s="139">
        <v>0.64</v>
      </c>
      <c r="E162" s="139">
        <v>0.64</v>
      </c>
      <c r="F162" s="52"/>
      <c r="G162" s="10"/>
      <c r="H162" s="10"/>
      <c r="I162" s="10"/>
      <c r="J162" s="10"/>
      <c r="K162" s="10"/>
      <c r="L162" s="143" t="s">
        <v>2229</v>
      </c>
      <c r="M162" s="144">
        <v>6132.0</v>
      </c>
      <c r="N162" s="144"/>
      <c r="O162" s="144"/>
    </row>
    <row r="163">
      <c r="A163" s="138" t="s">
        <v>2231</v>
      </c>
      <c r="B163" s="134">
        <v>63.0</v>
      </c>
      <c r="C163" s="31">
        <v>0.05</v>
      </c>
      <c r="D163" s="139">
        <v>0.64</v>
      </c>
      <c r="E163" s="139">
        <v>0.64</v>
      </c>
      <c r="F163" s="52"/>
      <c r="G163" s="10"/>
      <c r="H163" s="10"/>
      <c r="I163" s="10"/>
      <c r="J163" s="10"/>
      <c r="K163" s="10"/>
      <c r="L163" s="143" t="s">
        <v>2230</v>
      </c>
      <c r="M163" s="144">
        <v>6678.0</v>
      </c>
      <c r="N163" s="144"/>
      <c r="O163" s="144"/>
    </row>
    <row r="164">
      <c r="A164" s="138" t="s">
        <v>2232</v>
      </c>
      <c r="B164" s="134">
        <v>6893.0</v>
      </c>
      <c r="C164" s="31">
        <v>0.05</v>
      </c>
      <c r="D164" s="139">
        <v>0.64</v>
      </c>
      <c r="E164" s="139">
        <v>0.64</v>
      </c>
      <c r="F164" s="52"/>
      <c r="G164" s="10"/>
      <c r="H164" s="10"/>
      <c r="I164" s="10"/>
      <c r="J164" s="10"/>
      <c r="K164" s="10"/>
      <c r="L164" s="143" t="s">
        <v>2231</v>
      </c>
      <c r="M164" s="144">
        <v>63.0</v>
      </c>
      <c r="N164" s="144"/>
      <c r="O164" s="144"/>
    </row>
    <row r="165">
      <c r="A165" s="138" t="s">
        <v>2233</v>
      </c>
      <c r="B165" s="134">
        <v>7055.0</v>
      </c>
      <c r="C165" s="31">
        <v>0.05</v>
      </c>
      <c r="D165" s="139">
        <v>0.64</v>
      </c>
      <c r="E165" s="139">
        <v>0.64</v>
      </c>
      <c r="F165" s="52"/>
      <c r="G165" s="10"/>
      <c r="H165" s="10"/>
      <c r="I165" s="10"/>
      <c r="J165" s="10"/>
      <c r="K165" s="10"/>
      <c r="L165" s="145" t="s">
        <v>2232</v>
      </c>
      <c r="M165" s="5">
        <v>6893.0</v>
      </c>
      <c r="N165" s="5"/>
      <c r="O165" s="5"/>
    </row>
    <row r="166">
      <c r="A166" s="138" t="s">
        <v>2234</v>
      </c>
      <c r="B166" s="149">
        <v>7847.0</v>
      </c>
      <c r="C166" s="31">
        <v>0.05</v>
      </c>
      <c r="D166" s="139">
        <v>0.64</v>
      </c>
      <c r="E166" s="139">
        <v>0.64</v>
      </c>
      <c r="F166" s="52"/>
      <c r="G166" s="10"/>
      <c r="H166" s="10"/>
      <c r="I166" s="10"/>
      <c r="J166" s="10"/>
      <c r="K166" s="10"/>
      <c r="L166" s="143" t="s">
        <v>2233</v>
      </c>
      <c r="M166" s="144">
        <v>7055.0</v>
      </c>
      <c r="N166" s="144"/>
      <c r="O166" s="144"/>
    </row>
    <row r="167">
      <c r="A167" s="138" t="s">
        <v>2235</v>
      </c>
      <c r="B167" s="134">
        <v>6827.0</v>
      </c>
      <c r="C167" s="31">
        <v>0.05</v>
      </c>
      <c r="D167" s="139">
        <v>0.64</v>
      </c>
      <c r="E167" s="139">
        <v>0.64</v>
      </c>
      <c r="F167" s="52"/>
      <c r="G167" s="10"/>
      <c r="H167" s="10"/>
      <c r="I167" s="10"/>
      <c r="J167" s="10"/>
      <c r="K167" s="10"/>
      <c r="L167" s="145" t="s">
        <v>2234</v>
      </c>
      <c r="M167" s="150">
        <v>7847.0</v>
      </c>
      <c r="N167" s="5"/>
      <c r="O167" s="5"/>
    </row>
    <row r="168">
      <c r="A168" s="138" t="s">
        <v>2236</v>
      </c>
      <c r="B168" s="134">
        <v>6675.0</v>
      </c>
      <c r="C168" s="31">
        <v>0.05</v>
      </c>
      <c r="D168" s="148">
        <v>0.85</v>
      </c>
      <c r="E168" s="83">
        <v>0.85</v>
      </c>
      <c r="F168" s="52"/>
      <c r="G168" s="10"/>
      <c r="H168" s="10"/>
      <c r="I168" s="10"/>
      <c r="J168" s="10"/>
      <c r="K168" s="10"/>
      <c r="L168" s="143" t="s">
        <v>2235</v>
      </c>
      <c r="M168" s="144">
        <v>6827.0</v>
      </c>
      <c r="N168" s="144"/>
      <c r="O168" s="144"/>
    </row>
    <row r="169">
      <c r="A169" s="138" t="s">
        <v>2237</v>
      </c>
      <c r="B169" s="134">
        <v>6675.0</v>
      </c>
      <c r="C169" s="31">
        <v>0.05</v>
      </c>
      <c r="D169" s="148">
        <v>0.85</v>
      </c>
      <c r="E169" s="83">
        <v>0.85</v>
      </c>
      <c r="F169" s="52"/>
      <c r="G169" s="10"/>
      <c r="H169" s="10"/>
      <c r="I169" s="10"/>
      <c r="J169" s="10"/>
      <c r="K169" s="10"/>
      <c r="L169" s="145" t="s">
        <v>2236</v>
      </c>
      <c r="M169" s="5">
        <v>6675.0</v>
      </c>
      <c r="N169" s="5" t="s">
        <v>2238</v>
      </c>
      <c r="O169" s="5">
        <v>6675.0</v>
      </c>
    </row>
    <row r="170">
      <c r="A170" s="138" t="s">
        <v>2239</v>
      </c>
      <c r="B170" s="134">
        <v>6983.0</v>
      </c>
      <c r="C170" s="31">
        <v>0.05</v>
      </c>
      <c r="D170" s="139">
        <v>0.64</v>
      </c>
      <c r="E170" s="139">
        <v>0.64</v>
      </c>
      <c r="F170" s="52"/>
      <c r="G170" s="10"/>
      <c r="H170" s="10"/>
      <c r="I170" s="10"/>
      <c r="J170" s="10"/>
      <c r="K170" s="10"/>
      <c r="L170" s="145" t="s">
        <v>2237</v>
      </c>
      <c r="M170" s="5">
        <v>6675.0</v>
      </c>
      <c r="N170" s="5" t="s">
        <v>2238</v>
      </c>
      <c r="O170" s="5">
        <v>6675.0</v>
      </c>
    </row>
    <row r="171">
      <c r="A171" s="138" t="s">
        <v>2240</v>
      </c>
      <c r="B171" s="134">
        <v>986.0</v>
      </c>
      <c r="C171" s="31">
        <v>0.05</v>
      </c>
      <c r="D171" s="139">
        <v>0.64</v>
      </c>
      <c r="E171" s="139">
        <v>0.64</v>
      </c>
      <c r="F171" s="52"/>
      <c r="G171" s="10"/>
      <c r="H171" s="10"/>
      <c r="I171" s="10"/>
      <c r="J171" s="10"/>
      <c r="K171" s="10"/>
      <c r="L171" s="143" t="s">
        <v>2239</v>
      </c>
      <c r="M171" s="144">
        <v>6983.0</v>
      </c>
      <c r="N171" s="144"/>
      <c r="O171" s="144"/>
    </row>
    <row r="172">
      <c r="A172" s="138" t="s">
        <v>2241</v>
      </c>
      <c r="B172" s="134">
        <v>986.0</v>
      </c>
      <c r="C172" s="31">
        <v>0.05</v>
      </c>
      <c r="D172" s="139">
        <v>0.64</v>
      </c>
      <c r="E172" s="139">
        <v>0.64</v>
      </c>
      <c r="F172" s="52"/>
      <c r="G172" s="10"/>
      <c r="H172" s="10"/>
      <c r="I172" s="10"/>
      <c r="J172" s="10"/>
      <c r="K172" s="10"/>
      <c r="L172" s="143" t="s">
        <v>2240</v>
      </c>
      <c r="M172" s="144">
        <v>986.0</v>
      </c>
      <c r="N172" s="144"/>
      <c r="O172" s="144"/>
    </row>
    <row r="173">
      <c r="A173" s="138" t="s">
        <v>2242</v>
      </c>
      <c r="B173" s="134">
        <v>986.0</v>
      </c>
      <c r="C173" s="31">
        <v>0.05</v>
      </c>
      <c r="D173" s="139">
        <v>0.64</v>
      </c>
      <c r="E173" s="139">
        <v>0.64</v>
      </c>
      <c r="F173" s="52"/>
      <c r="G173" s="10"/>
      <c r="H173" s="10"/>
      <c r="I173" s="10"/>
      <c r="J173" s="10"/>
      <c r="K173" s="10"/>
      <c r="L173" s="143" t="s">
        <v>2241</v>
      </c>
      <c r="M173" s="144">
        <v>986.0</v>
      </c>
      <c r="N173" s="144"/>
      <c r="O173" s="144"/>
    </row>
    <row r="174">
      <c r="A174" s="138" t="s">
        <v>2243</v>
      </c>
      <c r="B174" s="134">
        <v>986.0</v>
      </c>
      <c r="C174" s="31">
        <v>0.05</v>
      </c>
      <c r="D174" s="139">
        <v>0.64</v>
      </c>
      <c r="E174" s="139">
        <v>0.64</v>
      </c>
      <c r="F174" s="52"/>
      <c r="G174" s="10"/>
      <c r="H174" s="10"/>
      <c r="I174" s="10"/>
      <c r="J174" s="10"/>
      <c r="K174" s="10"/>
      <c r="L174" s="143" t="s">
        <v>2242</v>
      </c>
      <c r="M174" s="144">
        <v>986.0</v>
      </c>
      <c r="N174" s="144"/>
      <c r="O174" s="144"/>
    </row>
    <row r="175">
      <c r="A175" s="138" t="s">
        <v>2244</v>
      </c>
      <c r="B175" s="134">
        <v>986.0</v>
      </c>
      <c r="C175" s="31">
        <v>0.05</v>
      </c>
      <c r="D175" s="139">
        <v>0.64</v>
      </c>
      <c r="E175" s="139">
        <v>0.64</v>
      </c>
      <c r="F175" s="52"/>
      <c r="G175" s="10"/>
      <c r="H175" s="10"/>
      <c r="I175" s="10"/>
      <c r="J175" s="10"/>
      <c r="K175" s="10"/>
      <c r="L175" s="143" t="s">
        <v>2243</v>
      </c>
      <c r="M175" s="144">
        <v>986.0</v>
      </c>
      <c r="N175" s="144"/>
      <c r="O175" s="144"/>
    </row>
    <row r="176">
      <c r="A176" s="138" t="s">
        <v>2245</v>
      </c>
      <c r="B176" s="134">
        <v>6669.0</v>
      </c>
      <c r="C176" s="31">
        <v>0.05</v>
      </c>
      <c r="D176" s="139">
        <v>0.64</v>
      </c>
      <c r="E176" s="139">
        <v>0.64</v>
      </c>
      <c r="F176" s="52"/>
      <c r="G176" s="10"/>
      <c r="H176" s="10"/>
      <c r="I176" s="10"/>
      <c r="J176" s="10"/>
      <c r="K176" s="10"/>
      <c r="L176" s="143" t="s">
        <v>2244</v>
      </c>
      <c r="M176" s="144">
        <v>986.0</v>
      </c>
      <c r="N176" s="144"/>
      <c r="O176" s="144"/>
    </row>
    <row r="177">
      <c r="A177" s="138" t="s">
        <v>2246</v>
      </c>
      <c r="B177" s="134">
        <v>6669.0</v>
      </c>
      <c r="C177" s="31">
        <v>0.05</v>
      </c>
      <c r="D177" s="139">
        <v>0.64</v>
      </c>
      <c r="E177" s="139">
        <v>0.64</v>
      </c>
      <c r="F177" s="52"/>
      <c r="G177" s="10"/>
      <c r="H177" s="10"/>
      <c r="I177" s="10"/>
      <c r="J177" s="10"/>
      <c r="K177" s="10"/>
      <c r="L177" s="143" t="s">
        <v>2245</v>
      </c>
      <c r="M177" s="144">
        <v>6669.0</v>
      </c>
      <c r="N177" s="144"/>
      <c r="O177" s="144">
        <v>6669.0</v>
      </c>
    </row>
    <row r="178">
      <c r="A178" s="138" t="s">
        <v>2247</v>
      </c>
      <c r="B178" s="134">
        <v>986.0</v>
      </c>
      <c r="C178" s="31">
        <v>0.05</v>
      </c>
      <c r="D178" s="139">
        <v>0.64</v>
      </c>
      <c r="E178" s="139">
        <v>0.64</v>
      </c>
      <c r="F178" s="52"/>
      <c r="G178" s="10"/>
      <c r="H178" s="10"/>
      <c r="I178" s="10"/>
      <c r="J178" s="10"/>
      <c r="K178" s="10"/>
      <c r="L178" s="145" t="s">
        <v>2246</v>
      </c>
      <c r="M178" s="5">
        <v>6669.0</v>
      </c>
      <c r="N178" s="5"/>
      <c r="O178" s="5">
        <v>6669.0</v>
      </c>
    </row>
    <row r="179">
      <c r="A179" s="138" t="s">
        <v>2248</v>
      </c>
      <c r="B179" s="134">
        <v>986.0</v>
      </c>
      <c r="C179" s="31">
        <v>0.05</v>
      </c>
      <c r="D179" s="139">
        <v>0.64</v>
      </c>
      <c r="E179" s="139">
        <v>0.64</v>
      </c>
      <c r="F179" s="52"/>
      <c r="G179" s="10"/>
      <c r="H179" s="10"/>
      <c r="I179" s="10"/>
      <c r="J179" s="10"/>
      <c r="K179" s="10"/>
      <c r="L179" s="143" t="s">
        <v>2247</v>
      </c>
      <c r="M179" s="144">
        <v>986.0</v>
      </c>
      <c r="N179" s="144"/>
      <c r="O179" s="144"/>
    </row>
    <row r="180">
      <c r="A180" s="138" t="s">
        <v>2249</v>
      </c>
      <c r="B180" s="134">
        <v>986.0</v>
      </c>
      <c r="C180" s="31">
        <v>0.05</v>
      </c>
      <c r="D180" s="139">
        <v>0.64</v>
      </c>
      <c r="E180" s="139">
        <v>0.64</v>
      </c>
      <c r="F180" s="52"/>
      <c r="G180" s="10"/>
      <c r="H180" s="10"/>
      <c r="I180" s="10"/>
      <c r="J180" s="10"/>
      <c r="K180" s="10"/>
      <c r="L180" s="143" t="s">
        <v>2248</v>
      </c>
      <c r="M180" s="144">
        <v>986.0</v>
      </c>
      <c r="N180" s="144"/>
      <c r="O180" s="144"/>
    </row>
    <row r="181">
      <c r="A181" s="138" t="s">
        <v>2250</v>
      </c>
      <c r="B181" s="134">
        <v>499.0</v>
      </c>
      <c r="C181" s="31">
        <v>0.05</v>
      </c>
      <c r="D181" s="139">
        <v>0.64</v>
      </c>
      <c r="E181" s="139">
        <v>0.64</v>
      </c>
      <c r="F181" s="52"/>
      <c r="G181" s="10"/>
      <c r="H181" s="10"/>
      <c r="I181" s="10"/>
      <c r="J181" s="10"/>
      <c r="K181" s="10"/>
      <c r="L181" s="143" t="s">
        <v>2249</v>
      </c>
      <c r="M181" s="144">
        <v>986.0</v>
      </c>
      <c r="N181" s="144"/>
      <c r="O181" s="144"/>
    </row>
    <row r="182">
      <c r="A182" s="138" t="s">
        <v>2251</v>
      </c>
      <c r="B182" s="134">
        <v>986.0</v>
      </c>
      <c r="C182" s="31">
        <v>0.05</v>
      </c>
      <c r="D182" s="139">
        <v>0.64</v>
      </c>
      <c r="E182" s="139">
        <v>0.64</v>
      </c>
      <c r="F182" s="52"/>
      <c r="G182" s="10"/>
      <c r="H182" s="10"/>
      <c r="I182" s="10"/>
      <c r="J182" s="10"/>
      <c r="K182" s="10"/>
      <c r="L182" s="143" t="s">
        <v>2250</v>
      </c>
      <c r="M182" s="144">
        <v>499.0</v>
      </c>
      <c r="N182" s="144"/>
      <c r="O182" s="144"/>
    </row>
    <row r="183">
      <c r="A183" s="138" t="s">
        <v>2252</v>
      </c>
      <c r="B183" s="134">
        <v>986.0</v>
      </c>
      <c r="C183" s="31">
        <v>0.05</v>
      </c>
      <c r="D183" s="139">
        <v>0.64</v>
      </c>
      <c r="E183" s="139">
        <v>0.64</v>
      </c>
      <c r="F183" s="52"/>
      <c r="G183" s="10"/>
      <c r="H183" s="10"/>
      <c r="I183" s="10"/>
      <c r="J183" s="10"/>
      <c r="K183" s="10"/>
      <c r="L183" s="143" t="s">
        <v>2251</v>
      </c>
      <c r="M183" s="144">
        <v>986.0</v>
      </c>
      <c r="N183" s="144"/>
      <c r="O183" s="144"/>
    </row>
    <row r="184">
      <c r="A184" s="138" t="s">
        <v>2253</v>
      </c>
      <c r="B184" s="134">
        <v>986.0</v>
      </c>
      <c r="C184" s="31">
        <v>0.05</v>
      </c>
      <c r="D184" s="139">
        <v>0.64</v>
      </c>
      <c r="E184" s="139">
        <v>0.64</v>
      </c>
      <c r="F184" s="52"/>
      <c r="G184" s="10"/>
      <c r="H184" s="10"/>
      <c r="I184" s="10"/>
      <c r="J184" s="10"/>
      <c r="K184" s="10"/>
      <c r="L184" s="143" t="s">
        <v>2252</v>
      </c>
      <c r="M184" s="144">
        <v>986.0</v>
      </c>
      <c r="N184" s="144"/>
      <c r="O184" s="144"/>
    </row>
    <row r="185">
      <c r="A185" s="138" t="s">
        <v>2254</v>
      </c>
      <c r="B185" s="134">
        <v>9645.0</v>
      </c>
      <c r="C185" s="31">
        <v>0.05</v>
      </c>
      <c r="D185" s="139">
        <v>0.64</v>
      </c>
      <c r="E185" s="139">
        <v>0.64</v>
      </c>
      <c r="F185" s="52"/>
      <c r="G185" s="10"/>
      <c r="H185" s="10"/>
      <c r="I185" s="10"/>
      <c r="J185" s="10"/>
      <c r="K185" s="10"/>
      <c r="L185" s="143" t="s">
        <v>2253</v>
      </c>
      <c r="M185" s="144">
        <v>986.0</v>
      </c>
      <c r="N185" s="144"/>
      <c r="O185" s="144"/>
    </row>
    <row r="186">
      <c r="A186" s="138" t="s">
        <v>2255</v>
      </c>
      <c r="B186" s="134">
        <v>986.0</v>
      </c>
      <c r="C186" s="31">
        <v>0.05</v>
      </c>
      <c r="D186" s="139">
        <v>0.64</v>
      </c>
      <c r="E186" s="139">
        <v>0.64</v>
      </c>
      <c r="F186" s="52"/>
      <c r="G186" s="10"/>
      <c r="H186" s="10"/>
      <c r="I186" s="10"/>
      <c r="J186" s="10"/>
      <c r="K186" s="10"/>
      <c r="L186" s="145" t="s">
        <v>2254</v>
      </c>
      <c r="M186" s="5">
        <v>9645.0</v>
      </c>
      <c r="N186" s="5"/>
      <c r="O186" s="5"/>
    </row>
    <row r="187">
      <c r="A187" s="138" t="s">
        <v>2256</v>
      </c>
      <c r="B187" s="134">
        <v>6928.0</v>
      </c>
      <c r="C187" s="31">
        <v>0.05</v>
      </c>
      <c r="D187" s="139">
        <v>0.64</v>
      </c>
      <c r="E187" s="139">
        <v>0.64</v>
      </c>
      <c r="F187" s="52"/>
      <c r="G187" s="10"/>
      <c r="H187" s="10"/>
      <c r="I187" s="10"/>
      <c r="J187" s="10"/>
      <c r="K187" s="10"/>
      <c r="L187" s="143" t="s">
        <v>2255</v>
      </c>
      <c r="M187" s="144">
        <v>986.0</v>
      </c>
      <c r="N187" s="144"/>
      <c r="O187" s="144"/>
    </row>
    <row r="188">
      <c r="A188" s="138" t="s">
        <v>2257</v>
      </c>
      <c r="B188" s="134">
        <v>499.0</v>
      </c>
      <c r="C188" s="31">
        <v>0.05</v>
      </c>
      <c r="D188" s="139">
        <v>0.64</v>
      </c>
      <c r="E188" s="139">
        <v>0.64</v>
      </c>
      <c r="F188" s="52"/>
      <c r="G188" s="10"/>
      <c r="H188" s="10"/>
      <c r="I188" s="10"/>
      <c r="J188" s="10"/>
      <c r="K188" s="10"/>
      <c r="L188" s="143" t="s">
        <v>2256</v>
      </c>
      <c r="M188" s="144">
        <v>6928.0</v>
      </c>
      <c r="N188" s="144"/>
      <c r="O188" s="144"/>
    </row>
    <row r="189">
      <c r="A189" s="138" t="s">
        <v>2258</v>
      </c>
      <c r="B189" s="134">
        <v>986.0</v>
      </c>
      <c r="C189" s="31">
        <v>0.05</v>
      </c>
      <c r="D189" s="139">
        <v>0.64</v>
      </c>
      <c r="E189" s="139">
        <v>0.64</v>
      </c>
      <c r="F189" s="52"/>
      <c r="G189" s="10"/>
      <c r="H189" s="10"/>
      <c r="I189" s="10"/>
      <c r="J189" s="10"/>
      <c r="K189" s="10"/>
      <c r="L189" s="143" t="s">
        <v>2257</v>
      </c>
      <c r="M189" s="144">
        <v>499.0</v>
      </c>
      <c r="N189" s="144"/>
      <c r="O189" s="144"/>
    </row>
    <row r="190">
      <c r="A190" s="138" t="s">
        <v>2259</v>
      </c>
      <c r="B190" s="134">
        <v>986.0</v>
      </c>
      <c r="C190" s="31">
        <v>0.05</v>
      </c>
      <c r="D190" s="139">
        <v>0.64</v>
      </c>
      <c r="E190" s="139">
        <v>0.64</v>
      </c>
      <c r="F190" s="52"/>
      <c r="G190" s="10"/>
      <c r="H190" s="10"/>
      <c r="I190" s="10"/>
      <c r="J190" s="10"/>
      <c r="K190" s="10"/>
      <c r="L190" s="143" t="s">
        <v>2258</v>
      </c>
      <c r="M190" s="144">
        <v>986.0</v>
      </c>
      <c r="N190" s="144"/>
      <c r="O190" s="144"/>
    </row>
    <row r="191">
      <c r="A191" s="138" t="s">
        <v>2260</v>
      </c>
      <c r="B191" s="134">
        <v>986.0</v>
      </c>
      <c r="C191" s="31">
        <v>0.05</v>
      </c>
      <c r="D191" s="139">
        <v>0.64</v>
      </c>
      <c r="E191" s="139">
        <v>0.64</v>
      </c>
      <c r="F191" s="52"/>
      <c r="G191" s="10"/>
      <c r="H191" s="10"/>
      <c r="I191" s="10"/>
      <c r="J191" s="10"/>
      <c r="K191" s="10"/>
      <c r="L191" s="143" t="s">
        <v>2259</v>
      </c>
      <c r="M191" s="144">
        <v>986.0</v>
      </c>
      <c r="N191" s="144"/>
      <c r="O191" s="144"/>
    </row>
    <row r="192">
      <c r="A192" s="138" t="s">
        <v>2261</v>
      </c>
      <c r="B192" s="134">
        <v>986.0</v>
      </c>
      <c r="C192" s="31">
        <v>0.05</v>
      </c>
      <c r="D192" s="139">
        <v>0.64</v>
      </c>
      <c r="E192" s="139">
        <v>0.64</v>
      </c>
      <c r="F192" s="52"/>
      <c r="G192" s="10"/>
      <c r="H192" s="10"/>
      <c r="I192" s="10"/>
      <c r="J192" s="10"/>
      <c r="K192" s="10"/>
      <c r="L192" s="143" t="s">
        <v>2260</v>
      </c>
      <c r="M192" s="144">
        <v>986.0</v>
      </c>
      <c r="N192" s="144"/>
      <c r="O192" s="144"/>
    </row>
    <row r="193">
      <c r="A193" s="138" t="s">
        <v>2262</v>
      </c>
      <c r="B193" s="134">
        <v>986.0</v>
      </c>
      <c r="C193" s="31">
        <v>0.05</v>
      </c>
      <c r="D193" s="139">
        <v>0.64</v>
      </c>
      <c r="E193" s="139">
        <v>0.64</v>
      </c>
      <c r="F193" s="52"/>
      <c r="G193" s="10"/>
      <c r="H193" s="10"/>
      <c r="I193" s="10"/>
      <c r="J193" s="10"/>
      <c r="K193" s="10"/>
      <c r="L193" s="143" t="s">
        <v>2261</v>
      </c>
      <c r="M193" s="144">
        <v>986.0</v>
      </c>
      <c r="N193" s="144"/>
      <c r="O193" s="144"/>
    </row>
    <row r="194">
      <c r="A194" s="138" t="s">
        <v>2263</v>
      </c>
      <c r="B194" s="134">
        <v>986.0</v>
      </c>
      <c r="C194" s="31">
        <v>0.05</v>
      </c>
      <c r="D194" s="139">
        <v>0.64</v>
      </c>
      <c r="E194" s="139">
        <v>0.64</v>
      </c>
      <c r="F194" s="52"/>
      <c r="G194" s="10"/>
      <c r="H194" s="10"/>
      <c r="I194" s="10"/>
      <c r="J194" s="10"/>
      <c r="K194" s="10"/>
      <c r="L194" s="143" t="s">
        <v>2262</v>
      </c>
      <c r="M194" s="144">
        <v>986.0</v>
      </c>
      <c r="N194" s="144"/>
      <c r="O194" s="144"/>
    </row>
    <row r="195">
      <c r="A195" s="138" t="s">
        <v>2264</v>
      </c>
      <c r="B195" s="134">
        <v>986.0</v>
      </c>
      <c r="C195" s="31">
        <v>0.05</v>
      </c>
      <c r="D195" s="139">
        <v>0.64</v>
      </c>
      <c r="E195" s="139">
        <v>0.64</v>
      </c>
      <c r="F195" s="52"/>
      <c r="G195" s="10"/>
      <c r="H195" s="10"/>
      <c r="I195" s="10"/>
      <c r="J195" s="10"/>
      <c r="K195" s="10"/>
      <c r="L195" s="143" t="s">
        <v>2263</v>
      </c>
      <c r="M195" s="144">
        <v>986.0</v>
      </c>
      <c r="N195" s="144"/>
      <c r="O195" s="144"/>
    </row>
    <row r="196">
      <c r="A196" s="138" t="s">
        <v>2265</v>
      </c>
      <c r="B196" s="134">
        <v>663.0</v>
      </c>
      <c r="C196" s="31">
        <v>0.05</v>
      </c>
      <c r="D196" s="139">
        <v>0.64</v>
      </c>
      <c r="E196" s="139">
        <v>0.64</v>
      </c>
      <c r="F196" s="52"/>
      <c r="G196" s="10"/>
      <c r="H196" s="10"/>
      <c r="I196" s="10"/>
      <c r="J196" s="10"/>
      <c r="K196" s="10"/>
      <c r="L196" s="143" t="s">
        <v>2264</v>
      </c>
      <c r="M196" s="144">
        <v>986.0</v>
      </c>
      <c r="N196" s="144"/>
      <c r="O196" s="144"/>
    </row>
    <row r="197">
      <c r="A197" s="138" t="s">
        <v>2266</v>
      </c>
      <c r="B197" s="134">
        <v>986.0</v>
      </c>
      <c r="C197" s="31">
        <v>0.05</v>
      </c>
      <c r="D197" s="139">
        <v>0.64</v>
      </c>
      <c r="E197" s="139">
        <v>0.64</v>
      </c>
      <c r="F197" s="52"/>
      <c r="G197" s="10"/>
      <c r="H197" s="10"/>
      <c r="I197" s="10"/>
      <c r="J197" s="10"/>
      <c r="K197" s="10"/>
      <c r="L197" s="145" t="s">
        <v>2265</v>
      </c>
      <c r="M197" s="5">
        <v>663.0</v>
      </c>
      <c r="N197" s="5"/>
      <c r="O197" s="5">
        <v>663.0</v>
      </c>
    </row>
    <row r="198">
      <c r="A198" s="138" t="s">
        <v>2267</v>
      </c>
      <c r="B198" s="134">
        <v>986.0</v>
      </c>
      <c r="C198" s="31">
        <v>0.05</v>
      </c>
      <c r="D198" s="139">
        <v>0.64</v>
      </c>
      <c r="E198" s="139">
        <v>0.64</v>
      </c>
      <c r="F198" s="52"/>
      <c r="G198" s="10"/>
      <c r="H198" s="10"/>
      <c r="I198" s="10"/>
      <c r="J198" s="10"/>
      <c r="K198" s="10"/>
      <c r="L198" s="143" t="s">
        <v>2266</v>
      </c>
      <c r="M198" s="144">
        <v>986.0</v>
      </c>
      <c r="N198" s="144"/>
      <c r="O198" s="144"/>
    </row>
    <row r="199">
      <c r="A199" s="138" t="s">
        <v>2268</v>
      </c>
      <c r="B199" s="134">
        <v>7747.0</v>
      </c>
      <c r="C199" s="31">
        <v>0.05</v>
      </c>
      <c r="D199" s="139">
        <v>0.64</v>
      </c>
      <c r="E199" s="139">
        <v>0.64</v>
      </c>
      <c r="F199" s="52"/>
      <c r="G199" s="10"/>
      <c r="H199" s="10"/>
      <c r="I199" s="10"/>
      <c r="J199" s="10"/>
      <c r="K199" s="10"/>
      <c r="L199" s="143" t="s">
        <v>2267</v>
      </c>
      <c r="M199" s="144">
        <v>986.0</v>
      </c>
      <c r="N199" s="144"/>
      <c r="O199" s="144"/>
    </row>
    <row r="200">
      <c r="A200" s="138" t="s">
        <v>2269</v>
      </c>
      <c r="B200" s="134">
        <v>986.0</v>
      </c>
      <c r="C200" s="31">
        <v>0.05</v>
      </c>
      <c r="D200" s="139">
        <v>0.64</v>
      </c>
      <c r="E200" s="139">
        <v>0.64</v>
      </c>
      <c r="F200" s="52"/>
      <c r="G200" s="10"/>
      <c r="H200" s="10"/>
      <c r="I200" s="10"/>
      <c r="J200" s="10"/>
      <c r="K200" s="10"/>
      <c r="L200" s="143" t="s">
        <v>2268</v>
      </c>
      <c r="M200" s="144">
        <v>7747.0</v>
      </c>
      <c r="N200" s="144"/>
      <c r="O200" s="144"/>
    </row>
    <row r="201">
      <c r="A201" s="138" t="s">
        <v>2270</v>
      </c>
      <c r="B201" s="134">
        <v>986.0</v>
      </c>
      <c r="C201" s="31">
        <v>0.05</v>
      </c>
      <c r="D201" s="139">
        <v>0.64</v>
      </c>
      <c r="E201" s="139">
        <v>0.64</v>
      </c>
      <c r="F201" s="52"/>
      <c r="G201" s="10"/>
      <c r="H201" s="10"/>
      <c r="I201" s="10"/>
      <c r="J201" s="10"/>
      <c r="K201" s="10"/>
      <c r="L201" s="143" t="s">
        <v>2269</v>
      </c>
      <c r="M201" s="144">
        <v>986.0</v>
      </c>
      <c r="N201" s="144"/>
      <c r="O201" s="144"/>
    </row>
    <row r="202">
      <c r="A202" s="138" t="s">
        <v>2271</v>
      </c>
      <c r="B202" s="134">
        <v>986.0</v>
      </c>
      <c r="C202" s="31">
        <v>0.05</v>
      </c>
      <c r="D202" s="139">
        <v>0.64</v>
      </c>
      <c r="E202" s="139">
        <v>0.64</v>
      </c>
      <c r="F202" s="52"/>
      <c r="G202" s="10"/>
      <c r="H202" s="10"/>
      <c r="I202" s="10"/>
      <c r="J202" s="10"/>
      <c r="K202" s="10"/>
      <c r="L202" s="143" t="s">
        <v>2270</v>
      </c>
      <c r="M202" s="144">
        <v>986.0</v>
      </c>
      <c r="N202" s="144"/>
      <c r="O202" s="144"/>
    </row>
    <row r="203">
      <c r="A203" s="138" t="s">
        <v>2272</v>
      </c>
      <c r="B203" s="134">
        <v>986.0</v>
      </c>
      <c r="C203" s="31">
        <v>0.05</v>
      </c>
      <c r="D203" s="139">
        <v>0.64</v>
      </c>
      <c r="E203" s="139">
        <v>0.64</v>
      </c>
      <c r="F203" s="52"/>
      <c r="G203" s="10"/>
      <c r="H203" s="10"/>
      <c r="I203" s="10"/>
      <c r="J203" s="10"/>
      <c r="K203" s="10"/>
      <c r="L203" s="143" t="s">
        <v>2271</v>
      </c>
      <c r="M203" s="144">
        <v>986.0</v>
      </c>
      <c r="N203" s="144"/>
      <c r="O203" s="144"/>
    </row>
    <row r="204">
      <c r="A204" s="138" t="s">
        <v>2273</v>
      </c>
      <c r="B204" s="134">
        <v>986.0</v>
      </c>
      <c r="C204" s="31">
        <v>0.05</v>
      </c>
      <c r="D204" s="139">
        <v>0.64</v>
      </c>
      <c r="E204" s="139">
        <v>0.64</v>
      </c>
      <c r="F204" s="52"/>
      <c r="G204" s="10"/>
      <c r="H204" s="10"/>
      <c r="I204" s="10"/>
      <c r="J204" s="10"/>
      <c r="K204" s="10"/>
      <c r="L204" s="143" t="s">
        <v>2272</v>
      </c>
      <c r="M204" s="144">
        <v>986.0</v>
      </c>
      <c r="N204" s="144"/>
      <c r="O204" s="144"/>
    </row>
    <row r="205">
      <c r="A205" s="138" t="s">
        <v>2274</v>
      </c>
      <c r="B205" s="134">
        <v>6924.0</v>
      </c>
      <c r="C205" s="31">
        <v>0.05</v>
      </c>
      <c r="D205" s="139">
        <v>0.64</v>
      </c>
      <c r="E205" s="139">
        <v>0.64</v>
      </c>
      <c r="F205" s="52"/>
      <c r="G205" s="10"/>
      <c r="H205" s="10"/>
      <c r="I205" s="10"/>
      <c r="J205" s="10"/>
      <c r="K205" s="10"/>
      <c r="L205" s="143" t="s">
        <v>2273</v>
      </c>
      <c r="M205" s="144">
        <v>986.0</v>
      </c>
      <c r="N205" s="144"/>
      <c r="O205" s="144"/>
    </row>
    <row r="206">
      <c r="A206" s="138" t="s">
        <v>2275</v>
      </c>
      <c r="B206" s="134">
        <v>986.0</v>
      </c>
      <c r="C206" s="31">
        <v>0.05</v>
      </c>
      <c r="D206" s="139">
        <v>0.64</v>
      </c>
      <c r="E206" s="139">
        <v>0.64</v>
      </c>
      <c r="F206" s="52"/>
      <c r="G206" s="10"/>
      <c r="H206" s="10"/>
      <c r="I206" s="10"/>
      <c r="J206" s="10"/>
      <c r="K206" s="10"/>
      <c r="L206" s="145" t="s">
        <v>2274</v>
      </c>
      <c r="M206" s="5">
        <v>6924.0</v>
      </c>
      <c r="N206" s="5"/>
      <c r="O206" s="5"/>
    </row>
    <row r="207">
      <c r="A207" s="138" t="s">
        <v>2276</v>
      </c>
      <c r="B207" s="134">
        <v>986.0</v>
      </c>
      <c r="C207" s="31">
        <v>0.05</v>
      </c>
      <c r="D207" s="139">
        <v>0.64</v>
      </c>
      <c r="E207" s="139">
        <v>0.64</v>
      </c>
      <c r="F207" s="52"/>
      <c r="G207" s="10"/>
      <c r="H207" s="10"/>
      <c r="I207" s="10"/>
      <c r="J207" s="10"/>
      <c r="K207" s="10"/>
      <c r="L207" s="145" t="s">
        <v>2275</v>
      </c>
      <c r="M207" s="5">
        <v>986.0</v>
      </c>
      <c r="N207" s="5"/>
      <c r="O207" s="5"/>
    </row>
    <row r="208">
      <c r="A208" s="138" t="s">
        <v>1326</v>
      </c>
      <c r="B208" s="134">
        <v>986.0</v>
      </c>
      <c r="C208" s="31">
        <v>0.05</v>
      </c>
      <c r="D208" s="139">
        <v>0.64</v>
      </c>
      <c r="E208" s="139">
        <v>0.64</v>
      </c>
      <c r="F208" s="52"/>
      <c r="G208" s="10"/>
      <c r="H208" s="10"/>
      <c r="I208" s="10"/>
      <c r="J208" s="10"/>
      <c r="K208" s="10"/>
      <c r="L208" s="143" t="s">
        <v>2276</v>
      </c>
      <c r="M208" s="144">
        <v>986.0</v>
      </c>
      <c r="N208" s="144"/>
      <c r="O208" s="144"/>
    </row>
    <row r="209">
      <c r="A209" s="138" t="s">
        <v>2277</v>
      </c>
      <c r="B209" s="134">
        <v>986.0</v>
      </c>
      <c r="C209" s="31">
        <v>0.05</v>
      </c>
      <c r="D209" s="139">
        <v>0.64</v>
      </c>
      <c r="E209" s="139">
        <v>0.64</v>
      </c>
      <c r="F209" s="52"/>
      <c r="G209" s="10"/>
      <c r="H209" s="10"/>
      <c r="I209" s="10"/>
      <c r="J209" s="10"/>
      <c r="K209" s="10"/>
      <c r="L209" s="143" t="s">
        <v>1326</v>
      </c>
      <c r="M209" s="144">
        <v>986.0</v>
      </c>
      <c r="N209" s="144"/>
      <c r="O209" s="144"/>
    </row>
    <row r="210">
      <c r="A210" s="138" t="s">
        <v>2278</v>
      </c>
      <c r="B210" s="134">
        <v>986.0</v>
      </c>
      <c r="C210" s="31">
        <v>0.05</v>
      </c>
      <c r="D210" s="139">
        <v>0.64</v>
      </c>
      <c r="E210" s="139">
        <v>0.64</v>
      </c>
      <c r="F210" s="52"/>
      <c r="G210" s="10"/>
      <c r="H210" s="10"/>
      <c r="I210" s="10"/>
      <c r="J210" s="10"/>
      <c r="K210" s="10"/>
      <c r="L210" s="143" t="s">
        <v>2277</v>
      </c>
      <c r="M210" s="144">
        <v>986.0</v>
      </c>
      <c r="N210" s="144"/>
      <c r="O210" s="144"/>
    </row>
    <row r="211">
      <c r="A211" s="138" t="s">
        <v>2279</v>
      </c>
      <c r="B211" s="134">
        <v>986.0</v>
      </c>
      <c r="C211" s="31">
        <v>0.05</v>
      </c>
      <c r="D211" s="139">
        <v>0.64</v>
      </c>
      <c r="E211" s="139">
        <v>0.64</v>
      </c>
      <c r="F211" s="52"/>
      <c r="G211" s="10"/>
      <c r="H211" s="10"/>
      <c r="I211" s="10"/>
      <c r="J211" s="10"/>
      <c r="K211" s="10"/>
      <c r="L211" s="143" t="s">
        <v>2278</v>
      </c>
      <c r="M211" s="144">
        <v>986.0</v>
      </c>
      <c r="N211" s="144"/>
      <c r="O211" s="144"/>
    </row>
    <row r="212">
      <c r="A212" s="138" t="s">
        <v>2280</v>
      </c>
      <c r="B212" s="134">
        <v>986.0</v>
      </c>
      <c r="C212" s="31">
        <v>0.05</v>
      </c>
      <c r="D212" s="139">
        <v>0.64</v>
      </c>
      <c r="E212" s="139">
        <v>0.64</v>
      </c>
      <c r="F212" s="52"/>
      <c r="G212" s="10"/>
      <c r="H212" s="10"/>
      <c r="I212" s="10"/>
      <c r="J212" s="10"/>
      <c r="K212" s="10"/>
      <c r="L212" s="143" t="s">
        <v>2279</v>
      </c>
      <c r="M212" s="144">
        <v>986.0</v>
      </c>
      <c r="N212" s="144"/>
      <c r="O212" s="144"/>
    </row>
    <row r="213">
      <c r="A213" s="138" t="s">
        <v>2281</v>
      </c>
      <c r="B213" s="134">
        <v>136.0</v>
      </c>
      <c r="C213" s="31">
        <v>0.05</v>
      </c>
      <c r="D213" s="139">
        <v>0.64</v>
      </c>
      <c r="E213" s="139">
        <v>0.64</v>
      </c>
      <c r="F213" s="52"/>
      <c r="G213" s="10"/>
      <c r="H213" s="10"/>
      <c r="I213" s="10"/>
      <c r="J213" s="10"/>
      <c r="K213" s="10"/>
      <c r="L213" s="143" t="s">
        <v>2280</v>
      </c>
      <c r="M213" s="144">
        <v>986.0</v>
      </c>
      <c r="N213" s="144"/>
      <c r="O213" s="144"/>
    </row>
    <row r="214">
      <c r="A214" s="138" t="s">
        <v>1307</v>
      </c>
      <c r="B214" s="134">
        <v>986.0</v>
      </c>
      <c r="C214" s="31">
        <v>0.05</v>
      </c>
      <c r="D214" s="139">
        <v>0.64</v>
      </c>
      <c r="E214" s="139">
        <v>0.64</v>
      </c>
      <c r="F214" s="52"/>
      <c r="G214" s="10"/>
      <c r="H214" s="10"/>
      <c r="I214" s="10"/>
      <c r="J214" s="10"/>
      <c r="K214" s="10"/>
      <c r="L214" s="143" t="s">
        <v>2281</v>
      </c>
      <c r="M214" s="144">
        <v>136.0</v>
      </c>
      <c r="N214" s="144"/>
      <c r="O214" s="144"/>
    </row>
    <row r="215">
      <c r="A215" s="138" t="s">
        <v>2282</v>
      </c>
      <c r="B215" s="134">
        <v>499.0</v>
      </c>
      <c r="C215" s="31">
        <v>0.05</v>
      </c>
      <c r="D215" s="139">
        <v>0.64</v>
      </c>
      <c r="E215" s="139">
        <v>0.64</v>
      </c>
      <c r="F215" s="52"/>
      <c r="G215" s="10"/>
      <c r="H215" s="10"/>
      <c r="I215" s="10"/>
      <c r="J215" s="10"/>
      <c r="K215" s="10"/>
      <c r="L215" s="143" t="s">
        <v>1307</v>
      </c>
      <c r="M215" s="144">
        <v>986.0</v>
      </c>
      <c r="N215" s="144"/>
      <c r="O215" s="144"/>
    </row>
    <row r="216">
      <c r="A216" s="138" t="s">
        <v>2283</v>
      </c>
      <c r="B216" s="134">
        <v>6944.0</v>
      </c>
      <c r="C216" s="31">
        <v>0.05</v>
      </c>
      <c r="D216" s="139">
        <v>0.64</v>
      </c>
      <c r="E216" s="139">
        <v>0.64</v>
      </c>
      <c r="F216" s="52"/>
      <c r="G216" s="10"/>
      <c r="H216" s="10"/>
      <c r="I216" s="10"/>
      <c r="J216" s="10"/>
      <c r="K216" s="10"/>
      <c r="L216" s="143" t="s">
        <v>2282</v>
      </c>
      <c r="M216" s="144">
        <v>499.0</v>
      </c>
      <c r="N216" s="144"/>
      <c r="O216" s="144"/>
    </row>
    <row r="217">
      <c r="A217" s="138" t="s">
        <v>2284</v>
      </c>
      <c r="B217" s="134">
        <v>6949.0</v>
      </c>
      <c r="C217" s="31">
        <v>0.05</v>
      </c>
      <c r="D217" s="139">
        <v>0.64</v>
      </c>
      <c r="E217" s="139">
        <v>0.64</v>
      </c>
      <c r="F217" s="52"/>
      <c r="G217" s="10"/>
      <c r="H217" s="10"/>
      <c r="I217" s="10"/>
      <c r="J217" s="10"/>
      <c r="K217" s="10"/>
      <c r="L217" s="143" t="s">
        <v>2283</v>
      </c>
      <c r="M217" s="144">
        <v>6944.0</v>
      </c>
      <c r="N217" s="144"/>
      <c r="O217" s="144"/>
    </row>
    <row r="218">
      <c r="A218" s="138" t="s">
        <v>2285</v>
      </c>
      <c r="B218" s="134">
        <v>6949.0</v>
      </c>
      <c r="C218" s="31">
        <v>0.05</v>
      </c>
      <c r="D218" s="139">
        <v>0.64</v>
      </c>
      <c r="E218" s="139">
        <v>0.64</v>
      </c>
      <c r="F218" s="52"/>
      <c r="G218" s="10"/>
      <c r="H218" s="10"/>
      <c r="I218" s="10"/>
      <c r="J218" s="10"/>
      <c r="K218" s="10"/>
      <c r="L218" s="143" t="s">
        <v>2284</v>
      </c>
      <c r="M218" s="144">
        <v>6949.0</v>
      </c>
      <c r="N218" s="144"/>
      <c r="O218" s="144"/>
    </row>
    <row r="219">
      <c r="A219" s="138" t="s">
        <v>2286</v>
      </c>
      <c r="B219" s="134">
        <v>986.0</v>
      </c>
      <c r="C219" s="31">
        <v>0.05</v>
      </c>
      <c r="D219" s="139">
        <v>0.64</v>
      </c>
      <c r="E219" s="139">
        <v>0.64</v>
      </c>
      <c r="F219" s="52"/>
      <c r="G219" s="10"/>
      <c r="H219" s="10"/>
      <c r="I219" s="10"/>
      <c r="J219" s="10"/>
      <c r="K219" s="10"/>
      <c r="L219" s="143" t="s">
        <v>2285</v>
      </c>
      <c r="M219" s="144">
        <v>6949.0</v>
      </c>
      <c r="N219" s="144"/>
      <c r="O219" s="144"/>
    </row>
    <row r="220">
      <c r="A220" s="138" t="s">
        <v>2287</v>
      </c>
      <c r="B220" s="134">
        <v>6949.0</v>
      </c>
      <c r="C220" s="31">
        <v>0.05</v>
      </c>
      <c r="D220" s="139">
        <v>0.64</v>
      </c>
      <c r="E220" s="139">
        <v>0.64</v>
      </c>
      <c r="F220" s="52"/>
      <c r="G220" s="10"/>
      <c r="H220" s="10"/>
      <c r="I220" s="10"/>
      <c r="J220" s="10"/>
      <c r="K220" s="10"/>
      <c r="L220" s="145" t="s">
        <v>2286</v>
      </c>
      <c r="M220" s="5">
        <v>986.0</v>
      </c>
      <c r="N220" s="5"/>
      <c r="O220" s="5"/>
    </row>
    <row r="221">
      <c r="A221" s="138" t="s">
        <v>2288</v>
      </c>
      <c r="B221" s="134">
        <v>7157.0</v>
      </c>
      <c r="C221" s="31">
        <v>0.05</v>
      </c>
      <c r="D221" s="139">
        <v>0.64</v>
      </c>
      <c r="E221" s="139">
        <v>0.64</v>
      </c>
      <c r="F221" s="52"/>
      <c r="G221" s="10"/>
      <c r="H221" s="10"/>
      <c r="I221" s="10"/>
      <c r="J221" s="10"/>
      <c r="K221" s="10"/>
      <c r="L221" s="143" t="s">
        <v>2287</v>
      </c>
      <c r="M221" s="144">
        <v>6949.0</v>
      </c>
      <c r="N221" s="144"/>
      <c r="O221" s="144"/>
    </row>
    <row r="222">
      <c r="A222" s="138" t="s">
        <v>2289</v>
      </c>
      <c r="B222" s="134">
        <v>10141.0</v>
      </c>
      <c r="C222" s="31">
        <v>0.05</v>
      </c>
      <c r="D222" s="139">
        <v>0.64</v>
      </c>
      <c r="E222" s="139">
        <v>0.64</v>
      </c>
      <c r="F222" s="52"/>
      <c r="G222" s="10"/>
      <c r="H222" s="10"/>
      <c r="I222" s="10"/>
      <c r="J222" s="10"/>
      <c r="K222" s="10"/>
      <c r="L222" s="145" t="s">
        <v>2288</v>
      </c>
      <c r="M222" s="5">
        <v>7157.0</v>
      </c>
      <c r="N222" s="5"/>
      <c r="O222" s="5"/>
    </row>
    <row r="223">
      <c r="A223" s="138" t="s">
        <v>2290</v>
      </c>
      <c r="B223" s="134">
        <v>6965.0</v>
      </c>
      <c r="C223" s="31">
        <v>0.05</v>
      </c>
      <c r="D223" s="139">
        <v>0.64</v>
      </c>
      <c r="E223" s="139">
        <v>0.64</v>
      </c>
      <c r="F223" s="52"/>
      <c r="G223" s="10"/>
      <c r="H223" s="10"/>
      <c r="I223" s="10"/>
      <c r="J223" s="10"/>
      <c r="K223" s="10"/>
      <c r="L223" s="143" t="s">
        <v>2289</v>
      </c>
      <c r="M223" s="144">
        <v>10141.0</v>
      </c>
      <c r="N223" s="144"/>
      <c r="O223" s="144"/>
    </row>
    <row r="224">
      <c r="A224" s="138" t="s">
        <v>2291</v>
      </c>
      <c r="B224" s="134">
        <v>7246.0</v>
      </c>
      <c r="C224" s="31">
        <v>0.05</v>
      </c>
      <c r="D224" s="139">
        <v>0.64</v>
      </c>
      <c r="E224" s="139">
        <v>0.64</v>
      </c>
      <c r="F224" s="52"/>
      <c r="G224" s="10"/>
      <c r="H224" s="10"/>
      <c r="I224" s="10"/>
      <c r="J224" s="10"/>
      <c r="K224" s="10"/>
      <c r="L224" s="143" t="s">
        <v>2290</v>
      </c>
      <c r="M224" s="144">
        <v>6965.0</v>
      </c>
      <c r="N224" s="144"/>
      <c r="O224" s="144"/>
    </row>
    <row r="225">
      <c r="A225" s="138" t="s">
        <v>2292</v>
      </c>
      <c r="B225" s="134">
        <v>6891.0</v>
      </c>
      <c r="C225" s="31">
        <v>0.05</v>
      </c>
      <c r="D225" s="139">
        <v>0.64</v>
      </c>
      <c r="E225" s="139">
        <v>0.64</v>
      </c>
      <c r="F225" s="52"/>
      <c r="G225" s="10"/>
      <c r="H225" s="10"/>
      <c r="I225" s="10"/>
      <c r="J225" s="10"/>
      <c r="K225" s="10"/>
      <c r="L225" s="143" t="s">
        <v>2291</v>
      </c>
      <c r="M225" s="144">
        <v>7246.0</v>
      </c>
      <c r="N225" s="144"/>
      <c r="O225" s="144">
        <v>7246.0</v>
      </c>
    </row>
    <row r="226">
      <c r="A226" s="138" t="s">
        <v>2293</v>
      </c>
      <c r="B226" s="134">
        <v>6750.0</v>
      </c>
      <c r="C226" s="31">
        <v>0.05</v>
      </c>
      <c r="D226" s="139">
        <v>0.64</v>
      </c>
      <c r="E226" s="139">
        <v>0.64</v>
      </c>
      <c r="F226" s="52"/>
      <c r="G226" s="10"/>
      <c r="H226" s="10"/>
      <c r="I226" s="10"/>
      <c r="J226" s="10"/>
      <c r="K226" s="10"/>
      <c r="L226" s="143" t="s">
        <v>2292</v>
      </c>
      <c r="M226" s="144">
        <v>6891.0</v>
      </c>
      <c r="N226" s="144"/>
      <c r="O226" s="144"/>
    </row>
    <row r="227">
      <c r="A227" s="138" t="s">
        <v>2294</v>
      </c>
      <c r="B227" s="134">
        <v>6998.0</v>
      </c>
      <c r="C227" s="31">
        <v>0.05</v>
      </c>
      <c r="D227" s="139">
        <v>0.64</v>
      </c>
      <c r="E227" s="139">
        <v>0.64</v>
      </c>
      <c r="F227" s="52"/>
      <c r="G227" s="10"/>
      <c r="H227" s="10"/>
      <c r="I227" s="10"/>
      <c r="J227" s="10"/>
      <c r="K227" s="10"/>
      <c r="L227" s="143" t="s">
        <v>2293</v>
      </c>
      <c r="M227" s="144">
        <v>6750.0</v>
      </c>
      <c r="N227" s="144"/>
      <c r="O227" s="144"/>
    </row>
    <row r="228">
      <c r="A228" s="138" t="s">
        <v>2295</v>
      </c>
      <c r="B228" s="134">
        <v>1360.0</v>
      </c>
      <c r="C228" s="31">
        <v>0.05</v>
      </c>
      <c r="D228" s="139">
        <v>0.64</v>
      </c>
      <c r="E228" s="139">
        <v>0.64</v>
      </c>
      <c r="F228" s="52"/>
      <c r="G228" s="10"/>
      <c r="H228" s="10"/>
      <c r="I228" s="10"/>
      <c r="J228" s="10"/>
      <c r="K228" s="10"/>
      <c r="L228" s="143" t="s">
        <v>2294</v>
      </c>
      <c r="M228" s="144">
        <v>6998.0</v>
      </c>
      <c r="N228" s="144"/>
      <c r="O228" s="144"/>
    </row>
    <row r="229">
      <c r="A229" s="138" t="s">
        <v>2296</v>
      </c>
      <c r="B229" s="134">
        <v>6727.0</v>
      </c>
      <c r="C229" s="31">
        <v>0.05</v>
      </c>
      <c r="D229" s="139">
        <v>0.64</v>
      </c>
      <c r="E229" s="139">
        <v>0.64</v>
      </c>
      <c r="F229" s="52"/>
      <c r="G229" s="10"/>
      <c r="H229" s="10"/>
      <c r="I229" s="10"/>
      <c r="J229" s="10"/>
      <c r="K229" s="10"/>
      <c r="L229" s="143" t="s">
        <v>2295</v>
      </c>
      <c r="M229" s="144">
        <v>1360.0</v>
      </c>
      <c r="N229" s="144"/>
      <c r="O229" s="144"/>
    </row>
    <row r="230">
      <c r="A230" s="138" t="s">
        <v>2297</v>
      </c>
      <c r="B230" s="134">
        <v>6727.0</v>
      </c>
      <c r="C230" s="31">
        <v>0.05</v>
      </c>
      <c r="D230" s="139">
        <v>0.64</v>
      </c>
      <c r="E230" s="139">
        <v>0.64</v>
      </c>
      <c r="F230" s="52"/>
      <c r="G230" s="10"/>
      <c r="H230" s="10"/>
      <c r="I230" s="10"/>
      <c r="J230" s="10"/>
      <c r="K230" s="10"/>
      <c r="L230" s="143" t="s">
        <v>2296</v>
      </c>
      <c r="M230" s="144">
        <v>6727.0</v>
      </c>
      <c r="N230" s="144"/>
      <c r="O230" s="144"/>
    </row>
    <row r="231">
      <c r="A231" s="138" t="s">
        <v>2298</v>
      </c>
      <c r="B231" s="134">
        <v>6727.0</v>
      </c>
      <c r="C231" s="31">
        <v>0.05</v>
      </c>
      <c r="D231" s="139">
        <v>0.64</v>
      </c>
      <c r="E231" s="139">
        <v>0.64</v>
      </c>
      <c r="F231" s="52"/>
      <c r="G231" s="10"/>
      <c r="H231" s="10"/>
      <c r="I231" s="10"/>
      <c r="J231" s="10"/>
      <c r="K231" s="10"/>
      <c r="L231" s="143" t="s">
        <v>2297</v>
      </c>
      <c r="M231" s="144">
        <v>6727.0</v>
      </c>
      <c r="N231" s="144"/>
      <c r="O231" s="144"/>
    </row>
    <row r="232">
      <c r="A232" s="138" t="s">
        <v>2299</v>
      </c>
      <c r="B232" s="134">
        <v>6727.0</v>
      </c>
      <c r="C232" s="31">
        <v>0.05</v>
      </c>
      <c r="D232" s="139">
        <v>0.64</v>
      </c>
      <c r="E232" s="139">
        <v>0.64</v>
      </c>
      <c r="F232" s="52"/>
      <c r="G232" s="10"/>
      <c r="H232" s="10"/>
      <c r="I232" s="10"/>
      <c r="J232" s="10"/>
      <c r="K232" s="10"/>
      <c r="L232" s="143" t="s">
        <v>2298</v>
      </c>
      <c r="M232" s="144">
        <v>6727.0</v>
      </c>
      <c r="N232" s="144"/>
      <c r="O232" s="144"/>
    </row>
    <row r="233">
      <c r="A233" s="138" t="s">
        <v>2300</v>
      </c>
      <c r="B233" s="134">
        <v>6727.0</v>
      </c>
      <c r="C233" s="31">
        <v>0.05</v>
      </c>
      <c r="D233" s="139">
        <v>0.64</v>
      </c>
      <c r="E233" s="139">
        <v>0.64</v>
      </c>
      <c r="F233" s="52"/>
      <c r="G233" s="10"/>
      <c r="H233" s="10"/>
      <c r="I233" s="10"/>
      <c r="J233" s="10"/>
      <c r="K233" s="10"/>
      <c r="L233" s="143" t="s">
        <v>2299</v>
      </c>
      <c r="M233" s="144">
        <v>6727.0</v>
      </c>
      <c r="N233" s="144"/>
      <c r="O233" s="144"/>
    </row>
    <row r="234">
      <c r="A234" s="138" t="s">
        <v>2301</v>
      </c>
      <c r="B234" s="134">
        <v>6727.0</v>
      </c>
      <c r="C234" s="31">
        <v>0.05</v>
      </c>
      <c r="D234" s="139">
        <v>0.64</v>
      </c>
      <c r="E234" s="139">
        <v>0.64</v>
      </c>
      <c r="F234" s="52"/>
      <c r="G234" s="10"/>
      <c r="H234" s="10"/>
      <c r="I234" s="10"/>
      <c r="J234" s="10"/>
      <c r="K234" s="10"/>
      <c r="L234" s="143" t="s">
        <v>2300</v>
      </c>
      <c r="M234" s="144">
        <v>6727.0</v>
      </c>
      <c r="N234" s="144"/>
      <c r="O234" s="144"/>
    </row>
    <row r="235">
      <c r="A235" s="138" t="s">
        <v>2302</v>
      </c>
      <c r="B235" s="134">
        <v>6727.0</v>
      </c>
      <c r="C235" s="31">
        <v>0.05</v>
      </c>
      <c r="D235" s="139">
        <v>0.64</v>
      </c>
      <c r="E235" s="139">
        <v>0.64</v>
      </c>
      <c r="F235" s="52"/>
      <c r="G235" s="10"/>
      <c r="H235" s="10"/>
      <c r="I235" s="10"/>
      <c r="J235" s="10"/>
      <c r="K235" s="10"/>
      <c r="L235" s="143" t="s">
        <v>2301</v>
      </c>
      <c r="M235" s="144">
        <v>6727.0</v>
      </c>
      <c r="N235" s="144"/>
      <c r="O235" s="144"/>
    </row>
    <row r="236">
      <c r="A236" s="138" t="s">
        <v>2303</v>
      </c>
      <c r="B236" s="134">
        <v>6727.0</v>
      </c>
      <c r="C236" s="31">
        <v>0.05</v>
      </c>
      <c r="D236" s="139">
        <v>0.64</v>
      </c>
      <c r="E236" s="139">
        <v>0.64</v>
      </c>
      <c r="F236" s="52"/>
      <c r="G236" s="10"/>
      <c r="H236" s="10"/>
      <c r="I236" s="10"/>
      <c r="J236" s="10"/>
      <c r="K236" s="10"/>
      <c r="L236" s="143" t="s">
        <v>2302</v>
      </c>
      <c r="M236" s="144">
        <v>6727.0</v>
      </c>
      <c r="N236" s="144"/>
      <c r="O236" s="144"/>
    </row>
    <row r="237">
      <c r="A237" s="138" t="s">
        <v>2304</v>
      </c>
      <c r="B237" s="134">
        <v>6727.0</v>
      </c>
      <c r="C237" s="31">
        <v>0.05</v>
      </c>
      <c r="D237" s="139">
        <v>0.64</v>
      </c>
      <c r="E237" s="139">
        <v>0.64</v>
      </c>
      <c r="F237" s="52"/>
      <c r="G237" s="10"/>
      <c r="H237" s="10"/>
      <c r="I237" s="10"/>
      <c r="J237" s="10"/>
      <c r="K237" s="10"/>
      <c r="L237" s="143" t="s">
        <v>2303</v>
      </c>
      <c r="M237" s="144">
        <v>6727.0</v>
      </c>
      <c r="N237" s="144"/>
      <c r="O237" s="144"/>
    </row>
    <row r="238">
      <c r="A238" s="138" t="s">
        <v>2305</v>
      </c>
      <c r="B238" s="134">
        <v>136.0</v>
      </c>
      <c r="C238" s="31">
        <v>0.05</v>
      </c>
      <c r="D238" s="139">
        <v>0.64</v>
      </c>
      <c r="E238" s="139">
        <v>0.64</v>
      </c>
      <c r="F238" s="52"/>
      <c r="G238" s="10"/>
      <c r="H238" s="10"/>
      <c r="I238" s="10"/>
      <c r="J238" s="10"/>
      <c r="K238" s="10"/>
      <c r="L238" s="143" t="s">
        <v>2304</v>
      </c>
      <c r="M238" s="144">
        <v>6727.0</v>
      </c>
      <c r="N238" s="144"/>
      <c r="O238" s="144"/>
    </row>
    <row r="239">
      <c r="A239" s="138" t="s">
        <v>2306</v>
      </c>
      <c r="B239" s="134">
        <v>6727.0</v>
      </c>
      <c r="C239" s="31">
        <v>0.05</v>
      </c>
      <c r="D239" s="139">
        <v>0.64</v>
      </c>
      <c r="E239" s="139">
        <v>0.64</v>
      </c>
      <c r="F239" s="52"/>
      <c r="G239" s="10"/>
      <c r="H239" s="10"/>
      <c r="I239" s="10"/>
      <c r="J239" s="10"/>
      <c r="K239" s="10"/>
      <c r="L239" s="143" t="s">
        <v>2305</v>
      </c>
      <c r="M239" s="144">
        <v>136.0</v>
      </c>
      <c r="N239" s="144"/>
      <c r="O239" s="144"/>
    </row>
    <row r="240">
      <c r="A240" s="138" t="s">
        <v>2307</v>
      </c>
      <c r="B240" s="134">
        <v>6893.0</v>
      </c>
      <c r="C240" s="31">
        <v>0.05</v>
      </c>
      <c r="D240" s="139">
        <v>0.64</v>
      </c>
      <c r="E240" s="139">
        <v>0.64</v>
      </c>
      <c r="F240" s="52"/>
      <c r="G240" s="10"/>
      <c r="H240" s="10"/>
      <c r="I240" s="10"/>
      <c r="J240" s="10"/>
      <c r="K240" s="10"/>
      <c r="L240" s="143" t="s">
        <v>2306</v>
      </c>
      <c r="M240" s="144">
        <v>6727.0</v>
      </c>
      <c r="N240" s="144"/>
      <c r="O240" s="144"/>
    </row>
    <row r="241">
      <c r="A241" s="138" t="s">
        <v>2308</v>
      </c>
      <c r="B241" s="134">
        <v>84.0</v>
      </c>
      <c r="C241" s="31">
        <v>0.05</v>
      </c>
      <c r="D241" s="139">
        <v>0.64</v>
      </c>
      <c r="E241" s="139">
        <v>0.64</v>
      </c>
      <c r="F241" s="52"/>
      <c r="G241" s="10"/>
      <c r="H241" s="10"/>
      <c r="I241" s="10"/>
      <c r="J241" s="10"/>
      <c r="K241" s="10"/>
      <c r="L241" s="143" t="s">
        <v>2307</v>
      </c>
      <c r="M241" s="144">
        <v>6893.0</v>
      </c>
      <c r="N241" s="144"/>
      <c r="O241" s="144"/>
    </row>
    <row r="242">
      <c r="A242" s="138" t="s">
        <v>2309</v>
      </c>
      <c r="B242" s="134">
        <v>10856.0</v>
      </c>
      <c r="C242" s="31">
        <v>0.05</v>
      </c>
      <c r="D242" s="139">
        <v>0.64</v>
      </c>
      <c r="E242" s="139">
        <v>0.64</v>
      </c>
      <c r="F242" s="52"/>
      <c r="G242" s="10"/>
      <c r="H242" s="10"/>
      <c r="I242" s="10"/>
      <c r="J242" s="10"/>
      <c r="K242" s="10"/>
      <c r="L242" s="143" t="s">
        <v>2308</v>
      </c>
      <c r="M242" s="144">
        <v>84.0</v>
      </c>
      <c r="N242" s="144"/>
      <c r="O242" s="144"/>
    </row>
    <row r="243">
      <c r="A243" s="138" t="s">
        <v>2310</v>
      </c>
      <c r="B243" s="134">
        <v>6132.0</v>
      </c>
      <c r="C243" s="31">
        <v>0.05</v>
      </c>
      <c r="D243" s="139">
        <v>0.64</v>
      </c>
      <c r="E243" s="139">
        <v>0.64</v>
      </c>
      <c r="F243" s="52"/>
      <c r="G243" s="10"/>
      <c r="H243" s="10"/>
      <c r="I243" s="10"/>
      <c r="J243" s="10"/>
      <c r="K243" s="10"/>
      <c r="L243" s="145" t="s">
        <v>2309</v>
      </c>
      <c r="M243" s="5">
        <v>10856.0</v>
      </c>
      <c r="N243" s="5"/>
      <c r="O243" s="5"/>
    </row>
    <row r="244">
      <c r="A244" s="138" t="s">
        <v>2311</v>
      </c>
      <c r="B244" s="134">
        <v>3689.0</v>
      </c>
      <c r="C244" s="31">
        <v>0.05</v>
      </c>
      <c r="D244" s="139">
        <v>0.64</v>
      </c>
      <c r="E244" s="139">
        <v>0.64</v>
      </c>
      <c r="F244" s="52"/>
      <c r="G244" s="10"/>
      <c r="H244" s="10"/>
      <c r="I244" s="10"/>
      <c r="J244" s="10"/>
      <c r="K244" s="10"/>
      <c r="L244" s="145" t="s">
        <v>2310</v>
      </c>
      <c r="M244" s="5">
        <v>6132.0</v>
      </c>
      <c r="N244" s="5"/>
      <c r="O244" s="5">
        <v>6132.0</v>
      </c>
    </row>
    <row r="245">
      <c r="A245" s="138" t="s">
        <v>2312</v>
      </c>
      <c r="B245" s="134">
        <v>9307.0</v>
      </c>
      <c r="C245" s="31">
        <v>0.05</v>
      </c>
      <c r="D245" s="139">
        <v>0.64</v>
      </c>
      <c r="E245" s="139">
        <v>0.64</v>
      </c>
      <c r="F245" s="52"/>
      <c r="G245" s="10"/>
      <c r="H245" s="10"/>
      <c r="I245" s="10"/>
      <c r="J245" s="10"/>
      <c r="K245" s="10"/>
      <c r="L245" s="143" t="s">
        <v>2311</v>
      </c>
      <c r="M245" s="144">
        <v>3689.0</v>
      </c>
      <c r="N245" s="144"/>
      <c r="O245" s="144"/>
    </row>
    <row r="246">
      <c r="A246" s="138" t="s">
        <v>2313</v>
      </c>
      <c r="B246" s="134">
        <v>7142.0</v>
      </c>
      <c r="C246" s="31">
        <v>0.05</v>
      </c>
      <c r="D246" s="139">
        <v>0.64</v>
      </c>
      <c r="E246" s="139">
        <v>0.64</v>
      </c>
      <c r="F246" s="52"/>
      <c r="G246" s="10"/>
      <c r="H246" s="10"/>
      <c r="I246" s="10"/>
      <c r="J246" s="10"/>
      <c r="K246" s="10"/>
      <c r="L246" s="143" t="s">
        <v>2312</v>
      </c>
      <c r="M246" s="144">
        <v>9307.0</v>
      </c>
      <c r="N246" s="144"/>
      <c r="O246" s="144"/>
    </row>
    <row r="247">
      <c r="A247" s="138" t="s">
        <v>2314</v>
      </c>
      <c r="B247" s="134">
        <v>189.0</v>
      </c>
      <c r="C247" s="31">
        <v>0.05</v>
      </c>
      <c r="D247" s="26">
        <v>0.78</v>
      </c>
      <c r="E247" s="26">
        <v>0.78</v>
      </c>
      <c r="F247" s="52"/>
      <c r="G247" s="10"/>
      <c r="H247" s="10"/>
      <c r="I247" s="10"/>
      <c r="J247" s="10"/>
      <c r="K247" s="10"/>
      <c r="L247" s="145" t="s">
        <v>2313</v>
      </c>
      <c r="M247" s="5">
        <v>7142.0</v>
      </c>
      <c r="N247" s="5"/>
      <c r="O247" s="5"/>
    </row>
    <row r="248">
      <c r="A248" s="138" t="s">
        <v>2315</v>
      </c>
      <c r="B248" s="151">
        <v>6697.0</v>
      </c>
      <c r="C248" s="31">
        <v>0.05</v>
      </c>
      <c r="D248" s="139">
        <v>0.64</v>
      </c>
      <c r="E248" s="139">
        <v>0.64</v>
      </c>
      <c r="F248" s="52"/>
      <c r="G248" s="10"/>
      <c r="H248" s="10"/>
      <c r="I248" s="10"/>
      <c r="J248" s="10"/>
      <c r="K248" s="10"/>
      <c r="L248" s="145" t="s">
        <v>2314</v>
      </c>
      <c r="M248" s="5">
        <v>189.0</v>
      </c>
      <c r="N248" s="5"/>
      <c r="O248" s="5"/>
    </row>
    <row r="249">
      <c r="A249" s="138" t="s">
        <v>2316</v>
      </c>
      <c r="B249" s="134">
        <v>4514.0</v>
      </c>
      <c r="C249" s="31">
        <v>0.05</v>
      </c>
      <c r="D249" s="139">
        <v>0.64</v>
      </c>
      <c r="E249" s="139">
        <v>0.64</v>
      </c>
      <c r="F249" s="52"/>
      <c r="G249" s="10"/>
      <c r="H249" s="10"/>
      <c r="I249" s="10"/>
      <c r="J249" s="10"/>
      <c r="K249" s="10"/>
      <c r="L249" s="143" t="s">
        <v>2315</v>
      </c>
      <c r="M249" s="152">
        <v>6697.0</v>
      </c>
      <c r="N249" s="144"/>
      <c r="O249" s="144"/>
    </row>
    <row r="250">
      <c r="A250" s="138" t="s">
        <v>2317</v>
      </c>
      <c r="B250" s="134">
        <v>9701.0</v>
      </c>
      <c r="C250" s="31">
        <v>0.05</v>
      </c>
      <c r="D250" s="139">
        <v>0.64</v>
      </c>
      <c r="E250" s="139">
        <v>0.64</v>
      </c>
      <c r="F250" s="52"/>
      <c r="G250" s="10"/>
      <c r="H250" s="10"/>
      <c r="I250" s="10"/>
      <c r="J250" s="10"/>
      <c r="K250" s="10"/>
      <c r="L250" s="143" t="s">
        <v>2316</v>
      </c>
      <c r="M250" s="144">
        <v>4514.0</v>
      </c>
      <c r="N250" s="144"/>
      <c r="O250" s="144"/>
    </row>
    <row r="251">
      <c r="A251" s="138" t="s">
        <v>2318</v>
      </c>
      <c r="B251" s="134">
        <v>7092.0</v>
      </c>
      <c r="C251" s="31">
        <v>0.05</v>
      </c>
      <c r="D251" s="139">
        <v>0.64</v>
      </c>
      <c r="E251" s="139">
        <v>0.64</v>
      </c>
      <c r="F251" s="52"/>
      <c r="G251" s="10"/>
      <c r="H251" s="10"/>
      <c r="I251" s="10"/>
      <c r="J251" s="10"/>
      <c r="K251" s="10"/>
      <c r="L251" s="143" t="s">
        <v>2317</v>
      </c>
      <c r="M251" s="144">
        <v>9701.0</v>
      </c>
      <c r="N251" s="144"/>
      <c r="O251" s="144"/>
    </row>
    <row r="252">
      <c r="A252" s="138" t="s">
        <v>2319</v>
      </c>
      <c r="B252" s="134">
        <v>189.0</v>
      </c>
      <c r="C252" s="31">
        <v>0.05</v>
      </c>
      <c r="D252" s="26">
        <v>0.78</v>
      </c>
      <c r="E252" s="26">
        <v>0.78</v>
      </c>
      <c r="F252" s="52"/>
      <c r="G252" s="10"/>
      <c r="H252" s="10"/>
      <c r="I252" s="10"/>
      <c r="J252" s="10"/>
      <c r="K252" s="10"/>
      <c r="L252" s="143" t="s">
        <v>2318</v>
      </c>
      <c r="M252" s="144">
        <v>7092.0</v>
      </c>
      <c r="N252" s="144"/>
      <c r="O252" s="144"/>
    </row>
    <row r="253">
      <c r="A253" s="138" t="s">
        <v>2320</v>
      </c>
      <c r="B253" s="134">
        <v>189.0</v>
      </c>
      <c r="C253" s="31">
        <v>0.05</v>
      </c>
      <c r="D253" s="26">
        <v>0.78</v>
      </c>
      <c r="E253" s="26">
        <v>0.78</v>
      </c>
      <c r="F253" s="52"/>
      <c r="G253" s="10"/>
      <c r="H253" s="10"/>
      <c r="I253" s="10"/>
      <c r="J253" s="10"/>
      <c r="K253" s="10"/>
      <c r="L253" s="143" t="s">
        <v>2319</v>
      </c>
      <c r="M253" s="144">
        <v>189.0</v>
      </c>
      <c r="N253" s="144"/>
      <c r="O253" s="144"/>
    </row>
    <row r="254">
      <c r="A254" s="138" t="s">
        <v>2321</v>
      </c>
      <c r="B254" s="134">
        <v>7847.0</v>
      </c>
      <c r="C254" s="31">
        <v>0.05</v>
      </c>
      <c r="D254" s="139">
        <v>0.64</v>
      </c>
      <c r="E254" s="139">
        <v>0.64</v>
      </c>
      <c r="F254" s="52"/>
      <c r="G254" s="10"/>
      <c r="H254" s="10"/>
      <c r="I254" s="10"/>
      <c r="J254" s="10"/>
      <c r="K254" s="10"/>
      <c r="L254" s="143" t="s">
        <v>2320</v>
      </c>
      <c r="M254" s="144">
        <v>189.0</v>
      </c>
      <c r="N254" s="144"/>
      <c r="O254" s="144"/>
    </row>
    <row r="255">
      <c r="A255" s="138" t="s">
        <v>2322</v>
      </c>
      <c r="B255" s="134">
        <v>6789.0</v>
      </c>
      <c r="C255" s="31">
        <v>0.05</v>
      </c>
      <c r="D255" s="139">
        <v>0.64</v>
      </c>
      <c r="E255" s="139">
        <v>0.64</v>
      </c>
      <c r="F255" s="52"/>
      <c r="G255" s="10"/>
      <c r="H255" s="10"/>
      <c r="I255" s="10"/>
      <c r="J255" s="10"/>
      <c r="K255" s="10"/>
      <c r="L255" s="145" t="s">
        <v>2321</v>
      </c>
      <c r="M255" s="5">
        <v>7847.0</v>
      </c>
      <c r="N255" s="5"/>
      <c r="O255" s="5"/>
    </row>
    <row r="256">
      <c r="A256" s="138" t="s">
        <v>2323</v>
      </c>
      <c r="B256" s="134">
        <v>6557.0</v>
      </c>
      <c r="C256" s="31">
        <v>0.05</v>
      </c>
      <c r="D256" s="139">
        <v>0.64</v>
      </c>
      <c r="E256" s="139">
        <v>0.64</v>
      </c>
      <c r="F256" s="52"/>
      <c r="G256" s="10"/>
      <c r="H256" s="10"/>
      <c r="I256" s="10"/>
      <c r="J256" s="10"/>
      <c r="K256" s="10"/>
      <c r="L256" s="143" t="s">
        <v>2322</v>
      </c>
      <c r="M256" s="144">
        <v>6789.0</v>
      </c>
      <c r="N256" s="144"/>
      <c r="O256" s="144">
        <v>6789.0</v>
      </c>
    </row>
    <row r="257">
      <c r="A257" s="138" t="s">
        <v>657</v>
      </c>
      <c r="B257" s="134">
        <v>6995.0</v>
      </c>
      <c r="C257" s="31">
        <v>0.05</v>
      </c>
      <c r="D257" s="139">
        <v>0.64</v>
      </c>
      <c r="E257" s="139">
        <v>0.64</v>
      </c>
      <c r="F257" s="52"/>
      <c r="G257" s="10"/>
      <c r="H257" s="10"/>
      <c r="I257" s="10"/>
      <c r="J257" s="10"/>
      <c r="K257" s="10"/>
      <c r="L257" s="143" t="s">
        <v>2323</v>
      </c>
      <c r="M257" s="144">
        <v>6557.0</v>
      </c>
      <c r="N257" s="144"/>
      <c r="O257" s="144"/>
    </row>
    <row r="258">
      <c r="A258" s="138" t="s">
        <v>2324</v>
      </c>
      <c r="B258" s="134">
        <v>6557.0</v>
      </c>
      <c r="C258" s="31">
        <v>0.05</v>
      </c>
      <c r="D258" s="139">
        <v>0.64</v>
      </c>
      <c r="E258" s="139">
        <v>0.64</v>
      </c>
      <c r="F258" s="52"/>
      <c r="G258" s="10"/>
      <c r="H258" s="10"/>
      <c r="I258" s="10"/>
      <c r="J258" s="10"/>
      <c r="K258" s="10"/>
      <c r="L258" s="143" t="s">
        <v>657</v>
      </c>
      <c r="M258" s="144">
        <v>6995.0</v>
      </c>
      <c r="N258" s="144"/>
      <c r="O258" s="144"/>
    </row>
    <row r="259">
      <c r="A259" s="138" t="s">
        <v>2325</v>
      </c>
      <c r="B259" s="134">
        <v>11708.0</v>
      </c>
      <c r="C259" s="31">
        <v>0.05</v>
      </c>
      <c r="D259" s="139">
        <v>0.64</v>
      </c>
      <c r="E259" s="139">
        <v>0.64</v>
      </c>
      <c r="F259" s="52"/>
      <c r="G259" s="10"/>
      <c r="H259" s="10"/>
      <c r="I259" s="10"/>
      <c r="J259" s="10"/>
      <c r="K259" s="10"/>
      <c r="L259" s="143" t="s">
        <v>2324</v>
      </c>
      <c r="M259" s="144">
        <v>6557.0</v>
      </c>
      <c r="N259" s="144"/>
      <c r="O259" s="144"/>
    </row>
    <row r="260">
      <c r="A260" s="138" t="s">
        <v>2326</v>
      </c>
      <c r="B260" s="153">
        <v>12553.0</v>
      </c>
      <c r="C260" s="31">
        <v>0.05</v>
      </c>
      <c r="D260" s="139">
        <v>0.64</v>
      </c>
      <c r="E260" s="139">
        <v>0.64</v>
      </c>
      <c r="F260" s="52"/>
      <c r="G260" s="10"/>
      <c r="H260" s="10"/>
      <c r="I260" s="10"/>
      <c r="J260" s="10"/>
      <c r="K260" s="10"/>
      <c r="L260" s="143" t="s">
        <v>2325</v>
      </c>
      <c r="M260" s="144">
        <v>11708.0</v>
      </c>
      <c r="N260" s="144"/>
      <c r="O260" s="144"/>
    </row>
    <row r="261">
      <c r="A261" s="138" t="s">
        <v>2327</v>
      </c>
      <c r="B261" s="134">
        <v>14025.0</v>
      </c>
      <c r="C261" s="31">
        <v>0.05</v>
      </c>
      <c r="D261" s="139">
        <v>0.64</v>
      </c>
      <c r="E261" s="139">
        <v>0.64</v>
      </c>
      <c r="F261" s="52"/>
      <c r="G261" s="10"/>
      <c r="H261" s="10"/>
      <c r="I261" s="10"/>
      <c r="J261" s="10"/>
      <c r="K261" s="10"/>
      <c r="L261" s="143" t="s">
        <v>2326</v>
      </c>
      <c r="M261" s="154">
        <v>12553.0</v>
      </c>
      <c r="N261" s="144"/>
      <c r="O261" s="144"/>
    </row>
    <row r="262">
      <c r="A262" s="138" t="s">
        <v>2328</v>
      </c>
      <c r="B262" s="134">
        <v>6557.0</v>
      </c>
      <c r="C262" s="31">
        <v>0.05</v>
      </c>
      <c r="D262" s="139">
        <v>0.64</v>
      </c>
      <c r="E262" s="139">
        <v>0.64</v>
      </c>
      <c r="F262" s="52"/>
      <c r="G262" s="10"/>
      <c r="H262" s="10"/>
      <c r="I262" s="10"/>
      <c r="J262" s="10"/>
      <c r="K262" s="10"/>
      <c r="L262" s="143" t="s">
        <v>2327</v>
      </c>
      <c r="M262" s="144">
        <v>14025.0</v>
      </c>
      <c r="N262" s="144"/>
      <c r="O262" s="144"/>
    </row>
    <row r="263">
      <c r="A263" s="138" t="s">
        <v>2329</v>
      </c>
      <c r="B263" s="134">
        <v>11616.0</v>
      </c>
      <c r="C263" s="31">
        <v>0.05</v>
      </c>
      <c r="D263" s="139">
        <v>0.64</v>
      </c>
      <c r="E263" s="139">
        <v>0.64</v>
      </c>
      <c r="F263" s="52"/>
      <c r="G263" s="10"/>
      <c r="H263" s="10"/>
      <c r="I263" s="10"/>
      <c r="J263" s="10"/>
      <c r="K263" s="10"/>
      <c r="L263" s="143" t="s">
        <v>2328</v>
      </c>
      <c r="M263" s="144">
        <v>6557.0</v>
      </c>
      <c r="N263" s="144"/>
      <c r="O263" s="144"/>
    </row>
    <row r="264">
      <c r="A264" s="138" t="s">
        <v>2330</v>
      </c>
      <c r="B264" s="134">
        <v>6557.0</v>
      </c>
      <c r="C264" s="31">
        <v>0.05</v>
      </c>
      <c r="D264" s="139">
        <v>0.64</v>
      </c>
      <c r="E264" s="139">
        <v>0.64</v>
      </c>
      <c r="F264" s="52"/>
      <c r="G264" s="10"/>
      <c r="H264" s="10"/>
      <c r="I264" s="10"/>
      <c r="J264" s="10"/>
      <c r="K264" s="10"/>
      <c r="L264" s="143" t="s">
        <v>2329</v>
      </c>
      <c r="M264" s="144">
        <v>11616.0</v>
      </c>
      <c r="N264" s="144"/>
      <c r="O264" s="144"/>
    </row>
    <row r="265">
      <c r="A265" s="138" t="s">
        <v>2331</v>
      </c>
      <c r="B265" s="134">
        <v>6557.0</v>
      </c>
      <c r="C265" s="31">
        <v>0.05</v>
      </c>
      <c r="D265" s="139">
        <v>0.64</v>
      </c>
      <c r="E265" s="139">
        <v>0.64</v>
      </c>
      <c r="F265" s="52"/>
      <c r="G265" s="10"/>
      <c r="H265" s="10"/>
      <c r="I265" s="10"/>
      <c r="J265" s="10"/>
      <c r="K265" s="10"/>
      <c r="L265" s="143" t="s">
        <v>2330</v>
      </c>
      <c r="M265" s="144">
        <v>6557.0</v>
      </c>
      <c r="N265" s="144"/>
      <c r="O265" s="144"/>
    </row>
    <row r="266">
      <c r="A266" s="138" t="s">
        <v>2332</v>
      </c>
      <c r="B266" s="134">
        <v>6557.0</v>
      </c>
      <c r="C266" s="31">
        <v>0.05</v>
      </c>
      <c r="D266" s="139">
        <v>0.64</v>
      </c>
      <c r="E266" s="139">
        <v>0.64</v>
      </c>
      <c r="F266" s="52"/>
      <c r="G266" s="10"/>
      <c r="H266" s="10"/>
      <c r="I266" s="10"/>
      <c r="J266" s="10"/>
      <c r="K266" s="10"/>
      <c r="L266" s="143" t="s">
        <v>2331</v>
      </c>
      <c r="M266" s="144">
        <v>6557.0</v>
      </c>
      <c r="N266" s="144"/>
      <c r="O266" s="144"/>
    </row>
    <row r="267">
      <c r="A267" s="138" t="s">
        <v>2333</v>
      </c>
      <c r="B267" s="134">
        <v>6557.0</v>
      </c>
      <c r="C267" s="31">
        <v>0.05</v>
      </c>
      <c r="D267" s="139">
        <v>0.64</v>
      </c>
      <c r="E267" s="139">
        <v>0.64</v>
      </c>
      <c r="F267" s="52"/>
      <c r="G267" s="10"/>
      <c r="H267" s="10"/>
      <c r="I267" s="10"/>
      <c r="J267" s="10"/>
      <c r="K267" s="10"/>
      <c r="L267" s="143" t="s">
        <v>2332</v>
      </c>
      <c r="M267" s="144">
        <v>6557.0</v>
      </c>
      <c r="N267" s="144"/>
      <c r="O267" s="144"/>
    </row>
    <row r="268">
      <c r="A268" s="138" t="s">
        <v>2334</v>
      </c>
      <c r="B268" s="134">
        <v>6557.0</v>
      </c>
      <c r="C268" s="31">
        <v>0.05</v>
      </c>
      <c r="D268" s="139">
        <v>0.64</v>
      </c>
      <c r="E268" s="139">
        <v>0.64</v>
      </c>
      <c r="F268" s="52"/>
      <c r="G268" s="10"/>
      <c r="H268" s="10"/>
      <c r="I268" s="10"/>
      <c r="J268" s="10"/>
      <c r="K268" s="10"/>
      <c r="L268" s="143" t="s">
        <v>2333</v>
      </c>
      <c r="M268" s="144">
        <v>6557.0</v>
      </c>
      <c r="N268" s="144"/>
      <c r="O268" s="144"/>
    </row>
    <row r="269">
      <c r="A269" s="138" t="s">
        <v>2335</v>
      </c>
      <c r="B269" s="134">
        <v>6903.0</v>
      </c>
      <c r="C269" s="31">
        <v>0.05</v>
      </c>
      <c r="D269" s="139">
        <v>0.64</v>
      </c>
      <c r="E269" s="139">
        <v>0.64</v>
      </c>
      <c r="F269" s="52"/>
      <c r="G269" s="10"/>
      <c r="H269" s="10"/>
      <c r="I269" s="10"/>
      <c r="J269" s="10"/>
      <c r="K269" s="10"/>
      <c r="L269" s="143" t="s">
        <v>2334</v>
      </c>
      <c r="M269" s="144">
        <v>6557.0</v>
      </c>
      <c r="N269" s="144"/>
      <c r="O269" s="144"/>
    </row>
    <row r="270">
      <c r="A270" s="138" t="s">
        <v>2336</v>
      </c>
      <c r="B270" s="134">
        <v>14420.0</v>
      </c>
      <c r="C270" s="31">
        <v>0.05</v>
      </c>
      <c r="D270" s="139">
        <v>0.64</v>
      </c>
      <c r="E270" s="139">
        <v>0.64</v>
      </c>
      <c r="F270" s="52"/>
      <c r="G270" s="10"/>
      <c r="H270" s="10"/>
      <c r="I270" s="10"/>
      <c r="J270" s="10"/>
      <c r="K270" s="10"/>
      <c r="L270" s="143" t="s">
        <v>2335</v>
      </c>
      <c r="M270" s="144">
        <v>6903.0</v>
      </c>
      <c r="N270" s="144"/>
      <c r="O270" s="144"/>
    </row>
    <row r="271">
      <c r="A271" s="138" t="s">
        <v>2337</v>
      </c>
      <c r="B271" s="134">
        <v>6143.0</v>
      </c>
      <c r="C271" s="31">
        <v>0.05</v>
      </c>
      <c r="D271" s="148">
        <v>0.78</v>
      </c>
      <c r="E271" s="83">
        <v>0.78</v>
      </c>
      <c r="F271" s="52"/>
      <c r="G271" s="10"/>
      <c r="H271" s="10"/>
      <c r="I271" s="10"/>
      <c r="J271" s="10"/>
      <c r="K271" s="10"/>
      <c r="L271" s="143" t="s">
        <v>2336</v>
      </c>
      <c r="M271" s="144">
        <v>14420.0</v>
      </c>
      <c r="N271" s="144"/>
      <c r="O271" s="144"/>
    </row>
    <row r="272">
      <c r="A272" s="138" t="s">
        <v>2338</v>
      </c>
      <c r="B272" s="134">
        <v>9307.0</v>
      </c>
      <c r="C272" s="31">
        <v>0.05</v>
      </c>
      <c r="D272" s="139">
        <v>0.64</v>
      </c>
      <c r="E272" s="139">
        <v>0.64</v>
      </c>
      <c r="F272" s="52"/>
      <c r="G272" s="10"/>
      <c r="H272" s="10"/>
      <c r="I272" s="10"/>
      <c r="J272" s="10"/>
      <c r="K272" s="10"/>
      <c r="L272" s="143" t="s">
        <v>2337</v>
      </c>
      <c r="M272" s="144">
        <v>6143.0</v>
      </c>
      <c r="N272" s="144"/>
      <c r="O272" s="144"/>
    </row>
    <row r="273">
      <c r="A273" s="138" t="s">
        <v>2339</v>
      </c>
      <c r="B273" s="134">
        <v>9307.0</v>
      </c>
      <c r="C273" s="31">
        <v>0.05</v>
      </c>
      <c r="D273" s="139">
        <v>0.64</v>
      </c>
      <c r="E273" s="139">
        <v>0.64</v>
      </c>
      <c r="F273" s="52"/>
      <c r="G273" s="10"/>
      <c r="H273" s="10"/>
      <c r="I273" s="10"/>
      <c r="J273" s="10"/>
      <c r="K273" s="10"/>
      <c r="L273" s="145" t="s">
        <v>2338</v>
      </c>
      <c r="M273" s="5">
        <v>9307.0</v>
      </c>
      <c r="N273" s="5"/>
      <c r="O273" s="5"/>
    </row>
    <row r="274">
      <c r="A274" s="138" t="s">
        <v>2340</v>
      </c>
      <c r="B274" s="134">
        <v>189.0</v>
      </c>
      <c r="C274" s="31">
        <v>0.05</v>
      </c>
      <c r="D274" s="26">
        <v>0.78</v>
      </c>
      <c r="E274" s="26">
        <v>0.78</v>
      </c>
      <c r="F274" s="52"/>
      <c r="G274" s="10"/>
      <c r="H274" s="10"/>
      <c r="I274" s="10"/>
      <c r="J274" s="10"/>
      <c r="K274" s="10"/>
      <c r="L274" s="143" t="s">
        <v>2339</v>
      </c>
      <c r="M274" s="144">
        <v>9307.0</v>
      </c>
      <c r="N274" s="144"/>
      <c r="O274" s="144"/>
    </row>
    <row r="275">
      <c r="A275" s="138" t="s">
        <v>2341</v>
      </c>
      <c r="B275" s="134">
        <v>189.0</v>
      </c>
      <c r="C275" s="31">
        <v>0.05</v>
      </c>
      <c r="D275" s="26">
        <v>0.78</v>
      </c>
      <c r="E275" s="26">
        <v>0.78</v>
      </c>
      <c r="F275" s="52"/>
      <c r="G275" s="10"/>
      <c r="H275" s="10"/>
      <c r="I275" s="10"/>
      <c r="J275" s="10"/>
      <c r="K275" s="10"/>
      <c r="L275" s="143" t="s">
        <v>2340</v>
      </c>
      <c r="M275" s="144">
        <v>189.0</v>
      </c>
      <c r="N275" s="144"/>
      <c r="O275" s="144"/>
    </row>
    <row r="276">
      <c r="A276" s="138" t="s">
        <v>921</v>
      </c>
      <c r="B276" s="134">
        <v>189.0</v>
      </c>
      <c r="C276" s="31">
        <v>0.05</v>
      </c>
      <c r="D276" s="26">
        <v>0.78</v>
      </c>
      <c r="E276" s="26">
        <v>0.78</v>
      </c>
      <c r="F276" s="52"/>
      <c r="G276" s="10"/>
      <c r="H276" s="10"/>
      <c r="I276" s="10"/>
      <c r="J276" s="10"/>
      <c r="K276" s="10"/>
      <c r="L276" s="145" t="s">
        <v>2341</v>
      </c>
      <c r="M276" s="5">
        <v>189.0</v>
      </c>
      <c r="N276" s="5"/>
      <c r="O276" s="5"/>
    </row>
    <row r="277">
      <c r="A277" s="138" t="s">
        <v>2342</v>
      </c>
      <c r="B277" s="134">
        <v>189.0</v>
      </c>
      <c r="C277" s="31">
        <v>0.05</v>
      </c>
      <c r="D277" s="26">
        <v>0.78</v>
      </c>
      <c r="E277" s="26">
        <v>0.78</v>
      </c>
      <c r="F277" s="52"/>
      <c r="G277" s="10"/>
      <c r="H277" s="10"/>
      <c r="I277" s="10"/>
      <c r="J277" s="10"/>
      <c r="K277" s="10"/>
      <c r="L277" s="143" t="s">
        <v>921</v>
      </c>
      <c r="M277" s="144">
        <v>189.0</v>
      </c>
      <c r="N277" s="144"/>
      <c r="O277" s="144"/>
    </row>
    <row r="278">
      <c r="A278" s="138" t="s">
        <v>2343</v>
      </c>
      <c r="B278" s="134">
        <v>189.0</v>
      </c>
      <c r="C278" s="31">
        <v>0.05</v>
      </c>
      <c r="D278" s="26">
        <v>0.78</v>
      </c>
      <c r="E278" s="26">
        <v>0.78</v>
      </c>
      <c r="F278" s="52"/>
      <c r="G278" s="10"/>
      <c r="H278" s="10"/>
      <c r="I278" s="10"/>
      <c r="J278" s="10"/>
      <c r="K278" s="10"/>
      <c r="L278" s="145" t="s">
        <v>2342</v>
      </c>
      <c r="M278" s="5">
        <v>189.0</v>
      </c>
      <c r="N278" s="5"/>
      <c r="O278" s="5"/>
    </row>
    <row r="279">
      <c r="A279" s="138" t="s">
        <v>2344</v>
      </c>
      <c r="B279" s="134">
        <v>6143.0</v>
      </c>
      <c r="C279" s="31">
        <v>0.05</v>
      </c>
      <c r="D279" s="148">
        <v>0.78</v>
      </c>
      <c r="E279" s="83">
        <v>0.78</v>
      </c>
      <c r="F279" s="52"/>
      <c r="G279" s="10"/>
      <c r="H279" s="10"/>
      <c r="I279" s="10"/>
      <c r="J279" s="10"/>
      <c r="K279" s="10"/>
      <c r="L279" s="145" t="s">
        <v>2343</v>
      </c>
      <c r="M279" s="5">
        <v>189.0</v>
      </c>
      <c r="N279" s="5"/>
      <c r="O279" s="5"/>
    </row>
    <row r="280">
      <c r="A280" s="138" t="s">
        <v>2345</v>
      </c>
      <c r="B280" s="134">
        <v>14065.0</v>
      </c>
      <c r="C280" s="31">
        <v>0.05</v>
      </c>
      <c r="D280" s="139">
        <v>0.64</v>
      </c>
      <c r="E280" s="139">
        <v>0.64</v>
      </c>
      <c r="F280" s="52"/>
      <c r="G280" s="10"/>
      <c r="H280" s="10"/>
      <c r="I280" s="10"/>
      <c r="J280" s="10"/>
      <c r="K280" s="10"/>
      <c r="L280" s="143" t="s">
        <v>2344</v>
      </c>
      <c r="M280" s="144">
        <v>6143.0</v>
      </c>
      <c r="N280" s="144"/>
      <c r="O280" s="144"/>
    </row>
    <row r="281">
      <c r="A281" s="138" t="s">
        <v>2346</v>
      </c>
      <c r="B281" s="134">
        <v>14005.0</v>
      </c>
      <c r="C281" s="31">
        <v>0.05</v>
      </c>
      <c r="D281" s="139">
        <v>0.64</v>
      </c>
      <c r="E281" s="139">
        <v>0.64</v>
      </c>
      <c r="F281" s="52"/>
      <c r="G281" s="10"/>
      <c r="H281" s="10"/>
      <c r="I281" s="10"/>
      <c r="J281" s="10"/>
      <c r="K281" s="10"/>
      <c r="L281" s="143" t="s">
        <v>2345</v>
      </c>
      <c r="M281" s="144">
        <v>14065.0</v>
      </c>
      <c r="N281" s="144"/>
      <c r="O281" s="144"/>
    </row>
    <row r="282">
      <c r="A282" s="138" t="s">
        <v>2347</v>
      </c>
      <c r="B282" s="134">
        <v>11104.0</v>
      </c>
      <c r="C282" s="31">
        <v>0.05</v>
      </c>
      <c r="D282" s="139">
        <v>0.64</v>
      </c>
      <c r="E282" s="139">
        <v>0.64</v>
      </c>
      <c r="F282" s="52"/>
      <c r="G282" s="10"/>
      <c r="H282" s="10"/>
      <c r="I282" s="10"/>
      <c r="J282" s="10"/>
      <c r="K282" s="10"/>
      <c r="L282" s="143" t="s">
        <v>2346</v>
      </c>
      <c r="M282" s="144">
        <v>14005.0</v>
      </c>
      <c r="N282" s="144"/>
      <c r="O282" s="144"/>
    </row>
    <row r="283">
      <c r="A283" s="138" t="s">
        <v>2348</v>
      </c>
      <c r="B283" s="134">
        <v>6106.0</v>
      </c>
      <c r="C283" s="31">
        <v>0.05</v>
      </c>
      <c r="D283" s="139">
        <v>0.64</v>
      </c>
      <c r="E283" s="139">
        <v>0.64</v>
      </c>
      <c r="F283" s="52"/>
      <c r="G283" s="10"/>
      <c r="H283" s="10"/>
      <c r="I283" s="10"/>
      <c r="J283" s="10"/>
      <c r="K283" s="10"/>
      <c r="L283" s="143" t="s">
        <v>2347</v>
      </c>
      <c r="M283" s="144">
        <v>11104.0</v>
      </c>
      <c r="N283" s="144"/>
      <c r="O283" s="144"/>
    </row>
    <row r="284">
      <c r="A284" s="138" t="s">
        <v>2349</v>
      </c>
      <c r="B284" s="134">
        <v>6785.0</v>
      </c>
      <c r="C284" s="31">
        <v>0.05</v>
      </c>
      <c r="D284" s="139">
        <v>0.64</v>
      </c>
      <c r="E284" s="139">
        <v>0.64</v>
      </c>
      <c r="F284" s="52"/>
      <c r="G284" s="10"/>
      <c r="H284" s="10"/>
      <c r="I284" s="10"/>
      <c r="J284" s="10"/>
      <c r="K284" s="10"/>
      <c r="L284" s="143" t="s">
        <v>2348</v>
      </c>
      <c r="M284" s="144">
        <v>6106.0</v>
      </c>
      <c r="N284" s="144"/>
      <c r="O284" s="144"/>
    </row>
    <row r="285">
      <c r="A285" s="138" t="s">
        <v>2350</v>
      </c>
      <c r="B285" s="134">
        <v>7414.0</v>
      </c>
      <c r="C285" s="31">
        <v>0.05</v>
      </c>
      <c r="D285" s="139">
        <v>0.64</v>
      </c>
      <c r="E285" s="139">
        <v>0.64</v>
      </c>
      <c r="F285" s="52"/>
      <c r="G285" s="10"/>
      <c r="H285" s="10"/>
      <c r="I285" s="10"/>
      <c r="J285" s="10"/>
      <c r="K285" s="10"/>
      <c r="L285" s="143" t="s">
        <v>2349</v>
      </c>
      <c r="M285" s="144">
        <v>6785.0</v>
      </c>
      <c r="N285" s="144"/>
      <c r="O285" s="144"/>
    </row>
    <row r="286">
      <c r="A286" s="138" t="s">
        <v>2351</v>
      </c>
      <c r="B286" s="134">
        <v>14337.0</v>
      </c>
      <c r="C286" s="31">
        <v>0.05</v>
      </c>
      <c r="D286" s="139">
        <v>0.64</v>
      </c>
      <c r="E286" s="139">
        <v>0.64</v>
      </c>
      <c r="F286" s="52"/>
      <c r="G286" s="10"/>
      <c r="H286" s="10"/>
      <c r="I286" s="10"/>
      <c r="J286" s="10"/>
      <c r="K286" s="10"/>
      <c r="L286" s="143" t="s">
        <v>2350</v>
      </c>
      <c r="M286" s="144">
        <v>7414.0</v>
      </c>
      <c r="N286" s="144"/>
      <c r="O286" s="144">
        <v>7414.0</v>
      </c>
    </row>
    <row r="287">
      <c r="A287" s="138" t="s">
        <v>2352</v>
      </c>
      <c r="B287" s="134">
        <v>7003.0</v>
      </c>
      <c r="C287" s="31">
        <v>0.05</v>
      </c>
      <c r="D287" s="139">
        <v>0.64</v>
      </c>
      <c r="E287" s="139">
        <v>0.64</v>
      </c>
      <c r="F287" s="52"/>
      <c r="G287" s="10"/>
      <c r="H287" s="10"/>
      <c r="I287" s="10"/>
      <c r="J287" s="10"/>
      <c r="K287" s="10"/>
      <c r="L287" s="143" t="s">
        <v>2351</v>
      </c>
      <c r="M287" s="144">
        <v>14337.0</v>
      </c>
      <c r="N287" s="144"/>
      <c r="O287" s="144"/>
    </row>
    <row r="288">
      <c r="A288" s="138" t="s">
        <v>2353</v>
      </c>
      <c r="B288" s="134">
        <v>3307.0</v>
      </c>
      <c r="C288" s="31">
        <v>0.05</v>
      </c>
      <c r="D288" s="139">
        <v>0.64</v>
      </c>
      <c r="E288" s="139">
        <v>0.64</v>
      </c>
      <c r="F288" s="52"/>
      <c r="G288" s="10"/>
      <c r="H288" s="10"/>
      <c r="I288" s="10"/>
      <c r="J288" s="10"/>
      <c r="K288" s="10"/>
      <c r="L288" s="143" t="s">
        <v>2352</v>
      </c>
      <c r="M288" s="144">
        <v>7003.0</v>
      </c>
      <c r="N288" s="144"/>
      <c r="O288" s="144"/>
    </row>
    <row r="289">
      <c r="A289" s="138" t="s">
        <v>974</v>
      </c>
      <c r="B289" s="134">
        <v>14482.0</v>
      </c>
      <c r="C289" s="31">
        <v>0.05</v>
      </c>
      <c r="D289" s="139">
        <v>0.64</v>
      </c>
      <c r="E289" s="139">
        <v>0.64</v>
      </c>
      <c r="F289" s="52"/>
      <c r="G289" s="10"/>
      <c r="H289" s="10"/>
      <c r="I289" s="10"/>
      <c r="J289" s="10"/>
      <c r="K289" s="10"/>
      <c r="L289" s="143" t="s">
        <v>2353</v>
      </c>
      <c r="M289" s="144"/>
      <c r="N289" s="144"/>
      <c r="O289" s="144"/>
    </row>
    <row r="290">
      <c r="A290" s="138" t="s">
        <v>2354</v>
      </c>
      <c r="B290" s="134">
        <v>189.0</v>
      </c>
      <c r="C290" s="31">
        <v>0.05</v>
      </c>
      <c r="D290" s="26">
        <v>0.78</v>
      </c>
      <c r="E290" s="26">
        <v>0.78</v>
      </c>
      <c r="F290" s="52"/>
      <c r="G290" s="10"/>
      <c r="H290" s="10"/>
      <c r="I290" s="10"/>
      <c r="J290" s="10"/>
      <c r="K290" s="10"/>
      <c r="L290" s="143" t="s">
        <v>974</v>
      </c>
      <c r="M290" s="144">
        <v>4193.0</v>
      </c>
      <c r="N290" s="144"/>
      <c r="O290" s="144"/>
    </row>
    <row r="291">
      <c r="A291" s="138" t="s">
        <v>2355</v>
      </c>
      <c r="B291" s="134">
        <v>189.0</v>
      </c>
      <c r="C291" s="31">
        <v>0.05</v>
      </c>
      <c r="D291" s="26">
        <v>0.78</v>
      </c>
      <c r="E291" s="26">
        <v>0.78</v>
      </c>
      <c r="F291" s="52"/>
      <c r="G291" s="10"/>
      <c r="H291" s="10"/>
      <c r="I291" s="10"/>
      <c r="J291" s="10"/>
      <c r="K291" s="10"/>
      <c r="L291" s="145" t="s">
        <v>2354</v>
      </c>
      <c r="M291" s="5">
        <v>189.0</v>
      </c>
      <c r="N291" s="5"/>
      <c r="O291" s="5"/>
    </row>
    <row r="292">
      <c r="A292" s="138" t="s">
        <v>2356</v>
      </c>
      <c r="B292" s="134">
        <v>8491.0</v>
      </c>
      <c r="C292" s="31">
        <v>0.05</v>
      </c>
      <c r="D292" s="139">
        <v>0.64</v>
      </c>
      <c r="E292" s="139">
        <v>0.64</v>
      </c>
      <c r="F292" s="52"/>
      <c r="G292" s="10"/>
      <c r="H292" s="10"/>
      <c r="I292" s="10"/>
      <c r="J292" s="10"/>
      <c r="K292" s="10"/>
      <c r="L292" s="145" t="s">
        <v>2355</v>
      </c>
      <c r="M292" s="5">
        <v>189.0</v>
      </c>
      <c r="N292" s="5"/>
      <c r="O292" s="5"/>
    </row>
    <row r="293">
      <c r="A293" s="138" t="s">
        <v>2357</v>
      </c>
      <c r="B293" s="134">
        <v>8002.0</v>
      </c>
      <c r="C293" s="31">
        <v>0.05</v>
      </c>
      <c r="D293" s="139">
        <v>0.64</v>
      </c>
      <c r="E293" s="139">
        <v>0.64</v>
      </c>
      <c r="F293" s="52"/>
      <c r="G293" s="10"/>
      <c r="H293" s="10"/>
      <c r="I293" s="10"/>
      <c r="J293" s="10"/>
      <c r="K293" s="10"/>
      <c r="L293" s="143" t="s">
        <v>2356</v>
      </c>
      <c r="M293" s="144">
        <v>8491.0</v>
      </c>
      <c r="N293" s="144"/>
      <c r="O293" s="144"/>
    </row>
    <row r="294">
      <c r="A294" s="138" t="s">
        <v>2358</v>
      </c>
      <c r="B294" s="134">
        <v>7229.0</v>
      </c>
      <c r="C294" s="31">
        <v>0.05</v>
      </c>
      <c r="D294" s="139">
        <v>0.64</v>
      </c>
      <c r="E294" s="139">
        <v>0.64</v>
      </c>
      <c r="F294" s="52"/>
      <c r="G294" s="10"/>
      <c r="H294" s="10"/>
      <c r="I294" s="10"/>
      <c r="J294" s="10"/>
      <c r="K294" s="10"/>
      <c r="L294" s="143" t="s">
        <v>2357</v>
      </c>
      <c r="M294" s="144"/>
      <c r="N294" s="144"/>
      <c r="O294" s="144"/>
    </row>
    <row r="295">
      <c r="A295" s="138" t="s">
        <v>2359</v>
      </c>
      <c r="B295" s="134">
        <v>189.0</v>
      </c>
      <c r="C295" s="31">
        <v>0.05</v>
      </c>
      <c r="D295" s="26">
        <v>0.78</v>
      </c>
      <c r="E295" s="26">
        <v>0.78</v>
      </c>
      <c r="F295" s="52"/>
      <c r="G295" s="10"/>
      <c r="H295" s="10"/>
      <c r="I295" s="10"/>
      <c r="J295" s="10"/>
      <c r="K295" s="10"/>
      <c r="L295" s="145" t="s">
        <v>2358</v>
      </c>
      <c r="M295" s="5">
        <v>7229.0</v>
      </c>
      <c r="N295" s="5"/>
      <c r="O295" s="5">
        <v>7229.0</v>
      </c>
    </row>
    <row r="296">
      <c r="A296" s="138" t="s">
        <v>2360</v>
      </c>
      <c r="B296" s="134">
        <v>7096.0</v>
      </c>
      <c r="C296" s="31">
        <v>0.05</v>
      </c>
      <c r="D296" s="139">
        <v>0.64</v>
      </c>
      <c r="E296" s="139">
        <v>0.64</v>
      </c>
      <c r="F296" s="52"/>
      <c r="G296" s="10"/>
      <c r="H296" s="10"/>
      <c r="I296" s="10"/>
      <c r="J296" s="10"/>
      <c r="K296" s="10"/>
      <c r="L296" s="143" t="s">
        <v>2359</v>
      </c>
      <c r="M296" s="144">
        <v>189.0</v>
      </c>
      <c r="N296" s="144"/>
      <c r="O296" s="144"/>
    </row>
    <row r="297">
      <c r="A297" s="138" t="s">
        <v>2361</v>
      </c>
      <c r="B297" s="153">
        <v>14646.0</v>
      </c>
      <c r="C297" s="31">
        <v>0.05</v>
      </c>
      <c r="D297" s="139">
        <v>0.64</v>
      </c>
      <c r="E297" s="139">
        <v>0.64</v>
      </c>
      <c r="F297" s="52"/>
      <c r="G297" s="10"/>
      <c r="H297" s="10"/>
      <c r="I297" s="10"/>
      <c r="J297" s="10"/>
      <c r="K297" s="10"/>
      <c r="L297" s="145" t="s">
        <v>2360</v>
      </c>
      <c r="M297" s="5">
        <v>7096.0</v>
      </c>
      <c r="N297" s="5"/>
      <c r="O297" s="5"/>
    </row>
    <row r="298">
      <c r="A298" s="138" t="s">
        <v>2362</v>
      </c>
      <c r="B298" s="134">
        <v>14672.0</v>
      </c>
      <c r="C298" s="31">
        <v>0.05</v>
      </c>
      <c r="D298" s="139">
        <v>0.64</v>
      </c>
      <c r="E298" s="139">
        <v>0.64</v>
      </c>
      <c r="F298" s="52"/>
      <c r="G298" s="10"/>
      <c r="H298" s="10"/>
      <c r="I298" s="10"/>
      <c r="J298" s="10"/>
      <c r="K298" s="10"/>
      <c r="L298" s="143" t="s">
        <v>2361</v>
      </c>
      <c r="M298" s="144"/>
      <c r="N298" s="144"/>
      <c r="O298" s="144"/>
    </row>
    <row r="299">
      <c r="A299" s="138" t="s">
        <v>2363</v>
      </c>
      <c r="B299" s="134">
        <v>6785.0</v>
      </c>
      <c r="C299" s="31">
        <v>0.05</v>
      </c>
      <c r="D299" s="139">
        <v>0.64</v>
      </c>
      <c r="E299" s="139">
        <v>0.64</v>
      </c>
      <c r="F299" s="52"/>
      <c r="G299" s="10"/>
      <c r="H299" s="10"/>
      <c r="I299" s="10"/>
      <c r="J299" s="10"/>
      <c r="K299" s="10"/>
      <c r="L299" s="143" t="s">
        <v>2362</v>
      </c>
      <c r="M299" s="144"/>
      <c r="N299" s="144"/>
      <c r="O299" s="144"/>
    </row>
    <row r="300">
      <c r="A300" s="138" t="s">
        <v>2364</v>
      </c>
      <c r="B300" s="153">
        <v>7416.0</v>
      </c>
      <c r="C300" s="31">
        <v>0.05</v>
      </c>
      <c r="D300" s="139">
        <v>0.64</v>
      </c>
      <c r="E300" s="139">
        <v>0.64</v>
      </c>
      <c r="F300" s="52"/>
      <c r="G300" s="10"/>
      <c r="H300" s="10"/>
      <c r="I300" s="10"/>
      <c r="J300" s="10"/>
      <c r="K300" s="10"/>
      <c r="L300" s="143" t="s">
        <v>2363</v>
      </c>
      <c r="M300" s="144">
        <v>6785.0</v>
      </c>
      <c r="N300" s="144"/>
      <c r="O300" s="144"/>
    </row>
    <row r="301">
      <c r="A301" s="138" t="s">
        <v>2365</v>
      </c>
      <c r="B301" s="134">
        <v>11601.0</v>
      </c>
      <c r="C301" s="31">
        <v>0.05</v>
      </c>
      <c r="D301" s="139">
        <v>0.64</v>
      </c>
      <c r="E301" s="139">
        <v>0.64</v>
      </c>
      <c r="F301" s="52"/>
      <c r="G301" s="10"/>
      <c r="H301" s="10"/>
      <c r="I301" s="10"/>
      <c r="J301" s="10"/>
      <c r="K301" s="10"/>
      <c r="L301" s="143" t="s">
        <v>2364</v>
      </c>
      <c r="M301" s="154">
        <v>7416.0</v>
      </c>
      <c r="N301" s="144"/>
      <c r="O301" s="154">
        <v>7416.0</v>
      </c>
    </row>
    <row r="302">
      <c r="A302" s="138" t="s">
        <v>2366</v>
      </c>
      <c r="B302" s="134">
        <v>7096.0</v>
      </c>
      <c r="C302" s="31">
        <v>0.05</v>
      </c>
      <c r="D302" s="139">
        <v>0.64</v>
      </c>
      <c r="E302" s="139">
        <v>0.64</v>
      </c>
      <c r="F302" s="52"/>
      <c r="G302" s="10"/>
      <c r="H302" s="10"/>
      <c r="I302" s="10"/>
      <c r="J302" s="10"/>
      <c r="K302" s="10"/>
      <c r="L302" s="145" t="s">
        <v>2365</v>
      </c>
      <c r="M302" s="5">
        <v>11601.0</v>
      </c>
      <c r="N302" s="5"/>
      <c r="O302" s="5"/>
    </row>
    <row r="303">
      <c r="A303" s="138" t="s">
        <v>2367</v>
      </c>
      <c r="B303" s="134">
        <v>189.0</v>
      </c>
      <c r="C303" s="31">
        <v>0.05</v>
      </c>
      <c r="D303" s="26">
        <v>0.78</v>
      </c>
      <c r="E303" s="26">
        <v>0.78</v>
      </c>
      <c r="F303" s="52"/>
      <c r="G303" s="10"/>
      <c r="H303" s="10"/>
      <c r="I303" s="10"/>
      <c r="J303" s="10"/>
      <c r="K303" s="10"/>
      <c r="L303" s="145" t="s">
        <v>2366</v>
      </c>
      <c r="M303" s="5">
        <v>7096.0</v>
      </c>
      <c r="N303" s="5"/>
      <c r="O303" s="5"/>
    </row>
    <row r="304">
      <c r="A304" s="138" t="s">
        <v>2368</v>
      </c>
      <c r="B304" s="134">
        <v>189.0</v>
      </c>
      <c r="C304" s="31">
        <v>0.05</v>
      </c>
      <c r="D304" s="26">
        <v>0.78</v>
      </c>
      <c r="E304" s="26">
        <v>0.78</v>
      </c>
      <c r="F304" s="52"/>
      <c r="G304" s="10"/>
      <c r="H304" s="10"/>
      <c r="I304" s="10"/>
      <c r="J304" s="10"/>
      <c r="K304" s="10"/>
      <c r="L304" s="143" t="s">
        <v>2367</v>
      </c>
      <c r="M304" s="144">
        <v>189.0</v>
      </c>
      <c r="N304" s="144"/>
      <c r="O304" s="144"/>
    </row>
    <row r="305">
      <c r="A305" s="138" t="s">
        <v>2369</v>
      </c>
      <c r="B305" s="134">
        <v>6729.0</v>
      </c>
      <c r="C305" s="31">
        <v>0.05</v>
      </c>
      <c r="D305" s="148">
        <v>0.78</v>
      </c>
      <c r="E305" s="83">
        <v>0.78</v>
      </c>
      <c r="F305" s="52"/>
      <c r="G305" s="10"/>
      <c r="H305" s="10"/>
      <c r="I305" s="10"/>
      <c r="J305" s="10"/>
      <c r="K305" s="10"/>
      <c r="L305" s="143" t="s">
        <v>2368</v>
      </c>
      <c r="M305" s="144">
        <v>189.0</v>
      </c>
      <c r="N305" s="144"/>
      <c r="O305" s="144"/>
    </row>
    <row r="306">
      <c r="A306" s="138" t="s">
        <v>2370</v>
      </c>
      <c r="B306" s="134">
        <v>2365.0</v>
      </c>
      <c r="C306" s="31">
        <v>0.05</v>
      </c>
      <c r="D306" s="139">
        <v>0.64</v>
      </c>
      <c r="E306" s="139">
        <v>0.64</v>
      </c>
      <c r="F306" s="52"/>
      <c r="G306" s="10"/>
      <c r="H306" s="10"/>
      <c r="I306" s="10"/>
      <c r="J306" s="10"/>
      <c r="K306" s="10"/>
      <c r="L306" s="143" t="s">
        <v>2369</v>
      </c>
      <c r="M306" s="144">
        <v>6729.0</v>
      </c>
      <c r="N306" s="144"/>
      <c r="O306" s="144"/>
    </row>
    <row r="307">
      <c r="A307" s="138" t="s">
        <v>2371</v>
      </c>
      <c r="B307" s="134">
        <v>9307.0</v>
      </c>
      <c r="C307" s="31">
        <v>0.05</v>
      </c>
      <c r="D307" s="139">
        <v>0.64</v>
      </c>
      <c r="E307" s="139">
        <v>0.64</v>
      </c>
      <c r="F307" s="52"/>
      <c r="G307" s="10"/>
      <c r="H307" s="10"/>
      <c r="I307" s="10"/>
      <c r="J307" s="10"/>
      <c r="K307" s="10"/>
      <c r="L307" s="143" t="s">
        <v>2370</v>
      </c>
      <c r="M307" s="144"/>
      <c r="N307" s="144"/>
      <c r="O307" s="144"/>
    </row>
    <row r="308">
      <c r="A308" s="138" t="s">
        <v>2372</v>
      </c>
      <c r="B308" s="134">
        <v>13951.0</v>
      </c>
      <c r="C308" s="31">
        <v>0.05</v>
      </c>
      <c r="D308" s="139">
        <v>0.64</v>
      </c>
      <c r="E308" s="139">
        <v>0.64</v>
      </c>
      <c r="F308" s="52"/>
      <c r="G308" s="10"/>
      <c r="H308" s="10"/>
      <c r="I308" s="10"/>
      <c r="J308" s="10"/>
      <c r="K308" s="10"/>
      <c r="L308" s="143" t="s">
        <v>2371</v>
      </c>
      <c r="M308" s="144">
        <v>9307.0</v>
      </c>
      <c r="N308" s="144"/>
      <c r="O308" s="144"/>
    </row>
    <row r="309">
      <c r="A309" s="138" t="s">
        <v>2373</v>
      </c>
      <c r="B309" s="16">
        <v>14732.0</v>
      </c>
      <c r="C309" s="31">
        <v>0.05</v>
      </c>
      <c r="D309" s="139">
        <v>0.64</v>
      </c>
      <c r="E309" s="139">
        <v>0.64</v>
      </c>
      <c r="F309" s="52"/>
      <c r="G309" s="10"/>
      <c r="H309" s="10"/>
      <c r="I309" s="10"/>
      <c r="J309" s="10"/>
      <c r="K309" s="10"/>
      <c r="L309" s="143" t="s">
        <v>2372</v>
      </c>
      <c r="M309" s="144">
        <v>13951.0</v>
      </c>
      <c r="N309" s="144"/>
      <c r="O309" s="144"/>
    </row>
    <row r="310">
      <c r="A310" s="138" t="s">
        <v>2374</v>
      </c>
      <c r="B310" s="134">
        <v>9746.0</v>
      </c>
      <c r="C310" s="31">
        <v>0.05</v>
      </c>
      <c r="D310" s="139">
        <v>0.64</v>
      </c>
      <c r="E310" s="139">
        <v>0.64</v>
      </c>
      <c r="F310" s="52"/>
      <c r="G310" s="10"/>
      <c r="H310" s="10"/>
      <c r="I310" s="10"/>
      <c r="J310" s="10"/>
      <c r="K310" s="10"/>
      <c r="L310" s="143" t="s">
        <v>2373</v>
      </c>
      <c r="M310" s="144"/>
      <c r="N310" s="144"/>
      <c r="O310" s="144"/>
    </row>
    <row r="311">
      <c r="A311" s="138" t="s">
        <v>2375</v>
      </c>
      <c r="B311" s="134">
        <v>11708.0</v>
      </c>
      <c r="C311" s="31">
        <v>0.05</v>
      </c>
      <c r="D311" s="139">
        <v>0.64</v>
      </c>
      <c r="E311" s="139">
        <v>0.64</v>
      </c>
      <c r="F311" s="52"/>
      <c r="G311" s="10"/>
      <c r="H311" s="10"/>
      <c r="I311" s="10"/>
      <c r="J311" s="10"/>
      <c r="K311" s="10"/>
      <c r="L311" s="143" t="s">
        <v>2374</v>
      </c>
      <c r="M311" s="144">
        <v>9746.0</v>
      </c>
      <c r="N311" s="144"/>
      <c r="O311" s="144"/>
    </row>
    <row r="312">
      <c r="A312" s="138" t="s">
        <v>2376</v>
      </c>
      <c r="B312" s="134">
        <v>6779.0</v>
      </c>
      <c r="C312" s="31">
        <v>0.05</v>
      </c>
      <c r="D312" s="139">
        <v>0.64</v>
      </c>
      <c r="E312" s="139">
        <v>0.64</v>
      </c>
      <c r="F312" s="52"/>
      <c r="G312" s="10"/>
      <c r="H312" s="10"/>
      <c r="I312" s="10"/>
      <c r="J312" s="10"/>
      <c r="K312" s="10"/>
      <c r="L312" s="145" t="s">
        <v>2375</v>
      </c>
      <c r="M312" s="5">
        <v>11708.0</v>
      </c>
      <c r="N312" s="5"/>
      <c r="O312" s="5"/>
    </row>
    <row r="313">
      <c r="A313" s="138" t="s">
        <v>2377</v>
      </c>
      <c r="B313" s="134">
        <v>6875.0</v>
      </c>
      <c r="C313" s="31">
        <v>0.05</v>
      </c>
      <c r="D313" s="139">
        <v>0.64</v>
      </c>
      <c r="E313" s="139">
        <v>0.64</v>
      </c>
      <c r="F313" s="52"/>
      <c r="G313" s="10"/>
      <c r="H313" s="10"/>
      <c r="I313" s="10"/>
      <c r="J313" s="10"/>
      <c r="K313" s="10"/>
      <c r="L313" s="143" t="s">
        <v>2376</v>
      </c>
      <c r="M313" s="144"/>
      <c r="N313" s="144"/>
      <c r="O313" s="144"/>
    </row>
    <row r="314">
      <c r="A314" s="138" t="s">
        <v>2378</v>
      </c>
      <c r="B314" s="134">
        <v>189.0</v>
      </c>
      <c r="C314" s="31">
        <v>0.05</v>
      </c>
      <c r="D314" s="26">
        <v>0.78</v>
      </c>
      <c r="E314" s="26">
        <v>0.78</v>
      </c>
      <c r="F314" s="52"/>
      <c r="G314" s="10"/>
      <c r="H314" s="10"/>
      <c r="I314" s="10"/>
      <c r="J314" s="10"/>
      <c r="K314" s="10"/>
      <c r="L314" s="143" t="s">
        <v>2377</v>
      </c>
      <c r="M314" s="144">
        <v>6875.0</v>
      </c>
      <c r="N314" s="144"/>
      <c r="O314" s="144"/>
    </row>
    <row r="315">
      <c r="A315" s="138" t="s">
        <v>2379</v>
      </c>
      <c r="B315" s="134">
        <v>189.0</v>
      </c>
      <c r="C315" s="31">
        <v>0.05</v>
      </c>
      <c r="D315" s="26">
        <v>0.78</v>
      </c>
      <c r="E315" s="26">
        <v>0.78</v>
      </c>
      <c r="F315" s="52"/>
      <c r="G315" s="10"/>
      <c r="H315" s="10"/>
      <c r="I315" s="10"/>
      <c r="J315" s="10"/>
      <c r="K315" s="10"/>
      <c r="L315" s="143" t="s">
        <v>2378</v>
      </c>
      <c r="M315" s="144">
        <v>189.0</v>
      </c>
      <c r="N315" s="144"/>
      <c r="O315" s="144"/>
    </row>
    <row r="316">
      <c r="A316" s="138" t="s">
        <v>2380</v>
      </c>
      <c r="B316" s="134">
        <v>189.0</v>
      </c>
      <c r="C316" s="31">
        <v>0.05</v>
      </c>
      <c r="D316" s="26">
        <v>0.78</v>
      </c>
      <c r="E316" s="26">
        <v>0.78</v>
      </c>
      <c r="F316" s="52"/>
      <c r="G316" s="10"/>
      <c r="H316" s="10"/>
      <c r="I316" s="10"/>
      <c r="J316" s="10"/>
      <c r="K316" s="10"/>
      <c r="L316" s="143" t="s">
        <v>2379</v>
      </c>
      <c r="M316" s="144">
        <v>189.0</v>
      </c>
      <c r="N316" s="144"/>
      <c r="O316" s="144"/>
    </row>
    <row r="317">
      <c r="A317" s="138" t="s">
        <v>2381</v>
      </c>
      <c r="B317" s="134">
        <v>189.0</v>
      </c>
      <c r="C317" s="31">
        <v>0.05</v>
      </c>
      <c r="D317" s="26">
        <v>0.78</v>
      </c>
      <c r="E317" s="26">
        <v>0.78</v>
      </c>
      <c r="F317" s="52"/>
      <c r="G317" s="10"/>
      <c r="H317" s="10"/>
      <c r="I317" s="10"/>
      <c r="J317" s="10"/>
      <c r="K317" s="10"/>
      <c r="L317" s="145" t="s">
        <v>2380</v>
      </c>
      <c r="M317" s="5">
        <v>189.0</v>
      </c>
      <c r="N317" s="5"/>
      <c r="O317" s="5"/>
    </row>
    <row r="318">
      <c r="A318" s="138" t="s">
        <v>2382</v>
      </c>
      <c r="B318" s="134">
        <v>5389.0</v>
      </c>
      <c r="C318" s="31">
        <v>0.05</v>
      </c>
      <c r="D318" s="139">
        <v>0.64</v>
      </c>
      <c r="E318" s="139">
        <v>0.64</v>
      </c>
      <c r="F318" s="52"/>
      <c r="G318" s="10"/>
      <c r="H318" s="10"/>
      <c r="I318" s="10"/>
      <c r="J318" s="10"/>
      <c r="K318" s="10"/>
      <c r="L318" s="145" t="s">
        <v>2381</v>
      </c>
      <c r="M318" s="5">
        <v>189.0</v>
      </c>
      <c r="N318" s="5"/>
      <c r="O318" s="5"/>
    </row>
    <row r="319">
      <c r="A319" s="138" t="s">
        <v>2383</v>
      </c>
      <c r="B319" s="134">
        <v>6875.0</v>
      </c>
      <c r="C319" s="31">
        <v>0.05</v>
      </c>
      <c r="D319" s="139">
        <v>0.64</v>
      </c>
      <c r="E319" s="139">
        <v>0.64</v>
      </c>
      <c r="F319" s="52"/>
      <c r="G319" s="10"/>
      <c r="H319" s="10"/>
      <c r="I319" s="10"/>
      <c r="J319" s="10"/>
      <c r="K319" s="10"/>
      <c r="L319" s="143" t="s">
        <v>2382</v>
      </c>
      <c r="M319" s="144">
        <v>5389.0</v>
      </c>
      <c r="N319" s="144"/>
      <c r="O319" s="144"/>
    </row>
    <row r="320">
      <c r="A320" s="138" t="s">
        <v>2384</v>
      </c>
      <c r="B320" s="134">
        <v>12932.0</v>
      </c>
      <c r="C320" s="31">
        <v>0.05</v>
      </c>
      <c r="D320" s="139">
        <v>0.64</v>
      </c>
      <c r="E320" s="139">
        <v>0.64</v>
      </c>
      <c r="F320" s="52"/>
      <c r="G320" s="10"/>
      <c r="H320" s="10"/>
      <c r="I320" s="10"/>
      <c r="J320" s="10"/>
      <c r="K320" s="10"/>
      <c r="L320" s="143" t="s">
        <v>2383</v>
      </c>
      <c r="M320" s="144">
        <v>6875.0</v>
      </c>
      <c r="N320" s="144"/>
      <c r="O320" s="144"/>
    </row>
    <row r="321">
      <c r="A321" s="138" t="s">
        <v>2385</v>
      </c>
      <c r="B321" s="134">
        <v>13829.0</v>
      </c>
      <c r="C321" s="31">
        <v>0.05</v>
      </c>
      <c r="D321" s="139">
        <v>0.64</v>
      </c>
      <c r="E321" s="139">
        <v>0.64</v>
      </c>
      <c r="F321" s="52"/>
      <c r="G321" s="10"/>
      <c r="H321" s="10"/>
      <c r="I321" s="10"/>
      <c r="J321" s="10"/>
      <c r="K321" s="10"/>
      <c r="L321" s="143" t="s">
        <v>2384</v>
      </c>
      <c r="M321" s="144">
        <v>12932.0</v>
      </c>
      <c r="N321" s="144"/>
      <c r="O321" s="144"/>
    </row>
    <row r="322">
      <c r="A322" s="138" t="s">
        <v>2386</v>
      </c>
      <c r="B322" s="134">
        <v>189.0</v>
      </c>
      <c r="C322" s="31">
        <v>0.05</v>
      </c>
      <c r="D322" s="26">
        <v>0.78</v>
      </c>
      <c r="E322" s="26">
        <v>0.78</v>
      </c>
      <c r="F322" s="52"/>
      <c r="G322" s="10"/>
      <c r="H322" s="10"/>
      <c r="I322" s="10"/>
      <c r="J322" s="10"/>
      <c r="K322" s="10"/>
      <c r="L322" s="143" t="s">
        <v>2385</v>
      </c>
      <c r="M322" s="144">
        <v>13829.0</v>
      </c>
      <c r="N322" s="144"/>
      <c r="O322" s="144"/>
    </row>
    <row r="323">
      <c r="A323" s="138" t="s">
        <v>2387</v>
      </c>
      <c r="B323" s="134">
        <v>7083.0</v>
      </c>
      <c r="C323" s="31">
        <v>0.05</v>
      </c>
      <c r="D323" s="148">
        <v>0.78</v>
      </c>
      <c r="E323" s="83">
        <v>0.78</v>
      </c>
      <c r="F323" s="52"/>
      <c r="G323" s="10"/>
      <c r="H323" s="10"/>
      <c r="I323" s="10"/>
      <c r="J323" s="10"/>
      <c r="K323" s="10"/>
      <c r="L323" s="143" t="s">
        <v>2386</v>
      </c>
      <c r="M323" s="144">
        <v>189.0</v>
      </c>
      <c r="N323" s="144"/>
      <c r="O323" s="144"/>
    </row>
    <row r="324">
      <c r="A324" s="138" t="s">
        <v>2388</v>
      </c>
      <c r="B324" s="134">
        <v>189.0</v>
      </c>
      <c r="C324" s="31">
        <v>0.05</v>
      </c>
      <c r="D324" s="26">
        <v>0.78</v>
      </c>
      <c r="E324" s="26">
        <v>0.78</v>
      </c>
      <c r="F324" s="52"/>
      <c r="G324" s="10"/>
      <c r="H324" s="10"/>
      <c r="I324" s="10"/>
      <c r="J324" s="10"/>
      <c r="K324" s="10"/>
      <c r="L324" s="143" t="s">
        <v>2387</v>
      </c>
      <c r="M324" s="144">
        <v>7083.0</v>
      </c>
      <c r="N324" s="144"/>
      <c r="O324" s="144"/>
    </row>
    <row r="325">
      <c r="A325" s="138" t="s">
        <v>2389</v>
      </c>
      <c r="B325" s="134">
        <v>10393.0</v>
      </c>
      <c r="C325" s="31">
        <v>0.05</v>
      </c>
      <c r="D325" s="139">
        <v>0.64</v>
      </c>
      <c r="E325" s="139">
        <v>0.64</v>
      </c>
      <c r="F325" s="52"/>
      <c r="G325" s="10"/>
      <c r="H325" s="10"/>
      <c r="I325" s="10"/>
      <c r="J325" s="10"/>
      <c r="K325" s="10"/>
      <c r="L325" s="143" t="s">
        <v>2388</v>
      </c>
      <c r="M325" s="144">
        <v>189.0</v>
      </c>
      <c r="N325" s="144"/>
      <c r="O325" s="144"/>
    </row>
    <row r="326">
      <c r="A326" s="138" t="s">
        <v>2390</v>
      </c>
      <c r="B326" s="134">
        <v>7083.0</v>
      </c>
      <c r="C326" s="31">
        <v>0.05</v>
      </c>
      <c r="D326" s="148">
        <v>0.78</v>
      </c>
      <c r="E326" s="83">
        <v>0.78</v>
      </c>
      <c r="F326" s="52"/>
      <c r="G326" s="10"/>
      <c r="H326" s="10"/>
      <c r="I326" s="10"/>
      <c r="J326" s="10"/>
      <c r="K326" s="10"/>
      <c r="L326" s="143" t="s">
        <v>2389</v>
      </c>
      <c r="M326" s="144">
        <v>10393.0</v>
      </c>
      <c r="N326" s="144"/>
      <c r="O326" s="144"/>
    </row>
    <row r="327">
      <c r="A327" s="138" t="s">
        <v>2391</v>
      </c>
      <c r="B327" s="53">
        <v>7747.0</v>
      </c>
      <c r="C327" s="31">
        <v>0.05</v>
      </c>
      <c r="D327" s="139">
        <v>0.64</v>
      </c>
      <c r="E327" s="139">
        <v>0.64</v>
      </c>
      <c r="F327" s="52"/>
      <c r="G327" s="10"/>
      <c r="H327" s="10"/>
      <c r="I327" s="10"/>
      <c r="J327" s="10"/>
      <c r="K327" s="10"/>
      <c r="L327" s="145" t="s">
        <v>2390</v>
      </c>
      <c r="M327" s="5">
        <v>7083.0</v>
      </c>
      <c r="N327" s="5"/>
      <c r="O327" s="5"/>
    </row>
    <row r="328">
      <c r="A328" s="138" t="s">
        <v>2392</v>
      </c>
      <c r="B328" s="155"/>
      <c r="C328" s="31">
        <v>0.05</v>
      </c>
      <c r="D328" s="139">
        <v>0.64</v>
      </c>
      <c r="E328" s="139">
        <v>0.64</v>
      </c>
      <c r="F328" s="52"/>
      <c r="G328" s="10"/>
      <c r="H328" s="10"/>
      <c r="I328" s="10"/>
      <c r="J328" s="10"/>
      <c r="K328" s="10"/>
      <c r="L328" s="143" t="s">
        <v>2391</v>
      </c>
      <c r="M328" s="144"/>
      <c r="N328" s="144"/>
      <c r="O328" s="144"/>
    </row>
    <row r="329">
      <c r="A329" s="138" t="s">
        <v>2393</v>
      </c>
      <c r="B329" s="134">
        <v>14248.0</v>
      </c>
      <c r="C329" s="31">
        <v>0.05</v>
      </c>
      <c r="D329" s="139">
        <v>0.64</v>
      </c>
      <c r="E329" s="139">
        <v>0.64</v>
      </c>
      <c r="F329" s="52"/>
      <c r="G329" s="10"/>
      <c r="H329" s="10"/>
      <c r="I329" s="10"/>
      <c r="J329" s="10"/>
      <c r="K329" s="10"/>
      <c r="L329" s="143" t="s">
        <v>2392</v>
      </c>
      <c r="M329" s="144"/>
      <c r="N329" s="144"/>
      <c r="O329" s="144"/>
    </row>
    <row r="330">
      <c r="A330" s="138" t="s">
        <v>2394</v>
      </c>
      <c r="B330" s="155"/>
      <c r="C330" s="31">
        <v>0.05</v>
      </c>
      <c r="D330" s="139">
        <v>0.64</v>
      </c>
      <c r="E330" s="139">
        <v>0.64</v>
      </c>
      <c r="F330" s="52"/>
      <c r="G330" s="10"/>
      <c r="H330" s="10"/>
      <c r="I330" s="10"/>
      <c r="J330" s="10"/>
      <c r="K330" s="10"/>
      <c r="L330" s="143" t="s">
        <v>2393</v>
      </c>
      <c r="M330" s="144">
        <v>14248.0</v>
      </c>
      <c r="N330" s="144"/>
      <c r="O330" s="144"/>
    </row>
    <row r="331">
      <c r="A331" s="138" t="s">
        <v>2395</v>
      </c>
      <c r="B331" s="134">
        <v>12301.0</v>
      </c>
      <c r="C331" s="31">
        <v>0.05</v>
      </c>
      <c r="D331" s="139">
        <v>0.64</v>
      </c>
      <c r="E331" s="139">
        <v>0.64</v>
      </c>
      <c r="F331" s="52"/>
      <c r="G331" s="10"/>
      <c r="H331" s="10"/>
      <c r="I331" s="10"/>
      <c r="J331" s="10"/>
      <c r="K331" s="10"/>
      <c r="L331" s="143" t="s">
        <v>2394</v>
      </c>
      <c r="M331" s="144"/>
      <c r="N331" s="144"/>
      <c r="O331" s="144"/>
    </row>
    <row r="332">
      <c r="A332" s="138" t="s">
        <v>2396</v>
      </c>
      <c r="B332" s="155"/>
      <c r="C332" s="31">
        <v>0.05</v>
      </c>
      <c r="D332" s="139">
        <v>0.64</v>
      </c>
      <c r="E332" s="139">
        <v>0.64</v>
      </c>
      <c r="F332" s="52"/>
      <c r="G332" s="10"/>
      <c r="H332" s="10"/>
      <c r="I332" s="10"/>
      <c r="J332" s="10"/>
      <c r="K332" s="10"/>
      <c r="L332" s="143" t="s">
        <v>2395</v>
      </c>
      <c r="M332" s="144">
        <v>12301.0</v>
      </c>
      <c r="N332" s="144"/>
      <c r="O332" s="144"/>
    </row>
    <row r="333">
      <c r="A333" s="138" t="s">
        <v>2397</v>
      </c>
      <c r="B333" s="134">
        <v>7124.0</v>
      </c>
      <c r="C333" s="31">
        <v>0.05</v>
      </c>
      <c r="D333" s="139">
        <v>0.64</v>
      </c>
      <c r="E333" s="139">
        <v>0.64</v>
      </c>
      <c r="F333" s="52"/>
      <c r="G333" s="10"/>
      <c r="H333" s="10"/>
      <c r="I333" s="10"/>
      <c r="J333" s="10"/>
      <c r="K333" s="10"/>
      <c r="L333" s="143" t="s">
        <v>2396</v>
      </c>
      <c r="M333" s="144"/>
      <c r="N333" s="144"/>
      <c r="O333" s="144"/>
    </row>
    <row r="334">
      <c r="A334" s="138" t="s">
        <v>2398</v>
      </c>
      <c r="B334" s="134"/>
      <c r="C334" s="31">
        <v>0.05</v>
      </c>
      <c r="D334" s="139">
        <v>0.64</v>
      </c>
      <c r="E334" s="139">
        <v>0.64</v>
      </c>
      <c r="F334" s="52"/>
      <c r="G334" s="10"/>
      <c r="H334" s="10"/>
      <c r="I334" s="10"/>
      <c r="J334" s="10"/>
      <c r="K334" s="10"/>
      <c r="L334" s="143" t="s">
        <v>2397</v>
      </c>
      <c r="M334" s="144">
        <v>7124.0</v>
      </c>
      <c r="N334" s="144"/>
      <c r="O334" s="144">
        <v>7124.0</v>
      </c>
    </row>
    <row r="335">
      <c r="A335" s="138" t="s">
        <v>2399</v>
      </c>
      <c r="B335" s="134">
        <v>14025.0</v>
      </c>
      <c r="C335" s="31">
        <v>0.05</v>
      </c>
      <c r="D335" s="139">
        <v>0.64</v>
      </c>
      <c r="E335" s="139">
        <v>0.64</v>
      </c>
      <c r="F335" s="52"/>
      <c r="G335" s="10"/>
      <c r="H335" s="10"/>
      <c r="I335" s="10"/>
      <c r="J335" s="10"/>
      <c r="K335" s="10"/>
      <c r="L335" s="143" t="s">
        <v>2398</v>
      </c>
      <c r="M335" s="144"/>
      <c r="N335" s="144"/>
      <c r="O335" s="144"/>
    </row>
    <row r="336">
      <c r="A336" s="138" t="s">
        <v>2400</v>
      </c>
      <c r="B336" s="134">
        <v>6873.0</v>
      </c>
      <c r="C336" s="31">
        <v>0.05</v>
      </c>
      <c r="D336" s="139">
        <v>0.64</v>
      </c>
      <c r="E336" s="139">
        <v>0.64</v>
      </c>
      <c r="F336" s="52"/>
      <c r="G336" s="10"/>
      <c r="H336" s="10"/>
      <c r="I336" s="10"/>
      <c r="J336" s="10"/>
      <c r="K336" s="10"/>
      <c r="L336" s="143" t="s">
        <v>2399</v>
      </c>
      <c r="M336" s="144"/>
      <c r="N336" s="144"/>
      <c r="O336" s="144"/>
    </row>
    <row r="337">
      <c r="A337" s="138" t="s">
        <v>2401</v>
      </c>
      <c r="B337" s="155"/>
      <c r="C337" s="31">
        <v>0.05</v>
      </c>
      <c r="D337" s="139">
        <v>0.64</v>
      </c>
      <c r="E337" s="139">
        <v>0.64</v>
      </c>
      <c r="F337" s="52"/>
      <c r="G337" s="10"/>
      <c r="H337" s="10"/>
      <c r="I337" s="10"/>
      <c r="J337" s="10"/>
      <c r="K337" s="10"/>
      <c r="L337" s="143" t="s">
        <v>2400</v>
      </c>
      <c r="M337" s="144">
        <v>6873.0</v>
      </c>
      <c r="N337" s="144"/>
      <c r="O337" s="144"/>
    </row>
    <row r="338">
      <c r="A338" s="138" t="s">
        <v>2402</v>
      </c>
      <c r="B338" s="155"/>
      <c r="C338" s="31">
        <v>0.05</v>
      </c>
      <c r="D338" s="139">
        <v>0.64</v>
      </c>
      <c r="E338" s="139">
        <v>0.64</v>
      </c>
      <c r="F338" s="52"/>
      <c r="G338" s="10"/>
      <c r="H338" s="10"/>
      <c r="I338" s="10"/>
      <c r="J338" s="10"/>
      <c r="K338" s="10"/>
      <c r="L338" s="143" t="s">
        <v>2401</v>
      </c>
      <c r="M338" s="144"/>
      <c r="N338" s="144"/>
      <c r="O338" s="144"/>
    </row>
    <row r="339">
      <c r="A339" s="138" t="s">
        <v>2403</v>
      </c>
      <c r="B339" s="155"/>
      <c r="C339" s="31">
        <v>0.05</v>
      </c>
      <c r="D339" s="139">
        <v>0.64</v>
      </c>
      <c r="E339" s="139">
        <v>0.64</v>
      </c>
      <c r="F339" s="52"/>
      <c r="G339" s="10"/>
      <c r="H339" s="10"/>
      <c r="I339" s="10"/>
      <c r="J339" s="10"/>
      <c r="K339" s="10"/>
      <c r="L339" s="143" t="s">
        <v>2402</v>
      </c>
      <c r="M339" s="144"/>
      <c r="N339" s="144"/>
      <c r="O339" s="144"/>
    </row>
    <row r="340">
      <c r="A340" s="138" t="s">
        <v>2404</v>
      </c>
      <c r="B340" s="134">
        <v>13858.0</v>
      </c>
      <c r="C340" s="31">
        <v>0.05</v>
      </c>
      <c r="D340" s="139">
        <v>0.64</v>
      </c>
      <c r="E340" s="139">
        <v>0.64</v>
      </c>
      <c r="F340" s="52"/>
      <c r="G340" s="10"/>
      <c r="H340" s="10"/>
      <c r="I340" s="10"/>
      <c r="J340" s="10"/>
      <c r="K340" s="10"/>
      <c r="L340" s="143" t="s">
        <v>2403</v>
      </c>
      <c r="M340" s="144"/>
      <c r="N340" s="144"/>
      <c r="O340" s="144"/>
    </row>
    <row r="341">
      <c r="A341" s="138" t="s">
        <v>2405</v>
      </c>
      <c r="B341" s="134">
        <v>14505.0</v>
      </c>
      <c r="C341" s="31">
        <v>0.05</v>
      </c>
      <c r="D341" s="139">
        <v>0.64</v>
      </c>
      <c r="E341" s="139">
        <v>0.64</v>
      </c>
      <c r="F341" s="52"/>
      <c r="G341" s="10"/>
      <c r="H341" s="10"/>
      <c r="I341" s="10"/>
      <c r="J341" s="10"/>
      <c r="K341" s="10"/>
      <c r="L341" s="143" t="s">
        <v>2404</v>
      </c>
      <c r="M341" s="144">
        <v>13858.0</v>
      </c>
      <c r="N341" s="144"/>
      <c r="O341" s="144"/>
    </row>
    <row r="342">
      <c r="A342" s="138" t="s">
        <v>2406</v>
      </c>
      <c r="B342" s="155"/>
      <c r="C342" s="31">
        <v>0.05</v>
      </c>
      <c r="D342" s="139">
        <v>0.64</v>
      </c>
      <c r="E342" s="139">
        <v>0.64</v>
      </c>
      <c r="F342" s="52"/>
      <c r="G342" s="10"/>
      <c r="H342" s="10"/>
      <c r="I342" s="10"/>
      <c r="J342" s="10"/>
      <c r="K342" s="10"/>
      <c r="L342" s="143" t="s">
        <v>2405</v>
      </c>
      <c r="M342" s="144"/>
      <c r="N342" s="144"/>
      <c r="O342" s="144"/>
    </row>
    <row r="343">
      <c r="A343" s="138" t="s">
        <v>2407</v>
      </c>
      <c r="B343" s="134">
        <v>7073.0</v>
      </c>
      <c r="C343" s="31">
        <v>0.05</v>
      </c>
      <c r="D343" s="139">
        <v>0.64</v>
      </c>
      <c r="E343" s="139">
        <v>0.64</v>
      </c>
      <c r="F343" s="52"/>
      <c r="G343" s="10"/>
      <c r="H343" s="10"/>
      <c r="I343" s="10"/>
      <c r="J343" s="10"/>
      <c r="K343" s="10"/>
      <c r="L343" s="143" t="s">
        <v>2406</v>
      </c>
      <c r="M343" s="144"/>
      <c r="N343" s="144"/>
      <c r="O343" s="144"/>
    </row>
    <row r="344">
      <c r="A344" s="138" t="s">
        <v>2408</v>
      </c>
      <c r="B344" s="134">
        <v>6728.0</v>
      </c>
      <c r="C344" s="31">
        <v>0.05</v>
      </c>
      <c r="D344" s="148">
        <v>0.78</v>
      </c>
      <c r="E344" s="83">
        <v>0.78</v>
      </c>
      <c r="F344" s="52"/>
      <c r="G344" s="10"/>
      <c r="H344" s="10"/>
      <c r="I344" s="10"/>
      <c r="J344" s="10"/>
      <c r="K344" s="10"/>
      <c r="L344" s="143" t="s">
        <v>2407</v>
      </c>
      <c r="M344" s="144">
        <v>7073.0</v>
      </c>
      <c r="N344" s="144"/>
      <c r="O344" s="144"/>
    </row>
    <row r="345">
      <c r="A345" s="138" t="s">
        <v>2409</v>
      </c>
      <c r="B345" s="134">
        <v>7181.0</v>
      </c>
      <c r="C345" s="31">
        <v>0.05</v>
      </c>
      <c r="D345" s="139">
        <v>0.64</v>
      </c>
      <c r="E345" s="139">
        <v>0.64</v>
      </c>
      <c r="F345" s="52"/>
      <c r="G345" s="10"/>
      <c r="H345" s="10"/>
      <c r="I345" s="10"/>
      <c r="J345" s="10"/>
      <c r="K345" s="10"/>
      <c r="L345" s="145" t="s">
        <v>2408</v>
      </c>
      <c r="M345" s="5">
        <v>6728.0</v>
      </c>
      <c r="N345" s="5"/>
      <c r="O345" s="5">
        <v>6728.0</v>
      </c>
    </row>
    <row r="346">
      <c r="A346" s="138" t="s">
        <v>2410</v>
      </c>
      <c r="B346" s="134">
        <v>12388.0</v>
      </c>
      <c r="C346" s="31">
        <v>0.05</v>
      </c>
      <c r="D346" s="139">
        <v>0.64</v>
      </c>
      <c r="E346" s="139">
        <v>0.64</v>
      </c>
      <c r="F346" s="52"/>
      <c r="G346" s="10"/>
      <c r="H346" s="10"/>
      <c r="I346" s="10"/>
      <c r="J346" s="10"/>
      <c r="K346" s="10"/>
      <c r="L346" s="143" t="s">
        <v>2409</v>
      </c>
      <c r="M346" s="144">
        <v>7181.0</v>
      </c>
      <c r="N346" s="144"/>
      <c r="O346" s="144">
        <v>7181.0</v>
      </c>
    </row>
    <row r="347">
      <c r="A347" s="138" t="s">
        <v>2411</v>
      </c>
      <c r="B347" s="134">
        <v>14580.0</v>
      </c>
      <c r="C347" s="31">
        <v>0.05</v>
      </c>
      <c r="D347" s="139">
        <v>0.64</v>
      </c>
      <c r="E347" s="139">
        <v>0.64</v>
      </c>
      <c r="F347" s="52"/>
      <c r="G347" s="10"/>
      <c r="H347" s="10"/>
      <c r="I347" s="10"/>
      <c r="J347" s="10"/>
      <c r="K347" s="10"/>
      <c r="L347" s="143" t="s">
        <v>2410</v>
      </c>
      <c r="M347" s="144"/>
      <c r="N347" s="144"/>
      <c r="O347" s="144"/>
    </row>
    <row r="348">
      <c r="A348" s="138" t="s">
        <v>2412</v>
      </c>
      <c r="B348" s="155"/>
      <c r="C348" s="31">
        <v>0.05</v>
      </c>
      <c r="D348" s="139">
        <v>0.64</v>
      </c>
      <c r="E348" s="139">
        <v>0.64</v>
      </c>
      <c r="F348" s="52"/>
      <c r="G348" s="10"/>
      <c r="H348" s="10"/>
      <c r="I348" s="10"/>
      <c r="J348" s="10"/>
      <c r="K348" s="10"/>
      <c r="L348" s="143" t="s">
        <v>2411</v>
      </c>
      <c r="M348" s="144"/>
      <c r="N348" s="144"/>
      <c r="O348" s="144"/>
    </row>
    <row r="349">
      <c r="A349" s="138" t="s">
        <v>2413</v>
      </c>
      <c r="B349" s="134">
        <v>889.0</v>
      </c>
      <c r="C349" s="31">
        <v>0.05</v>
      </c>
      <c r="D349" s="139">
        <v>0.64</v>
      </c>
      <c r="E349" s="139">
        <v>0.64</v>
      </c>
      <c r="F349" s="52"/>
      <c r="G349" s="10"/>
      <c r="H349" s="10"/>
      <c r="I349" s="10"/>
      <c r="J349" s="10"/>
      <c r="K349" s="10"/>
      <c r="L349" s="143" t="s">
        <v>2412</v>
      </c>
      <c r="M349" s="144"/>
      <c r="N349" s="144"/>
      <c r="O349" s="144"/>
    </row>
    <row r="350">
      <c r="A350" s="138" t="s">
        <v>2414</v>
      </c>
      <c r="B350" s="155"/>
      <c r="C350" s="31">
        <v>0.05</v>
      </c>
      <c r="D350" s="139">
        <v>0.64</v>
      </c>
      <c r="E350" s="139">
        <v>0.64</v>
      </c>
      <c r="F350" s="52"/>
      <c r="G350" s="10"/>
      <c r="H350" s="10"/>
      <c r="I350" s="10"/>
      <c r="J350" s="10"/>
      <c r="K350" s="10"/>
      <c r="L350" s="143" t="s">
        <v>2413</v>
      </c>
      <c r="M350" s="144"/>
      <c r="N350" s="144"/>
      <c r="O350" s="144"/>
    </row>
    <row r="351">
      <c r="A351" s="138" t="s">
        <v>2415</v>
      </c>
      <c r="B351" s="134">
        <v>6780.0</v>
      </c>
      <c r="C351" s="31">
        <v>0.05</v>
      </c>
      <c r="D351" s="139">
        <v>0.64</v>
      </c>
      <c r="E351" s="139">
        <v>0.64</v>
      </c>
      <c r="F351" s="52"/>
      <c r="G351" s="10"/>
      <c r="H351" s="10"/>
      <c r="I351" s="10"/>
      <c r="J351" s="10"/>
      <c r="K351" s="10"/>
      <c r="L351" s="143" t="s">
        <v>2414</v>
      </c>
      <c r="M351" s="144"/>
      <c r="N351" s="144"/>
      <c r="O351" s="144"/>
    </row>
    <row r="352">
      <c r="A352" s="138" t="s">
        <v>2416</v>
      </c>
      <c r="B352" s="134">
        <v>6824.0</v>
      </c>
      <c r="C352" s="31">
        <v>0.05</v>
      </c>
      <c r="D352" s="139">
        <v>0.64</v>
      </c>
      <c r="E352" s="139">
        <v>0.64</v>
      </c>
      <c r="F352" s="52"/>
      <c r="G352" s="10"/>
      <c r="H352" s="10"/>
      <c r="I352" s="10"/>
      <c r="J352" s="10"/>
      <c r="K352" s="10"/>
      <c r="L352" s="143" t="s">
        <v>2415</v>
      </c>
      <c r="M352" s="144">
        <v>6780.0</v>
      </c>
      <c r="N352" s="144"/>
      <c r="O352" s="144"/>
    </row>
    <row r="353">
      <c r="A353" s="138" t="s">
        <v>2417</v>
      </c>
      <c r="B353" s="155"/>
      <c r="C353" s="31">
        <v>0.05</v>
      </c>
      <c r="D353" s="139">
        <v>0.64</v>
      </c>
      <c r="E353" s="139">
        <v>0.64</v>
      </c>
      <c r="F353" s="52"/>
      <c r="G353" s="10"/>
      <c r="H353" s="10"/>
      <c r="I353" s="10"/>
      <c r="J353" s="10"/>
      <c r="K353" s="10"/>
      <c r="L353" s="143" t="s">
        <v>2416</v>
      </c>
      <c r="M353" s="144">
        <v>6824.0</v>
      </c>
      <c r="N353" s="144"/>
      <c r="O353" s="144"/>
    </row>
    <row r="354">
      <c r="A354" s="138" t="s">
        <v>2418</v>
      </c>
      <c r="B354" s="134">
        <v>14516.0</v>
      </c>
      <c r="C354" s="31">
        <v>0.05</v>
      </c>
      <c r="D354" s="139">
        <v>0.64</v>
      </c>
      <c r="E354" s="139">
        <v>0.64</v>
      </c>
      <c r="F354" s="52"/>
      <c r="G354" s="10"/>
      <c r="H354" s="10"/>
      <c r="I354" s="10"/>
      <c r="J354" s="10"/>
      <c r="K354" s="10"/>
      <c r="L354" s="143" t="s">
        <v>2417</v>
      </c>
      <c r="M354" s="144"/>
      <c r="N354" s="144"/>
      <c r="O354" s="144"/>
    </row>
    <row r="355">
      <c r="A355" s="138" t="s">
        <v>2419</v>
      </c>
      <c r="B355" s="134">
        <v>6767.0</v>
      </c>
      <c r="C355" s="31">
        <v>0.05</v>
      </c>
      <c r="D355" s="139">
        <v>0.64</v>
      </c>
      <c r="E355" s="139">
        <v>0.64</v>
      </c>
      <c r="F355" s="52"/>
      <c r="G355" s="10"/>
      <c r="H355" s="10"/>
      <c r="I355" s="10"/>
      <c r="J355" s="10"/>
      <c r="K355" s="10"/>
      <c r="L355" s="143" t="s">
        <v>2418</v>
      </c>
      <c r="M355" s="144"/>
      <c r="N355" s="144"/>
      <c r="O355" s="144"/>
    </row>
    <row r="356">
      <c r="A356" s="138" t="s">
        <v>1108</v>
      </c>
      <c r="B356" s="134">
        <v>12609.0</v>
      </c>
      <c r="C356" s="31">
        <v>0.05</v>
      </c>
      <c r="D356" s="139">
        <v>0.64</v>
      </c>
      <c r="E356" s="139">
        <v>0.64</v>
      </c>
      <c r="F356" s="52"/>
      <c r="G356" s="10"/>
      <c r="H356" s="10"/>
      <c r="I356" s="10"/>
      <c r="J356" s="10"/>
      <c r="K356" s="10"/>
      <c r="L356" s="143" t="s">
        <v>2419</v>
      </c>
      <c r="M356" s="144"/>
      <c r="N356" s="144"/>
      <c r="O356" s="144"/>
    </row>
    <row r="357">
      <c r="A357" s="138" t="s">
        <v>2420</v>
      </c>
      <c r="B357" s="155"/>
      <c r="C357" s="31">
        <v>0.05</v>
      </c>
      <c r="D357" s="139">
        <v>0.64</v>
      </c>
      <c r="E357" s="139">
        <v>0.64</v>
      </c>
      <c r="F357" s="52"/>
      <c r="G357" s="10"/>
      <c r="H357" s="10"/>
      <c r="I357" s="10"/>
      <c r="J357" s="10"/>
      <c r="K357" s="10"/>
      <c r="L357" s="143" t="s">
        <v>1108</v>
      </c>
      <c r="M357" s="144">
        <v>12609.0</v>
      </c>
      <c r="N357" s="144"/>
      <c r="O357" s="144"/>
    </row>
    <row r="358">
      <c r="A358" s="138" t="s">
        <v>2421</v>
      </c>
      <c r="B358" s="155"/>
      <c r="C358" s="31">
        <v>0.05</v>
      </c>
      <c r="D358" s="139">
        <v>0.64</v>
      </c>
      <c r="E358" s="139">
        <v>0.64</v>
      </c>
      <c r="F358" s="52"/>
      <c r="G358" s="10"/>
      <c r="H358" s="10"/>
      <c r="I358" s="10"/>
      <c r="J358" s="10"/>
      <c r="K358" s="10"/>
      <c r="L358" s="143" t="s">
        <v>2420</v>
      </c>
      <c r="M358" s="144"/>
      <c r="N358" s="144"/>
      <c r="O358" s="144"/>
    </row>
    <row r="359">
      <c r="A359" s="138" t="s">
        <v>2422</v>
      </c>
      <c r="B359" s="155"/>
      <c r="C359" s="31">
        <v>0.05</v>
      </c>
      <c r="D359" s="139">
        <v>0.64</v>
      </c>
      <c r="E359" s="139">
        <v>0.64</v>
      </c>
      <c r="F359" s="52"/>
      <c r="G359" s="10"/>
      <c r="H359" s="10"/>
      <c r="I359" s="10"/>
      <c r="J359" s="10"/>
      <c r="K359" s="10"/>
      <c r="L359" s="143" t="s">
        <v>2421</v>
      </c>
      <c r="M359" s="144"/>
      <c r="N359" s="144"/>
      <c r="O359" s="144"/>
    </row>
    <row r="360">
      <c r="A360" s="138" t="s">
        <v>2423</v>
      </c>
      <c r="B360" s="134">
        <v>14529.0</v>
      </c>
      <c r="C360" s="31">
        <v>0.05</v>
      </c>
      <c r="D360" s="139">
        <v>0.64</v>
      </c>
      <c r="E360" s="139">
        <v>0.64</v>
      </c>
      <c r="F360" s="52"/>
      <c r="G360" s="10"/>
      <c r="H360" s="10"/>
      <c r="I360" s="10"/>
      <c r="J360" s="10"/>
      <c r="K360" s="10"/>
      <c r="L360" s="143" t="s">
        <v>2422</v>
      </c>
      <c r="M360" s="144"/>
      <c r="N360" s="144"/>
      <c r="O360" s="144"/>
    </row>
    <row r="361">
      <c r="A361" s="138" t="s">
        <v>2424</v>
      </c>
      <c r="B361" s="155"/>
      <c r="C361" s="31">
        <v>0.05</v>
      </c>
      <c r="D361" s="139">
        <v>0.64</v>
      </c>
      <c r="E361" s="139">
        <v>0.64</v>
      </c>
      <c r="F361" s="52"/>
      <c r="G361" s="10"/>
      <c r="H361" s="10"/>
      <c r="I361" s="10"/>
      <c r="J361" s="10"/>
      <c r="K361" s="10"/>
      <c r="L361" s="143" t="s">
        <v>2423</v>
      </c>
      <c r="M361" s="144"/>
      <c r="N361" s="144"/>
      <c r="O361" s="144"/>
    </row>
    <row r="362">
      <c r="A362" s="138" t="s">
        <v>2425</v>
      </c>
      <c r="B362" s="134">
        <v>12932.0</v>
      </c>
      <c r="C362" s="31">
        <v>0.05</v>
      </c>
      <c r="D362" s="139">
        <v>0.64</v>
      </c>
      <c r="E362" s="139">
        <v>0.64</v>
      </c>
      <c r="F362" s="52"/>
      <c r="G362" s="10"/>
      <c r="H362" s="10"/>
      <c r="I362" s="10"/>
      <c r="J362" s="10"/>
      <c r="K362" s="10"/>
      <c r="L362" s="143" t="s">
        <v>2424</v>
      </c>
      <c r="M362" s="144"/>
      <c r="N362" s="144"/>
      <c r="O362" s="144"/>
    </row>
    <row r="363">
      <c r="A363" s="138" t="s">
        <v>2426</v>
      </c>
      <c r="B363" s="155"/>
      <c r="C363" s="31">
        <v>0.05</v>
      </c>
      <c r="D363" s="139">
        <v>0.64</v>
      </c>
      <c r="E363" s="139">
        <v>0.64</v>
      </c>
      <c r="F363" s="52"/>
      <c r="G363" s="10"/>
      <c r="H363" s="10"/>
      <c r="I363" s="10"/>
      <c r="J363" s="10"/>
      <c r="K363" s="10"/>
      <c r="L363" s="143" t="s">
        <v>2425</v>
      </c>
      <c r="M363" s="144"/>
      <c r="N363" s="144"/>
      <c r="O363" s="144"/>
    </row>
    <row r="364">
      <c r="A364" s="138" t="s">
        <v>2427</v>
      </c>
      <c r="B364" s="134">
        <v>315.0</v>
      </c>
      <c r="C364" s="31">
        <v>0.05</v>
      </c>
      <c r="D364" s="139">
        <v>0.64</v>
      </c>
      <c r="E364" s="139">
        <v>0.64</v>
      </c>
      <c r="F364" s="52"/>
      <c r="G364" s="10"/>
      <c r="H364" s="10"/>
      <c r="I364" s="10"/>
      <c r="J364" s="10"/>
      <c r="K364" s="10"/>
      <c r="L364" s="143" t="s">
        <v>2426</v>
      </c>
      <c r="M364" s="144"/>
      <c r="N364" s="144"/>
      <c r="O364" s="144"/>
    </row>
    <row r="365">
      <c r="A365" s="138" t="s">
        <v>2428</v>
      </c>
      <c r="B365" s="155"/>
      <c r="C365" s="31">
        <v>0.05</v>
      </c>
      <c r="D365" s="139">
        <v>0.64</v>
      </c>
      <c r="E365" s="139">
        <v>0.64</v>
      </c>
      <c r="F365" s="52"/>
      <c r="G365" s="10"/>
      <c r="H365" s="10"/>
      <c r="I365" s="10"/>
      <c r="J365" s="10"/>
      <c r="K365" s="10"/>
      <c r="L365" s="145" t="s">
        <v>2427</v>
      </c>
      <c r="M365" s="5">
        <v>315.0</v>
      </c>
      <c r="N365" s="5"/>
      <c r="O365" s="5"/>
    </row>
    <row r="366">
      <c r="A366" s="138" t="s">
        <v>2429</v>
      </c>
      <c r="B366" s="134">
        <v>14580.0</v>
      </c>
      <c r="C366" s="31">
        <v>0.05</v>
      </c>
      <c r="D366" s="139">
        <v>0.64</v>
      </c>
      <c r="E366" s="139">
        <v>0.64</v>
      </c>
      <c r="F366" s="52"/>
      <c r="G366" s="10"/>
      <c r="H366" s="10"/>
      <c r="I366" s="10"/>
      <c r="J366" s="10"/>
      <c r="K366" s="10"/>
      <c r="L366" s="143" t="s">
        <v>2428</v>
      </c>
      <c r="M366" s="144"/>
      <c r="N366" s="144"/>
      <c r="O366" s="144"/>
    </row>
    <row r="367">
      <c r="A367" s="138" t="s">
        <v>2430</v>
      </c>
      <c r="B367" s="134">
        <v>14267.0</v>
      </c>
      <c r="C367" s="31">
        <v>0.05</v>
      </c>
      <c r="D367" s="139">
        <v>0.64</v>
      </c>
      <c r="E367" s="139">
        <v>0.64</v>
      </c>
      <c r="F367" s="52"/>
      <c r="G367" s="10"/>
      <c r="H367" s="10"/>
      <c r="I367" s="10"/>
      <c r="J367" s="10"/>
      <c r="K367" s="10"/>
      <c r="L367" s="143" t="s">
        <v>2429</v>
      </c>
      <c r="M367" s="144"/>
      <c r="N367" s="144"/>
      <c r="O367" s="144"/>
    </row>
    <row r="368">
      <c r="A368" s="138" t="s">
        <v>2431</v>
      </c>
      <c r="B368" s="155"/>
      <c r="C368" s="31">
        <v>0.05</v>
      </c>
      <c r="D368" s="139">
        <v>0.64</v>
      </c>
      <c r="E368" s="139">
        <v>0.64</v>
      </c>
      <c r="F368" s="52"/>
      <c r="G368" s="10"/>
      <c r="H368" s="10"/>
      <c r="I368" s="10"/>
      <c r="J368" s="10"/>
      <c r="K368" s="10"/>
      <c r="L368" s="143" t="s">
        <v>2430</v>
      </c>
      <c r="M368" s="144">
        <v>14267.0</v>
      </c>
      <c r="N368" s="144"/>
      <c r="O368" s="144"/>
    </row>
    <row r="369">
      <c r="A369" s="138" t="s">
        <v>2432</v>
      </c>
      <c r="B369" s="134">
        <v>14267.0</v>
      </c>
      <c r="C369" s="31">
        <v>0.05</v>
      </c>
      <c r="D369" s="139">
        <v>0.64</v>
      </c>
      <c r="E369" s="139">
        <v>0.64</v>
      </c>
      <c r="F369" s="52"/>
      <c r="G369" s="10"/>
      <c r="H369" s="10"/>
      <c r="I369" s="10"/>
      <c r="J369" s="10"/>
      <c r="K369" s="10"/>
      <c r="L369" s="143" t="s">
        <v>2431</v>
      </c>
      <c r="M369" s="144"/>
      <c r="N369" s="144"/>
      <c r="O369" s="144"/>
    </row>
    <row r="370">
      <c r="A370" s="138" t="s">
        <v>2433</v>
      </c>
      <c r="B370" s="155"/>
      <c r="C370" s="31">
        <v>0.05</v>
      </c>
      <c r="D370" s="139">
        <v>0.64</v>
      </c>
      <c r="E370" s="139">
        <v>0.64</v>
      </c>
      <c r="F370" s="52"/>
      <c r="G370" s="10"/>
      <c r="H370" s="10"/>
      <c r="I370" s="10"/>
      <c r="J370" s="10"/>
      <c r="K370" s="10"/>
      <c r="L370" s="143" t="s">
        <v>2432</v>
      </c>
      <c r="M370" s="5">
        <v>14267.0</v>
      </c>
      <c r="N370" s="144"/>
      <c r="O370" s="144"/>
    </row>
    <row r="371">
      <c r="A371" s="138" t="s">
        <v>2434</v>
      </c>
      <c r="B371" s="134">
        <v>14646.0</v>
      </c>
      <c r="C371" s="31">
        <v>0.05</v>
      </c>
      <c r="D371" s="139">
        <v>0.64</v>
      </c>
      <c r="E371" s="139">
        <v>0.64</v>
      </c>
      <c r="F371" s="52"/>
      <c r="G371" s="10"/>
      <c r="H371" s="10"/>
      <c r="I371" s="10"/>
      <c r="J371" s="10"/>
      <c r="K371" s="10"/>
      <c r="L371" s="143" t="s">
        <v>2433</v>
      </c>
      <c r="M371" s="144"/>
      <c r="N371" s="144"/>
      <c r="O371" s="144"/>
    </row>
    <row r="372">
      <c r="A372" s="138" t="s">
        <v>2435</v>
      </c>
      <c r="B372" s="155"/>
      <c r="C372" s="31">
        <v>0.05</v>
      </c>
      <c r="D372" s="139">
        <v>0.64</v>
      </c>
      <c r="E372" s="139">
        <v>0.64</v>
      </c>
      <c r="F372" s="52"/>
      <c r="G372" s="10"/>
      <c r="H372" s="10"/>
      <c r="I372" s="10"/>
      <c r="J372" s="10"/>
      <c r="K372" s="10"/>
      <c r="L372" s="143" t="s">
        <v>2434</v>
      </c>
      <c r="M372" s="144"/>
      <c r="N372" s="144"/>
      <c r="O372" s="144"/>
    </row>
    <row r="373">
      <c r="A373" s="138" t="s">
        <v>2436</v>
      </c>
      <c r="B373" s="155"/>
      <c r="C373" s="31">
        <v>0.05</v>
      </c>
      <c r="D373" s="139">
        <v>0.64</v>
      </c>
      <c r="E373" s="139">
        <v>0.64</v>
      </c>
      <c r="F373" s="52"/>
      <c r="G373" s="10"/>
      <c r="H373" s="10"/>
      <c r="I373" s="10"/>
      <c r="J373" s="10"/>
      <c r="K373" s="10"/>
      <c r="L373" s="143" t="s">
        <v>2435</v>
      </c>
      <c r="M373" s="144"/>
      <c r="N373" s="144"/>
      <c r="O373" s="144"/>
    </row>
    <row r="374">
      <c r="A374" s="138" t="s">
        <v>2437</v>
      </c>
      <c r="B374" s="134">
        <v>14465.0</v>
      </c>
      <c r="C374" s="31">
        <v>0.05</v>
      </c>
      <c r="D374" s="147">
        <v>0.9</v>
      </c>
      <c r="E374" s="147">
        <v>0.9</v>
      </c>
      <c r="F374" s="52"/>
      <c r="G374" s="10"/>
      <c r="H374" s="10"/>
      <c r="I374" s="10"/>
      <c r="J374" s="10"/>
      <c r="K374" s="10"/>
      <c r="L374" s="143" t="s">
        <v>2436</v>
      </c>
      <c r="M374" s="144"/>
      <c r="N374" s="144"/>
      <c r="O374" s="144"/>
    </row>
    <row r="375">
      <c r="A375" s="138" t="s">
        <v>2438</v>
      </c>
      <c r="B375" s="134">
        <v>6697.0</v>
      </c>
      <c r="C375" s="31">
        <v>0.05</v>
      </c>
      <c r="D375" s="139">
        <v>0.64</v>
      </c>
      <c r="E375" s="139">
        <v>0.64</v>
      </c>
      <c r="F375" s="52"/>
      <c r="G375" s="10"/>
      <c r="H375" s="10"/>
      <c r="I375" s="10"/>
      <c r="J375" s="10"/>
      <c r="K375" s="10"/>
      <c r="L375" s="143" t="s">
        <v>2437</v>
      </c>
      <c r="M375" s="144"/>
      <c r="N375" s="144"/>
      <c r="O375" s="144"/>
    </row>
    <row r="376">
      <c r="A376" s="138" t="s">
        <v>2439</v>
      </c>
      <c r="B376" s="134">
        <v>14536.0</v>
      </c>
      <c r="C376" s="31">
        <v>0.05</v>
      </c>
      <c r="D376" s="139">
        <v>0.64</v>
      </c>
      <c r="E376" s="139">
        <v>0.64</v>
      </c>
      <c r="F376" s="52"/>
      <c r="G376" s="10"/>
      <c r="H376" s="10"/>
      <c r="I376" s="10"/>
      <c r="J376" s="10"/>
      <c r="K376" s="10"/>
      <c r="L376" s="143" t="s">
        <v>2438</v>
      </c>
      <c r="M376" s="144">
        <v>6697.0</v>
      </c>
      <c r="N376" s="144"/>
      <c r="O376" s="144"/>
    </row>
    <row r="377">
      <c r="A377" s="138" t="s">
        <v>2440</v>
      </c>
      <c r="B377" s="155"/>
      <c r="C377" s="31">
        <v>0.05</v>
      </c>
      <c r="D377" s="139">
        <v>0.64</v>
      </c>
      <c r="E377" s="139">
        <v>0.64</v>
      </c>
      <c r="F377" s="52"/>
      <c r="G377" s="10"/>
      <c r="H377" s="10"/>
      <c r="I377" s="10"/>
      <c r="J377" s="10"/>
      <c r="K377" s="10"/>
      <c r="L377" s="143" t="s">
        <v>2439</v>
      </c>
      <c r="M377" s="144"/>
      <c r="N377" s="144"/>
      <c r="O377" s="144"/>
    </row>
    <row r="378">
      <c r="A378" s="138" t="s">
        <v>2441</v>
      </c>
      <c r="B378" s="155"/>
      <c r="C378" s="31">
        <v>0.05</v>
      </c>
      <c r="D378" s="139">
        <v>0.64</v>
      </c>
      <c r="E378" s="139">
        <v>0.64</v>
      </c>
      <c r="F378" s="52"/>
      <c r="G378" s="10"/>
      <c r="H378" s="10"/>
      <c r="I378" s="10"/>
      <c r="J378" s="10"/>
      <c r="K378" s="10"/>
      <c r="L378" s="143" t="s">
        <v>2440</v>
      </c>
      <c r="M378" s="144"/>
      <c r="N378" s="144"/>
      <c r="O378" s="144"/>
    </row>
    <row r="379">
      <c r="A379" s="138" t="s">
        <v>2442</v>
      </c>
      <c r="B379" s="155"/>
      <c r="C379" s="31">
        <v>0.05</v>
      </c>
      <c r="D379" s="139">
        <v>0.64</v>
      </c>
      <c r="E379" s="139">
        <v>0.64</v>
      </c>
      <c r="F379" s="52"/>
      <c r="G379" s="10"/>
      <c r="H379" s="10"/>
      <c r="I379" s="10"/>
      <c r="J379" s="10"/>
      <c r="K379" s="10"/>
      <c r="L379" s="143" t="s">
        <v>2441</v>
      </c>
      <c r="M379" s="144"/>
      <c r="N379" s="144"/>
      <c r="O379" s="144"/>
    </row>
    <row r="380">
      <c r="A380" s="138" t="s">
        <v>2443</v>
      </c>
      <c r="B380" s="155"/>
      <c r="C380" s="31">
        <v>0.05</v>
      </c>
      <c r="D380" s="139">
        <v>0.64</v>
      </c>
      <c r="E380" s="139">
        <v>0.64</v>
      </c>
      <c r="F380" s="52"/>
      <c r="G380" s="10"/>
      <c r="H380" s="10"/>
      <c r="I380" s="10"/>
      <c r="J380" s="10"/>
      <c r="K380" s="10"/>
      <c r="L380" s="143" t="s">
        <v>2442</v>
      </c>
      <c r="M380" s="144"/>
      <c r="N380" s="144"/>
      <c r="O380" s="144"/>
    </row>
    <row r="381">
      <c r="A381" s="138" t="s">
        <v>2444</v>
      </c>
      <c r="B381" s="155"/>
      <c r="C381" s="31">
        <v>0.05</v>
      </c>
      <c r="D381" s="139">
        <v>0.64</v>
      </c>
      <c r="E381" s="139">
        <v>0.64</v>
      </c>
      <c r="F381" s="52"/>
      <c r="G381" s="10"/>
      <c r="H381" s="10"/>
      <c r="I381" s="10"/>
      <c r="J381" s="10"/>
      <c r="K381" s="10"/>
      <c r="L381" s="143" t="s">
        <v>2443</v>
      </c>
      <c r="M381" s="144"/>
      <c r="N381" s="144"/>
      <c r="O381" s="144"/>
    </row>
    <row r="382">
      <c r="A382" s="138" t="s">
        <v>2445</v>
      </c>
      <c r="B382" s="155"/>
      <c r="C382" s="31">
        <v>0.05</v>
      </c>
      <c r="D382" s="139">
        <v>0.64</v>
      </c>
      <c r="E382" s="139">
        <v>0.64</v>
      </c>
      <c r="F382" s="52"/>
      <c r="G382" s="10"/>
      <c r="H382" s="10"/>
      <c r="I382" s="10"/>
      <c r="J382" s="10"/>
      <c r="K382" s="10"/>
      <c r="L382" s="143" t="s">
        <v>2444</v>
      </c>
      <c r="M382" s="144"/>
      <c r="N382" s="144"/>
      <c r="O382" s="144"/>
    </row>
    <row r="383">
      <c r="A383" s="138" t="s">
        <v>2446</v>
      </c>
      <c r="B383" s="155"/>
      <c r="C383" s="31">
        <v>0.05</v>
      </c>
      <c r="D383" s="139">
        <v>0.64</v>
      </c>
      <c r="E383" s="139">
        <v>0.64</v>
      </c>
      <c r="F383" s="52"/>
      <c r="G383" s="10"/>
      <c r="H383" s="10"/>
      <c r="I383" s="10"/>
      <c r="J383" s="10"/>
      <c r="K383" s="10"/>
      <c r="L383" s="143" t="s">
        <v>2445</v>
      </c>
      <c r="M383" s="144"/>
      <c r="N383" s="144"/>
      <c r="O383" s="144"/>
    </row>
    <row r="384">
      <c r="A384" s="138" t="s">
        <v>2447</v>
      </c>
      <c r="B384" s="134"/>
      <c r="C384" s="31">
        <v>0.05</v>
      </c>
      <c r="D384" s="139">
        <v>0.64</v>
      </c>
      <c r="E384" s="139">
        <v>0.64</v>
      </c>
      <c r="F384" s="52"/>
      <c r="G384" s="10"/>
      <c r="H384" s="10"/>
      <c r="I384" s="10"/>
      <c r="J384" s="10"/>
      <c r="K384" s="10"/>
      <c r="L384" s="143" t="s">
        <v>2446</v>
      </c>
      <c r="M384" s="144"/>
      <c r="N384" s="144"/>
      <c r="O384" s="144"/>
    </row>
    <row r="385">
      <c r="A385" s="138" t="s">
        <v>2448</v>
      </c>
      <c r="B385" s="155"/>
      <c r="C385" s="31">
        <v>0.05</v>
      </c>
      <c r="D385" s="139">
        <v>0.64</v>
      </c>
      <c r="E385" s="139">
        <v>0.64</v>
      </c>
      <c r="F385" s="52"/>
      <c r="G385" s="10"/>
      <c r="H385" s="10"/>
      <c r="I385" s="10"/>
      <c r="J385" s="10"/>
      <c r="K385" s="10"/>
      <c r="L385" s="143" t="s">
        <v>2447</v>
      </c>
      <c r="M385" s="144"/>
      <c r="N385" s="144"/>
      <c r="O385" s="144"/>
    </row>
    <row r="386">
      <c r="A386" s="138" t="s">
        <v>2449</v>
      </c>
      <c r="B386" s="134">
        <v>7100.0</v>
      </c>
      <c r="C386" s="31">
        <v>0.05</v>
      </c>
      <c r="D386" s="139">
        <v>0.64</v>
      </c>
      <c r="E386" s="139">
        <v>0.64</v>
      </c>
      <c r="F386" s="52"/>
      <c r="G386" s="10"/>
      <c r="H386" s="10"/>
      <c r="I386" s="10"/>
      <c r="J386" s="10"/>
      <c r="K386" s="10"/>
      <c r="L386" s="143" t="s">
        <v>2448</v>
      </c>
      <c r="M386" s="144"/>
      <c r="N386" s="144"/>
      <c r="O386" s="144"/>
    </row>
    <row r="387">
      <c r="A387" s="138" t="s">
        <v>2450</v>
      </c>
      <c r="B387" s="134">
        <v>14575.0</v>
      </c>
      <c r="C387" s="31">
        <v>0.05</v>
      </c>
      <c r="D387" s="147">
        <v>0.85</v>
      </c>
      <c r="E387" s="147">
        <v>0.85</v>
      </c>
      <c r="F387" s="52"/>
      <c r="G387" s="10"/>
      <c r="H387" s="10"/>
      <c r="I387" s="10"/>
      <c r="J387" s="10"/>
      <c r="K387" s="10"/>
      <c r="L387" s="143" t="s">
        <v>2449</v>
      </c>
      <c r="M387" s="144"/>
      <c r="N387" s="144"/>
      <c r="O387" s="144"/>
    </row>
    <row r="388">
      <c r="A388" s="138" t="s">
        <v>2451</v>
      </c>
      <c r="B388" s="155"/>
      <c r="C388" s="31">
        <v>0.05</v>
      </c>
      <c r="D388" s="139">
        <v>0.64</v>
      </c>
      <c r="E388" s="139">
        <v>0.64</v>
      </c>
      <c r="F388" s="52"/>
      <c r="G388" s="10"/>
      <c r="H388" s="10"/>
      <c r="I388" s="10"/>
      <c r="J388" s="10"/>
      <c r="K388" s="10"/>
      <c r="L388" s="143" t="s">
        <v>2450</v>
      </c>
      <c r="M388" s="144"/>
      <c r="N388" s="144"/>
      <c r="O388" s="144"/>
    </row>
    <row r="389">
      <c r="A389" s="138" t="s">
        <v>2452</v>
      </c>
      <c r="B389" s="134">
        <v>14727.0</v>
      </c>
      <c r="C389" s="31">
        <v>0.05</v>
      </c>
      <c r="D389" s="139">
        <v>0.64</v>
      </c>
      <c r="E389" s="139">
        <v>0.64</v>
      </c>
      <c r="F389" s="52"/>
      <c r="G389" s="10"/>
      <c r="H389" s="10"/>
      <c r="I389" s="10"/>
      <c r="J389" s="10"/>
      <c r="K389" s="10"/>
      <c r="L389" s="143" t="s">
        <v>2451</v>
      </c>
      <c r="M389" s="144"/>
      <c r="N389" s="144"/>
      <c r="O389" s="144"/>
    </row>
    <row r="390">
      <c r="A390" s="138" t="s">
        <v>2453</v>
      </c>
      <c r="B390" s="155"/>
      <c r="C390" s="31">
        <v>0.05</v>
      </c>
      <c r="D390" s="139">
        <v>0.64</v>
      </c>
      <c r="E390" s="139">
        <v>0.64</v>
      </c>
      <c r="F390" s="52"/>
      <c r="G390" s="10"/>
      <c r="H390" s="10"/>
      <c r="I390" s="10"/>
      <c r="J390" s="10"/>
      <c r="K390" s="10"/>
      <c r="L390" s="143" t="s">
        <v>2452</v>
      </c>
      <c r="M390" s="144"/>
      <c r="N390" s="144"/>
      <c r="O390" s="144"/>
    </row>
    <row r="391">
      <c r="A391" s="138" t="s">
        <v>2454</v>
      </c>
      <c r="B391" s="134">
        <v>7229.0</v>
      </c>
      <c r="C391" s="31">
        <v>0.05</v>
      </c>
      <c r="D391" s="139">
        <v>0.64</v>
      </c>
      <c r="E391" s="139">
        <v>0.64</v>
      </c>
      <c r="F391" s="52"/>
      <c r="G391" s="10"/>
      <c r="H391" s="10"/>
      <c r="I391" s="10"/>
      <c r="J391" s="10"/>
      <c r="K391" s="10"/>
      <c r="L391" s="143" t="s">
        <v>2453</v>
      </c>
      <c r="M391" s="144"/>
      <c r="N391" s="144"/>
      <c r="O391" s="144"/>
    </row>
    <row r="392">
      <c r="A392" s="138" t="s">
        <v>2455</v>
      </c>
      <c r="B392" s="134">
        <v>12774.0</v>
      </c>
      <c r="C392" s="31">
        <v>0.05</v>
      </c>
      <c r="D392" s="139">
        <v>0.64</v>
      </c>
      <c r="E392" s="139">
        <v>0.64</v>
      </c>
      <c r="F392" s="52"/>
      <c r="G392" s="10"/>
      <c r="H392" s="10"/>
      <c r="I392" s="10"/>
      <c r="J392" s="10"/>
      <c r="K392" s="10"/>
      <c r="L392" s="143" t="s">
        <v>2454</v>
      </c>
      <c r="M392" s="144">
        <v>7229.0</v>
      </c>
      <c r="N392" s="144"/>
      <c r="O392" s="144">
        <v>7229.0</v>
      </c>
    </row>
    <row r="393">
      <c r="A393" s="138" t="s">
        <v>2456</v>
      </c>
      <c r="B393" s="155"/>
      <c r="C393" s="31">
        <v>0.05</v>
      </c>
      <c r="D393" s="139">
        <v>0.64</v>
      </c>
      <c r="E393" s="139">
        <v>0.64</v>
      </c>
      <c r="F393" s="52"/>
      <c r="G393" s="10"/>
      <c r="H393" s="10"/>
      <c r="I393" s="10"/>
      <c r="J393" s="10"/>
      <c r="K393" s="10"/>
      <c r="L393" s="143" t="s">
        <v>2455</v>
      </c>
      <c r="M393" s="144"/>
      <c r="N393" s="144"/>
      <c r="O393" s="144"/>
    </row>
    <row r="394">
      <c r="A394" s="138" t="s">
        <v>2457</v>
      </c>
      <c r="B394" s="155"/>
      <c r="C394" s="31">
        <v>0.05</v>
      </c>
      <c r="D394" s="139">
        <v>0.64</v>
      </c>
      <c r="E394" s="139">
        <v>0.64</v>
      </c>
      <c r="F394" s="52"/>
      <c r="G394" s="10"/>
      <c r="H394" s="10"/>
      <c r="I394" s="10"/>
      <c r="J394" s="10"/>
      <c r="K394" s="10"/>
      <c r="L394" s="143" t="s">
        <v>2456</v>
      </c>
      <c r="M394" s="144"/>
      <c r="N394" s="144"/>
      <c r="O394" s="144"/>
    </row>
    <row r="395">
      <c r="A395" s="138" t="s">
        <v>2458</v>
      </c>
      <c r="B395" s="155"/>
      <c r="C395" s="31">
        <v>0.05</v>
      </c>
      <c r="D395" s="139">
        <v>0.64</v>
      </c>
      <c r="E395" s="139">
        <v>0.64</v>
      </c>
      <c r="F395" s="52"/>
      <c r="G395" s="10"/>
      <c r="H395" s="10"/>
      <c r="I395" s="10"/>
      <c r="J395" s="10"/>
      <c r="K395" s="10"/>
      <c r="L395" s="143" t="s">
        <v>2457</v>
      </c>
      <c r="M395" s="144"/>
      <c r="N395" s="144"/>
      <c r="O395" s="144"/>
    </row>
    <row r="396">
      <c r="A396" s="138" t="s">
        <v>2459</v>
      </c>
      <c r="B396" s="134">
        <v>14638.0</v>
      </c>
      <c r="C396" s="31">
        <v>0.05</v>
      </c>
      <c r="D396" s="139">
        <v>0.64</v>
      </c>
      <c r="E396" s="139">
        <v>0.64</v>
      </c>
      <c r="F396" s="52"/>
      <c r="G396" s="10"/>
      <c r="H396" s="10"/>
      <c r="I396" s="10"/>
      <c r="J396" s="10"/>
      <c r="K396" s="10"/>
      <c r="L396" s="143" t="s">
        <v>2458</v>
      </c>
      <c r="M396" s="144"/>
      <c r="N396" s="144"/>
      <c r="O396" s="144"/>
    </row>
    <row r="397">
      <c r="A397" s="138" t="s">
        <v>2460</v>
      </c>
      <c r="B397" s="155"/>
      <c r="C397" s="31">
        <v>0.05</v>
      </c>
      <c r="D397" s="139">
        <v>0.64</v>
      </c>
      <c r="E397" s="139">
        <v>0.64</v>
      </c>
      <c r="F397" s="52"/>
      <c r="G397" s="10"/>
      <c r="H397" s="10"/>
      <c r="I397" s="10"/>
      <c r="J397" s="10"/>
      <c r="K397" s="10"/>
      <c r="L397" s="143" t="s">
        <v>2459</v>
      </c>
      <c r="M397" s="144"/>
      <c r="N397" s="144"/>
      <c r="O397" s="144"/>
    </row>
    <row r="398">
      <c r="A398" s="138" t="s">
        <v>2461</v>
      </c>
      <c r="B398" s="155"/>
      <c r="C398" s="31">
        <v>0.05</v>
      </c>
      <c r="D398" s="139">
        <v>0.64</v>
      </c>
      <c r="E398" s="139">
        <v>0.64</v>
      </c>
      <c r="F398" s="52"/>
      <c r="G398" s="10"/>
      <c r="H398" s="10"/>
      <c r="I398" s="10"/>
      <c r="J398" s="10"/>
      <c r="K398" s="10"/>
      <c r="L398" s="143" t="s">
        <v>2460</v>
      </c>
      <c r="M398" s="144"/>
      <c r="N398" s="144"/>
      <c r="O398" s="144"/>
    </row>
    <row r="399">
      <c r="A399" s="138" t="s">
        <v>2462</v>
      </c>
      <c r="B399" s="155"/>
      <c r="C399" s="31">
        <v>0.05</v>
      </c>
      <c r="D399" s="139">
        <v>0.64</v>
      </c>
      <c r="E399" s="139">
        <v>0.64</v>
      </c>
      <c r="F399" s="52"/>
      <c r="G399" s="10"/>
      <c r="H399" s="10"/>
      <c r="I399" s="10"/>
      <c r="J399" s="10"/>
      <c r="K399" s="10"/>
      <c r="L399" s="143" t="s">
        <v>2461</v>
      </c>
      <c r="M399" s="144"/>
      <c r="N399" s="144"/>
      <c r="O399" s="144"/>
    </row>
    <row r="400">
      <c r="A400" s="138" t="s">
        <v>2463</v>
      </c>
      <c r="B400" s="155"/>
      <c r="C400" s="31">
        <v>0.05</v>
      </c>
      <c r="D400" s="139">
        <v>0.64</v>
      </c>
      <c r="E400" s="139">
        <v>0.64</v>
      </c>
      <c r="F400" s="52"/>
      <c r="G400" s="10"/>
      <c r="H400" s="10"/>
      <c r="I400" s="10"/>
      <c r="J400" s="10"/>
      <c r="K400" s="10"/>
      <c r="L400" s="143" t="s">
        <v>2462</v>
      </c>
      <c r="M400" s="144"/>
      <c r="N400" s="144"/>
      <c r="O400" s="144"/>
    </row>
    <row r="401">
      <c r="A401" s="138" t="s">
        <v>2464</v>
      </c>
      <c r="B401" s="134">
        <v>10616.0</v>
      </c>
      <c r="C401" s="31">
        <v>0.05</v>
      </c>
      <c r="D401" s="139">
        <v>0.64</v>
      </c>
      <c r="E401" s="139">
        <v>0.64</v>
      </c>
      <c r="F401" s="52"/>
      <c r="G401" s="10"/>
      <c r="H401" s="10"/>
      <c r="I401" s="10"/>
      <c r="J401" s="10"/>
      <c r="K401" s="10"/>
      <c r="L401" s="143" t="s">
        <v>2463</v>
      </c>
      <c r="M401" s="144"/>
      <c r="N401" s="144"/>
      <c r="O401" s="144"/>
    </row>
    <row r="402">
      <c r="A402" s="138" t="s">
        <v>2465</v>
      </c>
      <c r="B402" s="134">
        <v>11049.0</v>
      </c>
      <c r="C402" s="31">
        <v>0.05</v>
      </c>
      <c r="D402" s="139">
        <v>0.64</v>
      </c>
      <c r="E402" s="139">
        <v>0.64</v>
      </c>
      <c r="F402" s="52"/>
      <c r="G402" s="10"/>
      <c r="H402" s="10"/>
      <c r="I402" s="10"/>
      <c r="J402" s="10"/>
      <c r="K402" s="10"/>
      <c r="L402" s="143" t="s">
        <v>2464</v>
      </c>
      <c r="M402" s="144">
        <v>10616.0</v>
      </c>
      <c r="N402" s="144"/>
      <c r="O402" s="144"/>
    </row>
    <row r="403">
      <c r="A403" s="138" t="s">
        <v>2466</v>
      </c>
      <c r="B403" s="134">
        <v>11049.0</v>
      </c>
      <c r="C403" s="31">
        <v>0.05</v>
      </c>
      <c r="D403" s="139">
        <v>0.64</v>
      </c>
      <c r="E403" s="139">
        <v>0.64</v>
      </c>
      <c r="F403" s="52"/>
      <c r="G403" s="10"/>
      <c r="H403" s="10"/>
      <c r="I403" s="10"/>
      <c r="J403" s="10"/>
      <c r="K403" s="10"/>
      <c r="L403" s="143" t="s">
        <v>2465</v>
      </c>
      <c r="M403" s="144"/>
      <c r="N403" s="144"/>
      <c r="O403" s="144"/>
    </row>
    <row r="404">
      <c r="A404" s="138" t="s">
        <v>2467</v>
      </c>
      <c r="B404" s="134">
        <v>11049.0</v>
      </c>
      <c r="C404" s="31">
        <v>0.05</v>
      </c>
      <c r="D404" s="139">
        <v>0.64</v>
      </c>
      <c r="E404" s="139">
        <v>0.64</v>
      </c>
      <c r="F404" s="52"/>
      <c r="G404" s="10"/>
      <c r="H404" s="10"/>
      <c r="I404" s="10"/>
      <c r="J404" s="10"/>
      <c r="K404" s="10"/>
      <c r="L404" s="143" t="s">
        <v>2466</v>
      </c>
      <c r="M404" s="144"/>
      <c r="N404" s="144"/>
      <c r="O404" s="144"/>
    </row>
    <row r="405">
      <c r="A405" s="138" t="s">
        <v>2468</v>
      </c>
      <c r="B405" s="134">
        <v>11049.0</v>
      </c>
      <c r="C405" s="31">
        <v>0.05</v>
      </c>
      <c r="D405" s="139">
        <v>0.64</v>
      </c>
      <c r="E405" s="139">
        <v>0.64</v>
      </c>
      <c r="F405" s="52"/>
      <c r="G405" s="10"/>
      <c r="H405" s="10"/>
      <c r="I405" s="10"/>
      <c r="J405" s="10"/>
      <c r="K405" s="10"/>
      <c r="L405" s="143" t="s">
        <v>2467</v>
      </c>
      <c r="M405" s="144"/>
      <c r="N405" s="144"/>
      <c r="O405" s="144"/>
    </row>
    <row r="406">
      <c r="A406" s="138" t="s">
        <v>2469</v>
      </c>
      <c r="B406" s="134">
        <v>11049.0</v>
      </c>
      <c r="C406" s="31">
        <v>0.05</v>
      </c>
      <c r="D406" s="139">
        <v>0.64</v>
      </c>
      <c r="E406" s="139">
        <v>0.64</v>
      </c>
      <c r="F406" s="52"/>
      <c r="G406" s="10"/>
      <c r="H406" s="10"/>
      <c r="I406" s="10"/>
      <c r="J406" s="10"/>
      <c r="K406" s="10"/>
      <c r="L406" s="143" t="s">
        <v>2468</v>
      </c>
      <c r="M406" s="144"/>
      <c r="N406" s="144"/>
      <c r="O406" s="144"/>
    </row>
    <row r="407">
      <c r="A407" s="138" t="s">
        <v>2470</v>
      </c>
      <c r="B407" s="134">
        <v>11049.0</v>
      </c>
      <c r="C407" s="31">
        <v>0.05</v>
      </c>
      <c r="D407" s="139">
        <v>0.64</v>
      </c>
      <c r="E407" s="139">
        <v>0.64</v>
      </c>
      <c r="F407" s="52"/>
      <c r="G407" s="10"/>
      <c r="H407" s="10"/>
      <c r="I407" s="10"/>
      <c r="J407" s="10"/>
      <c r="K407" s="10"/>
      <c r="L407" s="143" t="s">
        <v>2469</v>
      </c>
      <c r="M407" s="144"/>
      <c r="N407" s="144"/>
      <c r="O407" s="144"/>
    </row>
    <row r="408">
      <c r="A408" s="138" t="s">
        <v>2471</v>
      </c>
      <c r="B408" s="134">
        <v>11049.0</v>
      </c>
      <c r="C408" s="31">
        <v>0.05</v>
      </c>
      <c r="D408" s="139">
        <v>0.64</v>
      </c>
      <c r="E408" s="139">
        <v>0.64</v>
      </c>
      <c r="F408" s="52"/>
      <c r="G408" s="10"/>
      <c r="H408" s="10"/>
      <c r="I408" s="10"/>
      <c r="J408" s="10"/>
      <c r="K408" s="10"/>
      <c r="L408" s="143" t="s">
        <v>2470</v>
      </c>
      <c r="M408" s="144"/>
      <c r="N408" s="144"/>
      <c r="O408" s="144"/>
    </row>
    <row r="409">
      <c r="A409" s="138" t="s">
        <v>2472</v>
      </c>
      <c r="B409" s="134">
        <v>11049.0</v>
      </c>
      <c r="C409" s="31">
        <v>0.05</v>
      </c>
      <c r="D409" s="139">
        <v>0.64</v>
      </c>
      <c r="E409" s="139">
        <v>0.64</v>
      </c>
      <c r="F409" s="52"/>
      <c r="G409" s="10"/>
      <c r="H409" s="10"/>
      <c r="I409" s="10"/>
      <c r="J409" s="10"/>
      <c r="K409" s="10"/>
      <c r="L409" s="143" t="s">
        <v>2471</v>
      </c>
      <c r="M409" s="144"/>
      <c r="N409" s="144"/>
      <c r="O409" s="144"/>
    </row>
    <row r="410">
      <c r="A410" s="138" t="s">
        <v>2473</v>
      </c>
      <c r="B410" s="134">
        <v>11049.0</v>
      </c>
      <c r="C410" s="31">
        <v>0.05</v>
      </c>
      <c r="D410" s="139">
        <v>0.64</v>
      </c>
      <c r="E410" s="139">
        <v>0.64</v>
      </c>
      <c r="F410" s="52"/>
      <c r="G410" s="10"/>
      <c r="H410" s="10"/>
      <c r="I410" s="10"/>
      <c r="J410" s="10"/>
      <c r="K410" s="10"/>
      <c r="L410" s="143" t="s">
        <v>2472</v>
      </c>
      <c r="M410" s="144"/>
      <c r="N410" s="144"/>
      <c r="O410" s="144"/>
    </row>
    <row r="411">
      <c r="A411" s="138" t="s">
        <v>2474</v>
      </c>
      <c r="B411" s="134">
        <v>11049.0</v>
      </c>
      <c r="C411" s="31">
        <v>0.05</v>
      </c>
      <c r="D411" s="139">
        <v>0.64</v>
      </c>
      <c r="E411" s="139">
        <v>0.64</v>
      </c>
      <c r="F411" s="52"/>
      <c r="G411" s="10"/>
      <c r="H411" s="10"/>
      <c r="I411" s="10"/>
      <c r="J411" s="10"/>
      <c r="K411" s="10"/>
      <c r="L411" s="143" t="s">
        <v>2473</v>
      </c>
      <c r="M411" s="144"/>
      <c r="N411" s="144"/>
      <c r="O411" s="144"/>
    </row>
    <row r="412">
      <c r="A412" s="138" t="s">
        <v>2475</v>
      </c>
      <c r="B412" s="134">
        <v>11049.0</v>
      </c>
      <c r="C412" s="31">
        <v>0.05</v>
      </c>
      <c r="D412" s="139">
        <v>0.64</v>
      </c>
      <c r="E412" s="139">
        <v>0.64</v>
      </c>
      <c r="F412" s="52"/>
      <c r="G412" s="10"/>
      <c r="H412" s="10"/>
      <c r="I412" s="10"/>
      <c r="J412" s="10"/>
      <c r="K412" s="10"/>
      <c r="L412" s="143" t="s">
        <v>2474</v>
      </c>
      <c r="M412" s="144"/>
      <c r="N412" s="144"/>
      <c r="O412" s="144"/>
    </row>
    <row r="413">
      <c r="A413" s="138" t="s">
        <v>2476</v>
      </c>
      <c r="B413" s="134">
        <v>11049.0</v>
      </c>
      <c r="C413" s="31">
        <v>0.05</v>
      </c>
      <c r="D413" s="139">
        <v>0.64</v>
      </c>
      <c r="E413" s="139">
        <v>0.64</v>
      </c>
      <c r="F413" s="52"/>
      <c r="G413" s="10"/>
      <c r="H413" s="10"/>
      <c r="I413" s="10"/>
      <c r="J413" s="10"/>
      <c r="K413" s="10"/>
      <c r="L413" s="143" t="s">
        <v>2475</v>
      </c>
      <c r="M413" s="144"/>
      <c r="N413" s="144"/>
      <c r="O413" s="144"/>
    </row>
    <row r="414">
      <c r="A414" s="138" t="s">
        <v>2477</v>
      </c>
      <c r="B414" s="134">
        <v>11049.0</v>
      </c>
      <c r="C414" s="31">
        <v>0.05</v>
      </c>
      <c r="D414" s="139">
        <v>0.64</v>
      </c>
      <c r="E414" s="139">
        <v>0.64</v>
      </c>
      <c r="F414" s="52"/>
      <c r="G414" s="10"/>
      <c r="H414" s="10"/>
      <c r="I414" s="10"/>
      <c r="J414" s="10"/>
      <c r="K414" s="10"/>
      <c r="L414" s="143" t="s">
        <v>2476</v>
      </c>
      <c r="M414" s="144"/>
      <c r="N414" s="144"/>
      <c r="O414" s="144"/>
    </row>
    <row r="415">
      <c r="A415" s="138" t="s">
        <v>2478</v>
      </c>
      <c r="B415" s="134">
        <v>11049.0</v>
      </c>
      <c r="C415" s="31">
        <v>0.05</v>
      </c>
      <c r="D415" s="139">
        <v>0.64</v>
      </c>
      <c r="E415" s="139">
        <v>0.64</v>
      </c>
      <c r="F415" s="52"/>
      <c r="G415" s="10"/>
      <c r="H415" s="10"/>
      <c r="I415" s="10"/>
      <c r="J415" s="10"/>
      <c r="K415" s="10"/>
      <c r="L415" s="143" t="s">
        <v>2477</v>
      </c>
      <c r="M415" s="144"/>
      <c r="N415" s="144"/>
      <c r="O415" s="144"/>
    </row>
    <row r="416">
      <c r="A416" s="138" t="s">
        <v>2479</v>
      </c>
      <c r="B416" s="134">
        <v>271.0</v>
      </c>
      <c r="C416" s="31">
        <v>0.05</v>
      </c>
      <c r="D416" s="139">
        <v>0.64</v>
      </c>
      <c r="E416" s="139">
        <v>0.64</v>
      </c>
      <c r="F416" s="52"/>
      <c r="G416" s="10"/>
      <c r="H416" s="10"/>
      <c r="I416" s="10"/>
      <c r="J416" s="10"/>
      <c r="K416" s="10"/>
      <c r="L416" s="143" t="s">
        <v>2478</v>
      </c>
      <c r="M416" s="144"/>
      <c r="N416" s="144"/>
      <c r="O416" s="144"/>
    </row>
    <row r="417">
      <c r="A417" s="138" t="s">
        <v>2480</v>
      </c>
      <c r="B417" s="134">
        <v>271.0</v>
      </c>
      <c r="C417" s="31">
        <v>0.05</v>
      </c>
      <c r="D417" s="139">
        <v>0.64</v>
      </c>
      <c r="E417" s="139">
        <v>0.64</v>
      </c>
      <c r="F417" s="52"/>
      <c r="G417" s="10"/>
      <c r="H417" s="10"/>
      <c r="I417" s="10"/>
      <c r="J417" s="10"/>
      <c r="K417" s="10"/>
      <c r="L417" s="143" t="s">
        <v>2479</v>
      </c>
      <c r="M417" s="144">
        <v>271.0</v>
      </c>
      <c r="N417" s="144"/>
      <c r="O417" s="144"/>
    </row>
    <row r="418">
      <c r="A418" s="138" t="s">
        <v>2481</v>
      </c>
      <c r="B418" s="134">
        <v>11049.0</v>
      </c>
      <c r="C418" s="31">
        <v>0.05</v>
      </c>
      <c r="D418" s="139">
        <v>0.64</v>
      </c>
      <c r="E418" s="139">
        <v>0.64</v>
      </c>
      <c r="F418" s="52"/>
      <c r="G418" s="10"/>
      <c r="H418" s="10"/>
      <c r="I418" s="10"/>
      <c r="J418" s="10"/>
      <c r="K418" s="10"/>
      <c r="L418" s="143" t="s">
        <v>2480</v>
      </c>
      <c r="M418" s="144">
        <v>271.0</v>
      </c>
      <c r="N418" s="144"/>
      <c r="O418" s="144"/>
    </row>
    <row r="419">
      <c r="A419" s="138" t="s">
        <v>2482</v>
      </c>
      <c r="B419" s="134">
        <v>11049.0</v>
      </c>
      <c r="C419" s="31">
        <v>0.05</v>
      </c>
      <c r="D419" s="139">
        <v>0.64</v>
      </c>
      <c r="E419" s="139">
        <v>0.64</v>
      </c>
      <c r="F419" s="52"/>
      <c r="G419" s="10"/>
      <c r="H419" s="10"/>
      <c r="I419" s="10"/>
      <c r="J419" s="10"/>
      <c r="K419" s="10"/>
      <c r="L419" s="143" t="s">
        <v>2481</v>
      </c>
      <c r="M419" s="144"/>
      <c r="N419" s="144"/>
      <c r="O419" s="144"/>
    </row>
    <row r="420">
      <c r="A420" s="138" t="s">
        <v>2483</v>
      </c>
      <c r="B420" s="134">
        <v>11049.0</v>
      </c>
      <c r="C420" s="31">
        <v>0.05</v>
      </c>
      <c r="D420" s="139">
        <v>0.64</v>
      </c>
      <c r="E420" s="139">
        <v>0.64</v>
      </c>
      <c r="F420" s="52"/>
      <c r="G420" s="10"/>
      <c r="H420" s="10"/>
      <c r="I420" s="10"/>
      <c r="J420" s="10"/>
      <c r="K420" s="10"/>
      <c r="L420" s="143" t="s">
        <v>2482</v>
      </c>
      <c r="M420" s="144"/>
      <c r="N420" s="144"/>
      <c r="O420" s="144"/>
    </row>
    <row r="421">
      <c r="A421" s="138" t="s">
        <v>2484</v>
      </c>
      <c r="B421" s="134">
        <v>11049.0</v>
      </c>
      <c r="C421" s="31">
        <v>0.05</v>
      </c>
      <c r="D421" s="139">
        <v>0.64</v>
      </c>
      <c r="E421" s="139">
        <v>0.64</v>
      </c>
      <c r="F421" s="52"/>
      <c r="G421" s="10"/>
      <c r="H421" s="10"/>
      <c r="I421" s="10"/>
      <c r="J421" s="10"/>
      <c r="K421" s="10"/>
      <c r="L421" s="143" t="s">
        <v>2483</v>
      </c>
      <c r="M421" s="144"/>
      <c r="N421" s="144"/>
      <c r="O421" s="144"/>
    </row>
    <row r="422">
      <c r="A422" s="138" t="s">
        <v>2485</v>
      </c>
      <c r="B422" s="134">
        <v>11049.0</v>
      </c>
      <c r="C422" s="31">
        <v>0.05</v>
      </c>
      <c r="D422" s="139">
        <v>0.64</v>
      </c>
      <c r="E422" s="139">
        <v>0.64</v>
      </c>
      <c r="F422" s="52"/>
      <c r="G422" s="10"/>
      <c r="H422" s="10"/>
      <c r="I422" s="10"/>
      <c r="J422" s="10"/>
      <c r="K422" s="10"/>
      <c r="L422" s="143" t="s">
        <v>2484</v>
      </c>
      <c r="M422" s="144"/>
      <c r="N422" s="144"/>
      <c r="O422" s="144"/>
    </row>
    <row r="423">
      <c r="A423" s="138" t="s">
        <v>2486</v>
      </c>
      <c r="B423" s="134">
        <v>11049.0</v>
      </c>
      <c r="C423" s="31">
        <v>0.05</v>
      </c>
      <c r="D423" s="139">
        <v>0.64</v>
      </c>
      <c r="E423" s="139">
        <v>0.64</v>
      </c>
      <c r="F423" s="52"/>
      <c r="G423" s="10"/>
      <c r="H423" s="10"/>
      <c r="I423" s="10"/>
      <c r="J423" s="10"/>
      <c r="K423" s="10"/>
      <c r="L423" s="143" t="s">
        <v>2485</v>
      </c>
      <c r="M423" s="144"/>
      <c r="N423" s="144"/>
      <c r="O423" s="144"/>
    </row>
    <row r="424">
      <c r="A424" s="138" t="s">
        <v>2487</v>
      </c>
      <c r="B424" s="134">
        <v>11049.0</v>
      </c>
      <c r="C424" s="31">
        <v>0.05</v>
      </c>
      <c r="D424" s="139">
        <v>0.64</v>
      </c>
      <c r="E424" s="139">
        <v>0.64</v>
      </c>
      <c r="F424" s="52"/>
      <c r="G424" s="10"/>
      <c r="H424" s="10"/>
      <c r="I424" s="10"/>
      <c r="J424" s="10"/>
      <c r="K424" s="10"/>
      <c r="L424" s="143" t="s">
        <v>2486</v>
      </c>
      <c r="M424" s="144"/>
      <c r="N424" s="144"/>
      <c r="O424" s="144"/>
    </row>
    <row r="425">
      <c r="A425" s="138" t="s">
        <v>2488</v>
      </c>
      <c r="B425" s="134">
        <v>11049.0</v>
      </c>
      <c r="C425" s="31">
        <v>0.05</v>
      </c>
      <c r="D425" s="139">
        <v>0.64</v>
      </c>
      <c r="E425" s="139">
        <v>0.64</v>
      </c>
      <c r="F425" s="52"/>
      <c r="G425" s="10"/>
      <c r="H425" s="10"/>
      <c r="I425" s="10"/>
      <c r="J425" s="10"/>
      <c r="K425" s="10"/>
      <c r="L425" s="143" t="s">
        <v>2487</v>
      </c>
      <c r="M425" s="144"/>
      <c r="N425" s="144"/>
      <c r="O425" s="144"/>
    </row>
    <row r="426">
      <c r="A426" s="138" t="s">
        <v>2489</v>
      </c>
      <c r="B426" s="134">
        <v>11049.0</v>
      </c>
      <c r="C426" s="31">
        <v>0.05</v>
      </c>
      <c r="D426" s="139">
        <v>0.64</v>
      </c>
      <c r="E426" s="139">
        <v>0.64</v>
      </c>
      <c r="F426" s="52"/>
      <c r="G426" s="10"/>
      <c r="H426" s="10"/>
      <c r="I426" s="10"/>
      <c r="J426" s="10"/>
      <c r="K426" s="10"/>
      <c r="L426" s="143" t="s">
        <v>2488</v>
      </c>
      <c r="M426" s="144"/>
      <c r="N426" s="144"/>
      <c r="O426" s="144"/>
    </row>
    <row r="427">
      <c r="A427" s="138" t="s">
        <v>2490</v>
      </c>
      <c r="B427" s="134">
        <v>11049.0</v>
      </c>
      <c r="C427" s="31">
        <v>0.05</v>
      </c>
      <c r="D427" s="139">
        <v>0.64</v>
      </c>
      <c r="E427" s="139">
        <v>0.64</v>
      </c>
      <c r="F427" s="52"/>
      <c r="G427" s="10"/>
      <c r="H427" s="10"/>
      <c r="I427" s="10"/>
      <c r="J427" s="10"/>
      <c r="K427" s="10"/>
      <c r="L427" s="143" t="s">
        <v>2489</v>
      </c>
      <c r="M427" s="144"/>
      <c r="N427" s="144"/>
      <c r="O427" s="144"/>
    </row>
    <row r="428">
      <c r="A428" s="138" t="s">
        <v>2491</v>
      </c>
      <c r="B428" s="134">
        <v>11049.0</v>
      </c>
      <c r="C428" s="31">
        <v>0.05</v>
      </c>
      <c r="D428" s="139">
        <v>0.64</v>
      </c>
      <c r="E428" s="139">
        <v>0.64</v>
      </c>
      <c r="F428" s="52"/>
      <c r="G428" s="10"/>
      <c r="H428" s="10"/>
      <c r="I428" s="10"/>
      <c r="J428" s="10"/>
      <c r="K428" s="10"/>
      <c r="L428" s="143" t="s">
        <v>2490</v>
      </c>
      <c r="M428" s="144"/>
      <c r="N428" s="144"/>
      <c r="O428" s="144"/>
    </row>
    <row r="429">
      <c r="A429" s="138" t="s">
        <v>2492</v>
      </c>
      <c r="B429" s="134">
        <v>11049.0</v>
      </c>
      <c r="C429" s="31">
        <v>0.05</v>
      </c>
      <c r="D429" s="139">
        <v>0.64</v>
      </c>
      <c r="E429" s="139">
        <v>0.64</v>
      </c>
      <c r="F429" s="52"/>
      <c r="G429" s="10"/>
      <c r="H429" s="10"/>
      <c r="I429" s="10"/>
      <c r="J429" s="10"/>
      <c r="K429" s="10"/>
      <c r="L429" s="143" t="s">
        <v>2491</v>
      </c>
      <c r="M429" s="144"/>
      <c r="N429" s="144"/>
      <c r="O429" s="144"/>
    </row>
    <row r="430">
      <c r="A430" s="138" t="s">
        <v>2493</v>
      </c>
      <c r="B430" s="134">
        <v>11049.0</v>
      </c>
      <c r="C430" s="31">
        <v>0.05</v>
      </c>
      <c r="D430" s="139">
        <v>0.64</v>
      </c>
      <c r="E430" s="139">
        <v>0.64</v>
      </c>
      <c r="F430" s="52"/>
      <c r="G430" s="10"/>
      <c r="H430" s="10"/>
      <c r="I430" s="10"/>
      <c r="J430" s="10"/>
      <c r="K430" s="10"/>
      <c r="L430" s="143" t="s">
        <v>2492</v>
      </c>
      <c r="M430" s="144"/>
      <c r="N430" s="144"/>
      <c r="O430" s="144"/>
    </row>
    <row r="431">
      <c r="A431" s="138" t="s">
        <v>2494</v>
      </c>
      <c r="B431" s="134">
        <v>11049.0</v>
      </c>
      <c r="C431" s="31">
        <v>0.05</v>
      </c>
      <c r="D431" s="139">
        <v>0.64</v>
      </c>
      <c r="E431" s="139">
        <v>0.64</v>
      </c>
      <c r="F431" s="52"/>
      <c r="G431" s="10"/>
      <c r="H431" s="10"/>
      <c r="I431" s="10"/>
      <c r="J431" s="10"/>
      <c r="K431" s="10"/>
      <c r="L431" s="143" t="s">
        <v>2493</v>
      </c>
      <c r="M431" s="144"/>
      <c r="N431" s="144"/>
      <c r="O431" s="144"/>
    </row>
    <row r="432">
      <c r="A432" s="138" t="s">
        <v>2495</v>
      </c>
      <c r="B432" s="134">
        <v>11049.0</v>
      </c>
      <c r="C432" s="31">
        <v>0.05</v>
      </c>
      <c r="D432" s="139">
        <v>0.64</v>
      </c>
      <c r="E432" s="139">
        <v>0.64</v>
      </c>
      <c r="F432" s="52"/>
      <c r="G432" s="10"/>
      <c r="H432" s="10"/>
      <c r="I432" s="10"/>
      <c r="J432" s="10"/>
      <c r="K432" s="10"/>
      <c r="L432" s="143" t="s">
        <v>2494</v>
      </c>
      <c r="M432" s="144"/>
      <c r="N432" s="144"/>
      <c r="O432" s="144"/>
    </row>
    <row r="433">
      <c r="A433" s="138" t="s">
        <v>2496</v>
      </c>
      <c r="B433" s="134">
        <v>11049.0</v>
      </c>
      <c r="C433" s="31">
        <v>0.05</v>
      </c>
      <c r="D433" s="139">
        <v>0.64</v>
      </c>
      <c r="E433" s="139">
        <v>0.64</v>
      </c>
      <c r="F433" s="52"/>
      <c r="G433" s="10"/>
      <c r="H433" s="10"/>
      <c r="I433" s="10"/>
      <c r="J433" s="10"/>
      <c r="K433" s="10"/>
      <c r="L433" s="143" t="s">
        <v>2495</v>
      </c>
      <c r="M433" s="144"/>
      <c r="N433" s="144"/>
      <c r="O433" s="144"/>
    </row>
    <row r="434">
      <c r="A434" s="138" t="s">
        <v>2497</v>
      </c>
      <c r="B434" s="155"/>
      <c r="C434" s="31">
        <v>0.05</v>
      </c>
      <c r="D434" s="139">
        <v>0.64</v>
      </c>
      <c r="E434" s="139">
        <v>0.64</v>
      </c>
      <c r="F434" s="52"/>
      <c r="G434" s="10"/>
      <c r="H434" s="10"/>
      <c r="I434" s="10"/>
      <c r="J434" s="10"/>
      <c r="K434" s="10"/>
      <c r="L434" s="143" t="s">
        <v>2496</v>
      </c>
      <c r="M434" s="144"/>
      <c r="N434" s="144"/>
      <c r="O434" s="144"/>
    </row>
    <row r="435">
      <c r="A435" s="138" t="s">
        <v>2498</v>
      </c>
      <c r="B435" s="134">
        <v>6668.0</v>
      </c>
      <c r="C435" s="31">
        <v>0.05</v>
      </c>
      <c r="D435" s="139">
        <v>0.64</v>
      </c>
      <c r="E435" s="139">
        <v>0.64</v>
      </c>
      <c r="F435" s="52"/>
      <c r="G435" s="10"/>
      <c r="H435" s="10"/>
      <c r="I435" s="10"/>
      <c r="J435" s="10"/>
      <c r="K435" s="10"/>
      <c r="L435" s="143" t="s">
        <v>2497</v>
      </c>
      <c r="M435" s="144"/>
      <c r="N435" s="144"/>
      <c r="O435" s="144"/>
    </row>
    <row r="436">
      <c r="A436" s="138" t="s">
        <v>2499</v>
      </c>
      <c r="B436" s="155"/>
      <c r="C436" s="31">
        <v>0.05</v>
      </c>
      <c r="D436" s="139">
        <v>0.64</v>
      </c>
      <c r="E436" s="139">
        <v>0.64</v>
      </c>
      <c r="F436" s="52"/>
      <c r="G436" s="10"/>
      <c r="H436" s="10"/>
      <c r="I436" s="10"/>
      <c r="J436" s="10"/>
      <c r="K436" s="10"/>
      <c r="L436" s="143" t="s">
        <v>2498</v>
      </c>
      <c r="M436" s="144"/>
      <c r="N436" s="144"/>
      <c r="O436" s="144"/>
    </row>
    <row r="437">
      <c r="A437" s="138" t="s">
        <v>2500</v>
      </c>
      <c r="B437" s="134">
        <v>6668.0</v>
      </c>
      <c r="C437" s="31">
        <v>0.05</v>
      </c>
      <c r="D437" s="139">
        <v>0.64</v>
      </c>
      <c r="E437" s="139">
        <v>0.64</v>
      </c>
      <c r="F437" s="52"/>
      <c r="G437" s="10"/>
      <c r="H437" s="10"/>
      <c r="I437" s="10"/>
      <c r="J437" s="10"/>
      <c r="K437" s="10"/>
      <c r="L437" s="143" t="s">
        <v>2499</v>
      </c>
      <c r="M437" s="144"/>
      <c r="N437" s="144"/>
      <c r="O437" s="144"/>
    </row>
    <row r="438">
      <c r="A438" s="138" t="s">
        <v>2501</v>
      </c>
      <c r="B438" s="155"/>
      <c r="C438" s="31">
        <v>0.05</v>
      </c>
      <c r="D438" s="139">
        <v>0.64</v>
      </c>
      <c r="E438" s="139">
        <v>0.64</v>
      </c>
      <c r="F438" s="52"/>
      <c r="G438" s="10"/>
      <c r="H438" s="10"/>
      <c r="I438" s="10"/>
      <c r="J438" s="10"/>
      <c r="K438" s="10"/>
      <c r="L438" s="143" t="s">
        <v>2500</v>
      </c>
      <c r="M438" s="144"/>
      <c r="N438" s="144"/>
      <c r="O438" s="144"/>
    </row>
    <row r="439">
      <c r="A439" s="138" t="s">
        <v>2502</v>
      </c>
      <c r="B439" s="155"/>
      <c r="C439" s="31">
        <v>0.05</v>
      </c>
      <c r="D439" s="139">
        <v>0.64</v>
      </c>
      <c r="E439" s="139">
        <v>0.64</v>
      </c>
      <c r="F439" s="52"/>
      <c r="G439" s="10"/>
      <c r="H439" s="10"/>
      <c r="I439" s="10"/>
      <c r="J439" s="10"/>
      <c r="K439" s="10"/>
      <c r="L439" s="143" t="s">
        <v>2501</v>
      </c>
      <c r="M439" s="144"/>
      <c r="N439" s="144"/>
      <c r="O439" s="144"/>
    </row>
    <row r="440">
      <c r="A440" s="138" t="s">
        <v>2503</v>
      </c>
      <c r="B440" s="134">
        <v>189.0</v>
      </c>
      <c r="C440" s="31">
        <v>0.05</v>
      </c>
      <c r="D440" s="26">
        <v>0.78</v>
      </c>
      <c r="E440" s="26">
        <v>0.78</v>
      </c>
      <c r="F440" s="52"/>
      <c r="G440" s="10"/>
      <c r="H440" s="10"/>
      <c r="I440" s="10"/>
      <c r="J440" s="10"/>
      <c r="K440" s="10"/>
      <c r="L440" s="143" t="s">
        <v>2502</v>
      </c>
      <c r="M440" s="144"/>
      <c r="N440" s="144"/>
      <c r="O440" s="144"/>
    </row>
    <row r="441">
      <c r="A441" s="138" t="s">
        <v>2504</v>
      </c>
      <c r="B441" s="155"/>
      <c r="C441" s="31">
        <v>0.05</v>
      </c>
      <c r="D441" s="139">
        <v>0.64</v>
      </c>
      <c r="E441" s="139">
        <v>0.64</v>
      </c>
      <c r="F441" s="52"/>
      <c r="G441" s="10"/>
      <c r="H441" s="10"/>
      <c r="I441" s="10"/>
      <c r="J441" s="10"/>
      <c r="K441" s="10"/>
      <c r="L441" s="143" t="s">
        <v>2503</v>
      </c>
      <c r="M441" s="144">
        <v>189.0</v>
      </c>
      <c r="N441" s="144"/>
      <c r="O441" s="144"/>
    </row>
    <row r="442">
      <c r="A442" s="138" t="s">
        <v>2505</v>
      </c>
      <c r="B442" s="155"/>
      <c r="C442" s="31">
        <v>0.05</v>
      </c>
      <c r="D442" s="139">
        <v>0.64</v>
      </c>
      <c r="E442" s="139">
        <v>0.64</v>
      </c>
      <c r="F442" s="52"/>
      <c r="G442" s="10"/>
      <c r="H442" s="10"/>
      <c r="I442" s="10"/>
      <c r="J442" s="10"/>
      <c r="K442" s="10"/>
      <c r="L442" s="143" t="s">
        <v>2504</v>
      </c>
      <c r="M442" s="144"/>
      <c r="N442" s="144"/>
      <c r="O442" s="144"/>
    </row>
    <row r="443">
      <c r="A443" s="138" t="s">
        <v>2506</v>
      </c>
      <c r="B443" s="155"/>
      <c r="C443" s="31">
        <v>0.05</v>
      </c>
      <c r="D443" s="139">
        <v>0.64</v>
      </c>
      <c r="E443" s="139">
        <v>0.64</v>
      </c>
      <c r="F443" s="52"/>
      <c r="G443" s="10"/>
      <c r="H443" s="10"/>
      <c r="I443" s="10"/>
      <c r="J443" s="10"/>
      <c r="K443" s="10"/>
      <c r="L443" s="143" t="s">
        <v>2505</v>
      </c>
      <c r="M443" s="144"/>
      <c r="N443" s="144"/>
      <c r="O443" s="144"/>
    </row>
    <row r="444">
      <c r="A444" s="138" t="s">
        <v>2507</v>
      </c>
      <c r="B444" s="155"/>
      <c r="C444" s="31">
        <v>0.05</v>
      </c>
      <c r="D444" s="139">
        <v>0.64</v>
      </c>
      <c r="E444" s="139">
        <v>0.64</v>
      </c>
      <c r="F444" s="52"/>
      <c r="G444" s="10"/>
      <c r="H444" s="10"/>
      <c r="I444" s="10"/>
      <c r="J444" s="10"/>
      <c r="K444" s="10"/>
      <c r="L444" s="143" t="s">
        <v>2506</v>
      </c>
      <c r="M444" s="144"/>
      <c r="N444" s="144"/>
      <c r="O444" s="144"/>
    </row>
    <row r="445">
      <c r="A445" s="138" t="s">
        <v>2508</v>
      </c>
      <c r="B445" s="155"/>
      <c r="C445" s="31">
        <v>0.05</v>
      </c>
      <c r="D445" s="139">
        <v>0.64</v>
      </c>
      <c r="E445" s="139">
        <v>0.64</v>
      </c>
      <c r="F445" s="52"/>
      <c r="G445" s="10"/>
      <c r="H445" s="10"/>
      <c r="I445" s="10"/>
      <c r="J445" s="10"/>
      <c r="K445" s="10"/>
      <c r="L445" s="143" t="s">
        <v>2507</v>
      </c>
      <c r="M445" s="144"/>
      <c r="N445" s="144"/>
      <c r="O445" s="144"/>
    </row>
    <row r="446">
      <c r="A446" s="138" t="s">
        <v>2509</v>
      </c>
      <c r="B446" s="155"/>
      <c r="C446" s="31">
        <v>0.05</v>
      </c>
      <c r="D446" s="139">
        <v>0.64</v>
      </c>
      <c r="E446" s="139">
        <v>0.64</v>
      </c>
      <c r="F446" s="52"/>
      <c r="G446" s="10"/>
      <c r="H446" s="10"/>
      <c r="I446" s="10"/>
      <c r="J446" s="10"/>
      <c r="K446" s="10"/>
      <c r="L446" s="143" t="s">
        <v>2508</v>
      </c>
      <c r="M446" s="144"/>
      <c r="N446" s="144"/>
      <c r="O446" s="144"/>
    </row>
    <row r="447">
      <c r="A447" s="138" t="s">
        <v>2510</v>
      </c>
      <c r="B447" s="155"/>
      <c r="C447" s="31">
        <v>0.05</v>
      </c>
      <c r="D447" s="139">
        <v>0.64</v>
      </c>
      <c r="E447" s="139">
        <v>0.64</v>
      </c>
      <c r="F447" s="52"/>
      <c r="G447" s="10"/>
      <c r="H447" s="10"/>
      <c r="I447" s="10"/>
      <c r="J447" s="10"/>
      <c r="K447" s="10"/>
      <c r="L447" s="143" t="s">
        <v>2509</v>
      </c>
      <c r="M447" s="144"/>
      <c r="N447" s="144"/>
      <c r="O447" s="144"/>
    </row>
    <row r="448">
      <c r="A448" s="138" t="s">
        <v>2511</v>
      </c>
      <c r="B448" s="134">
        <v>189.0</v>
      </c>
      <c r="C448" s="31">
        <v>0.05</v>
      </c>
      <c r="D448" s="26">
        <v>0.78</v>
      </c>
      <c r="E448" s="26">
        <v>0.78</v>
      </c>
      <c r="F448" s="52"/>
      <c r="G448" s="10"/>
      <c r="H448" s="10"/>
      <c r="I448" s="10"/>
      <c r="J448" s="10"/>
      <c r="K448" s="10"/>
      <c r="L448" s="143" t="s">
        <v>2510</v>
      </c>
      <c r="M448" s="144"/>
      <c r="N448" s="144"/>
      <c r="O448" s="144"/>
    </row>
    <row r="449">
      <c r="A449" s="138" t="s">
        <v>2512</v>
      </c>
      <c r="B449" s="155"/>
      <c r="C449" s="31">
        <v>0.05</v>
      </c>
      <c r="D449" s="139">
        <v>0.64</v>
      </c>
      <c r="E449" s="139">
        <v>0.64</v>
      </c>
      <c r="F449" s="52"/>
      <c r="G449" s="10"/>
      <c r="H449" s="10"/>
      <c r="I449" s="10"/>
      <c r="J449" s="10"/>
      <c r="K449" s="10"/>
      <c r="L449" s="143" t="s">
        <v>2511</v>
      </c>
      <c r="M449" s="144"/>
      <c r="N449" s="144"/>
      <c r="O449" s="144"/>
    </row>
    <row r="450">
      <c r="A450" s="138" t="s">
        <v>2513</v>
      </c>
      <c r="B450" s="155"/>
      <c r="C450" s="31">
        <v>0.05</v>
      </c>
      <c r="D450" s="139">
        <v>0.64</v>
      </c>
      <c r="E450" s="139">
        <v>0.64</v>
      </c>
      <c r="F450" s="52"/>
      <c r="G450" s="10"/>
      <c r="H450" s="10"/>
      <c r="I450" s="10"/>
      <c r="J450" s="10"/>
      <c r="K450" s="10"/>
      <c r="L450" s="143" t="s">
        <v>2512</v>
      </c>
      <c r="M450" s="144"/>
      <c r="N450" s="144"/>
      <c r="O450" s="144"/>
    </row>
    <row r="451">
      <c r="A451" s="138" t="s">
        <v>2514</v>
      </c>
      <c r="B451" s="155"/>
      <c r="C451" s="31">
        <v>0.05</v>
      </c>
      <c r="D451" s="139">
        <v>0.64</v>
      </c>
      <c r="E451" s="139">
        <v>0.64</v>
      </c>
      <c r="F451" s="52"/>
      <c r="G451" s="10"/>
      <c r="H451" s="10"/>
      <c r="I451" s="10"/>
      <c r="J451" s="10"/>
      <c r="K451" s="10"/>
      <c r="L451" s="143" t="s">
        <v>2513</v>
      </c>
      <c r="M451" s="144"/>
      <c r="N451" s="144"/>
      <c r="O451" s="144"/>
    </row>
    <row r="452">
      <c r="A452" s="138" t="s">
        <v>2515</v>
      </c>
      <c r="B452" s="155"/>
      <c r="C452" s="31">
        <v>0.05</v>
      </c>
      <c r="D452" s="139">
        <v>0.64</v>
      </c>
      <c r="E452" s="139">
        <v>0.64</v>
      </c>
      <c r="F452" s="52"/>
      <c r="G452" s="10"/>
      <c r="H452" s="10"/>
      <c r="I452" s="10"/>
      <c r="J452" s="10"/>
      <c r="K452" s="10"/>
      <c r="L452" s="143" t="s">
        <v>2514</v>
      </c>
      <c r="M452" s="144"/>
      <c r="N452" s="144"/>
      <c r="O452" s="144"/>
    </row>
    <row r="453">
      <c r="A453" s="138" t="s">
        <v>2516</v>
      </c>
      <c r="B453" s="155"/>
      <c r="C453" s="31">
        <v>0.05</v>
      </c>
      <c r="D453" s="139">
        <v>0.64</v>
      </c>
      <c r="E453" s="139">
        <v>0.64</v>
      </c>
      <c r="F453" s="52"/>
      <c r="G453" s="10"/>
      <c r="H453" s="10"/>
      <c r="I453" s="10"/>
      <c r="J453" s="10"/>
      <c r="K453" s="10"/>
      <c r="L453" s="143" t="s">
        <v>2515</v>
      </c>
      <c r="M453" s="144"/>
      <c r="N453" s="144"/>
      <c r="O453" s="144"/>
    </row>
    <row r="454">
      <c r="A454" s="138" t="s">
        <v>2517</v>
      </c>
      <c r="B454" s="155"/>
      <c r="C454" s="31">
        <v>0.05</v>
      </c>
      <c r="D454" s="139">
        <v>0.64</v>
      </c>
      <c r="E454" s="139">
        <v>0.64</v>
      </c>
      <c r="F454" s="52"/>
      <c r="G454" s="10"/>
      <c r="H454" s="10"/>
      <c r="I454" s="10"/>
      <c r="J454" s="10"/>
      <c r="K454" s="10"/>
      <c r="L454" s="143" t="s">
        <v>2516</v>
      </c>
      <c r="M454" s="144"/>
      <c r="N454" s="144"/>
      <c r="O454" s="144"/>
    </row>
    <row r="455">
      <c r="A455" s="138" t="s">
        <v>2518</v>
      </c>
      <c r="B455" s="155"/>
      <c r="C455" s="31">
        <v>0.05</v>
      </c>
      <c r="D455" s="139">
        <v>0.64</v>
      </c>
      <c r="E455" s="139">
        <v>0.64</v>
      </c>
      <c r="F455" s="52"/>
      <c r="G455" s="10"/>
      <c r="H455" s="10"/>
      <c r="I455" s="10"/>
      <c r="J455" s="10"/>
      <c r="K455" s="10"/>
      <c r="L455" s="143" t="s">
        <v>2517</v>
      </c>
      <c r="M455" s="144"/>
      <c r="N455" s="144"/>
      <c r="O455" s="144"/>
    </row>
    <row r="456">
      <c r="A456" s="138" t="s">
        <v>2519</v>
      </c>
      <c r="B456" s="155"/>
      <c r="C456" s="31">
        <v>0.05</v>
      </c>
      <c r="D456" s="139">
        <v>0.64</v>
      </c>
      <c r="E456" s="139">
        <v>0.64</v>
      </c>
      <c r="F456" s="52"/>
      <c r="G456" s="10"/>
      <c r="H456" s="10"/>
      <c r="I456" s="10"/>
      <c r="J456" s="10"/>
      <c r="K456" s="10"/>
      <c r="L456" s="143" t="s">
        <v>2518</v>
      </c>
      <c r="M456" s="144"/>
      <c r="N456" s="144"/>
      <c r="O456" s="144"/>
    </row>
    <row r="457">
      <c r="A457" s="138" t="s">
        <v>2520</v>
      </c>
      <c r="B457" s="155"/>
      <c r="C457" s="31">
        <v>0.05</v>
      </c>
      <c r="D457" s="139">
        <v>0.64</v>
      </c>
      <c r="E457" s="139">
        <v>0.64</v>
      </c>
      <c r="F457" s="52"/>
      <c r="G457" s="10"/>
      <c r="H457" s="10"/>
      <c r="I457" s="10"/>
      <c r="J457" s="10"/>
      <c r="K457" s="10"/>
      <c r="L457" s="143" t="s">
        <v>2519</v>
      </c>
      <c r="M457" s="144"/>
      <c r="N457" s="144"/>
      <c r="O457" s="144"/>
    </row>
    <row r="458">
      <c r="A458" s="138" t="s">
        <v>2521</v>
      </c>
      <c r="B458" s="155"/>
      <c r="C458" s="31">
        <v>0.05</v>
      </c>
      <c r="D458" s="139">
        <v>0.64</v>
      </c>
      <c r="E458" s="139">
        <v>0.64</v>
      </c>
      <c r="F458" s="52"/>
      <c r="G458" s="10"/>
      <c r="H458" s="10"/>
      <c r="I458" s="10"/>
      <c r="J458" s="10"/>
      <c r="K458" s="10"/>
      <c r="L458" s="143" t="s">
        <v>2520</v>
      </c>
      <c r="M458" s="144"/>
      <c r="N458" s="144"/>
      <c r="O458" s="144"/>
    </row>
    <row r="459">
      <c r="A459" s="138" t="s">
        <v>2522</v>
      </c>
      <c r="B459" s="155"/>
      <c r="C459" s="31">
        <v>0.05</v>
      </c>
      <c r="D459" s="139">
        <v>0.64</v>
      </c>
      <c r="E459" s="139">
        <v>0.64</v>
      </c>
      <c r="F459" s="52"/>
      <c r="G459" s="10"/>
      <c r="H459" s="10"/>
      <c r="I459" s="10"/>
      <c r="J459" s="10"/>
      <c r="K459" s="10"/>
      <c r="L459" s="143" t="s">
        <v>2521</v>
      </c>
      <c r="M459" s="144"/>
      <c r="N459" s="144"/>
      <c r="O459" s="144"/>
    </row>
    <row r="460">
      <c r="A460" s="138" t="s">
        <v>2523</v>
      </c>
      <c r="B460" s="155"/>
      <c r="C460" s="31">
        <v>0.05</v>
      </c>
      <c r="D460" s="139">
        <v>0.64</v>
      </c>
      <c r="E460" s="139">
        <v>0.64</v>
      </c>
      <c r="F460" s="52"/>
      <c r="G460" s="10"/>
      <c r="H460" s="10"/>
      <c r="I460" s="10"/>
      <c r="J460" s="10"/>
      <c r="K460" s="10"/>
      <c r="L460" s="143" t="s">
        <v>2522</v>
      </c>
      <c r="M460" s="144"/>
      <c r="N460" s="144"/>
      <c r="O460" s="144"/>
    </row>
    <row r="461">
      <c r="A461" s="138" t="s">
        <v>2524</v>
      </c>
      <c r="B461" s="155"/>
      <c r="C461" s="31">
        <v>0.05</v>
      </c>
      <c r="D461" s="139">
        <v>0.64</v>
      </c>
      <c r="E461" s="139">
        <v>0.64</v>
      </c>
      <c r="F461" s="52"/>
      <c r="G461" s="10"/>
      <c r="H461" s="10"/>
      <c r="I461" s="10"/>
      <c r="J461" s="10"/>
      <c r="K461" s="10"/>
      <c r="L461" s="143" t="s">
        <v>2523</v>
      </c>
      <c r="M461" s="144"/>
      <c r="N461" s="144"/>
      <c r="O461" s="144"/>
    </row>
    <row r="462">
      <c r="A462" s="138" t="s">
        <v>2525</v>
      </c>
      <c r="B462" s="155"/>
      <c r="C462" s="31">
        <v>0.05</v>
      </c>
      <c r="D462" s="139">
        <v>0.64</v>
      </c>
      <c r="E462" s="139">
        <v>0.64</v>
      </c>
      <c r="F462" s="52"/>
      <c r="G462" s="10"/>
      <c r="H462" s="10"/>
      <c r="I462" s="10"/>
      <c r="J462" s="10"/>
      <c r="K462" s="10"/>
      <c r="L462" s="143" t="s">
        <v>2524</v>
      </c>
      <c r="M462" s="144"/>
      <c r="N462" s="144"/>
      <c r="O462" s="144"/>
    </row>
    <row r="463">
      <c r="A463" s="138" t="s">
        <v>2526</v>
      </c>
      <c r="B463" s="155"/>
      <c r="C463" s="31">
        <v>0.05</v>
      </c>
      <c r="D463" s="139">
        <v>0.64</v>
      </c>
      <c r="E463" s="139">
        <v>0.64</v>
      </c>
      <c r="F463" s="52"/>
      <c r="G463" s="10"/>
      <c r="H463" s="10"/>
      <c r="I463" s="10"/>
      <c r="J463" s="10"/>
      <c r="K463" s="10"/>
      <c r="L463" s="143" t="s">
        <v>2525</v>
      </c>
      <c r="M463" s="144"/>
      <c r="N463" s="144"/>
      <c r="O463" s="144"/>
    </row>
    <row r="464">
      <c r="A464" s="138" t="s">
        <v>2527</v>
      </c>
      <c r="B464" s="53">
        <v>14480.0</v>
      </c>
      <c r="C464" s="31">
        <v>0.05</v>
      </c>
      <c r="D464" s="139">
        <v>0.64</v>
      </c>
      <c r="E464" s="139">
        <v>0.64</v>
      </c>
      <c r="F464" s="52"/>
      <c r="G464" s="10"/>
      <c r="H464" s="10"/>
      <c r="I464" s="10"/>
      <c r="J464" s="10"/>
      <c r="K464" s="10"/>
      <c r="L464" s="143" t="s">
        <v>2526</v>
      </c>
      <c r="M464" s="144"/>
      <c r="N464" s="144"/>
      <c r="O464" s="144"/>
    </row>
    <row r="465">
      <c r="A465" s="138" t="s">
        <v>2528</v>
      </c>
      <c r="B465" s="155"/>
      <c r="C465" s="31">
        <v>0.05</v>
      </c>
      <c r="D465" s="139">
        <v>0.64</v>
      </c>
      <c r="E465" s="139">
        <v>0.64</v>
      </c>
      <c r="F465" s="52"/>
      <c r="G465" s="10"/>
      <c r="H465" s="10"/>
      <c r="I465" s="10"/>
      <c r="J465" s="10"/>
      <c r="K465" s="10"/>
      <c r="L465" s="143" t="s">
        <v>2527</v>
      </c>
      <c r="M465" s="144"/>
      <c r="N465" s="144"/>
      <c r="O465" s="144"/>
    </row>
    <row r="466">
      <c r="A466" s="138" t="s">
        <v>2529</v>
      </c>
      <c r="B466" s="155"/>
      <c r="C466" s="31">
        <v>0.05</v>
      </c>
      <c r="D466" s="139">
        <v>0.64</v>
      </c>
      <c r="E466" s="139">
        <v>0.64</v>
      </c>
      <c r="F466" s="52"/>
      <c r="G466" s="10"/>
      <c r="H466" s="10"/>
      <c r="I466" s="10"/>
      <c r="J466" s="10"/>
      <c r="K466" s="10"/>
      <c r="L466" s="143" t="s">
        <v>2528</v>
      </c>
      <c r="M466" s="144"/>
      <c r="N466" s="144"/>
      <c r="O466" s="144"/>
    </row>
    <row r="467">
      <c r="A467" s="138" t="s">
        <v>2530</v>
      </c>
      <c r="B467" s="155"/>
      <c r="C467" s="31">
        <v>0.05</v>
      </c>
      <c r="D467" s="139">
        <v>0.64</v>
      </c>
      <c r="E467" s="139">
        <v>0.64</v>
      </c>
      <c r="F467" s="52"/>
      <c r="G467" s="10"/>
      <c r="H467" s="10"/>
      <c r="I467" s="10"/>
      <c r="J467" s="10"/>
      <c r="K467" s="10"/>
      <c r="L467" s="143" t="s">
        <v>2529</v>
      </c>
      <c r="M467" s="144"/>
      <c r="N467" s="144"/>
      <c r="O467" s="144"/>
    </row>
    <row r="468">
      <c r="A468" s="138" t="s">
        <v>2531</v>
      </c>
      <c r="B468" s="134"/>
      <c r="C468" s="31">
        <v>0.05</v>
      </c>
      <c r="D468" s="139">
        <v>0.64</v>
      </c>
      <c r="E468" s="139">
        <v>0.64</v>
      </c>
      <c r="F468" s="52"/>
      <c r="G468" s="10"/>
      <c r="H468" s="10"/>
      <c r="I468" s="10"/>
      <c r="J468" s="10"/>
      <c r="K468" s="10"/>
      <c r="L468" s="143" t="s">
        <v>2530</v>
      </c>
      <c r="M468" s="144"/>
      <c r="N468" s="144"/>
      <c r="O468" s="144"/>
    </row>
    <row r="469">
      <c r="A469" s="138" t="s">
        <v>2532</v>
      </c>
      <c r="B469" s="155"/>
      <c r="C469" s="31">
        <v>0.05</v>
      </c>
      <c r="D469" s="139">
        <v>0.64</v>
      </c>
      <c r="E469" s="139">
        <v>0.64</v>
      </c>
      <c r="F469" s="52"/>
      <c r="G469" s="10"/>
      <c r="H469" s="10"/>
      <c r="I469" s="10"/>
      <c r="J469" s="10"/>
      <c r="K469" s="10"/>
      <c r="L469" s="143" t="s">
        <v>2531</v>
      </c>
      <c r="M469" s="144"/>
      <c r="N469" s="144"/>
      <c r="O469" s="144"/>
    </row>
    <row r="470">
      <c r="A470" s="138" t="s">
        <v>2533</v>
      </c>
      <c r="B470" s="155"/>
      <c r="C470" s="31">
        <v>0.05</v>
      </c>
      <c r="D470" s="139">
        <v>0.64</v>
      </c>
      <c r="E470" s="139">
        <v>0.64</v>
      </c>
      <c r="F470" s="52"/>
      <c r="G470" s="10"/>
      <c r="H470" s="10"/>
      <c r="I470" s="10"/>
      <c r="J470" s="10"/>
      <c r="K470" s="10"/>
      <c r="L470" s="143" t="s">
        <v>2532</v>
      </c>
      <c r="M470" s="144"/>
      <c r="N470" s="144"/>
      <c r="O470" s="144"/>
    </row>
    <row r="471">
      <c r="A471" s="138" t="s">
        <v>2534</v>
      </c>
      <c r="B471" s="155"/>
      <c r="C471" s="31">
        <v>0.05</v>
      </c>
      <c r="D471" s="139">
        <v>0.64</v>
      </c>
      <c r="E471" s="139">
        <v>0.64</v>
      </c>
      <c r="F471" s="52"/>
      <c r="G471" s="10"/>
      <c r="H471" s="10"/>
      <c r="I471" s="10"/>
      <c r="J471" s="10"/>
      <c r="K471" s="10"/>
      <c r="L471" s="143" t="s">
        <v>2533</v>
      </c>
      <c r="M471" s="144"/>
      <c r="N471" s="144"/>
      <c r="O471" s="144"/>
    </row>
    <row r="472">
      <c r="A472" s="138" t="s">
        <v>2535</v>
      </c>
      <c r="B472" s="155"/>
      <c r="C472" s="31">
        <v>0.05</v>
      </c>
      <c r="D472" s="139">
        <v>0.64</v>
      </c>
      <c r="E472" s="139">
        <v>0.64</v>
      </c>
      <c r="F472" s="52"/>
      <c r="G472" s="10"/>
      <c r="H472" s="10"/>
      <c r="I472" s="10"/>
      <c r="J472" s="10"/>
      <c r="K472" s="10"/>
      <c r="L472" s="143" t="s">
        <v>2534</v>
      </c>
      <c r="M472" s="144"/>
      <c r="N472" s="144"/>
      <c r="O472" s="144"/>
    </row>
    <row r="473">
      <c r="A473" s="138" t="s">
        <v>2536</v>
      </c>
      <c r="B473" s="155"/>
      <c r="C473" s="31">
        <v>0.05</v>
      </c>
      <c r="D473" s="139">
        <v>0.64</v>
      </c>
      <c r="E473" s="139">
        <v>0.64</v>
      </c>
      <c r="F473" s="52"/>
      <c r="G473" s="10"/>
      <c r="H473" s="10"/>
      <c r="I473" s="10"/>
      <c r="J473" s="10"/>
      <c r="K473" s="10"/>
      <c r="L473" s="143" t="s">
        <v>2535</v>
      </c>
      <c r="M473" s="144"/>
      <c r="N473" s="144"/>
      <c r="O473" s="144"/>
    </row>
    <row r="474">
      <c r="A474" s="138" t="s">
        <v>2537</v>
      </c>
      <c r="B474" s="155"/>
      <c r="C474" s="31">
        <v>0.05</v>
      </c>
      <c r="D474" s="139">
        <v>0.64</v>
      </c>
      <c r="E474" s="139">
        <v>0.64</v>
      </c>
      <c r="F474" s="52"/>
      <c r="G474" s="10"/>
      <c r="H474" s="10"/>
      <c r="I474" s="10"/>
      <c r="J474" s="10"/>
      <c r="K474" s="10"/>
      <c r="L474" s="143" t="s">
        <v>2536</v>
      </c>
      <c r="M474" s="144"/>
      <c r="N474" s="144"/>
      <c r="O474" s="144"/>
    </row>
    <row r="475">
      <c r="A475" s="138" t="s">
        <v>2538</v>
      </c>
      <c r="B475" s="155"/>
      <c r="C475" s="31">
        <v>0.05</v>
      </c>
      <c r="D475" s="139">
        <v>0.64</v>
      </c>
      <c r="E475" s="139">
        <v>0.64</v>
      </c>
      <c r="F475" s="52"/>
      <c r="G475" s="10"/>
      <c r="H475" s="10"/>
      <c r="I475" s="10"/>
      <c r="J475" s="10"/>
      <c r="K475" s="10"/>
      <c r="L475" s="143" t="s">
        <v>2537</v>
      </c>
      <c r="M475" s="144"/>
      <c r="N475" s="144"/>
      <c r="O475" s="144"/>
    </row>
    <row r="476">
      <c r="A476" s="138" t="s">
        <v>2539</v>
      </c>
      <c r="B476" s="134">
        <v>7142.0</v>
      </c>
      <c r="C476" s="31">
        <v>0.05</v>
      </c>
      <c r="D476" s="139">
        <v>0.64</v>
      </c>
      <c r="E476" s="139">
        <v>0.64</v>
      </c>
      <c r="F476" s="52"/>
      <c r="G476" s="10"/>
      <c r="H476" s="10"/>
      <c r="I476" s="10"/>
      <c r="J476" s="10"/>
      <c r="K476" s="10"/>
      <c r="L476" s="143" t="s">
        <v>2538</v>
      </c>
      <c r="M476" s="144"/>
      <c r="N476" s="144"/>
      <c r="O476" s="144"/>
    </row>
    <row r="477">
      <c r="A477" s="138" t="s">
        <v>2540</v>
      </c>
      <c r="B477" s="155"/>
      <c r="C477" s="31">
        <v>0.05</v>
      </c>
      <c r="D477" s="139">
        <v>0.64</v>
      </c>
      <c r="E477" s="139">
        <v>0.64</v>
      </c>
      <c r="F477" s="52"/>
      <c r="G477" s="10"/>
      <c r="H477" s="10"/>
      <c r="I477" s="10"/>
      <c r="J477" s="10"/>
      <c r="K477" s="10"/>
      <c r="L477" s="143" t="s">
        <v>2539</v>
      </c>
      <c r="M477" s="144"/>
      <c r="N477" s="144"/>
      <c r="O477" s="144"/>
    </row>
    <row r="478">
      <c r="A478" s="138" t="s">
        <v>2541</v>
      </c>
      <c r="B478" s="155"/>
      <c r="C478" s="31">
        <v>0.05</v>
      </c>
      <c r="D478" s="139">
        <v>0.64</v>
      </c>
      <c r="E478" s="139">
        <v>0.64</v>
      </c>
      <c r="F478" s="52"/>
      <c r="G478" s="10"/>
      <c r="H478" s="10"/>
      <c r="I478" s="10"/>
      <c r="J478" s="10"/>
      <c r="K478" s="10"/>
      <c r="L478" s="143" t="s">
        <v>2540</v>
      </c>
      <c r="M478" s="144"/>
      <c r="N478" s="144"/>
      <c r="O478" s="144"/>
    </row>
    <row r="479">
      <c r="A479" s="138" t="s">
        <v>2542</v>
      </c>
      <c r="B479" s="155"/>
      <c r="C479" s="31">
        <v>0.05</v>
      </c>
      <c r="D479" s="139">
        <v>0.64</v>
      </c>
      <c r="E479" s="139">
        <v>0.64</v>
      </c>
      <c r="F479" s="52"/>
      <c r="G479" s="10"/>
      <c r="H479" s="10"/>
      <c r="I479" s="10"/>
      <c r="J479" s="10"/>
      <c r="K479" s="10"/>
      <c r="L479" s="143" t="s">
        <v>2541</v>
      </c>
      <c r="M479" s="144"/>
      <c r="N479" s="144"/>
      <c r="O479" s="144"/>
    </row>
    <row r="480">
      <c r="A480" s="138" t="s">
        <v>2543</v>
      </c>
      <c r="B480" s="155"/>
      <c r="C480" s="31">
        <v>0.05</v>
      </c>
      <c r="D480" s="139">
        <v>0.64</v>
      </c>
      <c r="E480" s="139">
        <v>0.64</v>
      </c>
      <c r="F480" s="52"/>
      <c r="G480" s="10"/>
      <c r="H480" s="10"/>
      <c r="I480" s="10"/>
      <c r="J480" s="10"/>
      <c r="K480" s="10"/>
      <c r="L480" s="143" t="s">
        <v>2542</v>
      </c>
      <c r="M480" s="144"/>
      <c r="N480" s="144"/>
      <c r="O480" s="144"/>
    </row>
    <row r="481">
      <c r="A481" s="138" t="s">
        <v>2544</v>
      </c>
      <c r="B481" s="155"/>
      <c r="C481" s="31">
        <v>0.05</v>
      </c>
      <c r="D481" s="139">
        <v>0.64</v>
      </c>
      <c r="E481" s="139">
        <v>0.64</v>
      </c>
      <c r="F481" s="52"/>
      <c r="G481" s="10"/>
      <c r="H481" s="10"/>
      <c r="I481" s="10"/>
      <c r="J481" s="10"/>
      <c r="K481" s="10"/>
      <c r="L481" s="143" t="s">
        <v>2543</v>
      </c>
      <c r="M481" s="144"/>
      <c r="N481" s="144"/>
      <c r="O481" s="144"/>
    </row>
    <row r="482">
      <c r="A482" s="138" t="s">
        <v>2545</v>
      </c>
      <c r="B482" s="155"/>
      <c r="C482" s="31">
        <v>0.05</v>
      </c>
      <c r="D482" s="139">
        <v>0.64</v>
      </c>
      <c r="E482" s="139">
        <v>0.64</v>
      </c>
      <c r="F482" s="52"/>
      <c r="G482" s="10"/>
      <c r="H482" s="10"/>
      <c r="I482" s="10"/>
      <c r="J482" s="10"/>
      <c r="K482" s="10"/>
      <c r="L482" s="143" t="s">
        <v>2544</v>
      </c>
      <c r="M482" s="144"/>
      <c r="N482" s="144"/>
      <c r="O482" s="144"/>
    </row>
    <row r="483">
      <c r="A483" s="138" t="s">
        <v>2546</v>
      </c>
      <c r="B483" s="155"/>
      <c r="C483" s="31">
        <v>0.05</v>
      </c>
      <c r="D483" s="139">
        <v>0.64</v>
      </c>
      <c r="E483" s="139">
        <v>0.64</v>
      </c>
      <c r="F483" s="52"/>
      <c r="G483" s="10"/>
      <c r="H483" s="10"/>
      <c r="I483" s="10"/>
      <c r="J483" s="10"/>
      <c r="K483" s="10"/>
      <c r="L483" s="143" t="s">
        <v>2545</v>
      </c>
      <c r="M483" s="144"/>
      <c r="N483" s="144"/>
      <c r="O483" s="144"/>
    </row>
    <row r="484">
      <c r="A484" s="138" t="s">
        <v>2547</v>
      </c>
      <c r="B484" s="155"/>
      <c r="C484" s="31">
        <v>0.05</v>
      </c>
      <c r="D484" s="139">
        <v>0.64</v>
      </c>
      <c r="E484" s="139">
        <v>0.64</v>
      </c>
      <c r="F484" s="52"/>
      <c r="G484" s="10"/>
      <c r="H484" s="10"/>
      <c r="I484" s="10"/>
      <c r="J484" s="10"/>
      <c r="K484" s="10"/>
      <c r="L484" s="143" t="s">
        <v>2546</v>
      </c>
      <c r="M484" s="144"/>
      <c r="N484" s="144"/>
      <c r="O484" s="144"/>
    </row>
    <row r="485">
      <c r="A485" s="138" t="s">
        <v>2548</v>
      </c>
      <c r="B485" s="155"/>
      <c r="C485" s="31">
        <v>0.05</v>
      </c>
      <c r="D485" s="139">
        <v>0.64</v>
      </c>
      <c r="E485" s="139">
        <v>0.64</v>
      </c>
      <c r="F485" s="52"/>
      <c r="G485" s="10"/>
      <c r="H485" s="10"/>
      <c r="I485" s="10"/>
      <c r="J485" s="10"/>
      <c r="K485" s="10"/>
      <c r="L485" s="143" t="s">
        <v>2547</v>
      </c>
      <c r="M485" s="144"/>
      <c r="N485" s="144"/>
      <c r="O485" s="144"/>
    </row>
    <row r="486">
      <c r="A486" s="138" t="s">
        <v>2549</v>
      </c>
      <c r="B486" s="155"/>
      <c r="C486" s="31">
        <v>0.05</v>
      </c>
      <c r="D486" s="139">
        <v>0.64</v>
      </c>
      <c r="E486" s="139">
        <v>0.64</v>
      </c>
      <c r="F486" s="52"/>
      <c r="G486" s="10"/>
      <c r="H486" s="10"/>
      <c r="I486" s="10"/>
      <c r="J486" s="10"/>
      <c r="K486" s="10"/>
      <c r="L486" s="143" t="s">
        <v>2548</v>
      </c>
      <c r="M486" s="144"/>
      <c r="N486" s="144"/>
      <c r="O486" s="144"/>
    </row>
    <row r="487">
      <c r="A487" s="138" t="s">
        <v>2550</v>
      </c>
      <c r="B487" s="155"/>
      <c r="C487" s="31">
        <v>0.05</v>
      </c>
      <c r="D487" s="139">
        <v>0.64</v>
      </c>
      <c r="E487" s="139">
        <v>0.64</v>
      </c>
      <c r="F487" s="52"/>
      <c r="G487" s="10"/>
      <c r="H487" s="10"/>
      <c r="I487" s="10"/>
      <c r="J487" s="10"/>
      <c r="K487" s="10"/>
      <c r="L487" s="143" t="s">
        <v>2549</v>
      </c>
      <c r="M487" s="144"/>
      <c r="N487" s="144"/>
      <c r="O487" s="144"/>
    </row>
    <row r="488">
      <c r="A488" s="138" t="s">
        <v>2551</v>
      </c>
      <c r="B488" s="155"/>
      <c r="C488" s="31">
        <v>0.05</v>
      </c>
      <c r="D488" s="139">
        <v>0.64</v>
      </c>
      <c r="E488" s="139">
        <v>0.64</v>
      </c>
      <c r="F488" s="52"/>
      <c r="G488" s="10"/>
      <c r="H488" s="10"/>
      <c r="I488" s="10"/>
      <c r="J488" s="10"/>
      <c r="K488" s="10"/>
      <c r="L488" s="143" t="s">
        <v>2550</v>
      </c>
      <c r="M488" s="144"/>
      <c r="N488" s="144"/>
      <c r="O488" s="144"/>
    </row>
    <row r="489">
      <c r="A489" s="138" t="s">
        <v>2552</v>
      </c>
      <c r="B489" s="155"/>
      <c r="C489" s="31">
        <v>0.05</v>
      </c>
      <c r="D489" s="139">
        <v>0.64</v>
      </c>
      <c r="E489" s="139">
        <v>0.64</v>
      </c>
      <c r="F489" s="52"/>
      <c r="G489" s="10"/>
      <c r="H489" s="10"/>
      <c r="I489" s="10"/>
      <c r="J489" s="10"/>
      <c r="K489" s="10"/>
      <c r="L489" s="143" t="s">
        <v>2551</v>
      </c>
      <c r="M489" s="144"/>
      <c r="N489" s="144"/>
      <c r="O489" s="144"/>
    </row>
    <row r="490">
      <c r="A490" s="138" t="s">
        <v>2553</v>
      </c>
      <c r="B490" s="155"/>
      <c r="C490" s="31">
        <v>0.05</v>
      </c>
      <c r="D490" s="139">
        <v>0.64</v>
      </c>
      <c r="E490" s="139">
        <v>0.64</v>
      </c>
      <c r="F490" s="52"/>
      <c r="G490" s="10"/>
      <c r="H490" s="10"/>
      <c r="I490" s="10"/>
      <c r="J490" s="10"/>
      <c r="K490" s="10"/>
      <c r="L490" s="143" t="s">
        <v>2552</v>
      </c>
      <c r="M490" s="144"/>
      <c r="N490" s="144"/>
      <c r="O490" s="144"/>
    </row>
    <row r="491">
      <c r="A491" s="138" t="s">
        <v>2554</v>
      </c>
      <c r="B491" s="155"/>
      <c r="C491" s="31">
        <v>0.05</v>
      </c>
      <c r="D491" s="139">
        <v>0.64</v>
      </c>
      <c r="E491" s="139">
        <v>0.64</v>
      </c>
      <c r="F491" s="52"/>
      <c r="G491" s="10"/>
      <c r="H491" s="10"/>
      <c r="I491" s="10"/>
      <c r="J491" s="10"/>
      <c r="K491" s="10"/>
      <c r="L491" s="143" t="s">
        <v>2553</v>
      </c>
      <c r="M491" s="144"/>
      <c r="N491" s="144"/>
      <c r="O491" s="144"/>
    </row>
    <row r="492">
      <c r="A492" s="138" t="s">
        <v>2555</v>
      </c>
      <c r="B492" s="155"/>
      <c r="C492" s="31">
        <v>0.05</v>
      </c>
      <c r="D492" s="139">
        <v>0.64</v>
      </c>
      <c r="E492" s="139">
        <v>0.64</v>
      </c>
      <c r="F492" s="52"/>
      <c r="G492" s="10"/>
      <c r="H492" s="10"/>
      <c r="I492" s="10"/>
      <c r="J492" s="10"/>
      <c r="K492" s="10"/>
      <c r="L492" s="143" t="s">
        <v>2554</v>
      </c>
      <c r="M492" s="144"/>
      <c r="N492" s="144"/>
      <c r="O492" s="144"/>
    </row>
    <row r="493">
      <c r="A493" s="138" t="s">
        <v>2556</v>
      </c>
      <c r="B493" s="155"/>
      <c r="C493" s="31">
        <v>0.05</v>
      </c>
      <c r="D493" s="139">
        <v>0.64</v>
      </c>
      <c r="E493" s="139">
        <v>0.64</v>
      </c>
      <c r="F493" s="52"/>
      <c r="G493" s="10"/>
      <c r="H493" s="10"/>
      <c r="I493" s="10"/>
      <c r="J493" s="10"/>
      <c r="K493" s="10"/>
      <c r="L493" s="143" t="s">
        <v>2555</v>
      </c>
      <c r="M493" s="144"/>
      <c r="N493" s="144"/>
      <c r="O493" s="144"/>
    </row>
    <row r="494">
      <c r="A494" s="138" t="s">
        <v>2557</v>
      </c>
      <c r="B494" s="155"/>
      <c r="C494" s="31">
        <v>0.05</v>
      </c>
      <c r="D494" s="139">
        <v>0.64</v>
      </c>
      <c r="E494" s="139">
        <v>0.64</v>
      </c>
      <c r="F494" s="52"/>
      <c r="G494" s="10"/>
      <c r="H494" s="10"/>
      <c r="I494" s="10"/>
      <c r="J494" s="10"/>
      <c r="K494" s="10"/>
      <c r="L494" s="143" t="s">
        <v>2556</v>
      </c>
      <c r="M494" s="144"/>
      <c r="N494" s="144"/>
      <c r="O494" s="144"/>
    </row>
    <row r="495">
      <c r="A495" s="138" t="s">
        <v>2558</v>
      </c>
      <c r="B495" s="155"/>
      <c r="C495" s="31">
        <v>0.05</v>
      </c>
      <c r="D495" s="139">
        <v>0.64</v>
      </c>
      <c r="E495" s="139">
        <v>0.64</v>
      </c>
      <c r="F495" s="52"/>
      <c r="G495" s="10"/>
      <c r="H495" s="10"/>
      <c r="I495" s="10"/>
      <c r="J495" s="10"/>
      <c r="K495" s="10"/>
      <c r="L495" s="143" t="s">
        <v>2557</v>
      </c>
      <c r="M495" s="144"/>
      <c r="N495" s="144"/>
      <c r="O495" s="144"/>
    </row>
    <row r="496">
      <c r="A496" s="138" t="s">
        <v>2559</v>
      </c>
      <c r="B496" s="155"/>
      <c r="C496" s="31">
        <v>0.05</v>
      </c>
      <c r="D496" s="139">
        <v>0.64</v>
      </c>
      <c r="E496" s="139">
        <v>0.64</v>
      </c>
      <c r="F496" s="52"/>
      <c r="G496" s="10"/>
      <c r="H496" s="10"/>
      <c r="I496" s="10"/>
      <c r="J496" s="10"/>
      <c r="K496" s="10"/>
      <c r="L496" s="143" t="s">
        <v>2558</v>
      </c>
      <c r="M496" s="144"/>
      <c r="N496" s="144"/>
      <c r="O496" s="144"/>
    </row>
    <row r="497">
      <c r="A497" s="138" t="s">
        <v>2560</v>
      </c>
      <c r="B497" s="155"/>
      <c r="C497" s="31">
        <v>0.05</v>
      </c>
      <c r="D497" s="139">
        <v>0.64</v>
      </c>
      <c r="E497" s="139">
        <v>0.64</v>
      </c>
      <c r="F497" s="52"/>
      <c r="G497" s="10"/>
      <c r="H497" s="10"/>
      <c r="I497" s="10"/>
      <c r="J497" s="10"/>
      <c r="K497" s="10"/>
      <c r="L497" s="143" t="s">
        <v>2559</v>
      </c>
      <c r="M497" s="144"/>
      <c r="N497" s="144"/>
      <c r="O497" s="144"/>
    </row>
    <row r="498">
      <c r="A498" s="138" t="s">
        <v>2561</v>
      </c>
      <c r="B498" s="155"/>
      <c r="C498" s="31">
        <v>0.05</v>
      </c>
      <c r="D498" s="139">
        <v>0.64</v>
      </c>
      <c r="E498" s="139">
        <v>0.64</v>
      </c>
      <c r="F498" s="52"/>
      <c r="G498" s="10"/>
      <c r="H498" s="10"/>
      <c r="I498" s="10"/>
      <c r="J498" s="10"/>
      <c r="K498" s="10"/>
      <c r="L498" s="143" t="s">
        <v>2560</v>
      </c>
      <c r="M498" s="144"/>
      <c r="N498" s="144"/>
      <c r="O498" s="144"/>
    </row>
    <row r="499">
      <c r="A499" s="138" t="s">
        <v>2562</v>
      </c>
      <c r="B499" s="155"/>
      <c r="C499" s="31">
        <v>0.05</v>
      </c>
      <c r="D499" s="139">
        <v>0.64</v>
      </c>
      <c r="E499" s="139">
        <v>0.64</v>
      </c>
      <c r="F499" s="52"/>
      <c r="G499" s="10"/>
      <c r="H499" s="10"/>
      <c r="I499" s="10"/>
      <c r="J499" s="10"/>
      <c r="K499" s="10"/>
      <c r="L499" s="143" t="s">
        <v>2561</v>
      </c>
      <c r="M499" s="144"/>
      <c r="N499" s="144"/>
      <c r="O499" s="144"/>
    </row>
    <row r="500">
      <c r="A500" s="138" t="s">
        <v>2563</v>
      </c>
      <c r="B500" s="155"/>
      <c r="C500" s="31">
        <v>0.05</v>
      </c>
      <c r="D500" s="139">
        <v>0.64</v>
      </c>
      <c r="E500" s="139">
        <v>0.64</v>
      </c>
      <c r="F500" s="52"/>
      <c r="G500" s="10"/>
      <c r="H500" s="10"/>
      <c r="I500" s="10"/>
      <c r="J500" s="10"/>
      <c r="K500" s="10"/>
      <c r="L500" s="143" t="s">
        <v>2562</v>
      </c>
      <c r="M500" s="144"/>
      <c r="N500" s="144"/>
      <c r="O500" s="144"/>
    </row>
    <row r="501">
      <c r="A501" s="138" t="s">
        <v>2564</v>
      </c>
      <c r="B501" s="134">
        <v>7040.0</v>
      </c>
      <c r="C501" s="31">
        <v>0.05</v>
      </c>
      <c r="D501" s="139">
        <v>0.64</v>
      </c>
      <c r="E501" s="139">
        <v>0.64</v>
      </c>
      <c r="F501" s="52"/>
      <c r="G501" s="10"/>
      <c r="H501" s="10"/>
      <c r="I501" s="10"/>
      <c r="J501" s="10"/>
      <c r="K501" s="10"/>
      <c r="L501" s="143" t="s">
        <v>2563</v>
      </c>
      <c r="M501" s="144"/>
      <c r="N501" s="144"/>
      <c r="O501" s="144"/>
    </row>
    <row r="502">
      <c r="A502" s="138" t="s">
        <v>2565</v>
      </c>
      <c r="B502" s="155"/>
      <c r="C502" s="31">
        <v>0.05</v>
      </c>
      <c r="D502" s="139">
        <v>0.64</v>
      </c>
      <c r="E502" s="139">
        <v>0.64</v>
      </c>
      <c r="F502" s="52"/>
      <c r="G502" s="10"/>
      <c r="H502" s="10"/>
      <c r="I502" s="10"/>
      <c r="J502" s="10"/>
      <c r="K502" s="10"/>
      <c r="L502" s="143" t="s">
        <v>2564</v>
      </c>
      <c r="M502" s="144">
        <v>7040.0</v>
      </c>
      <c r="N502" s="144"/>
      <c r="O502" s="144"/>
    </row>
    <row r="503">
      <c r="A503" s="138" t="s">
        <v>2566</v>
      </c>
      <c r="B503" s="155"/>
      <c r="C503" s="31">
        <v>0.05</v>
      </c>
      <c r="D503" s="139">
        <v>0.64</v>
      </c>
      <c r="E503" s="139">
        <v>0.64</v>
      </c>
      <c r="F503" s="52"/>
      <c r="G503" s="10"/>
      <c r="H503" s="10"/>
      <c r="I503" s="10"/>
      <c r="J503" s="10"/>
      <c r="K503" s="10"/>
      <c r="L503" s="143" t="s">
        <v>2565</v>
      </c>
      <c r="M503" s="144"/>
      <c r="N503" s="144"/>
      <c r="O503" s="144"/>
    </row>
    <row r="504">
      <c r="A504" s="138" t="s">
        <v>2567</v>
      </c>
      <c r="B504" s="134">
        <v>7040.0</v>
      </c>
      <c r="C504" s="31">
        <v>0.05</v>
      </c>
      <c r="D504" s="139">
        <v>0.64</v>
      </c>
      <c r="E504" s="139">
        <v>0.64</v>
      </c>
      <c r="F504" s="52"/>
      <c r="G504" s="10"/>
      <c r="H504" s="10"/>
      <c r="I504" s="10"/>
      <c r="J504" s="10"/>
      <c r="K504" s="10"/>
      <c r="L504" s="143" t="s">
        <v>2566</v>
      </c>
      <c r="M504" s="144"/>
      <c r="N504" s="144"/>
      <c r="O504" s="144"/>
    </row>
    <row r="505">
      <c r="A505" s="138" t="s">
        <v>2568</v>
      </c>
      <c r="B505" s="155"/>
      <c r="C505" s="31">
        <v>0.05</v>
      </c>
      <c r="D505" s="139">
        <v>0.64</v>
      </c>
      <c r="E505" s="139">
        <v>0.64</v>
      </c>
      <c r="F505" s="52"/>
      <c r="G505" s="10"/>
      <c r="H505" s="10"/>
      <c r="I505" s="10"/>
      <c r="J505" s="10"/>
      <c r="K505" s="10"/>
      <c r="L505" s="143" t="s">
        <v>2567</v>
      </c>
      <c r="M505" s="144">
        <v>7040.0</v>
      </c>
      <c r="N505" s="144"/>
      <c r="O505" s="144"/>
    </row>
    <row r="506">
      <c r="A506" s="138" t="s">
        <v>2569</v>
      </c>
      <c r="B506" s="155"/>
      <c r="C506" s="31">
        <v>0.05</v>
      </c>
      <c r="D506" s="139">
        <v>0.64</v>
      </c>
      <c r="E506" s="139">
        <v>0.64</v>
      </c>
      <c r="F506" s="52"/>
      <c r="G506" s="10"/>
      <c r="H506" s="10"/>
      <c r="I506" s="10"/>
      <c r="J506" s="10"/>
      <c r="K506" s="10"/>
      <c r="L506" s="143" t="s">
        <v>2568</v>
      </c>
      <c r="M506" s="144"/>
      <c r="N506" s="144"/>
      <c r="O506" s="144"/>
    </row>
    <row r="507">
      <c r="A507" s="138" t="s">
        <v>2570</v>
      </c>
      <c r="B507" s="155"/>
      <c r="C507" s="31">
        <v>0.05</v>
      </c>
      <c r="D507" s="139">
        <v>0.64</v>
      </c>
      <c r="E507" s="139">
        <v>0.64</v>
      </c>
      <c r="F507" s="52"/>
      <c r="G507" s="10"/>
      <c r="H507" s="10"/>
      <c r="I507" s="10"/>
      <c r="J507" s="10"/>
      <c r="K507" s="10"/>
      <c r="L507" s="143" t="s">
        <v>2569</v>
      </c>
      <c r="M507" s="144"/>
      <c r="N507" s="144"/>
      <c r="O507" s="144"/>
    </row>
    <row r="508">
      <c r="A508" s="138" t="s">
        <v>2571</v>
      </c>
      <c r="B508" s="155"/>
      <c r="C508" s="31">
        <v>0.05</v>
      </c>
      <c r="D508" s="139">
        <v>0.64</v>
      </c>
      <c r="E508" s="139">
        <v>0.64</v>
      </c>
      <c r="F508" s="52"/>
      <c r="G508" s="10"/>
      <c r="H508" s="10"/>
      <c r="I508" s="10"/>
      <c r="J508" s="10"/>
      <c r="K508" s="10"/>
      <c r="L508" s="143" t="s">
        <v>2570</v>
      </c>
      <c r="M508" s="144"/>
      <c r="N508" s="144"/>
      <c r="O508" s="144"/>
    </row>
    <row r="509">
      <c r="A509" s="138" t="s">
        <v>2572</v>
      </c>
      <c r="B509" s="155"/>
      <c r="C509" s="31">
        <v>0.05</v>
      </c>
      <c r="D509" s="139">
        <v>0.64</v>
      </c>
      <c r="E509" s="139">
        <v>0.64</v>
      </c>
      <c r="F509" s="52"/>
      <c r="G509" s="10"/>
      <c r="H509" s="10"/>
      <c r="I509" s="10"/>
      <c r="J509" s="10"/>
      <c r="K509" s="10"/>
      <c r="L509" s="143" t="s">
        <v>2571</v>
      </c>
      <c r="M509" s="144"/>
      <c r="N509" s="144"/>
      <c r="O509" s="144"/>
    </row>
    <row r="510">
      <c r="A510" s="138" t="s">
        <v>2573</v>
      </c>
      <c r="B510" s="155"/>
      <c r="C510" s="31">
        <v>0.05</v>
      </c>
      <c r="D510" s="139">
        <v>0.64</v>
      </c>
      <c r="E510" s="139">
        <v>0.64</v>
      </c>
      <c r="F510" s="52"/>
      <c r="G510" s="10"/>
      <c r="H510" s="10"/>
      <c r="I510" s="10"/>
      <c r="J510" s="10"/>
      <c r="K510" s="10"/>
      <c r="L510" s="143" t="s">
        <v>2572</v>
      </c>
      <c r="M510" s="144"/>
      <c r="N510" s="144"/>
      <c r="O510" s="144"/>
    </row>
    <row r="511">
      <c r="A511" s="138" t="s">
        <v>2574</v>
      </c>
      <c r="B511" s="155"/>
      <c r="C511" s="31">
        <v>0.05</v>
      </c>
      <c r="D511" s="139">
        <v>0.64</v>
      </c>
      <c r="E511" s="139">
        <v>0.64</v>
      </c>
      <c r="F511" s="52"/>
      <c r="G511" s="10"/>
      <c r="H511" s="10"/>
      <c r="I511" s="10"/>
      <c r="J511" s="10"/>
      <c r="K511" s="10"/>
      <c r="L511" s="143" t="s">
        <v>2573</v>
      </c>
      <c r="M511" s="144"/>
      <c r="N511" s="144"/>
      <c r="O511" s="144"/>
    </row>
    <row r="512">
      <c r="A512" s="138" t="s">
        <v>2575</v>
      </c>
      <c r="B512" s="155"/>
      <c r="C512" s="31">
        <v>0.05</v>
      </c>
      <c r="D512" s="139">
        <v>0.64</v>
      </c>
      <c r="E512" s="139">
        <v>0.64</v>
      </c>
      <c r="F512" s="52"/>
      <c r="G512" s="10"/>
      <c r="H512" s="10"/>
      <c r="I512" s="10"/>
      <c r="J512" s="10"/>
      <c r="K512" s="10"/>
      <c r="L512" s="143" t="s">
        <v>2574</v>
      </c>
      <c r="M512" s="144"/>
      <c r="N512" s="144"/>
      <c r="O512" s="144"/>
    </row>
    <row r="513">
      <c r="A513" s="138" t="s">
        <v>2576</v>
      </c>
      <c r="B513" s="155"/>
      <c r="C513" s="31">
        <v>0.05</v>
      </c>
      <c r="D513" s="139">
        <v>0.64</v>
      </c>
      <c r="E513" s="139">
        <v>0.64</v>
      </c>
      <c r="F513" s="52"/>
      <c r="G513" s="10"/>
      <c r="H513" s="10"/>
      <c r="I513" s="10"/>
      <c r="J513" s="10"/>
      <c r="K513" s="10"/>
      <c r="L513" s="143" t="s">
        <v>2575</v>
      </c>
      <c r="M513" s="144"/>
      <c r="N513" s="144"/>
      <c r="O513" s="144"/>
    </row>
    <row r="514">
      <c r="A514" s="138" t="s">
        <v>2577</v>
      </c>
      <c r="B514" s="155"/>
      <c r="C514" s="31">
        <v>0.05</v>
      </c>
      <c r="D514" s="139">
        <v>0.64</v>
      </c>
      <c r="E514" s="139">
        <v>0.64</v>
      </c>
      <c r="F514" s="52"/>
      <c r="G514" s="10"/>
      <c r="H514" s="10"/>
      <c r="I514" s="10"/>
      <c r="J514" s="10"/>
      <c r="K514" s="10"/>
      <c r="L514" s="143" t="s">
        <v>2576</v>
      </c>
      <c r="M514" s="144"/>
      <c r="N514" s="144"/>
      <c r="O514" s="144"/>
    </row>
    <row r="515">
      <c r="A515" s="138" t="s">
        <v>2578</v>
      </c>
      <c r="B515" s="155"/>
      <c r="C515" s="31">
        <v>0.05</v>
      </c>
      <c r="D515" s="139">
        <v>0.64</v>
      </c>
      <c r="E515" s="139">
        <v>0.64</v>
      </c>
      <c r="F515" s="52"/>
      <c r="G515" s="10"/>
      <c r="H515" s="10"/>
      <c r="I515" s="10"/>
      <c r="J515" s="10"/>
      <c r="K515" s="10"/>
      <c r="L515" s="143" t="s">
        <v>2577</v>
      </c>
      <c r="M515" s="144"/>
      <c r="N515" s="144"/>
      <c r="O515" s="144"/>
    </row>
    <row r="516">
      <c r="A516" s="138" t="s">
        <v>2579</v>
      </c>
      <c r="B516" s="155"/>
      <c r="C516" s="31">
        <v>0.05</v>
      </c>
      <c r="D516" s="139">
        <v>0.64</v>
      </c>
      <c r="E516" s="139">
        <v>0.64</v>
      </c>
      <c r="F516" s="52"/>
      <c r="G516" s="10"/>
      <c r="H516" s="10"/>
      <c r="I516" s="10"/>
      <c r="J516" s="10"/>
      <c r="K516" s="10"/>
      <c r="L516" s="143" t="s">
        <v>2578</v>
      </c>
      <c r="M516" s="144"/>
      <c r="N516" s="144"/>
      <c r="O516" s="144"/>
    </row>
    <row r="517">
      <c r="A517" s="138" t="s">
        <v>2580</v>
      </c>
      <c r="B517" s="134"/>
      <c r="C517" s="31">
        <v>0.05</v>
      </c>
      <c r="D517" s="139">
        <v>0.64</v>
      </c>
      <c r="E517" s="139">
        <v>0.64</v>
      </c>
      <c r="F517" s="52"/>
      <c r="G517" s="10"/>
      <c r="H517" s="10"/>
      <c r="I517" s="10"/>
      <c r="J517" s="10"/>
      <c r="K517" s="10"/>
      <c r="L517" s="143" t="s">
        <v>2579</v>
      </c>
      <c r="M517" s="144"/>
      <c r="N517" s="144"/>
      <c r="O517" s="144"/>
    </row>
    <row r="518">
      <c r="A518" s="138" t="s">
        <v>2581</v>
      </c>
      <c r="B518" s="155"/>
      <c r="C518" s="31">
        <v>0.05</v>
      </c>
      <c r="D518" s="139">
        <v>0.64</v>
      </c>
      <c r="E518" s="139">
        <v>0.64</v>
      </c>
      <c r="F518" s="52"/>
      <c r="G518" s="10"/>
      <c r="H518" s="10"/>
      <c r="I518" s="10"/>
      <c r="J518" s="10"/>
      <c r="K518" s="10"/>
      <c r="L518" s="143" t="s">
        <v>2580</v>
      </c>
      <c r="M518" s="144"/>
      <c r="N518" s="144"/>
      <c r="O518" s="144"/>
    </row>
    <row r="519">
      <c r="A519" s="138" t="s">
        <v>815</v>
      </c>
      <c r="B519" s="155"/>
      <c r="C519" s="31">
        <v>0.05</v>
      </c>
      <c r="D519" s="139">
        <v>0.64</v>
      </c>
      <c r="E519" s="139">
        <v>0.64</v>
      </c>
      <c r="F519" s="52"/>
      <c r="G519" s="10"/>
      <c r="H519" s="10"/>
      <c r="I519" s="10"/>
      <c r="J519" s="10"/>
      <c r="K519" s="10"/>
      <c r="L519" s="143" t="s">
        <v>2581</v>
      </c>
      <c r="M519" s="144"/>
      <c r="N519" s="144"/>
      <c r="O519" s="144"/>
    </row>
    <row r="520">
      <c r="A520" s="138" t="s">
        <v>2582</v>
      </c>
      <c r="B520" s="155"/>
      <c r="C520" s="31">
        <v>0.05</v>
      </c>
      <c r="D520" s="139">
        <v>0.64</v>
      </c>
      <c r="E520" s="139">
        <v>0.64</v>
      </c>
      <c r="F520" s="52"/>
      <c r="G520" s="10"/>
      <c r="H520" s="10"/>
      <c r="I520" s="10"/>
      <c r="J520" s="10"/>
      <c r="K520" s="10"/>
      <c r="L520" s="143" t="s">
        <v>815</v>
      </c>
      <c r="M520" s="144"/>
      <c r="N520" s="144"/>
      <c r="O520" s="144"/>
    </row>
    <row r="521">
      <c r="A521" s="138" t="s">
        <v>2583</v>
      </c>
      <c r="B521" s="155"/>
      <c r="C521" s="31">
        <v>0.05</v>
      </c>
      <c r="D521" s="139">
        <v>0.64</v>
      </c>
      <c r="E521" s="139">
        <v>0.64</v>
      </c>
      <c r="F521" s="52"/>
      <c r="G521" s="10"/>
      <c r="H521" s="10"/>
      <c r="I521" s="10"/>
      <c r="J521" s="10"/>
      <c r="K521" s="10"/>
      <c r="L521" s="143" t="s">
        <v>2582</v>
      </c>
      <c r="M521" s="144"/>
      <c r="N521" s="144"/>
      <c r="O521" s="144"/>
    </row>
    <row r="522">
      <c r="A522" s="138" t="s">
        <v>2584</v>
      </c>
      <c r="B522" s="134">
        <v>6936.0</v>
      </c>
      <c r="C522" s="31">
        <v>0.05</v>
      </c>
      <c r="D522" s="139">
        <v>0.64</v>
      </c>
      <c r="E522" s="139">
        <v>0.64</v>
      </c>
      <c r="F522" s="52"/>
      <c r="G522" s="10"/>
      <c r="H522" s="10"/>
      <c r="I522" s="10"/>
      <c r="J522" s="10"/>
      <c r="K522" s="10"/>
      <c r="L522" s="143" t="s">
        <v>2583</v>
      </c>
      <c r="M522" s="144"/>
      <c r="N522" s="144"/>
      <c r="O522" s="144"/>
    </row>
    <row r="523">
      <c r="A523" s="138" t="s">
        <v>2585</v>
      </c>
      <c r="B523" s="155"/>
      <c r="C523" s="31">
        <v>0.05</v>
      </c>
      <c r="D523" s="139">
        <v>0.64</v>
      </c>
      <c r="E523" s="139">
        <v>0.64</v>
      </c>
      <c r="F523" s="52"/>
      <c r="G523" s="10"/>
      <c r="H523" s="10"/>
      <c r="I523" s="10"/>
      <c r="J523" s="10"/>
      <c r="K523" s="10"/>
      <c r="L523" s="143" t="s">
        <v>2584</v>
      </c>
      <c r="M523" s="144">
        <v>6936.0</v>
      </c>
      <c r="N523" s="144"/>
      <c r="O523" s="144"/>
    </row>
    <row r="524">
      <c r="A524" s="138" t="s">
        <v>2586</v>
      </c>
      <c r="B524" s="155"/>
      <c r="C524" s="31">
        <v>0.05</v>
      </c>
      <c r="D524" s="139">
        <v>0.64</v>
      </c>
      <c r="E524" s="139">
        <v>0.64</v>
      </c>
      <c r="F524" s="52"/>
      <c r="G524" s="10"/>
      <c r="H524" s="10"/>
      <c r="I524" s="10"/>
      <c r="J524" s="10"/>
      <c r="K524" s="10"/>
      <c r="L524" s="143" t="s">
        <v>2585</v>
      </c>
      <c r="M524" s="144"/>
      <c r="N524" s="144"/>
      <c r="O524" s="144"/>
    </row>
    <row r="525">
      <c r="A525" s="138" t="s">
        <v>856</v>
      </c>
      <c r="B525" s="155"/>
      <c r="C525" s="31">
        <v>0.05</v>
      </c>
      <c r="D525" s="139">
        <v>0.64</v>
      </c>
      <c r="E525" s="139">
        <v>0.64</v>
      </c>
      <c r="F525" s="52"/>
      <c r="G525" s="10"/>
      <c r="H525" s="10"/>
      <c r="I525" s="10"/>
      <c r="J525" s="10"/>
      <c r="K525" s="10"/>
      <c r="L525" s="143" t="s">
        <v>2586</v>
      </c>
      <c r="M525" s="144"/>
      <c r="N525" s="144"/>
      <c r="O525" s="144"/>
    </row>
    <row r="526">
      <c r="A526" s="138" t="s">
        <v>2587</v>
      </c>
      <c r="B526" s="155"/>
      <c r="C526" s="31">
        <v>0.05</v>
      </c>
      <c r="D526" s="139">
        <v>0.64</v>
      </c>
      <c r="E526" s="139">
        <v>0.64</v>
      </c>
      <c r="F526" s="52"/>
      <c r="G526" s="10"/>
      <c r="H526" s="10"/>
      <c r="I526" s="10"/>
      <c r="J526" s="10"/>
      <c r="K526" s="10"/>
      <c r="L526" s="143" t="s">
        <v>856</v>
      </c>
      <c r="M526" s="144"/>
      <c r="N526" s="144"/>
      <c r="O526" s="144"/>
    </row>
    <row r="527">
      <c r="A527" s="138" t="s">
        <v>2588</v>
      </c>
      <c r="B527" s="155"/>
      <c r="C527" s="31">
        <v>0.05</v>
      </c>
      <c r="D527" s="139">
        <v>0.64</v>
      </c>
      <c r="E527" s="139">
        <v>0.64</v>
      </c>
      <c r="F527" s="52"/>
      <c r="G527" s="10"/>
      <c r="H527" s="10"/>
      <c r="I527" s="10"/>
      <c r="J527" s="10"/>
      <c r="K527" s="10"/>
      <c r="L527" s="143" t="s">
        <v>2587</v>
      </c>
      <c r="M527" s="144"/>
      <c r="N527" s="144"/>
      <c r="O527" s="144"/>
    </row>
    <row r="528">
      <c r="A528" s="138" t="s">
        <v>2589</v>
      </c>
      <c r="B528" s="155"/>
      <c r="C528" s="31">
        <v>0.05</v>
      </c>
      <c r="D528" s="139">
        <v>0.64</v>
      </c>
      <c r="E528" s="139">
        <v>0.64</v>
      </c>
      <c r="F528" s="52"/>
      <c r="G528" s="10"/>
      <c r="H528" s="10"/>
      <c r="I528" s="10"/>
      <c r="J528" s="10"/>
      <c r="K528" s="10"/>
      <c r="L528" s="143" t="s">
        <v>2588</v>
      </c>
      <c r="M528" s="144"/>
      <c r="N528" s="144"/>
      <c r="O528" s="144"/>
    </row>
    <row r="529">
      <c r="A529" s="138" t="s">
        <v>2590</v>
      </c>
      <c r="B529" s="155"/>
      <c r="C529" s="31">
        <v>0.05</v>
      </c>
      <c r="D529" s="139">
        <v>0.64</v>
      </c>
      <c r="E529" s="139">
        <v>0.64</v>
      </c>
      <c r="F529" s="52"/>
      <c r="G529" s="10"/>
      <c r="H529" s="10"/>
      <c r="I529" s="10"/>
      <c r="J529" s="10"/>
      <c r="K529" s="10"/>
      <c r="L529" s="143" t="s">
        <v>2589</v>
      </c>
      <c r="M529" s="144"/>
      <c r="N529" s="144"/>
      <c r="O529" s="144"/>
    </row>
    <row r="530">
      <c r="A530" s="138" t="s">
        <v>2591</v>
      </c>
      <c r="B530" s="155"/>
      <c r="C530" s="31">
        <v>0.05</v>
      </c>
      <c r="D530" s="139">
        <v>0.64</v>
      </c>
      <c r="E530" s="139">
        <v>0.64</v>
      </c>
      <c r="F530" s="52"/>
      <c r="G530" s="10"/>
      <c r="H530" s="10"/>
      <c r="I530" s="10"/>
      <c r="J530" s="10"/>
      <c r="K530" s="10"/>
      <c r="L530" s="143" t="s">
        <v>2590</v>
      </c>
      <c r="M530" s="144"/>
      <c r="N530" s="144"/>
      <c r="O530" s="144"/>
    </row>
    <row r="531">
      <c r="A531" s="138" t="s">
        <v>2592</v>
      </c>
      <c r="B531" s="155"/>
      <c r="C531" s="31">
        <v>0.05</v>
      </c>
      <c r="D531" s="139">
        <v>0.64</v>
      </c>
      <c r="E531" s="139">
        <v>0.64</v>
      </c>
      <c r="F531" s="52"/>
      <c r="G531" s="10"/>
      <c r="H531" s="10"/>
      <c r="I531" s="10"/>
      <c r="J531" s="10"/>
      <c r="K531" s="10"/>
      <c r="L531" s="143" t="s">
        <v>2591</v>
      </c>
      <c r="M531" s="144"/>
      <c r="N531" s="144"/>
      <c r="O531" s="144"/>
    </row>
    <row r="532">
      <c r="A532" s="138" t="s">
        <v>2593</v>
      </c>
      <c r="B532" s="155"/>
      <c r="C532" s="31">
        <v>0.05</v>
      </c>
      <c r="D532" s="139">
        <v>0.64</v>
      </c>
      <c r="E532" s="139">
        <v>0.64</v>
      </c>
      <c r="F532" s="52"/>
      <c r="G532" s="10"/>
      <c r="H532" s="10"/>
      <c r="I532" s="10"/>
      <c r="J532" s="10"/>
      <c r="K532" s="10"/>
      <c r="L532" s="143" t="s">
        <v>2592</v>
      </c>
      <c r="M532" s="144"/>
      <c r="N532" s="144"/>
      <c r="O532" s="144"/>
    </row>
    <row r="533">
      <c r="A533" s="138" t="s">
        <v>2594</v>
      </c>
      <c r="B533" s="155"/>
      <c r="C533" s="31">
        <v>0.05</v>
      </c>
      <c r="D533" s="139">
        <v>0.64</v>
      </c>
      <c r="E533" s="139">
        <v>0.64</v>
      </c>
      <c r="F533" s="52"/>
      <c r="G533" s="10"/>
      <c r="H533" s="10"/>
      <c r="I533" s="10"/>
      <c r="J533" s="10"/>
      <c r="K533" s="10"/>
      <c r="L533" s="143" t="s">
        <v>2593</v>
      </c>
      <c r="M533" s="144"/>
      <c r="N533" s="144"/>
      <c r="O533" s="144"/>
    </row>
    <row r="534">
      <c r="A534" s="138" t="s">
        <v>2595</v>
      </c>
      <c r="B534" s="151">
        <v>7100.0</v>
      </c>
      <c r="C534" s="31">
        <v>0.05</v>
      </c>
      <c r="D534" s="139">
        <v>0.64</v>
      </c>
      <c r="E534" s="139">
        <v>0.64</v>
      </c>
      <c r="F534" s="52"/>
      <c r="G534" s="10"/>
      <c r="H534" s="10"/>
      <c r="I534" s="10"/>
      <c r="J534" s="10"/>
      <c r="K534" s="10"/>
      <c r="L534" s="143" t="s">
        <v>2594</v>
      </c>
      <c r="M534" s="144"/>
      <c r="N534" s="144"/>
      <c r="O534" s="144"/>
    </row>
    <row r="535">
      <c r="A535" s="138" t="s">
        <v>2596</v>
      </c>
      <c r="B535" s="155"/>
      <c r="C535" s="31">
        <v>0.05</v>
      </c>
      <c r="D535" s="139">
        <v>0.64</v>
      </c>
      <c r="E535" s="139">
        <v>0.64</v>
      </c>
      <c r="F535" s="52"/>
      <c r="G535" s="10"/>
      <c r="H535" s="10"/>
      <c r="I535" s="10"/>
      <c r="J535" s="10"/>
      <c r="K535" s="10"/>
      <c r="L535" s="143" t="s">
        <v>2595</v>
      </c>
      <c r="M535" s="152">
        <v>7100.0</v>
      </c>
      <c r="N535" s="144"/>
      <c r="O535" s="144"/>
    </row>
    <row r="536">
      <c r="A536" s="138" t="s">
        <v>2597</v>
      </c>
      <c r="B536" s="155"/>
      <c r="C536" s="31">
        <v>0.05</v>
      </c>
      <c r="D536" s="139">
        <v>0.64</v>
      </c>
      <c r="E536" s="139">
        <v>0.64</v>
      </c>
      <c r="F536" s="52"/>
      <c r="G536" s="10"/>
      <c r="H536" s="10"/>
      <c r="I536" s="10"/>
      <c r="J536" s="10"/>
      <c r="K536" s="10"/>
      <c r="L536" s="143" t="s">
        <v>2596</v>
      </c>
      <c r="M536" s="144"/>
      <c r="N536" s="144"/>
      <c r="O536" s="144"/>
    </row>
    <row r="537">
      <c r="A537" s="138" t="s">
        <v>2598</v>
      </c>
      <c r="B537" s="155"/>
      <c r="C537" s="31">
        <v>0.05</v>
      </c>
      <c r="D537" s="139">
        <v>0.64</v>
      </c>
      <c r="E537" s="139">
        <v>0.64</v>
      </c>
      <c r="F537" s="52"/>
      <c r="G537" s="10"/>
      <c r="H537" s="10"/>
      <c r="I537" s="10"/>
      <c r="J537" s="10"/>
      <c r="K537" s="10"/>
      <c r="L537" s="143" t="s">
        <v>2597</v>
      </c>
      <c r="M537" s="144"/>
      <c r="N537" s="144"/>
      <c r="O537" s="144"/>
    </row>
    <row r="538">
      <c r="A538" s="138" t="s">
        <v>2599</v>
      </c>
      <c r="B538" s="155"/>
      <c r="C538" s="31">
        <v>0.05</v>
      </c>
      <c r="D538" s="139">
        <v>0.64</v>
      </c>
      <c r="E538" s="139">
        <v>0.64</v>
      </c>
      <c r="F538" s="52"/>
      <c r="G538" s="10"/>
      <c r="H538" s="10"/>
      <c r="I538" s="10"/>
      <c r="J538" s="10"/>
      <c r="K538" s="10"/>
      <c r="L538" s="143" t="s">
        <v>2598</v>
      </c>
      <c r="M538" s="144"/>
      <c r="N538" s="144"/>
      <c r="O538" s="144"/>
    </row>
    <row r="539">
      <c r="A539" s="138" t="s">
        <v>2600</v>
      </c>
      <c r="B539" s="155"/>
      <c r="C539" s="31">
        <v>0.05</v>
      </c>
      <c r="D539" s="139">
        <v>0.64</v>
      </c>
      <c r="E539" s="139">
        <v>0.64</v>
      </c>
      <c r="F539" s="52"/>
      <c r="G539" s="10"/>
      <c r="H539" s="10"/>
      <c r="I539" s="10"/>
      <c r="J539" s="10"/>
      <c r="K539" s="10"/>
      <c r="L539" s="143" t="s">
        <v>2599</v>
      </c>
      <c r="M539" s="144"/>
      <c r="N539" s="144"/>
      <c r="O539" s="144"/>
    </row>
    <row r="540">
      <c r="A540" s="138" t="s">
        <v>2601</v>
      </c>
      <c r="B540" s="155"/>
      <c r="C540" s="31">
        <v>0.05</v>
      </c>
      <c r="D540" s="139">
        <v>0.64</v>
      </c>
      <c r="E540" s="139">
        <v>0.64</v>
      </c>
      <c r="F540" s="52"/>
      <c r="G540" s="10"/>
      <c r="H540" s="10"/>
      <c r="I540" s="10"/>
      <c r="J540" s="10"/>
      <c r="K540" s="10"/>
      <c r="L540" s="143" t="s">
        <v>2600</v>
      </c>
      <c r="M540" s="144"/>
      <c r="N540" s="144"/>
      <c r="O540" s="144"/>
    </row>
    <row r="541">
      <c r="A541" s="138" t="s">
        <v>2602</v>
      </c>
      <c r="B541" s="155"/>
      <c r="C541" s="31">
        <v>0.05</v>
      </c>
      <c r="D541" s="139">
        <v>0.64</v>
      </c>
      <c r="E541" s="139">
        <v>0.64</v>
      </c>
      <c r="F541" s="52"/>
      <c r="G541" s="10"/>
      <c r="H541" s="10"/>
      <c r="I541" s="10"/>
      <c r="J541" s="10"/>
      <c r="K541" s="10"/>
      <c r="L541" s="143" t="s">
        <v>2601</v>
      </c>
      <c r="M541" s="144"/>
      <c r="N541" s="144"/>
      <c r="O541" s="144"/>
    </row>
    <row r="542">
      <c r="A542" s="138" t="s">
        <v>2603</v>
      </c>
      <c r="B542" s="155"/>
      <c r="C542" s="31">
        <v>0.05</v>
      </c>
      <c r="D542" s="139">
        <v>0.64</v>
      </c>
      <c r="E542" s="139">
        <v>0.64</v>
      </c>
      <c r="F542" s="52"/>
      <c r="G542" s="10"/>
      <c r="H542" s="10"/>
      <c r="I542" s="10"/>
      <c r="J542" s="10"/>
      <c r="K542" s="10"/>
      <c r="L542" s="143" t="s">
        <v>2602</v>
      </c>
      <c r="M542" s="144"/>
      <c r="N542" s="144"/>
      <c r="O542" s="144"/>
    </row>
    <row r="543">
      <c r="A543" s="138" t="s">
        <v>2604</v>
      </c>
      <c r="B543" s="155"/>
      <c r="C543" s="31">
        <v>0.05</v>
      </c>
      <c r="D543" s="139">
        <v>0.64</v>
      </c>
      <c r="E543" s="139">
        <v>0.64</v>
      </c>
      <c r="F543" s="52"/>
      <c r="G543" s="10"/>
      <c r="H543" s="10"/>
      <c r="I543" s="10"/>
      <c r="J543" s="10"/>
      <c r="K543" s="10"/>
      <c r="L543" s="143" t="s">
        <v>2603</v>
      </c>
      <c r="M543" s="144"/>
      <c r="N543" s="144"/>
      <c r="O543" s="144"/>
    </row>
    <row r="544">
      <c r="A544" s="138" t="s">
        <v>2605</v>
      </c>
      <c r="B544" s="155"/>
      <c r="C544" s="31">
        <v>0.05</v>
      </c>
      <c r="D544" s="139">
        <v>0.64</v>
      </c>
      <c r="E544" s="139">
        <v>0.64</v>
      </c>
      <c r="F544" s="52"/>
      <c r="G544" s="10"/>
      <c r="H544" s="10"/>
      <c r="I544" s="10"/>
      <c r="J544" s="10"/>
      <c r="K544" s="10"/>
      <c r="L544" s="143" t="s">
        <v>2604</v>
      </c>
      <c r="M544" s="144"/>
      <c r="N544" s="144"/>
      <c r="O544" s="144"/>
    </row>
    <row r="545">
      <c r="A545" s="138" t="s">
        <v>2606</v>
      </c>
      <c r="B545" s="155"/>
      <c r="C545" s="31">
        <v>0.05</v>
      </c>
      <c r="D545" s="139">
        <v>0.64</v>
      </c>
      <c r="E545" s="139">
        <v>0.64</v>
      </c>
      <c r="F545" s="52"/>
      <c r="G545" s="10"/>
      <c r="H545" s="10"/>
      <c r="I545" s="10"/>
      <c r="J545" s="10"/>
      <c r="K545" s="10"/>
      <c r="L545" s="143" t="s">
        <v>2605</v>
      </c>
      <c r="M545" s="144"/>
      <c r="N545" s="144"/>
      <c r="O545" s="144"/>
    </row>
    <row r="546">
      <c r="A546" s="138" t="s">
        <v>2607</v>
      </c>
      <c r="B546" s="155"/>
      <c r="C546" s="31">
        <v>0.05</v>
      </c>
      <c r="D546" s="139">
        <v>0.64</v>
      </c>
      <c r="E546" s="139">
        <v>0.64</v>
      </c>
      <c r="F546" s="52"/>
      <c r="G546" s="10"/>
      <c r="H546" s="10"/>
      <c r="I546" s="10"/>
      <c r="J546" s="10"/>
      <c r="K546" s="10"/>
      <c r="L546" s="143" t="s">
        <v>2606</v>
      </c>
      <c r="M546" s="144"/>
      <c r="N546" s="144"/>
      <c r="O546" s="144"/>
    </row>
    <row r="547">
      <c r="A547" s="138" t="s">
        <v>2608</v>
      </c>
      <c r="B547" s="155"/>
      <c r="C547" s="31">
        <v>0.05</v>
      </c>
      <c r="D547" s="139">
        <v>0.64</v>
      </c>
      <c r="E547" s="139">
        <v>0.64</v>
      </c>
      <c r="F547" s="52"/>
      <c r="G547" s="10"/>
      <c r="H547" s="10"/>
      <c r="I547" s="10"/>
      <c r="J547" s="10"/>
      <c r="K547" s="10"/>
      <c r="L547" s="143" t="s">
        <v>2607</v>
      </c>
      <c r="M547" s="144"/>
      <c r="N547" s="144"/>
      <c r="O547" s="144"/>
    </row>
    <row r="548">
      <c r="A548" s="138" t="s">
        <v>2609</v>
      </c>
      <c r="B548" s="155"/>
      <c r="C548" s="31">
        <v>0.05</v>
      </c>
      <c r="D548" s="139">
        <v>0.64</v>
      </c>
      <c r="E548" s="139">
        <v>0.64</v>
      </c>
      <c r="F548" s="52"/>
      <c r="G548" s="10"/>
      <c r="H548" s="10"/>
      <c r="I548" s="10"/>
      <c r="J548" s="10"/>
      <c r="K548" s="10"/>
      <c r="L548" s="143" t="s">
        <v>2608</v>
      </c>
      <c r="M548" s="144"/>
      <c r="N548" s="144"/>
      <c r="O548" s="144"/>
    </row>
    <row r="549">
      <c r="A549" s="138" t="s">
        <v>2610</v>
      </c>
      <c r="B549" s="155"/>
      <c r="C549" s="31">
        <v>0.05</v>
      </c>
      <c r="D549" s="139">
        <v>0.64</v>
      </c>
      <c r="E549" s="139">
        <v>0.64</v>
      </c>
      <c r="F549" s="52"/>
      <c r="G549" s="10"/>
      <c r="H549" s="10"/>
      <c r="I549" s="10"/>
      <c r="J549" s="10"/>
      <c r="K549" s="10"/>
      <c r="L549" s="143" t="s">
        <v>2609</v>
      </c>
      <c r="M549" s="144"/>
      <c r="N549" s="144"/>
      <c r="O549" s="144"/>
    </row>
    <row r="550">
      <c r="A550" s="138" t="s">
        <v>2611</v>
      </c>
      <c r="B550" s="155"/>
      <c r="C550" s="31">
        <v>0.05</v>
      </c>
      <c r="D550" s="139">
        <v>0.64</v>
      </c>
      <c r="E550" s="139">
        <v>0.64</v>
      </c>
      <c r="F550" s="52"/>
      <c r="G550" s="10"/>
      <c r="H550" s="10"/>
      <c r="I550" s="10"/>
      <c r="J550" s="10"/>
      <c r="K550" s="10"/>
      <c r="L550" s="143" t="s">
        <v>2610</v>
      </c>
      <c r="M550" s="144"/>
      <c r="N550" s="144"/>
      <c r="O550" s="144"/>
    </row>
    <row r="551">
      <c r="A551" s="138" t="s">
        <v>2612</v>
      </c>
      <c r="B551" s="155"/>
      <c r="C551" s="31">
        <v>0.05</v>
      </c>
      <c r="D551" s="139">
        <v>0.64</v>
      </c>
      <c r="E551" s="139">
        <v>0.64</v>
      </c>
      <c r="F551" s="52"/>
      <c r="G551" s="10"/>
      <c r="H551" s="10"/>
      <c r="I551" s="10"/>
      <c r="J551" s="10"/>
      <c r="K551" s="10"/>
      <c r="L551" s="143" t="s">
        <v>2611</v>
      </c>
      <c r="M551" s="144"/>
      <c r="N551" s="144"/>
      <c r="O551" s="144"/>
    </row>
    <row r="552">
      <c r="A552" s="138" t="s">
        <v>2613</v>
      </c>
      <c r="B552" s="155"/>
      <c r="C552" s="31">
        <v>0.05</v>
      </c>
      <c r="D552" s="139">
        <v>0.64</v>
      </c>
      <c r="E552" s="139">
        <v>0.64</v>
      </c>
      <c r="F552" s="52"/>
      <c r="G552" s="10"/>
      <c r="H552" s="10"/>
      <c r="I552" s="10"/>
      <c r="J552" s="10"/>
      <c r="K552" s="10"/>
      <c r="L552" s="143" t="s">
        <v>2612</v>
      </c>
      <c r="M552" s="144"/>
      <c r="N552" s="144"/>
      <c r="O552" s="144"/>
    </row>
    <row r="553">
      <c r="A553" s="138" t="s">
        <v>2614</v>
      </c>
      <c r="B553" s="155"/>
      <c r="C553" s="31">
        <v>0.05</v>
      </c>
      <c r="D553" s="139">
        <v>0.64</v>
      </c>
      <c r="E553" s="139">
        <v>0.64</v>
      </c>
      <c r="F553" s="52"/>
      <c r="G553" s="10"/>
      <c r="H553" s="10"/>
      <c r="I553" s="10"/>
      <c r="J553" s="10"/>
      <c r="K553" s="10"/>
      <c r="L553" s="143" t="s">
        <v>2613</v>
      </c>
      <c r="M553" s="144"/>
      <c r="N553" s="144"/>
      <c r="O553" s="144"/>
    </row>
    <row r="554">
      <c r="A554" s="138" t="s">
        <v>2615</v>
      </c>
      <c r="B554" s="155"/>
      <c r="C554" s="31">
        <v>0.05</v>
      </c>
      <c r="D554" s="139">
        <v>0.64</v>
      </c>
      <c r="E554" s="139">
        <v>0.64</v>
      </c>
      <c r="F554" s="52"/>
      <c r="G554" s="10"/>
      <c r="H554" s="10"/>
      <c r="I554" s="10"/>
      <c r="J554" s="10"/>
      <c r="K554" s="10"/>
      <c r="L554" s="143" t="s">
        <v>2614</v>
      </c>
      <c r="M554" s="144"/>
      <c r="N554" s="144"/>
      <c r="O554" s="144"/>
    </row>
    <row r="555">
      <c r="A555" s="138" t="s">
        <v>2616</v>
      </c>
      <c r="B555" s="155"/>
      <c r="C555" s="31">
        <v>0.05</v>
      </c>
      <c r="D555" s="139">
        <v>0.64</v>
      </c>
      <c r="E555" s="139">
        <v>0.64</v>
      </c>
      <c r="F555" s="52"/>
      <c r="G555" s="10"/>
      <c r="H555" s="10"/>
      <c r="I555" s="10"/>
      <c r="J555" s="10"/>
      <c r="K555" s="10"/>
      <c r="L555" s="143" t="s">
        <v>2615</v>
      </c>
      <c r="M555" s="144"/>
      <c r="N555" s="144"/>
      <c r="O555" s="144"/>
    </row>
    <row r="556">
      <c r="A556" s="138" t="s">
        <v>2617</v>
      </c>
      <c r="B556" s="155"/>
      <c r="C556" s="31">
        <v>0.05</v>
      </c>
      <c r="D556" s="139">
        <v>0.64</v>
      </c>
      <c r="E556" s="139">
        <v>0.64</v>
      </c>
      <c r="F556" s="52"/>
      <c r="G556" s="10"/>
      <c r="H556" s="10"/>
      <c r="I556" s="10"/>
      <c r="J556" s="10"/>
      <c r="K556" s="10"/>
      <c r="L556" s="143" t="s">
        <v>2616</v>
      </c>
      <c r="M556" s="144"/>
      <c r="N556" s="144"/>
      <c r="O556" s="144"/>
    </row>
    <row r="557">
      <c r="A557" s="138" t="s">
        <v>2618</v>
      </c>
      <c r="B557" s="155"/>
      <c r="C557" s="31">
        <v>0.05</v>
      </c>
      <c r="D557" s="139">
        <v>0.64</v>
      </c>
      <c r="E557" s="139">
        <v>0.64</v>
      </c>
      <c r="F557" s="52"/>
      <c r="G557" s="10"/>
      <c r="H557" s="10"/>
      <c r="I557" s="10"/>
      <c r="J557" s="10"/>
      <c r="K557" s="10"/>
      <c r="L557" s="143" t="s">
        <v>2617</v>
      </c>
      <c r="M557" s="144"/>
      <c r="N557" s="144"/>
      <c r="O557" s="144"/>
    </row>
    <row r="558">
      <c r="A558" s="138" t="s">
        <v>2619</v>
      </c>
      <c r="B558" s="155"/>
      <c r="C558" s="31">
        <v>0.05</v>
      </c>
      <c r="D558" s="139">
        <v>0.64</v>
      </c>
      <c r="E558" s="139">
        <v>0.64</v>
      </c>
      <c r="F558" s="52"/>
      <c r="G558" s="10"/>
      <c r="H558" s="10"/>
      <c r="I558" s="10"/>
      <c r="J558" s="10"/>
      <c r="K558" s="10"/>
      <c r="L558" s="143" t="s">
        <v>2618</v>
      </c>
      <c r="M558" s="144"/>
      <c r="N558" s="144"/>
      <c r="O558" s="144"/>
    </row>
    <row r="559">
      <c r="A559" s="138" t="s">
        <v>2620</v>
      </c>
      <c r="B559" s="155"/>
      <c r="C559" s="31">
        <v>0.05</v>
      </c>
      <c r="D559" s="139">
        <v>0.64</v>
      </c>
      <c r="E559" s="139">
        <v>0.64</v>
      </c>
      <c r="F559" s="52"/>
      <c r="G559" s="10"/>
      <c r="H559" s="10"/>
      <c r="I559" s="10"/>
      <c r="J559" s="10"/>
      <c r="K559" s="10"/>
      <c r="L559" s="143" t="s">
        <v>2619</v>
      </c>
      <c r="M559" s="144"/>
      <c r="N559" s="144"/>
      <c r="O559" s="144"/>
    </row>
    <row r="560">
      <c r="A560" s="138" t="s">
        <v>2621</v>
      </c>
      <c r="B560" s="155"/>
      <c r="C560" s="31">
        <v>0.05</v>
      </c>
      <c r="D560" s="139">
        <v>0.64</v>
      </c>
      <c r="E560" s="139">
        <v>0.64</v>
      </c>
      <c r="F560" s="52"/>
      <c r="G560" s="10"/>
      <c r="H560" s="10"/>
      <c r="I560" s="10"/>
      <c r="J560" s="10"/>
      <c r="K560" s="10"/>
      <c r="L560" s="143" t="s">
        <v>2620</v>
      </c>
      <c r="M560" s="144"/>
      <c r="N560" s="144"/>
      <c r="O560" s="144"/>
    </row>
    <row r="561">
      <c r="A561" s="138" t="s">
        <v>2622</v>
      </c>
      <c r="B561" s="155"/>
      <c r="C561" s="31">
        <v>0.05</v>
      </c>
      <c r="D561" s="139">
        <v>0.64</v>
      </c>
      <c r="E561" s="139">
        <v>0.64</v>
      </c>
      <c r="F561" s="52"/>
      <c r="G561" s="10"/>
      <c r="H561" s="10"/>
      <c r="I561" s="10"/>
      <c r="J561" s="10"/>
      <c r="K561" s="10"/>
      <c r="L561" s="143" t="s">
        <v>2621</v>
      </c>
      <c r="M561" s="144"/>
      <c r="N561" s="144"/>
      <c r="O561" s="144"/>
    </row>
    <row r="562">
      <c r="A562" s="138" t="s">
        <v>2623</v>
      </c>
      <c r="B562" s="155"/>
      <c r="C562" s="31">
        <v>0.05</v>
      </c>
      <c r="D562" s="139">
        <v>0.64</v>
      </c>
      <c r="E562" s="139">
        <v>0.64</v>
      </c>
      <c r="F562" s="52"/>
      <c r="G562" s="10"/>
      <c r="H562" s="10"/>
      <c r="I562" s="10"/>
      <c r="J562" s="10"/>
      <c r="K562" s="10"/>
      <c r="L562" s="143" t="s">
        <v>2622</v>
      </c>
      <c r="M562" s="144"/>
      <c r="N562" s="144"/>
      <c r="O562" s="144"/>
    </row>
    <row r="563">
      <c r="A563" s="138" t="s">
        <v>2624</v>
      </c>
      <c r="B563" s="155"/>
      <c r="C563" s="31">
        <v>0.05</v>
      </c>
      <c r="D563" s="139">
        <v>0.64</v>
      </c>
      <c r="E563" s="139">
        <v>0.64</v>
      </c>
      <c r="F563" s="52"/>
      <c r="G563" s="10"/>
      <c r="H563" s="10"/>
      <c r="I563" s="10"/>
      <c r="J563" s="10"/>
      <c r="K563" s="10"/>
      <c r="L563" s="143" t="s">
        <v>2623</v>
      </c>
      <c r="M563" s="144"/>
      <c r="N563" s="144"/>
      <c r="O563" s="144"/>
    </row>
    <row r="564">
      <c r="A564" s="138" t="s">
        <v>2625</v>
      </c>
      <c r="B564" s="155"/>
      <c r="C564" s="31">
        <v>0.05</v>
      </c>
      <c r="D564" s="139">
        <v>0.64</v>
      </c>
      <c r="E564" s="139">
        <v>0.64</v>
      </c>
      <c r="F564" s="52"/>
      <c r="G564" s="10"/>
      <c r="H564" s="10"/>
      <c r="I564" s="10"/>
      <c r="J564" s="10"/>
      <c r="K564" s="10"/>
      <c r="L564" s="143" t="s">
        <v>2624</v>
      </c>
      <c r="M564" s="144"/>
      <c r="N564" s="144"/>
      <c r="O564" s="144"/>
    </row>
    <row r="565">
      <c r="A565" s="138" t="s">
        <v>2626</v>
      </c>
      <c r="B565" s="155"/>
      <c r="C565" s="31">
        <v>0.05</v>
      </c>
      <c r="D565" s="139">
        <v>0.64</v>
      </c>
      <c r="E565" s="139">
        <v>0.64</v>
      </c>
      <c r="F565" s="52"/>
      <c r="G565" s="10"/>
      <c r="H565" s="10"/>
      <c r="I565" s="10"/>
      <c r="J565" s="10"/>
      <c r="K565" s="10"/>
      <c r="L565" s="143" t="s">
        <v>2625</v>
      </c>
      <c r="M565" s="144"/>
      <c r="N565" s="144"/>
      <c r="O565" s="144"/>
    </row>
    <row r="566">
      <c r="A566" s="138" t="s">
        <v>2627</v>
      </c>
      <c r="B566" s="155"/>
      <c r="C566" s="31">
        <v>0.05</v>
      </c>
      <c r="D566" s="139">
        <v>0.64</v>
      </c>
      <c r="E566" s="139">
        <v>0.64</v>
      </c>
      <c r="F566" s="52"/>
      <c r="G566" s="10"/>
      <c r="H566" s="10"/>
      <c r="I566" s="10"/>
      <c r="J566" s="10"/>
      <c r="K566" s="10"/>
      <c r="L566" s="143" t="s">
        <v>2626</v>
      </c>
      <c r="M566" s="144"/>
      <c r="N566" s="144"/>
      <c r="O566" s="144"/>
    </row>
    <row r="567">
      <c r="A567" s="138" t="s">
        <v>2628</v>
      </c>
      <c r="B567" s="155"/>
      <c r="C567" s="31">
        <v>0.05</v>
      </c>
      <c r="D567" s="139">
        <v>0.64</v>
      </c>
      <c r="E567" s="139">
        <v>0.64</v>
      </c>
      <c r="F567" s="52"/>
      <c r="G567" s="10"/>
      <c r="H567" s="10"/>
      <c r="I567" s="10"/>
      <c r="J567" s="10"/>
      <c r="K567" s="10"/>
      <c r="L567" s="143" t="s">
        <v>2627</v>
      </c>
      <c r="M567" s="144"/>
      <c r="N567" s="144"/>
      <c r="O567" s="144"/>
    </row>
    <row r="568">
      <c r="A568" s="138" t="s">
        <v>2629</v>
      </c>
      <c r="B568" s="155"/>
      <c r="C568" s="31">
        <v>0.05</v>
      </c>
      <c r="D568" s="139">
        <v>0.64</v>
      </c>
      <c r="E568" s="139">
        <v>0.64</v>
      </c>
      <c r="F568" s="52"/>
      <c r="G568" s="10"/>
      <c r="H568" s="10"/>
      <c r="I568" s="10"/>
      <c r="J568" s="10"/>
      <c r="K568" s="10"/>
      <c r="L568" s="143" t="s">
        <v>2628</v>
      </c>
      <c r="M568" s="144"/>
      <c r="N568" s="144"/>
      <c r="O568" s="144"/>
    </row>
    <row r="569">
      <c r="A569" s="138" t="s">
        <v>2630</v>
      </c>
      <c r="B569" s="155"/>
      <c r="C569" s="31">
        <v>0.05</v>
      </c>
      <c r="D569" s="139">
        <v>0.64</v>
      </c>
      <c r="E569" s="139">
        <v>0.64</v>
      </c>
      <c r="F569" s="52"/>
      <c r="G569" s="10"/>
      <c r="H569" s="10"/>
      <c r="I569" s="10"/>
      <c r="J569" s="10"/>
      <c r="K569" s="10"/>
      <c r="L569" s="143" t="s">
        <v>2629</v>
      </c>
      <c r="M569" s="144"/>
      <c r="N569" s="144"/>
      <c r="O569" s="144"/>
    </row>
    <row r="570">
      <c r="A570" s="138" t="s">
        <v>2631</v>
      </c>
      <c r="B570" s="155"/>
      <c r="C570" s="31">
        <v>0.05</v>
      </c>
      <c r="D570" s="139">
        <v>0.64</v>
      </c>
      <c r="E570" s="139">
        <v>0.64</v>
      </c>
      <c r="F570" s="52"/>
      <c r="G570" s="10"/>
      <c r="H570" s="10"/>
      <c r="I570" s="10"/>
      <c r="J570" s="10"/>
      <c r="K570" s="10"/>
      <c r="L570" s="143" t="s">
        <v>2630</v>
      </c>
      <c r="M570" s="144"/>
      <c r="N570" s="144"/>
      <c r="O570" s="144"/>
    </row>
    <row r="571">
      <c r="A571" s="138" t="s">
        <v>2632</v>
      </c>
      <c r="B571" s="155"/>
      <c r="C571" s="31">
        <v>0.05</v>
      </c>
      <c r="D571" s="139">
        <v>0.64</v>
      </c>
      <c r="E571" s="139">
        <v>0.64</v>
      </c>
      <c r="F571" s="52"/>
      <c r="G571" s="10"/>
      <c r="H571" s="10"/>
      <c r="I571" s="10"/>
      <c r="J571" s="10"/>
      <c r="K571" s="10"/>
      <c r="L571" s="143" t="s">
        <v>2631</v>
      </c>
      <c r="M571" s="144"/>
      <c r="N571" s="144"/>
      <c r="O571" s="144"/>
    </row>
    <row r="572">
      <c r="A572" s="138" t="s">
        <v>2633</v>
      </c>
      <c r="B572" s="155"/>
      <c r="C572" s="31">
        <v>0.05</v>
      </c>
      <c r="D572" s="139">
        <v>0.64</v>
      </c>
      <c r="E572" s="139">
        <v>0.64</v>
      </c>
      <c r="F572" s="52"/>
      <c r="G572" s="10"/>
      <c r="H572" s="10"/>
      <c r="I572" s="10"/>
      <c r="J572" s="10"/>
      <c r="K572" s="10"/>
      <c r="L572" s="143" t="s">
        <v>2632</v>
      </c>
      <c r="M572" s="144"/>
      <c r="N572" s="144"/>
      <c r="O572" s="144"/>
    </row>
    <row r="573">
      <c r="A573" s="138" t="s">
        <v>2634</v>
      </c>
      <c r="B573" s="155"/>
      <c r="C573" s="31">
        <v>0.05</v>
      </c>
      <c r="D573" s="139">
        <v>0.64</v>
      </c>
      <c r="E573" s="139">
        <v>0.64</v>
      </c>
      <c r="F573" s="52"/>
      <c r="G573" s="10"/>
      <c r="H573" s="10"/>
      <c r="I573" s="10"/>
      <c r="J573" s="10"/>
      <c r="K573" s="10"/>
      <c r="L573" s="143" t="s">
        <v>2633</v>
      </c>
      <c r="M573" s="144"/>
      <c r="N573" s="144"/>
      <c r="O573" s="144"/>
    </row>
    <row r="574">
      <c r="A574" s="138" t="s">
        <v>2635</v>
      </c>
      <c r="B574" s="134"/>
      <c r="C574" s="31">
        <v>0.05</v>
      </c>
      <c r="D574" s="139">
        <v>0.64</v>
      </c>
      <c r="E574" s="139">
        <v>0.64</v>
      </c>
      <c r="F574" s="52"/>
      <c r="G574" s="10"/>
      <c r="H574" s="10"/>
      <c r="I574" s="10"/>
      <c r="J574" s="10"/>
      <c r="K574" s="10"/>
      <c r="L574" s="143" t="s">
        <v>2634</v>
      </c>
      <c r="M574" s="144"/>
      <c r="N574" s="144"/>
      <c r="O574" s="144"/>
    </row>
    <row r="575">
      <c r="A575" s="138" t="s">
        <v>2636</v>
      </c>
      <c r="B575" s="155"/>
      <c r="C575" s="31">
        <v>0.05</v>
      </c>
      <c r="D575" s="139">
        <v>0.64</v>
      </c>
      <c r="E575" s="139">
        <v>0.64</v>
      </c>
      <c r="F575" s="52"/>
      <c r="G575" s="10"/>
      <c r="H575" s="10"/>
      <c r="I575" s="10"/>
      <c r="J575" s="10"/>
      <c r="K575" s="10"/>
      <c r="L575" s="143" t="s">
        <v>2635</v>
      </c>
      <c r="M575" s="144"/>
      <c r="N575" s="144"/>
      <c r="O575" s="144"/>
    </row>
    <row r="576">
      <c r="A576" s="138" t="s">
        <v>2637</v>
      </c>
      <c r="B576" s="155"/>
      <c r="C576" s="31">
        <v>0.05</v>
      </c>
      <c r="D576" s="139">
        <v>0.64</v>
      </c>
      <c r="E576" s="139">
        <v>0.64</v>
      </c>
      <c r="F576" s="52"/>
      <c r="G576" s="10"/>
      <c r="H576" s="10"/>
      <c r="I576" s="10"/>
      <c r="J576" s="10"/>
      <c r="K576" s="10"/>
      <c r="L576" s="143" t="s">
        <v>2636</v>
      </c>
      <c r="M576" s="144"/>
      <c r="N576" s="144"/>
      <c r="O576" s="144"/>
    </row>
    <row r="577">
      <c r="A577" s="138" t="s">
        <v>2638</v>
      </c>
      <c r="B577" s="155"/>
      <c r="C577" s="31">
        <v>0.05</v>
      </c>
      <c r="D577" s="139">
        <v>0.64</v>
      </c>
      <c r="E577" s="139">
        <v>0.64</v>
      </c>
      <c r="F577" s="52"/>
      <c r="G577" s="10"/>
      <c r="H577" s="10"/>
      <c r="I577" s="10"/>
      <c r="J577" s="10"/>
      <c r="K577" s="10"/>
      <c r="L577" s="143" t="s">
        <v>2637</v>
      </c>
      <c r="M577" s="144"/>
      <c r="N577" s="144"/>
      <c r="O577" s="144"/>
    </row>
    <row r="578">
      <c r="A578" s="138" t="s">
        <v>2639</v>
      </c>
      <c r="B578" s="155"/>
      <c r="C578" s="31">
        <v>0.05</v>
      </c>
      <c r="D578" s="139">
        <v>0.64</v>
      </c>
      <c r="E578" s="139">
        <v>0.64</v>
      </c>
      <c r="F578" s="52"/>
      <c r="G578" s="10"/>
      <c r="H578" s="10"/>
      <c r="I578" s="10"/>
      <c r="J578" s="10"/>
      <c r="K578" s="10"/>
      <c r="L578" s="143" t="s">
        <v>2638</v>
      </c>
      <c r="M578" s="144"/>
      <c r="N578" s="144"/>
      <c r="O578" s="144"/>
    </row>
    <row r="579">
      <c r="A579" s="138" t="s">
        <v>2640</v>
      </c>
      <c r="B579" s="155"/>
      <c r="C579" s="31">
        <v>0.05</v>
      </c>
      <c r="D579" s="139">
        <v>0.64</v>
      </c>
      <c r="E579" s="139">
        <v>0.64</v>
      </c>
      <c r="F579" s="52"/>
      <c r="G579" s="10"/>
      <c r="H579" s="10"/>
      <c r="I579" s="10"/>
      <c r="J579" s="10"/>
      <c r="K579" s="10"/>
      <c r="L579" s="143" t="s">
        <v>2639</v>
      </c>
      <c r="M579" s="144"/>
      <c r="N579" s="144"/>
      <c r="O579" s="144"/>
    </row>
    <row r="580">
      <c r="A580" s="138" t="s">
        <v>2641</v>
      </c>
      <c r="B580" s="155"/>
      <c r="C580" s="31">
        <v>0.05</v>
      </c>
      <c r="D580" s="139">
        <v>0.64</v>
      </c>
      <c r="E580" s="139">
        <v>0.64</v>
      </c>
      <c r="F580" s="52"/>
      <c r="G580" s="10"/>
      <c r="H580" s="10"/>
      <c r="I580" s="10"/>
      <c r="J580" s="10"/>
      <c r="K580" s="10"/>
      <c r="L580" s="143" t="s">
        <v>2640</v>
      </c>
      <c r="M580" s="144"/>
      <c r="N580" s="144"/>
      <c r="O580" s="144"/>
    </row>
    <row r="581">
      <c r="A581" s="138" t="s">
        <v>2642</v>
      </c>
      <c r="B581" s="155"/>
      <c r="C581" s="31">
        <v>0.05</v>
      </c>
      <c r="D581" s="139">
        <v>0.64</v>
      </c>
      <c r="E581" s="139">
        <v>0.64</v>
      </c>
      <c r="F581" s="52"/>
      <c r="G581" s="10"/>
      <c r="H581" s="10"/>
      <c r="I581" s="10"/>
      <c r="J581" s="10"/>
      <c r="K581" s="10"/>
      <c r="L581" s="143" t="s">
        <v>2641</v>
      </c>
      <c r="M581" s="144"/>
      <c r="N581" s="144"/>
      <c r="O581" s="144"/>
    </row>
    <row r="582">
      <c r="A582" s="138" t="s">
        <v>2643</v>
      </c>
      <c r="B582" s="155"/>
      <c r="C582" s="31">
        <v>0.05</v>
      </c>
      <c r="D582" s="139">
        <v>0.64</v>
      </c>
      <c r="E582" s="139">
        <v>0.64</v>
      </c>
      <c r="F582" s="52"/>
      <c r="G582" s="10"/>
      <c r="H582" s="10"/>
      <c r="I582" s="10"/>
      <c r="J582" s="10"/>
      <c r="K582" s="10"/>
      <c r="L582" s="143" t="s">
        <v>2642</v>
      </c>
      <c r="M582" s="144"/>
      <c r="N582" s="144"/>
      <c r="O582" s="144"/>
    </row>
    <row r="583">
      <c r="A583" s="138" t="s">
        <v>2644</v>
      </c>
      <c r="B583" s="155"/>
      <c r="C583" s="31">
        <v>0.05</v>
      </c>
      <c r="D583" s="139">
        <v>0.64</v>
      </c>
      <c r="E583" s="139">
        <v>0.64</v>
      </c>
      <c r="F583" s="52"/>
      <c r="G583" s="10"/>
      <c r="H583" s="10"/>
      <c r="I583" s="10"/>
      <c r="J583" s="10"/>
      <c r="K583" s="10"/>
      <c r="L583" s="143" t="s">
        <v>2643</v>
      </c>
      <c r="M583" s="144"/>
      <c r="N583" s="144"/>
      <c r="O583" s="144"/>
    </row>
    <row r="584">
      <c r="A584" s="138" t="s">
        <v>2645</v>
      </c>
      <c r="B584" s="155"/>
      <c r="C584" s="31">
        <v>0.05</v>
      </c>
      <c r="D584" s="139">
        <v>0.64</v>
      </c>
      <c r="E584" s="139">
        <v>0.64</v>
      </c>
      <c r="F584" s="52"/>
      <c r="G584" s="10"/>
      <c r="H584" s="10"/>
      <c r="I584" s="10"/>
      <c r="J584" s="10"/>
      <c r="K584" s="10"/>
      <c r="L584" s="143" t="s">
        <v>2644</v>
      </c>
      <c r="M584" s="144"/>
      <c r="N584" s="144"/>
      <c r="O584" s="144"/>
    </row>
    <row r="585">
      <c r="A585" s="138" t="s">
        <v>2646</v>
      </c>
      <c r="B585" s="155"/>
      <c r="C585" s="31">
        <v>0.05</v>
      </c>
      <c r="D585" s="139">
        <v>0.64</v>
      </c>
      <c r="E585" s="139">
        <v>0.64</v>
      </c>
      <c r="F585" s="52"/>
      <c r="G585" s="10"/>
      <c r="H585" s="10"/>
      <c r="I585" s="10"/>
      <c r="J585" s="10"/>
      <c r="K585" s="10"/>
      <c r="L585" s="143" t="s">
        <v>2645</v>
      </c>
      <c r="M585" s="144"/>
      <c r="N585" s="144"/>
      <c r="O585" s="144"/>
    </row>
    <row r="586">
      <c r="A586" s="138" t="s">
        <v>2647</v>
      </c>
      <c r="B586" s="155"/>
      <c r="C586" s="31">
        <v>0.05</v>
      </c>
      <c r="D586" s="139">
        <v>0.64</v>
      </c>
      <c r="E586" s="139">
        <v>0.64</v>
      </c>
      <c r="F586" s="52"/>
      <c r="G586" s="10"/>
      <c r="H586" s="10"/>
      <c r="I586" s="10"/>
      <c r="J586" s="10"/>
      <c r="K586" s="10"/>
      <c r="L586" s="143" t="s">
        <v>2646</v>
      </c>
      <c r="M586" s="144"/>
      <c r="N586" s="144"/>
      <c r="O586" s="144"/>
    </row>
    <row r="587">
      <c r="A587" s="138" t="s">
        <v>2648</v>
      </c>
      <c r="B587" s="155"/>
      <c r="C587" s="31">
        <v>0.05</v>
      </c>
      <c r="D587" s="139">
        <v>0.64</v>
      </c>
      <c r="E587" s="139">
        <v>0.64</v>
      </c>
      <c r="F587" s="52"/>
      <c r="G587" s="10"/>
      <c r="H587" s="10"/>
      <c r="I587" s="10"/>
      <c r="J587" s="10"/>
      <c r="K587" s="10"/>
      <c r="L587" s="143" t="s">
        <v>2647</v>
      </c>
      <c r="M587" s="144"/>
      <c r="N587" s="144"/>
      <c r="O587" s="144"/>
    </row>
    <row r="588">
      <c r="A588" s="138" t="s">
        <v>2649</v>
      </c>
      <c r="B588" s="155"/>
      <c r="C588" s="31">
        <v>0.05</v>
      </c>
      <c r="D588" s="139">
        <v>0.64</v>
      </c>
      <c r="E588" s="139">
        <v>0.64</v>
      </c>
      <c r="F588" s="52"/>
      <c r="G588" s="10"/>
      <c r="H588" s="10"/>
      <c r="I588" s="10"/>
      <c r="J588" s="10"/>
      <c r="K588" s="10"/>
      <c r="L588" s="143" t="s">
        <v>2648</v>
      </c>
      <c r="M588" s="144"/>
      <c r="N588" s="144"/>
      <c r="O588" s="144"/>
    </row>
    <row r="589">
      <c r="A589" s="138" t="s">
        <v>2650</v>
      </c>
      <c r="B589" s="155"/>
      <c r="C589" s="31">
        <v>0.05</v>
      </c>
      <c r="D589" s="139">
        <v>0.64</v>
      </c>
      <c r="E589" s="139">
        <v>0.64</v>
      </c>
      <c r="F589" s="52"/>
      <c r="G589" s="10"/>
      <c r="H589" s="10"/>
      <c r="I589" s="10"/>
      <c r="J589" s="10"/>
      <c r="K589" s="10"/>
      <c r="L589" s="143" t="s">
        <v>2649</v>
      </c>
      <c r="M589" s="144"/>
      <c r="N589" s="144"/>
      <c r="O589" s="144"/>
    </row>
    <row r="590">
      <c r="A590" s="138" t="s">
        <v>2651</v>
      </c>
      <c r="B590" s="155"/>
      <c r="C590" s="31">
        <v>0.05</v>
      </c>
      <c r="D590" s="139">
        <v>0.64</v>
      </c>
      <c r="E590" s="139">
        <v>0.64</v>
      </c>
      <c r="F590" s="52"/>
      <c r="G590" s="10"/>
      <c r="H590" s="10"/>
      <c r="I590" s="10"/>
      <c r="J590" s="10"/>
      <c r="K590" s="10"/>
      <c r="L590" s="143" t="s">
        <v>2650</v>
      </c>
      <c r="M590" s="144"/>
      <c r="N590" s="144"/>
      <c r="O590" s="144"/>
    </row>
    <row r="591">
      <c r="A591" s="138" t="s">
        <v>2652</v>
      </c>
      <c r="B591" s="155"/>
      <c r="C591" s="31">
        <v>0.05</v>
      </c>
      <c r="D591" s="139">
        <v>0.64</v>
      </c>
      <c r="E591" s="139">
        <v>0.64</v>
      </c>
      <c r="F591" s="52"/>
      <c r="G591" s="10"/>
      <c r="H591" s="10"/>
      <c r="I591" s="10"/>
      <c r="J591" s="10"/>
      <c r="K591" s="10"/>
      <c r="L591" s="143" t="s">
        <v>2651</v>
      </c>
      <c r="M591" s="144"/>
      <c r="N591" s="144"/>
      <c r="O591" s="144"/>
    </row>
    <row r="592">
      <c r="A592" s="138" t="s">
        <v>2653</v>
      </c>
      <c r="B592" s="155"/>
      <c r="C592" s="31">
        <v>0.05</v>
      </c>
      <c r="D592" s="139">
        <v>0.64</v>
      </c>
      <c r="E592" s="139">
        <v>0.64</v>
      </c>
      <c r="F592" s="52"/>
      <c r="G592" s="10"/>
      <c r="H592" s="10"/>
      <c r="I592" s="10"/>
      <c r="J592" s="10"/>
      <c r="K592" s="10"/>
      <c r="L592" s="143" t="s">
        <v>2652</v>
      </c>
      <c r="M592" s="144"/>
      <c r="N592" s="144"/>
      <c r="O592" s="144"/>
    </row>
    <row r="593">
      <c r="A593" s="138" t="s">
        <v>2654</v>
      </c>
      <c r="B593" s="155"/>
      <c r="C593" s="31">
        <v>0.05</v>
      </c>
      <c r="D593" s="139">
        <v>0.64</v>
      </c>
      <c r="E593" s="139">
        <v>0.64</v>
      </c>
      <c r="F593" s="52"/>
      <c r="G593" s="10"/>
      <c r="H593" s="10"/>
      <c r="I593" s="10"/>
      <c r="J593" s="10"/>
      <c r="K593" s="10"/>
      <c r="L593" s="143" t="s">
        <v>2653</v>
      </c>
      <c r="M593" s="144"/>
      <c r="N593" s="144"/>
      <c r="O593" s="144"/>
    </row>
    <row r="594">
      <c r="A594" s="138" t="s">
        <v>2655</v>
      </c>
      <c r="B594" s="155"/>
      <c r="C594" s="31">
        <v>0.05</v>
      </c>
      <c r="D594" s="139">
        <v>0.64</v>
      </c>
      <c r="E594" s="139">
        <v>0.64</v>
      </c>
      <c r="F594" s="52"/>
      <c r="G594" s="10"/>
      <c r="H594" s="10"/>
      <c r="I594" s="10"/>
      <c r="J594" s="10"/>
      <c r="K594" s="10"/>
      <c r="L594" s="143" t="s">
        <v>2654</v>
      </c>
      <c r="M594" s="144"/>
      <c r="N594" s="144"/>
      <c r="O594" s="144"/>
    </row>
    <row r="595">
      <c r="A595" s="138" t="s">
        <v>2656</v>
      </c>
      <c r="B595" s="155"/>
      <c r="C595" s="31">
        <v>0.05</v>
      </c>
      <c r="D595" s="139">
        <v>0.64</v>
      </c>
      <c r="E595" s="139">
        <v>0.64</v>
      </c>
      <c r="F595" s="52"/>
      <c r="G595" s="10"/>
      <c r="H595" s="10"/>
      <c r="I595" s="10"/>
      <c r="J595" s="10"/>
      <c r="K595" s="10"/>
      <c r="L595" s="143" t="s">
        <v>2655</v>
      </c>
      <c r="M595" s="144"/>
      <c r="N595" s="144"/>
      <c r="O595" s="144"/>
    </row>
    <row r="596">
      <c r="A596" s="138" t="s">
        <v>2657</v>
      </c>
      <c r="B596" s="155"/>
      <c r="C596" s="31">
        <v>0.05</v>
      </c>
      <c r="D596" s="139">
        <v>0.64</v>
      </c>
      <c r="E596" s="139">
        <v>0.64</v>
      </c>
      <c r="F596" s="52"/>
      <c r="G596" s="10"/>
      <c r="H596" s="10"/>
      <c r="I596" s="10"/>
      <c r="J596" s="10"/>
      <c r="K596" s="10"/>
      <c r="L596" s="143" t="s">
        <v>2656</v>
      </c>
      <c r="M596" s="144"/>
      <c r="N596" s="144"/>
      <c r="O596" s="144"/>
    </row>
    <row r="597">
      <c r="A597" s="138" t="s">
        <v>2658</v>
      </c>
      <c r="B597" s="155"/>
      <c r="C597" s="31">
        <v>0.05</v>
      </c>
      <c r="D597" s="139">
        <v>0.64</v>
      </c>
      <c r="E597" s="139">
        <v>0.64</v>
      </c>
      <c r="F597" s="52"/>
      <c r="G597" s="10"/>
      <c r="H597" s="10"/>
      <c r="I597" s="10"/>
      <c r="J597" s="10"/>
      <c r="K597" s="10"/>
      <c r="L597" s="143" t="s">
        <v>2657</v>
      </c>
      <c r="M597" s="144"/>
      <c r="N597" s="144"/>
      <c r="O597" s="144"/>
    </row>
    <row r="598">
      <c r="A598" s="138" t="s">
        <v>2659</v>
      </c>
      <c r="B598" s="155"/>
      <c r="C598" s="31">
        <v>0.05</v>
      </c>
      <c r="D598" s="139">
        <v>0.64</v>
      </c>
      <c r="E598" s="139">
        <v>0.64</v>
      </c>
      <c r="F598" s="52"/>
      <c r="G598" s="10"/>
      <c r="H598" s="10"/>
      <c r="I598" s="10"/>
      <c r="J598" s="10"/>
      <c r="K598" s="10"/>
      <c r="L598" s="143" t="s">
        <v>2658</v>
      </c>
      <c r="M598" s="144"/>
      <c r="N598" s="144"/>
      <c r="O598" s="144"/>
    </row>
    <row r="599">
      <c r="A599" s="138" t="s">
        <v>2660</v>
      </c>
      <c r="B599" s="155"/>
      <c r="C599" s="31">
        <v>0.05</v>
      </c>
      <c r="D599" s="139">
        <v>0.64</v>
      </c>
      <c r="E599" s="139">
        <v>0.64</v>
      </c>
      <c r="F599" s="52"/>
      <c r="G599" s="10"/>
      <c r="H599" s="10"/>
      <c r="I599" s="10"/>
      <c r="J599" s="10"/>
      <c r="K599" s="10"/>
      <c r="L599" s="143" t="s">
        <v>2659</v>
      </c>
      <c r="M599" s="144"/>
      <c r="N599" s="144"/>
      <c r="O599" s="144"/>
    </row>
    <row r="600">
      <c r="A600" s="138" t="s">
        <v>2661</v>
      </c>
      <c r="B600" s="155"/>
      <c r="C600" s="31">
        <v>0.05</v>
      </c>
      <c r="D600" s="139">
        <v>0.64</v>
      </c>
      <c r="E600" s="139">
        <v>0.64</v>
      </c>
      <c r="F600" s="52"/>
      <c r="G600" s="10"/>
      <c r="H600" s="10"/>
      <c r="I600" s="10"/>
      <c r="J600" s="10"/>
      <c r="K600" s="10"/>
      <c r="L600" s="143" t="s">
        <v>2660</v>
      </c>
      <c r="M600" s="144"/>
      <c r="N600" s="144"/>
      <c r="O600" s="144"/>
    </row>
    <row r="601">
      <c r="A601" s="138" t="s">
        <v>2662</v>
      </c>
      <c r="B601" s="155"/>
      <c r="C601" s="31">
        <v>0.05</v>
      </c>
      <c r="D601" s="139">
        <v>0.64</v>
      </c>
      <c r="E601" s="139">
        <v>0.64</v>
      </c>
      <c r="F601" s="52"/>
      <c r="G601" s="10"/>
      <c r="H601" s="10"/>
      <c r="I601" s="10"/>
      <c r="J601" s="10"/>
      <c r="K601" s="10"/>
      <c r="L601" s="143" t="s">
        <v>2661</v>
      </c>
      <c r="M601" s="144"/>
      <c r="N601" s="144"/>
      <c r="O601" s="144"/>
    </row>
    <row r="602">
      <c r="A602" s="138" t="s">
        <v>2663</v>
      </c>
      <c r="B602" s="155"/>
      <c r="C602" s="31">
        <v>0.05</v>
      </c>
      <c r="D602" s="139">
        <v>0.64</v>
      </c>
      <c r="E602" s="139">
        <v>0.64</v>
      </c>
      <c r="F602" s="52"/>
      <c r="G602" s="10"/>
      <c r="H602" s="10"/>
      <c r="I602" s="10"/>
      <c r="J602" s="10"/>
      <c r="K602" s="10"/>
      <c r="L602" s="143" t="s">
        <v>2662</v>
      </c>
      <c r="M602" s="144"/>
      <c r="N602" s="144"/>
      <c r="O602" s="144"/>
    </row>
    <row r="603">
      <c r="A603" s="138" t="s">
        <v>2664</v>
      </c>
      <c r="B603" s="155"/>
      <c r="C603" s="31">
        <v>0.05</v>
      </c>
      <c r="D603" s="139">
        <v>0.64</v>
      </c>
      <c r="E603" s="139">
        <v>0.64</v>
      </c>
      <c r="F603" s="52"/>
      <c r="G603" s="10"/>
      <c r="H603" s="10"/>
      <c r="I603" s="10"/>
      <c r="J603" s="10"/>
      <c r="K603" s="10"/>
      <c r="L603" s="143" t="s">
        <v>2663</v>
      </c>
      <c r="M603" s="144"/>
      <c r="N603" s="144"/>
      <c r="O603" s="144"/>
    </row>
    <row r="604">
      <c r="A604" s="138" t="s">
        <v>2665</v>
      </c>
      <c r="B604" s="155"/>
      <c r="C604" s="31">
        <v>0.05</v>
      </c>
      <c r="D604" s="139">
        <v>0.64</v>
      </c>
      <c r="E604" s="139">
        <v>0.64</v>
      </c>
      <c r="F604" s="52"/>
      <c r="G604" s="10"/>
      <c r="H604" s="10"/>
      <c r="I604" s="10"/>
      <c r="J604" s="10"/>
      <c r="K604" s="10"/>
      <c r="L604" s="143" t="s">
        <v>2664</v>
      </c>
      <c r="M604" s="144"/>
      <c r="N604" s="144"/>
      <c r="O604" s="144"/>
    </row>
    <row r="605">
      <c r="A605" s="138" t="s">
        <v>2666</v>
      </c>
      <c r="B605" s="155"/>
      <c r="C605" s="31">
        <v>0.05</v>
      </c>
      <c r="D605" s="139">
        <v>0.64</v>
      </c>
      <c r="E605" s="139">
        <v>0.64</v>
      </c>
      <c r="F605" s="52"/>
      <c r="G605" s="10"/>
      <c r="H605" s="10"/>
      <c r="I605" s="10"/>
      <c r="J605" s="10"/>
      <c r="K605" s="10"/>
      <c r="L605" s="143" t="s">
        <v>2665</v>
      </c>
      <c r="M605" s="144"/>
      <c r="N605" s="144"/>
      <c r="O605" s="144"/>
    </row>
    <row r="606">
      <c r="A606" s="138" t="s">
        <v>2667</v>
      </c>
      <c r="B606" s="155"/>
      <c r="C606" s="31">
        <v>0.05</v>
      </c>
      <c r="D606" s="139">
        <v>0.64</v>
      </c>
      <c r="E606" s="139">
        <v>0.64</v>
      </c>
      <c r="F606" s="52"/>
      <c r="G606" s="10"/>
      <c r="H606" s="10"/>
      <c r="I606" s="10"/>
      <c r="J606" s="10"/>
      <c r="K606" s="10"/>
      <c r="L606" s="143" t="s">
        <v>2666</v>
      </c>
      <c r="M606" s="144"/>
      <c r="N606" s="144"/>
      <c r="O606" s="144"/>
    </row>
    <row r="607">
      <c r="A607" s="138" t="s">
        <v>2668</v>
      </c>
      <c r="B607" s="155"/>
      <c r="C607" s="31">
        <v>0.05</v>
      </c>
      <c r="D607" s="139">
        <v>0.64</v>
      </c>
      <c r="E607" s="139">
        <v>0.64</v>
      </c>
      <c r="F607" s="52"/>
      <c r="G607" s="10"/>
      <c r="H607" s="10"/>
      <c r="I607" s="10"/>
      <c r="J607" s="10"/>
      <c r="K607" s="10"/>
      <c r="L607" s="143" t="s">
        <v>2667</v>
      </c>
      <c r="M607" s="144"/>
      <c r="N607" s="144"/>
      <c r="O607" s="144"/>
    </row>
    <row r="608">
      <c r="A608" s="138" t="s">
        <v>2669</v>
      </c>
      <c r="B608" s="155"/>
      <c r="C608" s="31">
        <v>0.05</v>
      </c>
      <c r="D608" s="139">
        <v>0.64</v>
      </c>
      <c r="E608" s="139">
        <v>0.64</v>
      </c>
      <c r="F608" s="52"/>
      <c r="G608" s="10"/>
      <c r="H608" s="10"/>
      <c r="I608" s="10"/>
      <c r="J608" s="10"/>
      <c r="K608" s="10"/>
      <c r="L608" s="143" t="s">
        <v>2668</v>
      </c>
      <c r="M608" s="144"/>
      <c r="N608" s="144"/>
      <c r="O608" s="144"/>
    </row>
    <row r="609">
      <c r="A609" s="138" t="s">
        <v>2670</v>
      </c>
      <c r="B609" s="155"/>
      <c r="C609" s="31">
        <v>0.05</v>
      </c>
      <c r="D609" s="139">
        <v>0.64</v>
      </c>
      <c r="E609" s="139">
        <v>0.64</v>
      </c>
      <c r="F609" s="52"/>
      <c r="G609" s="10"/>
      <c r="H609" s="10"/>
      <c r="I609" s="10"/>
      <c r="J609" s="10"/>
      <c r="K609" s="10"/>
      <c r="L609" s="143" t="s">
        <v>2669</v>
      </c>
      <c r="M609" s="144"/>
      <c r="N609" s="144"/>
      <c r="O609" s="144"/>
    </row>
    <row r="610">
      <c r="A610" s="138" t="s">
        <v>2671</v>
      </c>
      <c r="B610" s="155"/>
      <c r="C610" s="31">
        <v>0.05</v>
      </c>
      <c r="D610" s="139">
        <v>0.64</v>
      </c>
      <c r="E610" s="139">
        <v>0.64</v>
      </c>
      <c r="F610" s="52"/>
      <c r="G610" s="10"/>
      <c r="H610" s="10"/>
      <c r="I610" s="10"/>
      <c r="J610" s="10"/>
      <c r="K610" s="10"/>
      <c r="L610" s="143" t="s">
        <v>2670</v>
      </c>
      <c r="M610" s="144"/>
      <c r="N610" s="144"/>
      <c r="O610" s="144"/>
    </row>
    <row r="611">
      <c r="A611" s="138" t="s">
        <v>2672</v>
      </c>
      <c r="B611" s="155"/>
      <c r="C611" s="31">
        <v>0.05</v>
      </c>
      <c r="D611" s="139">
        <v>0.64</v>
      </c>
      <c r="E611" s="139">
        <v>0.64</v>
      </c>
      <c r="F611" s="52"/>
      <c r="G611" s="10"/>
      <c r="H611" s="10"/>
      <c r="I611" s="10"/>
      <c r="J611" s="10"/>
      <c r="K611" s="10"/>
      <c r="L611" s="143" t="s">
        <v>2671</v>
      </c>
      <c r="M611" s="144"/>
      <c r="N611" s="144"/>
      <c r="O611" s="144"/>
    </row>
    <row r="612">
      <c r="A612" s="138" t="s">
        <v>2673</v>
      </c>
      <c r="B612" s="155"/>
      <c r="C612" s="31">
        <v>0.05</v>
      </c>
      <c r="D612" s="139">
        <v>0.64</v>
      </c>
      <c r="E612" s="139">
        <v>0.64</v>
      </c>
      <c r="F612" s="52"/>
      <c r="G612" s="10"/>
      <c r="H612" s="10"/>
      <c r="I612" s="10"/>
      <c r="J612" s="10"/>
      <c r="K612" s="10"/>
      <c r="L612" s="143" t="s">
        <v>2672</v>
      </c>
      <c r="M612" s="144"/>
      <c r="N612" s="144"/>
      <c r="O612" s="144"/>
    </row>
    <row r="613">
      <c r="A613" s="138" t="s">
        <v>2674</v>
      </c>
      <c r="B613" s="155"/>
      <c r="C613" s="31">
        <v>0.05</v>
      </c>
      <c r="D613" s="139">
        <v>0.64</v>
      </c>
      <c r="E613" s="139">
        <v>0.64</v>
      </c>
      <c r="F613" s="52"/>
      <c r="G613" s="10"/>
      <c r="H613" s="10"/>
      <c r="I613" s="10"/>
      <c r="J613" s="10"/>
      <c r="K613" s="10"/>
      <c r="L613" s="143" t="s">
        <v>2673</v>
      </c>
      <c r="M613" s="144"/>
      <c r="N613" s="144"/>
      <c r="O613" s="144"/>
    </row>
    <row r="614">
      <c r="A614" s="138" t="s">
        <v>2675</v>
      </c>
      <c r="B614" s="155"/>
      <c r="C614" s="31">
        <v>0.05</v>
      </c>
      <c r="D614" s="139">
        <v>0.64</v>
      </c>
      <c r="E614" s="139">
        <v>0.64</v>
      </c>
      <c r="F614" s="52"/>
      <c r="G614" s="10"/>
      <c r="H614" s="10"/>
      <c r="I614" s="10"/>
      <c r="J614" s="10"/>
      <c r="K614" s="10"/>
      <c r="L614" s="143" t="s">
        <v>2674</v>
      </c>
      <c r="M614" s="144"/>
      <c r="N614" s="144"/>
      <c r="O614" s="144"/>
    </row>
    <row r="615">
      <c r="A615" s="138" t="s">
        <v>2676</v>
      </c>
      <c r="B615" s="155"/>
      <c r="C615" s="31">
        <v>0.05</v>
      </c>
      <c r="D615" s="139">
        <v>0.64</v>
      </c>
      <c r="E615" s="139">
        <v>0.64</v>
      </c>
      <c r="F615" s="52"/>
      <c r="G615" s="10"/>
      <c r="H615" s="10"/>
      <c r="I615" s="10"/>
      <c r="J615" s="10"/>
      <c r="K615" s="10"/>
      <c r="L615" s="143" t="s">
        <v>2675</v>
      </c>
      <c r="M615" s="144"/>
      <c r="N615" s="144"/>
      <c r="O615" s="144"/>
    </row>
    <row r="616">
      <c r="A616" s="138" t="s">
        <v>2677</v>
      </c>
      <c r="B616" s="155"/>
      <c r="C616" s="31">
        <v>0.05</v>
      </c>
      <c r="D616" s="139">
        <v>0.64</v>
      </c>
      <c r="E616" s="139">
        <v>0.64</v>
      </c>
      <c r="F616" s="52"/>
      <c r="G616" s="10"/>
      <c r="H616" s="10"/>
      <c r="I616" s="10"/>
      <c r="J616" s="10"/>
      <c r="K616" s="10"/>
      <c r="L616" s="143" t="s">
        <v>2676</v>
      </c>
      <c r="M616" s="144"/>
      <c r="N616" s="144"/>
      <c r="O616" s="144"/>
    </row>
    <row r="617">
      <c r="A617" s="138" t="s">
        <v>2678</v>
      </c>
      <c r="B617" s="155"/>
      <c r="C617" s="31">
        <v>0.05</v>
      </c>
      <c r="D617" s="139">
        <v>0.64</v>
      </c>
      <c r="E617" s="139">
        <v>0.64</v>
      </c>
      <c r="F617" s="52"/>
      <c r="G617" s="10"/>
      <c r="H617" s="10"/>
      <c r="I617" s="10"/>
      <c r="J617" s="10"/>
      <c r="K617" s="10"/>
      <c r="L617" s="143" t="s">
        <v>2677</v>
      </c>
      <c r="M617" s="144"/>
      <c r="N617" s="144"/>
      <c r="O617" s="144"/>
    </row>
    <row r="618">
      <c r="A618" s="138" t="s">
        <v>2679</v>
      </c>
      <c r="B618" s="155"/>
      <c r="C618" s="31">
        <v>0.05</v>
      </c>
      <c r="D618" s="139">
        <v>0.64</v>
      </c>
      <c r="E618" s="139">
        <v>0.64</v>
      </c>
      <c r="F618" s="52"/>
      <c r="G618" s="10"/>
      <c r="H618" s="10"/>
      <c r="I618" s="10"/>
      <c r="J618" s="10"/>
      <c r="K618" s="10"/>
      <c r="L618" s="143" t="s">
        <v>2678</v>
      </c>
      <c r="M618" s="144"/>
      <c r="N618" s="144"/>
      <c r="O618" s="144"/>
    </row>
    <row r="619">
      <c r="A619" s="138" t="s">
        <v>2680</v>
      </c>
      <c r="B619" s="134"/>
      <c r="C619" s="31">
        <v>0.05</v>
      </c>
      <c r="D619" s="139">
        <v>0.64</v>
      </c>
      <c r="E619" s="139">
        <v>0.64</v>
      </c>
      <c r="F619" s="52"/>
      <c r="G619" s="10"/>
      <c r="H619" s="10"/>
      <c r="I619" s="10"/>
      <c r="J619" s="10"/>
      <c r="K619" s="10"/>
      <c r="L619" s="143" t="s">
        <v>2679</v>
      </c>
      <c r="M619" s="144"/>
      <c r="N619" s="144"/>
      <c r="O619" s="144"/>
    </row>
    <row r="620">
      <c r="A620" s="138" t="s">
        <v>2681</v>
      </c>
      <c r="B620" s="155"/>
      <c r="C620" s="31">
        <v>0.05</v>
      </c>
      <c r="D620" s="139">
        <v>0.64</v>
      </c>
      <c r="E620" s="139">
        <v>0.64</v>
      </c>
      <c r="F620" s="52"/>
      <c r="G620" s="10"/>
      <c r="H620" s="10"/>
      <c r="I620" s="10"/>
      <c r="J620" s="10"/>
      <c r="K620" s="10"/>
      <c r="L620" s="143" t="s">
        <v>2680</v>
      </c>
      <c r="M620" s="144"/>
      <c r="N620" s="144"/>
      <c r="O620" s="144"/>
    </row>
    <row r="621">
      <c r="A621" s="138" t="s">
        <v>2682</v>
      </c>
      <c r="B621" s="155"/>
      <c r="C621" s="31">
        <v>0.05</v>
      </c>
      <c r="D621" s="139">
        <v>0.64</v>
      </c>
      <c r="E621" s="139">
        <v>0.64</v>
      </c>
      <c r="F621" s="52"/>
      <c r="G621" s="10"/>
      <c r="H621" s="10"/>
      <c r="I621" s="10"/>
      <c r="J621" s="10"/>
      <c r="K621" s="10"/>
      <c r="L621" s="143" t="s">
        <v>2681</v>
      </c>
      <c r="M621" s="144"/>
      <c r="N621" s="144"/>
      <c r="O621" s="144"/>
    </row>
    <row r="622">
      <c r="A622" s="138" t="s">
        <v>2683</v>
      </c>
      <c r="B622" s="155"/>
      <c r="C622" s="31">
        <v>0.05</v>
      </c>
      <c r="D622" s="139">
        <v>0.64</v>
      </c>
      <c r="E622" s="139">
        <v>0.64</v>
      </c>
      <c r="F622" s="52"/>
      <c r="G622" s="10"/>
      <c r="H622" s="10"/>
      <c r="I622" s="10"/>
      <c r="J622" s="10"/>
      <c r="K622" s="10"/>
      <c r="L622" s="143" t="s">
        <v>2682</v>
      </c>
      <c r="M622" s="144"/>
      <c r="N622" s="144"/>
      <c r="O622" s="144"/>
    </row>
    <row r="623">
      <c r="A623" s="138" t="s">
        <v>614</v>
      </c>
      <c r="B623" s="155"/>
      <c r="C623" s="31">
        <v>0.05</v>
      </c>
      <c r="D623" s="139">
        <v>0.64</v>
      </c>
      <c r="E623" s="139">
        <v>0.64</v>
      </c>
      <c r="F623" s="52"/>
      <c r="G623" s="10"/>
      <c r="H623" s="10"/>
      <c r="I623" s="10"/>
      <c r="J623" s="10"/>
      <c r="K623" s="10"/>
      <c r="L623" s="143" t="s">
        <v>2683</v>
      </c>
      <c r="M623" s="144"/>
      <c r="N623" s="144"/>
      <c r="O623" s="144"/>
    </row>
    <row r="624">
      <c r="A624" s="138" t="s">
        <v>2684</v>
      </c>
      <c r="B624" s="155"/>
      <c r="C624" s="31">
        <v>0.05</v>
      </c>
      <c r="D624" s="139">
        <v>0.64</v>
      </c>
      <c r="E624" s="139">
        <v>0.64</v>
      </c>
      <c r="F624" s="52"/>
      <c r="G624" s="10"/>
      <c r="H624" s="10"/>
      <c r="I624" s="10"/>
      <c r="J624" s="10"/>
      <c r="K624" s="10"/>
      <c r="L624" s="143" t="s">
        <v>614</v>
      </c>
      <c r="M624" s="144"/>
      <c r="N624" s="144"/>
      <c r="O624" s="144"/>
    </row>
    <row r="625">
      <c r="A625" s="138" t="s">
        <v>2685</v>
      </c>
      <c r="B625" s="155"/>
      <c r="C625" s="31">
        <v>0.05</v>
      </c>
      <c r="D625" s="139">
        <v>0.64</v>
      </c>
      <c r="E625" s="139">
        <v>0.64</v>
      </c>
      <c r="F625" s="52"/>
      <c r="G625" s="10"/>
      <c r="H625" s="10"/>
      <c r="I625" s="10"/>
      <c r="J625" s="10"/>
      <c r="K625" s="10"/>
      <c r="L625" s="143" t="s">
        <v>2684</v>
      </c>
      <c r="M625" s="144"/>
      <c r="N625" s="144"/>
      <c r="O625" s="144"/>
    </row>
    <row r="626">
      <c r="A626" s="138" t="s">
        <v>2686</v>
      </c>
      <c r="B626" s="155"/>
      <c r="C626" s="31">
        <v>0.05</v>
      </c>
      <c r="D626" s="139">
        <v>0.64</v>
      </c>
      <c r="E626" s="139">
        <v>0.64</v>
      </c>
      <c r="F626" s="52"/>
      <c r="G626" s="10"/>
      <c r="H626" s="10"/>
      <c r="I626" s="10"/>
      <c r="J626" s="10"/>
      <c r="K626" s="10"/>
      <c r="L626" s="143" t="s">
        <v>2685</v>
      </c>
      <c r="M626" s="144"/>
      <c r="N626" s="144"/>
      <c r="O626" s="144"/>
    </row>
    <row r="627">
      <c r="A627" s="138" t="s">
        <v>2687</v>
      </c>
      <c r="B627" s="155"/>
      <c r="C627" s="31">
        <v>0.05</v>
      </c>
      <c r="D627" s="139">
        <v>0.64</v>
      </c>
      <c r="E627" s="139">
        <v>0.64</v>
      </c>
      <c r="F627" s="52"/>
      <c r="G627" s="10"/>
      <c r="H627" s="10"/>
      <c r="I627" s="10"/>
      <c r="J627" s="10"/>
      <c r="K627" s="10"/>
      <c r="L627" s="143" t="s">
        <v>2686</v>
      </c>
      <c r="M627" s="144"/>
      <c r="N627" s="144"/>
      <c r="O627" s="144"/>
    </row>
    <row r="628">
      <c r="A628" s="138" t="s">
        <v>2688</v>
      </c>
      <c r="B628" s="155"/>
      <c r="C628" s="31">
        <v>0.05</v>
      </c>
      <c r="D628" s="139">
        <v>0.64</v>
      </c>
      <c r="E628" s="139">
        <v>0.64</v>
      </c>
      <c r="F628" s="52"/>
      <c r="G628" s="10"/>
      <c r="H628" s="10"/>
      <c r="I628" s="10"/>
      <c r="J628" s="10"/>
      <c r="K628" s="10"/>
      <c r="L628" s="143" t="s">
        <v>2687</v>
      </c>
      <c r="M628" s="144"/>
      <c r="N628" s="144"/>
      <c r="O628" s="144"/>
    </row>
    <row r="629">
      <c r="A629" s="138" t="s">
        <v>2689</v>
      </c>
      <c r="B629" s="155"/>
      <c r="C629" s="31">
        <v>0.05</v>
      </c>
      <c r="D629" s="139">
        <v>0.64</v>
      </c>
      <c r="E629" s="139">
        <v>0.64</v>
      </c>
      <c r="F629" s="52"/>
      <c r="G629" s="10"/>
      <c r="H629" s="10"/>
      <c r="I629" s="10"/>
      <c r="J629" s="10"/>
      <c r="K629" s="10"/>
      <c r="L629" s="143" t="s">
        <v>2688</v>
      </c>
      <c r="M629" s="144"/>
      <c r="N629" s="144"/>
      <c r="O629" s="144"/>
    </row>
    <row r="630">
      <c r="A630" s="138" t="s">
        <v>2690</v>
      </c>
      <c r="B630" s="155"/>
      <c r="C630" s="31">
        <v>0.05</v>
      </c>
      <c r="D630" s="139">
        <v>0.64</v>
      </c>
      <c r="E630" s="139">
        <v>0.64</v>
      </c>
      <c r="F630" s="52"/>
      <c r="G630" s="10"/>
      <c r="H630" s="10"/>
      <c r="I630" s="10"/>
      <c r="J630" s="10"/>
      <c r="K630" s="10"/>
      <c r="L630" s="143" t="s">
        <v>2689</v>
      </c>
      <c r="M630" s="144"/>
      <c r="N630" s="144"/>
      <c r="O630" s="144"/>
    </row>
    <row r="631">
      <c r="A631" s="138" t="s">
        <v>2691</v>
      </c>
      <c r="B631" s="155"/>
      <c r="C631" s="31">
        <v>0.05</v>
      </c>
      <c r="D631" s="139">
        <v>0.64</v>
      </c>
      <c r="E631" s="139">
        <v>0.64</v>
      </c>
      <c r="F631" s="52"/>
      <c r="G631" s="10"/>
      <c r="H631" s="10"/>
      <c r="I631" s="10"/>
      <c r="J631" s="10"/>
      <c r="K631" s="10"/>
      <c r="L631" s="143" t="s">
        <v>2690</v>
      </c>
      <c r="M631" s="144"/>
      <c r="N631" s="144"/>
      <c r="O631" s="144"/>
    </row>
    <row r="632">
      <c r="A632" s="138" t="s">
        <v>2692</v>
      </c>
      <c r="B632" s="155"/>
      <c r="C632" s="31">
        <v>0.05</v>
      </c>
      <c r="D632" s="139">
        <v>0.64</v>
      </c>
      <c r="E632" s="139">
        <v>0.64</v>
      </c>
      <c r="F632" s="52"/>
      <c r="G632" s="10"/>
      <c r="H632" s="10"/>
      <c r="I632" s="10"/>
      <c r="J632" s="10"/>
      <c r="K632" s="10"/>
      <c r="L632" s="143" t="s">
        <v>2691</v>
      </c>
      <c r="M632" s="144"/>
      <c r="N632" s="144"/>
      <c r="O632" s="144"/>
    </row>
    <row r="633">
      <c r="A633" s="138" t="s">
        <v>2693</v>
      </c>
      <c r="B633" s="155"/>
      <c r="C633" s="31">
        <v>0.05</v>
      </c>
      <c r="D633" s="139">
        <v>0.64</v>
      </c>
      <c r="E633" s="139">
        <v>0.64</v>
      </c>
      <c r="F633" s="52"/>
      <c r="G633" s="10"/>
      <c r="H633" s="10"/>
      <c r="I633" s="10"/>
      <c r="J633" s="10"/>
      <c r="K633" s="10"/>
      <c r="L633" s="143" t="s">
        <v>2692</v>
      </c>
      <c r="M633" s="144"/>
      <c r="N633" s="144"/>
      <c r="O633" s="144"/>
    </row>
    <row r="634">
      <c r="A634" s="138" t="s">
        <v>2694</v>
      </c>
      <c r="B634" s="155"/>
      <c r="C634" s="31">
        <v>0.05</v>
      </c>
      <c r="D634" s="139">
        <v>0.64</v>
      </c>
      <c r="E634" s="139">
        <v>0.64</v>
      </c>
      <c r="F634" s="52"/>
      <c r="G634" s="10"/>
      <c r="H634" s="10"/>
      <c r="I634" s="10"/>
      <c r="J634" s="10"/>
      <c r="K634" s="10"/>
      <c r="L634" s="143" t="s">
        <v>2693</v>
      </c>
      <c r="M634" s="144"/>
      <c r="N634" s="144"/>
      <c r="O634" s="144"/>
    </row>
    <row r="635">
      <c r="A635" s="138" t="s">
        <v>2695</v>
      </c>
      <c r="B635" s="155"/>
      <c r="C635" s="31">
        <v>0.05</v>
      </c>
      <c r="D635" s="139">
        <v>0.64</v>
      </c>
      <c r="E635" s="139">
        <v>0.64</v>
      </c>
      <c r="F635" s="52"/>
      <c r="G635" s="10"/>
      <c r="H635" s="10"/>
      <c r="I635" s="10"/>
      <c r="J635" s="10"/>
      <c r="K635" s="10"/>
      <c r="L635" s="143" t="s">
        <v>2694</v>
      </c>
      <c r="M635" s="144"/>
      <c r="N635" s="144"/>
      <c r="O635" s="144"/>
    </row>
    <row r="636">
      <c r="A636" s="138" t="s">
        <v>2696</v>
      </c>
      <c r="B636" s="155"/>
      <c r="C636" s="31">
        <v>0.05</v>
      </c>
      <c r="D636" s="139">
        <v>0.64</v>
      </c>
      <c r="E636" s="139">
        <v>0.64</v>
      </c>
      <c r="F636" s="52"/>
      <c r="G636" s="10"/>
      <c r="H636" s="10"/>
      <c r="I636" s="10"/>
      <c r="J636" s="10"/>
      <c r="K636" s="10"/>
      <c r="L636" s="143" t="s">
        <v>2695</v>
      </c>
      <c r="M636" s="144"/>
      <c r="N636" s="144"/>
      <c r="O636" s="144"/>
    </row>
    <row r="637">
      <c r="A637" s="138" t="s">
        <v>2697</v>
      </c>
      <c r="B637" s="155"/>
      <c r="C637" s="31">
        <v>0.05</v>
      </c>
      <c r="D637" s="139">
        <v>0.64</v>
      </c>
      <c r="E637" s="139">
        <v>0.64</v>
      </c>
      <c r="F637" s="52"/>
      <c r="G637" s="10"/>
      <c r="H637" s="10"/>
      <c r="I637" s="10"/>
      <c r="J637" s="10"/>
      <c r="K637" s="10"/>
      <c r="L637" s="143" t="s">
        <v>2696</v>
      </c>
      <c r="M637" s="144"/>
      <c r="N637" s="144"/>
      <c r="O637" s="144"/>
    </row>
    <row r="638">
      <c r="A638" s="138" t="s">
        <v>2698</v>
      </c>
      <c r="B638" s="155"/>
      <c r="C638" s="31">
        <v>0.05</v>
      </c>
      <c r="D638" s="139">
        <v>0.64</v>
      </c>
      <c r="E638" s="139">
        <v>0.64</v>
      </c>
      <c r="F638" s="52"/>
      <c r="G638" s="10"/>
      <c r="H638" s="10"/>
      <c r="I638" s="10"/>
      <c r="J638" s="10"/>
      <c r="K638" s="10"/>
      <c r="L638" s="143" t="s">
        <v>2697</v>
      </c>
      <c r="M638" s="144"/>
      <c r="N638" s="144"/>
      <c r="O638" s="144"/>
    </row>
    <row r="639">
      <c r="A639" s="138" t="s">
        <v>2699</v>
      </c>
      <c r="B639" s="155"/>
      <c r="C639" s="31">
        <v>0.05</v>
      </c>
      <c r="D639" s="139">
        <v>0.64</v>
      </c>
      <c r="E639" s="139">
        <v>0.64</v>
      </c>
      <c r="F639" s="52"/>
      <c r="G639" s="10"/>
      <c r="H639" s="10"/>
      <c r="I639" s="10"/>
      <c r="J639" s="10"/>
      <c r="K639" s="10"/>
      <c r="L639" s="143" t="s">
        <v>2698</v>
      </c>
      <c r="M639" s="144"/>
      <c r="N639" s="144"/>
      <c r="O639" s="144"/>
    </row>
    <row r="640">
      <c r="A640" s="138" t="s">
        <v>2700</v>
      </c>
      <c r="B640" s="155"/>
      <c r="C640" s="31">
        <v>0.05</v>
      </c>
      <c r="D640" s="139">
        <v>0.64</v>
      </c>
      <c r="E640" s="139">
        <v>0.64</v>
      </c>
      <c r="F640" s="52"/>
      <c r="G640" s="10"/>
      <c r="H640" s="10"/>
      <c r="I640" s="10"/>
      <c r="J640" s="10"/>
      <c r="K640" s="10"/>
      <c r="L640" s="143" t="s">
        <v>2699</v>
      </c>
      <c r="M640" s="144"/>
      <c r="N640" s="144"/>
      <c r="O640" s="144"/>
    </row>
    <row r="641">
      <c r="A641" s="138" t="s">
        <v>2701</v>
      </c>
      <c r="B641" s="155"/>
      <c r="C641" s="31">
        <v>0.05</v>
      </c>
      <c r="D641" s="139">
        <v>0.64</v>
      </c>
      <c r="E641" s="139">
        <v>0.64</v>
      </c>
      <c r="F641" s="52"/>
      <c r="G641" s="10"/>
      <c r="H641" s="10"/>
      <c r="I641" s="10"/>
      <c r="J641" s="10"/>
      <c r="K641" s="10"/>
      <c r="L641" s="143" t="s">
        <v>2700</v>
      </c>
      <c r="M641" s="144"/>
      <c r="N641" s="144"/>
      <c r="O641" s="144"/>
    </row>
    <row r="642">
      <c r="A642" s="138" t="s">
        <v>2702</v>
      </c>
      <c r="B642" s="155"/>
      <c r="C642" s="31">
        <v>0.05</v>
      </c>
      <c r="D642" s="139">
        <v>0.64</v>
      </c>
      <c r="E642" s="139">
        <v>0.64</v>
      </c>
      <c r="F642" s="52"/>
      <c r="G642" s="10"/>
      <c r="H642" s="10"/>
      <c r="I642" s="10"/>
      <c r="J642" s="10"/>
      <c r="K642" s="10"/>
      <c r="L642" s="143" t="s">
        <v>2701</v>
      </c>
      <c r="M642" s="144"/>
      <c r="N642" s="144"/>
      <c r="O642" s="144"/>
    </row>
    <row r="643">
      <c r="A643" s="138" t="s">
        <v>2703</v>
      </c>
      <c r="B643" s="155"/>
      <c r="C643" s="31">
        <v>0.05</v>
      </c>
      <c r="D643" s="139">
        <v>0.64</v>
      </c>
      <c r="E643" s="139">
        <v>0.64</v>
      </c>
      <c r="F643" s="52"/>
      <c r="G643" s="10"/>
      <c r="H643" s="10"/>
      <c r="I643" s="10"/>
      <c r="J643" s="10"/>
      <c r="K643" s="10"/>
      <c r="L643" s="143" t="s">
        <v>2702</v>
      </c>
      <c r="M643" s="144"/>
      <c r="N643" s="144"/>
      <c r="O643" s="144"/>
    </row>
    <row r="644">
      <c r="A644" s="138" t="s">
        <v>2704</v>
      </c>
      <c r="B644" s="155"/>
      <c r="C644" s="31">
        <v>0.05</v>
      </c>
      <c r="D644" s="139">
        <v>0.64</v>
      </c>
      <c r="E644" s="139">
        <v>0.64</v>
      </c>
      <c r="F644" s="52"/>
      <c r="G644" s="10"/>
      <c r="H644" s="10"/>
      <c r="I644" s="10"/>
      <c r="J644" s="10"/>
      <c r="K644" s="10"/>
      <c r="L644" s="143" t="s">
        <v>2703</v>
      </c>
      <c r="M644" s="144"/>
      <c r="N644" s="144"/>
      <c r="O644" s="144"/>
    </row>
    <row r="645">
      <c r="A645" s="138" t="s">
        <v>2705</v>
      </c>
      <c r="B645" s="155"/>
      <c r="C645" s="31">
        <v>0.05</v>
      </c>
      <c r="D645" s="139">
        <v>0.64</v>
      </c>
      <c r="E645" s="139">
        <v>0.64</v>
      </c>
      <c r="F645" s="52"/>
      <c r="G645" s="10"/>
      <c r="H645" s="10"/>
      <c r="I645" s="10"/>
      <c r="J645" s="10"/>
      <c r="K645" s="10"/>
      <c r="L645" s="143" t="s">
        <v>2704</v>
      </c>
      <c r="M645" s="144"/>
      <c r="N645" s="144"/>
      <c r="O645" s="144"/>
    </row>
    <row r="646">
      <c r="A646" s="138" t="s">
        <v>2706</v>
      </c>
      <c r="B646" s="155"/>
      <c r="C646" s="31">
        <v>0.05</v>
      </c>
      <c r="D646" s="139">
        <v>0.64</v>
      </c>
      <c r="E646" s="139">
        <v>0.64</v>
      </c>
      <c r="F646" s="52"/>
      <c r="G646" s="10"/>
      <c r="H646" s="10"/>
      <c r="I646" s="10"/>
      <c r="J646" s="10"/>
      <c r="K646" s="10"/>
      <c r="L646" s="143" t="s">
        <v>2705</v>
      </c>
      <c r="M646" s="144"/>
      <c r="N646" s="144"/>
      <c r="O646" s="144"/>
    </row>
    <row r="647">
      <c r="A647" s="138" t="s">
        <v>2707</v>
      </c>
      <c r="B647" s="155"/>
      <c r="C647" s="31">
        <v>0.05</v>
      </c>
      <c r="D647" s="139">
        <v>0.64</v>
      </c>
      <c r="E647" s="139">
        <v>0.64</v>
      </c>
      <c r="F647" s="52"/>
      <c r="G647" s="10"/>
      <c r="H647" s="10"/>
      <c r="I647" s="10"/>
      <c r="J647" s="10"/>
      <c r="K647" s="10"/>
      <c r="L647" s="143" t="s">
        <v>2706</v>
      </c>
      <c r="M647" s="144"/>
      <c r="N647" s="144"/>
      <c r="O647" s="144"/>
    </row>
    <row r="648">
      <c r="A648" s="138" t="s">
        <v>2708</v>
      </c>
      <c r="B648" s="155"/>
      <c r="C648" s="31">
        <v>0.05</v>
      </c>
      <c r="D648" s="139">
        <v>0.64</v>
      </c>
      <c r="E648" s="139">
        <v>0.64</v>
      </c>
      <c r="F648" s="52"/>
      <c r="G648" s="10"/>
      <c r="H648" s="10"/>
      <c r="I648" s="10"/>
      <c r="J648" s="10"/>
      <c r="K648" s="10"/>
      <c r="L648" s="143" t="s">
        <v>2707</v>
      </c>
      <c r="M648" s="144"/>
      <c r="N648" s="144"/>
      <c r="O648" s="144"/>
    </row>
    <row r="649">
      <c r="A649" s="138" t="s">
        <v>2709</v>
      </c>
      <c r="B649" s="155"/>
      <c r="C649" s="31">
        <v>0.05</v>
      </c>
      <c r="D649" s="139">
        <v>0.64</v>
      </c>
      <c r="E649" s="139">
        <v>0.64</v>
      </c>
      <c r="F649" s="52"/>
      <c r="G649" s="10"/>
      <c r="H649" s="10"/>
      <c r="I649" s="10"/>
      <c r="J649" s="10"/>
      <c r="K649" s="10"/>
      <c r="L649" s="143" t="s">
        <v>2708</v>
      </c>
      <c r="M649" s="144"/>
      <c r="N649" s="144"/>
      <c r="O649" s="144"/>
    </row>
    <row r="650">
      <c r="A650" s="138" t="s">
        <v>2710</v>
      </c>
      <c r="B650" s="155"/>
      <c r="C650" s="31">
        <v>0.05</v>
      </c>
      <c r="D650" s="139">
        <v>0.64</v>
      </c>
      <c r="E650" s="139">
        <v>0.64</v>
      </c>
      <c r="F650" s="52"/>
      <c r="G650" s="10"/>
      <c r="H650" s="10"/>
      <c r="I650" s="10"/>
      <c r="J650" s="10"/>
      <c r="K650" s="10"/>
      <c r="L650" s="143" t="s">
        <v>2709</v>
      </c>
      <c r="M650" s="144"/>
      <c r="N650" s="144"/>
      <c r="O650" s="144"/>
    </row>
    <row r="651">
      <c r="A651" s="138" t="s">
        <v>2711</v>
      </c>
      <c r="B651" s="155"/>
      <c r="C651" s="31">
        <v>0.05</v>
      </c>
      <c r="D651" s="139">
        <v>0.64</v>
      </c>
      <c r="E651" s="139">
        <v>0.64</v>
      </c>
      <c r="F651" s="52"/>
      <c r="G651" s="10"/>
      <c r="H651" s="10"/>
      <c r="I651" s="10"/>
      <c r="J651" s="10"/>
      <c r="K651" s="10"/>
      <c r="L651" s="143" t="s">
        <v>2710</v>
      </c>
      <c r="M651" s="144"/>
      <c r="N651" s="144"/>
      <c r="O651" s="144"/>
    </row>
    <row r="652">
      <c r="A652" s="138" t="s">
        <v>2712</v>
      </c>
      <c r="B652" s="155"/>
      <c r="C652" s="31">
        <v>0.05</v>
      </c>
      <c r="D652" s="139">
        <v>0.64</v>
      </c>
      <c r="E652" s="139">
        <v>0.64</v>
      </c>
      <c r="F652" s="52"/>
      <c r="G652" s="10"/>
      <c r="H652" s="10"/>
      <c r="I652" s="10"/>
      <c r="J652" s="10"/>
      <c r="K652" s="10"/>
      <c r="L652" s="143" t="s">
        <v>2711</v>
      </c>
      <c r="M652" s="144"/>
      <c r="N652" s="144"/>
      <c r="O652" s="144"/>
    </row>
    <row r="653">
      <c r="A653" s="138" t="s">
        <v>2713</v>
      </c>
      <c r="B653" s="155"/>
      <c r="C653" s="31">
        <v>0.05</v>
      </c>
      <c r="D653" s="139">
        <v>0.64</v>
      </c>
      <c r="E653" s="139">
        <v>0.64</v>
      </c>
      <c r="F653" s="52"/>
      <c r="G653" s="10"/>
      <c r="H653" s="10"/>
      <c r="I653" s="10"/>
      <c r="J653" s="10"/>
      <c r="K653" s="10"/>
      <c r="L653" s="143" t="s">
        <v>2712</v>
      </c>
      <c r="M653" s="144"/>
      <c r="N653" s="144"/>
      <c r="O653" s="144"/>
    </row>
    <row r="654">
      <c r="A654" s="138" t="s">
        <v>2714</v>
      </c>
      <c r="B654" s="155"/>
      <c r="C654" s="31">
        <v>0.05</v>
      </c>
      <c r="D654" s="139">
        <v>0.64</v>
      </c>
      <c r="E654" s="139">
        <v>0.64</v>
      </c>
      <c r="F654" s="52"/>
      <c r="G654" s="10"/>
      <c r="H654" s="10"/>
      <c r="I654" s="10"/>
      <c r="J654" s="10"/>
      <c r="K654" s="10"/>
      <c r="L654" s="143" t="s">
        <v>2713</v>
      </c>
      <c r="M654" s="144"/>
      <c r="N654" s="144"/>
      <c r="O654" s="144"/>
    </row>
    <row r="655">
      <c r="A655" s="138" t="s">
        <v>2715</v>
      </c>
      <c r="B655" s="155"/>
      <c r="C655" s="31">
        <v>0.05</v>
      </c>
      <c r="D655" s="139">
        <v>0.64</v>
      </c>
      <c r="E655" s="139">
        <v>0.64</v>
      </c>
      <c r="F655" s="52"/>
      <c r="G655" s="10"/>
      <c r="H655" s="10"/>
      <c r="I655" s="10"/>
      <c r="J655" s="10"/>
      <c r="K655" s="10"/>
      <c r="L655" s="143" t="s">
        <v>2714</v>
      </c>
      <c r="M655" s="144"/>
      <c r="N655" s="144"/>
      <c r="O655" s="144"/>
    </row>
    <row r="656">
      <c r="A656" s="138" t="s">
        <v>730</v>
      </c>
      <c r="B656" s="155"/>
      <c r="C656" s="31">
        <v>0.05</v>
      </c>
      <c r="D656" s="139">
        <v>0.64</v>
      </c>
      <c r="E656" s="139">
        <v>0.64</v>
      </c>
      <c r="F656" s="52"/>
      <c r="G656" s="10"/>
      <c r="H656" s="10"/>
      <c r="I656" s="10"/>
      <c r="J656" s="10"/>
      <c r="K656" s="10"/>
      <c r="L656" s="143" t="s">
        <v>2715</v>
      </c>
      <c r="M656" s="144"/>
      <c r="N656" s="144"/>
      <c r="O656" s="144"/>
    </row>
    <row r="657">
      <c r="A657" s="138" t="s">
        <v>2716</v>
      </c>
      <c r="B657" s="155"/>
      <c r="C657" s="31">
        <v>0.05</v>
      </c>
      <c r="D657" s="139">
        <v>0.64</v>
      </c>
      <c r="E657" s="139">
        <v>0.64</v>
      </c>
      <c r="F657" s="52"/>
      <c r="G657" s="10"/>
      <c r="H657" s="10"/>
      <c r="I657" s="10"/>
      <c r="J657" s="10"/>
      <c r="K657" s="10"/>
      <c r="L657" s="143" t="s">
        <v>730</v>
      </c>
      <c r="M657" s="144"/>
      <c r="N657" s="144"/>
      <c r="O657" s="144"/>
    </row>
    <row r="658">
      <c r="A658" s="138" t="s">
        <v>2717</v>
      </c>
      <c r="B658" s="155"/>
      <c r="C658" s="31">
        <v>0.05</v>
      </c>
      <c r="D658" s="139">
        <v>0.64</v>
      </c>
      <c r="E658" s="139">
        <v>0.64</v>
      </c>
      <c r="F658" s="52"/>
      <c r="G658" s="10"/>
      <c r="H658" s="10"/>
      <c r="I658" s="10"/>
      <c r="J658" s="10"/>
      <c r="K658" s="10"/>
      <c r="L658" s="143" t="s">
        <v>2716</v>
      </c>
      <c r="M658" s="144"/>
      <c r="N658" s="144"/>
      <c r="O658" s="144"/>
    </row>
    <row r="659">
      <c r="A659" s="138" t="s">
        <v>2718</v>
      </c>
      <c r="B659" s="155"/>
      <c r="C659" s="31">
        <v>0.05</v>
      </c>
      <c r="D659" s="139">
        <v>0.64</v>
      </c>
      <c r="E659" s="139">
        <v>0.64</v>
      </c>
      <c r="F659" s="52"/>
      <c r="G659" s="10"/>
      <c r="H659" s="10"/>
      <c r="I659" s="10"/>
      <c r="J659" s="10"/>
      <c r="K659" s="10"/>
      <c r="L659" s="143" t="s">
        <v>2717</v>
      </c>
      <c r="M659" s="144"/>
      <c r="N659" s="144"/>
      <c r="O659" s="144"/>
    </row>
    <row r="660">
      <c r="A660" s="138" t="s">
        <v>2719</v>
      </c>
      <c r="B660" s="155"/>
      <c r="C660" s="31">
        <v>0.05</v>
      </c>
      <c r="D660" s="139">
        <v>0.64</v>
      </c>
      <c r="E660" s="139">
        <v>0.64</v>
      </c>
      <c r="F660" s="52"/>
      <c r="G660" s="10"/>
      <c r="H660" s="10"/>
      <c r="I660" s="10"/>
      <c r="J660" s="10"/>
      <c r="K660" s="10"/>
      <c r="L660" s="143" t="s">
        <v>2718</v>
      </c>
      <c r="M660" s="144"/>
      <c r="N660" s="144"/>
      <c r="O660" s="144"/>
    </row>
    <row r="661">
      <c r="A661" s="138" t="s">
        <v>2720</v>
      </c>
      <c r="B661" s="155"/>
      <c r="C661" s="31">
        <v>0.05</v>
      </c>
      <c r="D661" s="139">
        <v>0.64</v>
      </c>
      <c r="E661" s="139">
        <v>0.64</v>
      </c>
      <c r="F661" s="52"/>
      <c r="G661" s="10"/>
      <c r="H661" s="10"/>
      <c r="I661" s="10"/>
      <c r="J661" s="10"/>
      <c r="K661" s="10"/>
      <c r="L661" s="143" t="s">
        <v>2719</v>
      </c>
      <c r="M661" s="144"/>
      <c r="N661" s="144"/>
      <c r="O661" s="144"/>
    </row>
    <row r="662">
      <c r="A662" s="138" t="s">
        <v>2721</v>
      </c>
      <c r="B662" s="155"/>
      <c r="C662" s="31">
        <v>0.05</v>
      </c>
      <c r="D662" s="139">
        <v>0.64</v>
      </c>
      <c r="E662" s="139">
        <v>0.64</v>
      </c>
      <c r="F662" s="52"/>
      <c r="G662" s="10"/>
      <c r="H662" s="10"/>
      <c r="I662" s="10"/>
      <c r="J662" s="10"/>
      <c r="K662" s="10"/>
      <c r="L662" s="143" t="s">
        <v>2720</v>
      </c>
      <c r="M662" s="144"/>
      <c r="N662" s="144"/>
      <c r="O662" s="144"/>
    </row>
    <row r="663">
      <c r="A663" s="138" t="s">
        <v>2722</v>
      </c>
      <c r="B663" s="155"/>
      <c r="C663" s="31">
        <v>0.05</v>
      </c>
      <c r="D663" s="139">
        <v>0.64</v>
      </c>
      <c r="E663" s="139">
        <v>0.64</v>
      </c>
      <c r="F663" s="52"/>
      <c r="G663" s="10"/>
      <c r="H663" s="10"/>
      <c r="I663" s="10"/>
      <c r="J663" s="10"/>
      <c r="K663" s="10"/>
      <c r="L663" s="143" t="s">
        <v>2721</v>
      </c>
      <c r="M663" s="144"/>
      <c r="N663" s="144"/>
      <c r="O663" s="144"/>
    </row>
    <row r="664">
      <c r="A664" s="138" t="s">
        <v>2723</v>
      </c>
      <c r="B664" s="155"/>
      <c r="C664" s="31">
        <v>0.05</v>
      </c>
      <c r="D664" s="139">
        <v>0.64</v>
      </c>
      <c r="E664" s="139">
        <v>0.64</v>
      </c>
      <c r="F664" s="52"/>
      <c r="G664" s="10"/>
      <c r="H664" s="10"/>
      <c r="I664" s="10"/>
      <c r="J664" s="10"/>
      <c r="K664" s="10"/>
      <c r="L664" s="143" t="s">
        <v>2722</v>
      </c>
      <c r="M664" s="144"/>
      <c r="N664" s="144"/>
      <c r="O664" s="144"/>
    </row>
    <row r="665">
      <c r="A665" s="138" t="s">
        <v>2724</v>
      </c>
      <c r="B665" s="155"/>
      <c r="C665" s="31">
        <v>0.05</v>
      </c>
      <c r="D665" s="139">
        <v>0.64</v>
      </c>
      <c r="E665" s="139">
        <v>0.64</v>
      </c>
      <c r="F665" s="52"/>
      <c r="G665" s="10"/>
      <c r="H665" s="10"/>
      <c r="I665" s="10"/>
      <c r="J665" s="10"/>
      <c r="K665" s="10"/>
      <c r="L665" s="143" t="s">
        <v>2723</v>
      </c>
      <c r="M665" s="144"/>
      <c r="N665" s="144"/>
      <c r="O665" s="144"/>
    </row>
    <row r="666">
      <c r="A666" s="138" t="s">
        <v>2725</v>
      </c>
      <c r="B666" s="155"/>
      <c r="C666" s="31">
        <v>0.05</v>
      </c>
      <c r="D666" s="139">
        <v>0.64</v>
      </c>
      <c r="E666" s="139">
        <v>0.64</v>
      </c>
      <c r="F666" s="52"/>
      <c r="G666" s="10"/>
      <c r="H666" s="10"/>
      <c r="I666" s="10"/>
      <c r="J666" s="10"/>
      <c r="K666" s="10"/>
      <c r="L666" s="143" t="s">
        <v>2724</v>
      </c>
      <c r="M666" s="144"/>
      <c r="N666" s="144"/>
      <c r="O666" s="144"/>
    </row>
    <row r="667">
      <c r="A667" s="138" t="s">
        <v>2726</v>
      </c>
      <c r="B667" s="155"/>
      <c r="C667" s="31">
        <v>0.05</v>
      </c>
      <c r="D667" s="139">
        <v>0.64</v>
      </c>
      <c r="E667" s="139">
        <v>0.64</v>
      </c>
      <c r="F667" s="52"/>
      <c r="G667" s="10"/>
      <c r="H667" s="10"/>
      <c r="I667" s="10"/>
      <c r="J667" s="10"/>
      <c r="K667" s="10"/>
      <c r="L667" s="143" t="s">
        <v>2725</v>
      </c>
      <c r="M667" s="144"/>
      <c r="N667" s="144"/>
      <c r="O667" s="144"/>
    </row>
    <row r="668">
      <c r="A668" s="138" t="s">
        <v>2727</v>
      </c>
      <c r="B668" s="155"/>
      <c r="C668" s="31">
        <v>0.05</v>
      </c>
      <c r="D668" s="139">
        <v>0.64</v>
      </c>
      <c r="E668" s="139">
        <v>0.64</v>
      </c>
      <c r="F668" s="52"/>
      <c r="G668" s="10"/>
      <c r="H668" s="10"/>
      <c r="I668" s="10"/>
      <c r="J668" s="10"/>
      <c r="K668" s="10"/>
      <c r="L668" s="143" t="s">
        <v>2726</v>
      </c>
      <c r="M668" s="144"/>
      <c r="N668" s="144"/>
      <c r="O668" s="144"/>
    </row>
    <row r="669">
      <c r="A669" s="138" t="s">
        <v>2728</v>
      </c>
      <c r="B669" s="155"/>
      <c r="C669" s="31">
        <v>0.05</v>
      </c>
      <c r="D669" s="139">
        <v>0.64</v>
      </c>
      <c r="E669" s="139">
        <v>0.64</v>
      </c>
      <c r="F669" s="52"/>
      <c r="G669" s="10"/>
      <c r="H669" s="10"/>
      <c r="I669" s="10"/>
      <c r="J669" s="10"/>
      <c r="K669" s="10"/>
      <c r="L669" s="143" t="s">
        <v>2727</v>
      </c>
      <c r="M669" s="144"/>
      <c r="N669" s="144"/>
      <c r="O669" s="144"/>
    </row>
    <row r="670">
      <c r="A670" s="138" t="s">
        <v>2729</v>
      </c>
      <c r="B670" s="155"/>
      <c r="C670" s="31">
        <v>0.05</v>
      </c>
      <c r="D670" s="139">
        <v>0.64</v>
      </c>
      <c r="E670" s="139">
        <v>0.64</v>
      </c>
      <c r="F670" s="52"/>
      <c r="G670" s="10"/>
      <c r="H670" s="10"/>
      <c r="I670" s="10"/>
      <c r="J670" s="10"/>
      <c r="K670" s="10"/>
      <c r="L670" s="143" t="s">
        <v>2728</v>
      </c>
      <c r="M670" s="144"/>
      <c r="N670" s="144"/>
      <c r="O670" s="144"/>
    </row>
    <row r="671">
      <c r="A671" s="138" t="s">
        <v>2730</v>
      </c>
      <c r="B671" s="155"/>
      <c r="C671" s="31">
        <v>0.05</v>
      </c>
      <c r="D671" s="139">
        <v>0.64</v>
      </c>
      <c r="E671" s="139">
        <v>0.64</v>
      </c>
      <c r="F671" s="52"/>
      <c r="G671" s="10"/>
      <c r="H671" s="10"/>
      <c r="I671" s="10"/>
      <c r="J671" s="10"/>
      <c r="K671" s="10"/>
      <c r="L671" s="143" t="s">
        <v>2729</v>
      </c>
      <c r="M671" s="144"/>
      <c r="N671" s="144"/>
      <c r="O671" s="144"/>
    </row>
    <row r="672">
      <c r="A672" s="138" t="s">
        <v>2731</v>
      </c>
      <c r="B672" s="155"/>
      <c r="C672" s="31">
        <v>0.05</v>
      </c>
      <c r="D672" s="139">
        <v>0.64</v>
      </c>
      <c r="E672" s="139">
        <v>0.64</v>
      </c>
      <c r="F672" s="52"/>
      <c r="G672" s="10"/>
      <c r="H672" s="10"/>
      <c r="I672" s="10"/>
      <c r="J672" s="10"/>
      <c r="K672" s="10"/>
      <c r="L672" s="143" t="s">
        <v>2730</v>
      </c>
      <c r="M672" s="144"/>
      <c r="N672" s="144"/>
      <c r="O672" s="144"/>
    </row>
    <row r="673">
      <c r="A673" s="138" t="s">
        <v>2732</v>
      </c>
      <c r="B673" s="155"/>
      <c r="C673" s="31">
        <v>0.05</v>
      </c>
      <c r="D673" s="139">
        <v>0.64</v>
      </c>
      <c r="E673" s="139">
        <v>0.64</v>
      </c>
      <c r="F673" s="52"/>
      <c r="G673" s="10"/>
      <c r="H673" s="10"/>
      <c r="I673" s="10"/>
      <c r="J673" s="10"/>
      <c r="K673" s="10"/>
      <c r="L673" s="143" t="s">
        <v>2731</v>
      </c>
      <c r="M673" s="144"/>
      <c r="N673" s="144"/>
      <c r="O673" s="144"/>
    </row>
    <row r="674">
      <c r="A674" s="138" t="s">
        <v>2733</v>
      </c>
      <c r="B674" s="155"/>
      <c r="C674" s="31">
        <v>0.05</v>
      </c>
      <c r="D674" s="139">
        <v>0.64</v>
      </c>
      <c r="E674" s="139">
        <v>0.64</v>
      </c>
      <c r="F674" s="52"/>
      <c r="G674" s="10"/>
      <c r="H674" s="10"/>
      <c r="I674" s="10"/>
      <c r="J674" s="10"/>
      <c r="K674" s="10"/>
      <c r="L674" s="143" t="s">
        <v>2732</v>
      </c>
      <c r="M674" s="144"/>
      <c r="N674" s="144"/>
      <c r="O674" s="144"/>
    </row>
    <row r="675">
      <c r="A675" s="138" t="s">
        <v>2734</v>
      </c>
      <c r="B675" s="155"/>
      <c r="C675" s="31">
        <v>0.05</v>
      </c>
      <c r="D675" s="139">
        <v>0.64</v>
      </c>
      <c r="E675" s="139">
        <v>0.64</v>
      </c>
      <c r="F675" s="52"/>
      <c r="G675" s="10"/>
      <c r="H675" s="10"/>
      <c r="I675" s="10"/>
      <c r="J675" s="10"/>
      <c r="K675" s="10"/>
      <c r="L675" s="143" t="s">
        <v>2733</v>
      </c>
      <c r="M675" s="144"/>
      <c r="N675" s="144"/>
      <c r="O675" s="144"/>
    </row>
    <row r="676">
      <c r="A676" s="138" t="s">
        <v>2735</v>
      </c>
      <c r="B676" s="155"/>
      <c r="C676" s="31">
        <v>0.05</v>
      </c>
      <c r="D676" s="139">
        <v>0.64</v>
      </c>
      <c r="E676" s="139">
        <v>0.64</v>
      </c>
      <c r="F676" s="52"/>
      <c r="G676" s="10"/>
      <c r="H676" s="10"/>
      <c r="I676" s="10"/>
      <c r="J676" s="10"/>
      <c r="K676" s="10"/>
      <c r="L676" s="143" t="s">
        <v>2734</v>
      </c>
      <c r="M676" s="144"/>
      <c r="N676" s="144"/>
      <c r="O676" s="144"/>
    </row>
    <row r="677">
      <c r="A677" s="138" t="s">
        <v>2736</v>
      </c>
      <c r="B677" s="155"/>
      <c r="C677" s="31">
        <v>0.05</v>
      </c>
      <c r="D677" s="139">
        <v>0.64</v>
      </c>
      <c r="E677" s="139">
        <v>0.64</v>
      </c>
      <c r="F677" s="52"/>
      <c r="G677" s="10"/>
      <c r="H677" s="10"/>
      <c r="I677" s="10"/>
      <c r="J677" s="10"/>
      <c r="K677" s="10"/>
      <c r="L677" s="143" t="s">
        <v>2735</v>
      </c>
      <c r="M677" s="144"/>
      <c r="N677" s="144"/>
      <c r="O677" s="144"/>
    </row>
    <row r="678">
      <c r="A678" s="138" t="s">
        <v>2737</v>
      </c>
      <c r="B678" s="155"/>
      <c r="C678" s="31">
        <v>0.05</v>
      </c>
      <c r="D678" s="139">
        <v>0.64</v>
      </c>
      <c r="E678" s="139">
        <v>0.64</v>
      </c>
      <c r="F678" s="52"/>
      <c r="G678" s="10"/>
      <c r="H678" s="10"/>
      <c r="I678" s="10"/>
      <c r="J678" s="10"/>
      <c r="K678" s="10"/>
      <c r="L678" s="143" t="s">
        <v>2736</v>
      </c>
      <c r="M678" s="144"/>
      <c r="N678" s="144"/>
      <c r="O678" s="144"/>
    </row>
    <row r="679">
      <c r="A679" s="138" t="s">
        <v>2738</v>
      </c>
      <c r="B679" s="155"/>
      <c r="C679" s="31">
        <v>0.05</v>
      </c>
      <c r="D679" s="139">
        <v>0.64</v>
      </c>
      <c r="E679" s="139">
        <v>0.64</v>
      </c>
      <c r="F679" s="52"/>
      <c r="G679" s="10"/>
      <c r="H679" s="10"/>
      <c r="I679" s="10"/>
      <c r="J679" s="10"/>
      <c r="K679" s="10"/>
      <c r="L679" s="143" t="s">
        <v>2737</v>
      </c>
      <c r="M679" s="144"/>
      <c r="N679" s="144"/>
      <c r="O679" s="144"/>
    </row>
    <row r="680">
      <c r="A680" s="138" t="s">
        <v>2739</v>
      </c>
      <c r="B680" s="155"/>
      <c r="C680" s="31">
        <v>0.05</v>
      </c>
      <c r="D680" s="139">
        <v>0.64</v>
      </c>
      <c r="E680" s="139">
        <v>0.64</v>
      </c>
      <c r="F680" s="52"/>
      <c r="G680" s="10"/>
      <c r="H680" s="10"/>
      <c r="I680" s="10"/>
      <c r="J680" s="10"/>
      <c r="K680" s="10"/>
      <c r="L680" s="143" t="s">
        <v>2738</v>
      </c>
      <c r="M680" s="144"/>
      <c r="N680" s="144"/>
      <c r="O680" s="144"/>
    </row>
    <row r="681">
      <c r="A681" s="138" t="s">
        <v>2740</v>
      </c>
      <c r="B681" s="155"/>
      <c r="C681" s="31">
        <v>0.05</v>
      </c>
      <c r="D681" s="139">
        <v>0.64</v>
      </c>
      <c r="E681" s="139">
        <v>0.64</v>
      </c>
      <c r="F681" s="52"/>
      <c r="G681" s="10"/>
      <c r="H681" s="10"/>
      <c r="I681" s="10"/>
      <c r="J681" s="10"/>
      <c r="K681" s="10"/>
      <c r="L681" s="143" t="s">
        <v>2739</v>
      </c>
      <c r="M681" s="144"/>
      <c r="N681" s="144"/>
      <c r="O681" s="144"/>
    </row>
    <row r="682">
      <c r="A682" s="138" t="s">
        <v>2741</v>
      </c>
      <c r="B682" s="155"/>
      <c r="C682" s="31">
        <v>0.05</v>
      </c>
      <c r="D682" s="139">
        <v>0.64</v>
      </c>
      <c r="E682" s="139">
        <v>0.64</v>
      </c>
      <c r="F682" s="52"/>
      <c r="G682" s="10"/>
      <c r="H682" s="10"/>
      <c r="I682" s="10"/>
      <c r="J682" s="10"/>
      <c r="K682" s="10"/>
      <c r="L682" s="143" t="s">
        <v>2740</v>
      </c>
      <c r="M682" s="144"/>
      <c r="N682" s="144"/>
      <c r="O682" s="144"/>
    </row>
    <row r="683">
      <c r="A683" s="138" t="s">
        <v>1436</v>
      </c>
      <c r="B683" s="155"/>
      <c r="C683" s="31">
        <v>0.05</v>
      </c>
      <c r="D683" s="139">
        <v>0.64</v>
      </c>
      <c r="E683" s="139">
        <v>0.64</v>
      </c>
      <c r="F683" s="52"/>
      <c r="G683" s="10"/>
      <c r="H683" s="10"/>
      <c r="I683" s="10"/>
      <c r="J683" s="10"/>
      <c r="K683" s="10"/>
      <c r="L683" s="143" t="s">
        <v>2741</v>
      </c>
      <c r="M683" s="144"/>
      <c r="N683" s="144"/>
      <c r="O683" s="144"/>
    </row>
    <row r="684">
      <c r="A684" s="138" t="s">
        <v>2742</v>
      </c>
      <c r="B684" s="155"/>
      <c r="C684" s="31">
        <v>0.05</v>
      </c>
      <c r="D684" s="139">
        <v>0.64</v>
      </c>
      <c r="E684" s="139">
        <v>0.64</v>
      </c>
      <c r="F684" s="52"/>
      <c r="G684" s="10"/>
      <c r="H684" s="10"/>
      <c r="I684" s="10"/>
      <c r="J684" s="10"/>
      <c r="K684" s="10"/>
      <c r="L684" s="143" t="s">
        <v>1436</v>
      </c>
      <c r="M684" s="144"/>
      <c r="N684" s="144"/>
      <c r="O684" s="144"/>
    </row>
    <row r="685">
      <c r="A685" s="138" t="s">
        <v>2743</v>
      </c>
      <c r="B685" s="155"/>
      <c r="C685" s="31">
        <v>0.05</v>
      </c>
      <c r="D685" s="139">
        <v>0.64</v>
      </c>
      <c r="E685" s="139">
        <v>0.64</v>
      </c>
      <c r="F685" s="52"/>
      <c r="G685" s="10"/>
      <c r="H685" s="10"/>
      <c r="I685" s="10"/>
      <c r="J685" s="10"/>
      <c r="K685" s="10"/>
      <c r="L685" s="143" t="s">
        <v>2742</v>
      </c>
      <c r="M685" s="144"/>
      <c r="N685" s="144"/>
      <c r="O685" s="144"/>
    </row>
    <row r="686">
      <c r="A686" s="138" t="s">
        <v>2744</v>
      </c>
      <c r="B686" s="155"/>
      <c r="C686" s="31">
        <v>0.05</v>
      </c>
      <c r="D686" s="139">
        <v>0.64</v>
      </c>
      <c r="E686" s="139">
        <v>0.64</v>
      </c>
      <c r="F686" s="52"/>
      <c r="G686" s="10"/>
      <c r="H686" s="10"/>
      <c r="I686" s="10"/>
      <c r="J686" s="10"/>
      <c r="K686" s="10"/>
      <c r="L686" s="143" t="s">
        <v>2743</v>
      </c>
      <c r="M686" s="144"/>
      <c r="N686" s="144"/>
      <c r="O686" s="144"/>
    </row>
    <row r="687">
      <c r="A687" s="138" t="s">
        <v>2745</v>
      </c>
      <c r="B687" s="155"/>
      <c r="C687" s="31">
        <v>0.05</v>
      </c>
      <c r="D687" s="139">
        <v>0.64</v>
      </c>
      <c r="E687" s="139">
        <v>0.64</v>
      </c>
      <c r="F687" s="52"/>
      <c r="G687" s="10"/>
      <c r="H687" s="10"/>
      <c r="I687" s="10"/>
      <c r="J687" s="10"/>
      <c r="K687" s="10"/>
      <c r="L687" s="143" t="s">
        <v>2744</v>
      </c>
      <c r="M687" s="144"/>
      <c r="N687" s="144"/>
      <c r="O687" s="144"/>
    </row>
    <row r="688">
      <c r="A688" s="138" t="s">
        <v>2746</v>
      </c>
      <c r="B688" s="155"/>
      <c r="C688" s="31">
        <v>0.05</v>
      </c>
      <c r="D688" s="139">
        <v>0.64</v>
      </c>
      <c r="E688" s="139">
        <v>0.64</v>
      </c>
      <c r="F688" s="52"/>
      <c r="G688" s="10"/>
      <c r="H688" s="10"/>
      <c r="I688" s="10"/>
      <c r="J688" s="10"/>
      <c r="K688" s="10"/>
      <c r="L688" s="143" t="s">
        <v>2745</v>
      </c>
      <c r="M688" s="144"/>
      <c r="N688" s="144"/>
      <c r="O688" s="144"/>
    </row>
    <row r="689">
      <c r="A689" s="138" t="s">
        <v>2747</v>
      </c>
      <c r="B689" s="155"/>
      <c r="C689" s="31">
        <v>0.05</v>
      </c>
      <c r="D689" s="139">
        <v>0.64</v>
      </c>
      <c r="E689" s="139">
        <v>0.64</v>
      </c>
      <c r="F689" s="52"/>
      <c r="G689" s="10"/>
      <c r="H689" s="10"/>
      <c r="I689" s="10"/>
      <c r="J689" s="10"/>
      <c r="K689" s="10"/>
      <c r="L689" s="143" t="s">
        <v>2746</v>
      </c>
      <c r="M689" s="144"/>
      <c r="N689" s="144"/>
      <c r="O689" s="144"/>
    </row>
    <row r="690">
      <c r="A690" s="138" t="s">
        <v>2748</v>
      </c>
      <c r="B690" s="155"/>
      <c r="C690" s="31">
        <v>0.05</v>
      </c>
      <c r="D690" s="139">
        <v>0.64</v>
      </c>
      <c r="E690" s="139">
        <v>0.64</v>
      </c>
      <c r="F690" s="52"/>
      <c r="G690" s="10"/>
      <c r="H690" s="10"/>
      <c r="I690" s="10"/>
      <c r="J690" s="10"/>
      <c r="K690" s="10"/>
      <c r="L690" s="143" t="s">
        <v>2747</v>
      </c>
      <c r="M690" s="144"/>
      <c r="N690" s="144"/>
      <c r="O690" s="144"/>
    </row>
    <row r="691">
      <c r="A691" s="138" t="s">
        <v>2749</v>
      </c>
      <c r="B691" s="155"/>
      <c r="C691" s="31">
        <v>0.05</v>
      </c>
      <c r="D691" s="139">
        <v>0.64</v>
      </c>
      <c r="E691" s="139">
        <v>0.64</v>
      </c>
      <c r="F691" s="52"/>
      <c r="G691" s="10"/>
      <c r="H691" s="10"/>
      <c r="I691" s="10"/>
      <c r="J691" s="10"/>
      <c r="K691" s="10"/>
      <c r="L691" s="143" t="s">
        <v>2748</v>
      </c>
      <c r="M691" s="144"/>
      <c r="N691" s="144"/>
      <c r="O691" s="144"/>
    </row>
    <row r="692">
      <c r="A692" s="138" t="s">
        <v>2750</v>
      </c>
      <c r="B692" s="155"/>
      <c r="C692" s="31">
        <v>0.05</v>
      </c>
      <c r="D692" s="139">
        <v>0.64</v>
      </c>
      <c r="E692" s="139">
        <v>0.64</v>
      </c>
      <c r="F692" s="52"/>
      <c r="G692" s="10"/>
      <c r="H692" s="10"/>
      <c r="I692" s="10"/>
      <c r="J692" s="10"/>
      <c r="K692" s="10"/>
      <c r="L692" s="143" t="s">
        <v>2749</v>
      </c>
      <c r="M692" s="144"/>
      <c r="N692" s="144"/>
      <c r="O692" s="144"/>
    </row>
    <row r="693">
      <c r="A693" s="138" t="s">
        <v>2751</v>
      </c>
      <c r="B693" s="155"/>
      <c r="C693" s="31">
        <v>0.05</v>
      </c>
      <c r="D693" s="139">
        <v>0.64</v>
      </c>
      <c r="E693" s="139">
        <v>0.64</v>
      </c>
      <c r="F693" s="52"/>
      <c r="G693" s="10"/>
      <c r="H693" s="10"/>
      <c r="I693" s="10"/>
      <c r="J693" s="10"/>
      <c r="K693" s="10"/>
      <c r="L693" s="143" t="s">
        <v>2750</v>
      </c>
      <c r="M693" s="144"/>
      <c r="N693" s="144"/>
      <c r="O693" s="144"/>
    </row>
    <row r="694">
      <c r="A694" s="138" t="s">
        <v>2752</v>
      </c>
      <c r="B694" s="155"/>
      <c r="C694" s="31">
        <v>0.05</v>
      </c>
      <c r="D694" s="139">
        <v>0.64</v>
      </c>
      <c r="E694" s="139">
        <v>0.64</v>
      </c>
      <c r="F694" s="52"/>
      <c r="G694" s="10"/>
      <c r="H694" s="10"/>
      <c r="I694" s="10"/>
      <c r="J694" s="10"/>
      <c r="K694" s="10"/>
      <c r="L694" s="143" t="s">
        <v>2751</v>
      </c>
      <c r="M694" s="144"/>
      <c r="N694" s="144"/>
      <c r="O694" s="144"/>
    </row>
    <row r="695">
      <c r="A695" s="138" t="s">
        <v>611</v>
      </c>
      <c r="B695" s="155"/>
      <c r="C695" s="31">
        <v>0.05</v>
      </c>
      <c r="D695" s="139">
        <v>0.64</v>
      </c>
      <c r="E695" s="139">
        <v>0.64</v>
      </c>
      <c r="F695" s="52"/>
      <c r="G695" s="10"/>
      <c r="H695" s="10"/>
      <c r="I695" s="10"/>
      <c r="J695" s="10"/>
      <c r="K695" s="10"/>
      <c r="L695" s="143" t="s">
        <v>2752</v>
      </c>
      <c r="M695" s="144"/>
      <c r="N695" s="144"/>
      <c r="O695" s="144"/>
    </row>
    <row r="696">
      <c r="A696" s="138" t="s">
        <v>2753</v>
      </c>
      <c r="B696" s="155"/>
      <c r="C696" s="31">
        <v>0.05</v>
      </c>
      <c r="D696" s="139">
        <v>0.64</v>
      </c>
      <c r="E696" s="139">
        <v>0.64</v>
      </c>
      <c r="F696" s="52"/>
      <c r="G696" s="10"/>
      <c r="H696" s="10"/>
      <c r="I696" s="10"/>
      <c r="J696" s="10"/>
      <c r="K696" s="10"/>
      <c r="L696" s="143" t="s">
        <v>611</v>
      </c>
      <c r="M696" s="144"/>
      <c r="N696" s="144"/>
      <c r="O696" s="144"/>
    </row>
    <row r="697">
      <c r="A697" s="138" t="s">
        <v>2754</v>
      </c>
      <c r="B697" s="155"/>
      <c r="C697" s="31">
        <v>0.05</v>
      </c>
      <c r="D697" s="139">
        <v>0.64</v>
      </c>
      <c r="E697" s="139">
        <v>0.64</v>
      </c>
      <c r="F697" s="52"/>
      <c r="G697" s="10"/>
      <c r="H697" s="10"/>
      <c r="I697" s="10"/>
      <c r="J697" s="10"/>
      <c r="K697" s="10"/>
      <c r="L697" s="143" t="s">
        <v>2753</v>
      </c>
      <c r="M697" s="144"/>
      <c r="N697" s="144"/>
      <c r="O697" s="144"/>
    </row>
    <row r="698">
      <c r="A698" s="138" t="s">
        <v>2755</v>
      </c>
      <c r="B698" s="155"/>
      <c r="C698" s="31">
        <v>0.05</v>
      </c>
      <c r="D698" s="139">
        <v>0.64</v>
      </c>
      <c r="E698" s="139">
        <v>0.64</v>
      </c>
      <c r="F698" s="52"/>
      <c r="G698" s="10"/>
      <c r="H698" s="10"/>
      <c r="I698" s="10"/>
      <c r="J698" s="10"/>
      <c r="K698" s="10"/>
      <c r="L698" s="143" t="s">
        <v>2754</v>
      </c>
      <c r="M698" s="144"/>
      <c r="N698" s="144"/>
      <c r="O698" s="144"/>
    </row>
    <row r="699">
      <c r="A699" s="138" t="s">
        <v>2756</v>
      </c>
      <c r="B699" s="155"/>
      <c r="C699" s="31">
        <v>0.05</v>
      </c>
      <c r="D699" s="139">
        <v>0.64</v>
      </c>
      <c r="E699" s="139">
        <v>0.64</v>
      </c>
      <c r="F699" s="52"/>
      <c r="G699" s="10"/>
      <c r="H699" s="10"/>
      <c r="I699" s="10"/>
      <c r="J699" s="10"/>
      <c r="K699" s="10"/>
      <c r="L699" s="143" t="s">
        <v>2755</v>
      </c>
      <c r="M699" s="144"/>
      <c r="N699" s="144"/>
      <c r="O699" s="144"/>
    </row>
    <row r="700">
      <c r="A700" s="138" t="s">
        <v>2757</v>
      </c>
      <c r="B700" s="155"/>
      <c r="C700" s="31">
        <v>0.05</v>
      </c>
      <c r="D700" s="139">
        <v>0.64</v>
      </c>
      <c r="E700" s="139">
        <v>0.64</v>
      </c>
      <c r="F700" s="52"/>
      <c r="G700" s="10"/>
      <c r="H700" s="10"/>
      <c r="I700" s="10"/>
      <c r="J700" s="10"/>
      <c r="K700" s="10"/>
      <c r="L700" s="143" t="s">
        <v>2756</v>
      </c>
      <c r="M700" s="144"/>
      <c r="N700" s="144"/>
      <c r="O700" s="144"/>
    </row>
    <row r="701">
      <c r="A701" s="138" t="s">
        <v>2758</v>
      </c>
      <c r="B701" s="155"/>
      <c r="C701" s="31">
        <v>0.05</v>
      </c>
      <c r="D701" s="139">
        <v>0.64</v>
      </c>
      <c r="E701" s="139">
        <v>0.64</v>
      </c>
      <c r="F701" s="52"/>
      <c r="G701" s="10"/>
      <c r="H701" s="10"/>
      <c r="I701" s="10"/>
      <c r="J701" s="10"/>
      <c r="K701" s="10"/>
      <c r="L701" s="143" t="s">
        <v>2757</v>
      </c>
      <c r="M701" s="144"/>
      <c r="N701" s="144"/>
      <c r="O701" s="144"/>
    </row>
    <row r="702">
      <c r="A702" s="138" t="s">
        <v>2759</v>
      </c>
      <c r="B702" s="155"/>
      <c r="C702" s="31">
        <v>0.05</v>
      </c>
      <c r="D702" s="139">
        <v>0.64</v>
      </c>
      <c r="E702" s="139">
        <v>0.64</v>
      </c>
      <c r="F702" s="52"/>
      <c r="G702" s="10"/>
      <c r="H702" s="10"/>
      <c r="I702" s="10"/>
      <c r="J702" s="10"/>
      <c r="K702" s="10"/>
      <c r="L702" s="143" t="s">
        <v>2758</v>
      </c>
      <c r="M702" s="144"/>
      <c r="N702" s="144"/>
      <c r="O702" s="144"/>
    </row>
    <row r="703">
      <c r="A703" s="138" t="s">
        <v>2760</v>
      </c>
      <c r="B703" s="155"/>
      <c r="C703" s="31">
        <v>0.05</v>
      </c>
      <c r="D703" s="139">
        <v>0.64</v>
      </c>
      <c r="E703" s="139">
        <v>0.64</v>
      </c>
      <c r="F703" s="52"/>
      <c r="G703" s="10"/>
      <c r="H703" s="10"/>
      <c r="I703" s="10"/>
      <c r="J703" s="10"/>
      <c r="K703" s="10"/>
      <c r="L703" s="143" t="s">
        <v>2759</v>
      </c>
      <c r="M703" s="144"/>
      <c r="N703" s="144"/>
      <c r="O703" s="144"/>
    </row>
    <row r="704">
      <c r="A704" s="138" t="s">
        <v>2761</v>
      </c>
      <c r="B704" s="155"/>
      <c r="C704" s="31">
        <v>0.05</v>
      </c>
      <c r="D704" s="139">
        <v>0.64</v>
      </c>
      <c r="E704" s="139">
        <v>0.64</v>
      </c>
      <c r="F704" s="52"/>
      <c r="G704" s="10"/>
      <c r="H704" s="10"/>
      <c r="I704" s="10"/>
      <c r="J704" s="10"/>
      <c r="K704" s="10"/>
      <c r="L704" s="143" t="s">
        <v>2760</v>
      </c>
      <c r="M704" s="144"/>
      <c r="N704" s="144"/>
      <c r="O704" s="144"/>
    </row>
    <row r="705">
      <c r="A705" s="138" t="s">
        <v>2762</v>
      </c>
      <c r="B705" s="155"/>
      <c r="C705" s="31">
        <v>0.05</v>
      </c>
      <c r="D705" s="139">
        <v>0.64</v>
      </c>
      <c r="E705" s="139">
        <v>0.64</v>
      </c>
      <c r="F705" s="52"/>
      <c r="G705" s="10"/>
      <c r="H705" s="10"/>
      <c r="I705" s="10"/>
      <c r="J705" s="10"/>
      <c r="K705" s="10"/>
      <c r="L705" s="143" t="s">
        <v>2761</v>
      </c>
      <c r="M705" s="144"/>
      <c r="N705" s="144"/>
      <c r="O705" s="144"/>
    </row>
    <row r="706">
      <c r="A706" s="138" t="s">
        <v>2763</v>
      </c>
      <c r="B706" s="155"/>
      <c r="C706" s="31">
        <v>0.05</v>
      </c>
      <c r="D706" s="139">
        <v>0.64</v>
      </c>
      <c r="E706" s="139">
        <v>0.64</v>
      </c>
      <c r="F706" s="52"/>
      <c r="G706" s="10"/>
      <c r="H706" s="10"/>
      <c r="I706" s="10"/>
      <c r="J706" s="10"/>
      <c r="K706" s="10"/>
      <c r="L706" s="143" t="s">
        <v>2762</v>
      </c>
      <c r="M706" s="144"/>
      <c r="N706" s="144"/>
      <c r="O706" s="144"/>
    </row>
    <row r="707">
      <c r="A707" s="138" t="s">
        <v>2764</v>
      </c>
      <c r="B707" s="155"/>
      <c r="C707" s="31">
        <v>0.05</v>
      </c>
      <c r="D707" s="139">
        <v>0.64</v>
      </c>
      <c r="E707" s="139">
        <v>0.64</v>
      </c>
      <c r="F707" s="52"/>
      <c r="G707" s="10"/>
      <c r="H707" s="10"/>
      <c r="I707" s="10"/>
      <c r="J707" s="10"/>
      <c r="K707" s="10"/>
      <c r="L707" s="143" t="s">
        <v>2763</v>
      </c>
      <c r="M707" s="144"/>
      <c r="N707" s="144"/>
      <c r="O707" s="144"/>
    </row>
    <row r="708">
      <c r="A708" s="138" t="s">
        <v>2765</v>
      </c>
      <c r="B708" s="155"/>
      <c r="C708" s="31">
        <v>0.05</v>
      </c>
      <c r="D708" s="139">
        <v>0.64</v>
      </c>
      <c r="E708" s="139">
        <v>0.64</v>
      </c>
      <c r="F708" s="52"/>
      <c r="G708" s="10"/>
      <c r="H708" s="10"/>
      <c r="I708" s="10"/>
      <c r="J708" s="10"/>
      <c r="K708" s="10"/>
      <c r="L708" s="143" t="s">
        <v>2764</v>
      </c>
      <c r="M708" s="144"/>
      <c r="N708" s="144"/>
      <c r="O708" s="144"/>
    </row>
    <row r="709">
      <c r="A709" s="138" t="s">
        <v>2766</v>
      </c>
      <c r="B709" s="155"/>
      <c r="C709" s="31">
        <v>0.05</v>
      </c>
      <c r="D709" s="139">
        <v>0.64</v>
      </c>
      <c r="E709" s="139">
        <v>0.64</v>
      </c>
      <c r="F709" s="52"/>
      <c r="G709" s="10"/>
      <c r="H709" s="10"/>
      <c r="I709" s="10"/>
      <c r="J709" s="10"/>
      <c r="K709" s="10"/>
      <c r="L709" s="143" t="s">
        <v>2765</v>
      </c>
      <c r="M709" s="144"/>
      <c r="N709" s="144"/>
      <c r="O709" s="144"/>
    </row>
    <row r="710">
      <c r="A710" s="138" t="s">
        <v>2767</v>
      </c>
      <c r="B710" s="155"/>
      <c r="C710" s="31">
        <v>0.05</v>
      </c>
      <c r="D710" s="139">
        <v>0.64</v>
      </c>
      <c r="E710" s="139">
        <v>0.64</v>
      </c>
      <c r="F710" s="52"/>
      <c r="G710" s="10"/>
      <c r="H710" s="10"/>
      <c r="I710" s="10"/>
      <c r="J710" s="10"/>
      <c r="K710" s="10"/>
      <c r="L710" s="143" t="s">
        <v>2766</v>
      </c>
      <c r="M710" s="144"/>
      <c r="N710" s="144"/>
      <c r="O710" s="144"/>
    </row>
    <row r="711">
      <c r="A711" s="138" t="s">
        <v>2768</v>
      </c>
      <c r="B711" s="155"/>
      <c r="C711" s="31">
        <v>0.05</v>
      </c>
      <c r="D711" s="139">
        <v>0.64</v>
      </c>
      <c r="E711" s="139">
        <v>0.64</v>
      </c>
      <c r="F711" s="52"/>
      <c r="G711" s="10"/>
      <c r="H711" s="10"/>
      <c r="I711" s="10"/>
      <c r="J711" s="10"/>
      <c r="K711" s="10"/>
      <c r="L711" s="143" t="s">
        <v>2767</v>
      </c>
      <c r="M711" s="144"/>
      <c r="N711" s="144"/>
      <c r="O711" s="144"/>
    </row>
    <row r="712">
      <c r="A712" s="138" t="s">
        <v>2769</v>
      </c>
      <c r="B712" s="155"/>
      <c r="C712" s="31">
        <v>0.05</v>
      </c>
      <c r="D712" s="139">
        <v>0.64</v>
      </c>
      <c r="E712" s="139">
        <v>0.64</v>
      </c>
      <c r="F712" s="52"/>
      <c r="G712" s="10"/>
      <c r="H712" s="10"/>
      <c r="I712" s="10"/>
      <c r="J712" s="10"/>
      <c r="K712" s="10"/>
      <c r="L712" s="143" t="s">
        <v>2768</v>
      </c>
      <c r="M712" s="144"/>
      <c r="N712" s="144"/>
      <c r="O712" s="144"/>
    </row>
    <row r="713">
      <c r="A713" s="138" t="s">
        <v>2770</v>
      </c>
      <c r="B713" s="155"/>
      <c r="C713" s="31">
        <v>0.05</v>
      </c>
      <c r="D713" s="139">
        <v>0.64</v>
      </c>
      <c r="E713" s="139">
        <v>0.64</v>
      </c>
      <c r="F713" s="52"/>
      <c r="G713" s="10"/>
      <c r="H713" s="10"/>
      <c r="I713" s="10"/>
      <c r="J713" s="10"/>
      <c r="K713" s="10"/>
      <c r="L713" s="143" t="s">
        <v>2769</v>
      </c>
      <c r="M713" s="144"/>
      <c r="N713" s="144"/>
      <c r="O713" s="144"/>
    </row>
    <row r="714">
      <c r="A714" s="138" t="s">
        <v>2771</v>
      </c>
      <c r="B714" s="155"/>
      <c r="C714" s="31">
        <v>0.05</v>
      </c>
      <c r="D714" s="139">
        <v>0.64</v>
      </c>
      <c r="E714" s="139">
        <v>0.64</v>
      </c>
      <c r="F714" s="52"/>
      <c r="G714" s="10"/>
      <c r="H714" s="10"/>
      <c r="I714" s="10"/>
      <c r="J714" s="10"/>
      <c r="K714" s="10"/>
      <c r="L714" s="143" t="s">
        <v>2770</v>
      </c>
      <c r="M714" s="144"/>
      <c r="N714" s="144"/>
      <c r="O714" s="144"/>
    </row>
    <row r="715">
      <c r="A715" s="138" t="s">
        <v>2772</v>
      </c>
      <c r="B715" s="155"/>
      <c r="C715" s="31">
        <v>0.05</v>
      </c>
      <c r="D715" s="139">
        <v>0.64</v>
      </c>
      <c r="E715" s="139">
        <v>0.64</v>
      </c>
      <c r="F715" s="52"/>
      <c r="G715" s="10"/>
      <c r="H715" s="10"/>
      <c r="I715" s="10"/>
      <c r="J715" s="10"/>
      <c r="K715" s="10"/>
      <c r="L715" s="143" t="s">
        <v>2771</v>
      </c>
      <c r="M715" s="144"/>
      <c r="N715" s="144"/>
      <c r="O715" s="144"/>
    </row>
    <row r="716">
      <c r="A716" s="138" t="s">
        <v>2773</v>
      </c>
      <c r="B716" s="155"/>
      <c r="C716" s="31">
        <v>0.05</v>
      </c>
      <c r="D716" s="139">
        <v>0.64</v>
      </c>
      <c r="E716" s="139">
        <v>0.64</v>
      </c>
      <c r="F716" s="52"/>
      <c r="G716" s="10"/>
      <c r="H716" s="10"/>
      <c r="I716" s="10"/>
      <c r="J716" s="10"/>
      <c r="K716" s="10"/>
      <c r="L716" s="143" t="s">
        <v>2772</v>
      </c>
      <c r="M716" s="144"/>
      <c r="N716" s="144"/>
      <c r="O716" s="144"/>
    </row>
    <row r="717">
      <c r="A717" s="138" t="s">
        <v>2774</v>
      </c>
      <c r="B717" s="155"/>
      <c r="C717" s="31">
        <v>0.05</v>
      </c>
      <c r="D717" s="139">
        <v>0.64</v>
      </c>
      <c r="E717" s="139">
        <v>0.64</v>
      </c>
      <c r="F717" s="52"/>
      <c r="G717" s="10"/>
      <c r="H717" s="10"/>
      <c r="I717" s="10"/>
      <c r="J717" s="10"/>
      <c r="K717" s="10"/>
      <c r="L717" s="143" t="s">
        <v>2773</v>
      </c>
      <c r="M717" s="144"/>
      <c r="N717" s="144"/>
      <c r="O717" s="144"/>
    </row>
    <row r="718">
      <c r="A718" s="138" t="s">
        <v>2775</v>
      </c>
      <c r="B718" s="155"/>
      <c r="C718" s="31">
        <v>0.05</v>
      </c>
      <c r="D718" s="139">
        <v>0.64</v>
      </c>
      <c r="E718" s="139">
        <v>0.64</v>
      </c>
      <c r="F718" s="52"/>
      <c r="G718" s="10"/>
      <c r="H718" s="10"/>
      <c r="I718" s="10"/>
      <c r="J718" s="10"/>
      <c r="K718" s="10"/>
      <c r="L718" s="143" t="s">
        <v>2774</v>
      </c>
      <c r="M718" s="144"/>
      <c r="N718" s="144"/>
      <c r="O718" s="144"/>
    </row>
    <row r="719">
      <c r="A719" s="138" t="s">
        <v>2776</v>
      </c>
      <c r="B719" s="155"/>
      <c r="C719" s="31">
        <v>0.05</v>
      </c>
      <c r="D719" s="139">
        <v>0.64</v>
      </c>
      <c r="E719" s="139">
        <v>0.64</v>
      </c>
      <c r="F719" s="52"/>
      <c r="G719" s="10"/>
      <c r="H719" s="10"/>
      <c r="I719" s="10"/>
      <c r="J719" s="10"/>
      <c r="K719" s="10"/>
      <c r="L719" s="143" t="s">
        <v>2775</v>
      </c>
      <c r="M719" s="144"/>
      <c r="N719" s="144"/>
      <c r="O719" s="144"/>
    </row>
    <row r="720">
      <c r="A720" s="138" t="s">
        <v>2777</v>
      </c>
      <c r="B720" s="155"/>
      <c r="C720" s="31">
        <v>0.05</v>
      </c>
      <c r="D720" s="139">
        <v>0.64</v>
      </c>
      <c r="E720" s="139">
        <v>0.64</v>
      </c>
      <c r="F720" s="52"/>
      <c r="G720" s="10"/>
      <c r="H720" s="10"/>
      <c r="I720" s="10"/>
      <c r="J720" s="10"/>
      <c r="K720" s="10"/>
      <c r="L720" s="143" t="s">
        <v>2776</v>
      </c>
      <c r="M720" s="144"/>
      <c r="N720" s="144"/>
      <c r="O720" s="144"/>
    </row>
    <row r="721">
      <c r="A721" s="138" t="s">
        <v>2778</v>
      </c>
      <c r="B721" s="155"/>
      <c r="C721" s="31">
        <v>0.05</v>
      </c>
      <c r="D721" s="139">
        <v>0.64</v>
      </c>
      <c r="E721" s="139">
        <v>0.64</v>
      </c>
      <c r="F721" s="52"/>
      <c r="G721" s="10"/>
      <c r="H721" s="10"/>
      <c r="I721" s="10"/>
      <c r="J721" s="10"/>
      <c r="K721" s="10"/>
      <c r="L721" s="143" t="s">
        <v>2777</v>
      </c>
      <c r="M721" s="144"/>
      <c r="N721" s="144"/>
      <c r="O721" s="144"/>
    </row>
    <row r="722">
      <c r="A722" s="138" t="s">
        <v>2779</v>
      </c>
      <c r="B722" s="155"/>
      <c r="C722" s="31">
        <v>0.05</v>
      </c>
      <c r="D722" s="139">
        <v>0.64</v>
      </c>
      <c r="E722" s="139">
        <v>0.64</v>
      </c>
      <c r="F722" s="52"/>
      <c r="G722" s="10"/>
      <c r="H722" s="10"/>
      <c r="I722" s="10"/>
      <c r="J722" s="10"/>
      <c r="K722" s="10"/>
      <c r="L722" s="143" t="s">
        <v>2778</v>
      </c>
      <c r="M722" s="144"/>
      <c r="N722" s="144"/>
      <c r="O722" s="144"/>
    </row>
    <row r="723">
      <c r="A723" s="138" t="s">
        <v>2780</v>
      </c>
      <c r="B723" s="155"/>
      <c r="C723" s="31">
        <v>0.05</v>
      </c>
      <c r="D723" s="139">
        <v>0.64</v>
      </c>
      <c r="E723" s="139">
        <v>0.64</v>
      </c>
      <c r="F723" s="52"/>
      <c r="G723" s="10"/>
      <c r="H723" s="10"/>
      <c r="I723" s="10"/>
      <c r="J723" s="10"/>
      <c r="K723" s="10"/>
      <c r="L723" s="143" t="s">
        <v>2779</v>
      </c>
      <c r="M723" s="144"/>
      <c r="N723" s="144"/>
      <c r="O723" s="144"/>
    </row>
    <row r="724">
      <c r="A724" s="138" t="s">
        <v>2781</v>
      </c>
      <c r="B724" s="155"/>
      <c r="C724" s="31">
        <v>0.05</v>
      </c>
      <c r="D724" s="139">
        <v>0.64</v>
      </c>
      <c r="E724" s="139">
        <v>0.64</v>
      </c>
      <c r="F724" s="52"/>
      <c r="G724" s="10"/>
      <c r="H724" s="10"/>
      <c r="I724" s="10"/>
      <c r="J724" s="10"/>
      <c r="K724" s="10"/>
      <c r="L724" s="143" t="s">
        <v>2780</v>
      </c>
      <c r="M724" s="144"/>
      <c r="N724" s="144"/>
      <c r="O724" s="144"/>
    </row>
    <row r="725">
      <c r="A725" s="138" t="s">
        <v>2782</v>
      </c>
      <c r="B725" s="155"/>
      <c r="C725" s="31">
        <v>0.05</v>
      </c>
      <c r="D725" s="139">
        <v>0.64</v>
      </c>
      <c r="E725" s="139">
        <v>0.64</v>
      </c>
      <c r="F725" s="52"/>
      <c r="G725" s="10"/>
      <c r="H725" s="10"/>
      <c r="I725" s="10"/>
      <c r="J725" s="10"/>
      <c r="K725" s="10"/>
      <c r="L725" s="143" t="s">
        <v>2781</v>
      </c>
      <c r="M725" s="144"/>
      <c r="N725" s="144"/>
      <c r="O725" s="144"/>
    </row>
    <row r="726">
      <c r="A726" s="138" t="s">
        <v>2783</v>
      </c>
      <c r="B726" s="155"/>
      <c r="C726" s="31">
        <v>0.05</v>
      </c>
      <c r="D726" s="139">
        <v>0.64</v>
      </c>
      <c r="E726" s="139">
        <v>0.64</v>
      </c>
      <c r="F726" s="52"/>
      <c r="G726" s="10"/>
      <c r="H726" s="10"/>
      <c r="I726" s="10"/>
      <c r="J726" s="10"/>
      <c r="K726" s="10"/>
      <c r="L726" s="143" t="s">
        <v>2782</v>
      </c>
      <c r="M726" s="144"/>
      <c r="N726" s="144"/>
      <c r="O726" s="144"/>
    </row>
    <row r="727">
      <c r="A727" s="138" t="s">
        <v>2784</v>
      </c>
      <c r="B727" s="155"/>
      <c r="C727" s="31">
        <v>0.05</v>
      </c>
      <c r="D727" s="139">
        <v>0.64</v>
      </c>
      <c r="E727" s="139">
        <v>0.64</v>
      </c>
      <c r="F727" s="52"/>
      <c r="G727" s="10"/>
      <c r="H727" s="10"/>
      <c r="I727" s="10"/>
      <c r="J727" s="10"/>
      <c r="K727" s="10"/>
      <c r="L727" s="143" t="s">
        <v>2783</v>
      </c>
      <c r="M727" s="144"/>
      <c r="N727" s="144"/>
      <c r="O727" s="144"/>
    </row>
    <row r="728">
      <c r="A728" s="138" t="s">
        <v>2785</v>
      </c>
      <c r="B728" s="155"/>
      <c r="C728" s="31">
        <v>0.05</v>
      </c>
      <c r="D728" s="139">
        <v>0.64</v>
      </c>
      <c r="E728" s="139">
        <v>0.64</v>
      </c>
      <c r="F728" s="52"/>
      <c r="G728" s="10"/>
      <c r="H728" s="10"/>
      <c r="I728" s="10"/>
      <c r="J728" s="10"/>
      <c r="K728" s="10"/>
      <c r="L728" s="143" t="s">
        <v>2784</v>
      </c>
      <c r="M728" s="144"/>
      <c r="N728" s="144"/>
      <c r="O728" s="144"/>
    </row>
    <row r="729">
      <c r="A729" s="138" t="s">
        <v>2786</v>
      </c>
      <c r="B729" s="155"/>
      <c r="C729" s="31">
        <v>0.05</v>
      </c>
      <c r="D729" s="139">
        <v>0.64</v>
      </c>
      <c r="E729" s="139">
        <v>0.64</v>
      </c>
      <c r="F729" s="52"/>
      <c r="G729" s="10"/>
      <c r="H729" s="10"/>
      <c r="I729" s="10"/>
      <c r="J729" s="10"/>
      <c r="K729" s="10"/>
      <c r="L729" s="143" t="s">
        <v>2785</v>
      </c>
      <c r="M729" s="144"/>
      <c r="N729" s="144"/>
      <c r="O729" s="144"/>
    </row>
    <row r="730">
      <c r="A730" s="138" t="s">
        <v>2787</v>
      </c>
      <c r="B730" s="155"/>
      <c r="C730" s="31">
        <v>0.05</v>
      </c>
      <c r="D730" s="139">
        <v>0.64</v>
      </c>
      <c r="E730" s="139">
        <v>0.64</v>
      </c>
      <c r="F730" s="52"/>
      <c r="G730" s="10"/>
      <c r="H730" s="10"/>
      <c r="I730" s="10"/>
      <c r="J730" s="10"/>
      <c r="K730" s="10"/>
      <c r="L730" s="143" t="s">
        <v>2786</v>
      </c>
      <c r="M730" s="144"/>
      <c r="N730" s="144"/>
      <c r="O730" s="144"/>
    </row>
    <row r="731">
      <c r="A731" s="138" t="s">
        <v>2788</v>
      </c>
      <c r="B731" s="155"/>
      <c r="C731" s="31">
        <v>0.05</v>
      </c>
      <c r="D731" s="139">
        <v>0.64</v>
      </c>
      <c r="E731" s="139">
        <v>0.64</v>
      </c>
      <c r="F731" s="52"/>
      <c r="G731" s="10"/>
      <c r="H731" s="10"/>
      <c r="I731" s="10"/>
      <c r="J731" s="10"/>
      <c r="K731" s="10"/>
      <c r="L731" s="143" t="s">
        <v>2787</v>
      </c>
      <c r="M731" s="144"/>
      <c r="N731" s="144"/>
      <c r="O731" s="144"/>
    </row>
    <row r="732">
      <c r="A732" s="138" t="s">
        <v>2789</v>
      </c>
      <c r="B732" s="155"/>
      <c r="C732" s="31">
        <v>0.05</v>
      </c>
      <c r="D732" s="139">
        <v>0.64</v>
      </c>
      <c r="E732" s="139">
        <v>0.64</v>
      </c>
      <c r="F732" s="52"/>
      <c r="G732" s="10"/>
      <c r="H732" s="10"/>
      <c r="I732" s="10"/>
      <c r="J732" s="10"/>
      <c r="K732" s="10"/>
      <c r="L732" s="143" t="s">
        <v>2788</v>
      </c>
      <c r="M732" s="144"/>
      <c r="N732" s="144"/>
      <c r="O732" s="144"/>
    </row>
    <row r="733">
      <c r="A733" s="138" t="s">
        <v>2790</v>
      </c>
      <c r="B733" s="155"/>
      <c r="C733" s="31">
        <v>0.05</v>
      </c>
      <c r="D733" s="139">
        <v>0.64</v>
      </c>
      <c r="E733" s="139">
        <v>0.64</v>
      </c>
      <c r="F733" s="52"/>
      <c r="G733" s="10"/>
      <c r="H733" s="10"/>
      <c r="I733" s="10"/>
      <c r="J733" s="10"/>
      <c r="K733" s="10"/>
      <c r="L733" s="143" t="s">
        <v>2789</v>
      </c>
      <c r="M733" s="144"/>
      <c r="N733" s="144"/>
      <c r="O733" s="144"/>
    </row>
    <row r="734">
      <c r="A734" s="138" t="s">
        <v>2791</v>
      </c>
      <c r="B734" s="155"/>
      <c r="C734" s="31">
        <v>0.05</v>
      </c>
      <c r="D734" s="139">
        <v>0.64</v>
      </c>
      <c r="E734" s="139">
        <v>0.64</v>
      </c>
      <c r="F734" s="52"/>
      <c r="G734" s="10"/>
      <c r="H734" s="10"/>
      <c r="I734" s="10"/>
      <c r="J734" s="10"/>
      <c r="K734" s="10"/>
      <c r="L734" s="143" t="s">
        <v>2790</v>
      </c>
      <c r="M734" s="144"/>
      <c r="N734" s="144"/>
      <c r="O734" s="144"/>
    </row>
    <row r="735">
      <c r="A735" s="138" t="s">
        <v>2792</v>
      </c>
      <c r="B735" s="155"/>
      <c r="C735" s="31">
        <v>0.05</v>
      </c>
      <c r="D735" s="139">
        <v>0.64</v>
      </c>
      <c r="E735" s="139">
        <v>0.64</v>
      </c>
      <c r="F735" s="52"/>
      <c r="G735" s="10"/>
      <c r="H735" s="10"/>
      <c r="I735" s="10"/>
      <c r="J735" s="10"/>
      <c r="K735" s="10"/>
      <c r="L735" s="143" t="s">
        <v>2791</v>
      </c>
      <c r="M735" s="144"/>
      <c r="N735" s="144"/>
      <c r="O735" s="144"/>
    </row>
    <row r="736">
      <c r="A736" s="138" t="s">
        <v>2793</v>
      </c>
      <c r="B736" s="155"/>
      <c r="C736" s="31">
        <v>0.05</v>
      </c>
      <c r="D736" s="139">
        <v>0.64</v>
      </c>
      <c r="E736" s="139">
        <v>0.64</v>
      </c>
      <c r="F736" s="52"/>
      <c r="G736" s="10"/>
      <c r="H736" s="10"/>
      <c r="I736" s="10"/>
      <c r="J736" s="10"/>
      <c r="K736" s="10"/>
      <c r="L736" s="143" t="s">
        <v>2792</v>
      </c>
      <c r="M736" s="144"/>
      <c r="N736" s="144"/>
      <c r="O736" s="144"/>
    </row>
    <row r="737">
      <c r="A737" s="138" t="s">
        <v>2794</v>
      </c>
      <c r="B737" s="155"/>
      <c r="C737" s="31">
        <v>0.05</v>
      </c>
      <c r="D737" s="139">
        <v>0.64</v>
      </c>
      <c r="E737" s="139">
        <v>0.64</v>
      </c>
      <c r="F737" s="52"/>
      <c r="G737" s="10"/>
      <c r="H737" s="10"/>
      <c r="I737" s="10"/>
      <c r="J737" s="10"/>
      <c r="K737" s="10"/>
      <c r="L737" s="143" t="s">
        <v>2793</v>
      </c>
      <c r="M737" s="144"/>
      <c r="N737" s="144"/>
      <c r="O737" s="144"/>
    </row>
    <row r="738">
      <c r="A738" s="138" t="s">
        <v>2795</v>
      </c>
      <c r="B738" s="155"/>
      <c r="C738" s="31">
        <v>0.05</v>
      </c>
      <c r="D738" s="139">
        <v>0.64</v>
      </c>
      <c r="E738" s="139">
        <v>0.64</v>
      </c>
      <c r="F738" s="52"/>
      <c r="G738" s="10"/>
      <c r="H738" s="10"/>
      <c r="I738" s="10"/>
      <c r="J738" s="10"/>
      <c r="K738" s="10"/>
      <c r="L738" s="143" t="s">
        <v>2794</v>
      </c>
      <c r="M738" s="144"/>
      <c r="N738" s="144"/>
      <c r="O738" s="144"/>
    </row>
    <row r="739">
      <c r="A739" s="138" t="s">
        <v>2796</v>
      </c>
      <c r="B739" s="155"/>
      <c r="C739" s="31">
        <v>0.05</v>
      </c>
      <c r="D739" s="139">
        <v>0.64</v>
      </c>
      <c r="E739" s="139">
        <v>0.64</v>
      </c>
      <c r="F739" s="52"/>
      <c r="G739" s="10"/>
      <c r="H739" s="10"/>
      <c r="I739" s="10"/>
      <c r="J739" s="10"/>
      <c r="K739" s="10"/>
      <c r="L739" s="143" t="s">
        <v>2795</v>
      </c>
      <c r="M739" s="144"/>
      <c r="N739" s="144"/>
      <c r="O739" s="144"/>
    </row>
    <row r="740">
      <c r="A740" s="138" t="s">
        <v>2797</v>
      </c>
      <c r="B740" s="155"/>
      <c r="C740" s="31">
        <v>0.05</v>
      </c>
      <c r="D740" s="139">
        <v>0.64</v>
      </c>
      <c r="E740" s="139">
        <v>0.64</v>
      </c>
      <c r="F740" s="52"/>
      <c r="G740" s="10"/>
      <c r="H740" s="10"/>
      <c r="I740" s="10"/>
      <c r="J740" s="10"/>
      <c r="K740" s="10"/>
      <c r="L740" s="143" t="s">
        <v>2796</v>
      </c>
      <c r="M740" s="144"/>
      <c r="N740" s="144"/>
      <c r="O740" s="144"/>
    </row>
    <row r="741">
      <c r="A741" s="138" t="s">
        <v>2798</v>
      </c>
      <c r="B741" s="155"/>
      <c r="C741" s="31">
        <v>0.05</v>
      </c>
      <c r="D741" s="139">
        <v>0.64</v>
      </c>
      <c r="E741" s="139">
        <v>0.64</v>
      </c>
      <c r="F741" s="52"/>
      <c r="G741" s="10"/>
      <c r="H741" s="10"/>
      <c r="I741" s="10"/>
      <c r="J741" s="10"/>
      <c r="K741" s="10"/>
      <c r="L741" s="143" t="s">
        <v>2797</v>
      </c>
      <c r="M741" s="144"/>
      <c r="N741" s="144"/>
      <c r="O741" s="144"/>
    </row>
    <row r="742">
      <c r="A742" s="138" t="s">
        <v>2799</v>
      </c>
      <c r="B742" s="155"/>
      <c r="C742" s="31">
        <v>0.05</v>
      </c>
      <c r="D742" s="139">
        <v>0.64</v>
      </c>
      <c r="E742" s="139">
        <v>0.64</v>
      </c>
      <c r="F742" s="52"/>
      <c r="G742" s="10"/>
      <c r="H742" s="10"/>
      <c r="I742" s="10"/>
      <c r="J742" s="10"/>
      <c r="K742" s="10"/>
      <c r="L742" s="143" t="s">
        <v>2798</v>
      </c>
      <c r="M742" s="144"/>
      <c r="N742" s="144"/>
      <c r="O742" s="144"/>
    </row>
    <row r="743">
      <c r="A743" s="138" t="s">
        <v>2800</v>
      </c>
      <c r="B743" s="155"/>
      <c r="C743" s="31">
        <v>0.05</v>
      </c>
      <c r="D743" s="139">
        <v>0.64</v>
      </c>
      <c r="E743" s="139">
        <v>0.64</v>
      </c>
      <c r="F743" s="52"/>
      <c r="G743" s="10"/>
      <c r="H743" s="10"/>
      <c r="I743" s="10"/>
      <c r="J743" s="10"/>
      <c r="K743" s="10"/>
      <c r="L743" s="143" t="s">
        <v>2799</v>
      </c>
      <c r="M743" s="144"/>
      <c r="N743" s="144"/>
      <c r="O743" s="144"/>
    </row>
    <row r="744">
      <c r="A744" s="138" t="s">
        <v>2801</v>
      </c>
      <c r="B744" s="155"/>
      <c r="C744" s="31">
        <v>0.05</v>
      </c>
      <c r="D744" s="139">
        <v>0.64</v>
      </c>
      <c r="E744" s="139">
        <v>0.64</v>
      </c>
      <c r="F744" s="52"/>
      <c r="G744" s="10"/>
      <c r="H744" s="10"/>
      <c r="I744" s="10"/>
      <c r="J744" s="10"/>
      <c r="K744" s="10"/>
      <c r="L744" s="143" t="s">
        <v>2800</v>
      </c>
      <c r="M744" s="144"/>
      <c r="N744" s="144"/>
      <c r="O744" s="144"/>
    </row>
    <row r="745">
      <c r="A745" s="138" t="s">
        <v>2802</v>
      </c>
      <c r="B745" s="155"/>
      <c r="C745" s="31">
        <v>0.05</v>
      </c>
      <c r="D745" s="139">
        <v>0.64</v>
      </c>
      <c r="E745" s="139">
        <v>0.64</v>
      </c>
      <c r="F745" s="52"/>
      <c r="G745" s="10"/>
      <c r="H745" s="10"/>
      <c r="I745" s="10"/>
      <c r="J745" s="10"/>
      <c r="K745" s="10"/>
      <c r="L745" s="143" t="s">
        <v>2801</v>
      </c>
      <c r="M745" s="144"/>
      <c r="N745" s="144"/>
      <c r="O745" s="144"/>
    </row>
    <row r="746">
      <c r="A746" s="138" t="s">
        <v>2803</v>
      </c>
      <c r="B746" s="155"/>
      <c r="C746" s="31">
        <v>0.05</v>
      </c>
      <c r="D746" s="139">
        <v>0.64</v>
      </c>
      <c r="E746" s="139">
        <v>0.64</v>
      </c>
      <c r="F746" s="52"/>
      <c r="G746" s="10"/>
      <c r="H746" s="10"/>
      <c r="I746" s="10"/>
      <c r="J746" s="10"/>
      <c r="K746" s="10"/>
      <c r="L746" s="143" t="s">
        <v>2802</v>
      </c>
      <c r="M746" s="144"/>
      <c r="N746" s="144"/>
      <c r="O746" s="144"/>
    </row>
    <row r="747">
      <c r="A747" s="138" t="s">
        <v>2804</v>
      </c>
      <c r="B747" s="155"/>
      <c r="C747" s="31">
        <v>0.05</v>
      </c>
      <c r="D747" s="139">
        <v>0.64</v>
      </c>
      <c r="E747" s="139">
        <v>0.64</v>
      </c>
      <c r="F747" s="52"/>
      <c r="G747" s="10"/>
      <c r="H747" s="10"/>
      <c r="I747" s="10"/>
      <c r="J747" s="10"/>
      <c r="K747" s="10"/>
      <c r="L747" s="143" t="s">
        <v>2803</v>
      </c>
      <c r="M747" s="144"/>
      <c r="N747" s="144"/>
      <c r="O747" s="144"/>
    </row>
    <row r="748">
      <c r="A748" s="138" t="s">
        <v>2805</v>
      </c>
      <c r="B748" s="155"/>
      <c r="C748" s="31">
        <v>0.05</v>
      </c>
      <c r="D748" s="139">
        <v>0.64</v>
      </c>
      <c r="E748" s="139">
        <v>0.64</v>
      </c>
      <c r="F748" s="52"/>
      <c r="G748" s="10"/>
      <c r="H748" s="10"/>
      <c r="I748" s="10"/>
      <c r="J748" s="10"/>
      <c r="K748" s="10"/>
      <c r="L748" s="143" t="s">
        <v>2804</v>
      </c>
      <c r="M748" s="144"/>
      <c r="N748" s="144"/>
      <c r="O748" s="144"/>
    </row>
    <row r="749">
      <c r="A749" s="138" t="s">
        <v>2806</v>
      </c>
      <c r="B749" s="155"/>
      <c r="C749" s="31">
        <v>0.05</v>
      </c>
      <c r="D749" s="139">
        <v>0.64</v>
      </c>
      <c r="E749" s="139">
        <v>0.64</v>
      </c>
      <c r="F749" s="52"/>
      <c r="G749" s="10"/>
      <c r="H749" s="10"/>
      <c r="I749" s="10"/>
      <c r="J749" s="10"/>
      <c r="K749" s="10"/>
      <c r="L749" s="143" t="s">
        <v>2805</v>
      </c>
      <c r="M749" s="144"/>
      <c r="N749" s="144"/>
      <c r="O749" s="144"/>
    </row>
    <row r="750">
      <c r="A750" s="138" t="s">
        <v>2807</v>
      </c>
      <c r="B750" s="155"/>
      <c r="C750" s="31">
        <v>0.05</v>
      </c>
      <c r="D750" s="139">
        <v>0.64</v>
      </c>
      <c r="E750" s="139">
        <v>0.64</v>
      </c>
      <c r="F750" s="52"/>
      <c r="G750" s="10"/>
      <c r="H750" s="10"/>
      <c r="I750" s="10"/>
      <c r="J750" s="10"/>
      <c r="K750" s="10"/>
      <c r="L750" s="143" t="s">
        <v>2806</v>
      </c>
      <c r="M750" s="144"/>
      <c r="N750" s="144"/>
      <c r="O750" s="144"/>
    </row>
    <row r="751">
      <c r="A751" s="138" t="s">
        <v>2808</v>
      </c>
      <c r="B751" s="155"/>
      <c r="C751" s="31">
        <v>0.05</v>
      </c>
      <c r="D751" s="139">
        <v>0.64</v>
      </c>
      <c r="E751" s="139">
        <v>0.64</v>
      </c>
      <c r="F751" s="52"/>
      <c r="G751" s="10"/>
      <c r="H751" s="10"/>
      <c r="I751" s="10"/>
      <c r="J751" s="10"/>
      <c r="K751" s="10"/>
      <c r="L751" s="143" t="s">
        <v>2807</v>
      </c>
      <c r="M751" s="144"/>
      <c r="N751" s="144"/>
      <c r="O751" s="144"/>
    </row>
    <row r="752">
      <c r="A752" s="138" t="s">
        <v>2809</v>
      </c>
      <c r="B752" s="155"/>
      <c r="C752" s="31">
        <v>0.05</v>
      </c>
      <c r="D752" s="139">
        <v>0.64</v>
      </c>
      <c r="E752" s="139">
        <v>0.64</v>
      </c>
      <c r="F752" s="52"/>
      <c r="G752" s="10"/>
      <c r="H752" s="10"/>
      <c r="I752" s="10"/>
      <c r="J752" s="10"/>
      <c r="K752" s="10"/>
      <c r="L752" s="143" t="s">
        <v>2808</v>
      </c>
      <c r="M752" s="144"/>
      <c r="N752" s="144"/>
      <c r="O752" s="144"/>
    </row>
    <row r="753">
      <c r="A753" s="138" t="s">
        <v>2810</v>
      </c>
      <c r="B753" s="155"/>
      <c r="C753" s="31">
        <v>0.05</v>
      </c>
      <c r="D753" s="139">
        <v>0.64</v>
      </c>
      <c r="E753" s="139">
        <v>0.64</v>
      </c>
      <c r="F753" s="52"/>
      <c r="G753" s="10"/>
      <c r="H753" s="10"/>
      <c r="I753" s="10"/>
      <c r="J753" s="10"/>
      <c r="K753" s="10"/>
      <c r="L753" s="143" t="s">
        <v>2809</v>
      </c>
      <c r="M753" s="144"/>
      <c r="N753" s="144"/>
      <c r="O753" s="144"/>
    </row>
    <row r="754">
      <c r="A754" s="138" t="s">
        <v>2811</v>
      </c>
      <c r="B754" s="155"/>
      <c r="C754" s="31">
        <v>0.05</v>
      </c>
      <c r="D754" s="139">
        <v>0.64</v>
      </c>
      <c r="E754" s="139">
        <v>0.64</v>
      </c>
      <c r="F754" s="52"/>
      <c r="G754" s="10"/>
      <c r="H754" s="10"/>
      <c r="I754" s="10"/>
      <c r="J754" s="10"/>
      <c r="K754" s="10"/>
      <c r="L754" s="143" t="s">
        <v>2810</v>
      </c>
      <c r="M754" s="144"/>
      <c r="N754" s="144"/>
      <c r="O754" s="144"/>
    </row>
    <row r="755">
      <c r="A755" s="138" t="s">
        <v>2812</v>
      </c>
      <c r="B755" s="155"/>
      <c r="C755" s="31">
        <v>0.05</v>
      </c>
      <c r="D755" s="139">
        <v>0.64</v>
      </c>
      <c r="E755" s="139">
        <v>0.64</v>
      </c>
      <c r="F755" s="52"/>
      <c r="G755" s="10"/>
      <c r="H755" s="10"/>
      <c r="I755" s="10"/>
      <c r="J755" s="10"/>
      <c r="K755" s="10"/>
      <c r="L755" s="143" t="s">
        <v>2811</v>
      </c>
      <c r="M755" s="144"/>
      <c r="N755" s="144"/>
      <c r="O755" s="144"/>
    </row>
    <row r="756">
      <c r="A756" s="138" t="s">
        <v>2813</v>
      </c>
      <c r="B756" s="155"/>
      <c r="C756" s="31">
        <v>0.05</v>
      </c>
      <c r="D756" s="139">
        <v>0.64</v>
      </c>
      <c r="E756" s="139">
        <v>0.64</v>
      </c>
      <c r="F756" s="52"/>
      <c r="G756" s="10"/>
      <c r="H756" s="10"/>
      <c r="I756" s="10"/>
      <c r="J756" s="10"/>
      <c r="K756" s="10"/>
      <c r="L756" s="143" t="s">
        <v>2812</v>
      </c>
      <c r="M756" s="144"/>
      <c r="N756" s="144"/>
      <c r="O756" s="144"/>
    </row>
    <row r="757">
      <c r="A757" s="138" t="s">
        <v>2814</v>
      </c>
      <c r="B757" s="155"/>
      <c r="C757" s="31">
        <v>0.05</v>
      </c>
      <c r="D757" s="139">
        <v>0.64</v>
      </c>
      <c r="E757" s="139">
        <v>0.64</v>
      </c>
      <c r="F757" s="52"/>
      <c r="G757" s="10"/>
      <c r="H757" s="10"/>
      <c r="I757" s="10"/>
      <c r="J757" s="10"/>
      <c r="K757" s="10"/>
      <c r="L757" s="143" t="s">
        <v>2813</v>
      </c>
      <c r="M757" s="144"/>
      <c r="N757" s="144"/>
      <c r="O757" s="144"/>
    </row>
    <row r="758">
      <c r="A758" s="138" t="s">
        <v>2815</v>
      </c>
      <c r="B758" s="155"/>
      <c r="C758" s="31">
        <v>0.05</v>
      </c>
      <c r="D758" s="139">
        <v>0.64</v>
      </c>
      <c r="E758" s="139">
        <v>0.64</v>
      </c>
      <c r="F758" s="52"/>
      <c r="G758" s="10"/>
      <c r="H758" s="10"/>
      <c r="I758" s="10"/>
      <c r="J758" s="10"/>
      <c r="K758" s="10"/>
      <c r="L758" s="143" t="s">
        <v>2814</v>
      </c>
      <c r="M758" s="144"/>
      <c r="N758" s="144"/>
      <c r="O758" s="144"/>
    </row>
    <row r="759">
      <c r="A759" s="138" t="s">
        <v>2816</v>
      </c>
      <c r="B759" s="155"/>
      <c r="C759" s="31">
        <v>0.05</v>
      </c>
      <c r="D759" s="139">
        <v>0.64</v>
      </c>
      <c r="E759" s="139">
        <v>0.64</v>
      </c>
      <c r="F759" s="52"/>
      <c r="G759" s="10"/>
      <c r="H759" s="10"/>
      <c r="I759" s="10"/>
      <c r="J759" s="10"/>
      <c r="K759" s="10"/>
      <c r="L759" s="143" t="s">
        <v>2815</v>
      </c>
      <c r="M759" s="144"/>
      <c r="N759" s="144"/>
      <c r="O759" s="144"/>
    </row>
    <row r="760">
      <c r="A760" s="138" t="s">
        <v>2817</v>
      </c>
      <c r="B760" s="155"/>
      <c r="C760" s="31">
        <v>0.05</v>
      </c>
      <c r="D760" s="139">
        <v>0.64</v>
      </c>
      <c r="E760" s="139">
        <v>0.64</v>
      </c>
      <c r="F760" s="52"/>
      <c r="G760" s="10"/>
      <c r="H760" s="10"/>
      <c r="I760" s="10"/>
      <c r="J760" s="10"/>
      <c r="K760" s="10"/>
      <c r="L760" s="143" t="s">
        <v>2816</v>
      </c>
      <c r="M760" s="144"/>
      <c r="N760" s="144"/>
      <c r="O760" s="144"/>
    </row>
    <row r="761">
      <c r="A761" s="138" t="s">
        <v>2818</v>
      </c>
      <c r="B761" s="155"/>
      <c r="C761" s="31">
        <v>0.05</v>
      </c>
      <c r="D761" s="139">
        <v>0.64</v>
      </c>
      <c r="E761" s="139">
        <v>0.64</v>
      </c>
      <c r="F761" s="52"/>
      <c r="G761" s="10"/>
      <c r="H761" s="10"/>
      <c r="I761" s="10"/>
      <c r="J761" s="10"/>
      <c r="K761" s="10"/>
      <c r="L761" s="143" t="s">
        <v>2817</v>
      </c>
      <c r="M761" s="144"/>
      <c r="N761" s="144"/>
      <c r="O761" s="144"/>
    </row>
    <row r="762">
      <c r="A762" s="138" t="s">
        <v>2819</v>
      </c>
      <c r="B762" s="155"/>
      <c r="C762" s="31">
        <v>0.05</v>
      </c>
      <c r="D762" s="139">
        <v>0.64</v>
      </c>
      <c r="E762" s="139">
        <v>0.64</v>
      </c>
      <c r="F762" s="52"/>
      <c r="G762" s="10"/>
      <c r="H762" s="10"/>
      <c r="I762" s="10"/>
      <c r="J762" s="10"/>
      <c r="K762" s="10"/>
      <c r="L762" s="143" t="s">
        <v>2818</v>
      </c>
      <c r="M762" s="144"/>
      <c r="N762" s="144"/>
      <c r="O762" s="144"/>
    </row>
    <row r="763">
      <c r="A763" s="138" t="s">
        <v>2820</v>
      </c>
      <c r="B763" s="155"/>
      <c r="C763" s="31">
        <v>0.05</v>
      </c>
      <c r="D763" s="139">
        <v>0.64</v>
      </c>
      <c r="E763" s="139">
        <v>0.64</v>
      </c>
      <c r="F763" s="52"/>
      <c r="G763" s="10"/>
      <c r="H763" s="10"/>
      <c r="I763" s="10"/>
      <c r="J763" s="10"/>
      <c r="K763" s="10"/>
      <c r="L763" s="143" t="s">
        <v>2819</v>
      </c>
      <c r="M763" s="144"/>
      <c r="N763" s="144"/>
      <c r="O763" s="144"/>
    </row>
    <row r="764">
      <c r="A764" s="138" t="s">
        <v>2821</v>
      </c>
      <c r="B764" s="155"/>
      <c r="C764" s="31">
        <v>0.05</v>
      </c>
      <c r="D764" s="139">
        <v>0.64</v>
      </c>
      <c r="E764" s="139">
        <v>0.64</v>
      </c>
      <c r="F764" s="52"/>
      <c r="G764" s="10"/>
      <c r="H764" s="10"/>
      <c r="I764" s="10"/>
      <c r="J764" s="10"/>
      <c r="K764" s="10"/>
      <c r="L764" s="143" t="s">
        <v>2820</v>
      </c>
      <c r="M764" s="144"/>
      <c r="N764" s="144"/>
      <c r="O764" s="144"/>
    </row>
    <row r="765">
      <c r="A765" s="138" t="s">
        <v>2822</v>
      </c>
      <c r="B765" s="155"/>
      <c r="C765" s="31">
        <v>0.05</v>
      </c>
      <c r="D765" s="139">
        <v>0.64</v>
      </c>
      <c r="E765" s="139">
        <v>0.64</v>
      </c>
      <c r="F765" s="52"/>
      <c r="G765" s="10"/>
      <c r="H765" s="10"/>
      <c r="I765" s="10"/>
      <c r="J765" s="10"/>
      <c r="K765" s="10"/>
      <c r="L765" s="143" t="s">
        <v>2821</v>
      </c>
      <c r="M765" s="144"/>
      <c r="N765" s="144"/>
      <c r="O765" s="144"/>
    </row>
    <row r="766">
      <c r="A766" s="138" t="s">
        <v>2823</v>
      </c>
      <c r="B766" s="155"/>
      <c r="C766" s="31">
        <v>0.05</v>
      </c>
      <c r="D766" s="139">
        <v>0.64</v>
      </c>
      <c r="E766" s="139">
        <v>0.64</v>
      </c>
      <c r="F766" s="52"/>
      <c r="G766" s="10"/>
      <c r="H766" s="10"/>
      <c r="I766" s="10"/>
      <c r="J766" s="10"/>
      <c r="K766" s="10"/>
      <c r="L766" s="143" t="s">
        <v>2822</v>
      </c>
      <c r="M766" s="144"/>
      <c r="N766" s="144"/>
      <c r="O766" s="144"/>
    </row>
    <row r="767">
      <c r="A767" s="138" t="s">
        <v>2824</v>
      </c>
      <c r="B767" s="155"/>
      <c r="C767" s="31">
        <v>0.05</v>
      </c>
      <c r="D767" s="139">
        <v>0.64</v>
      </c>
      <c r="E767" s="139">
        <v>0.64</v>
      </c>
      <c r="F767" s="52"/>
      <c r="G767" s="10"/>
      <c r="H767" s="10"/>
      <c r="I767" s="10"/>
      <c r="J767" s="10"/>
      <c r="K767" s="10"/>
      <c r="L767" s="143" t="s">
        <v>2823</v>
      </c>
      <c r="M767" s="144"/>
      <c r="N767" s="144"/>
      <c r="O767" s="144"/>
    </row>
    <row r="768">
      <c r="A768" s="138" t="s">
        <v>2825</v>
      </c>
      <c r="B768" s="155"/>
      <c r="C768" s="31">
        <v>0.05</v>
      </c>
      <c r="D768" s="139">
        <v>0.64</v>
      </c>
      <c r="E768" s="139">
        <v>0.64</v>
      </c>
      <c r="F768" s="52"/>
      <c r="G768" s="10"/>
      <c r="H768" s="10"/>
      <c r="I768" s="10"/>
      <c r="J768" s="10"/>
      <c r="K768" s="10"/>
      <c r="L768" s="143" t="s">
        <v>2824</v>
      </c>
      <c r="M768" s="144"/>
      <c r="N768" s="144"/>
      <c r="O768" s="144"/>
    </row>
    <row r="769">
      <c r="A769" s="138" t="s">
        <v>2826</v>
      </c>
      <c r="B769" s="155"/>
      <c r="C769" s="31">
        <v>0.05</v>
      </c>
      <c r="D769" s="139">
        <v>0.64</v>
      </c>
      <c r="E769" s="139">
        <v>0.64</v>
      </c>
      <c r="F769" s="52"/>
      <c r="G769" s="10"/>
      <c r="H769" s="10"/>
      <c r="I769" s="10"/>
      <c r="J769" s="10"/>
      <c r="K769" s="10"/>
      <c r="L769" s="143" t="s">
        <v>2825</v>
      </c>
      <c r="M769" s="144"/>
      <c r="N769" s="144"/>
      <c r="O769" s="144"/>
    </row>
    <row r="770">
      <c r="A770" s="138" t="s">
        <v>2827</v>
      </c>
      <c r="B770" s="155"/>
      <c r="C770" s="31">
        <v>0.05</v>
      </c>
      <c r="D770" s="139">
        <v>0.64</v>
      </c>
      <c r="E770" s="139">
        <v>0.64</v>
      </c>
      <c r="F770" s="52"/>
      <c r="G770" s="10"/>
      <c r="H770" s="10"/>
      <c r="I770" s="10"/>
      <c r="J770" s="10"/>
      <c r="K770" s="10"/>
      <c r="L770" s="143" t="s">
        <v>2826</v>
      </c>
      <c r="M770" s="144"/>
      <c r="N770" s="144"/>
      <c r="O770" s="144"/>
    </row>
    <row r="771">
      <c r="A771" s="138" t="s">
        <v>2828</v>
      </c>
      <c r="B771" s="155"/>
      <c r="C771" s="31">
        <v>0.05</v>
      </c>
      <c r="D771" s="139">
        <v>0.64</v>
      </c>
      <c r="E771" s="139">
        <v>0.64</v>
      </c>
      <c r="F771" s="52"/>
      <c r="G771" s="10"/>
      <c r="H771" s="10"/>
      <c r="I771" s="10"/>
      <c r="J771" s="10"/>
      <c r="K771" s="10"/>
      <c r="L771" s="143" t="s">
        <v>2827</v>
      </c>
      <c r="M771" s="144"/>
      <c r="N771" s="144"/>
      <c r="O771" s="144"/>
    </row>
    <row r="772">
      <c r="A772" s="138" t="s">
        <v>2829</v>
      </c>
      <c r="B772" s="155"/>
      <c r="C772" s="31">
        <v>0.05</v>
      </c>
      <c r="D772" s="139">
        <v>0.64</v>
      </c>
      <c r="E772" s="139">
        <v>0.64</v>
      </c>
      <c r="F772" s="52"/>
      <c r="G772" s="10"/>
      <c r="H772" s="10"/>
      <c r="I772" s="10"/>
      <c r="J772" s="10"/>
      <c r="K772" s="10"/>
      <c r="L772" s="143" t="s">
        <v>2828</v>
      </c>
      <c r="M772" s="144"/>
      <c r="N772" s="144"/>
      <c r="O772" s="144"/>
    </row>
    <row r="773">
      <c r="A773" s="138" t="s">
        <v>2830</v>
      </c>
      <c r="B773" s="155"/>
      <c r="C773" s="31">
        <v>0.05</v>
      </c>
      <c r="D773" s="139">
        <v>0.64</v>
      </c>
      <c r="E773" s="139">
        <v>0.64</v>
      </c>
      <c r="F773" s="52"/>
      <c r="G773" s="10"/>
      <c r="H773" s="10"/>
      <c r="I773" s="10"/>
      <c r="J773" s="10"/>
      <c r="K773" s="10"/>
      <c r="L773" s="143" t="s">
        <v>2829</v>
      </c>
      <c r="M773" s="144"/>
      <c r="N773" s="144"/>
      <c r="O773" s="144"/>
    </row>
    <row r="774">
      <c r="A774" s="138" t="s">
        <v>2831</v>
      </c>
      <c r="B774" s="155"/>
      <c r="C774" s="31">
        <v>0.05</v>
      </c>
      <c r="D774" s="139">
        <v>0.64</v>
      </c>
      <c r="E774" s="139">
        <v>0.64</v>
      </c>
      <c r="F774" s="52"/>
      <c r="G774" s="10"/>
      <c r="H774" s="10"/>
      <c r="I774" s="10"/>
      <c r="J774" s="10"/>
      <c r="K774" s="10"/>
      <c r="L774" s="143" t="s">
        <v>2830</v>
      </c>
      <c r="M774" s="144"/>
      <c r="N774" s="144"/>
      <c r="O774" s="144"/>
    </row>
    <row r="775">
      <c r="A775" s="138" t="s">
        <v>2832</v>
      </c>
      <c r="B775" s="155"/>
      <c r="C775" s="31">
        <v>0.05</v>
      </c>
      <c r="D775" s="139">
        <v>0.64</v>
      </c>
      <c r="E775" s="139">
        <v>0.64</v>
      </c>
      <c r="F775" s="52"/>
      <c r="G775" s="10"/>
      <c r="H775" s="10"/>
      <c r="I775" s="10"/>
      <c r="J775" s="10"/>
      <c r="K775" s="10"/>
      <c r="L775" s="143" t="s">
        <v>2831</v>
      </c>
      <c r="M775" s="144"/>
      <c r="N775" s="144"/>
      <c r="O775" s="144"/>
    </row>
    <row r="776">
      <c r="A776" s="138" t="s">
        <v>2833</v>
      </c>
      <c r="B776" s="155"/>
      <c r="C776" s="31">
        <v>0.05</v>
      </c>
      <c r="D776" s="139">
        <v>0.64</v>
      </c>
      <c r="E776" s="139">
        <v>0.64</v>
      </c>
      <c r="F776" s="52"/>
      <c r="G776" s="10"/>
      <c r="H776" s="10"/>
      <c r="I776" s="10"/>
      <c r="J776" s="10"/>
      <c r="K776" s="10"/>
      <c r="L776" s="143" t="s">
        <v>2832</v>
      </c>
      <c r="M776" s="144"/>
      <c r="N776" s="144"/>
      <c r="O776" s="144"/>
    </row>
    <row r="777">
      <c r="A777" s="138" t="s">
        <v>2834</v>
      </c>
      <c r="B777" s="155"/>
      <c r="C777" s="31">
        <v>0.05</v>
      </c>
      <c r="D777" s="139">
        <v>0.64</v>
      </c>
      <c r="E777" s="139">
        <v>0.64</v>
      </c>
      <c r="F777" s="52"/>
      <c r="G777" s="10"/>
      <c r="H777" s="10"/>
      <c r="I777" s="10"/>
      <c r="J777" s="10"/>
      <c r="K777" s="10"/>
      <c r="L777" s="143" t="s">
        <v>2833</v>
      </c>
      <c r="M777" s="144"/>
      <c r="N777" s="144"/>
      <c r="O777" s="144"/>
    </row>
    <row r="778">
      <c r="A778" s="138" t="s">
        <v>2835</v>
      </c>
      <c r="B778" s="155"/>
      <c r="C778" s="31">
        <v>0.05</v>
      </c>
      <c r="D778" s="139">
        <v>0.64</v>
      </c>
      <c r="E778" s="139">
        <v>0.64</v>
      </c>
      <c r="F778" s="52"/>
      <c r="G778" s="10"/>
      <c r="H778" s="10"/>
      <c r="I778" s="10"/>
      <c r="J778" s="10"/>
      <c r="K778" s="10"/>
      <c r="L778" s="143" t="s">
        <v>2834</v>
      </c>
      <c r="M778" s="144"/>
      <c r="N778" s="144"/>
      <c r="O778" s="144"/>
    </row>
    <row r="779">
      <c r="A779" s="138" t="s">
        <v>2836</v>
      </c>
      <c r="B779" s="155"/>
      <c r="C779" s="31">
        <v>0.05</v>
      </c>
      <c r="D779" s="139">
        <v>0.64</v>
      </c>
      <c r="E779" s="139">
        <v>0.64</v>
      </c>
      <c r="F779" s="52"/>
      <c r="G779" s="10"/>
      <c r="H779" s="10"/>
      <c r="I779" s="10"/>
      <c r="J779" s="10"/>
      <c r="K779" s="10"/>
      <c r="L779" s="143" t="s">
        <v>2835</v>
      </c>
      <c r="M779" s="144"/>
      <c r="N779" s="144"/>
      <c r="O779" s="144"/>
    </row>
    <row r="780">
      <c r="A780" s="138" t="s">
        <v>2837</v>
      </c>
      <c r="B780" s="155"/>
      <c r="C780" s="31">
        <v>0.05</v>
      </c>
      <c r="D780" s="139">
        <v>0.64</v>
      </c>
      <c r="E780" s="139">
        <v>0.64</v>
      </c>
      <c r="F780" s="52"/>
      <c r="G780" s="10"/>
      <c r="H780" s="10"/>
      <c r="I780" s="10"/>
      <c r="J780" s="10"/>
      <c r="K780" s="10"/>
      <c r="L780" s="143" t="s">
        <v>2836</v>
      </c>
      <c r="M780" s="144"/>
      <c r="N780" s="144"/>
      <c r="O780" s="144"/>
    </row>
    <row r="781">
      <c r="A781" s="138" t="s">
        <v>2838</v>
      </c>
      <c r="B781" s="155"/>
      <c r="C781" s="31">
        <v>0.05</v>
      </c>
      <c r="D781" s="139">
        <v>0.64</v>
      </c>
      <c r="E781" s="139">
        <v>0.64</v>
      </c>
      <c r="F781" s="52"/>
      <c r="G781" s="10"/>
      <c r="H781" s="10"/>
      <c r="I781" s="10"/>
      <c r="J781" s="10"/>
      <c r="K781" s="10"/>
      <c r="L781" s="143" t="s">
        <v>2837</v>
      </c>
      <c r="M781" s="144"/>
      <c r="N781" s="144"/>
      <c r="O781" s="144"/>
    </row>
    <row r="782">
      <c r="A782" s="138" t="s">
        <v>2839</v>
      </c>
      <c r="B782" s="155"/>
      <c r="C782" s="31">
        <v>0.05</v>
      </c>
      <c r="D782" s="139">
        <v>0.64</v>
      </c>
      <c r="E782" s="139">
        <v>0.64</v>
      </c>
      <c r="F782" s="52"/>
      <c r="G782" s="10"/>
      <c r="H782" s="10"/>
      <c r="I782" s="10"/>
      <c r="J782" s="10"/>
      <c r="K782" s="10"/>
      <c r="L782" s="143" t="s">
        <v>2838</v>
      </c>
      <c r="M782" s="144"/>
      <c r="N782" s="144"/>
      <c r="O782" s="144"/>
    </row>
    <row r="783">
      <c r="A783" s="138" t="s">
        <v>2840</v>
      </c>
      <c r="B783" s="155"/>
      <c r="C783" s="31">
        <v>0.05</v>
      </c>
      <c r="D783" s="139">
        <v>0.64</v>
      </c>
      <c r="E783" s="139">
        <v>0.64</v>
      </c>
      <c r="F783" s="52"/>
      <c r="G783" s="10"/>
      <c r="H783" s="10"/>
      <c r="I783" s="10"/>
      <c r="J783" s="10"/>
      <c r="K783" s="10"/>
      <c r="L783" s="143" t="s">
        <v>2839</v>
      </c>
      <c r="M783" s="144"/>
      <c r="N783" s="144"/>
      <c r="O783" s="144"/>
    </row>
    <row r="784">
      <c r="A784" s="138" t="s">
        <v>2841</v>
      </c>
      <c r="B784" s="134">
        <v>6530.0</v>
      </c>
      <c r="C784" s="31">
        <v>0.05</v>
      </c>
      <c r="D784" s="139">
        <v>0.64</v>
      </c>
      <c r="E784" s="139">
        <v>0.64</v>
      </c>
      <c r="F784" s="52"/>
      <c r="G784" s="10"/>
      <c r="H784" s="10"/>
      <c r="I784" s="10"/>
      <c r="J784" s="10"/>
      <c r="K784" s="10"/>
      <c r="L784" s="143" t="s">
        <v>2840</v>
      </c>
      <c r="M784" s="144"/>
      <c r="N784" s="144"/>
      <c r="O784" s="144"/>
    </row>
    <row r="785">
      <c r="A785" s="138" t="s">
        <v>2842</v>
      </c>
      <c r="B785" s="134">
        <v>6530.0</v>
      </c>
      <c r="C785" s="31">
        <v>0.05</v>
      </c>
      <c r="D785" s="139">
        <v>0.64</v>
      </c>
      <c r="E785" s="139">
        <v>0.64</v>
      </c>
      <c r="F785" s="52"/>
      <c r="G785" s="10"/>
      <c r="H785" s="10"/>
      <c r="I785" s="10"/>
      <c r="J785" s="10"/>
      <c r="K785" s="10"/>
      <c r="L785" s="143" t="s">
        <v>2841</v>
      </c>
      <c r="M785" s="144">
        <v>6530.0</v>
      </c>
      <c r="N785" s="144"/>
      <c r="O785" s="144"/>
    </row>
    <row r="786">
      <c r="A786" s="138" t="s">
        <v>2843</v>
      </c>
      <c r="B786" s="155"/>
      <c r="C786" s="31">
        <v>0.05</v>
      </c>
      <c r="D786" s="139">
        <v>0.64</v>
      </c>
      <c r="E786" s="139">
        <v>0.64</v>
      </c>
      <c r="F786" s="52"/>
      <c r="G786" s="10"/>
      <c r="H786" s="10"/>
      <c r="I786" s="10"/>
      <c r="J786" s="10"/>
      <c r="K786" s="10"/>
      <c r="L786" s="143" t="s">
        <v>2842</v>
      </c>
      <c r="M786" s="144">
        <v>6530.0</v>
      </c>
      <c r="N786" s="144"/>
      <c r="O786" s="144"/>
    </row>
    <row r="787">
      <c r="A787" s="138" t="s">
        <v>2844</v>
      </c>
      <c r="B787" s="155"/>
      <c r="C787" s="31">
        <v>0.05</v>
      </c>
      <c r="D787" s="139">
        <v>0.64</v>
      </c>
      <c r="E787" s="139">
        <v>0.64</v>
      </c>
      <c r="F787" s="52"/>
      <c r="G787" s="10"/>
      <c r="H787" s="10"/>
      <c r="I787" s="10"/>
      <c r="J787" s="10"/>
      <c r="K787" s="10"/>
      <c r="L787" s="143" t="s">
        <v>2843</v>
      </c>
      <c r="M787" s="144"/>
      <c r="N787" s="144"/>
      <c r="O787" s="144"/>
    </row>
    <row r="788">
      <c r="A788" s="138" t="s">
        <v>2845</v>
      </c>
      <c r="B788" s="155"/>
      <c r="C788" s="31">
        <v>0.05</v>
      </c>
      <c r="D788" s="139">
        <v>0.64</v>
      </c>
      <c r="E788" s="139">
        <v>0.64</v>
      </c>
      <c r="F788" s="52"/>
      <c r="G788" s="10"/>
      <c r="H788" s="10"/>
      <c r="I788" s="10"/>
      <c r="J788" s="10"/>
      <c r="K788" s="10"/>
      <c r="L788" s="143" t="s">
        <v>2844</v>
      </c>
      <c r="M788" s="144"/>
      <c r="N788" s="144"/>
      <c r="O788" s="144"/>
    </row>
    <row r="789">
      <c r="A789" s="138" t="s">
        <v>2846</v>
      </c>
      <c r="B789" s="134">
        <v>6530.0</v>
      </c>
      <c r="C789" s="31">
        <v>0.05</v>
      </c>
      <c r="D789" s="139">
        <v>0.64</v>
      </c>
      <c r="E789" s="139">
        <v>0.64</v>
      </c>
      <c r="F789" s="52"/>
      <c r="G789" s="10"/>
      <c r="H789" s="10"/>
      <c r="I789" s="10"/>
      <c r="J789" s="10"/>
      <c r="K789" s="10"/>
      <c r="L789" s="143" t="s">
        <v>2845</v>
      </c>
      <c r="M789" s="144"/>
      <c r="N789" s="144"/>
      <c r="O789" s="144"/>
    </row>
    <row r="790">
      <c r="A790" s="138" t="s">
        <v>2847</v>
      </c>
      <c r="B790" s="134">
        <v>6751.0</v>
      </c>
      <c r="C790" s="31">
        <v>0.05</v>
      </c>
      <c r="D790" s="139">
        <v>0.64</v>
      </c>
      <c r="E790" s="139">
        <v>0.64</v>
      </c>
      <c r="F790" s="52"/>
      <c r="G790" s="10"/>
      <c r="H790" s="10"/>
      <c r="I790" s="10"/>
      <c r="J790" s="10"/>
      <c r="K790" s="10"/>
      <c r="L790" s="143" t="s">
        <v>2846</v>
      </c>
      <c r="M790" s="144">
        <v>6530.0</v>
      </c>
      <c r="N790" s="144"/>
      <c r="O790" s="144"/>
    </row>
    <row r="791">
      <c r="A791" s="138" t="s">
        <v>2848</v>
      </c>
      <c r="B791" s="155"/>
      <c r="C791" s="31">
        <v>0.05</v>
      </c>
      <c r="D791" s="139">
        <v>0.64</v>
      </c>
      <c r="E791" s="139">
        <v>0.64</v>
      </c>
      <c r="F791" s="52"/>
      <c r="G791" s="10"/>
      <c r="H791" s="10"/>
      <c r="I791" s="10"/>
      <c r="J791" s="10"/>
      <c r="K791" s="10"/>
      <c r="L791" s="143" t="s">
        <v>2847</v>
      </c>
      <c r="M791" s="144">
        <v>6751.0</v>
      </c>
      <c r="N791" s="144"/>
      <c r="O791" s="144"/>
    </row>
    <row r="792">
      <c r="A792" s="138" t="s">
        <v>2849</v>
      </c>
      <c r="B792" s="155"/>
      <c r="C792" s="31">
        <v>0.05</v>
      </c>
      <c r="D792" s="139">
        <v>0.64</v>
      </c>
      <c r="E792" s="139">
        <v>0.64</v>
      </c>
      <c r="F792" s="52"/>
      <c r="G792" s="10"/>
      <c r="H792" s="10"/>
      <c r="I792" s="10"/>
      <c r="J792" s="10"/>
      <c r="K792" s="10"/>
      <c r="L792" s="143" t="s">
        <v>2848</v>
      </c>
      <c r="M792" s="144"/>
      <c r="N792" s="144"/>
      <c r="O792" s="144"/>
    </row>
    <row r="793">
      <c r="A793" s="138" t="s">
        <v>2850</v>
      </c>
      <c r="B793" s="155"/>
      <c r="C793" s="31">
        <v>0.05</v>
      </c>
      <c r="D793" s="139">
        <v>0.64</v>
      </c>
      <c r="E793" s="139">
        <v>0.64</v>
      </c>
      <c r="F793" s="52"/>
      <c r="G793" s="10"/>
      <c r="H793" s="10"/>
      <c r="I793" s="10"/>
      <c r="J793" s="10"/>
      <c r="K793" s="10"/>
      <c r="L793" s="143" t="s">
        <v>2849</v>
      </c>
      <c r="M793" s="144"/>
      <c r="N793" s="144"/>
      <c r="O793" s="144"/>
    </row>
    <row r="794">
      <c r="A794" s="138" t="s">
        <v>2851</v>
      </c>
      <c r="B794" s="155"/>
      <c r="C794" s="31">
        <v>0.05</v>
      </c>
      <c r="D794" s="139">
        <v>0.64</v>
      </c>
      <c r="E794" s="139">
        <v>0.64</v>
      </c>
      <c r="F794" s="52"/>
      <c r="G794" s="10"/>
      <c r="H794" s="10"/>
      <c r="I794" s="10"/>
      <c r="J794" s="10"/>
      <c r="K794" s="10"/>
      <c r="L794" s="143" t="s">
        <v>2850</v>
      </c>
      <c r="M794" s="144"/>
      <c r="N794" s="144"/>
      <c r="O794" s="144"/>
    </row>
    <row r="795">
      <c r="A795" s="138" t="s">
        <v>781</v>
      </c>
      <c r="B795" s="155"/>
      <c r="C795" s="31">
        <v>0.05</v>
      </c>
      <c r="D795" s="139">
        <v>0.64</v>
      </c>
      <c r="E795" s="139">
        <v>0.64</v>
      </c>
      <c r="F795" s="52"/>
      <c r="G795" s="10"/>
      <c r="H795" s="10"/>
      <c r="I795" s="10"/>
      <c r="J795" s="10"/>
      <c r="K795" s="10"/>
      <c r="L795" s="143" t="s">
        <v>2851</v>
      </c>
      <c r="M795" s="144"/>
      <c r="N795" s="144"/>
      <c r="O795" s="144"/>
    </row>
    <row r="796">
      <c r="A796" s="138" t="s">
        <v>2852</v>
      </c>
      <c r="B796" s="155"/>
      <c r="C796" s="31">
        <v>0.05</v>
      </c>
      <c r="D796" s="139">
        <v>0.64</v>
      </c>
      <c r="E796" s="139">
        <v>0.64</v>
      </c>
      <c r="F796" s="52"/>
      <c r="G796" s="10"/>
      <c r="H796" s="10"/>
      <c r="I796" s="10"/>
      <c r="J796" s="10"/>
      <c r="K796" s="10"/>
      <c r="L796" s="143" t="s">
        <v>781</v>
      </c>
      <c r="M796" s="144"/>
      <c r="N796" s="144"/>
      <c r="O796" s="144"/>
    </row>
    <row r="797">
      <c r="A797" s="138" t="s">
        <v>2853</v>
      </c>
      <c r="B797" s="155"/>
      <c r="C797" s="31">
        <v>0.05</v>
      </c>
      <c r="D797" s="139">
        <v>0.64</v>
      </c>
      <c r="E797" s="139">
        <v>0.64</v>
      </c>
      <c r="F797" s="52"/>
      <c r="G797" s="10"/>
      <c r="H797" s="10"/>
      <c r="I797" s="10"/>
      <c r="J797" s="10"/>
      <c r="K797" s="10"/>
      <c r="L797" s="143" t="s">
        <v>2852</v>
      </c>
      <c r="M797" s="144"/>
      <c r="N797" s="144"/>
      <c r="O797" s="144"/>
    </row>
    <row r="798">
      <c r="A798" s="138" t="s">
        <v>2854</v>
      </c>
      <c r="B798" s="151">
        <v>7113.0</v>
      </c>
      <c r="C798" s="31">
        <v>0.05</v>
      </c>
      <c r="D798" s="139">
        <v>0.64</v>
      </c>
      <c r="E798" s="139">
        <v>0.64</v>
      </c>
      <c r="F798" s="52"/>
      <c r="G798" s="10"/>
      <c r="H798" s="10"/>
      <c r="I798" s="10"/>
      <c r="J798" s="10"/>
      <c r="K798" s="10"/>
      <c r="L798" s="143" t="s">
        <v>2853</v>
      </c>
      <c r="M798" s="144"/>
      <c r="N798" s="144"/>
      <c r="O798" s="144"/>
    </row>
    <row r="799">
      <c r="A799" s="138" t="s">
        <v>2855</v>
      </c>
      <c r="B799" s="155"/>
      <c r="C799" s="31">
        <v>0.05</v>
      </c>
      <c r="D799" s="139">
        <v>0.64</v>
      </c>
      <c r="E799" s="139">
        <v>0.64</v>
      </c>
      <c r="F799" s="52"/>
      <c r="G799" s="10"/>
      <c r="H799" s="10"/>
      <c r="I799" s="10"/>
      <c r="J799" s="10"/>
      <c r="K799" s="10"/>
      <c r="L799" s="143" t="s">
        <v>2854</v>
      </c>
      <c r="M799" s="152">
        <v>7113.0</v>
      </c>
      <c r="N799" s="144"/>
      <c r="O799" s="144"/>
    </row>
    <row r="800">
      <c r="A800" s="138" t="s">
        <v>2856</v>
      </c>
      <c r="B800" s="155"/>
      <c r="C800" s="31">
        <v>0.05</v>
      </c>
      <c r="D800" s="139">
        <v>0.64</v>
      </c>
      <c r="E800" s="139">
        <v>0.64</v>
      </c>
      <c r="F800" s="52"/>
      <c r="G800" s="10"/>
      <c r="H800" s="10"/>
      <c r="I800" s="10"/>
      <c r="J800" s="10"/>
      <c r="K800" s="10"/>
      <c r="L800" s="143" t="s">
        <v>2855</v>
      </c>
      <c r="M800" s="144"/>
      <c r="N800" s="144"/>
      <c r="O800" s="144"/>
    </row>
    <row r="801">
      <c r="A801" s="138" t="s">
        <v>2857</v>
      </c>
      <c r="B801" s="155"/>
      <c r="C801" s="31">
        <v>0.05</v>
      </c>
      <c r="D801" s="139">
        <v>0.64</v>
      </c>
      <c r="E801" s="139">
        <v>0.64</v>
      </c>
      <c r="F801" s="52"/>
      <c r="G801" s="10"/>
      <c r="H801" s="10"/>
      <c r="I801" s="10"/>
      <c r="J801" s="10"/>
      <c r="K801" s="10"/>
      <c r="L801" s="143" t="s">
        <v>2856</v>
      </c>
      <c r="M801" s="144"/>
      <c r="N801" s="144"/>
      <c r="O801" s="144"/>
    </row>
    <row r="802">
      <c r="A802" s="138" t="s">
        <v>2858</v>
      </c>
      <c r="B802" s="155"/>
      <c r="C802" s="31">
        <v>0.05</v>
      </c>
      <c r="D802" s="139">
        <v>0.64</v>
      </c>
      <c r="E802" s="139">
        <v>0.64</v>
      </c>
      <c r="F802" s="52"/>
      <c r="G802" s="10"/>
      <c r="H802" s="10"/>
      <c r="I802" s="10"/>
      <c r="J802" s="10"/>
      <c r="K802" s="10"/>
      <c r="L802" s="143" t="s">
        <v>2857</v>
      </c>
      <c r="M802" s="144"/>
      <c r="N802" s="144"/>
      <c r="O802" s="144"/>
    </row>
    <row r="803">
      <c r="A803" s="138" t="s">
        <v>2859</v>
      </c>
      <c r="B803" s="155"/>
      <c r="C803" s="31">
        <v>0.05</v>
      </c>
      <c r="D803" s="139">
        <v>0.64</v>
      </c>
      <c r="E803" s="139">
        <v>0.64</v>
      </c>
      <c r="F803" s="52"/>
      <c r="G803" s="10"/>
      <c r="H803" s="10"/>
      <c r="I803" s="10"/>
      <c r="J803" s="10"/>
      <c r="K803" s="10"/>
      <c r="L803" s="143" t="s">
        <v>2858</v>
      </c>
      <c r="M803" s="144"/>
      <c r="N803" s="144"/>
      <c r="O803" s="144"/>
    </row>
    <row r="804">
      <c r="A804" s="138" t="s">
        <v>2860</v>
      </c>
      <c r="B804" s="134">
        <v>189.0</v>
      </c>
      <c r="C804" s="31">
        <v>0.05</v>
      </c>
      <c r="D804" s="26">
        <v>0.78</v>
      </c>
      <c r="E804" s="26">
        <v>0.78</v>
      </c>
      <c r="F804" s="52"/>
      <c r="G804" s="10"/>
      <c r="H804" s="10"/>
      <c r="I804" s="10"/>
      <c r="J804" s="10"/>
      <c r="K804" s="10"/>
      <c r="L804" s="143" t="s">
        <v>2859</v>
      </c>
      <c r="M804" s="144"/>
      <c r="N804" s="144"/>
      <c r="O804" s="144"/>
    </row>
    <row r="805">
      <c r="A805" s="138" t="s">
        <v>2861</v>
      </c>
      <c r="B805" s="155"/>
      <c r="C805" s="31">
        <v>0.05</v>
      </c>
      <c r="D805" s="139">
        <v>0.64</v>
      </c>
      <c r="E805" s="139">
        <v>0.64</v>
      </c>
      <c r="F805" s="52"/>
      <c r="G805" s="10"/>
      <c r="H805" s="10"/>
      <c r="I805" s="10"/>
      <c r="J805" s="10"/>
      <c r="K805" s="10"/>
      <c r="L805" s="143" t="s">
        <v>2860</v>
      </c>
      <c r="M805" s="144">
        <v>189.0</v>
      </c>
      <c r="N805" s="144"/>
      <c r="O805" s="144">
        <v>189.0</v>
      </c>
    </row>
    <row r="806">
      <c r="A806" s="138" t="s">
        <v>2862</v>
      </c>
      <c r="B806" s="134">
        <v>189.0</v>
      </c>
      <c r="C806" s="31">
        <v>0.05</v>
      </c>
      <c r="D806" s="26">
        <v>0.78</v>
      </c>
      <c r="E806" s="26">
        <v>0.78</v>
      </c>
      <c r="F806" s="52"/>
      <c r="G806" s="10"/>
      <c r="H806" s="10"/>
      <c r="I806" s="10"/>
      <c r="J806" s="10"/>
      <c r="K806" s="10"/>
      <c r="L806" s="143" t="s">
        <v>2861</v>
      </c>
      <c r="M806" s="144"/>
      <c r="N806" s="144"/>
      <c r="O806" s="144"/>
    </row>
    <row r="807">
      <c r="A807" s="138" t="s">
        <v>2863</v>
      </c>
      <c r="B807" s="134">
        <v>189.0</v>
      </c>
      <c r="C807" s="31">
        <v>0.05</v>
      </c>
      <c r="D807" s="26">
        <v>0.78</v>
      </c>
      <c r="E807" s="26">
        <v>0.78</v>
      </c>
      <c r="F807" s="52"/>
      <c r="G807" s="10"/>
      <c r="H807" s="10"/>
      <c r="I807" s="10"/>
      <c r="J807" s="10"/>
      <c r="K807" s="10"/>
      <c r="L807" s="143" t="s">
        <v>2862</v>
      </c>
      <c r="M807" s="144">
        <v>189.0</v>
      </c>
      <c r="N807" s="144"/>
      <c r="O807" s="144">
        <v>189.0</v>
      </c>
    </row>
    <row r="808">
      <c r="A808" s="138" t="s">
        <v>2864</v>
      </c>
      <c r="B808" s="155"/>
      <c r="C808" s="31">
        <v>0.05</v>
      </c>
      <c r="D808" s="139">
        <v>0.64</v>
      </c>
      <c r="E808" s="139">
        <v>0.64</v>
      </c>
      <c r="F808" s="52"/>
      <c r="G808" s="10"/>
      <c r="H808" s="10"/>
      <c r="I808" s="10"/>
      <c r="J808" s="10"/>
      <c r="K808" s="10"/>
      <c r="L808" s="143" t="s">
        <v>2863</v>
      </c>
      <c r="M808" s="144">
        <v>189.0</v>
      </c>
      <c r="N808" s="144"/>
      <c r="O808" s="144">
        <v>189.0</v>
      </c>
    </row>
    <row r="809">
      <c r="A809" s="138" t="s">
        <v>2865</v>
      </c>
      <c r="B809" s="155"/>
      <c r="C809" s="31">
        <v>0.05</v>
      </c>
      <c r="D809" s="139">
        <v>0.64</v>
      </c>
      <c r="E809" s="139">
        <v>0.64</v>
      </c>
      <c r="F809" s="52"/>
      <c r="G809" s="10"/>
      <c r="H809" s="10"/>
      <c r="I809" s="10"/>
      <c r="J809" s="10"/>
      <c r="K809" s="10"/>
      <c r="L809" s="143" t="s">
        <v>2864</v>
      </c>
      <c r="M809" s="144"/>
      <c r="N809" s="144"/>
      <c r="O809" s="144"/>
    </row>
    <row r="810">
      <c r="A810" s="138" t="s">
        <v>2866</v>
      </c>
      <c r="B810" s="155"/>
      <c r="C810" s="31">
        <v>0.05</v>
      </c>
      <c r="D810" s="139">
        <v>0.64</v>
      </c>
      <c r="E810" s="139">
        <v>0.64</v>
      </c>
      <c r="F810" s="52"/>
      <c r="G810" s="10"/>
      <c r="H810" s="10"/>
      <c r="I810" s="10"/>
      <c r="J810" s="10"/>
      <c r="K810" s="10"/>
      <c r="L810" s="143" t="s">
        <v>2865</v>
      </c>
      <c r="M810" s="144"/>
      <c r="N810" s="144"/>
      <c r="O810" s="144"/>
    </row>
    <row r="811">
      <c r="A811" s="138" t="s">
        <v>2867</v>
      </c>
      <c r="B811" s="155"/>
      <c r="C811" s="31">
        <v>0.05</v>
      </c>
      <c r="D811" s="139">
        <v>0.64</v>
      </c>
      <c r="E811" s="139">
        <v>0.64</v>
      </c>
      <c r="F811" s="52"/>
      <c r="G811" s="10"/>
      <c r="H811" s="10"/>
      <c r="I811" s="10"/>
      <c r="J811" s="10"/>
      <c r="K811" s="10"/>
      <c r="L811" s="143" t="s">
        <v>2866</v>
      </c>
      <c r="M811" s="144"/>
      <c r="N811" s="144"/>
      <c r="O811" s="144"/>
    </row>
    <row r="812">
      <c r="A812" s="138" t="s">
        <v>2868</v>
      </c>
      <c r="B812" s="155"/>
      <c r="C812" s="31">
        <v>0.05</v>
      </c>
      <c r="D812" s="139">
        <v>0.64</v>
      </c>
      <c r="E812" s="139">
        <v>0.64</v>
      </c>
      <c r="F812" s="52"/>
      <c r="G812" s="10"/>
      <c r="H812" s="10"/>
      <c r="I812" s="10"/>
      <c r="J812" s="10"/>
      <c r="K812" s="10"/>
      <c r="L812" s="143" t="s">
        <v>2867</v>
      </c>
      <c r="M812" s="144"/>
      <c r="N812" s="144"/>
      <c r="O812" s="144"/>
    </row>
    <row r="813">
      <c r="A813" s="138" t="s">
        <v>2869</v>
      </c>
      <c r="B813" s="155"/>
      <c r="C813" s="31">
        <v>0.05</v>
      </c>
      <c r="D813" s="139">
        <v>0.64</v>
      </c>
      <c r="E813" s="139">
        <v>0.64</v>
      </c>
      <c r="F813" s="52"/>
      <c r="G813" s="10"/>
      <c r="H813" s="10"/>
      <c r="I813" s="10"/>
      <c r="J813" s="10"/>
      <c r="K813" s="10"/>
      <c r="L813" s="143" t="s">
        <v>2868</v>
      </c>
      <c r="M813" s="144"/>
      <c r="N813" s="144"/>
      <c r="O813" s="144"/>
    </row>
    <row r="814">
      <c r="A814" s="138" t="s">
        <v>2870</v>
      </c>
      <c r="B814" s="155"/>
      <c r="C814" s="31">
        <v>0.05</v>
      </c>
      <c r="D814" s="139">
        <v>0.64</v>
      </c>
      <c r="E814" s="139">
        <v>0.64</v>
      </c>
      <c r="F814" s="52"/>
      <c r="G814" s="10"/>
      <c r="H814" s="10"/>
      <c r="I814" s="10"/>
      <c r="J814" s="10"/>
      <c r="K814" s="10"/>
      <c r="L814" s="143" t="s">
        <v>2869</v>
      </c>
      <c r="M814" s="144"/>
      <c r="N814" s="144"/>
      <c r="O814" s="144"/>
    </row>
    <row r="815">
      <c r="A815" s="138" t="s">
        <v>2871</v>
      </c>
      <c r="B815" s="155"/>
      <c r="C815" s="31">
        <v>0.05</v>
      </c>
      <c r="D815" s="139">
        <v>0.64</v>
      </c>
      <c r="E815" s="139">
        <v>0.64</v>
      </c>
      <c r="F815" s="52"/>
      <c r="G815" s="10"/>
      <c r="H815" s="10"/>
      <c r="I815" s="10"/>
      <c r="J815" s="10"/>
      <c r="K815" s="10"/>
      <c r="L815" s="143" t="s">
        <v>2870</v>
      </c>
      <c r="M815" s="144"/>
      <c r="N815" s="144"/>
      <c r="O815" s="144"/>
    </row>
    <row r="816">
      <c r="A816" s="138" t="s">
        <v>2872</v>
      </c>
      <c r="B816" s="155"/>
      <c r="C816" s="31">
        <v>0.05</v>
      </c>
      <c r="D816" s="139">
        <v>0.64</v>
      </c>
      <c r="E816" s="139">
        <v>0.64</v>
      </c>
      <c r="F816" s="52"/>
      <c r="G816" s="10"/>
      <c r="H816" s="10"/>
      <c r="I816" s="10"/>
      <c r="J816" s="10"/>
      <c r="K816" s="10"/>
      <c r="L816" s="143" t="s">
        <v>2871</v>
      </c>
      <c r="M816" s="144"/>
      <c r="N816" s="144"/>
      <c r="O816" s="144"/>
    </row>
    <row r="817">
      <c r="A817" s="138" t="s">
        <v>2873</v>
      </c>
      <c r="B817" s="155"/>
      <c r="C817" s="31">
        <v>0.05</v>
      </c>
      <c r="D817" s="139">
        <v>0.64</v>
      </c>
      <c r="E817" s="139">
        <v>0.64</v>
      </c>
      <c r="F817" s="52"/>
      <c r="G817" s="10"/>
      <c r="H817" s="10"/>
      <c r="I817" s="10"/>
      <c r="J817" s="10"/>
      <c r="K817" s="10"/>
      <c r="L817" s="143" t="s">
        <v>2872</v>
      </c>
      <c r="M817" s="144"/>
      <c r="N817" s="144"/>
      <c r="O817" s="144"/>
    </row>
    <row r="818">
      <c r="A818" s="138" t="s">
        <v>2874</v>
      </c>
      <c r="B818" s="134">
        <v>189.0</v>
      </c>
      <c r="C818" s="31">
        <v>0.05</v>
      </c>
      <c r="D818" s="26">
        <v>0.78</v>
      </c>
      <c r="E818" s="26">
        <v>0.78</v>
      </c>
      <c r="F818" s="52"/>
      <c r="G818" s="10"/>
      <c r="H818" s="10"/>
      <c r="I818" s="10"/>
      <c r="J818" s="10"/>
      <c r="K818" s="10"/>
      <c r="L818" s="143" t="s">
        <v>2873</v>
      </c>
      <c r="M818" s="144"/>
      <c r="N818" s="144"/>
      <c r="O818" s="144"/>
    </row>
    <row r="819">
      <c r="A819" s="138" t="s">
        <v>2875</v>
      </c>
      <c r="B819" s="155"/>
      <c r="C819" s="31">
        <v>0.05</v>
      </c>
      <c r="D819" s="139">
        <v>0.64</v>
      </c>
      <c r="E819" s="139">
        <v>0.64</v>
      </c>
      <c r="F819" s="52"/>
      <c r="G819" s="10"/>
      <c r="H819" s="10"/>
      <c r="I819" s="10"/>
      <c r="J819" s="10"/>
      <c r="K819" s="10"/>
      <c r="L819" s="143" t="s">
        <v>2874</v>
      </c>
      <c r="M819" s="144">
        <v>189.0</v>
      </c>
      <c r="N819" s="144"/>
      <c r="O819" s="144">
        <v>189.0</v>
      </c>
    </row>
    <row r="820">
      <c r="A820" s="138" t="s">
        <v>2876</v>
      </c>
      <c r="B820" s="155"/>
      <c r="C820" s="31">
        <v>0.05</v>
      </c>
      <c r="D820" s="139">
        <v>0.64</v>
      </c>
      <c r="E820" s="139">
        <v>0.64</v>
      </c>
      <c r="F820" s="52"/>
      <c r="G820" s="10"/>
      <c r="H820" s="10"/>
      <c r="I820" s="10"/>
      <c r="J820" s="10"/>
      <c r="K820" s="10"/>
      <c r="L820" s="143" t="s">
        <v>2875</v>
      </c>
      <c r="M820" s="144"/>
      <c r="N820" s="144"/>
      <c r="O820" s="144"/>
    </row>
    <row r="821">
      <c r="A821" s="138" t="s">
        <v>2877</v>
      </c>
      <c r="B821" s="155"/>
      <c r="C821" s="31">
        <v>0.05</v>
      </c>
      <c r="D821" s="139">
        <v>0.64</v>
      </c>
      <c r="E821" s="139">
        <v>0.64</v>
      </c>
      <c r="F821" s="52"/>
      <c r="G821" s="10"/>
      <c r="H821" s="10"/>
      <c r="I821" s="10"/>
      <c r="J821" s="10"/>
      <c r="K821" s="10"/>
      <c r="L821" s="143" t="s">
        <v>2876</v>
      </c>
      <c r="M821" s="144"/>
      <c r="N821" s="144"/>
      <c r="O821" s="144"/>
    </row>
    <row r="822">
      <c r="A822" s="138" t="s">
        <v>2878</v>
      </c>
      <c r="B822" s="155"/>
      <c r="C822" s="31">
        <v>0.05</v>
      </c>
      <c r="D822" s="139">
        <v>0.64</v>
      </c>
      <c r="E822" s="139">
        <v>0.64</v>
      </c>
      <c r="F822" s="52"/>
      <c r="G822" s="10"/>
      <c r="H822" s="10"/>
      <c r="I822" s="10"/>
      <c r="J822" s="10"/>
      <c r="K822" s="10"/>
      <c r="L822" s="143" t="s">
        <v>2877</v>
      </c>
      <c r="M822" s="144"/>
      <c r="N822" s="144"/>
      <c r="O822" s="144"/>
    </row>
    <row r="823">
      <c r="A823" s="138" t="s">
        <v>2879</v>
      </c>
      <c r="B823" s="155"/>
      <c r="C823" s="31">
        <v>0.05</v>
      </c>
      <c r="D823" s="139">
        <v>0.64</v>
      </c>
      <c r="E823" s="139">
        <v>0.64</v>
      </c>
      <c r="F823" s="52"/>
      <c r="G823" s="10"/>
      <c r="H823" s="10"/>
      <c r="I823" s="10"/>
      <c r="J823" s="10"/>
      <c r="K823" s="10"/>
      <c r="L823" s="143" t="s">
        <v>2878</v>
      </c>
      <c r="M823" s="144"/>
      <c r="N823" s="144"/>
      <c r="O823" s="144"/>
    </row>
    <row r="824">
      <c r="A824" s="138" t="s">
        <v>2880</v>
      </c>
      <c r="B824" s="155"/>
      <c r="C824" s="31">
        <v>0.05</v>
      </c>
      <c r="D824" s="139">
        <v>0.64</v>
      </c>
      <c r="E824" s="139">
        <v>0.64</v>
      </c>
      <c r="F824" s="52"/>
      <c r="G824" s="10"/>
      <c r="H824" s="10"/>
      <c r="I824" s="10"/>
      <c r="J824" s="10"/>
      <c r="K824" s="10"/>
      <c r="L824" s="143" t="s">
        <v>2879</v>
      </c>
      <c r="M824" s="144"/>
      <c r="N824" s="144"/>
      <c r="O824" s="144"/>
    </row>
    <row r="825">
      <c r="A825" s="138" t="s">
        <v>2881</v>
      </c>
      <c r="B825" s="155"/>
      <c r="C825" s="31">
        <v>0.05</v>
      </c>
      <c r="D825" s="139">
        <v>0.64</v>
      </c>
      <c r="E825" s="139">
        <v>0.64</v>
      </c>
      <c r="F825" s="52"/>
      <c r="G825" s="10"/>
      <c r="H825" s="10"/>
      <c r="I825" s="10"/>
      <c r="J825" s="10"/>
      <c r="K825" s="10"/>
      <c r="L825" s="143" t="s">
        <v>2880</v>
      </c>
      <c r="M825" s="144"/>
      <c r="N825" s="144"/>
      <c r="O825" s="144"/>
    </row>
    <row r="826">
      <c r="A826" s="138" t="s">
        <v>2882</v>
      </c>
      <c r="B826" s="155"/>
      <c r="C826" s="31">
        <v>0.05</v>
      </c>
      <c r="D826" s="139">
        <v>0.64</v>
      </c>
      <c r="E826" s="139">
        <v>0.64</v>
      </c>
      <c r="F826" s="52"/>
      <c r="G826" s="10"/>
      <c r="H826" s="10"/>
      <c r="I826" s="10"/>
      <c r="J826" s="10"/>
      <c r="K826" s="10"/>
      <c r="L826" s="143" t="s">
        <v>2881</v>
      </c>
      <c r="M826" s="144"/>
      <c r="N826" s="144"/>
      <c r="O826" s="144"/>
    </row>
    <row r="827">
      <c r="A827" s="138" t="s">
        <v>2883</v>
      </c>
      <c r="B827" s="155"/>
      <c r="C827" s="31">
        <v>0.05</v>
      </c>
      <c r="D827" s="139">
        <v>0.64</v>
      </c>
      <c r="E827" s="139">
        <v>0.64</v>
      </c>
      <c r="F827" s="52"/>
      <c r="G827" s="10"/>
      <c r="H827" s="10"/>
      <c r="I827" s="10"/>
      <c r="J827" s="10"/>
      <c r="K827" s="10"/>
      <c r="L827" s="143" t="s">
        <v>2882</v>
      </c>
      <c r="M827" s="144"/>
      <c r="N827" s="144"/>
      <c r="O827" s="144"/>
    </row>
    <row r="828">
      <c r="A828" s="138" t="s">
        <v>2884</v>
      </c>
      <c r="B828" s="155"/>
      <c r="C828" s="31">
        <v>0.05</v>
      </c>
      <c r="D828" s="139">
        <v>0.64</v>
      </c>
      <c r="E828" s="139">
        <v>0.64</v>
      </c>
      <c r="F828" s="52"/>
      <c r="G828" s="10"/>
      <c r="H828" s="10"/>
      <c r="I828" s="10"/>
      <c r="J828" s="10"/>
      <c r="K828" s="10"/>
      <c r="L828" s="143" t="s">
        <v>2883</v>
      </c>
      <c r="M828" s="144"/>
      <c r="N828" s="144"/>
      <c r="O828" s="144"/>
    </row>
    <row r="829">
      <c r="A829" s="138" t="s">
        <v>2885</v>
      </c>
      <c r="B829" s="155"/>
      <c r="C829" s="31">
        <v>0.05</v>
      </c>
      <c r="D829" s="139">
        <v>0.64</v>
      </c>
      <c r="E829" s="139">
        <v>0.64</v>
      </c>
      <c r="F829" s="52"/>
      <c r="G829" s="10"/>
      <c r="H829" s="10"/>
      <c r="I829" s="10"/>
      <c r="J829" s="10"/>
      <c r="K829" s="10"/>
      <c r="L829" s="143" t="s">
        <v>2884</v>
      </c>
      <c r="M829" s="144"/>
      <c r="N829" s="144"/>
      <c r="O829" s="144"/>
    </row>
    <row r="830">
      <c r="A830" s="138" t="s">
        <v>2886</v>
      </c>
      <c r="B830" s="155"/>
      <c r="C830" s="31">
        <v>0.05</v>
      </c>
      <c r="D830" s="139">
        <v>0.64</v>
      </c>
      <c r="E830" s="139">
        <v>0.64</v>
      </c>
      <c r="F830" s="52"/>
      <c r="G830" s="10"/>
      <c r="H830" s="10"/>
      <c r="I830" s="10"/>
      <c r="J830" s="10"/>
      <c r="K830" s="10"/>
      <c r="L830" s="143" t="s">
        <v>2885</v>
      </c>
      <c r="M830" s="144"/>
      <c r="N830" s="144"/>
      <c r="O830" s="144"/>
    </row>
    <row r="831">
      <c r="A831" s="138" t="s">
        <v>2887</v>
      </c>
      <c r="B831" s="155"/>
      <c r="C831" s="31">
        <v>0.05</v>
      </c>
      <c r="D831" s="139">
        <v>0.64</v>
      </c>
      <c r="E831" s="139">
        <v>0.64</v>
      </c>
      <c r="F831" s="52"/>
      <c r="G831" s="10"/>
      <c r="H831" s="10"/>
      <c r="I831" s="10"/>
      <c r="J831" s="10"/>
      <c r="K831" s="10"/>
      <c r="L831" s="143" t="s">
        <v>2886</v>
      </c>
      <c r="M831" s="144"/>
      <c r="N831" s="144"/>
      <c r="O831" s="144"/>
    </row>
    <row r="832">
      <c r="A832" s="138" t="s">
        <v>2888</v>
      </c>
      <c r="B832" s="155"/>
      <c r="C832" s="31">
        <v>0.05</v>
      </c>
      <c r="D832" s="139">
        <v>0.64</v>
      </c>
      <c r="E832" s="139">
        <v>0.64</v>
      </c>
      <c r="F832" s="52"/>
      <c r="G832" s="10"/>
      <c r="H832" s="10"/>
      <c r="I832" s="10"/>
      <c r="J832" s="10"/>
      <c r="K832" s="10"/>
      <c r="L832" s="143" t="s">
        <v>2887</v>
      </c>
      <c r="M832" s="144"/>
      <c r="N832" s="144"/>
      <c r="O832" s="144"/>
    </row>
    <row r="833">
      <c r="A833" s="138" t="s">
        <v>2889</v>
      </c>
      <c r="B833" s="155"/>
      <c r="C833" s="31">
        <v>0.05</v>
      </c>
      <c r="D833" s="139">
        <v>0.64</v>
      </c>
      <c r="E833" s="139">
        <v>0.64</v>
      </c>
      <c r="F833" s="52"/>
      <c r="G833" s="10"/>
      <c r="H833" s="10"/>
      <c r="I833" s="10"/>
      <c r="J833" s="10"/>
      <c r="K833" s="10"/>
      <c r="L833" s="143" t="s">
        <v>2888</v>
      </c>
      <c r="M833" s="144"/>
      <c r="N833" s="144"/>
      <c r="O833" s="144"/>
    </row>
    <row r="834">
      <c r="A834" s="138" t="s">
        <v>2890</v>
      </c>
      <c r="B834" s="155"/>
      <c r="C834" s="31">
        <v>0.05</v>
      </c>
      <c r="D834" s="139">
        <v>0.64</v>
      </c>
      <c r="E834" s="139">
        <v>0.64</v>
      </c>
      <c r="F834" s="52"/>
      <c r="G834" s="10"/>
      <c r="H834" s="10"/>
      <c r="I834" s="10"/>
      <c r="J834" s="10"/>
      <c r="K834" s="10"/>
      <c r="L834" s="143" t="s">
        <v>2889</v>
      </c>
      <c r="M834" s="144"/>
      <c r="N834" s="144"/>
      <c r="O834" s="144"/>
    </row>
    <row r="835">
      <c r="A835" s="138" t="s">
        <v>2891</v>
      </c>
      <c r="B835" s="155"/>
      <c r="C835" s="31">
        <v>0.05</v>
      </c>
      <c r="D835" s="139">
        <v>0.64</v>
      </c>
      <c r="E835" s="139">
        <v>0.64</v>
      </c>
      <c r="F835" s="52"/>
      <c r="G835" s="10"/>
      <c r="H835" s="10"/>
      <c r="I835" s="10"/>
      <c r="J835" s="10"/>
      <c r="K835" s="10"/>
      <c r="L835" s="143" t="s">
        <v>2890</v>
      </c>
      <c r="M835" s="144"/>
      <c r="N835" s="144"/>
      <c r="O835" s="144"/>
    </row>
    <row r="836">
      <c r="A836" s="138" t="s">
        <v>2892</v>
      </c>
      <c r="B836" s="155"/>
      <c r="C836" s="31">
        <v>0.05</v>
      </c>
      <c r="D836" s="139">
        <v>0.64</v>
      </c>
      <c r="E836" s="139">
        <v>0.64</v>
      </c>
      <c r="F836" s="52"/>
      <c r="G836" s="10"/>
      <c r="H836" s="10"/>
      <c r="I836" s="10"/>
      <c r="J836" s="10"/>
      <c r="K836" s="10"/>
      <c r="L836" s="143" t="s">
        <v>2891</v>
      </c>
      <c r="M836" s="144"/>
      <c r="N836" s="144"/>
      <c r="O836" s="144"/>
    </row>
    <row r="837">
      <c r="A837" s="138" t="s">
        <v>2893</v>
      </c>
      <c r="B837" s="155"/>
      <c r="C837" s="31">
        <v>0.05</v>
      </c>
      <c r="D837" s="139">
        <v>0.64</v>
      </c>
      <c r="E837" s="139">
        <v>0.64</v>
      </c>
      <c r="F837" s="52"/>
      <c r="G837" s="10"/>
      <c r="H837" s="10"/>
      <c r="I837" s="10"/>
      <c r="J837" s="10"/>
      <c r="K837" s="10"/>
      <c r="L837" s="143" t="s">
        <v>2892</v>
      </c>
      <c r="M837" s="144"/>
      <c r="N837" s="144"/>
      <c r="O837" s="144"/>
    </row>
    <row r="838">
      <c r="A838" s="138" t="s">
        <v>2894</v>
      </c>
      <c r="B838" s="155"/>
      <c r="C838" s="31">
        <v>0.05</v>
      </c>
      <c r="D838" s="139">
        <v>0.64</v>
      </c>
      <c r="E838" s="139">
        <v>0.64</v>
      </c>
      <c r="F838" s="52"/>
      <c r="G838" s="10"/>
      <c r="H838" s="10"/>
      <c r="I838" s="10"/>
      <c r="J838" s="10"/>
      <c r="K838" s="10"/>
      <c r="L838" s="143" t="s">
        <v>2893</v>
      </c>
      <c r="M838" s="144"/>
      <c r="N838" s="144"/>
      <c r="O838" s="144"/>
    </row>
    <row r="839">
      <c r="A839" s="138" t="s">
        <v>2895</v>
      </c>
      <c r="B839" s="155"/>
      <c r="C839" s="31">
        <v>0.05</v>
      </c>
      <c r="D839" s="139">
        <v>0.64</v>
      </c>
      <c r="E839" s="139">
        <v>0.64</v>
      </c>
      <c r="F839" s="52"/>
      <c r="G839" s="10"/>
      <c r="H839" s="10"/>
      <c r="I839" s="10"/>
      <c r="J839" s="10"/>
      <c r="K839" s="10"/>
      <c r="L839" s="143" t="s">
        <v>2894</v>
      </c>
      <c r="M839" s="144"/>
      <c r="N839" s="144"/>
      <c r="O839" s="144"/>
    </row>
    <row r="840">
      <c r="A840" s="138" t="s">
        <v>2896</v>
      </c>
      <c r="B840" s="155"/>
      <c r="C840" s="31">
        <v>0.05</v>
      </c>
      <c r="D840" s="139">
        <v>0.64</v>
      </c>
      <c r="E840" s="139">
        <v>0.64</v>
      </c>
      <c r="F840" s="52"/>
      <c r="G840" s="10"/>
      <c r="H840" s="10"/>
      <c r="I840" s="10"/>
      <c r="J840" s="10"/>
      <c r="K840" s="10"/>
      <c r="L840" s="143" t="s">
        <v>2895</v>
      </c>
      <c r="M840" s="144"/>
      <c r="N840" s="144"/>
      <c r="O840" s="144"/>
    </row>
    <row r="841">
      <c r="A841" s="138" t="s">
        <v>2897</v>
      </c>
      <c r="B841" s="155"/>
      <c r="C841" s="31">
        <v>0.05</v>
      </c>
      <c r="D841" s="139">
        <v>0.64</v>
      </c>
      <c r="E841" s="139">
        <v>0.64</v>
      </c>
      <c r="F841" s="52"/>
      <c r="G841" s="10"/>
      <c r="H841" s="10"/>
      <c r="I841" s="10"/>
      <c r="J841" s="10"/>
      <c r="K841" s="10"/>
      <c r="L841" s="143" t="s">
        <v>2896</v>
      </c>
      <c r="M841" s="144"/>
      <c r="N841" s="144"/>
      <c r="O841" s="144"/>
    </row>
    <row r="842">
      <c r="A842" s="138" t="s">
        <v>2898</v>
      </c>
      <c r="B842" s="155"/>
      <c r="C842" s="31">
        <v>0.05</v>
      </c>
      <c r="D842" s="139">
        <v>0.64</v>
      </c>
      <c r="E842" s="139">
        <v>0.64</v>
      </c>
      <c r="F842" s="52"/>
      <c r="G842" s="10"/>
      <c r="H842" s="10"/>
      <c r="I842" s="10"/>
      <c r="J842" s="10"/>
      <c r="K842" s="10"/>
      <c r="L842" s="143" t="s">
        <v>2897</v>
      </c>
      <c r="M842" s="144"/>
      <c r="N842" s="144"/>
      <c r="O842" s="144"/>
    </row>
    <row r="843">
      <c r="A843" s="138" t="s">
        <v>2899</v>
      </c>
      <c r="B843" s="155"/>
      <c r="C843" s="31">
        <v>0.05</v>
      </c>
      <c r="D843" s="139">
        <v>0.64</v>
      </c>
      <c r="E843" s="139">
        <v>0.64</v>
      </c>
      <c r="F843" s="52"/>
      <c r="G843" s="10"/>
      <c r="H843" s="10"/>
      <c r="I843" s="10"/>
      <c r="J843" s="10"/>
      <c r="K843" s="10"/>
      <c r="L843" s="143" t="s">
        <v>2898</v>
      </c>
      <c r="M843" s="144"/>
      <c r="N843" s="144"/>
      <c r="O843" s="144"/>
    </row>
    <row r="844">
      <c r="A844" s="138" t="s">
        <v>2900</v>
      </c>
      <c r="B844" s="155"/>
      <c r="C844" s="31">
        <v>0.05</v>
      </c>
      <c r="D844" s="139">
        <v>0.64</v>
      </c>
      <c r="E844" s="139">
        <v>0.64</v>
      </c>
      <c r="F844" s="52"/>
      <c r="G844" s="10"/>
      <c r="H844" s="10"/>
      <c r="I844" s="10"/>
      <c r="J844" s="10"/>
      <c r="K844" s="10"/>
      <c r="L844" s="143" t="s">
        <v>2899</v>
      </c>
      <c r="M844" s="144"/>
      <c r="N844" s="144"/>
      <c r="O844" s="144"/>
    </row>
    <row r="845">
      <c r="A845" s="138" t="s">
        <v>2901</v>
      </c>
      <c r="B845" s="155"/>
      <c r="C845" s="31">
        <v>0.05</v>
      </c>
      <c r="D845" s="139">
        <v>0.64</v>
      </c>
      <c r="E845" s="139">
        <v>0.64</v>
      </c>
      <c r="F845" s="52"/>
      <c r="G845" s="10"/>
      <c r="H845" s="10"/>
      <c r="I845" s="10"/>
      <c r="J845" s="10"/>
      <c r="K845" s="10"/>
      <c r="L845" s="143" t="s">
        <v>2900</v>
      </c>
      <c r="M845" s="144"/>
      <c r="N845" s="144"/>
      <c r="O845" s="144"/>
    </row>
    <row r="846">
      <c r="A846" s="138" t="s">
        <v>2902</v>
      </c>
      <c r="B846" s="155"/>
      <c r="C846" s="31">
        <v>0.05</v>
      </c>
      <c r="D846" s="139">
        <v>0.64</v>
      </c>
      <c r="E846" s="139">
        <v>0.64</v>
      </c>
      <c r="F846" s="52"/>
      <c r="G846" s="10"/>
      <c r="H846" s="10"/>
      <c r="I846" s="10"/>
      <c r="J846" s="10"/>
      <c r="K846" s="10"/>
      <c r="L846" s="143" t="s">
        <v>2901</v>
      </c>
      <c r="M846" s="144"/>
      <c r="N846" s="144"/>
      <c r="O846" s="144"/>
    </row>
    <row r="847">
      <c r="A847" s="138" t="s">
        <v>2903</v>
      </c>
      <c r="B847" s="155"/>
      <c r="C847" s="31">
        <v>0.05</v>
      </c>
      <c r="D847" s="139">
        <v>0.64</v>
      </c>
      <c r="E847" s="139">
        <v>0.64</v>
      </c>
      <c r="F847" s="52"/>
      <c r="G847" s="10"/>
      <c r="H847" s="10"/>
      <c r="I847" s="10"/>
      <c r="J847" s="10"/>
      <c r="K847" s="10"/>
      <c r="L847" s="143" t="s">
        <v>2902</v>
      </c>
      <c r="M847" s="144"/>
      <c r="N847" s="144"/>
      <c r="O847" s="144"/>
    </row>
    <row r="848">
      <c r="A848" s="138" t="s">
        <v>2904</v>
      </c>
      <c r="B848" s="155"/>
      <c r="C848" s="31">
        <v>0.05</v>
      </c>
      <c r="D848" s="139">
        <v>0.64</v>
      </c>
      <c r="E848" s="139">
        <v>0.64</v>
      </c>
      <c r="F848" s="52"/>
      <c r="G848" s="10"/>
      <c r="H848" s="10"/>
      <c r="I848" s="10"/>
      <c r="J848" s="10"/>
      <c r="K848" s="10"/>
      <c r="L848" s="143" t="s">
        <v>2903</v>
      </c>
      <c r="M848" s="144"/>
      <c r="N848" s="144"/>
      <c r="O848" s="144"/>
    </row>
    <row r="849">
      <c r="A849" s="138" t="s">
        <v>2905</v>
      </c>
      <c r="B849" s="155"/>
      <c r="C849" s="31">
        <v>0.05</v>
      </c>
      <c r="D849" s="139">
        <v>0.64</v>
      </c>
      <c r="E849" s="139">
        <v>0.64</v>
      </c>
      <c r="F849" s="52"/>
      <c r="G849" s="10"/>
      <c r="H849" s="10"/>
      <c r="I849" s="10"/>
      <c r="J849" s="10"/>
      <c r="K849" s="10"/>
      <c r="L849" s="143" t="s">
        <v>2904</v>
      </c>
      <c r="M849" s="144"/>
      <c r="N849" s="144"/>
      <c r="O849" s="144"/>
    </row>
    <row r="850">
      <c r="A850" s="138" t="s">
        <v>2906</v>
      </c>
      <c r="B850" s="155"/>
      <c r="C850" s="31">
        <v>0.05</v>
      </c>
      <c r="D850" s="139">
        <v>0.64</v>
      </c>
      <c r="E850" s="139">
        <v>0.64</v>
      </c>
      <c r="F850" s="52"/>
      <c r="G850" s="10"/>
      <c r="H850" s="10"/>
      <c r="I850" s="10"/>
      <c r="J850" s="10"/>
      <c r="K850" s="10"/>
      <c r="L850" s="143" t="s">
        <v>2905</v>
      </c>
      <c r="M850" s="144"/>
      <c r="N850" s="144"/>
      <c r="O850" s="144"/>
    </row>
    <row r="851">
      <c r="A851" s="138" t="s">
        <v>2907</v>
      </c>
      <c r="B851" s="155"/>
      <c r="C851" s="31">
        <v>0.05</v>
      </c>
      <c r="D851" s="139">
        <v>0.64</v>
      </c>
      <c r="E851" s="139">
        <v>0.64</v>
      </c>
      <c r="F851" s="52"/>
      <c r="G851" s="10"/>
      <c r="H851" s="10"/>
      <c r="I851" s="10"/>
      <c r="J851" s="10"/>
      <c r="K851" s="10"/>
      <c r="L851" s="143" t="s">
        <v>2906</v>
      </c>
      <c r="M851" s="144"/>
      <c r="N851" s="144"/>
      <c r="O851" s="144"/>
    </row>
    <row r="852">
      <c r="A852" s="138" t="s">
        <v>2908</v>
      </c>
      <c r="B852" s="155"/>
      <c r="C852" s="31">
        <v>0.05</v>
      </c>
      <c r="D852" s="139">
        <v>0.64</v>
      </c>
      <c r="E852" s="139">
        <v>0.64</v>
      </c>
      <c r="F852" s="52"/>
      <c r="G852" s="10"/>
      <c r="H852" s="10"/>
      <c r="I852" s="10"/>
      <c r="J852" s="10"/>
      <c r="K852" s="10"/>
      <c r="L852" s="143" t="s">
        <v>2907</v>
      </c>
      <c r="M852" s="144"/>
      <c r="N852" s="144"/>
      <c r="O852" s="144"/>
    </row>
    <row r="853">
      <c r="A853" s="138" t="s">
        <v>2909</v>
      </c>
      <c r="B853" s="155"/>
      <c r="C853" s="31">
        <v>0.05</v>
      </c>
      <c r="D853" s="139">
        <v>0.64</v>
      </c>
      <c r="E853" s="139">
        <v>0.64</v>
      </c>
      <c r="F853" s="52"/>
      <c r="G853" s="10"/>
      <c r="H853" s="10"/>
      <c r="I853" s="10"/>
      <c r="J853" s="10"/>
      <c r="K853" s="10"/>
      <c r="L853" s="143" t="s">
        <v>2908</v>
      </c>
      <c r="M853" s="144"/>
      <c r="N853" s="144"/>
      <c r="O853" s="144"/>
    </row>
    <row r="854">
      <c r="A854" s="138" t="s">
        <v>2910</v>
      </c>
      <c r="B854" s="155"/>
      <c r="C854" s="31">
        <v>0.05</v>
      </c>
      <c r="D854" s="139">
        <v>0.64</v>
      </c>
      <c r="E854" s="139">
        <v>0.64</v>
      </c>
      <c r="F854" s="52"/>
      <c r="G854" s="10"/>
      <c r="H854" s="10"/>
      <c r="I854" s="10"/>
      <c r="J854" s="10"/>
      <c r="K854" s="10"/>
      <c r="L854" s="143" t="s">
        <v>2909</v>
      </c>
      <c r="M854" s="144"/>
      <c r="N854" s="144"/>
      <c r="O854" s="144"/>
    </row>
    <row r="855">
      <c r="A855" s="138" t="s">
        <v>2911</v>
      </c>
      <c r="B855" s="155"/>
      <c r="C855" s="31">
        <v>0.05</v>
      </c>
      <c r="D855" s="139">
        <v>0.64</v>
      </c>
      <c r="E855" s="139">
        <v>0.64</v>
      </c>
      <c r="F855" s="52"/>
      <c r="G855" s="10"/>
      <c r="H855" s="10"/>
      <c r="I855" s="10"/>
      <c r="J855" s="10"/>
      <c r="K855" s="10"/>
      <c r="L855" s="143" t="s">
        <v>2910</v>
      </c>
      <c r="M855" s="144"/>
      <c r="N855" s="144"/>
      <c r="O855" s="144"/>
    </row>
    <row r="856">
      <c r="A856" s="138" t="s">
        <v>2912</v>
      </c>
      <c r="B856" s="155"/>
      <c r="C856" s="31">
        <v>0.05</v>
      </c>
      <c r="D856" s="139">
        <v>0.64</v>
      </c>
      <c r="E856" s="139">
        <v>0.64</v>
      </c>
      <c r="F856" s="52"/>
      <c r="G856" s="10"/>
      <c r="H856" s="10"/>
      <c r="I856" s="10"/>
      <c r="J856" s="10"/>
      <c r="K856" s="10"/>
      <c r="L856" s="143" t="s">
        <v>2911</v>
      </c>
      <c r="M856" s="144"/>
      <c r="N856" s="144"/>
      <c r="O856" s="144"/>
    </row>
    <row r="857">
      <c r="A857" s="138" t="s">
        <v>2913</v>
      </c>
      <c r="B857" s="155"/>
      <c r="C857" s="31">
        <v>0.05</v>
      </c>
      <c r="D857" s="139">
        <v>0.64</v>
      </c>
      <c r="E857" s="139">
        <v>0.64</v>
      </c>
      <c r="F857" s="52"/>
      <c r="G857" s="10"/>
      <c r="H857" s="10"/>
      <c r="I857" s="10"/>
      <c r="J857" s="10"/>
      <c r="K857" s="10"/>
      <c r="L857" s="143" t="s">
        <v>2912</v>
      </c>
      <c r="M857" s="144"/>
      <c r="N857" s="144"/>
      <c r="O857" s="144"/>
    </row>
    <row r="858">
      <c r="A858" s="138" t="s">
        <v>2914</v>
      </c>
      <c r="B858" s="155"/>
      <c r="C858" s="31">
        <v>0.05</v>
      </c>
      <c r="D858" s="139">
        <v>0.64</v>
      </c>
      <c r="E858" s="139">
        <v>0.64</v>
      </c>
      <c r="F858" s="52"/>
      <c r="G858" s="10"/>
      <c r="H858" s="10"/>
      <c r="I858" s="10"/>
      <c r="J858" s="10"/>
      <c r="K858" s="10"/>
      <c r="L858" s="143" t="s">
        <v>2913</v>
      </c>
      <c r="M858" s="144"/>
      <c r="N858" s="144"/>
      <c r="O858" s="144"/>
    </row>
    <row r="859">
      <c r="A859" s="138" t="s">
        <v>2915</v>
      </c>
      <c r="B859" s="155"/>
      <c r="C859" s="31">
        <v>0.05</v>
      </c>
      <c r="D859" s="139">
        <v>0.64</v>
      </c>
      <c r="E859" s="139">
        <v>0.64</v>
      </c>
      <c r="F859" s="52"/>
      <c r="G859" s="10"/>
      <c r="H859" s="10"/>
      <c r="I859" s="10"/>
      <c r="J859" s="10"/>
      <c r="K859" s="10"/>
      <c r="L859" s="143" t="s">
        <v>2914</v>
      </c>
      <c r="M859" s="144"/>
      <c r="N859" s="144"/>
      <c r="O859" s="144"/>
    </row>
    <row r="860">
      <c r="A860" s="138" t="s">
        <v>2916</v>
      </c>
      <c r="B860" s="155"/>
      <c r="C860" s="31">
        <v>0.05</v>
      </c>
      <c r="D860" s="139">
        <v>0.64</v>
      </c>
      <c r="E860" s="139">
        <v>0.64</v>
      </c>
      <c r="F860" s="52"/>
      <c r="G860" s="10"/>
      <c r="H860" s="10"/>
      <c r="I860" s="10"/>
      <c r="J860" s="10"/>
      <c r="K860" s="10"/>
      <c r="L860" s="143" t="s">
        <v>2915</v>
      </c>
      <c r="M860" s="144"/>
      <c r="N860" s="144"/>
      <c r="O860" s="144"/>
    </row>
    <row r="861">
      <c r="A861" s="138" t="s">
        <v>2917</v>
      </c>
      <c r="B861" s="155"/>
      <c r="C861" s="31">
        <v>0.05</v>
      </c>
      <c r="D861" s="139">
        <v>0.64</v>
      </c>
      <c r="E861" s="139">
        <v>0.64</v>
      </c>
      <c r="F861" s="52"/>
      <c r="G861" s="10"/>
      <c r="H861" s="10"/>
      <c r="I861" s="10"/>
      <c r="J861" s="10"/>
      <c r="K861" s="10"/>
      <c r="L861" s="143" t="s">
        <v>2916</v>
      </c>
      <c r="M861" s="144"/>
      <c r="N861" s="144"/>
      <c r="O861" s="144"/>
    </row>
    <row r="862">
      <c r="A862" s="138" t="s">
        <v>2918</v>
      </c>
      <c r="B862" s="155"/>
      <c r="C862" s="31">
        <v>0.05</v>
      </c>
      <c r="D862" s="139">
        <v>0.64</v>
      </c>
      <c r="E862" s="139">
        <v>0.64</v>
      </c>
      <c r="F862" s="52"/>
      <c r="G862" s="10"/>
      <c r="H862" s="10"/>
      <c r="I862" s="10"/>
      <c r="J862" s="10"/>
      <c r="K862" s="10"/>
      <c r="L862" s="143" t="s">
        <v>2917</v>
      </c>
      <c r="M862" s="144"/>
      <c r="N862" s="144"/>
      <c r="O862" s="144"/>
    </row>
    <row r="863">
      <c r="A863" s="138" t="s">
        <v>2919</v>
      </c>
      <c r="B863" s="155"/>
      <c r="C863" s="31">
        <v>0.05</v>
      </c>
      <c r="D863" s="139">
        <v>0.64</v>
      </c>
      <c r="E863" s="139">
        <v>0.64</v>
      </c>
      <c r="F863" s="52"/>
      <c r="G863" s="10"/>
      <c r="H863" s="10"/>
      <c r="I863" s="10"/>
      <c r="J863" s="10"/>
      <c r="K863" s="10"/>
      <c r="L863" s="143" t="s">
        <v>2918</v>
      </c>
      <c r="M863" s="144"/>
      <c r="N863" s="144"/>
      <c r="O863" s="144"/>
    </row>
    <row r="864">
      <c r="A864" s="138" t="s">
        <v>2920</v>
      </c>
      <c r="B864" s="155"/>
      <c r="C864" s="31">
        <v>0.05</v>
      </c>
      <c r="D864" s="139">
        <v>0.64</v>
      </c>
      <c r="E864" s="139">
        <v>0.64</v>
      </c>
      <c r="F864" s="52"/>
      <c r="G864" s="10"/>
      <c r="H864" s="10"/>
      <c r="I864" s="10"/>
      <c r="J864" s="10"/>
      <c r="K864" s="10"/>
      <c r="L864" s="143" t="s">
        <v>2919</v>
      </c>
      <c r="M864" s="144"/>
      <c r="N864" s="144"/>
      <c r="O864" s="144"/>
    </row>
    <row r="865">
      <c r="A865" s="138" t="s">
        <v>2921</v>
      </c>
      <c r="B865" s="155"/>
      <c r="C865" s="31">
        <v>0.05</v>
      </c>
      <c r="D865" s="139">
        <v>0.64</v>
      </c>
      <c r="E865" s="139">
        <v>0.64</v>
      </c>
      <c r="F865" s="52"/>
      <c r="G865" s="10"/>
      <c r="H865" s="10"/>
      <c r="I865" s="10"/>
      <c r="J865" s="10"/>
      <c r="K865" s="10"/>
      <c r="L865" s="143" t="s">
        <v>2920</v>
      </c>
      <c r="M865" s="144"/>
      <c r="N865" s="144"/>
      <c r="O865" s="144"/>
    </row>
    <row r="866">
      <c r="A866" s="138" t="s">
        <v>2922</v>
      </c>
      <c r="B866" s="155"/>
      <c r="C866" s="31">
        <v>0.05</v>
      </c>
      <c r="D866" s="139">
        <v>0.64</v>
      </c>
      <c r="E866" s="139">
        <v>0.64</v>
      </c>
      <c r="F866" s="52"/>
      <c r="G866" s="10"/>
      <c r="H866" s="10"/>
      <c r="I866" s="10"/>
      <c r="J866" s="10"/>
      <c r="K866" s="10"/>
      <c r="L866" s="143" t="s">
        <v>2921</v>
      </c>
      <c r="M866" s="144"/>
      <c r="N866" s="144"/>
      <c r="O866" s="144"/>
    </row>
    <row r="867">
      <c r="A867" s="138" t="s">
        <v>2923</v>
      </c>
      <c r="B867" s="155"/>
      <c r="C867" s="31">
        <v>0.05</v>
      </c>
      <c r="D867" s="139">
        <v>0.64</v>
      </c>
      <c r="E867" s="139">
        <v>0.64</v>
      </c>
      <c r="F867" s="52"/>
      <c r="G867" s="10"/>
      <c r="H867" s="10"/>
      <c r="I867" s="10"/>
      <c r="J867" s="10"/>
      <c r="K867" s="10"/>
      <c r="L867" s="143" t="s">
        <v>2922</v>
      </c>
      <c r="M867" s="144"/>
      <c r="N867" s="144"/>
      <c r="O867" s="144"/>
    </row>
    <row r="868">
      <c r="A868" s="138" t="s">
        <v>2924</v>
      </c>
      <c r="B868" s="155"/>
      <c r="C868" s="31">
        <v>0.05</v>
      </c>
      <c r="D868" s="139">
        <v>0.64</v>
      </c>
      <c r="E868" s="139">
        <v>0.64</v>
      </c>
      <c r="F868" s="52"/>
      <c r="G868" s="10"/>
      <c r="H868" s="10"/>
      <c r="I868" s="10"/>
      <c r="J868" s="10"/>
      <c r="K868" s="10"/>
      <c r="L868" s="143" t="s">
        <v>2923</v>
      </c>
      <c r="M868" s="144"/>
      <c r="N868" s="144"/>
      <c r="O868" s="144"/>
    </row>
    <row r="869">
      <c r="A869" s="138" t="s">
        <v>2925</v>
      </c>
      <c r="B869" s="155"/>
      <c r="C869" s="31">
        <v>0.05</v>
      </c>
      <c r="D869" s="139">
        <v>0.64</v>
      </c>
      <c r="E869" s="139">
        <v>0.64</v>
      </c>
      <c r="F869" s="52"/>
      <c r="G869" s="10"/>
      <c r="H869" s="10"/>
      <c r="I869" s="10"/>
      <c r="J869" s="10"/>
      <c r="K869" s="10"/>
      <c r="L869" s="143" t="s">
        <v>2924</v>
      </c>
      <c r="M869" s="144"/>
      <c r="N869" s="144"/>
      <c r="O869" s="144"/>
    </row>
    <row r="870">
      <c r="A870" s="138" t="s">
        <v>2926</v>
      </c>
      <c r="B870" s="155"/>
      <c r="C870" s="31">
        <v>0.05</v>
      </c>
      <c r="D870" s="139">
        <v>0.64</v>
      </c>
      <c r="E870" s="139">
        <v>0.64</v>
      </c>
      <c r="F870" s="52"/>
      <c r="G870" s="10"/>
      <c r="H870" s="10"/>
      <c r="I870" s="10"/>
      <c r="J870" s="10"/>
      <c r="K870" s="10"/>
      <c r="L870" s="143" t="s">
        <v>2925</v>
      </c>
      <c r="M870" s="144"/>
      <c r="N870" s="144"/>
      <c r="O870" s="144"/>
    </row>
    <row r="871">
      <c r="A871" s="138" t="s">
        <v>2927</v>
      </c>
      <c r="B871" s="155"/>
      <c r="C871" s="31">
        <v>0.05</v>
      </c>
      <c r="D871" s="139">
        <v>0.64</v>
      </c>
      <c r="E871" s="139">
        <v>0.64</v>
      </c>
      <c r="F871" s="52"/>
      <c r="G871" s="10"/>
      <c r="H871" s="10"/>
      <c r="I871" s="10"/>
      <c r="J871" s="10"/>
      <c r="K871" s="10"/>
      <c r="L871" s="143" t="s">
        <v>2926</v>
      </c>
      <c r="M871" s="144"/>
      <c r="N871" s="144"/>
      <c r="O871" s="144"/>
    </row>
    <row r="872">
      <c r="A872" s="138" t="s">
        <v>2928</v>
      </c>
      <c r="B872" s="155"/>
      <c r="C872" s="31">
        <v>0.05</v>
      </c>
      <c r="D872" s="139">
        <v>0.64</v>
      </c>
      <c r="E872" s="139">
        <v>0.64</v>
      </c>
      <c r="F872" s="52"/>
      <c r="G872" s="10"/>
      <c r="H872" s="10"/>
      <c r="I872" s="10"/>
      <c r="J872" s="10"/>
      <c r="K872" s="10"/>
      <c r="L872" s="143" t="s">
        <v>2927</v>
      </c>
      <c r="M872" s="144"/>
      <c r="N872" s="144"/>
      <c r="O872" s="144"/>
    </row>
    <row r="873">
      <c r="A873" s="138" t="s">
        <v>2929</v>
      </c>
      <c r="B873" s="155"/>
      <c r="C873" s="31">
        <v>0.05</v>
      </c>
      <c r="D873" s="139">
        <v>0.64</v>
      </c>
      <c r="E873" s="139">
        <v>0.64</v>
      </c>
      <c r="F873" s="52"/>
      <c r="G873" s="10"/>
      <c r="H873" s="10"/>
      <c r="I873" s="10"/>
      <c r="J873" s="10"/>
      <c r="K873" s="10"/>
      <c r="L873" s="143" t="s">
        <v>2928</v>
      </c>
      <c r="M873" s="144"/>
      <c r="N873" s="144"/>
      <c r="O873" s="144"/>
    </row>
    <row r="874">
      <c r="A874" s="138" t="s">
        <v>2930</v>
      </c>
      <c r="B874" s="155"/>
      <c r="C874" s="31">
        <v>0.05</v>
      </c>
      <c r="D874" s="139">
        <v>0.64</v>
      </c>
      <c r="E874" s="139">
        <v>0.64</v>
      </c>
      <c r="F874" s="52"/>
      <c r="G874" s="10"/>
      <c r="H874" s="10"/>
      <c r="I874" s="10"/>
      <c r="J874" s="10"/>
      <c r="K874" s="10"/>
      <c r="L874" s="143" t="s">
        <v>2929</v>
      </c>
      <c r="M874" s="144"/>
      <c r="N874" s="144"/>
      <c r="O874" s="144"/>
    </row>
    <row r="875">
      <c r="A875" s="138" t="s">
        <v>2931</v>
      </c>
      <c r="B875" s="155"/>
      <c r="C875" s="31">
        <v>0.05</v>
      </c>
      <c r="D875" s="139">
        <v>0.64</v>
      </c>
      <c r="E875" s="139">
        <v>0.64</v>
      </c>
      <c r="F875" s="52"/>
      <c r="G875" s="10"/>
      <c r="H875" s="10"/>
      <c r="I875" s="10"/>
      <c r="J875" s="10"/>
      <c r="K875" s="10"/>
      <c r="L875" s="143" t="s">
        <v>2930</v>
      </c>
      <c r="M875" s="144"/>
      <c r="N875" s="144"/>
      <c r="O875" s="144"/>
    </row>
    <row r="876">
      <c r="A876" s="138" t="s">
        <v>2932</v>
      </c>
      <c r="B876" s="155"/>
      <c r="C876" s="31">
        <v>0.05</v>
      </c>
      <c r="D876" s="139">
        <v>0.64</v>
      </c>
      <c r="E876" s="139">
        <v>0.64</v>
      </c>
      <c r="F876" s="52"/>
      <c r="G876" s="10"/>
      <c r="H876" s="10"/>
      <c r="I876" s="10"/>
      <c r="J876" s="10"/>
      <c r="K876" s="10"/>
      <c r="L876" s="143" t="s">
        <v>2931</v>
      </c>
      <c r="M876" s="144"/>
      <c r="N876" s="144"/>
      <c r="O876" s="144"/>
    </row>
    <row r="877">
      <c r="A877" s="138" t="s">
        <v>2933</v>
      </c>
      <c r="B877" s="155"/>
      <c r="C877" s="31">
        <v>0.05</v>
      </c>
      <c r="D877" s="139">
        <v>0.64</v>
      </c>
      <c r="E877" s="139">
        <v>0.64</v>
      </c>
      <c r="F877" s="52"/>
      <c r="G877" s="10"/>
      <c r="H877" s="10"/>
      <c r="I877" s="10"/>
      <c r="J877" s="10"/>
      <c r="K877" s="10"/>
      <c r="L877" s="143" t="s">
        <v>2932</v>
      </c>
      <c r="M877" s="144"/>
      <c r="N877" s="144"/>
      <c r="O877" s="144"/>
    </row>
    <row r="878">
      <c r="A878" s="138" t="s">
        <v>2934</v>
      </c>
      <c r="B878" s="155"/>
      <c r="C878" s="31">
        <v>0.05</v>
      </c>
      <c r="D878" s="139">
        <v>0.64</v>
      </c>
      <c r="E878" s="139">
        <v>0.64</v>
      </c>
      <c r="F878" s="52"/>
      <c r="G878" s="10"/>
      <c r="H878" s="10"/>
      <c r="I878" s="10"/>
      <c r="J878" s="10"/>
      <c r="K878" s="10"/>
      <c r="L878" s="143" t="s">
        <v>2933</v>
      </c>
      <c r="M878" s="144"/>
      <c r="N878" s="144"/>
      <c r="O878" s="144"/>
    </row>
    <row r="879">
      <c r="A879" s="138" t="s">
        <v>2935</v>
      </c>
      <c r="B879" s="134">
        <v>14663.0</v>
      </c>
      <c r="C879" s="31">
        <v>0.05</v>
      </c>
      <c r="D879" s="139">
        <v>0.64</v>
      </c>
      <c r="E879" s="139">
        <v>0.64</v>
      </c>
      <c r="F879" s="52"/>
      <c r="G879" s="10"/>
      <c r="H879" s="10"/>
      <c r="I879" s="10"/>
      <c r="J879" s="10"/>
      <c r="K879" s="10"/>
      <c r="L879" s="143" t="s">
        <v>2934</v>
      </c>
      <c r="M879" s="144"/>
      <c r="N879" s="144"/>
      <c r="O879" s="144"/>
    </row>
    <row r="880">
      <c r="A880" s="138" t="s">
        <v>2936</v>
      </c>
      <c r="B880" s="155"/>
      <c r="C880" s="31">
        <v>0.05</v>
      </c>
      <c r="D880" s="139">
        <v>0.64</v>
      </c>
      <c r="E880" s="139">
        <v>0.64</v>
      </c>
      <c r="F880" s="52"/>
      <c r="G880" s="10"/>
      <c r="H880" s="10"/>
      <c r="I880" s="10"/>
      <c r="J880" s="10"/>
      <c r="K880" s="10"/>
      <c r="L880" s="143" t="s">
        <v>2935</v>
      </c>
      <c r="M880" s="144"/>
      <c r="N880" s="144"/>
      <c r="O880" s="144"/>
    </row>
    <row r="881">
      <c r="A881" s="138" t="s">
        <v>2937</v>
      </c>
      <c r="B881" s="155"/>
      <c r="C881" s="31">
        <v>0.05</v>
      </c>
      <c r="D881" s="139">
        <v>0.64</v>
      </c>
      <c r="E881" s="139">
        <v>0.64</v>
      </c>
      <c r="F881" s="52"/>
      <c r="G881" s="10"/>
      <c r="H881" s="10"/>
      <c r="I881" s="10"/>
      <c r="J881" s="10"/>
      <c r="K881" s="10"/>
      <c r="L881" s="143" t="s">
        <v>2936</v>
      </c>
      <c r="M881" s="144"/>
      <c r="N881" s="144"/>
      <c r="O881" s="144"/>
    </row>
    <row r="882">
      <c r="A882" s="138" t="s">
        <v>2938</v>
      </c>
      <c r="B882" s="155"/>
      <c r="C882" s="31">
        <v>0.05</v>
      </c>
      <c r="D882" s="139">
        <v>0.64</v>
      </c>
      <c r="E882" s="139">
        <v>0.64</v>
      </c>
      <c r="F882" s="52"/>
      <c r="G882" s="10"/>
      <c r="H882" s="10"/>
      <c r="I882" s="10"/>
      <c r="J882" s="10"/>
      <c r="K882" s="10"/>
      <c r="L882" s="143" t="s">
        <v>2937</v>
      </c>
      <c r="M882" s="144"/>
      <c r="N882" s="144"/>
      <c r="O882" s="144"/>
    </row>
    <row r="883">
      <c r="A883" s="138" t="s">
        <v>2939</v>
      </c>
      <c r="B883" s="155"/>
      <c r="C883" s="31">
        <v>0.05</v>
      </c>
      <c r="D883" s="139">
        <v>0.64</v>
      </c>
      <c r="E883" s="139">
        <v>0.64</v>
      </c>
      <c r="F883" s="52"/>
      <c r="G883" s="10"/>
      <c r="H883" s="10"/>
      <c r="I883" s="10"/>
      <c r="J883" s="10"/>
      <c r="K883" s="10"/>
      <c r="L883" s="143" t="s">
        <v>2938</v>
      </c>
      <c r="M883" s="144"/>
      <c r="N883" s="144"/>
      <c r="O883" s="144"/>
    </row>
    <row r="884">
      <c r="A884" s="138" t="s">
        <v>2940</v>
      </c>
      <c r="B884" s="155"/>
      <c r="C884" s="31">
        <v>0.05</v>
      </c>
      <c r="D884" s="139">
        <v>0.64</v>
      </c>
      <c r="E884" s="139">
        <v>0.64</v>
      </c>
      <c r="F884" s="52"/>
      <c r="G884" s="10"/>
      <c r="H884" s="10"/>
      <c r="I884" s="10"/>
      <c r="J884" s="10"/>
      <c r="K884" s="10"/>
      <c r="L884" s="143" t="s">
        <v>2939</v>
      </c>
      <c r="M884" s="144"/>
      <c r="N884" s="144"/>
      <c r="O884" s="144"/>
    </row>
    <row r="885">
      <c r="A885" s="138" t="s">
        <v>2941</v>
      </c>
      <c r="B885" s="155"/>
      <c r="C885" s="31">
        <v>0.05</v>
      </c>
      <c r="D885" s="139">
        <v>0.64</v>
      </c>
      <c r="E885" s="139">
        <v>0.64</v>
      </c>
      <c r="F885" s="52"/>
      <c r="G885" s="10"/>
      <c r="H885" s="10"/>
      <c r="I885" s="10"/>
      <c r="J885" s="10"/>
      <c r="K885" s="10"/>
      <c r="L885" s="143" t="s">
        <v>2940</v>
      </c>
      <c r="M885" s="144"/>
      <c r="N885" s="144"/>
      <c r="O885" s="144"/>
    </row>
    <row r="886">
      <c r="A886" s="138" t="s">
        <v>2942</v>
      </c>
      <c r="B886" s="155"/>
      <c r="C886" s="31">
        <v>0.05</v>
      </c>
      <c r="D886" s="139">
        <v>0.64</v>
      </c>
      <c r="E886" s="139">
        <v>0.64</v>
      </c>
      <c r="F886" s="52"/>
      <c r="G886" s="10"/>
      <c r="H886" s="10"/>
      <c r="I886" s="10"/>
      <c r="J886" s="10"/>
      <c r="K886" s="10"/>
      <c r="L886" s="143" t="s">
        <v>2941</v>
      </c>
      <c r="M886" s="144"/>
      <c r="N886" s="144"/>
      <c r="O886" s="144"/>
    </row>
    <row r="887">
      <c r="A887" s="138" t="s">
        <v>2943</v>
      </c>
      <c r="B887" s="155"/>
      <c r="C887" s="31">
        <v>0.05</v>
      </c>
      <c r="D887" s="139">
        <v>0.64</v>
      </c>
      <c r="E887" s="139">
        <v>0.64</v>
      </c>
      <c r="F887" s="52"/>
      <c r="G887" s="10"/>
      <c r="H887" s="10"/>
      <c r="I887" s="10"/>
      <c r="J887" s="10"/>
      <c r="K887" s="10"/>
      <c r="L887" s="143" t="s">
        <v>2942</v>
      </c>
      <c r="M887" s="144"/>
      <c r="N887" s="144"/>
      <c r="O887" s="144"/>
    </row>
    <row r="888">
      <c r="A888" s="138" t="s">
        <v>2944</v>
      </c>
      <c r="B888" s="155"/>
      <c r="C888" s="31">
        <v>0.05</v>
      </c>
      <c r="D888" s="139">
        <v>0.64</v>
      </c>
      <c r="E888" s="139">
        <v>0.64</v>
      </c>
      <c r="F888" s="52"/>
      <c r="G888" s="10"/>
      <c r="H888" s="10"/>
      <c r="I888" s="10"/>
      <c r="J888" s="10"/>
      <c r="K888" s="10"/>
      <c r="L888" s="143" t="s">
        <v>2943</v>
      </c>
      <c r="M888" s="144"/>
      <c r="N888" s="144"/>
      <c r="O888" s="144"/>
    </row>
    <row r="889">
      <c r="A889" s="138" t="s">
        <v>2945</v>
      </c>
      <c r="B889" s="155"/>
      <c r="C889" s="31">
        <v>0.05</v>
      </c>
      <c r="D889" s="139">
        <v>0.64</v>
      </c>
      <c r="E889" s="139">
        <v>0.64</v>
      </c>
      <c r="F889" s="52"/>
      <c r="G889" s="10"/>
      <c r="H889" s="10"/>
      <c r="I889" s="10"/>
      <c r="J889" s="10"/>
      <c r="K889" s="10"/>
      <c r="L889" s="143" t="s">
        <v>2944</v>
      </c>
      <c r="M889" s="144"/>
      <c r="N889" s="144"/>
      <c r="O889" s="144"/>
    </row>
    <row r="890">
      <c r="A890" s="138" t="s">
        <v>2946</v>
      </c>
      <c r="B890" s="155"/>
      <c r="C890" s="31">
        <v>0.05</v>
      </c>
      <c r="D890" s="139">
        <v>0.64</v>
      </c>
      <c r="E890" s="139">
        <v>0.64</v>
      </c>
      <c r="F890" s="52"/>
      <c r="G890" s="10"/>
      <c r="H890" s="10"/>
      <c r="I890" s="10"/>
      <c r="J890" s="10"/>
      <c r="K890" s="10"/>
      <c r="L890" s="143" t="s">
        <v>2945</v>
      </c>
      <c r="M890" s="144"/>
      <c r="N890" s="144"/>
      <c r="O890" s="144"/>
    </row>
    <row r="891">
      <c r="A891" s="138" t="s">
        <v>2947</v>
      </c>
      <c r="B891" s="155"/>
      <c r="C891" s="31">
        <v>0.05</v>
      </c>
      <c r="D891" s="139">
        <v>0.64</v>
      </c>
      <c r="E891" s="139">
        <v>0.64</v>
      </c>
      <c r="F891" s="52"/>
      <c r="G891" s="10"/>
      <c r="H891" s="10"/>
      <c r="I891" s="10"/>
      <c r="J891" s="10"/>
      <c r="K891" s="10"/>
      <c r="L891" s="143" t="s">
        <v>2946</v>
      </c>
      <c r="M891" s="144"/>
      <c r="N891" s="144"/>
      <c r="O891" s="144"/>
    </row>
    <row r="892">
      <c r="A892" s="138" t="s">
        <v>2948</v>
      </c>
      <c r="B892" s="155"/>
      <c r="C892" s="31">
        <v>0.05</v>
      </c>
      <c r="D892" s="139">
        <v>0.64</v>
      </c>
      <c r="E892" s="139">
        <v>0.64</v>
      </c>
      <c r="F892" s="52"/>
      <c r="G892" s="10"/>
      <c r="H892" s="10"/>
      <c r="I892" s="10"/>
      <c r="J892" s="10"/>
      <c r="K892" s="10"/>
      <c r="L892" s="143" t="s">
        <v>2947</v>
      </c>
      <c r="M892" s="144"/>
      <c r="N892" s="144"/>
      <c r="O892" s="144"/>
    </row>
    <row r="893">
      <c r="A893" s="138" t="s">
        <v>2949</v>
      </c>
      <c r="B893" s="155"/>
      <c r="C893" s="31">
        <v>0.05</v>
      </c>
      <c r="D893" s="139">
        <v>0.64</v>
      </c>
      <c r="E893" s="139">
        <v>0.64</v>
      </c>
      <c r="F893" s="52"/>
      <c r="G893" s="10"/>
      <c r="H893" s="10"/>
      <c r="I893" s="10"/>
      <c r="J893" s="10"/>
      <c r="K893" s="10"/>
      <c r="L893" s="143" t="s">
        <v>2948</v>
      </c>
      <c r="M893" s="144"/>
      <c r="N893" s="144"/>
      <c r="O893" s="144"/>
    </row>
    <row r="894">
      <c r="A894" s="138" t="s">
        <v>2950</v>
      </c>
      <c r="B894" s="155"/>
      <c r="C894" s="31">
        <v>0.05</v>
      </c>
      <c r="D894" s="139">
        <v>0.64</v>
      </c>
      <c r="E894" s="139">
        <v>0.64</v>
      </c>
      <c r="F894" s="52"/>
      <c r="G894" s="10"/>
      <c r="H894" s="10"/>
      <c r="I894" s="10"/>
      <c r="J894" s="10"/>
      <c r="K894" s="10"/>
      <c r="L894" s="143" t="s">
        <v>2949</v>
      </c>
      <c r="M894" s="144"/>
      <c r="N894" s="144"/>
      <c r="O894" s="144"/>
    </row>
    <row r="895">
      <c r="A895" s="138" t="s">
        <v>2951</v>
      </c>
      <c r="B895" s="155"/>
      <c r="C895" s="31">
        <v>0.05</v>
      </c>
      <c r="D895" s="139">
        <v>0.64</v>
      </c>
      <c r="E895" s="139">
        <v>0.64</v>
      </c>
      <c r="F895" s="52"/>
      <c r="G895" s="10"/>
      <c r="H895" s="10"/>
      <c r="I895" s="10"/>
      <c r="J895" s="10"/>
      <c r="K895" s="10"/>
      <c r="L895" s="143" t="s">
        <v>2950</v>
      </c>
      <c r="M895" s="144"/>
      <c r="N895" s="144"/>
      <c r="O895" s="144"/>
    </row>
    <row r="896">
      <c r="A896" s="138" t="s">
        <v>2952</v>
      </c>
      <c r="B896" s="155"/>
      <c r="C896" s="31">
        <v>0.05</v>
      </c>
      <c r="D896" s="139">
        <v>0.64</v>
      </c>
      <c r="E896" s="139">
        <v>0.64</v>
      </c>
      <c r="F896" s="52"/>
      <c r="G896" s="10"/>
      <c r="H896" s="10"/>
      <c r="I896" s="10"/>
      <c r="J896" s="10"/>
      <c r="K896" s="10"/>
      <c r="L896" s="143" t="s">
        <v>2951</v>
      </c>
      <c r="M896" s="144"/>
      <c r="N896" s="144"/>
      <c r="O896" s="144"/>
    </row>
    <row r="897">
      <c r="A897" s="138" t="s">
        <v>2953</v>
      </c>
      <c r="B897" s="155"/>
      <c r="C897" s="31">
        <v>0.05</v>
      </c>
      <c r="D897" s="139">
        <v>0.64</v>
      </c>
      <c r="E897" s="139">
        <v>0.64</v>
      </c>
      <c r="F897" s="52"/>
      <c r="G897" s="10"/>
      <c r="H897" s="10"/>
      <c r="I897" s="10"/>
      <c r="J897" s="10"/>
      <c r="K897" s="10"/>
      <c r="L897" s="143" t="s">
        <v>2952</v>
      </c>
      <c r="M897" s="144"/>
      <c r="N897" s="144"/>
      <c r="O897" s="144"/>
    </row>
    <row r="898">
      <c r="A898" s="138" t="s">
        <v>2954</v>
      </c>
      <c r="B898" s="155"/>
      <c r="C898" s="31">
        <v>0.05</v>
      </c>
      <c r="D898" s="139">
        <v>0.64</v>
      </c>
      <c r="E898" s="139">
        <v>0.64</v>
      </c>
      <c r="F898" s="52"/>
      <c r="G898" s="10"/>
      <c r="H898" s="10"/>
      <c r="I898" s="10"/>
      <c r="J898" s="10"/>
      <c r="K898" s="10"/>
      <c r="L898" s="143" t="s">
        <v>2953</v>
      </c>
      <c r="M898" s="144"/>
      <c r="N898" s="144"/>
      <c r="O898" s="144"/>
    </row>
    <row r="899">
      <c r="A899" s="138" t="s">
        <v>2955</v>
      </c>
      <c r="B899" s="155"/>
      <c r="C899" s="31">
        <v>0.05</v>
      </c>
      <c r="D899" s="139">
        <v>0.64</v>
      </c>
      <c r="E899" s="139">
        <v>0.64</v>
      </c>
      <c r="F899" s="52"/>
      <c r="G899" s="10"/>
      <c r="H899" s="10"/>
      <c r="I899" s="10"/>
      <c r="J899" s="10"/>
      <c r="K899" s="10"/>
      <c r="L899" s="143" t="s">
        <v>2954</v>
      </c>
      <c r="M899" s="144"/>
      <c r="N899" s="144"/>
      <c r="O899" s="144"/>
    </row>
    <row r="900">
      <c r="A900" s="138" t="s">
        <v>2956</v>
      </c>
      <c r="B900" s="155"/>
      <c r="C900" s="31">
        <v>0.05</v>
      </c>
      <c r="D900" s="139">
        <v>0.64</v>
      </c>
      <c r="E900" s="139">
        <v>0.64</v>
      </c>
      <c r="F900" s="52"/>
      <c r="G900" s="10"/>
      <c r="H900" s="10"/>
      <c r="I900" s="10"/>
      <c r="J900" s="10"/>
      <c r="K900" s="10"/>
      <c r="L900" s="143" t="s">
        <v>2955</v>
      </c>
      <c r="M900" s="144"/>
      <c r="N900" s="144"/>
      <c r="O900" s="144"/>
    </row>
    <row r="901">
      <c r="A901" s="138" t="s">
        <v>2957</v>
      </c>
      <c r="B901" s="155"/>
      <c r="C901" s="31">
        <v>0.05</v>
      </c>
      <c r="D901" s="139">
        <v>0.64</v>
      </c>
      <c r="E901" s="139">
        <v>0.64</v>
      </c>
      <c r="F901" s="52"/>
      <c r="G901" s="10"/>
      <c r="H901" s="10"/>
      <c r="I901" s="10"/>
      <c r="J901" s="10"/>
      <c r="K901" s="10"/>
      <c r="L901" s="143" t="s">
        <v>2956</v>
      </c>
      <c r="M901" s="144"/>
      <c r="N901" s="144"/>
      <c r="O901" s="144"/>
    </row>
    <row r="902">
      <c r="A902" s="138" t="s">
        <v>2958</v>
      </c>
      <c r="B902" s="155"/>
      <c r="C902" s="31">
        <v>0.05</v>
      </c>
      <c r="D902" s="139">
        <v>0.64</v>
      </c>
      <c r="E902" s="139">
        <v>0.64</v>
      </c>
      <c r="F902" s="52"/>
      <c r="G902" s="10"/>
      <c r="H902" s="10"/>
      <c r="I902" s="10"/>
      <c r="J902" s="10"/>
      <c r="K902" s="10"/>
      <c r="L902" s="143" t="s">
        <v>2957</v>
      </c>
      <c r="M902" s="144"/>
      <c r="N902" s="144"/>
      <c r="O902" s="144"/>
    </row>
    <row r="903">
      <c r="A903" s="138" t="s">
        <v>2959</v>
      </c>
      <c r="B903" s="155"/>
      <c r="C903" s="31">
        <v>0.05</v>
      </c>
      <c r="D903" s="139">
        <v>0.64</v>
      </c>
      <c r="E903" s="139">
        <v>0.64</v>
      </c>
      <c r="F903" s="52"/>
      <c r="G903" s="10"/>
      <c r="H903" s="10"/>
      <c r="I903" s="10"/>
      <c r="J903" s="10"/>
      <c r="K903" s="10"/>
      <c r="L903" s="143" t="s">
        <v>2958</v>
      </c>
      <c r="M903" s="144"/>
      <c r="N903" s="144"/>
      <c r="O903" s="144"/>
    </row>
    <row r="904">
      <c r="A904" s="138" t="s">
        <v>2960</v>
      </c>
      <c r="B904" s="155"/>
      <c r="C904" s="31">
        <v>0.05</v>
      </c>
      <c r="D904" s="139">
        <v>0.64</v>
      </c>
      <c r="E904" s="139">
        <v>0.64</v>
      </c>
      <c r="F904" s="52"/>
      <c r="G904" s="10"/>
      <c r="H904" s="10"/>
      <c r="I904" s="10"/>
      <c r="J904" s="10"/>
      <c r="K904" s="10"/>
      <c r="L904" s="143" t="s">
        <v>2959</v>
      </c>
      <c r="M904" s="144"/>
      <c r="N904" s="144"/>
      <c r="O904" s="144"/>
    </row>
    <row r="905">
      <c r="A905" s="138" t="s">
        <v>2961</v>
      </c>
      <c r="B905" s="155"/>
      <c r="C905" s="31">
        <v>0.05</v>
      </c>
      <c r="D905" s="139">
        <v>0.64</v>
      </c>
      <c r="E905" s="139">
        <v>0.64</v>
      </c>
      <c r="F905" s="52"/>
      <c r="G905" s="10"/>
      <c r="H905" s="10"/>
      <c r="I905" s="10"/>
      <c r="J905" s="10"/>
      <c r="K905" s="10"/>
      <c r="L905" s="143" t="s">
        <v>2960</v>
      </c>
      <c r="M905" s="144"/>
      <c r="N905" s="144"/>
      <c r="O905" s="144"/>
    </row>
    <row r="906">
      <c r="A906" s="138" t="s">
        <v>2962</v>
      </c>
      <c r="B906" s="155"/>
      <c r="C906" s="31">
        <v>0.05</v>
      </c>
      <c r="D906" s="139">
        <v>0.64</v>
      </c>
      <c r="E906" s="139">
        <v>0.64</v>
      </c>
      <c r="F906" s="52"/>
      <c r="G906" s="10"/>
      <c r="H906" s="10"/>
      <c r="I906" s="10"/>
      <c r="J906" s="10"/>
      <c r="K906" s="10"/>
      <c r="L906" s="143" t="s">
        <v>2961</v>
      </c>
      <c r="M906" s="144"/>
      <c r="N906" s="144"/>
      <c r="O906" s="144"/>
    </row>
    <row r="907">
      <c r="A907" s="138" t="s">
        <v>2963</v>
      </c>
      <c r="B907" s="155"/>
      <c r="C907" s="31">
        <v>0.05</v>
      </c>
      <c r="D907" s="139">
        <v>0.64</v>
      </c>
      <c r="E907" s="139">
        <v>0.64</v>
      </c>
      <c r="F907" s="52"/>
      <c r="G907" s="10"/>
      <c r="H907" s="10"/>
      <c r="I907" s="10"/>
      <c r="J907" s="10"/>
      <c r="K907" s="10"/>
      <c r="L907" s="143" t="s">
        <v>2962</v>
      </c>
      <c r="M907" s="144"/>
      <c r="N907" s="144"/>
      <c r="O907" s="144"/>
    </row>
    <row r="908">
      <c r="A908" s="138" t="s">
        <v>2964</v>
      </c>
      <c r="B908" s="155"/>
      <c r="C908" s="31">
        <v>0.05</v>
      </c>
      <c r="D908" s="139">
        <v>0.64</v>
      </c>
      <c r="E908" s="139">
        <v>0.64</v>
      </c>
      <c r="F908" s="52"/>
      <c r="G908" s="10"/>
      <c r="H908" s="10"/>
      <c r="I908" s="10"/>
      <c r="J908" s="10"/>
      <c r="K908" s="10"/>
      <c r="L908" s="143" t="s">
        <v>2963</v>
      </c>
      <c r="M908" s="144"/>
      <c r="N908" s="144"/>
      <c r="O908" s="144"/>
    </row>
    <row r="909">
      <c r="A909" s="138" t="s">
        <v>2965</v>
      </c>
      <c r="B909" s="155"/>
      <c r="C909" s="31">
        <v>0.05</v>
      </c>
      <c r="D909" s="139">
        <v>0.64</v>
      </c>
      <c r="E909" s="139">
        <v>0.64</v>
      </c>
      <c r="F909" s="52"/>
      <c r="G909" s="10"/>
      <c r="H909" s="10"/>
      <c r="I909" s="10"/>
      <c r="J909" s="10"/>
      <c r="K909" s="10"/>
      <c r="L909" s="143" t="s">
        <v>2964</v>
      </c>
      <c r="M909" s="144"/>
      <c r="N909" s="144"/>
      <c r="O909" s="144"/>
    </row>
    <row r="910">
      <c r="A910" s="138" t="s">
        <v>2966</v>
      </c>
      <c r="B910" s="155"/>
      <c r="C910" s="31">
        <v>0.05</v>
      </c>
      <c r="D910" s="139">
        <v>0.64</v>
      </c>
      <c r="E910" s="139">
        <v>0.64</v>
      </c>
      <c r="F910" s="52"/>
      <c r="G910" s="10"/>
      <c r="H910" s="10"/>
      <c r="I910" s="10"/>
      <c r="J910" s="10"/>
      <c r="K910" s="10"/>
      <c r="L910" s="143" t="s">
        <v>2965</v>
      </c>
      <c r="M910" s="144"/>
      <c r="N910" s="144"/>
      <c r="O910" s="144"/>
    </row>
    <row r="911">
      <c r="A911" s="138" t="s">
        <v>2967</v>
      </c>
      <c r="B911" s="155"/>
      <c r="C911" s="31">
        <v>0.05</v>
      </c>
      <c r="D911" s="139">
        <v>0.64</v>
      </c>
      <c r="E911" s="139">
        <v>0.64</v>
      </c>
      <c r="F911" s="52"/>
      <c r="G911" s="10"/>
      <c r="H911" s="10"/>
      <c r="I911" s="10"/>
      <c r="J911" s="10"/>
      <c r="K911" s="10"/>
      <c r="L911" s="143" t="s">
        <v>2966</v>
      </c>
      <c r="M911" s="144"/>
      <c r="N911" s="144"/>
      <c r="O911" s="144"/>
    </row>
    <row r="912">
      <c r="A912" s="138" t="s">
        <v>2968</v>
      </c>
      <c r="B912" s="155"/>
      <c r="C912" s="31">
        <v>0.05</v>
      </c>
      <c r="D912" s="139">
        <v>0.64</v>
      </c>
      <c r="E912" s="139">
        <v>0.64</v>
      </c>
      <c r="F912" s="52"/>
      <c r="G912" s="10"/>
      <c r="H912" s="10"/>
      <c r="I912" s="10"/>
      <c r="J912" s="10"/>
      <c r="K912" s="10"/>
      <c r="L912" s="143" t="s">
        <v>2967</v>
      </c>
      <c r="M912" s="144"/>
      <c r="N912" s="144"/>
      <c r="O912" s="144"/>
    </row>
    <row r="913">
      <c r="A913" s="138" t="s">
        <v>2969</v>
      </c>
      <c r="B913" s="155"/>
      <c r="C913" s="31">
        <v>0.05</v>
      </c>
      <c r="D913" s="139">
        <v>0.64</v>
      </c>
      <c r="E913" s="139">
        <v>0.64</v>
      </c>
      <c r="F913" s="52"/>
      <c r="G913" s="10"/>
      <c r="H913" s="10"/>
      <c r="I913" s="10"/>
      <c r="J913" s="10"/>
      <c r="K913" s="10"/>
      <c r="L913" s="143" t="s">
        <v>2968</v>
      </c>
      <c r="M913" s="144"/>
      <c r="N913" s="144"/>
      <c r="O913" s="144"/>
    </row>
    <row r="914">
      <c r="A914" s="138" t="s">
        <v>2970</v>
      </c>
      <c r="B914" s="155"/>
      <c r="C914" s="31">
        <v>0.05</v>
      </c>
      <c r="D914" s="139">
        <v>0.64</v>
      </c>
      <c r="E914" s="139">
        <v>0.64</v>
      </c>
      <c r="F914" s="52"/>
      <c r="G914" s="10"/>
      <c r="H914" s="10"/>
      <c r="I914" s="10"/>
      <c r="J914" s="10"/>
      <c r="K914" s="10"/>
      <c r="L914" s="143" t="s">
        <v>2969</v>
      </c>
      <c r="M914" s="144"/>
      <c r="N914" s="144"/>
      <c r="O914" s="144"/>
    </row>
    <row r="915">
      <c r="A915" s="138" t="s">
        <v>2971</v>
      </c>
      <c r="B915" s="155"/>
      <c r="C915" s="31">
        <v>0.05</v>
      </c>
      <c r="D915" s="139">
        <v>0.64</v>
      </c>
      <c r="E915" s="139">
        <v>0.64</v>
      </c>
      <c r="F915" s="52"/>
      <c r="G915" s="10"/>
      <c r="H915" s="10"/>
      <c r="I915" s="10"/>
      <c r="J915" s="10"/>
      <c r="K915" s="10"/>
      <c r="L915" s="143" t="s">
        <v>2970</v>
      </c>
      <c r="M915" s="144"/>
      <c r="N915" s="144"/>
      <c r="O915" s="144"/>
    </row>
    <row r="916">
      <c r="A916" s="138" t="s">
        <v>2972</v>
      </c>
      <c r="B916" s="155"/>
      <c r="C916" s="31">
        <v>0.05</v>
      </c>
      <c r="D916" s="139">
        <v>0.64</v>
      </c>
      <c r="E916" s="139">
        <v>0.64</v>
      </c>
      <c r="F916" s="52"/>
      <c r="G916" s="10"/>
      <c r="H916" s="10"/>
      <c r="I916" s="10"/>
      <c r="J916" s="10"/>
      <c r="K916" s="10"/>
      <c r="L916" s="143" t="s">
        <v>2971</v>
      </c>
      <c r="M916" s="144"/>
      <c r="N916" s="144"/>
      <c r="O916" s="144"/>
    </row>
    <row r="917">
      <c r="A917" s="138" t="s">
        <v>2973</v>
      </c>
      <c r="B917" s="155"/>
      <c r="C917" s="31">
        <v>0.05</v>
      </c>
      <c r="D917" s="139">
        <v>0.64</v>
      </c>
      <c r="E917" s="139">
        <v>0.64</v>
      </c>
      <c r="F917" s="52"/>
      <c r="G917" s="10"/>
      <c r="H917" s="10"/>
      <c r="I917" s="10"/>
      <c r="J917" s="10"/>
      <c r="K917" s="10"/>
      <c r="L917" s="143" t="s">
        <v>2972</v>
      </c>
      <c r="M917" s="144"/>
      <c r="N917" s="144"/>
      <c r="O917" s="144"/>
    </row>
    <row r="918">
      <c r="A918" s="138" t="s">
        <v>2974</v>
      </c>
      <c r="B918" s="155"/>
      <c r="C918" s="31">
        <v>0.05</v>
      </c>
      <c r="D918" s="139">
        <v>0.64</v>
      </c>
      <c r="E918" s="139">
        <v>0.64</v>
      </c>
      <c r="F918" s="52"/>
      <c r="G918" s="10"/>
      <c r="H918" s="10"/>
      <c r="I918" s="10"/>
      <c r="J918" s="10"/>
      <c r="K918" s="10"/>
      <c r="L918" s="143" t="s">
        <v>2973</v>
      </c>
      <c r="M918" s="144"/>
      <c r="N918" s="144"/>
      <c r="O918" s="144"/>
    </row>
    <row r="919">
      <c r="A919" s="138" t="s">
        <v>2975</v>
      </c>
      <c r="B919" s="155"/>
      <c r="C919" s="31">
        <v>0.05</v>
      </c>
      <c r="D919" s="139">
        <v>0.64</v>
      </c>
      <c r="E919" s="139">
        <v>0.64</v>
      </c>
      <c r="F919" s="52"/>
      <c r="G919" s="10"/>
      <c r="H919" s="10"/>
      <c r="I919" s="10"/>
      <c r="J919" s="10"/>
      <c r="K919" s="10"/>
      <c r="L919" s="143" t="s">
        <v>2974</v>
      </c>
      <c r="M919" s="144"/>
      <c r="N919" s="144"/>
      <c r="O919" s="144"/>
    </row>
    <row r="920">
      <c r="A920" s="138" t="s">
        <v>2976</v>
      </c>
      <c r="B920" s="155"/>
      <c r="C920" s="31">
        <v>0.05</v>
      </c>
      <c r="D920" s="139">
        <v>0.64</v>
      </c>
      <c r="E920" s="139">
        <v>0.64</v>
      </c>
      <c r="F920" s="52"/>
      <c r="G920" s="10"/>
      <c r="H920" s="10"/>
      <c r="I920" s="10"/>
      <c r="J920" s="10"/>
      <c r="K920" s="10"/>
      <c r="L920" s="143" t="s">
        <v>2975</v>
      </c>
      <c r="M920" s="144"/>
      <c r="N920" s="144"/>
      <c r="O920" s="144"/>
    </row>
    <row r="921">
      <c r="A921" s="138" t="s">
        <v>2977</v>
      </c>
      <c r="B921" s="155"/>
      <c r="C921" s="31">
        <v>0.05</v>
      </c>
      <c r="D921" s="139">
        <v>0.64</v>
      </c>
      <c r="E921" s="139">
        <v>0.64</v>
      </c>
      <c r="F921" s="52"/>
      <c r="G921" s="10"/>
      <c r="H921" s="10"/>
      <c r="I921" s="10"/>
      <c r="J921" s="10"/>
      <c r="K921" s="10"/>
      <c r="L921" s="143" t="s">
        <v>2976</v>
      </c>
      <c r="M921" s="144"/>
      <c r="N921" s="144"/>
      <c r="O921" s="144"/>
    </row>
    <row r="922">
      <c r="A922" s="138" t="s">
        <v>2978</v>
      </c>
      <c r="B922" s="155"/>
      <c r="C922" s="31">
        <v>0.05</v>
      </c>
      <c r="D922" s="139">
        <v>0.64</v>
      </c>
      <c r="E922" s="139">
        <v>0.64</v>
      </c>
      <c r="F922" s="52"/>
      <c r="G922" s="10"/>
      <c r="H922" s="10"/>
      <c r="I922" s="10"/>
      <c r="J922" s="10"/>
      <c r="K922" s="10"/>
      <c r="L922" s="143" t="s">
        <v>2977</v>
      </c>
      <c r="M922" s="144"/>
      <c r="N922" s="144"/>
      <c r="O922" s="144"/>
    </row>
    <row r="923">
      <c r="A923" s="138" t="s">
        <v>2979</v>
      </c>
      <c r="B923" s="155"/>
      <c r="C923" s="31">
        <v>0.05</v>
      </c>
      <c r="D923" s="139">
        <v>0.64</v>
      </c>
      <c r="E923" s="139">
        <v>0.64</v>
      </c>
      <c r="F923" s="52"/>
      <c r="G923" s="10"/>
      <c r="H923" s="10"/>
      <c r="I923" s="10"/>
      <c r="J923" s="10"/>
      <c r="K923" s="10"/>
      <c r="L923" s="143" t="s">
        <v>2978</v>
      </c>
      <c r="M923" s="144"/>
      <c r="N923" s="144"/>
      <c r="O923" s="144"/>
    </row>
    <row r="924">
      <c r="A924" s="138" t="s">
        <v>2980</v>
      </c>
      <c r="B924" s="155"/>
      <c r="C924" s="31">
        <v>0.05</v>
      </c>
      <c r="D924" s="139">
        <v>0.64</v>
      </c>
      <c r="E924" s="139">
        <v>0.64</v>
      </c>
      <c r="F924" s="52"/>
      <c r="G924" s="10"/>
      <c r="H924" s="10"/>
      <c r="I924" s="10"/>
      <c r="J924" s="10"/>
      <c r="K924" s="10"/>
      <c r="L924" s="143" t="s">
        <v>2979</v>
      </c>
      <c r="M924" s="144"/>
      <c r="N924" s="144"/>
      <c r="O924" s="144"/>
    </row>
    <row r="925">
      <c r="A925" s="138" t="s">
        <v>2981</v>
      </c>
      <c r="B925" s="155"/>
      <c r="C925" s="31">
        <v>0.05</v>
      </c>
      <c r="D925" s="139">
        <v>0.64</v>
      </c>
      <c r="E925" s="139">
        <v>0.64</v>
      </c>
      <c r="F925" s="52"/>
      <c r="G925" s="10"/>
      <c r="H925" s="10"/>
      <c r="I925" s="10"/>
      <c r="J925" s="10"/>
      <c r="K925" s="10"/>
      <c r="L925" s="143" t="s">
        <v>2980</v>
      </c>
      <c r="M925" s="144"/>
      <c r="N925" s="144"/>
      <c r="O925" s="144"/>
    </row>
    <row r="926">
      <c r="A926" s="138" t="s">
        <v>2982</v>
      </c>
      <c r="B926" s="155"/>
      <c r="C926" s="31">
        <v>0.05</v>
      </c>
      <c r="D926" s="139">
        <v>0.64</v>
      </c>
      <c r="E926" s="139">
        <v>0.64</v>
      </c>
      <c r="F926" s="52"/>
      <c r="G926" s="10"/>
      <c r="H926" s="10"/>
      <c r="I926" s="10"/>
      <c r="J926" s="10"/>
      <c r="K926" s="10"/>
      <c r="L926" s="143" t="s">
        <v>2981</v>
      </c>
      <c r="M926" s="144"/>
      <c r="N926" s="144"/>
      <c r="O926" s="144"/>
    </row>
    <row r="927">
      <c r="A927" s="138" t="s">
        <v>2983</v>
      </c>
      <c r="B927" s="155"/>
      <c r="C927" s="31">
        <v>0.05</v>
      </c>
      <c r="D927" s="139">
        <v>0.64</v>
      </c>
      <c r="E927" s="139">
        <v>0.64</v>
      </c>
      <c r="F927" s="52"/>
      <c r="G927" s="10"/>
      <c r="H927" s="10"/>
      <c r="I927" s="10"/>
      <c r="J927" s="10"/>
      <c r="K927" s="10"/>
      <c r="L927" s="143" t="s">
        <v>2982</v>
      </c>
      <c r="M927" s="144"/>
      <c r="N927" s="144"/>
      <c r="O927" s="144"/>
    </row>
    <row r="928">
      <c r="A928" s="138" t="s">
        <v>2984</v>
      </c>
      <c r="B928" s="155"/>
      <c r="C928" s="31">
        <v>0.05</v>
      </c>
      <c r="D928" s="139">
        <v>0.64</v>
      </c>
      <c r="E928" s="139">
        <v>0.64</v>
      </c>
      <c r="F928" s="52"/>
      <c r="G928" s="10"/>
      <c r="H928" s="10"/>
      <c r="I928" s="10"/>
      <c r="J928" s="10"/>
      <c r="K928" s="10"/>
      <c r="L928" s="143" t="s">
        <v>2983</v>
      </c>
      <c r="M928" s="144"/>
      <c r="N928" s="144"/>
      <c r="O928" s="144"/>
    </row>
    <row r="929">
      <c r="A929" s="138" t="s">
        <v>2985</v>
      </c>
      <c r="B929" s="155"/>
      <c r="C929" s="31">
        <v>0.05</v>
      </c>
      <c r="D929" s="139">
        <v>0.64</v>
      </c>
      <c r="E929" s="139">
        <v>0.64</v>
      </c>
      <c r="F929" s="52"/>
      <c r="G929" s="10"/>
      <c r="H929" s="10"/>
      <c r="I929" s="10"/>
      <c r="J929" s="10"/>
      <c r="K929" s="10"/>
      <c r="L929" s="143" t="s">
        <v>2984</v>
      </c>
      <c r="M929" s="144"/>
      <c r="N929" s="144"/>
      <c r="O929" s="144"/>
    </row>
    <row r="930">
      <c r="A930" s="138" t="s">
        <v>2986</v>
      </c>
      <c r="B930" s="155"/>
      <c r="C930" s="31">
        <v>0.05</v>
      </c>
      <c r="D930" s="139">
        <v>0.64</v>
      </c>
      <c r="E930" s="139">
        <v>0.64</v>
      </c>
      <c r="F930" s="52"/>
      <c r="G930" s="10"/>
      <c r="H930" s="10"/>
      <c r="I930" s="10"/>
      <c r="J930" s="10"/>
      <c r="K930" s="10"/>
      <c r="L930" s="143" t="s">
        <v>2985</v>
      </c>
      <c r="M930" s="144"/>
      <c r="N930" s="144"/>
      <c r="O930" s="144"/>
    </row>
    <row r="931">
      <c r="A931" s="138" t="s">
        <v>2987</v>
      </c>
      <c r="B931" s="155"/>
      <c r="C931" s="31">
        <v>0.05</v>
      </c>
      <c r="D931" s="139">
        <v>0.64</v>
      </c>
      <c r="E931" s="139">
        <v>0.64</v>
      </c>
      <c r="F931" s="52"/>
      <c r="G931" s="10"/>
      <c r="H931" s="10"/>
      <c r="I931" s="10"/>
      <c r="J931" s="10"/>
      <c r="K931" s="10"/>
      <c r="L931" s="143" t="s">
        <v>2986</v>
      </c>
      <c r="M931" s="144"/>
      <c r="N931" s="144"/>
      <c r="O931" s="144"/>
    </row>
    <row r="932">
      <c r="A932" s="138" t="s">
        <v>2988</v>
      </c>
      <c r="B932" s="155"/>
      <c r="C932" s="31">
        <v>0.05</v>
      </c>
      <c r="D932" s="139">
        <v>0.64</v>
      </c>
      <c r="E932" s="139">
        <v>0.64</v>
      </c>
      <c r="F932" s="52"/>
      <c r="G932" s="10"/>
      <c r="H932" s="10"/>
      <c r="I932" s="10"/>
      <c r="J932" s="10"/>
      <c r="K932" s="10"/>
      <c r="L932" s="143" t="s">
        <v>2987</v>
      </c>
      <c r="M932" s="144"/>
      <c r="N932" s="144"/>
      <c r="O932" s="144"/>
    </row>
    <row r="933">
      <c r="A933" s="138" t="s">
        <v>2989</v>
      </c>
      <c r="B933" s="155"/>
      <c r="C933" s="31">
        <v>0.05</v>
      </c>
      <c r="D933" s="139">
        <v>0.64</v>
      </c>
      <c r="E933" s="139">
        <v>0.64</v>
      </c>
      <c r="F933" s="52"/>
      <c r="G933" s="10"/>
      <c r="H933" s="10"/>
      <c r="I933" s="10"/>
      <c r="J933" s="10"/>
      <c r="K933" s="10"/>
      <c r="L933" s="143" t="s">
        <v>2988</v>
      </c>
      <c r="M933" s="144"/>
      <c r="N933" s="144"/>
      <c r="O933" s="144"/>
    </row>
    <row r="934">
      <c r="A934" s="138" t="s">
        <v>2990</v>
      </c>
      <c r="B934" s="155"/>
      <c r="C934" s="31">
        <v>0.05</v>
      </c>
      <c r="D934" s="139">
        <v>0.64</v>
      </c>
      <c r="E934" s="139">
        <v>0.64</v>
      </c>
      <c r="F934" s="52"/>
      <c r="G934" s="10"/>
      <c r="H934" s="10"/>
      <c r="I934" s="10"/>
      <c r="J934" s="10"/>
      <c r="K934" s="10"/>
      <c r="L934" s="143" t="s">
        <v>2989</v>
      </c>
      <c r="M934" s="144"/>
      <c r="N934" s="144"/>
      <c r="O934" s="144"/>
    </row>
    <row r="935">
      <c r="A935" s="138" t="s">
        <v>2991</v>
      </c>
      <c r="B935" s="155"/>
      <c r="C935" s="31">
        <v>0.05</v>
      </c>
      <c r="D935" s="139">
        <v>0.64</v>
      </c>
      <c r="E935" s="139">
        <v>0.64</v>
      </c>
      <c r="F935" s="52"/>
      <c r="G935" s="10"/>
      <c r="H935" s="10"/>
      <c r="I935" s="10"/>
      <c r="J935" s="10"/>
      <c r="K935" s="10"/>
      <c r="L935" s="143" t="s">
        <v>2990</v>
      </c>
      <c r="M935" s="144"/>
      <c r="N935" s="144"/>
      <c r="O935" s="144"/>
    </row>
    <row r="936">
      <c r="A936" s="138" t="s">
        <v>2992</v>
      </c>
      <c r="B936" s="155"/>
      <c r="C936" s="31">
        <v>0.05</v>
      </c>
      <c r="D936" s="139">
        <v>0.64</v>
      </c>
      <c r="E936" s="139">
        <v>0.64</v>
      </c>
      <c r="F936" s="52"/>
      <c r="G936" s="10"/>
      <c r="H936" s="10"/>
      <c r="I936" s="10"/>
      <c r="J936" s="10"/>
      <c r="K936" s="10"/>
      <c r="L936" s="143" t="s">
        <v>2991</v>
      </c>
      <c r="M936" s="144"/>
      <c r="N936" s="144"/>
      <c r="O936" s="144"/>
    </row>
    <row r="937">
      <c r="A937" s="138" t="s">
        <v>2993</v>
      </c>
      <c r="B937" s="155"/>
      <c r="C937" s="31">
        <v>0.05</v>
      </c>
      <c r="D937" s="139">
        <v>0.64</v>
      </c>
      <c r="E937" s="139">
        <v>0.64</v>
      </c>
      <c r="F937" s="52"/>
      <c r="G937" s="10"/>
      <c r="H937" s="10"/>
      <c r="I937" s="10"/>
      <c r="J937" s="10"/>
      <c r="K937" s="10"/>
      <c r="L937" s="143" t="s">
        <v>2992</v>
      </c>
      <c r="M937" s="144"/>
      <c r="N937" s="144"/>
      <c r="O937" s="144"/>
    </row>
    <row r="938">
      <c r="A938" s="138" t="s">
        <v>2994</v>
      </c>
      <c r="B938" s="155"/>
      <c r="C938" s="31">
        <v>0.05</v>
      </c>
      <c r="D938" s="139">
        <v>0.64</v>
      </c>
      <c r="E938" s="139">
        <v>0.64</v>
      </c>
      <c r="F938" s="52"/>
      <c r="G938" s="10"/>
      <c r="H938" s="10"/>
      <c r="I938" s="10"/>
      <c r="J938" s="10"/>
      <c r="K938" s="10"/>
      <c r="L938" s="143" t="s">
        <v>2993</v>
      </c>
      <c r="M938" s="144"/>
      <c r="N938" s="144"/>
      <c r="O938" s="144"/>
    </row>
    <row r="939">
      <c r="A939" s="138" t="s">
        <v>2995</v>
      </c>
      <c r="B939" s="155"/>
      <c r="C939" s="31">
        <v>0.05</v>
      </c>
      <c r="D939" s="139">
        <v>0.64</v>
      </c>
      <c r="E939" s="139">
        <v>0.64</v>
      </c>
      <c r="F939" s="52"/>
      <c r="G939" s="10"/>
      <c r="H939" s="10"/>
      <c r="I939" s="10"/>
      <c r="J939" s="10"/>
      <c r="K939" s="10"/>
      <c r="L939" s="143" t="s">
        <v>2994</v>
      </c>
      <c r="M939" s="144"/>
      <c r="N939" s="144"/>
      <c r="O939" s="144"/>
    </row>
    <row r="940">
      <c r="A940" s="138" t="s">
        <v>2996</v>
      </c>
      <c r="B940" s="155"/>
      <c r="C940" s="31">
        <v>0.05</v>
      </c>
      <c r="D940" s="139">
        <v>0.64</v>
      </c>
      <c r="E940" s="139">
        <v>0.64</v>
      </c>
      <c r="F940" s="52"/>
      <c r="G940" s="10"/>
      <c r="H940" s="10"/>
      <c r="I940" s="10"/>
      <c r="J940" s="10"/>
      <c r="K940" s="10"/>
      <c r="L940" s="143" t="s">
        <v>2995</v>
      </c>
      <c r="M940" s="144"/>
      <c r="N940" s="144"/>
      <c r="O940" s="144"/>
    </row>
    <row r="941">
      <c r="A941" s="138" t="s">
        <v>2997</v>
      </c>
      <c r="B941" s="155"/>
      <c r="C941" s="31">
        <v>0.05</v>
      </c>
      <c r="D941" s="139">
        <v>0.64</v>
      </c>
      <c r="E941" s="139">
        <v>0.64</v>
      </c>
      <c r="F941" s="52"/>
      <c r="G941" s="10"/>
      <c r="H941" s="10"/>
      <c r="I941" s="10"/>
      <c r="J941" s="10"/>
      <c r="K941" s="10"/>
      <c r="L941" s="143" t="s">
        <v>2996</v>
      </c>
      <c r="M941" s="144"/>
      <c r="N941" s="144"/>
      <c r="O941" s="144"/>
    </row>
    <row r="942">
      <c r="A942" s="138" t="s">
        <v>2998</v>
      </c>
      <c r="B942" s="155"/>
      <c r="C942" s="31">
        <v>0.05</v>
      </c>
      <c r="D942" s="139">
        <v>0.64</v>
      </c>
      <c r="E942" s="139">
        <v>0.64</v>
      </c>
      <c r="F942" s="52"/>
      <c r="G942" s="10"/>
      <c r="H942" s="10"/>
      <c r="I942" s="10"/>
      <c r="J942" s="10"/>
      <c r="K942" s="10"/>
      <c r="L942" s="143" t="s">
        <v>2997</v>
      </c>
      <c r="M942" s="144"/>
      <c r="N942" s="144"/>
      <c r="O942" s="144"/>
    </row>
    <row r="943">
      <c r="A943" s="138" t="s">
        <v>2999</v>
      </c>
      <c r="B943" s="155"/>
      <c r="C943" s="31">
        <v>0.05</v>
      </c>
      <c r="D943" s="139">
        <v>0.64</v>
      </c>
      <c r="E943" s="139">
        <v>0.64</v>
      </c>
      <c r="F943" s="52"/>
      <c r="G943" s="10"/>
      <c r="H943" s="10"/>
      <c r="I943" s="10"/>
      <c r="J943" s="10"/>
      <c r="K943" s="10"/>
      <c r="L943" s="143" t="s">
        <v>2998</v>
      </c>
      <c r="M943" s="144"/>
      <c r="N943" s="144"/>
      <c r="O943" s="144"/>
    </row>
    <row r="944">
      <c r="A944" s="138" t="s">
        <v>3000</v>
      </c>
      <c r="B944" s="155"/>
      <c r="C944" s="31">
        <v>0.05</v>
      </c>
      <c r="D944" s="139">
        <v>0.64</v>
      </c>
      <c r="E944" s="139">
        <v>0.64</v>
      </c>
      <c r="F944" s="52"/>
      <c r="G944" s="10"/>
      <c r="H944" s="10"/>
      <c r="I944" s="10"/>
      <c r="J944" s="10"/>
      <c r="K944" s="10"/>
      <c r="L944" s="143" t="s">
        <v>2999</v>
      </c>
      <c r="M944" s="144"/>
      <c r="N944" s="144"/>
      <c r="O944" s="144"/>
    </row>
    <row r="945">
      <c r="A945" s="138" t="s">
        <v>3001</v>
      </c>
      <c r="B945" s="155"/>
      <c r="C945" s="31">
        <v>0.05</v>
      </c>
      <c r="D945" s="139">
        <v>0.64</v>
      </c>
      <c r="E945" s="139">
        <v>0.64</v>
      </c>
      <c r="F945" s="52"/>
      <c r="G945" s="10"/>
      <c r="H945" s="10"/>
      <c r="I945" s="10"/>
      <c r="J945" s="10"/>
      <c r="K945" s="10"/>
      <c r="L945" s="143" t="s">
        <v>3000</v>
      </c>
      <c r="M945" s="144"/>
      <c r="N945" s="144"/>
      <c r="O945" s="144"/>
    </row>
    <row r="946">
      <c r="A946" s="138" t="s">
        <v>3002</v>
      </c>
      <c r="B946" s="155"/>
      <c r="C946" s="31">
        <v>0.05</v>
      </c>
      <c r="D946" s="139">
        <v>0.64</v>
      </c>
      <c r="E946" s="139">
        <v>0.64</v>
      </c>
      <c r="F946" s="52"/>
      <c r="G946" s="10"/>
      <c r="H946" s="10"/>
      <c r="I946" s="10"/>
      <c r="J946" s="10"/>
      <c r="K946" s="10"/>
      <c r="L946" s="143" t="s">
        <v>3001</v>
      </c>
      <c r="M946" s="144"/>
      <c r="N946" s="144"/>
      <c r="O946" s="144"/>
    </row>
    <row r="947">
      <c r="A947" s="138" t="s">
        <v>3003</v>
      </c>
      <c r="B947" s="155"/>
      <c r="C947" s="31">
        <v>0.05</v>
      </c>
      <c r="D947" s="139">
        <v>0.64</v>
      </c>
      <c r="E947" s="139">
        <v>0.64</v>
      </c>
      <c r="F947" s="52"/>
      <c r="G947" s="10"/>
      <c r="H947" s="10"/>
      <c r="I947" s="10"/>
      <c r="J947" s="10"/>
      <c r="K947" s="10"/>
      <c r="L947" s="143" t="s">
        <v>3002</v>
      </c>
      <c r="M947" s="144"/>
      <c r="N947" s="144"/>
      <c r="O947" s="144"/>
    </row>
    <row r="948">
      <c r="A948" s="138" t="s">
        <v>3004</v>
      </c>
      <c r="B948" s="155"/>
      <c r="C948" s="31">
        <v>0.05</v>
      </c>
      <c r="D948" s="139">
        <v>0.64</v>
      </c>
      <c r="E948" s="139">
        <v>0.64</v>
      </c>
      <c r="F948" s="52"/>
      <c r="G948" s="10"/>
      <c r="H948" s="10"/>
      <c r="I948" s="10"/>
      <c r="J948" s="10"/>
      <c r="K948" s="10"/>
      <c r="L948" s="143" t="s">
        <v>3003</v>
      </c>
      <c r="M948" s="144"/>
      <c r="N948" s="144"/>
      <c r="O948" s="144"/>
    </row>
    <row r="949">
      <c r="A949" s="138" t="s">
        <v>3005</v>
      </c>
      <c r="B949" s="155"/>
      <c r="C949" s="31">
        <v>0.05</v>
      </c>
      <c r="D949" s="139">
        <v>0.64</v>
      </c>
      <c r="E949" s="139">
        <v>0.64</v>
      </c>
      <c r="F949" s="52"/>
      <c r="G949" s="10"/>
      <c r="H949" s="10"/>
      <c r="I949" s="10"/>
      <c r="J949" s="10"/>
      <c r="K949" s="10"/>
      <c r="L949" s="143" t="s">
        <v>3004</v>
      </c>
      <c r="M949" s="144"/>
      <c r="N949" s="144"/>
      <c r="O949" s="144"/>
    </row>
    <row r="950">
      <c r="A950" s="138" t="s">
        <v>3006</v>
      </c>
      <c r="B950" s="155"/>
      <c r="C950" s="31">
        <v>0.05</v>
      </c>
      <c r="D950" s="139">
        <v>0.64</v>
      </c>
      <c r="E950" s="139">
        <v>0.64</v>
      </c>
      <c r="F950" s="52"/>
      <c r="G950" s="10"/>
      <c r="H950" s="10"/>
      <c r="I950" s="10"/>
      <c r="J950" s="10"/>
      <c r="K950" s="10"/>
      <c r="L950" s="143" t="s">
        <v>3005</v>
      </c>
      <c r="M950" s="144"/>
      <c r="N950" s="144"/>
      <c r="O950" s="144"/>
    </row>
    <row r="951">
      <c r="A951" s="138" t="s">
        <v>3007</v>
      </c>
      <c r="B951" s="155"/>
      <c r="C951" s="31">
        <v>0.05</v>
      </c>
      <c r="D951" s="139">
        <v>0.64</v>
      </c>
      <c r="E951" s="139">
        <v>0.64</v>
      </c>
      <c r="F951" s="52"/>
      <c r="G951" s="10"/>
      <c r="H951" s="10"/>
      <c r="I951" s="10"/>
      <c r="J951" s="10"/>
      <c r="K951" s="10"/>
      <c r="L951" s="143" t="s">
        <v>3006</v>
      </c>
      <c r="M951" s="144"/>
      <c r="N951" s="144"/>
      <c r="O951" s="144"/>
    </row>
    <row r="952">
      <c r="A952" s="138" t="s">
        <v>3008</v>
      </c>
      <c r="B952" s="155"/>
      <c r="C952" s="31">
        <v>0.05</v>
      </c>
      <c r="D952" s="139">
        <v>0.64</v>
      </c>
      <c r="E952" s="139">
        <v>0.64</v>
      </c>
      <c r="F952" s="52"/>
      <c r="G952" s="10"/>
      <c r="H952" s="10"/>
      <c r="I952" s="10"/>
      <c r="J952" s="10"/>
      <c r="K952" s="10"/>
      <c r="L952" s="143" t="s">
        <v>3007</v>
      </c>
      <c r="M952" s="144"/>
      <c r="N952" s="144"/>
      <c r="O952" s="144"/>
    </row>
    <row r="953">
      <c r="A953" s="138" t="s">
        <v>3009</v>
      </c>
      <c r="B953" s="155"/>
      <c r="C953" s="31">
        <v>0.05</v>
      </c>
      <c r="D953" s="139">
        <v>0.64</v>
      </c>
      <c r="E953" s="139">
        <v>0.64</v>
      </c>
      <c r="F953" s="52"/>
      <c r="G953" s="10"/>
      <c r="H953" s="10"/>
      <c r="I953" s="10"/>
      <c r="J953" s="10"/>
      <c r="K953" s="10"/>
      <c r="L953" s="143" t="s">
        <v>3008</v>
      </c>
      <c r="M953" s="144"/>
      <c r="N953" s="144"/>
      <c r="O953" s="144"/>
    </row>
    <row r="954">
      <c r="A954" s="138" t="s">
        <v>621</v>
      </c>
      <c r="B954" s="155"/>
      <c r="C954" s="31">
        <v>0.05</v>
      </c>
      <c r="D954" s="139">
        <v>0.64</v>
      </c>
      <c r="E954" s="139">
        <v>0.64</v>
      </c>
      <c r="F954" s="52"/>
      <c r="G954" s="10"/>
      <c r="H954" s="10"/>
      <c r="I954" s="10"/>
      <c r="J954" s="10"/>
      <c r="K954" s="10"/>
      <c r="L954" s="143" t="s">
        <v>3009</v>
      </c>
      <c r="M954" s="144"/>
      <c r="N954" s="144"/>
      <c r="O954" s="144"/>
    </row>
    <row r="955">
      <c r="A955" s="138" t="s">
        <v>3010</v>
      </c>
      <c r="B955" s="155"/>
      <c r="C955" s="31">
        <v>0.05</v>
      </c>
      <c r="D955" s="139">
        <v>0.64</v>
      </c>
      <c r="E955" s="139">
        <v>0.64</v>
      </c>
      <c r="F955" s="52"/>
      <c r="G955" s="10"/>
      <c r="H955" s="10"/>
      <c r="I955" s="10"/>
      <c r="J955" s="10"/>
      <c r="K955" s="10"/>
      <c r="L955" s="143" t="s">
        <v>621</v>
      </c>
      <c r="M955" s="144"/>
      <c r="N955" s="144"/>
      <c r="O955" s="144"/>
    </row>
    <row r="956">
      <c r="A956" s="138" t="s">
        <v>3011</v>
      </c>
      <c r="B956" s="155"/>
      <c r="C956" s="31">
        <v>0.05</v>
      </c>
      <c r="D956" s="139">
        <v>0.64</v>
      </c>
      <c r="E956" s="139">
        <v>0.64</v>
      </c>
      <c r="F956" s="52"/>
      <c r="G956" s="10"/>
      <c r="H956" s="10"/>
      <c r="I956" s="10"/>
      <c r="J956" s="10"/>
      <c r="K956" s="10"/>
      <c r="L956" s="143" t="s">
        <v>3010</v>
      </c>
      <c r="M956" s="144"/>
      <c r="N956" s="144"/>
      <c r="O956" s="144"/>
    </row>
    <row r="957">
      <c r="A957" s="138" t="s">
        <v>3012</v>
      </c>
      <c r="B957" s="155"/>
      <c r="C957" s="31">
        <v>0.05</v>
      </c>
      <c r="D957" s="139">
        <v>0.64</v>
      </c>
      <c r="E957" s="139">
        <v>0.64</v>
      </c>
      <c r="F957" s="52"/>
      <c r="G957" s="10"/>
      <c r="H957" s="10"/>
      <c r="I957" s="10"/>
      <c r="J957" s="10"/>
      <c r="K957" s="10"/>
      <c r="L957" s="143" t="s">
        <v>3011</v>
      </c>
      <c r="M957" s="144"/>
      <c r="N957" s="144"/>
      <c r="O957" s="144"/>
    </row>
    <row r="958">
      <c r="A958" s="138" t="s">
        <v>3013</v>
      </c>
      <c r="B958" s="155"/>
      <c r="C958" s="31">
        <v>0.05</v>
      </c>
      <c r="D958" s="139">
        <v>0.64</v>
      </c>
      <c r="E958" s="139">
        <v>0.64</v>
      </c>
      <c r="F958" s="52"/>
      <c r="G958" s="10"/>
      <c r="H958" s="10"/>
      <c r="I958" s="10"/>
      <c r="J958" s="10"/>
      <c r="K958" s="10"/>
      <c r="L958" s="143" t="s">
        <v>3012</v>
      </c>
      <c r="M958" s="144"/>
      <c r="N958" s="144"/>
      <c r="O958" s="144"/>
    </row>
    <row r="959">
      <c r="A959" s="138" t="s">
        <v>3014</v>
      </c>
      <c r="B959" s="155"/>
      <c r="C959" s="31">
        <v>0.05</v>
      </c>
      <c r="D959" s="139">
        <v>0.64</v>
      </c>
      <c r="E959" s="139">
        <v>0.64</v>
      </c>
      <c r="F959" s="52"/>
      <c r="G959" s="10"/>
      <c r="H959" s="10"/>
      <c r="I959" s="10"/>
      <c r="J959" s="10"/>
      <c r="K959" s="10"/>
      <c r="L959" s="143" t="s">
        <v>3013</v>
      </c>
      <c r="M959" s="144"/>
      <c r="N959" s="144"/>
      <c r="O959" s="144"/>
    </row>
    <row r="960">
      <c r="A960" s="138" t="s">
        <v>3015</v>
      </c>
      <c r="B960" s="155"/>
      <c r="C960" s="31">
        <v>0.05</v>
      </c>
      <c r="D960" s="139">
        <v>0.64</v>
      </c>
      <c r="E960" s="139">
        <v>0.64</v>
      </c>
      <c r="F960" s="52"/>
      <c r="G960" s="10"/>
      <c r="H960" s="10"/>
      <c r="I960" s="10"/>
      <c r="J960" s="10"/>
      <c r="K960" s="10"/>
      <c r="L960" s="143" t="s">
        <v>3014</v>
      </c>
      <c r="M960" s="144"/>
      <c r="N960" s="144"/>
      <c r="O960" s="144"/>
    </row>
    <row r="961">
      <c r="A961" s="138" t="s">
        <v>3016</v>
      </c>
      <c r="B961" s="155"/>
      <c r="C961" s="31">
        <v>0.05</v>
      </c>
      <c r="D961" s="139">
        <v>0.64</v>
      </c>
      <c r="E961" s="139">
        <v>0.64</v>
      </c>
      <c r="F961" s="52"/>
      <c r="G961" s="10"/>
      <c r="H961" s="10"/>
      <c r="I961" s="10"/>
      <c r="J961" s="10"/>
      <c r="K961" s="10"/>
      <c r="L961" s="143" t="s">
        <v>3015</v>
      </c>
      <c r="M961" s="144"/>
      <c r="N961" s="144"/>
      <c r="O961" s="144"/>
    </row>
    <row r="962">
      <c r="A962" s="138" t="s">
        <v>3017</v>
      </c>
      <c r="B962" s="155"/>
      <c r="C962" s="31">
        <v>0.05</v>
      </c>
      <c r="D962" s="139">
        <v>0.64</v>
      </c>
      <c r="E962" s="139">
        <v>0.64</v>
      </c>
      <c r="F962" s="52"/>
      <c r="G962" s="10"/>
      <c r="H962" s="10"/>
      <c r="I962" s="10"/>
      <c r="J962" s="10"/>
      <c r="K962" s="10"/>
      <c r="L962" s="143" t="s">
        <v>3016</v>
      </c>
      <c r="M962" s="144"/>
      <c r="N962" s="144"/>
      <c r="O962" s="144"/>
    </row>
    <row r="963">
      <c r="A963" s="138" t="s">
        <v>3018</v>
      </c>
      <c r="B963" s="155"/>
      <c r="C963" s="31">
        <v>0.05</v>
      </c>
      <c r="D963" s="139">
        <v>0.64</v>
      </c>
      <c r="E963" s="139">
        <v>0.64</v>
      </c>
      <c r="F963" s="52"/>
      <c r="G963" s="10"/>
      <c r="H963" s="10"/>
      <c r="I963" s="10"/>
      <c r="J963" s="10"/>
      <c r="K963" s="10"/>
      <c r="L963" s="143" t="s">
        <v>3017</v>
      </c>
      <c r="M963" s="144"/>
      <c r="N963" s="144"/>
      <c r="O963" s="144"/>
    </row>
    <row r="964">
      <c r="A964" s="138" t="s">
        <v>3019</v>
      </c>
      <c r="B964" s="155"/>
      <c r="C964" s="31">
        <v>0.05</v>
      </c>
      <c r="D964" s="139">
        <v>0.64</v>
      </c>
      <c r="E964" s="139">
        <v>0.64</v>
      </c>
      <c r="F964" s="52"/>
      <c r="G964" s="10"/>
      <c r="H964" s="10"/>
      <c r="I964" s="10"/>
      <c r="J964" s="10"/>
      <c r="K964" s="10"/>
      <c r="L964" s="143" t="s">
        <v>3018</v>
      </c>
      <c r="M964" s="144"/>
      <c r="N964" s="144"/>
      <c r="O964" s="144"/>
    </row>
    <row r="965">
      <c r="A965" s="138" t="s">
        <v>3020</v>
      </c>
      <c r="B965" s="155"/>
      <c r="C965" s="31">
        <v>0.05</v>
      </c>
      <c r="D965" s="139">
        <v>0.64</v>
      </c>
      <c r="E965" s="139">
        <v>0.64</v>
      </c>
      <c r="F965" s="52"/>
      <c r="G965" s="10"/>
      <c r="H965" s="10"/>
      <c r="I965" s="10"/>
      <c r="J965" s="10"/>
      <c r="K965" s="10"/>
      <c r="L965" s="143" t="s">
        <v>3019</v>
      </c>
      <c r="M965" s="144"/>
      <c r="N965" s="144"/>
      <c r="O965" s="144"/>
    </row>
    <row r="966">
      <c r="A966" s="138" t="s">
        <v>3021</v>
      </c>
      <c r="B966" s="155"/>
      <c r="C966" s="31">
        <v>0.05</v>
      </c>
      <c r="D966" s="139">
        <v>0.64</v>
      </c>
      <c r="E966" s="139">
        <v>0.64</v>
      </c>
      <c r="F966" s="52"/>
      <c r="G966" s="10"/>
      <c r="H966" s="10"/>
      <c r="I966" s="10"/>
      <c r="J966" s="10"/>
      <c r="K966" s="10"/>
      <c r="L966" s="143" t="s">
        <v>3020</v>
      </c>
      <c r="M966" s="144"/>
      <c r="N966" s="144"/>
      <c r="O966" s="144"/>
    </row>
    <row r="967">
      <c r="A967" s="138" t="s">
        <v>3022</v>
      </c>
      <c r="B967" s="155"/>
      <c r="C967" s="31">
        <v>0.05</v>
      </c>
      <c r="D967" s="139">
        <v>0.64</v>
      </c>
      <c r="E967" s="139">
        <v>0.64</v>
      </c>
      <c r="F967" s="52"/>
      <c r="G967" s="10"/>
      <c r="H967" s="10"/>
      <c r="I967" s="10"/>
      <c r="J967" s="10"/>
      <c r="K967" s="10"/>
      <c r="L967" s="143" t="s">
        <v>3021</v>
      </c>
      <c r="M967" s="144"/>
      <c r="N967" s="144"/>
      <c r="O967" s="144"/>
    </row>
    <row r="968">
      <c r="A968" s="138" t="s">
        <v>3023</v>
      </c>
      <c r="B968" s="155"/>
      <c r="C968" s="31">
        <v>0.05</v>
      </c>
      <c r="D968" s="139">
        <v>0.64</v>
      </c>
      <c r="E968" s="139">
        <v>0.64</v>
      </c>
      <c r="F968" s="52"/>
      <c r="G968" s="10"/>
      <c r="H968" s="10"/>
      <c r="I968" s="10"/>
      <c r="J968" s="10"/>
      <c r="K968" s="10"/>
      <c r="L968" s="143" t="s">
        <v>3022</v>
      </c>
      <c r="M968" s="144"/>
      <c r="N968" s="144"/>
      <c r="O968" s="144"/>
    </row>
    <row r="969">
      <c r="A969" s="138" t="s">
        <v>3024</v>
      </c>
      <c r="B969" s="155"/>
      <c r="C969" s="31">
        <v>0.05</v>
      </c>
      <c r="D969" s="139">
        <v>0.64</v>
      </c>
      <c r="E969" s="139">
        <v>0.64</v>
      </c>
      <c r="F969" s="52"/>
      <c r="G969" s="10"/>
      <c r="H969" s="10"/>
      <c r="I969" s="10"/>
      <c r="J969" s="10"/>
      <c r="K969" s="10"/>
      <c r="L969" s="143" t="s">
        <v>3023</v>
      </c>
      <c r="M969" s="144"/>
      <c r="N969" s="144"/>
      <c r="O969" s="144"/>
    </row>
    <row r="970">
      <c r="A970" s="138" t="s">
        <v>3025</v>
      </c>
      <c r="B970" s="155"/>
      <c r="C970" s="31">
        <v>0.05</v>
      </c>
      <c r="D970" s="139">
        <v>0.64</v>
      </c>
      <c r="E970" s="139">
        <v>0.64</v>
      </c>
      <c r="F970" s="52"/>
      <c r="G970" s="10"/>
      <c r="H970" s="10"/>
      <c r="I970" s="10"/>
      <c r="J970" s="10"/>
      <c r="K970" s="10"/>
      <c r="L970" s="143" t="s">
        <v>3024</v>
      </c>
      <c r="M970" s="144"/>
      <c r="N970" s="144"/>
      <c r="O970" s="144"/>
    </row>
    <row r="971">
      <c r="A971" s="138" t="s">
        <v>3026</v>
      </c>
      <c r="B971" s="155"/>
      <c r="C971" s="31">
        <v>0.05</v>
      </c>
      <c r="D971" s="139">
        <v>0.64</v>
      </c>
      <c r="E971" s="139">
        <v>0.64</v>
      </c>
      <c r="F971" s="52"/>
      <c r="G971" s="10"/>
      <c r="H971" s="10"/>
      <c r="I971" s="10"/>
      <c r="J971" s="10"/>
      <c r="K971" s="10"/>
      <c r="L971" s="143" t="s">
        <v>3025</v>
      </c>
      <c r="M971" s="144"/>
      <c r="N971" s="144"/>
      <c r="O971" s="144"/>
    </row>
    <row r="972">
      <c r="A972" s="138" t="s">
        <v>3027</v>
      </c>
      <c r="B972" s="155"/>
      <c r="C972" s="31">
        <v>0.05</v>
      </c>
      <c r="D972" s="139">
        <v>0.64</v>
      </c>
      <c r="E972" s="139">
        <v>0.64</v>
      </c>
      <c r="F972" s="52"/>
      <c r="G972" s="10"/>
      <c r="H972" s="10"/>
      <c r="I972" s="10"/>
      <c r="J972" s="10"/>
      <c r="K972" s="10"/>
      <c r="L972" s="143" t="s">
        <v>3026</v>
      </c>
      <c r="M972" s="144"/>
      <c r="N972" s="144"/>
      <c r="O972" s="144"/>
    </row>
    <row r="973">
      <c r="A973" s="138" t="s">
        <v>3028</v>
      </c>
      <c r="B973" s="155"/>
      <c r="C973" s="31">
        <v>0.05</v>
      </c>
      <c r="D973" s="139">
        <v>0.64</v>
      </c>
      <c r="E973" s="139">
        <v>0.64</v>
      </c>
      <c r="F973" s="52"/>
      <c r="G973" s="10"/>
      <c r="H973" s="10"/>
      <c r="I973" s="10"/>
      <c r="J973" s="10"/>
      <c r="K973" s="10"/>
      <c r="L973" s="143" t="s">
        <v>3027</v>
      </c>
      <c r="M973" s="144"/>
      <c r="N973" s="144"/>
      <c r="O973" s="144"/>
    </row>
    <row r="974">
      <c r="A974" s="138" t="s">
        <v>3029</v>
      </c>
      <c r="B974" s="155"/>
      <c r="C974" s="31">
        <v>0.05</v>
      </c>
      <c r="D974" s="139">
        <v>0.64</v>
      </c>
      <c r="E974" s="139">
        <v>0.64</v>
      </c>
      <c r="F974" s="52"/>
      <c r="G974" s="10"/>
      <c r="H974" s="10"/>
      <c r="I974" s="10"/>
      <c r="J974" s="10"/>
      <c r="K974" s="10"/>
      <c r="L974" s="143" t="s">
        <v>3028</v>
      </c>
      <c r="M974" s="144"/>
      <c r="N974" s="144"/>
      <c r="O974" s="144"/>
    </row>
    <row r="975">
      <c r="A975" s="138" t="s">
        <v>3030</v>
      </c>
      <c r="B975" s="155"/>
      <c r="C975" s="31">
        <v>0.05</v>
      </c>
      <c r="D975" s="139">
        <v>0.64</v>
      </c>
      <c r="E975" s="139">
        <v>0.64</v>
      </c>
      <c r="F975" s="52"/>
      <c r="G975" s="10"/>
      <c r="H975" s="10"/>
      <c r="I975" s="10"/>
      <c r="J975" s="10"/>
      <c r="K975" s="10"/>
      <c r="L975" s="143" t="s">
        <v>3029</v>
      </c>
      <c r="M975" s="144"/>
      <c r="N975" s="144"/>
      <c r="O975" s="144"/>
    </row>
    <row r="976">
      <c r="A976" s="138" t="s">
        <v>3031</v>
      </c>
      <c r="B976" s="155"/>
      <c r="C976" s="31">
        <v>0.05</v>
      </c>
      <c r="D976" s="139">
        <v>0.64</v>
      </c>
      <c r="E976" s="139">
        <v>0.64</v>
      </c>
      <c r="F976" s="52"/>
      <c r="G976" s="10"/>
      <c r="H976" s="10"/>
      <c r="I976" s="10"/>
      <c r="J976" s="10"/>
      <c r="K976" s="10"/>
      <c r="L976" s="143" t="s">
        <v>3030</v>
      </c>
      <c r="M976" s="144"/>
      <c r="N976" s="144"/>
      <c r="O976" s="144"/>
    </row>
    <row r="977">
      <c r="A977" s="138" t="s">
        <v>3032</v>
      </c>
      <c r="B977" s="155"/>
      <c r="C977" s="31">
        <v>0.05</v>
      </c>
      <c r="D977" s="139">
        <v>0.64</v>
      </c>
      <c r="E977" s="139">
        <v>0.64</v>
      </c>
      <c r="F977" s="52"/>
      <c r="G977" s="10"/>
      <c r="H977" s="10"/>
      <c r="I977" s="10"/>
      <c r="J977" s="10"/>
      <c r="K977" s="10"/>
      <c r="L977" s="143" t="s">
        <v>3031</v>
      </c>
      <c r="M977" s="144"/>
      <c r="N977" s="144"/>
      <c r="O977" s="144"/>
    </row>
    <row r="978">
      <c r="A978" s="138" t="s">
        <v>3033</v>
      </c>
      <c r="B978" s="155"/>
      <c r="C978" s="31">
        <v>0.05</v>
      </c>
      <c r="D978" s="139">
        <v>0.64</v>
      </c>
      <c r="E978" s="139">
        <v>0.64</v>
      </c>
      <c r="F978" s="52"/>
      <c r="G978" s="10"/>
      <c r="H978" s="10"/>
      <c r="I978" s="10"/>
      <c r="J978" s="10"/>
      <c r="K978" s="10"/>
      <c r="L978" s="143" t="s">
        <v>3032</v>
      </c>
      <c r="M978" s="144"/>
      <c r="N978" s="144"/>
      <c r="O978" s="144"/>
    </row>
    <row r="979">
      <c r="A979" s="138" t="s">
        <v>3034</v>
      </c>
      <c r="B979" s="155"/>
      <c r="C979" s="31">
        <v>0.05</v>
      </c>
      <c r="D979" s="139">
        <v>0.64</v>
      </c>
      <c r="E979" s="139">
        <v>0.64</v>
      </c>
      <c r="F979" s="52"/>
      <c r="G979" s="10"/>
      <c r="H979" s="10"/>
      <c r="I979" s="10"/>
      <c r="J979" s="10"/>
      <c r="K979" s="10"/>
      <c r="L979" s="143" t="s">
        <v>3033</v>
      </c>
      <c r="M979" s="144"/>
      <c r="N979" s="144"/>
      <c r="O979" s="144"/>
    </row>
    <row r="980">
      <c r="A980" s="138" t="s">
        <v>3035</v>
      </c>
      <c r="B980" s="155"/>
      <c r="C980" s="31">
        <v>0.05</v>
      </c>
      <c r="D980" s="139">
        <v>0.64</v>
      </c>
      <c r="E980" s="139">
        <v>0.64</v>
      </c>
      <c r="F980" s="52"/>
      <c r="G980" s="10"/>
      <c r="H980" s="10"/>
      <c r="I980" s="10"/>
      <c r="J980" s="10"/>
      <c r="K980" s="10"/>
      <c r="L980" s="143" t="s">
        <v>3034</v>
      </c>
      <c r="M980" s="144"/>
      <c r="N980" s="144"/>
      <c r="O980" s="144"/>
    </row>
    <row r="981">
      <c r="A981" s="138" t="s">
        <v>3036</v>
      </c>
      <c r="B981" s="155"/>
      <c r="C981" s="31">
        <v>0.05</v>
      </c>
      <c r="D981" s="139">
        <v>0.64</v>
      </c>
      <c r="E981" s="139">
        <v>0.64</v>
      </c>
      <c r="F981" s="52"/>
      <c r="G981" s="10"/>
      <c r="H981" s="10"/>
      <c r="I981" s="10"/>
      <c r="J981" s="10"/>
      <c r="K981" s="10"/>
      <c r="L981" s="143" t="s">
        <v>3035</v>
      </c>
      <c r="M981" s="144"/>
      <c r="N981" s="144"/>
      <c r="O981" s="144"/>
    </row>
    <row r="982">
      <c r="A982" s="138" t="s">
        <v>3037</v>
      </c>
      <c r="B982" s="155"/>
      <c r="C982" s="31">
        <v>0.05</v>
      </c>
      <c r="D982" s="139">
        <v>0.64</v>
      </c>
      <c r="E982" s="139">
        <v>0.64</v>
      </c>
      <c r="F982" s="52"/>
      <c r="G982" s="10"/>
      <c r="H982" s="10"/>
      <c r="I982" s="10"/>
      <c r="J982" s="10"/>
      <c r="K982" s="10"/>
      <c r="L982" s="143" t="s">
        <v>3036</v>
      </c>
      <c r="M982" s="144"/>
      <c r="N982" s="144"/>
      <c r="O982" s="144"/>
    </row>
    <row r="983">
      <c r="A983" s="138" t="s">
        <v>3038</v>
      </c>
      <c r="B983" s="155"/>
      <c r="C983" s="31">
        <v>0.05</v>
      </c>
      <c r="D983" s="139">
        <v>0.64</v>
      </c>
      <c r="E983" s="139">
        <v>0.64</v>
      </c>
      <c r="F983" s="52"/>
      <c r="G983" s="10"/>
      <c r="H983" s="10"/>
      <c r="I983" s="10"/>
      <c r="J983" s="10"/>
      <c r="K983" s="10"/>
      <c r="L983" s="143" t="s">
        <v>3037</v>
      </c>
      <c r="M983" s="144"/>
      <c r="N983" s="144"/>
      <c r="O983" s="144"/>
    </row>
    <row r="984">
      <c r="A984" s="138" t="s">
        <v>3039</v>
      </c>
      <c r="B984" s="155"/>
      <c r="C984" s="31">
        <v>0.05</v>
      </c>
      <c r="D984" s="139">
        <v>0.64</v>
      </c>
      <c r="E984" s="139">
        <v>0.64</v>
      </c>
      <c r="F984" s="52"/>
      <c r="G984" s="10"/>
      <c r="H984" s="10"/>
      <c r="I984" s="10"/>
      <c r="J984" s="10"/>
      <c r="K984" s="10"/>
      <c r="L984" s="143" t="s">
        <v>3038</v>
      </c>
      <c r="M984" s="144"/>
      <c r="N984" s="144"/>
      <c r="O984" s="144"/>
    </row>
    <row r="985">
      <c r="A985" s="138" t="s">
        <v>3040</v>
      </c>
      <c r="B985" s="155"/>
      <c r="C985" s="31">
        <v>0.05</v>
      </c>
      <c r="D985" s="139">
        <v>0.64</v>
      </c>
      <c r="E985" s="139">
        <v>0.64</v>
      </c>
      <c r="F985" s="52"/>
      <c r="G985" s="10"/>
      <c r="H985" s="10"/>
      <c r="I985" s="10"/>
      <c r="J985" s="10"/>
      <c r="K985" s="10"/>
      <c r="L985" s="143" t="s">
        <v>3039</v>
      </c>
      <c r="M985" s="144"/>
      <c r="N985" s="144"/>
      <c r="O985" s="144"/>
    </row>
    <row r="986">
      <c r="A986" s="138" t="s">
        <v>3041</v>
      </c>
      <c r="B986" s="155"/>
      <c r="C986" s="31">
        <v>0.05</v>
      </c>
      <c r="D986" s="139">
        <v>0.64</v>
      </c>
      <c r="E986" s="139">
        <v>0.64</v>
      </c>
      <c r="F986" s="52"/>
      <c r="G986" s="10"/>
      <c r="H986" s="10"/>
      <c r="I986" s="10"/>
      <c r="J986" s="10"/>
      <c r="K986" s="10"/>
      <c r="L986" s="143" t="s">
        <v>3040</v>
      </c>
      <c r="M986" s="144"/>
      <c r="N986" s="144"/>
      <c r="O986" s="144"/>
    </row>
    <row r="987">
      <c r="A987" s="138" t="s">
        <v>3042</v>
      </c>
      <c r="B987" s="155"/>
      <c r="C987" s="31">
        <v>0.05</v>
      </c>
      <c r="D987" s="139">
        <v>0.64</v>
      </c>
      <c r="E987" s="139">
        <v>0.64</v>
      </c>
      <c r="F987" s="52"/>
      <c r="G987" s="10"/>
      <c r="H987" s="10"/>
      <c r="I987" s="10"/>
      <c r="J987" s="10"/>
      <c r="K987" s="10"/>
      <c r="L987" s="143" t="s">
        <v>3041</v>
      </c>
      <c r="M987" s="144"/>
      <c r="N987" s="144"/>
      <c r="O987" s="144"/>
    </row>
    <row r="988">
      <c r="A988" s="138" t="s">
        <v>3043</v>
      </c>
      <c r="B988" s="155"/>
      <c r="C988" s="31">
        <v>0.05</v>
      </c>
      <c r="D988" s="139">
        <v>0.64</v>
      </c>
      <c r="E988" s="139">
        <v>0.64</v>
      </c>
      <c r="F988" s="52"/>
      <c r="G988" s="10"/>
      <c r="H988" s="10"/>
      <c r="I988" s="10"/>
      <c r="J988" s="10"/>
      <c r="K988" s="10"/>
      <c r="L988" s="143" t="s">
        <v>3042</v>
      </c>
      <c r="M988" s="144"/>
      <c r="N988" s="144"/>
      <c r="O988" s="144"/>
    </row>
    <row r="989">
      <c r="A989" s="138" t="s">
        <v>3044</v>
      </c>
      <c r="B989" s="155"/>
      <c r="C989" s="31">
        <v>0.05</v>
      </c>
      <c r="D989" s="139">
        <v>0.64</v>
      </c>
      <c r="E989" s="139">
        <v>0.64</v>
      </c>
      <c r="F989" s="52"/>
      <c r="G989" s="10"/>
      <c r="H989" s="10"/>
      <c r="I989" s="10"/>
      <c r="J989" s="10"/>
      <c r="K989" s="10"/>
      <c r="L989" s="143" t="s">
        <v>3043</v>
      </c>
      <c r="M989" s="144"/>
      <c r="N989" s="144"/>
      <c r="O989" s="144"/>
    </row>
    <row r="990">
      <c r="A990" s="138" t="s">
        <v>3045</v>
      </c>
      <c r="B990" s="155"/>
      <c r="C990" s="31">
        <v>0.05</v>
      </c>
      <c r="D990" s="139">
        <v>0.64</v>
      </c>
      <c r="E990" s="139">
        <v>0.64</v>
      </c>
      <c r="F990" s="52"/>
      <c r="G990" s="10"/>
      <c r="H990" s="10"/>
      <c r="I990" s="10"/>
      <c r="J990" s="10"/>
      <c r="K990" s="10"/>
      <c r="L990" s="143" t="s">
        <v>3044</v>
      </c>
      <c r="M990" s="144"/>
      <c r="N990" s="144"/>
      <c r="O990" s="144"/>
    </row>
    <row r="991">
      <c r="A991" s="138" t="s">
        <v>3046</v>
      </c>
      <c r="B991" s="155"/>
      <c r="C991" s="31">
        <v>0.05</v>
      </c>
      <c r="D991" s="139">
        <v>0.64</v>
      </c>
      <c r="E991" s="139">
        <v>0.64</v>
      </c>
      <c r="F991" s="52"/>
      <c r="G991" s="10"/>
      <c r="H991" s="10"/>
      <c r="I991" s="10"/>
      <c r="J991" s="10"/>
      <c r="K991" s="10"/>
      <c r="L991" s="143" t="s">
        <v>3045</v>
      </c>
      <c r="M991" s="144"/>
      <c r="N991" s="144"/>
      <c r="O991" s="144"/>
    </row>
    <row r="992">
      <c r="A992" s="138" t="s">
        <v>3047</v>
      </c>
      <c r="B992" s="155"/>
      <c r="C992" s="31">
        <v>0.05</v>
      </c>
      <c r="D992" s="139">
        <v>0.64</v>
      </c>
      <c r="E992" s="139">
        <v>0.64</v>
      </c>
      <c r="F992" s="52"/>
      <c r="G992" s="10"/>
      <c r="H992" s="10"/>
      <c r="I992" s="10"/>
      <c r="J992" s="10"/>
      <c r="K992" s="10"/>
      <c r="L992" s="143" t="s">
        <v>3046</v>
      </c>
      <c r="M992" s="144"/>
      <c r="N992" s="144"/>
      <c r="O992" s="144"/>
    </row>
    <row r="993">
      <c r="A993" s="138" t="s">
        <v>3048</v>
      </c>
      <c r="B993" s="155"/>
      <c r="C993" s="31">
        <v>0.05</v>
      </c>
      <c r="D993" s="139">
        <v>0.64</v>
      </c>
      <c r="E993" s="139">
        <v>0.64</v>
      </c>
      <c r="F993" s="52"/>
      <c r="G993" s="10"/>
      <c r="H993" s="10"/>
      <c r="I993" s="10"/>
      <c r="J993" s="10"/>
      <c r="K993" s="10"/>
      <c r="L993" s="143" t="s">
        <v>3047</v>
      </c>
      <c r="M993" s="144"/>
      <c r="N993" s="144"/>
      <c r="O993" s="144"/>
    </row>
    <row r="994">
      <c r="A994" s="138" t="s">
        <v>3049</v>
      </c>
      <c r="B994" s="155"/>
      <c r="C994" s="31">
        <v>0.05</v>
      </c>
      <c r="D994" s="139">
        <v>0.64</v>
      </c>
      <c r="E994" s="139">
        <v>0.64</v>
      </c>
      <c r="F994" s="52"/>
      <c r="G994" s="10"/>
      <c r="H994" s="10"/>
      <c r="I994" s="10"/>
      <c r="J994" s="10"/>
      <c r="K994" s="10"/>
      <c r="L994" s="143" t="s">
        <v>3048</v>
      </c>
      <c r="M994" s="144"/>
      <c r="N994" s="144"/>
      <c r="O994" s="144"/>
    </row>
    <row r="995">
      <c r="A995" s="138" t="s">
        <v>3050</v>
      </c>
      <c r="B995" s="155"/>
      <c r="C995" s="31">
        <v>0.05</v>
      </c>
      <c r="D995" s="139">
        <v>0.64</v>
      </c>
      <c r="E995" s="139">
        <v>0.64</v>
      </c>
      <c r="F995" s="52"/>
      <c r="G995" s="10"/>
      <c r="H995" s="10"/>
      <c r="I995" s="10"/>
      <c r="J995" s="10"/>
      <c r="K995" s="10"/>
      <c r="L995" s="143" t="s">
        <v>3049</v>
      </c>
      <c r="M995" s="144"/>
      <c r="N995" s="144"/>
      <c r="O995" s="144"/>
    </row>
    <row r="996">
      <c r="A996" s="138" t="s">
        <v>3051</v>
      </c>
      <c r="B996" s="155"/>
      <c r="C996" s="31">
        <v>0.05</v>
      </c>
      <c r="D996" s="139">
        <v>0.64</v>
      </c>
      <c r="E996" s="139">
        <v>0.64</v>
      </c>
      <c r="F996" s="52"/>
      <c r="G996" s="10"/>
      <c r="H996" s="10"/>
      <c r="I996" s="10"/>
      <c r="J996" s="10"/>
      <c r="K996" s="10"/>
      <c r="L996" s="143" t="s">
        <v>3050</v>
      </c>
      <c r="M996" s="144"/>
      <c r="N996" s="144"/>
      <c r="O996" s="144"/>
    </row>
    <row r="997">
      <c r="A997" s="138" t="s">
        <v>3052</v>
      </c>
      <c r="B997" s="155"/>
      <c r="C997" s="31">
        <v>0.05</v>
      </c>
      <c r="D997" s="139">
        <v>0.64</v>
      </c>
      <c r="E997" s="139">
        <v>0.64</v>
      </c>
      <c r="F997" s="52"/>
      <c r="G997" s="10"/>
      <c r="H997" s="10"/>
      <c r="I997" s="10"/>
      <c r="J997" s="10"/>
      <c r="K997" s="10"/>
      <c r="L997" s="143" t="s">
        <v>3051</v>
      </c>
      <c r="M997" s="144"/>
      <c r="N997" s="144"/>
      <c r="O997" s="144"/>
    </row>
    <row r="998">
      <c r="A998" s="138" t="s">
        <v>3053</v>
      </c>
      <c r="B998" s="155"/>
      <c r="C998" s="31">
        <v>0.05</v>
      </c>
      <c r="D998" s="139">
        <v>0.64</v>
      </c>
      <c r="E998" s="139">
        <v>0.64</v>
      </c>
      <c r="F998" s="52"/>
      <c r="G998" s="10"/>
      <c r="H998" s="10"/>
      <c r="I998" s="10"/>
      <c r="J998" s="10"/>
      <c r="K998" s="10"/>
      <c r="L998" s="143" t="s">
        <v>3052</v>
      </c>
      <c r="M998" s="144"/>
      <c r="N998" s="144"/>
      <c r="O998" s="144"/>
    </row>
    <row r="999">
      <c r="A999" s="138" t="s">
        <v>3054</v>
      </c>
      <c r="B999" s="155"/>
      <c r="C999" s="31">
        <v>0.05</v>
      </c>
      <c r="D999" s="139">
        <v>0.64</v>
      </c>
      <c r="E999" s="139">
        <v>0.64</v>
      </c>
      <c r="F999" s="52"/>
      <c r="G999" s="10"/>
      <c r="H999" s="10"/>
      <c r="I999" s="10"/>
      <c r="J999" s="10"/>
      <c r="K999" s="10"/>
      <c r="L999" s="143" t="s">
        <v>3053</v>
      </c>
      <c r="M999" s="144"/>
      <c r="N999" s="144"/>
      <c r="O999" s="144"/>
    </row>
    <row r="1000">
      <c r="A1000" s="138" t="s">
        <v>3055</v>
      </c>
      <c r="B1000" s="155"/>
      <c r="C1000" s="31">
        <v>0.05</v>
      </c>
      <c r="D1000" s="139">
        <v>0.64</v>
      </c>
      <c r="E1000" s="139">
        <v>0.64</v>
      </c>
      <c r="F1000" s="52"/>
      <c r="G1000" s="10"/>
      <c r="H1000" s="10"/>
      <c r="I1000" s="10"/>
      <c r="J1000" s="10"/>
      <c r="K1000" s="10"/>
      <c r="L1000" s="143" t="s">
        <v>3054</v>
      </c>
      <c r="M1000" s="144"/>
      <c r="N1000" s="144"/>
      <c r="O1000" s="144"/>
    </row>
    <row r="1001">
      <c r="A1001" s="138" t="s">
        <v>3056</v>
      </c>
      <c r="B1001" s="155"/>
      <c r="C1001" s="31">
        <v>0.05</v>
      </c>
      <c r="D1001" s="139">
        <v>0.64</v>
      </c>
      <c r="E1001" s="139">
        <v>0.64</v>
      </c>
      <c r="F1001" s="52"/>
      <c r="G1001" s="10"/>
      <c r="H1001" s="10"/>
      <c r="I1001" s="10"/>
      <c r="J1001" s="10"/>
      <c r="K1001" s="10"/>
      <c r="L1001" s="143" t="s">
        <v>3055</v>
      </c>
      <c r="M1001" s="144"/>
      <c r="N1001" s="144"/>
      <c r="O1001" s="144"/>
    </row>
    <row r="1002">
      <c r="A1002" s="138" t="s">
        <v>3057</v>
      </c>
      <c r="B1002" s="155"/>
      <c r="C1002" s="31">
        <v>0.05</v>
      </c>
      <c r="D1002" s="139">
        <v>0.64</v>
      </c>
      <c r="E1002" s="139">
        <v>0.64</v>
      </c>
      <c r="F1002" s="52"/>
      <c r="G1002" s="10"/>
      <c r="H1002" s="10"/>
      <c r="I1002" s="10"/>
      <c r="J1002" s="10"/>
      <c r="K1002" s="10"/>
      <c r="L1002" s="143" t="s">
        <v>3056</v>
      </c>
      <c r="M1002" s="144"/>
      <c r="N1002" s="144"/>
      <c r="O1002" s="144"/>
    </row>
    <row r="1003">
      <c r="A1003" s="138" t="s">
        <v>3058</v>
      </c>
      <c r="B1003" s="155"/>
      <c r="C1003" s="31">
        <v>0.05</v>
      </c>
      <c r="D1003" s="139">
        <v>0.64</v>
      </c>
      <c r="E1003" s="139">
        <v>0.64</v>
      </c>
      <c r="F1003" s="52"/>
      <c r="G1003" s="10"/>
      <c r="H1003" s="10"/>
      <c r="I1003" s="10"/>
      <c r="J1003" s="10"/>
      <c r="K1003" s="10"/>
      <c r="L1003" s="143" t="s">
        <v>3057</v>
      </c>
      <c r="M1003" s="144"/>
      <c r="N1003" s="144"/>
      <c r="O1003" s="144"/>
    </row>
    <row r="1004">
      <c r="A1004" s="138" t="s">
        <v>3059</v>
      </c>
      <c r="B1004" s="155"/>
      <c r="C1004" s="31">
        <v>0.05</v>
      </c>
      <c r="D1004" s="139">
        <v>0.64</v>
      </c>
      <c r="E1004" s="139">
        <v>0.64</v>
      </c>
      <c r="F1004" s="52"/>
      <c r="G1004" s="10"/>
      <c r="H1004" s="10"/>
      <c r="I1004" s="10"/>
      <c r="J1004" s="10"/>
      <c r="K1004" s="10"/>
      <c r="L1004" s="143" t="s">
        <v>3058</v>
      </c>
      <c r="M1004" s="144"/>
      <c r="N1004" s="144"/>
      <c r="O1004" s="144"/>
    </row>
    <row r="1005">
      <c r="A1005" s="138" t="s">
        <v>3060</v>
      </c>
      <c r="B1005" s="155"/>
      <c r="C1005" s="31">
        <v>0.05</v>
      </c>
      <c r="D1005" s="139">
        <v>0.64</v>
      </c>
      <c r="E1005" s="139">
        <v>0.64</v>
      </c>
      <c r="F1005" s="52"/>
      <c r="G1005" s="10"/>
      <c r="H1005" s="10"/>
      <c r="I1005" s="10"/>
      <c r="J1005" s="10"/>
      <c r="K1005" s="10"/>
      <c r="L1005" s="143" t="s">
        <v>3059</v>
      </c>
      <c r="M1005" s="144"/>
      <c r="N1005" s="144"/>
      <c r="O1005" s="144"/>
    </row>
    <row r="1006">
      <c r="A1006" s="138" t="s">
        <v>962</v>
      </c>
      <c r="B1006" s="155"/>
      <c r="C1006" s="31">
        <v>0.05</v>
      </c>
      <c r="D1006" s="139">
        <v>0.64</v>
      </c>
      <c r="E1006" s="139">
        <v>0.64</v>
      </c>
      <c r="F1006" s="52"/>
      <c r="G1006" s="10"/>
      <c r="H1006" s="10"/>
      <c r="I1006" s="10"/>
      <c r="J1006" s="10"/>
      <c r="K1006" s="10"/>
      <c r="L1006" s="143" t="s">
        <v>3060</v>
      </c>
      <c r="M1006" s="144"/>
      <c r="N1006" s="144"/>
      <c r="O1006" s="144"/>
    </row>
    <row r="1007">
      <c r="A1007" s="138" t="s">
        <v>3061</v>
      </c>
      <c r="B1007" s="155"/>
      <c r="C1007" s="31">
        <v>0.05</v>
      </c>
      <c r="D1007" s="139">
        <v>0.64</v>
      </c>
      <c r="E1007" s="139">
        <v>0.64</v>
      </c>
      <c r="F1007" s="52"/>
      <c r="G1007" s="10"/>
      <c r="H1007" s="10"/>
      <c r="I1007" s="10"/>
      <c r="J1007" s="10"/>
      <c r="K1007" s="10"/>
      <c r="L1007" s="143" t="s">
        <v>962</v>
      </c>
      <c r="M1007" s="144"/>
      <c r="N1007" s="144"/>
      <c r="O1007" s="144"/>
    </row>
    <row r="1008">
      <c r="A1008" s="138" t="s">
        <v>3062</v>
      </c>
      <c r="B1008" s="155"/>
      <c r="C1008" s="31">
        <v>0.05</v>
      </c>
      <c r="D1008" s="139">
        <v>0.64</v>
      </c>
      <c r="E1008" s="139">
        <v>0.64</v>
      </c>
      <c r="F1008" s="52"/>
      <c r="G1008" s="10"/>
      <c r="H1008" s="10"/>
      <c r="I1008" s="10"/>
      <c r="J1008" s="10"/>
      <c r="K1008" s="10"/>
      <c r="L1008" s="143" t="s">
        <v>3061</v>
      </c>
      <c r="M1008" s="144"/>
      <c r="N1008" s="144"/>
      <c r="O1008" s="144"/>
    </row>
    <row r="1009">
      <c r="A1009" s="138" t="s">
        <v>3063</v>
      </c>
      <c r="B1009" s="155"/>
      <c r="C1009" s="31">
        <v>0.05</v>
      </c>
      <c r="D1009" s="139">
        <v>0.64</v>
      </c>
      <c r="E1009" s="139">
        <v>0.64</v>
      </c>
      <c r="F1009" s="52"/>
      <c r="G1009" s="10"/>
      <c r="H1009" s="10"/>
      <c r="I1009" s="10"/>
      <c r="J1009" s="10"/>
      <c r="K1009" s="10"/>
      <c r="L1009" s="143" t="s">
        <v>3062</v>
      </c>
      <c r="M1009" s="144"/>
      <c r="N1009" s="144"/>
      <c r="O1009" s="144"/>
    </row>
    <row r="1010">
      <c r="A1010" s="138" t="s">
        <v>3064</v>
      </c>
      <c r="B1010" s="155"/>
      <c r="C1010" s="31">
        <v>0.05</v>
      </c>
      <c r="D1010" s="139">
        <v>0.64</v>
      </c>
      <c r="E1010" s="139">
        <v>0.64</v>
      </c>
      <c r="F1010" s="52"/>
      <c r="G1010" s="10"/>
      <c r="H1010" s="10"/>
      <c r="I1010" s="10"/>
      <c r="J1010" s="10"/>
      <c r="K1010" s="10"/>
      <c r="L1010" s="143" t="s">
        <v>3063</v>
      </c>
      <c r="M1010" s="144"/>
      <c r="N1010" s="144"/>
      <c r="O1010" s="144"/>
    </row>
    <row r="1011">
      <c r="A1011" s="138" t="s">
        <v>3065</v>
      </c>
      <c r="B1011" s="134">
        <v>14770.0</v>
      </c>
      <c r="C1011" s="31">
        <v>0.05</v>
      </c>
      <c r="D1011" s="139">
        <v>0.64</v>
      </c>
      <c r="E1011" s="139">
        <v>0.64</v>
      </c>
      <c r="F1011" s="52"/>
      <c r="G1011" s="10"/>
      <c r="H1011" s="10"/>
      <c r="I1011" s="10"/>
      <c r="J1011" s="10"/>
      <c r="K1011" s="10"/>
      <c r="L1011" s="143" t="s">
        <v>3064</v>
      </c>
      <c r="M1011" s="144"/>
      <c r="N1011" s="144"/>
      <c r="O1011" s="144"/>
    </row>
    <row r="1012">
      <c r="A1012" s="138" t="s">
        <v>3066</v>
      </c>
      <c r="B1012" s="155"/>
      <c r="C1012" s="31">
        <v>0.05</v>
      </c>
      <c r="D1012" s="139">
        <v>0.64</v>
      </c>
      <c r="E1012" s="139">
        <v>0.64</v>
      </c>
      <c r="F1012" s="52"/>
      <c r="G1012" s="10"/>
      <c r="H1012" s="10"/>
      <c r="I1012" s="10"/>
      <c r="J1012" s="10"/>
      <c r="K1012" s="10"/>
      <c r="L1012" s="143" t="s">
        <v>3065</v>
      </c>
      <c r="M1012" s="144"/>
      <c r="N1012" s="144"/>
      <c r="O1012" s="144"/>
    </row>
    <row r="1013">
      <c r="A1013" s="138" t="s">
        <v>3067</v>
      </c>
      <c r="B1013" s="155"/>
      <c r="C1013" s="31">
        <v>0.05</v>
      </c>
      <c r="D1013" s="139">
        <v>0.64</v>
      </c>
      <c r="E1013" s="139">
        <v>0.64</v>
      </c>
      <c r="F1013" s="52"/>
      <c r="G1013" s="10"/>
      <c r="H1013" s="10"/>
      <c r="I1013" s="10"/>
      <c r="J1013" s="10"/>
      <c r="K1013" s="10"/>
      <c r="L1013" s="143" t="s">
        <v>3066</v>
      </c>
      <c r="M1013" s="144"/>
      <c r="N1013" s="144"/>
      <c r="O1013" s="144"/>
    </row>
    <row r="1014">
      <c r="A1014" s="138" t="s">
        <v>3068</v>
      </c>
      <c r="B1014" s="155"/>
      <c r="C1014" s="31">
        <v>0.05</v>
      </c>
      <c r="D1014" s="139">
        <v>0.64</v>
      </c>
      <c r="E1014" s="139">
        <v>0.64</v>
      </c>
      <c r="F1014" s="52"/>
      <c r="G1014" s="10"/>
      <c r="H1014" s="10"/>
      <c r="I1014" s="10"/>
      <c r="J1014" s="10"/>
      <c r="K1014" s="10"/>
      <c r="L1014" s="143" t="s">
        <v>3067</v>
      </c>
      <c r="M1014" s="144"/>
      <c r="N1014" s="144"/>
      <c r="O1014" s="144"/>
    </row>
    <row r="1015">
      <c r="A1015" s="138" t="s">
        <v>3069</v>
      </c>
      <c r="B1015" s="155"/>
      <c r="C1015" s="31">
        <v>0.05</v>
      </c>
      <c r="D1015" s="139">
        <v>0.64</v>
      </c>
      <c r="E1015" s="139">
        <v>0.64</v>
      </c>
      <c r="F1015" s="52"/>
      <c r="G1015" s="10"/>
      <c r="H1015" s="10"/>
      <c r="I1015" s="10"/>
      <c r="J1015" s="10"/>
      <c r="K1015" s="10"/>
      <c r="L1015" s="143" t="s">
        <v>3068</v>
      </c>
      <c r="M1015" s="144"/>
      <c r="N1015" s="144"/>
      <c r="O1015" s="144"/>
    </row>
    <row r="1016">
      <c r="A1016" s="138" t="s">
        <v>3070</v>
      </c>
      <c r="B1016" s="155"/>
      <c r="C1016" s="31">
        <v>0.05</v>
      </c>
      <c r="D1016" s="139">
        <v>0.64</v>
      </c>
      <c r="E1016" s="139">
        <v>0.64</v>
      </c>
      <c r="F1016" s="52"/>
      <c r="G1016" s="10"/>
      <c r="H1016" s="10"/>
      <c r="I1016" s="10"/>
      <c r="J1016" s="10"/>
      <c r="K1016" s="10"/>
      <c r="L1016" s="143" t="s">
        <v>3069</v>
      </c>
      <c r="M1016" s="144"/>
      <c r="N1016" s="144"/>
      <c r="O1016" s="144"/>
    </row>
    <row r="1017">
      <c r="A1017" s="138" t="s">
        <v>3071</v>
      </c>
      <c r="B1017" s="155"/>
      <c r="C1017" s="31">
        <v>0.05</v>
      </c>
      <c r="D1017" s="139">
        <v>0.64</v>
      </c>
      <c r="E1017" s="139">
        <v>0.64</v>
      </c>
      <c r="F1017" s="52"/>
      <c r="G1017" s="10"/>
      <c r="H1017" s="10"/>
      <c r="I1017" s="10"/>
      <c r="J1017" s="10"/>
      <c r="K1017" s="10"/>
      <c r="L1017" s="143" t="s">
        <v>3070</v>
      </c>
      <c r="M1017" s="144"/>
      <c r="N1017" s="144"/>
      <c r="O1017" s="144"/>
    </row>
    <row r="1018">
      <c r="A1018" s="138" t="s">
        <v>3072</v>
      </c>
      <c r="B1018" s="155"/>
      <c r="C1018" s="31">
        <v>0.05</v>
      </c>
      <c r="D1018" s="139">
        <v>0.64</v>
      </c>
      <c r="E1018" s="139">
        <v>0.64</v>
      </c>
      <c r="F1018" s="52"/>
      <c r="G1018" s="10"/>
      <c r="H1018" s="10"/>
      <c r="I1018" s="10"/>
      <c r="J1018" s="10"/>
      <c r="K1018" s="10"/>
      <c r="L1018" s="143" t="s">
        <v>3071</v>
      </c>
      <c r="M1018" s="144"/>
      <c r="N1018" s="144"/>
      <c r="O1018" s="144"/>
    </row>
    <row r="1019">
      <c r="A1019" s="138" t="s">
        <v>3073</v>
      </c>
      <c r="B1019" s="155"/>
      <c r="C1019" s="31">
        <v>0.05</v>
      </c>
      <c r="D1019" s="139">
        <v>0.64</v>
      </c>
      <c r="E1019" s="139">
        <v>0.64</v>
      </c>
      <c r="F1019" s="52"/>
      <c r="G1019" s="10"/>
      <c r="H1019" s="10"/>
      <c r="I1019" s="10"/>
      <c r="J1019" s="10"/>
      <c r="K1019" s="10"/>
      <c r="L1019" s="143" t="s">
        <v>3072</v>
      </c>
      <c r="M1019" s="144"/>
      <c r="N1019" s="144"/>
      <c r="O1019" s="144"/>
    </row>
    <row r="1020">
      <c r="A1020" s="138" t="s">
        <v>3074</v>
      </c>
      <c r="B1020" s="155"/>
      <c r="C1020" s="31">
        <v>0.05</v>
      </c>
      <c r="D1020" s="139">
        <v>0.64</v>
      </c>
      <c r="E1020" s="139">
        <v>0.64</v>
      </c>
      <c r="F1020" s="52"/>
      <c r="G1020" s="10"/>
      <c r="H1020" s="10"/>
      <c r="I1020" s="10"/>
      <c r="J1020" s="10"/>
      <c r="K1020" s="10"/>
      <c r="L1020" s="143" t="s">
        <v>3073</v>
      </c>
      <c r="M1020" s="144"/>
      <c r="N1020" s="144"/>
      <c r="O1020" s="144"/>
    </row>
    <row r="1021">
      <c r="A1021" s="138" t="s">
        <v>3075</v>
      </c>
      <c r="B1021" s="155"/>
      <c r="C1021" s="31">
        <v>0.05</v>
      </c>
      <c r="D1021" s="139">
        <v>0.64</v>
      </c>
      <c r="E1021" s="139">
        <v>0.64</v>
      </c>
      <c r="F1021" s="52"/>
      <c r="G1021" s="10"/>
      <c r="H1021" s="10"/>
      <c r="I1021" s="10"/>
      <c r="J1021" s="10"/>
      <c r="K1021" s="10"/>
      <c r="L1021" s="143" t="s">
        <v>3074</v>
      </c>
      <c r="M1021" s="144"/>
      <c r="N1021" s="144"/>
      <c r="O1021" s="144"/>
    </row>
    <row r="1022">
      <c r="A1022" s="138" t="s">
        <v>3076</v>
      </c>
      <c r="B1022" s="155"/>
      <c r="C1022" s="31">
        <v>0.05</v>
      </c>
      <c r="D1022" s="139">
        <v>0.64</v>
      </c>
      <c r="E1022" s="139">
        <v>0.64</v>
      </c>
      <c r="F1022" s="52"/>
      <c r="G1022" s="10"/>
      <c r="H1022" s="10"/>
      <c r="I1022" s="10"/>
      <c r="J1022" s="10"/>
      <c r="K1022" s="10"/>
      <c r="L1022" s="143" t="s">
        <v>3075</v>
      </c>
      <c r="M1022" s="144"/>
      <c r="N1022" s="144"/>
      <c r="O1022" s="144"/>
    </row>
    <row r="1023">
      <c r="A1023" s="138" t="s">
        <v>3077</v>
      </c>
      <c r="B1023" s="155"/>
      <c r="C1023" s="31">
        <v>0.05</v>
      </c>
      <c r="D1023" s="139">
        <v>0.64</v>
      </c>
      <c r="E1023" s="139">
        <v>0.64</v>
      </c>
      <c r="F1023" s="52"/>
      <c r="G1023" s="10"/>
      <c r="H1023" s="10"/>
      <c r="I1023" s="10"/>
      <c r="J1023" s="10"/>
      <c r="K1023" s="10"/>
      <c r="L1023" s="143" t="s">
        <v>3076</v>
      </c>
      <c r="M1023" s="144"/>
      <c r="N1023" s="144"/>
      <c r="O1023" s="144"/>
    </row>
    <row r="1024">
      <c r="A1024" s="138" t="s">
        <v>3078</v>
      </c>
      <c r="B1024" s="155"/>
      <c r="C1024" s="31">
        <v>0.05</v>
      </c>
      <c r="D1024" s="139">
        <v>0.64</v>
      </c>
      <c r="E1024" s="139">
        <v>0.64</v>
      </c>
      <c r="F1024" s="52"/>
      <c r="G1024" s="10"/>
      <c r="H1024" s="10"/>
      <c r="I1024" s="10"/>
      <c r="J1024" s="10"/>
      <c r="K1024" s="10"/>
      <c r="L1024" s="143" t="s">
        <v>3077</v>
      </c>
      <c r="M1024" s="144"/>
      <c r="N1024" s="144"/>
      <c r="O1024" s="144"/>
    </row>
    <row r="1025">
      <c r="A1025" s="138" t="s">
        <v>3079</v>
      </c>
      <c r="B1025" s="155"/>
      <c r="C1025" s="31">
        <v>0.05</v>
      </c>
      <c r="D1025" s="139">
        <v>0.64</v>
      </c>
      <c r="E1025" s="139">
        <v>0.64</v>
      </c>
      <c r="F1025" s="52"/>
      <c r="G1025" s="10"/>
      <c r="H1025" s="10"/>
      <c r="I1025" s="10"/>
      <c r="J1025" s="10"/>
      <c r="K1025" s="10"/>
      <c r="L1025" s="143" t="s">
        <v>3078</v>
      </c>
      <c r="M1025" s="144"/>
      <c r="N1025" s="144"/>
      <c r="O1025" s="144"/>
    </row>
    <row r="1026">
      <c r="A1026" s="138" t="s">
        <v>3080</v>
      </c>
      <c r="B1026" s="155"/>
      <c r="C1026" s="31">
        <v>0.05</v>
      </c>
      <c r="D1026" s="139">
        <v>0.64</v>
      </c>
      <c r="E1026" s="139">
        <v>0.64</v>
      </c>
      <c r="F1026" s="52"/>
      <c r="G1026" s="10"/>
      <c r="H1026" s="10"/>
      <c r="I1026" s="10"/>
      <c r="J1026" s="10"/>
      <c r="K1026" s="10"/>
      <c r="L1026" s="143" t="s">
        <v>3079</v>
      </c>
      <c r="M1026" s="144"/>
      <c r="N1026" s="144"/>
      <c r="O1026" s="144"/>
    </row>
    <row r="1027">
      <c r="A1027" s="138" t="s">
        <v>3081</v>
      </c>
      <c r="B1027" s="155"/>
      <c r="C1027" s="31">
        <v>0.05</v>
      </c>
      <c r="D1027" s="139">
        <v>0.64</v>
      </c>
      <c r="E1027" s="139">
        <v>0.64</v>
      </c>
      <c r="F1027" s="52"/>
      <c r="G1027" s="10"/>
      <c r="H1027" s="10"/>
      <c r="I1027" s="10"/>
      <c r="J1027" s="10"/>
      <c r="K1027" s="10"/>
      <c r="L1027" s="143" t="s">
        <v>3080</v>
      </c>
      <c r="M1027" s="144"/>
      <c r="N1027" s="144"/>
      <c r="O1027" s="144"/>
    </row>
    <row r="1028">
      <c r="A1028" s="138" t="s">
        <v>3082</v>
      </c>
      <c r="B1028" s="155"/>
      <c r="C1028" s="31">
        <v>0.05</v>
      </c>
      <c r="D1028" s="139">
        <v>0.64</v>
      </c>
      <c r="E1028" s="139">
        <v>0.64</v>
      </c>
      <c r="F1028" s="52"/>
      <c r="G1028" s="10"/>
      <c r="H1028" s="10"/>
      <c r="I1028" s="10"/>
      <c r="J1028" s="10"/>
      <c r="K1028" s="10"/>
      <c r="L1028" s="143" t="s">
        <v>3081</v>
      </c>
      <c r="M1028" s="144"/>
      <c r="N1028" s="144"/>
      <c r="O1028" s="144"/>
    </row>
    <row r="1029">
      <c r="A1029" s="138" t="s">
        <v>3083</v>
      </c>
      <c r="B1029" s="155"/>
      <c r="C1029" s="31">
        <v>0.05</v>
      </c>
      <c r="D1029" s="139">
        <v>0.64</v>
      </c>
      <c r="E1029" s="139">
        <v>0.64</v>
      </c>
      <c r="F1029" s="52"/>
      <c r="G1029" s="10"/>
      <c r="H1029" s="10"/>
      <c r="I1029" s="10"/>
      <c r="J1029" s="10"/>
      <c r="K1029" s="10"/>
      <c r="L1029" s="143" t="s">
        <v>3082</v>
      </c>
      <c r="M1029" s="144"/>
      <c r="N1029" s="144"/>
      <c r="O1029" s="144"/>
    </row>
    <row r="1030">
      <c r="A1030" s="138" t="s">
        <v>3084</v>
      </c>
      <c r="B1030" s="155"/>
      <c r="C1030" s="31">
        <v>0.05</v>
      </c>
      <c r="D1030" s="139">
        <v>0.64</v>
      </c>
      <c r="E1030" s="139">
        <v>0.64</v>
      </c>
      <c r="F1030" s="52"/>
      <c r="G1030" s="10"/>
      <c r="H1030" s="10"/>
      <c r="I1030" s="10"/>
      <c r="J1030" s="10"/>
      <c r="K1030" s="10"/>
      <c r="L1030" s="143" t="s">
        <v>3083</v>
      </c>
      <c r="M1030" s="144"/>
      <c r="N1030" s="144"/>
      <c r="O1030" s="144"/>
    </row>
    <row r="1031">
      <c r="A1031" s="138" t="s">
        <v>3085</v>
      </c>
      <c r="B1031" s="155"/>
      <c r="C1031" s="31">
        <v>0.05</v>
      </c>
      <c r="D1031" s="139">
        <v>0.64</v>
      </c>
      <c r="E1031" s="139">
        <v>0.64</v>
      </c>
      <c r="F1031" s="52"/>
      <c r="G1031" s="10"/>
      <c r="H1031" s="10"/>
      <c r="I1031" s="10"/>
      <c r="J1031" s="10"/>
      <c r="K1031" s="10"/>
      <c r="L1031" s="143" t="s">
        <v>3084</v>
      </c>
      <c r="M1031" s="144"/>
      <c r="N1031" s="144"/>
      <c r="O1031" s="144"/>
    </row>
    <row r="1032">
      <c r="A1032" s="138" t="s">
        <v>3086</v>
      </c>
      <c r="B1032" s="155"/>
      <c r="C1032" s="31">
        <v>0.05</v>
      </c>
      <c r="D1032" s="139">
        <v>0.64</v>
      </c>
      <c r="E1032" s="139">
        <v>0.64</v>
      </c>
      <c r="F1032" s="52"/>
      <c r="G1032" s="10"/>
      <c r="H1032" s="10"/>
      <c r="I1032" s="10"/>
      <c r="J1032" s="10"/>
      <c r="K1032" s="10"/>
      <c r="L1032" s="143" t="s">
        <v>3085</v>
      </c>
      <c r="M1032" s="144"/>
      <c r="N1032" s="144"/>
      <c r="O1032" s="144"/>
    </row>
    <row r="1033">
      <c r="A1033" s="138" t="s">
        <v>3087</v>
      </c>
      <c r="B1033" s="155"/>
      <c r="C1033" s="31">
        <v>0.05</v>
      </c>
      <c r="D1033" s="139">
        <v>0.64</v>
      </c>
      <c r="E1033" s="139">
        <v>0.64</v>
      </c>
      <c r="F1033" s="52"/>
      <c r="G1033" s="10"/>
      <c r="H1033" s="10"/>
      <c r="I1033" s="10"/>
      <c r="J1033" s="10"/>
      <c r="K1033" s="10"/>
      <c r="L1033" s="143" t="s">
        <v>3086</v>
      </c>
      <c r="M1033" s="144"/>
      <c r="N1033" s="144"/>
      <c r="O1033" s="144"/>
    </row>
    <row r="1034">
      <c r="A1034" s="138" t="s">
        <v>3088</v>
      </c>
      <c r="B1034" s="155"/>
      <c r="C1034" s="31">
        <v>0.05</v>
      </c>
      <c r="D1034" s="139">
        <v>0.64</v>
      </c>
      <c r="E1034" s="139">
        <v>0.64</v>
      </c>
      <c r="F1034" s="52"/>
      <c r="G1034" s="10"/>
      <c r="H1034" s="10"/>
      <c r="I1034" s="10"/>
      <c r="J1034" s="10"/>
      <c r="K1034" s="10"/>
      <c r="L1034" s="143" t="s">
        <v>3087</v>
      </c>
      <c r="M1034" s="144"/>
      <c r="N1034" s="144"/>
      <c r="O1034" s="144"/>
    </row>
    <row r="1035">
      <c r="A1035" s="138" t="s">
        <v>3089</v>
      </c>
      <c r="B1035" s="155"/>
      <c r="C1035" s="31">
        <v>0.05</v>
      </c>
      <c r="D1035" s="139">
        <v>0.64</v>
      </c>
      <c r="E1035" s="139">
        <v>0.64</v>
      </c>
      <c r="F1035" s="52"/>
      <c r="G1035" s="10"/>
      <c r="H1035" s="10"/>
      <c r="I1035" s="10"/>
      <c r="J1035" s="10"/>
      <c r="K1035" s="10"/>
      <c r="L1035" s="143" t="s">
        <v>3088</v>
      </c>
      <c r="M1035" s="144"/>
      <c r="N1035" s="144"/>
      <c r="O1035" s="144"/>
    </row>
    <row r="1036">
      <c r="A1036" s="138" t="s">
        <v>3090</v>
      </c>
      <c r="B1036" s="155"/>
      <c r="C1036" s="31">
        <v>0.05</v>
      </c>
      <c r="D1036" s="139">
        <v>0.64</v>
      </c>
      <c r="E1036" s="139">
        <v>0.64</v>
      </c>
      <c r="F1036" s="52"/>
      <c r="G1036" s="10"/>
      <c r="H1036" s="10"/>
      <c r="I1036" s="10"/>
      <c r="J1036" s="10"/>
      <c r="K1036" s="10"/>
      <c r="L1036" s="143" t="s">
        <v>3089</v>
      </c>
      <c r="M1036" s="144"/>
      <c r="N1036" s="144"/>
      <c r="O1036" s="144"/>
    </row>
    <row r="1037">
      <c r="A1037" s="138" t="s">
        <v>3091</v>
      </c>
      <c r="B1037" s="155"/>
      <c r="C1037" s="31">
        <v>0.05</v>
      </c>
      <c r="D1037" s="139">
        <v>0.64</v>
      </c>
      <c r="E1037" s="139">
        <v>0.64</v>
      </c>
      <c r="F1037" s="52"/>
      <c r="G1037" s="10"/>
      <c r="H1037" s="10"/>
      <c r="I1037" s="10"/>
      <c r="J1037" s="10"/>
      <c r="K1037" s="10"/>
      <c r="L1037" s="143" t="s">
        <v>3090</v>
      </c>
      <c r="M1037" s="144"/>
      <c r="N1037" s="144"/>
      <c r="O1037" s="144"/>
    </row>
    <row r="1038">
      <c r="A1038" s="138" t="s">
        <v>3092</v>
      </c>
      <c r="B1038" s="155"/>
      <c r="C1038" s="31">
        <v>0.05</v>
      </c>
      <c r="D1038" s="139">
        <v>0.64</v>
      </c>
      <c r="E1038" s="139">
        <v>0.64</v>
      </c>
      <c r="F1038" s="52"/>
      <c r="G1038" s="10"/>
      <c r="H1038" s="10"/>
      <c r="I1038" s="10"/>
      <c r="J1038" s="10"/>
      <c r="K1038" s="10"/>
      <c r="L1038" s="143" t="s">
        <v>3091</v>
      </c>
      <c r="M1038" s="144"/>
      <c r="N1038" s="144"/>
      <c r="O1038" s="144"/>
    </row>
    <row r="1039">
      <c r="A1039" s="138" t="s">
        <v>3093</v>
      </c>
      <c r="B1039" s="155"/>
      <c r="C1039" s="31">
        <v>0.05</v>
      </c>
      <c r="D1039" s="139">
        <v>0.64</v>
      </c>
      <c r="E1039" s="139">
        <v>0.64</v>
      </c>
      <c r="F1039" s="52"/>
      <c r="G1039" s="10"/>
      <c r="H1039" s="10"/>
      <c r="I1039" s="10"/>
      <c r="J1039" s="10"/>
      <c r="K1039" s="10"/>
      <c r="L1039" s="143" t="s">
        <v>3092</v>
      </c>
      <c r="M1039" s="144"/>
      <c r="N1039" s="144"/>
      <c r="O1039" s="144"/>
    </row>
    <row r="1040">
      <c r="A1040" s="138" t="s">
        <v>3094</v>
      </c>
      <c r="B1040" s="155"/>
      <c r="C1040" s="31">
        <v>0.05</v>
      </c>
      <c r="D1040" s="139">
        <v>0.64</v>
      </c>
      <c r="E1040" s="139">
        <v>0.64</v>
      </c>
      <c r="F1040" s="52"/>
      <c r="G1040" s="10"/>
      <c r="H1040" s="10"/>
      <c r="I1040" s="10"/>
      <c r="J1040" s="10"/>
      <c r="K1040" s="10"/>
      <c r="L1040" s="143" t="s">
        <v>3093</v>
      </c>
      <c r="M1040" s="144"/>
      <c r="N1040" s="144"/>
      <c r="O1040" s="144"/>
    </row>
    <row r="1041">
      <c r="A1041" s="138" t="s">
        <v>3095</v>
      </c>
      <c r="B1041" s="155"/>
      <c r="C1041" s="31">
        <v>0.05</v>
      </c>
      <c r="D1041" s="139">
        <v>0.64</v>
      </c>
      <c r="E1041" s="139">
        <v>0.64</v>
      </c>
      <c r="F1041" s="52"/>
      <c r="G1041" s="10"/>
      <c r="H1041" s="10"/>
      <c r="I1041" s="10"/>
      <c r="J1041" s="10"/>
      <c r="K1041" s="10"/>
      <c r="L1041" s="143" t="s">
        <v>3094</v>
      </c>
      <c r="M1041" s="144"/>
      <c r="N1041" s="144"/>
      <c r="O1041" s="144"/>
    </row>
    <row r="1042">
      <c r="A1042" s="138" t="s">
        <v>3096</v>
      </c>
      <c r="B1042" s="155"/>
      <c r="C1042" s="31">
        <v>0.05</v>
      </c>
      <c r="D1042" s="139">
        <v>0.64</v>
      </c>
      <c r="E1042" s="139">
        <v>0.64</v>
      </c>
      <c r="F1042" s="52"/>
      <c r="G1042" s="10"/>
      <c r="H1042" s="10"/>
      <c r="I1042" s="10"/>
      <c r="J1042" s="10"/>
      <c r="K1042" s="10"/>
      <c r="L1042" s="143" t="s">
        <v>3095</v>
      </c>
      <c r="M1042" s="144"/>
      <c r="N1042" s="144"/>
      <c r="O1042" s="144"/>
    </row>
    <row r="1043">
      <c r="A1043" s="138" t="s">
        <v>3097</v>
      </c>
      <c r="B1043" s="155"/>
      <c r="C1043" s="31">
        <v>0.05</v>
      </c>
      <c r="D1043" s="139">
        <v>0.64</v>
      </c>
      <c r="E1043" s="139">
        <v>0.64</v>
      </c>
      <c r="F1043" s="52"/>
      <c r="G1043" s="10"/>
      <c r="H1043" s="10"/>
      <c r="I1043" s="10"/>
      <c r="J1043" s="10"/>
      <c r="K1043" s="10"/>
      <c r="L1043" s="143" t="s">
        <v>3096</v>
      </c>
      <c r="M1043" s="144"/>
      <c r="N1043" s="144"/>
      <c r="O1043" s="144"/>
    </row>
    <row r="1044">
      <c r="A1044" s="138" t="s">
        <v>3098</v>
      </c>
      <c r="B1044" s="155"/>
      <c r="C1044" s="31">
        <v>0.05</v>
      </c>
      <c r="D1044" s="139">
        <v>0.64</v>
      </c>
      <c r="E1044" s="139">
        <v>0.64</v>
      </c>
      <c r="F1044" s="52"/>
      <c r="G1044" s="10"/>
      <c r="H1044" s="10"/>
      <c r="I1044" s="10"/>
      <c r="J1044" s="10"/>
      <c r="K1044" s="10"/>
      <c r="L1044" s="143" t="s">
        <v>3097</v>
      </c>
      <c r="M1044" s="144"/>
      <c r="N1044" s="144"/>
      <c r="O1044" s="144"/>
    </row>
    <row r="1045">
      <c r="A1045" s="138" t="s">
        <v>3099</v>
      </c>
      <c r="B1045" s="155"/>
      <c r="C1045" s="31">
        <v>0.05</v>
      </c>
      <c r="D1045" s="139">
        <v>0.64</v>
      </c>
      <c r="E1045" s="139">
        <v>0.64</v>
      </c>
      <c r="F1045" s="52"/>
      <c r="G1045" s="10"/>
      <c r="H1045" s="10"/>
      <c r="I1045" s="10"/>
      <c r="J1045" s="10"/>
      <c r="K1045" s="10"/>
      <c r="L1045" s="143" t="s">
        <v>3098</v>
      </c>
      <c r="M1045" s="144"/>
      <c r="N1045" s="144"/>
      <c r="O1045" s="144"/>
    </row>
    <row r="1046">
      <c r="A1046" s="138" t="s">
        <v>3100</v>
      </c>
      <c r="B1046" s="155"/>
      <c r="C1046" s="31">
        <v>0.05</v>
      </c>
      <c r="D1046" s="139">
        <v>0.64</v>
      </c>
      <c r="E1046" s="139">
        <v>0.64</v>
      </c>
      <c r="F1046" s="52"/>
      <c r="G1046" s="10"/>
      <c r="H1046" s="10"/>
      <c r="I1046" s="10"/>
      <c r="J1046" s="10"/>
      <c r="K1046" s="10"/>
      <c r="L1046" s="143" t="s">
        <v>3099</v>
      </c>
      <c r="M1046" s="144"/>
      <c r="N1046" s="144"/>
      <c r="O1046" s="144"/>
    </row>
    <row r="1047">
      <c r="A1047" s="138" t="s">
        <v>3101</v>
      </c>
      <c r="B1047" s="155"/>
      <c r="C1047" s="31">
        <v>0.05</v>
      </c>
      <c r="D1047" s="139">
        <v>0.64</v>
      </c>
      <c r="E1047" s="139">
        <v>0.64</v>
      </c>
      <c r="F1047" s="52"/>
      <c r="G1047" s="10"/>
      <c r="H1047" s="10"/>
      <c r="I1047" s="10"/>
      <c r="J1047" s="10"/>
      <c r="K1047" s="10"/>
      <c r="L1047" s="143" t="s">
        <v>3100</v>
      </c>
      <c r="M1047" s="144"/>
      <c r="N1047" s="144"/>
      <c r="O1047" s="144"/>
    </row>
    <row r="1048">
      <c r="A1048" s="138" t="s">
        <v>3102</v>
      </c>
      <c r="B1048" s="155"/>
      <c r="C1048" s="31">
        <v>0.05</v>
      </c>
      <c r="D1048" s="139">
        <v>0.64</v>
      </c>
      <c r="E1048" s="139">
        <v>0.64</v>
      </c>
      <c r="F1048" s="52"/>
      <c r="G1048" s="10"/>
      <c r="H1048" s="10"/>
      <c r="I1048" s="10"/>
      <c r="J1048" s="10"/>
      <c r="K1048" s="10"/>
      <c r="L1048" s="143" t="s">
        <v>3101</v>
      </c>
      <c r="M1048" s="144"/>
      <c r="N1048" s="144"/>
      <c r="O1048" s="144"/>
    </row>
    <row r="1049">
      <c r="A1049" s="138" t="s">
        <v>1566</v>
      </c>
      <c r="B1049" s="155"/>
      <c r="C1049" s="31">
        <v>0.05</v>
      </c>
      <c r="D1049" s="139">
        <v>0.64</v>
      </c>
      <c r="E1049" s="139">
        <v>0.64</v>
      </c>
      <c r="F1049" s="52"/>
      <c r="G1049" s="10"/>
      <c r="H1049" s="10"/>
      <c r="I1049" s="10"/>
      <c r="J1049" s="10"/>
      <c r="K1049" s="10"/>
      <c r="L1049" s="143" t="s">
        <v>3102</v>
      </c>
      <c r="M1049" s="144"/>
      <c r="N1049" s="144"/>
      <c r="O1049" s="144"/>
    </row>
    <row r="1050">
      <c r="A1050" s="138" t="s">
        <v>3103</v>
      </c>
      <c r="B1050" s="155"/>
      <c r="C1050" s="31">
        <v>0.05</v>
      </c>
      <c r="D1050" s="139">
        <v>0.64</v>
      </c>
      <c r="E1050" s="139">
        <v>0.64</v>
      </c>
      <c r="F1050" s="52"/>
      <c r="G1050" s="10"/>
      <c r="H1050" s="10"/>
      <c r="I1050" s="10"/>
      <c r="J1050" s="10"/>
      <c r="K1050" s="10"/>
      <c r="L1050" s="143" t="s">
        <v>1566</v>
      </c>
      <c r="M1050" s="144"/>
      <c r="N1050" s="144"/>
      <c r="O1050" s="144"/>
    </row>
    <row r="1051">
      <c r="A1051" s="138" t="s">
        <v>3104</v>
      </c>
      <c r="B1051" s="155"/>
      <c r="C1051" s="31">
        <v>0.05</v>
      </c>
      <c r="D1051" s="139">
        <v>0.64</v>
      </c>
      <c r="E1051" s="139">
        <v>0.64</v>
      </c>
      <c r="F1051" s="52"/>
      <c r="G1051" s="10"/>
      <c r="H1051" s="10"/>
      <c r="I1051" s="10"/>
      <c r="J1051" s="10"/>
      <c r="K1051" s="10"/>
      <c r="L1051" s="143" t="s">
        <v>3103</v>
      </c>
      <c r="M1051" s="144"/>
      <c r="N1051" s="144"/>
      <c r="O1051" s="144"/>
    </row>
    <row r="1052">
      <c r="A1052" s="138" t="s">
        <v>3105</v>
      </c>
      <c r="B1052" s="155"/>
      <c r="C1052" s="31">
        <v>0.05</v>
      </c>
      <c r="D1052" s="139">
        <v>0.64</v>
      </c>
      <c r="E1052" s="139">
        <v>0.64</v>
      </c>
      <c r="F1052" s="52"/>
      <c r="G1052" s="10"/>
      <c r="H1052" s="10"/>
      <c r="I1052" s="10"/>
      <c r="J1052" s="10"/>
      <c r="K1052" s="10"/>
      <c r="L1052" s="143" t="s">
        <v>3104</v>
      </c>
      <c r="M1052" s="144"/>
      <c r="N1052" s="144"/>
      <c r="O1052" s="144"/>
    </row>
    <row r="1053">
      <c r="A1053" s="138" t="s">
        <v>3106</v>
      </c>
      <c r="B1053" s="155"/>
      <c r="C1053" s="31">
        <v>0.05</v>
      </c>
      <c r="D1053" s="139">
        <v>0.64</v>
      </c>
      <c r="E1053" s="139">
        <v>0.64</v>
      </c>
      <c r="F1053" s="52"/>
      <c r="G1053" s="10"/>
      <c r="H1053" s="10"/>
      <c r="I1053" s="10"/>
      <c r="J1053" s="10"/>
      <c r="K1053" s="10"/>
      <c r="L1053" s="143" t="s">
        <v>3105</v>
      </c>
      <c r="M1053" s="144"/>
      <c r="N1053" s="144"/>
      <c r="O1053" s="144"/>
    </row>
    <row r="1054">
      <c r="A1054" s="138" t="s">
        <v>3107</v>
      </c>
      <c r="B1054" s="155"/>
      <c r="C1054" s="31">
        <v>0.05</v>
      </c>
      <c r="D1054" s="139">
        <v>0.64</v>
      </c>
      <c r="E1054" s="139">
        <v>0.64</v>
      </c>
      <c r="F1054" s="52"/>
      <c r="G1054" s="10"/>
      <c r="H1054" s="10"/>
      <c r="I1054" s="10"/>
      <c r="J1054" s="10"/>
      <c r="K1054" s="10"/>
      <c r="L1054" s="143" t="s">
        <v>3106</v>
      </c>
      <c r="M1054" s="144"/>
      <c r="N1054" s="144"/>
      <c r="O1054" s="144"/>
    </row>
    <row r="1055">
      <c r="A1055" s="138" t="s">
        <v>3108</v>
      </c>
      <c r="B1055" s="155"/>
      <c r="C1055" s="31">
        <v>0.05</v>
      </c>
      <c r="D1055" s="139">
        <v>0.64</v>
      </c>
      <c r="E1055" s="139">
        <v>0.64</v>
      </c>
      <c r="F1055" s="52"/>
      <c r="G1055" s="10"/>
      <c r="H1055" s="10"/>
      <c r="I1055" s="10"/>
      <c r="J1055" s="10"/>
      <c r="K1055" s="10"/>
      <c r="L1055" s="143" t="s">
        <v>3107</v>
      </c>
      <c r="M1055" s="144"/>
      <c r="N1055" s="144"/>
      <c r="O1055" s="144"/>
    </row>
    <row r="1056">
      <c r="A1056" s="138" t="s">
        <v>3109</v>
      </c>
      <c r="B1056" s="155"/>
      <c r="C1056" s="31">
        <v>0.05</v>
      </c>
      <c r="D1056" s="139">
        <v>0.64</v>
      </c>
      <c r="E1056" s="139">
        <v>0.64</v>
      </c>
      <c r="F1056" s="52"/>
      <c r="G1056" s="10"/>
      <c r="H1056" s="10"/>
      <c r="I1056" s="10"/>
      <c r="J1056" s="10"/>
      <c r="K1056" s="10"/>
      <c r="L1056" s="143" t="s">
        <v>3108</v>
      </c>
      <c r="M1056" s="144"/>
      <c r="N1056" s="144"/>
      <c r="O1056" s="144"/>
    </row>
    <row r="1057">
      <c r="A1057" s="138" t="s">
        <v>3110</v>
      </c>
      <c r="B1057" s="155"/>
      <c r="C1057" s="31">
        <v>0.05</v>
      </c>
      <c r="D1057" s="139">
        <v>0.64</v>
      </c>
      <c r="E1057" s="139">
        <v>0.64</v>
      </c>
      <c r="F1057" s="52"/>
      <c r="G1057" s="10"/>
      <c r="H1057" s="10"/>
      <c r="I1057" s="10"/>
      <c r="J1057" s="10"/>
      <c r="K1057" s="10"/>
      <c r="L1057" s="143" t="s">
        <v>3109</v>
      </c>
      <c r="M1057" s="144"/>
      <c r="N1057" s="144"/>
      <c r="O1057" s="144"/>
    </row>
    <row r="1058">
      <c r="A1058" s="138" t="s">
        <v>3111</v>
      </c>
      <c r="B1058" s="155"/>
      <c r="C1058" s="31">
        <v>0.05</v>
      </c>
      <c r="D1058" s="139">
        <v>0.64</v>
      </c>
      <c r="E1058" s="139">
        <v>0.64</v>
      </c>
      <c r="F1058" s="52"/>
      <c r="G1058" s="10"/>
      <c r="H1058" s="10"/>
      <c r="I1058" s="10"/>
      <c r="J1058" s="10"/>
      <c r="K1058" s="10"/>
      <c r="L1058" s="143" t="s">
        <v>3110</v>
      </c>
      <c r="M1058" s="144"/>
      <c r="N1058" s="144"/>
      <c r="O1058" s="144"/>
    </row>
    <row r="1059">
      <c r="A1059" s="138" t="s">
        <v>3112</v>
      </c>
      <c r="B1059" s="155"/>
      <c r="C1059" s="31">
        <v>0.05</v>
      </c>
      <c r="D1059" s="139">
        <v>0.64</v>
      </c>
      <c r="E1059" s="139">
        <v>0.64</v>
      </c>
      <c r="F1059" s="52"/>
      <c r="G1059" s="10"/>
      <c r="H1059" s="10"/>
      <c r="I1059" s="10"/>
      <c r="J1059" s="10"/>
      <c r="K1059" s="10"/>
      <c r="L1059" s="143" t="s">
        <v>3111</v>
      </c>
      <c r="M1059" s="144"/>
      <c r="N1059" s="144"/>
      <c r="O1059" s="144"/>
    </row>
    <row r="1060">
      <c r="A1060" s="138" t="s">
        <v>3113</v>
      </c>
      <c r="B1060" s="155"/>
      <c r="C1060" s="31">
        <v>0.05</v>
      </c>
      <c r="D1060" s="139">
        <v>0.64</v>
      </c>
      <c r="E1060" s="139">
        <v>0.64</v>
      </c>
      <c r="F1060" s="52"/>
      <c r="G1060" s="10"/>
      <c r="H1060" s="10"/>
      <c r="I1060" s="10"/>
      <c r="J1060" s="10"/>
      <c r="K1060" s="10"/>
      <c r="L1060" s="143" t="s">
        <v>3112</v>
      </c>
      <c r="M1060" s="144"/>
      <c r="N1060" s="144"/>
      <c r="O1060" s="144"/>
    </row>
    <row r="1061">
      <c r="A1061" s="138" t="s">
        <v>3114</v>
      </c>
      <c r="B1061" s="155"/>
      <c r="C1061" s="31">
        <v>0.05</v>
      </c>
      <c r="D1061" s="139">
        <v>0.64</v>
      </c>
      <c r="E1061" s="139">
        <v>0.64</v>
      </c>
      <c r="F1061" s="52"/>
      <c r="G1061" s="10"/>
      <c r="H1061" s="10"/>
      <c r="I1061" s="10"/>
      <c r="J1061" s="10"/>
      <c r="K1061" s="10"/>
      <c r="L1061" s="143" t="s">
        <v>3113</v>
      </c>
      <c r="M1061" s="144"/>
      <c r="N1061" s="144"/>
      <c r="O1061" s="144"/>
    </row>
    <row r="1062">
      <c r="A1062" s="138" t="s">
        <v>3115</v>
      </c>
      <c r="B1062" s="155"/>
      <c r="C1062" s="31">
        <v>0.05</v>
      </c>
      <c r="D1062" s="139">
        <v>0.64</v>
      </c>
      <c r="E1062" s="139">
        <v>0.64</v>
      </c>
      <c r="F1062" s="52"/>
      <c r="G1062" s="10"/>
      <c r="H1062" s="10"/>
      <c r="I1062" s="10"/>
      <c r="J1062" s="10"/>
      <c r="K1062" s="10"/>
      <c r="L1062" s="143" t="s">
        <v>3114</v>
      </c>
      <c r="M1062" s="144"/>
      <c r="N1062" s="144"/>
      <c r="O1062" s="144"/>
    </row>
    <row r="1063">
      <c r="A1063" s="138" t="s">
        <v>3116</v>
      </c>
      <c r="B1063" s="155"/>
      <c r="C1063" s="31">
        <v>0.05</v>
      </c>
      <c r="D1063" s="139">
        <v>0.64</v>
      </c>
      <c r="E1063" s="139">
        <v>0.64</v>
      </c>
      <c r="F1063" s="52"/>
      <c r="G1063" s="10"/>
      <c r="H1063" s="10"/>
      <c r="I1063" s="10"/>
      <c r="J1063" s="10"/>
      <c r="K1063" s="10"/>
      <c r="L1063" s="143" t="s">
        <v>3115</v>
      </c>
      <c r="M1063" s="144"/>
      <c r="N1063" s="144"/>
      <c r="O1063" s="144"/>
    </row>
    <row r="1064">
      <c r="A1064" s="138" t="s">
        <v>3117</v>
      </c>
      <c r="B1064" s="155"/>
      <c r="C1064" s="31">
        <v>0.05</v>
      </c>
      <c r="D1064" s="139">
        <v>0.64</v>
      </c>
      <c r="E1064" s="139">
        <v>0.64</v>
      </c>
      <c r="F1064" s="52"/>
      <c r="G1064" s="10"/>
      <c r="H1064" s="10"/>
      <c r="I1064" s="10"/>
      <c r="J1064" s="10"/>
      <c r="K1064" s="10"/>
      <c r="L1064" s="143" t="s">
        <v>3116</v>
      </c>
      <c r="M1064" s="144"/>
      <c r="N1064" s="144"/>
      <c r="O1064" s="144"/>
    </row>
    <row r="1065">
      <c r="A1065" s="138" t="s">
        <v>3118</v>
      </c>
      <c r="B1065" s="155"/>
      <c r="C1065" s="31">
        <v>0.05</v>
      </c>
      <c r="D1065" s="139">
        <v>0.64</v>
      </c>
      <c r="E1065" s="139">
        <v>0.64</v>
      </c>
      <c r="F1065" s="52"/>
      <c r="G1065" s="10"/>
      <c r="H1065" s="10"/>
      <c r="I1065" s="10"/>
      <c r="J1065" s="10"/>
      <c r="K1065" s="10"/>
      <c r="L1065" s="143" t="s">
        <v>3117</v>
      </c>
      <c r="M1065" s="144"/>
      <c r="N1065" s="144"/>
      <c r="O1065" s="144"/>
    </row>
    <row r="1066">
      <c r="A1066" s="138" t="s">
        <v>3119</v>
      </c>
      <c r="B1066" s="155"/>
      <c r="C1066" s="31">
        <v>0.05</v>
      </c>
      <c r="D1066" s="139">
        <v>0.64</v>
      </c>
      <c r="E1066" s="139">
        <v>0.64</v>
      </c>
      <c r="F1066" s="52"/>
      <c r="G1066" s="10"/>
      <c r="H1066" s="10"/>
      <c r="I1066" s="10"/>
      <c r="J1066" s="10"/>
      <c r="K1066" s="10"/>
      <c r="L1066" s="143" t="s">
        <v>3118</v>
      </c>
      <c r="M1066" s="144"/>
      <c r="N1066" s="144"/>
      <c r="O1066" s="144"/>
    </row>
    <row r="1067">
      <c r="A1067" s="138" t="s">
        <v>3120</v>
      </c>
      <c r="B1067" s="155"/>
      <c r="C1067" s="31">
        <v>0.05</v>
      </c>
      <c r="D1067" s="139">
        <v>0.64</v>
      </c>
      <c r="E1067" s="139">
        <v>0.64</v>
      </c>
      <c r="F1067" s="52"/>
      <c r="G1067" s="10"/>
      <c r="H1067" s="10"/>
      <c r="I1067" s="10"/>
      <c r="J1067" s="10"/>
      <c r="K1067" s="10"/>
      <c r="L1067" s="143" t="s">
        <v>3119</v>
      </c>
      <c r="M1067" s="144"/>
      <c r="N1067" s="144"/>
      <c r="O1067" s="144"/>
    </row>
    <row r="1068">
      <c r="A1068" s="138" t="s">
        <v>3121</v>
      </c>
      <c r="B1068" s="155"/>
      <c r="C1068" s="31">
        <v>0.05</v>
      </c>
      <c r="D1068" s="139">
        <v>0.64</v>
      </c>
      <c r="E1068" s="139">
        <v>0.64</v>
      </c>
      <c r="F1068" s="52"/>
      <c r="G1068" s="10"/>
      <c r="H1068" s="10"/>
      <c r="I1068" s="10"/>
      <c r="J1068" s="10"/>
      <c r="K1068" s="10"/>
      <c r="L1068" s="143" t="s">
        <v>3120</v>
      </c>
      <c r="M1068" s="144"/>
      <c r="N1068" s="144"/>
      <c r="O1068" s="144"/>
    </row>
    <row r="1069">
      <c r="A1069" s="138" t="s">
        <v>3122</v>
      </c>
      <c r="B1069" s="155"/>
      <c r="C1069" s="31">
        <v>0.05</v>
      </c>
      <c r="D1069" s="139">
        <v>0.64</v>
      </c>
      <c r="E1069" s="139">
        <v>0.64</v>
      </c>
      <c r="F1069" s="52"/>
      <c r="G1069" s="10"/>
      <c r="H1069" s="10"/>
      <c r="I1069" s="10"/>
      <c r="J1069" s="10"/>
      <c r="K1069" s="10"/>
      <c r="L1069" s="143" t="s">
        <v>3121</v>
      </c>
      <c r="M1069" s="144"/>
      <c r="N1069" s="144"/>
      <c r="O1069" s="144"/>
    </row>
    <row r="1070">
      <c r="A1070" s="138" t="s">
        <v>3123</v>
      </c>
      <c r="B1070" s="155"/>
      <c r="C1070" s="31">
        <v>0.05</v>
      </c>
      <c r="D1070" s="139">
        <v>0.64</v>
      </c>
      <c r="E1070" s="139">
        <v>0.64</v>
      </c>
      <c r="F1070" s="52"/>
      <c r="G1070" s="10"/>
      <c r="H1070" s="10"/>
      <c r="I1070" s="10"/>
      <c r="J1070" s="10"/>
      <c r="K1070" s="10"/>
      <c r="L1070" s="143" t="s">
        <v>3122</v>
      </c>
      <c r="M1070" s="144"/>
      <c r="N1070" s="144"/>
      <c r="O1070" s="144"/>
    </row>
    <row r="1071">
      <c r="A1071" s="138" t="s">
        <v>1213</v>
      </c>
      <c r="B1071" s="155"/>
      <c r="C1071" s="31">
        <v>0.05</v>
      </c>
      <c r="D1071" s="139">
        <v>0.64</v>
      </c>
      <c r="E1071" s="139">
        <v>0.64</v>
      </c>
      <c r="F1071" s="52"/>
      <c r="G1071" s="10"/>
      <c r="H1071" s="10"/>
      <c r="I1071" s="10"/>
      <c r="J1071" s="10"/>
      <c r="K1071" s="10"/>
      <c r="L1071" s="143" t="s">
        <v>3123</v>
      </c>
      <c r="M1071" s="144"/>
      <c r="N1071" s="144"/>
      <c r="O1071" s="144"/>
    </row>
    <row r="1072">
      <c r="A1072" s="138" t="s">
        <v>3124</v>
      </c>
      <c r="B1072" s="155"/>
      <c r="C1072" s="31">
        <v>0.05</v>
      </c>
      <c r="D1072" s="139">
        <v>0.64</v>
      </c>
      <c r="E1072" s="139">
        <v>0.64</v>
      </c>
      <c r="F1072" s="52"/>
      <c r="G1072" s="10"/>
      <c r="H1072" s="10"/>
      <c r="I1072" s="10"/>
      <c r="J1072" s="10"/>
      <c r="K1072" s="10"/>
      <c r="L1072" s="143" t="s">
        <v>1213</v>
      </c>
      <c r="M1072" s="144"/>
      <c r="N1072" s="144"/>
      <c r="O1072" s="144"/>
    </row>
    <row r="1073">
      <c r="A1073" s="138" t="s">
        <v>3125</v>
      </c>
      <c r="B1073" s="155"/>
      <c r="C1073" s="31">
        <v>0.05</v>
      </c>
      <c r="D1073" s="139">
        <v>0.64</v>
      </c>
      <c r="E1073" s="139">
        <v>0.64</v>
      </c>
      <c r="F1073" s="52"/>
      <c r="G1073" s="10"/>
      <c r="H1073" s="10"/>
      <c r="I1073" s="10"/>
      <c r="J1073" s="10"/>
      <c r="K1073" s="10"/>
      <c r="L1073" s="143" t="s">
        <v>3124</v>
      </c>
      <c r="M1073" s="144"/>
      <c r="N1073" s="144"/>
      <c r="O1073" s="144"/>
    </row>
    <row r="1074">
      <c r="A1074" s="138" t="s">
        <v>3126</v>
      </c>
      <c r="B1074" s="155"/>
      <c r="C1074" s="31">
        <v>0.05</v>
      </c>
      <c r="D1074" s="139">
        <v>0.64</v>
      </c>
      <c r="E1074" s="139">
        <v>0.64</v>
      </c>
      <c r="F1074" s="52"/>
      <c r="G1074" s="10"/>
      <c r="H1074" s="10"/>
      <c r="I1074" s="10"/>
      <c r="J1074" s="10"/>
      <c r="K1074" s="10"/>
      <c r="L1074" s="143" t="s">
        <v>3125</v>
      </c>
      <c r="M1074" s="144"/>
      <c r="N1074" s="144"/>
      <c r="O1074" s="144"/>
    </row>
    <row r="1075">
      <c r="A1075" s="138" t="s">
        <v>3127</v>
      </c>
      <c r="B1075" s="155"/>
      <c r="C1075" s="31">
        <v>0.05</v>
      </c>
      <c r="D1075" s="139">
        <v>0.64</v>
      </c>
      <c r="E1075" s="139">
        <v>0.64</v>
      </c>
      <c r="F1075" s="52"/>
      <c r="G1075" s="10"/>
      <c r="H1075" s="10"/>
      <c r="I1075" s="10"/>
      <c r="J1075" s="10"/>
      <c r="K1075" s="10"/>
      <c r="L1075" s="143" t="s">
        <v>3126</v>
      </c>
      <c r="M1075" s="144"/>
      <c r="N1075" s="144"/>
      <c r="O1075" s="144"/>
    </row>
    <row r="1076">
      <c r="A1076" s="138" t="s">
        <v>3128</v>
      </c>
      <c r="B1076" s="155"/>
      <c r="C1076" s="31">
        <v>0.05</v>
      </c>
      <c r="D1076" s="139">
        <v>0.64</v>
      </c>
      <c r="E1076" s="139">
        <v>0.64</v>
      </c>
      <c r="F1076" s="52"/>
      <c r="G1076" s="10"/>
      <c r="H1076" s="10"/>
      <c r="I1076" s="10"/>
      <c r="J1076" s="10"/>
      <c r="K1076" s="10"/>
      <c r="L1076" s="143" t="s">
        <v>3127</v>
      </c>
      <c r="M1076" s="144"/>
      <c r="N1076" s="144"/>
      <c r="O1076" s="144"/>
    </row>
    <row r="1077">
      <c r="A1077" s="138" t="s">
        <v>3129</v>
      </c>
      <c r="B1077" s="155"/>
      <c r="C1077" s="31">
        <v>0.05</v>
      </c>
      <c r="D1077" s="139">
        <v>0.64</v>
      </c>
      <c r="E1077" s="139">
        <v>0.64</v>
      </c>
      <c r="F1077" s="52"/>
      <c r="G1077" s="10"/>
      <c r="H1077" s="10"/>
      <c r="I1077" s="10"/>
      <c r="J1077" s="10"/>
      <c r="K1077" s="10"/>
      <c r="L1077" s="143" t="s">
        <v>3128</v>
      </c>
      <c r="M1077" s="144"/>
      <c r="N1077" s="144"/>
      <c r="O1077" s="144"/>
    </row>
    <row r="1078">
      <c r="A1078" s="138" t="s">
        <v>3130</v>
      </c>
      <c r="B1078" s="155"/>
      <c r="C1078" s="31">
        <v>0.05</v>
      </c>
      <c r="D1078" s="139">
        <v>0.64</v>
      </c>
      <c r="E1078" s="139">
        <v>0.64</v>
      </c>
      <c r="F1078" s="52"/>
      <c r="G1078" s="10"/>
      <c r="H1078" s="10"/>
      <c r="I1078" s="10"/>
      <c r="J1078" s="10"/>
      <c r="K1078" s="10"/>
      <c r="L1078" s="143" t="s">
        <v>3129</v>
      </c>
      <c r="M1078" s="144"/>
      <c r="N1078" s="144"/>
      <c r="O1078" s="144"/>
    </row>
    <row r="1079">
      <c r="A1079" s="138" t="s">
        <v>3131</v>
      </c>
      <c r="B1079" s="155"/>
      <c r="C1079" s="31">
        <v>0.05</v>
      </c>
      <c r="D1079" s="139">
        <v>0.64</v>
      </c>
      <c r="E1079" s="139">
        <v>0.64</v>
      </c>
      <c r="F1079" s="52"/>
      <c r="G1079" s="10"/>
      <c r="H1079" s="10"/>
      <c r="I1079" s="10"/>
      <c r="J1079" s="10"/>
      <c r="K1079" s="10"/>
      <c r="L1079" s="143" t="s">
        <v>3130</v>
      </c>
      <c r="M1079" s="144"/>
      <c r="N1079" s="144"/>
      <c r="O1079" s="144"/>
    </row>
    <row r="1080">
      <c r="A1080" s="138" t="s">
        <v>3132</v>
      </c>
      <c r="B1080" s="155"/>
      <c r="C1080" s="31">
        <v>0.05</v>
      </c>
      <c r="D1080" s="139">
        <v>0.64</v>
      </c>
      <c r="E1080" s="139">
        <v>0.64</v>
      </c>
      <c r="F1080" s="52"/>
      <c r="G1080" s="10"/>
      <c r="H1080" s="10"/>
      <c r="I1080" s="10"/>
      <c r="J1080" s="10"/>
      <c r="K1080" s="10"/>
      <c r="L1080" s="143" t="s">
        <v>3131</v>
      </c>
      <c r="M1080" s="144"/>
      <c r="N1080" s="144"/>
      <c r="O1080" s="144"/>
    </row>
    <row r="1081">
      <c r="A1081" s="138" t="s">
        <v>3133</v>
      </c>
      <c r="B1081" s="155"/>
      <c r="C1081" s="31">
        <v>0.05</v>
      </c>
      <c r="D1081" s="139">
        <v>0.64</v>
      </c>
      <c r="E1081" s="139">
        <v>0.64</v>
      </c>
      <c r="F1081" s="52"/>
      <c r="G1081" s="10"/>
      <c r="H1081" s="10"/>
      <c r="I1081" s="10"/>
      <c r="J1081" s="10"/>
      <c r="K1081" s="10"/>
      <c r="L1081" s="143" t="s">
        <v>3132</v>
      </c>
      <c r="M1081" s="144"/>
      <c r="N1081" s="144"/>
      <c r="O1081" s="144"/>
    </row>
    <row r="1082">
      <c r="A1082" s="138" t="s">
        <v>3134</v>
      </c>
      <c r="B1082" s="155"/>
      <c r="C1082" s="31">
        <v>0.05</v>
      </c>
      <c r="D1082" s="139">
        <v>0.64</v>
      </c>
      <c r="E1082" s="139">
        <v>0.64</v>
      </c>
      <c r="F1082" s="52"/>
      <c r="G1082" s="10"/>
      <c r="H1082" s="10"/>
      <c r="I1082" s="10"/>
      <c r="J1082" s="10"/>
      <c r="K1082" s="10"/>
      <c r="L1082" s="143" t="s">
        <v>3133</v>
      </c>
      <c r="M1082" s="144"/>
      <c r="N1082" s="144"/>
      <c r="O1082" s="144"/>
    </row>
    <row r="1083">
      <c r="A1083" s="138" t="s">
        <v>3135</v>
      </c>
      <c r="B1083" s="155"/>
      <c r="C1083" s="31">
        <v>0.05</v>
      </c>
      <c r="D1083" s="139">
        <v>0.64</v>
      </c>
      <c r="E1083" s="139">
        <v>0.64</v>
      </c>
      <c r="F1083" s="52"/>
      <c r="G1083" s="10"/>
      <c r="H1083" s="10"/>
      <c r="I1083" s="10"/>
      <c r="J1083" s="10"/>
      <c r="K1083" s="10"/>
      <c r="L1083" s="143" t="s">
        <v>3134</v>
      </c>
      <c r="M1083" s="144"/>
      <c r="N1083" s="144"/>
      <c r="O1083" s="144"/>
    </row>
    <row r="1084">
      <c r="A1084" s="138" t="s">
        <v>3136</v>
      </c>
      <c r="B1084" s="155"/>
      <c r="C1084" s="31">
        <v>0.05</v>
      </c>
      <c r="D1084" s="139">
        <v>0.64</v>
      </c>
      <c r="E1084" s="139">
        <v>0.64</v>
      </c>
      <c r="F1084" s="52"/>
      <c r="G1084" s="10"/>
      <c r="H1084" s="10"/>
      <c r="I1084" s="10"/>
      <c r="J1084" s="10"/>
      <c r="K1084" s="10"/>
      <c r="L1084" s="143" t="s">
        <v>3135</v>
      </c>
      <c r="M1084" s="144"/>
      <c r="N1084" s="144"/>
      <c r="O1084" s="144"/>
    </row>
    <row r="1085">
      <c r="A1085" s="138" t="s">
        <v>3137</v>
      </c>
      <c r="B1085" s="155"/>
      <c r="C1085" s="31">
        <v>0.05</v>
      </c>
      <c r="D1085" s="139">
        <v>0.64</v>
      </c>
      <c r="E1085" s="139">
        <v>0.64</v>
      </c>
      <c r="F1085" s="52"/>
      <c r="G1085" s="10"/>
      <c r="H1085" s="10"/>
      <c r="I1085" s="10"/>
      <c r="J1085" s="10"/>
      <c r="K1085" s="10"/>
      <c r="L1085" s="143" t="s">
        <v>3136</v>
      </c>
      <c r="M1085" s="144"/>
      <c r="N1085" s="144"/>
      <c r="O1085" s="144"/>
    </row>
    <row r="1086">
      <c r="A1086" s="138" t="s">
        <v>3138</v>
      </c>
      <c r="B1086" s="155"/>
      <c r="C1086" s="31">
        <v>0.05</v>
      </c>
      <c r="D1086" s="139">
        <v>0.64</v>
      </c>
      <c r="E1086" s="139">
        <v>0.64</v>
      </c>
      <c r="F1086" s="52"/>
      <c r="G1086" s="10"/>
      <c r="H1086" s="10"/>
      <c r="I1086" s="10"/>
      <c r="J1086" s="10"/>
      <c r="K1086" s="10"/>
      <c r="L1086" s="143" t="s">
        <v>3137</v>
      </c>
      <c r="M1086" s="144"/>
      <c r="N1086" s="144"/>
      <c r="O1086" s="144"/>
    </row>
    <row r="1087">
      <c r="A1087" s="138" t="s">
        <v>3139</v>
      </c>
      <c r="B1087" s="155"/>
      <c r="C1087" s="31">
        <v>0.05</v>
      </c>
      <c r="D1087" s="139">
        <v>0.64</v>
      </c>
      <c r="E1087" s="139">
        <v>0.64</v>
      </c>
      <c r="F1087" s="52"/>
      <c r="G1087" s="10"/>
      <c r="H1087" s="10"/>
      <c r="I1087" s="10"/>
      <c r="J1087" s="10"/>
      <c r="K1087" s="10"/>
      <c r="L1087" s="143" t="s">
        <v>3138</v>
      </c>
      <c r="M1087" s="144"/>
      <c r="N1087" s="144"/>
      <c r="O1087" s="144"/>
    </row>
    <row r="1088">
      <c r="A1088" s="138" t="s">
        <v>3140</v>
      </c>
      <c r="B1088" s="155"/>
      <c r="C1088" s="31">
        <v>0.05</v>
      </c>
      <c r="D1088" s="139">
        <v>0.64</v>
      </c>
      <c r="E1088" s="139">
        <v>0.64</v>
      </c>
      <c r="F1088" s="52"/>
      <c r="G1088" s="10"/>
      <c r="H1088" s="10"/>
      <c r="I1088" s="10"/>
      <c r="J1088" s="10"/>
      <c r="K1088" s="10"/>
      <c r="L1088" s="143" t="s">
        <v>3139</v>
      </c>
      <c r="M1088" s="144"/>
      <c r="N1088" s="144"/>
      <c r="O1088" s="144"/>
    </row>
    <row r="1089">
      <c r="A1089" s="138" t="s">
        <v>3141</v>
      </c>
      <c r="B1089" s="155"/>
      <c r="C1089" s="31">
        <v>0.05</v>
      </c>
      <c r="D1089" s="139">
        <v>0.64</v>
      </c>
      <c r="E1089" s="139">
        <v>0.64</v>
      </c>
      <c r="F1089" s="52"/>
      <c r="G1089" s="10"/>
      <c r="H1089" s="10"/>
      <c r="I1089" s="10"/>
      <c r="J1089" s="10"/>
      <c r="K1089" s="10"/>
      <c r="L1089" s="143" t="s">
        <v>3140</v>
      </c>
      <c r="M1089" s="144"/>
      <c r="N1089" s="144"/>
      <c r="O1089" s="144"/>
    </row>
    <row r="1090">
      <c r="A1090" s="138" t="s">
        <v>3142</v>
      </c>
      <c r="B1090" s="155"/>
      <c r="C1090" s="31">
        <v>0.05</v>
      </c>
      <c r="D1090" s="139">
        <v>0.64</v>
      </c>
      <c r="E1090" s="139">
        <v>0.64</v>
      </c>
      <c r="F1090" s="52"/>
      <c r="G1090" s="10"/>
      <c r="H1090" s="10"/>
      <c r="I1090" s="10"/>
      <c r="J1090" s="10"/>
      <c r="K1090" s="10"/>
      <c r="L1090" s="143" t="s">
        <v>3141</v>
      </c>
      <c r="M1090" s="144"/>
      <c r="N1090" s="144"/>
      <c r="O1090" s="144"/>
    </row>
    <row r="1091">
      <c r="A1091" s="138" t="s">
        <v>3143</v>
      </c>
      <c r="B1091" s="155"/>
      <c r="C1091" s="31">
        <v>0.05</v>
      </c>
      <c r="D1091" s="139">
        <v>0.64</v>
      </c>
      <c r="E1091" s="139">
        <v>0.64</v>
      </c>
      <c r="F1091" s="52"/>
      <c r="G1091" s="10"/>
      <c r="H1091" s="10"/>
      <c r="I1091" s="10"/>
      <c r="J1091" s="10"/>
      <c r="K1091" s="10"/>
      <c r="L1091" s="143" t="s">
        <v>3142</v>
      </c>
      <c r="M1091" s="144"/>
      <c r="N1091" s="144"/>
      <c r="O1091" s="144"/>
    </row>
    <row r="1092">
      <c r="A1092" s="138" t="s">
        <v>3144</v>
      </c>
      <c r="B1092" s="155"/>
      <c r="C1092" s="31">
        <v>0.05</v>
      </c>
      <c r="D1092" s="139">
        <v>0.64</v>
      </c>
      <c r="E1092" s="139">
        <v>0.64</v>
      </c>
      <c r="F1092" s="52"/>
      <c r="G1092" s="10"/>
      <c r="H1092" s="10"/>
      <c r="I1092" s="10"/>
      <c r="J1092" s="10"/>
      <c r="K1092" s="10"/>
      <c r="L1092" s="143" t="s">
        <v>3143</v>
      </c>
      <c r="M1092" s="144"/>
      <c r="N1092" s="144"/>
      <c r="O1092" s="144"/>
    </row>
    <row r="1093">
      <c r="A1093" s="138" t="s">
        <v>3145</v>
      </c>
      <c r="B1093" s="155"/>
      <c r="C1093" s="31">
        <v>0.05</v>
      </c>
      <c r="D1093" s="139">
        <v>0.64</v>
      </c>
      <c r="E1093" s="139">
        <v>0.64</v>
      </c>
      <c r="F1093" s="52"/>
      <c r="G1093" s="10"/>
      <c r="H1093" s="10"/>
      <c r="I1093" s="10"/>
      <c r="J1093" s="10"/>
      <c r="K1093" s="10"/>
      <c r="L1093" s="143" t="s">
        <v>3144</v>
      </c>
      <c r="M1093" s="144"/>
      <c r="N1093" s="144"/>
      <c r="O1093" s="144"/>
    </row>
    <row r="1094">
      <c r="A1094" s="138" t="s">
        <v>3146</v>
      </c>
      <c r="B1094" s="155"/>
      <c r="C1094" s="31">
        <v>0.05</v>
      </c>
      <c r="D1094" s="139">
        <v>0.64</v>
      </c>
      <c r="E1094" s="139">
        <v>0.64</v>
      </c>
      <c r="F1094" s="52"/>
      <c r="G1094" s="10"/>
      <c r="H1094" s="10"/>
      <c r="I1094" s="10"/>
      <c r="J1094" s="10"/>
      <c r="K1094" s="10"/>
      <c r="L1094" s="143" t="s">
        <v>3145</v>
      </c>
      <c r="M1094" s="144"/>
      <c r="N1094" s="144"/>
      <c r="O1094" s="144"/>
    </row>
    <row r="1095">
      <c r="A1095" s="138" t="s">
        <v>3147</v>
      </c>
      <c r="B1095" s="155"/>
      <c r="C1095" s="31">
        <v>0.05</v>
      </c>
      <c r="D1095" s="139">
        <v>0.64</v>
      </c>
      <c r="E1095" s="139">
        <v>0.64</v>
      </c>
      <c r="F1095" s="52"/>
      <c r="G1095" s="10"/>
      <c r="H1095" s="10"/>
      <c r="I1095" s="10"/>
      <c r="J1095" s="10"/>
      <c r="K1095" s="10"/>
      <c r="L1095" s="143" t="s">
        <v>3146</v>
      </c>
      <c r="M1095" s="144"/>
      <c r="N1095" s="144"/>
      <c r="O1095" s="144"/>
    </row>
    <row r="1096">
      <c r="A1096" s="138" t="s">
        <v>3148</v>
      </c>
      <c r="B1096" s="155"/>
      <c r="C1096" s="31">
        <v>0.05</v>
      </c>
      <c r="D1096" s="139">
        <v>0.64</v>
      </c>
      <c r="E1096" s="139">
        <v>0.64</v>
      </c>
      <c r="F1096" s="52"/>
      <c r="G1096" s="10"/>
      <c r="H1096" s="10"/>
      <c r="I1096" s="10"/>
      <c r="J1096" s="10"/>
      <c r="K1096" s="10"/>
      <c r="L1096" s="143" t="s">
        <v>3147</v>
      </c>
      <c r="M1096" s="144"/>
      <c r="N1096" s="144"/>
      <c r="O1096" s="144"/>
    </row>
    <row r="1097">
      <c r="A1097" s="138" t="s">
        <v>3149</v>
      </c>
      <c r="B1097" s="155"/>
      <c r="C1097" s="31">
        <v>0.05</v>
      </c>
      <c r="D1097" s="139">
        <v>0.64</v>
      </c>
      <c r="E1097" s="139">
        <v>0.64</v>
      </c>
      <c r="F1097" s="52"/>
      <c r="G1097" s="10"/>
      <c r="H1097" s="10"/>
      <c r="I1097" s="10"/>
      <c r="J1097" s="10"/>
      <c r="K1097" s="10"/>
      <c r="L1097" s="143" t="s">
        <v>3148</v>
      </c>
      <c r="M1097" s="144"/>
      <c r="N1097" s="144"/>
      <c r="O1097" s="144"/>
    </row>
    <row r="1098">
      <c r="A1098" s="138" t="s">
        <v>3150</v>
      </c>
      <c r="B1098" s="155"/>
      <c r="C1098" s="31">
        <v>0.05</v>
      </c>
      <c r="D1098" s="139">
        <v>0.64</v>
      </c>
      <c r="E1098" s="139">
        <v>0.64</v>
      </c>
      <c r="F1098" s="52"/>
      <c r="G1098" s="10"/>
      <c r="H1098" s="10"/>
      <c r="I1098" s="10"/>
      <c r="J1098" s="10"/>
      <c r="K1098" s="10"/>
      <c r="L1098" s="143" t="s">
        <v>3149</v>
      </c>
      <c r="M1098" s="144"/>
      <c r="N1098" s="144"/>
      <c r="O1098" s="144"/>
    </row>
    <row r="1099">
      <c r="A1099" s="138" t="s">
        <v>3151</v>
      </c>
      <c r="B1099" s="155"/>
      <c r="C1099" s="31">
        <v>0.05</v>
      </c>
      <c r="D1099" s="139">
        <v>0.64</v>
      </c>
      <c r="E1099" s="139">
        <v>0.64</v>
      </c>
      <c r="F1099" s="52"/>
      <c r="G1099" s="10"/>
      <c r="H1099" s="10"/>
      <c r="I1099" s="10"/>
      <c r="J1099" s="10"/>
      <c r="K1099" s="10"/>
      <c r="L1099" s="143" t="s">
        <v>3150</v>
      </c>
      <c r="M1099" s="144"/>
      <c r="N1099" s="144"/>
      <c r="O1099" s="144"/>
    </row>
    <row r="1100">
      <c r="A1100" s="138" t="s">
        <v>3152</v>
      </c>
      <c r="B1100" s="155"/>
      <c r="C1100" s="31">
        <v>0.05</v>
      </c>
      <c r="D1100" s="139">
        <v>0.64</v>
      </c>
      <c r="E1100" s="139">
        <v>0.64</v>
      </c>
      <c r="F1100" s="52"/>
      <c r="G1100" s="10"/>
      <c r="H1100" s="10"/>
      <c r="I1100" s="10"/>
      <c r="J1100" s="10"/>
      <c r="K1100" s="10"/>
      <c r="L1100" s="143" t="s">
        <v>3151</v>
      </c>
      <c r="M1100" s="144"/>
      <c r="N1100" s="144"/>
      <c r="O1100" s="144"/>
    </row>
    <row r="1101">
      <c r="A1101" s="138" t="s">
        <v>3153</v>
      </c>
      <c r="B1101" s="155"/>
      <c r="C1101" s="31">
        <v>0.05</v>
      </c>
      <c r="D1101" s="139">
        <v>0.64</v>
      </c>
      <c r="E1101" s="139">
        <v>0.64</v>
      </c>
      <c r="F1101" s="52"/>
      <c r="G1101" s="10"/>
      <c r="H1101" s="10"/>
      <c r="I1101" s="10"/>
      <c r="J1101" s="10"/>
      <c r="K1101" s="10"/>
      <c r="L1101" s="143" t="s">
        <v>3152</v>
      </c>
      <c r="M1101" s="144"/>
      <c r="N1101" s="144"/>
      <c r="O1101" s="144"/>
    </row>
    <row r="1102">
      <c r="A1102" s="138" t="s">
        <v>3154</v>
      </c>
      <c r="B1102" s="155"/>
      <c r="C1102" s="31">
        <v>0.05</v>
      </c>
      <c r="D1102" s="139">
        <v>0.64</v>
      </c>
      <c r="E1102" s="139">
        <v>0.64</v>
      </c>
      <c r="F1102" s="52"/>
      <c r="G1102" s="10"/>
      <c r="H1102" s="10"/>
      <c r="I1102" s="10"/>
      <c r="J1102" s="10"/>
      <c r="K1102" s="10"/>
      <c r="L1102" s="143" t="s">
        <v>3153</v>
      </c>
      <c r="M1102" s="144"/>
      <c r="N1102" s="144"/>
      <c r="O1102" s="144"/>
    </row>
    <row r="1103">
      <c r="A1103" s="138" t="s">
        <v>3155</v>
      </c>
      <c r="B1103" s="155"/>
      <c r="C1103" s="31">
        <v>0.05</v>
      </c>
      <c r="D1103" s="139">
        <v>0.64</v>
      </c>
      <c r="E1103" s="139">
        <v>0.64</v>
      </c>
      <c r="F1103" s="52"/>
      <c r="G1103" s="10"/>
      <c r="H1103" s="10"/>
      <c r="I1103" s="10"/>
      <c r="J1103" s="10"/>
      <c r="K1103" s="10"/>
      <c r="L1103" s="143" t="s">
        <v>3154</v>
      </c>
      <c r="M1103" s="144"/>
      <c r="N1103" s="144"/>
      <c r="O1103" s="144"/>
    </row>
    <row r="1104">
      <c r="A1104" s="138" t="s">
        <v>3156</v>
      </c>
      <c r="B1104" s="155"/>
      <c r="C1104" s="31">
        <v>0.05</v>
      </c>
      <c r="D1104" s="139">
        <v>0.64</v>
      </c>
      <c r="E1104" s="139">
        <v>0.64</v>
      </c>
      <c r="F1104" s="52"/>
      <c r="G1104" s="10"/>
      <c r="H1104" s="10"/>
      <c r="I1104" s="10"/>
      <c r="J1104" s="10"/>
      <c r="K1104" s="10"/>
      <c r="L1104" s="143" t="s">
        <v>3155</v>
      </c>
      <c r="M1104" s="144"/>
      <c r="N1104" s="144"/>
      <c r="O1104" s="144"/>
    </row>
    <row r="1105">
      <c r="A1105" s="138" t="s">
        <v>3157</v>
      </c>
      <c r="B1105" s="155"/>
      <c r="C1105" s="31">
        <v>0.05</v>
      </c>
      <c r="D1105" s="139">
        <v>0.64</v>
      </c>
      <c r="E1105" s="139">
        <v>0.64</v>
      </c>
      <c r="F1105" s="52"/>
      <c r="G1105" s="10"/>
      <c r="H1105" s="10"/>
      <c r="I1105" s="10"/>
      <c r="J1105" s="10"/>
      <c r="K1105" s="10"/>
      <c r="L1105" s="143" t="s">
        <v>3156</v>
      </c>
      <c r="M1105" s="144"/>
      <c r="N1105" s="144"/>
      <c r="O1105" s="144"/>
    </row>
    <row r="1106">
      <c r="A1106" s="138" t="s">
        <v>3158</v>
      </c>
      <c r="B1106" s="155"/>
      <c r="C1106" s="31">
        <v>0.05</v>
      </c>
      <c r="D1106" s="139">
        <v>0.64</v>
      </c>
      <c r="E1106" s="139">
        <v>0.64</v>
      </c>
      <c r="F1106" s="52"/>
      <c r="G1106" s="10"/>
      <c r="H1106" s="10"/>
      <c r="I1106" s="10"/>
      <c r="J1106" s="10"/>
      <c r="K1106" s="10"/>
      <c r="L1106" s="143" t="s">
        <v>3157</v>
      </c>
      <c r="M1106" s="144"/>
      <c r="N1106" s="144"/>
      <c r="O1106" s="144"/>
    </row>
    <row r="1107">
      <c r="A1107" s="138" t="s">
        <v>3159</v>
      </c>
      <c r="B1107" s="155"/>
      <c r="C1107" s="31">
        <v>0.05</v>
      </c>
      <c r="D1107" s="139">
        <v>0.64</v>
      </c>
      <c r="E1107" s="139">
        <v>0.64</v>
      </c>
      <c r="F1107" s="52"/>
      <c r="G1107" s="10"/>
      <c r="H1107" s="10"/>
      <c r="I1107" s="10"/>
      <c r="J1107" s="10"/>
      <c r="K1107" s="10"/>
      <c r="L1107" s="143" t="s">
        <v>3158</v>
      </c>
      <c r="M1107" s="144"/>
      <c r="N1107" s="144"/>
      <c r="O1107" s="144"/>
    </row>
    <row r="1108">
      <c r="A1108" s="138" t="s">
        <v>3160</v>
      </c>
      <c r="B1108" s="155"/>
      <c r="C1108" s="31">
        <v>0.05</v>
      </c>
      <c r="D1108" s="139">
        <v>0.64</v>
      </c>
      <c r="E1108" s="139">
        <v>0.64</v>
      </c>
      <c r="F1108" s="52"/>
      <c r="G1108" s="10"/>
      <c r="H1108" s="10"/>
      <c r="I1108" s="10"/>
      <c r="J1108" s="10"/>
      <c r="K1108" s="10"/>
      <c r="L1108" s="143" t="s">
        <v>3159</v>
      </c>
      <c r="M1108" s="144"/>
      <c r="N1108" s="144"/>
      <c r="O1108" s="144"/>
    </row>
    <row r="1109">
      <c r="A1109" s="138" t="s">
        <v>3161</v>
      </c>
      <c r="B1109" s="155"/>
      <c r="C1109" s="31">
        <v>0.05</v>
      </c>
      <c r="D1109" s="139">
        <v>0.64</v>
      </c>
      <c r="E1109" s="139">
        <v>0.64</v>
      </c>
      <c r="F1109" s="52"/>
      <c r="G1109" s="10"/>
      <c r="H1109" s="10"/>
      <c r="I1109" s="10"/>
      <c r="J1109" s="10"/>
      <c r="K1109" s="10"/>
      <c r="L1109" s="143" t="s">
        <v>3160</v>
      </c>
      <c r="M1109" s="144"/>
      <c r="N1109" s="144"/>
      <c r="O1109" s="144"/>
    </row>
    <row r="1110">
      <c r="A1110" s="138" t="s">
        <v>3162</v>
      </c>
      <c r="B1110" s="155"/>
      <c r="C1110" s="31">
        <v>0.05</v>
      </c>
      <c r="D1110" s="139">
        <v>0.64</v>
      </c>
      <c r="E1110" s="139">
        <v>0.64</v>
      </c>
      <c r="F1110" s="52"/>
      <c r="G1110" s="10"/>
      <c r="H1110" s="10"/>
      <c r="I1110" s="10"/>
      <c r="J1110" s="10"/>
      <c r="K1110" s="10"/>
      <c r="L1110" s="143" t="s">
        <v>3161</v>
      </c>
      <c r="M1110" s="144"/>
      <c r="N1110" s="144"/>
      <c r="O1110" s="144"/>
    </row>
    <row r="1111">
      <c r="A1111" s="138" t="s">
        <v>3163</v>
      </c>
      <c r="B1111" s="155"/>
      <c r="C1111" s="31">
        <v>0.05</v>
      </c>
      <c r="D1111" s="139">
        <v>0.64</v>
      </c>
      <c r="E1111" s="139">
        <v>0.64</v>
      </c>
      <c r="F1111" s="52"/>
      <c r="G1111" s="10"/>
      <c r="H1111" s="10"/>
      <c r="I1111" s="10"/>
      <c r="J1111" s="10"/>
      <c r="K1111" s="10"/>
      <c r="L1111" s="143" t="s">
        <v>3162</v>
      </c>
      <c r="M1111" s="144"/>
      <c r="N1111" s="144"/>
      <c r="O1111" s="144"/>
    </row>
    <row r="1112">
      <c r="A1112" s="138" t="s">
        <v>3164</v>
      </c>
      <c r="B1112" s="155"/>
      <c r="C1112" s="31">
        <v>0.05</v>
      </c>
      <c r="D1112" s="139">
        <v>0.64</v>
      </c>
      <c r="E1112" s="139">
        <v>0.64</v>
      </c>
      <c r="F1112" s="52"/>
      <c r="G1112" s="10"/>
      <c r="H1112" s="10"/>
      <c r="I1112" s="10"/>
      <c r="J1112" s="10"/>
      <c r="K1112" s="10"/>
      <c r="L1112" s="143" t="s">
        <v>3163</v>
      </c>
      <c r="M1112" s="144"/>
      <c r="N1112" s="144"/>
      <c r="O1112" s="144"/>
    </row>
    <row r="1113">
      <c r="A1113" s="138" t="s">
        <v>3165</v>
      </c>
      <c r="B1113" s="155"/>
      <c r="C1113" s="31">
        <v>0.05</v>
      </c>
      <c r="D1113" s="139">
        <v>0.64</v>
      </c>
      <c r="E1113" s="139">
        <v>0.64</v>
      </c>
      <c r="F1113" s="52"/>
      <c r="G1113" s="10"/>
      <c r="H1113" s="10"/>
      <c r="I1113" s="10"/>
      <c r="J1113" s="10"/>
      <c r="K1113" s="10"/>
      <c r="L1113" s="143" t="s">
        <v>3164</v>
      </c>
      <c r="M1113" s="144"/>
      <c r="N1113" s="144"/>
      <c r="O1113" s="144"/>
    </row>
    <row r="1114">
      <c r="A1114" s="138" t="s">
        <v>3166</v>
      </c>
      <c r="B1114" s="155"/>
      <c r="C1114" s="31">
        <v>0.05</v>
      </c>
      <c r="D1114" s="139">
        <v>0.64</v>
      </c>
      <c r="E1114" s="139">
        <v>0.64</v>
      </c>
      <c r="F1114" s="52"/>
      <c r="G1114" s="10"/>
      <c r="H1114" s="10"/>
      <c r="I1114" s="10"/>
      <c r="J1114" s="10"/>
      <c r="K1114" s="10"/>
      <c r="L1114" s="143" t="s">
        <v>3165</v>
      </c>
      <c r="M1114" s="144"/>
      <c r="N1114" s="144"/>
      <c r="O1114" s="144"/>
    </row>
    <row r="1115">
      <c r="A1115" s="138" t="s">
        <v>3167</v>
      </c>
      <c r="B1115" s="155"/>
      <c r="C1115" s="31">
        <v>0.05</v>
      </c>
      <c r="D1115" s="139">
        <v>0.64</v>
      </c>
      <c r="E1115" s="139">
        <v>0.64</v>
      </c>
      <c r="F1115" s="52"/>
      <c r="G1115" s="10"/>
      <c r="H1115" s="10"/>
      <c r="I1115" s="10"/>
      <c r="J1115" s="10"/>
      <c r="K1115" s="10"/>
      <c r="L1115" s="143" t="s">
        <v>3166</v>
      </c>
      <c r="M1115" s="144"/>
      <c r="N1115" s="144"/>
      <c r="O1115" s="144"/>
    </row>
    <row r="1116">
      <c r="A1116" s="138" t="s">
        <v>3168</v>
      </c>
      <c r="B1116" s="155"/>
      <c r="C1116" s="31">
        <v>0.05</v>
      </c>
      <c r="D1116" s="139">
        <v>0.64</v>
      </c>
      <c r="E1116" s="139">
        <v>0.64</v>
      </c>
      <c r="F1116" s="52"/>
      <c r="G1116" s="10"/>
      <c r="H1116" s="10"/>
      <c r="I1116" s="10"/>
      <c r="J1116" s="10"/>
      <c r="K1116" s="10"/>
      <c r="L1116" s="143" t="s">
        <v>3167</v>
      </c>
      <c r="M1116" s="144"/>
      <c r="N1116" s="144"/>
      <c r="O1116" s="144"/>
    </row>
    <row r="1117">
      <c r="A1117" s="138" t="s">
        <v>3169</v>
      </c>
      <c r="B1117" s="155"/>
      <c r="C1117" s="31">
        <v>0.05</v>
      </c>
      <c r="D1117" s="139">
        <v>0.64</v>
      </c>
      <c r="E1117" s="139">
        <v>0.64</v>
      </c>
      <c r="F1117" s="52"/>
      <c r="G1117" s="10"/>
      <c r="H1117" s="10"/>
      <c r="I1117" s="10"/>
      <c r="J1117" s="10"/>
      <c r="K1117" s="10"/>
      <c r="L1117" s="143" t="s">
        <v>3168</v>
      </c>
      <c r="M1117" s="144"/>
      <c r="N1117" s="144"/>
      <c r="O1117" s="144"/>
    </row>
    <row r="1118">
      <c r="A1118" s="138" t="s">
        <v>3170</v>
      </c>
      <c r="B1118" s="155"/>
      <c r="C1118" s="31">
        <v>0.05</v>
      </c>
      <c r="D1118" s="139">
        <v>0.64</v>
      </c>
      <c r="E1118" s="139">
        <v>0.64</v>
      </c>
      <c r="F1118" s="52"/>
      <c r="G1118" s="10"/>
      <c r="H1118" s="10"/>
      <c r="I1118" s="10"/>
      <c r="J1118" s="10"/>
      <c r="K1118" s="10"/>
      <c r="L1118" s="143" t="s">
        <v>3169</v>
      </c>
      <c r="M1118" s="144"/>
      <c r="N1118" s="144"/>
      <c r="O1118" s="144"/>
    </row>
    <row r="1119">
      <c r="A1119" s="138" t="s">
        <v>3171</v>
      </c>
      <c r="B1119" s="155"/>
      <c r="C1119" s="31">
        <v>0.05</v>
      </c>
      <c r="D1119" s="139">
        <v>0.64</v>
      </c>
      <c r="E1119" s="139">
        <v>0.64</v>
      </c>
      <c r="F1119" s="52"/>
      <c r="G1119" s="10"/>
      <c r="H1119" s="10"/>
      <c r="I1119" s="10"/>
      <c r="J1119" s="10"/>
      <c r="K1119" s="10"/>
      <c r="L1119" s="143" t="s">
        <v>3170</v>
      </c>
      <c r="M1119" s="144"/>
      <c r="N1119" s="144"/>
      <c r="O1119" s="144"/>
    </row>
    <row r="1120">
      <c r="A1120" s="138" t="s">
        <v>3172</v>
      </c>
      <c r="B1120" s="155"/>
      <c r="C1120" s="31">
        <v>0.05</v>
      </c>
      <c r="D1120" s="139">
        <v>0.64</v>
      </c>
      <c r="E1120" s="139">
        <v>0.64</v>
      </c>
      <c r="F1120" s="52"/>
      <c r="G1120" s="10"/>
      <c r="H1120" s="10"/>
      <c r="I1120" s="10"/>
      <c r="J1120" s="10"/>
      <c r="K1120" s="10"/>
      <c r="L1120" s="143" t="s">
        <v>3171</v>
      </c>
      <c r="M1120" s="144"/>
      <c r="N1120" s="144"/>
      <c r="O1120" s="144"/>
    </row>
    <row r="1121">
      <c r="A1121" s="138" t="s">
        <v>3173</v>
      </c>
      <c r="B1121" s="155"/>
      <c r="C1121" s="31">
        <v>0.05</v>
      </c>
      <c r="D1121" s="139">
        <v>0.64</v>
      </c>
      <c r="E1121" s="139">
        <v>0.64</v>
      </c>
      <c r="F1121" s="52"/>
      <c r="G1121" s="10"/>
      <c r="H1121" s="10"/>
      <c r="I1121" s="10"/>
      <c r="J1121" s="10"/>
      <c r="K1121" s="10"/>
      <c r="L1121" s="143" t="s">
        <v>3172</v>
      </c>
      <c r="M1121" s="144"/>
      <c r="N1121" s="144"/>
      <c r="O1121" s="144"/>
    </row>
    <row r="1122">
      <c r="A1122" s="138" t="s">
        <v>3174</v>
      </c>
      <c r="B1122" s="155"/>
      <c r="C1122" s="31">
        <v>0.05</v>
      </c>
      <c r="D1122" s="139">
        <v>0.64</v>
      </c>
      <c r="E1122" s="139">
        <v>0.64</v>
      </c>
      <c r="F1122" s="52"/>
      <c r="G1122" s="10"/>
      <c r="H1122" s="10"/>
      <c r="I1122" s="10"/>
      <c r="J1122" s="10"/>
      <c r="K1122" s="10"/>
      <c r="L1122" s="143" t="s">
        <v>3173</v>
      </c>
      <c r="M1122" s="144"/>
      <c r="N1122" s="144"/>
      <c r="O1122" s="144"/>
    </row>
    <row r="1123">
      <c r="A1123" s="138" t="s">
        <v>3175</v>
      </c>
      <c r="B1123" s="155"/>
      <c r="C1123" s="31">
        <v>0.05</v>
      </c>
      <c r="D1123" s="139">
        <v>0.64</v>
      </c>
      <c r="E1123" s="139">
        <v>0.64</v>
      </c>
      <c r="F1123" s="52"/>
      <c r="G1123" s="10"/>
      <c r="H1123" s="10"/>
      <c r="I1123" s="10"/>
      <c r="J1123" s="10"/>
      <c r="K1123" s="10"/>
      <c r="L1123" s="143" t="s">
        <v>3174</v>
      </c>
      <c r="M1123" s="144"/>
      <c r="N1123" s="144"/>
      <c r="O1123" s="144"/>
    </row>
    <row r="1124">
      <c r="A1124" s="138" t="s">
        <v>3176</v>
      </c>
      <c r="B1124" s="155"/>
      <c r="C1124" s="31">
        <v>0.05</v>
      </c>
      <c r="D1124" s="139">
        <v>0.64</v>
      </c>
      <c r="E1124" s="139">
        <v>0.64</v>
      </c>
      <c r="F1124" s="52"/>
      <c r="G1124" s="10"/>
      <c r="H1124" s="10"/>
      <c r="I1124" s="10"/>
      <c r="J1124" s="10"/>
      <c r="K1124" s="10"/>
      <c r="L1124" s="143" t="s">
        <v>3175</v>
      </c>
      <c r="M1124" s="144"/>
      <c r="N1124" s="144"/>
      <c r="O1124" s="144"/>
    </row>
    <row r="1125">
      <c r="A1125" s="138" t="s">
        <v>3177</v>
      </c>
      <c r="B1125" s="155"/>
      <c r="C1125" s="31">
        <v>0.05</v>
      </c>
      <c r="D1125" s="139">
        <v>0.64</v>
      </c>
      <c r="E1125" s="139">
        <v>0.64</v>
      </c>
      <c r="F1125" s="52"/>
      <c r="G1125" s="10"/>
      <c r="H1125" s="10"/>
      <c r="I1125" s="10"/>
      <c r="J1125" s="10"/>
      <c r="K1125" s="10"/>
      <c r="L1125" s="143" t="s">
        <v>3176</v>
      </c>
      <c r="M1125" s="144"/>
      <c r="N1125" s="144"/>
      <c r="O1125" s="144"/>
    </row>
    <row r="1126">
      <c r="A1126" s="138" t="s">
        <v>3178</v>
      </c>
      <c r="B1126" s="155"/>
      <c r="C1126" s="31">
        <v>0.05</v>
      </c>
      <c r="D1126" s="139">
        <v>0.64</v>
      </c>
      <c r="E1126" s="139">
        <v>0.64</v>
      </c>
      <c r="F1126" s="52"/>
      <c r="G1126" s="10"/>
      <c r="H1126" s="10"/>
      <c r="I1126" s="10"/>
      <c r="J1126" s="10"/>
      <c r="K1126" s="10"/>
      <c r="L1126" s="143" t="s">
        <v>3177</v>
      </c>
      <c r="M1126" s="144"/>
      <c r="N1126" s="144"/>
      <c r="O1126" s="144"/>
    </row>
    <row r="1127">
      <c r="A1127" s="138" t="s">
        <v>3179</v>
      </c>
      <c r="B1127" s="155"/>
      <c r="C1127" s="31">
        <v>0.05</v>
      </c>
      <c r="D1127" s="139">
        <v>0.64</v>
      </c>
      <c r="E1127" s="139">
        <v>0.64</v>
      </c>
      <c r="F1127" s="52"/>
      <c r="G1127" s="10"/>
      <c r="H1127" s="10"/>
      <c r="I1127" s="10"/>
      <c r="J1127" s="10"/>
      <c r="K1127" s="10"/>
      <c r="L1127" s="143" t="s">
        <v>3178</v>
      </c>
      <c r="M1127" s="144"/>
      <c r="N1127" s="144"/>
      <c r="O1127" s="144"/>
    </row>
    <row r="1128">
      <c r="A1128" s="138" t="s">
        <v>3180</v>
      </c>
      <c r="B1128" s="155"/>
      <c r="C1128" s="31">
        <v>0.05</v>
      </c>
      <c r="D1128" s="139">
        <v>0.64</v>
      </c>
      <c r="E1128" s="139">
        <v>0.64</v>
      </c>
      <c r="F1128" s="52"/>
      <c r="G1128" s="10"/>
      <c r="H1128" s="10"/>
      <c r="I1128" s="10"/>
      <c r="J1128" s="10"/>
      <c r="K1128" s="10"/>
      <c r="L1128" s="143" t="s">
        <v>3179</v>
      </c>
      <c r="M1128" s="144"/>
      <c r="N1128" s="144"/>
      <c r="O1128" s="144"/>
    </row>
    <row r="1129">
      <c r="A1129" s="138" t="s">
        <v>3181</v>
      </c>
      <c r="B1129" s="155"/>
      <c r="C1129" s="31">
        <v>0.05</v>
      </c>
      <c r="D1129" s="139">
        <v>0.64</v>
      </c>
      <c r="E1129" s="139">
        <v>0.64</v>
      </c>
      <c r="F1129" s="52"/>
      <c r="G1129" s="10"/>
      <c r="H1129" s="10"/>
      <c r="I1129" s="10"/>
      <c r="J1129" s="10"/>
      <c r="K1129" s="10"/>
      <c r="L1129" s="143" t="s">
        <v>3180</v>
      </c>
      <c r="M1129" s="144"/>
      <c r="N1129" s="144"/>
      <c r="O1129" s="144"/>
    </row>
    <row r="1130">
      <c r="A1130" s="138" t="s">
        <v>3182</v>
      </c>
      <c r="B1130" s="155"/>
      <c r="C1130" s="31">
        <v>0.05</v>
      </c>
      <c r="D1130" s="139">
        <v>0.64</v>
      </c>
      <c r="E1130" s="139">
        <v>0.64</v>
      </c>
      <c r="F1130" s="52"/>
      <c r="G1130" s="10"/>
      <c r="H1130" s="10"/>
      <c r="I1130" s="10"/>
      <c r="J1130" s="10"/>
      <c r="K1130" s="10"/>
      <c r="L1130" s="143" t="s">
        <v>3181</v>
      </c>
      <c r="M1130" s="144"/>
      <c r="N1130" s="144"/>
      <c r="O1130" s="144"/>
    </row>
    <row r="1131">
      <c r="A1131" s="138" t="s">
        <v>3183</v>
      </c>
      <c r="B1131" s="155"/>
      <c r="C1131" s="31">
        <v>0.05</v>
      </c>
      <c r="D1131" s="139">
        <v>0.64</v>
      </c>
      <c r="E1131" s="139">
        <v>0.64</v>
      </c>
      <c r="F1131" s="52"/>
      <c r="G1131" s="10"/>
      <c r="H1131" s="10"/>
      <c r="I1131" s="10"/>
      <c r="J1131" s="10"/>
      <c r="K1131" s="10"/>
      <c r="L1131" s="143" t="s">
        <v>3182</v>
      </c>
      <c r="M1131" s="144"/>
      <c r="N1131" s="144"/>
      <c r="O1131" s="144"/>
    </row>
    <row r="1132">
      <c r="A1132" s="138" t="s">
        <v>3184</v>
      </c>
      <c r="B1132" s="155"/>
      <c r="C1132" s="31">
        <v>0.05</v>
      </c>
      <c r="D1132" s="139">
        <v>0.64</v>
      </c>
      <c r="E1132" s="139">
        <v>0.64</v>
      </c>
      <c r="F1132" s="52"/>
      <c r="G1132" s="10"/>
      <c r="H1132" s="10"/>
      <c r="I1132" s="10"/>
      <c r="J1132" s="10"/>
      <c r="K1132" s="10"/>
      <c r="L1132" s="143" t="s">
        <v>3183</v>
      </c>
      <c r="M1132" s="144"/>
      <c r="N1132" s="144"/>
      <c r="O1132" s="144"/>
    </row>
    <row r="1133">
      <c r="A1133" s="138" t="s">
        <v>3185</v>
      </c>
      <c r="B1133" s="155"/>
      <c r="C1133" s="31">
        <v>0.05</v>
      </c>
      <c r="D1133" s="139">
        <v>0.64</v>
      </c>
      <c r="E1133" s="139">
        <v>0.64</v>
      </c>
      <c r="F1133" s="52"/>
      <c r="G1133" s="10"/>
      <c r="H1133" s="10"/>
      <c r="I1133" s="10"/>
      <c r="J1133" s="10"/>
      <c r="K1133" s="10"/>
      <c r="L1133" s="143" t="s">
        <v>3184</v>
      </c>
      <c r="M1133" s="144"/>
      <c r="N1133" s="144"/>
      <c r="O1133" s="144"/>
    </row>
    <row r="1134">
      <c r="A1134" s="138" t="s">
        <v>3186</v>
      </c>
      <c r="B1134" s="155"/>
      <c r="C1134" s="31">
        <v>0.05</v>
      </c>
      <c r="D1134" s="139">
        <v>0.64</v>
      </c>
      <c r="E1134" s="139">
        <v>0.64</v>
      </c>
      <c r="F1134" s="52"/>
      <c r="G1134" s="10"/>
      <c r="H1134" s="10"/>
      <c r="I1134" s="10"/>
      <c r="J1134" s="10"/>
      <c r="K1134" s="10"/>
      <c r="L1134" s="143" t="s">
        <v>3185</v>
      </c>
      <c r="M1134" s="144"/>
      <c r="N1134" s="144"/>
      <c r="O1134" s="144"/>
    </row>
    <row r="1135">
      <c r="A1135" s="138" t="s">
        <v>3187</v>
      </c>
      <c r="B1135" s="155"/>
      <c r="C1135" s="31">
        <v>0.05</v>
      </c>
      <c r="D1135" s="139">
        <v>0.64</v>
      </c>
      <c r="E1135" s="139">
        <v>0.64</v>
      </c>
      <c r="F1135" s="52"/>
      <c r="G1135" s="10"/>
      <c r="H1135" s="10"/>
      <c r="I1135" s="10"/>
      <c r="J1135" s="10"/>
      <c r="K1135" s="10"/>
      <c r="L1135" s="143" t="s">
        <v>3186</v>
      </c>
      <c r="M1135" s="144"/>
      <c r="N1135" s="144"/>
      <c r="O1135" s="144"/>
    </row>
    <row r="1136">
      <c r="A1136" s="138" t="s">
        <v>3188</v>
      </c>
      <c r="B1136" s="155"/>
      <c r="C1136" s="31">
        <v>0.05</v>
      </c>
      <c r="D1136" s="139">
        <v>0.64</v>
      </c>
      <c r="E1136" s="139">
        <v>0.64</v>
      </c>
      <c r="F1136" s="52"/>
      <c r="G1136" s="10"/>
      <c r="H1136" s="10"/>
      <c r="I1136" s="10"/>
      <c r="J1136" s="10"/>
      <c r="K1136" s="10"/>
      <c r="L1136" s="143" t="s">
        <v>3187</v>
      </c>
      <c r="M1136" s="144"/>
      <c r="N1136" s="144"/>
      <c r="O1136" s="144"/>
    </row>
    <row r="1137">
      <c r="A1137" s="138" t="s">
        <v>3189</v>
      </c>
      <c r="B1137" s="155"/>
      <c r="C1137" s="31">
        <v>0.05</v>
      </c>
      <c r="D1137" s="139">
        <v>0.64</v>
      </c>
      <c r="E1137" s="139">
        <v>0.64</v>
      </c>
      <c r="F1137" s="52"/>
      <c r="G1137" s="10"/>
      <c r="H1137" s="10"/>
      <c r="I1137" s="10"/>
      <c r="J1137" s="10"/>
      <c r="K1137" s="10"/>
      <c r="L1137" s="143" t="s">
        <v>3188</v>
      </c>
      <c r="M1137" s="144"/>
      <c r="N1137" s="144"/>
      <c r="O1137" s="144"/>
    </row>
    <row r="1138">
      <c r="A1138" s="138" t="s">
        <v>3190</v>
      </c>
      <c r="B1138" s="155"/>
      <c r="C1138" s="31">
        <v>0.05</v>
      </c>
      <c r="D1138" s="139">
        <v>0.64</v>
      </c>
      <c r="E1138" s="139">
        <v>0.64</v>
      </c>
      <c r="F1138" s="52"/>
      <c r="G1138" s="10"/>
      <c r="H1138" s="10"/>
      <c r="I1138" s="10"/>
      <c r="J1138" s="10"/>
      <c r="K1138" s="10"/>
      <c r="L1138" s="143" t="s">
        <v>3189</v>
      </c>
      <c r="M1138" s="144"/>
      <c r="N1138" s="144"/>
      <c r="O1138" s="144"/>
    </row>
    <row r="1139">
      <c r="A1139" s="138" t="s">
        <v>3191</v>
      </c>
      <c r="B1139" s="155"/>
      <c r="C1139" s="31">
        <v>0.05</v>
      </c>
      <c r="D1139" s="139">
        <v>0.64</v>
      </c>
      <c r="E1139" s="139">
        <v>0.64</v>
      </c>
      <c r="F1139" s="52"/>
      <c r="G1139" s="10"/>
      <c r="H1139" s="10"/>
      <c r="I1139" s="10"/>
      <c r="J1139" s="10"/>
      <c r="K1139" s="10"/>
      <c r="L1139" s="143" t="s">
        <v>3190</v>
      </c>
      <c r="M1139" s="144"/>
      <c r="N1139" s="144"/>
      <c r="O1139" s="144"/>
    </row>
    <row r="1140">
      <c r="A1140" s="138" t="s">
        <v>3192</v>
      </c>
      <c r="B1140" s="155"/>
      <c r="C1140" s="31">
        <v>0.05</v>
      </c>
      <c r="D1140" s="139">
        <v>0.64</v>
      </c>
      <c r="E1140" s="139">
        <v>0.64</v>
      </c>
      <c r="F1140" s="52"/>
      <c r="G1140" s="10"/>
      <c r="H1140" s="10"/>
      <c r="I1140" s="10"/>
      <c r="J1140" s="10"/>
      <c r="K1140" s="10"/>
      <c r="L1140" s="143" t="s">
        <v>3191</v>
      </c>
      <c r="M1140" s="144"/>
      <c r="N1140" s="144"/>
      <c r="O1140" s="144"/>
    </row>
    <row r="1141">
      <c r="A1141" s="138" t="s">
        <v>3193</v>
      </c>
      <c r="B1141" s="155"/>
      <c r="C1141" s="31">
        <v>0.05</v>
      </c>
      <c r="D1141" s="139">
        <v>0.64</v>
      </c>
      <c r="E1141" s="139">
        <v>0.64</v>
      </c>
      <c r="F1141" s="52"/>
      <c r="G1141" s="10"/>
      <c r="H1141" s="10"/>
      <c r="I1141" s="10"/>
      <c r="J1141" s="10"/>
      <c r="K1141" s="10"/>
      <c r="L1141" s="143" t="s">
        <v>3192</v>
      </c>
      <c r="M1141" s="144"/>
      <c r="N1141" s="144"/>
      <c r="O1141" s="144"/>
    </row>
    <row r="1142">
      <c r="A1142" s="138" t="s">
        <v>3194</v>
      </c>
      <c r="B1142" s="155"/>
      <c r="C1142" s="31">
        <v>0.05</v>
      </c>
      <c r="D1142" s="139">
        <v>0.64</v>
      </c>
      <c r="E1142" s="139">
        <v>0.64</v>
      </c>
      <c r="F1142" s="52"/>
      <c r="G1142" s="10"/>
      <c r="H1142" s="10"/>
      <c r="I1142" s="10"/>
      <c r="J1142" s="10"/>
      <c r="K1142" s="10"/>
      <c r="L1142" s="143" t="s">
        <v>3193</v>
      </c>
      <c r="M1142" s="144"/>
      <c r="N1142" s="144"/>
      <c r="O1142" s="144"/>
    </row>
    <row r="1143">
      <c r="A1143" s="138" t="s">
        <v>3195</v>
      </c>
      <c r="B1143" s="155"/>
      <c r="C1143" s="31">
        <v>0.05</v>
      </c>
      <c r="D1143" s="139">
        <v>0.64</v>
      </c>
      <c r="E1143" s="139">
        <v>0.64</v>
      </c>
      <c r="F1143" s="52"/>
      <c r="G1143" s="10"/>
      <c r="H1143" s="10"/>
      <c r="I1143" s="10"/>
      <c r="J1143" s="10"/>
      <c r="K1143" s="10"/>
      <c r="L1143" s="143" t="s">
        <v>3194</v>
      </c>
      <c r="M1143" s="144"/>
      <c r="N1143" s="144"/>
      <c r="O1143" s="144"/>
    </row>
    <row r="1144">
      <c r="A1144" s="138" t="s">
        <v>3196</v>
      </c>
      <c r="B1144" s="155"/>
      <c r="C1144" s="31">
        <v>0.05</v>
      </c>
      <c r="D1144" s="139">
        <v>0.64</v>
      </c>
      <c r="E1144" s="139">
        <v>0.64</v>
      </c>
      <c r="F1144" s="52"/>
      <c r="G1144" s="10"/>
      <c r="H1144" s="10"/>
      <c r="I1144" s="10"/>
      <c r="J1144" s="10"/>
      <c r="K1144" s="10"/>
      <c r="L1144" s="143" t="s">
        <v>3195</v>
      </c>
      <c r="M1144" s="144"/>
      <c r="N1144" s="144"/>
      <c r="O1144" s="144"/>
    </row>
    <row r="1145">
      <c r="A1145" s="138" t="s">
        <v>3197</v>
      </c>
      <c r="B1145" s="155"/>
      <c r="C1145" s="31">
        <v>0.05</v>
      </c>
      <c r="D1145" s="139">
        <v>0.64</v>
      </c>
      <c r="E1145" s="139">
        <v>0.64</v>
      </c>
      <c r="F1145" s="52"/>
      <c r="G1145" s="10"/>
      <c r="H1145" s="10"/>
      <c r="I1145" s="10"/>
      <c r="J1145" s="10"/>
      <c r="K1145" s="10"/>
      <c r="L1145" s="143" t="s">
        <v>3196</v>
      </c>
      <c r="M1145" s="144"/>
      <c r="N1145" s="144"/>
      <c r="O1145" s="144"/>
    </row>
    <row r="1146">
      <c r="A1146" s="138" t="s">
        <v>3198</v>
      </c>
      <c r="B1146" s="155"/>
      <c r="C1146" s="31">
        <v>0.05</v>
      </c>
      <c r="D1146" s="139">
        <v>0.64</v>
      </c>
      <c r="E1146" s="139">
        <v>0.64</v>
      </c>
      <c r="F1146" s="52"/>
      <c r="G1146" s="10"/>
      <c r="H1146" s="10"/>
      <c r="I1146" s="10"/>
      <c r="J1146" s="10"/>
      <c r="K1146" s="10"/>
      <c r="L1146" s="143" t="s">
        <v>3197</v>
      </c>
      <c r="M1146" s="144"/>
      <c r="N1146" s="144"/>
      <c r="O1146" s="144"/>
    </row>
    <row r="1147">
      <c r="A1147" s="138" t="s">
        <v>3199</v>
      </c>
      <c r="B1147" s="155"/>
      <c r="C1147" s="31">
        <v>0.05</v>
      </c>
      <c r="D1147" s="139">
        <v>0.64</v>
      </c>
      <c r="E1147" s="139">
        <v>0.64</v>
      </c>
      <c r="F1147" s="52"/>
      <c r="G1147" s="10"/>
      <c r="H1147" s="10"/>
      <c r="I1147" s="10"/>
      <c r="J1147" s="10"/>
      <c r="K1147" s="10"/>
      <c r="L1147" s="143" t="s">
        <v>3198</v>
      </c>
      <c r="M1147" s="144"/>
      <c r="N1147" s="144"/>
      <c r="O1147" s="144"/>
    </row>
    <row r="1148">
      <c r="A1148" s="138" t="s">
        <v>3200</v>
      </c>
      <c r="B1148" s="155"/>
      <c r="C1148" s="31">
        <v>0.05</v>
      </c>
      <c r="D1148" s="139">
        <v>0.64</v>
      </c>
      <c r="E1148" s="139">
        <v>0.64</v>
      </c>
      <c r="F1148" s="52"/>
      <c r="G1148" s="10"/>
      <c r="H1148" s="10"/>
      <c r="I1148" s="10"/>
      <c r="J1148" s="10"/>
      <c r="K1148" s="10"/>
      <c r="L1148" s="143" t="s">
        <v>3199</v>
      </c>
      <c r="M1148" s="144"/>
      <c r="N1148" s="144"/>
      <c r="O1148" s="144"/>
    </row>
    <row r="1149">
      <c r="A1149" s="138" t="s">
        <v>3201</v>
      </c>
      <c r="B1149" s="155"/>
      <c r="C1149" s="31">
        <v>0.05</v>
      </c>
      <c r="D1149" s="139">
        <v>0.64</v>
      </c>
      <c r="E1149" s="139">
        <v>0.64</v>
      </c>
      <c r="F1149" s="52"/>
      <c r="G1149" s="10"/>
      <c r="H1149" s="10"/>
      <c r="I1149" s="10"/>
      <c r="J1149" s="10"/>
      <c r="K1149" s="10"/>
      <c r="L1149" s="143" t="s">
        <v>3200</v>
      </c>
      <c r="M1149" s="144"/>
      <c r="N1149" s="144"/>
      <c r="O1149" s="144"/>
    </row>
    <row r="1150">
      <c r="A1150" s="138" t="s">
        <v>3202</v>
      </c>
      <c r="B1150" s="155"/>
      <c r="C1150" s="31">
        <v>0.05</v>
      </c>
      <c r="D1150" s="139">
        <v>0.64</v>
      </c>
      <c r="E1150" s="139">
        <v>0.64</v>
      </c>
      <c r="F1150" s="52"/>
      <c r="G1150" s="10"/>
      <c r="H1150" s="10"/>
      <c r="I1150" s="10"/>
      <c r="J1150" s="10"/>
      <c r="K1150" s="10"/>
      <c r="L1150" s="143" t="s">
        <v>3201</v>
      </c>
      <c r="M1150" s="144"/>
      <c r="N1150" s="144"/>
      <c r="O1150" s="144"/>
    </row>
    <row r="1151">
      <c r="A1151" s="138" t="s">
        <v>3203</v>
      </c>
      <c r="B1151" s="155"/>
      <c r="C1151" s="31">
        <v>0.05</v>
      </c>
      <c r="D1151" s="139">
        <v>0.64</v>
      </c>
      <c r="E1151" s="139">
        <v>0.64</v>
      </c>
      <c r="F1151" s="52"/>
      <c r="G1151" s="10"/>
      <c r="H1151" s="10"/>
      <c r="I1151" s="10"/>
      <c r="J1151" s="10"/>
      <c r="K1151" s="10"/>
      <c r="L1151" s="143" t="s">
        <v>3202</v>
      </c>
      <c r="M1151" s="144"/>
      <c r="N1151" s="144"/>
      <c r="O1151" s="144"/>
    </row>
    <row r="1152">
      <c r="A1152" s="138" t="s">
        <v>3204</v>
      </c>
      <c r="B1152" s="155"/>
      <c r="C1152" s="31">
        <v>0.05</v>
      </c>
      <c r="D1152" s="139">
        <v>0.64</v>
      </c>
      <c r="E1152" s="139">
        <v>0.64</v>
      </c>
      <c r="F1152" s="52"/>
      <c r="G1152" s="10"/>
      <c r="H1152" s="10"/>
      <c r="I1152" s="10"/>
      <c r="J1152" s="10"/>
      <c r="K1152" s="10"/>
      <c r="L1152" s="143" t="s">
        <v>3203</v>
      </c>
      <c r="M1152" s="144"/>
      <c r="N1152" s="144"/>
      <c r="O1152" s="144"/>
    </row>
    <row r="1153">
      <c r="A1153" s="138" t="s">
        <v>3205</v>
      </c>
      <c r="B1153" s="155"/>
      <c r="C1153" s="31">
        <v>0.05</v>
      </c>
      <c r="D1153" s="139">
        <v>0.64</v>
      </c>
      <c r="E1153" s="139">
        <v>0.64</v>
      </c>
      <c r="F1153" s="52"/>
      <c r="G1153" s="10"/>
      <c r="H1153" s="10"/>
      <c r="I1153" s="10"/>
      <c r="J1153" s="10"/>
      <c r="K1153" s="10"/>
      <c r="L1153" s="143" t="s">
        <v>3204</v>
      </c>
      <c r="M1153" s="144"/>
      <c r="N1153" s="144"/>
      <c r="O1153" s="144"/>
    </row>
    <row r="1154">
      <c r="A1154" s="138" t="s">
        <v>3206</v>
      </c>
      <c r="B1154" s="155"/>
      <c r="C1154" s="31">
        <v>0.05</v>
      </c>
      <c r="D1154" s="139">
        <v>0.64</v>
      </c>
      <c r="E1154" s="139">
        <v>0.64</v>
      </c>
      <c r="F1154" s="52"/>
      <c r="G1154" s="10"/>
      <c r="H1154" s="10"/>
      <c r="I1154" s="10"/>
      <c r="J1154" s="10"/>
      <c r="K1154" s="10"/>
      <c r="L1154" s="143" t="s">
        <v>3205</v>
      </c>
      <c r="M1154" s="144"/>
      <c r="N1154" s="144"/>
      <c r="O1154" s="144"/>
    </row>
    <row r="1155">
      <c r="A1155" s="138" t="s">
        <v>3207</v>
      </c>
      <c r="B1155" s="155"/>
      <c r="C1155" s="31">
        <v>0.05</v>
      </c>
      <c r="D1155" s="139">
        <v>0.64</v>
      </c>
      <c r="E1155" s="139">
        <v>0.64</v>
      </c>
      <c r="F1155" s="52"/>
      <c r="G1155" s="10"/>
      <c r="H1155" s="10"/>
      <c r="I1155" s="10"/>
      <c r="J1155" s="10"/>
      <c r="K1155" s="10"/>
      <c r="L1155" s="143" t="s">
        <v>3206</v>
      </c>
      <c r="M1155" s="144"/>
      <c r="N1155" s="144"/>
      <c r="O1155" s="144"/>
    </row>
    <row r="1156">
      <c r="A1156" s="138" t="s">
        <v>3208</v>
      </c>
      <c r="B1156" s="155"/>
      <c r="C1156" s="31">
        <v>0.05</v>
      </c>
      <c r="D1156" s="139">
        <v>0.64</v>
      </c>
      <c r="E1156" s="139">
        <v>0.64</v>
      </c>
      <c r="F1156" s="52"/>
      <c r="G1156" s="10"/>
      <c r="H1156" s="10"/>
      <c r="I1156" s="10"/>
      <c r="J1156" s="10"/>
      <c r="K1156" s="10"/>
      <c r="L1156" s="143" t="s">
        <v>3207</v>
      </c>
      <c r="M1156" s="144"/>
      <c r="N1156" s="144"/>
      <c r="O1156" s="144"/>
    </row>
    <row r="1157">
      <c r="A1157" s="138" t="s">
        <v>3209</v>
      </c>
      <c r="B1157" s="155"/>
      <c r="C1157" s="31">
        <v>0.05</v>
      </c>
      <c r="D1157" s="139">
        <v>0.64</v>
      </c>
      <c r="E1157" s="139">
        <v>0.64</v>
      </c>
      <c r="F1157" s="52"/>
      <c r="G1157" s="10"/>
      <c r="H1157" s="10"/>
      <c r="I1157" s="10"/>
      <c r="J1157" s="10"/>
      <c r="K1157" s="10"/>
      <c r="L1157" s="143" t="s">
        <v>3208</v>
      </c>
      <c r="M1157" s="144"/>
      <c r="N1157" s="144"/>
      <c r="O1157" s="144"/>
    </row>
    <row r="1158">
      <c r="A1158" s="138" t="s">
        <v>608</v>
      </c>
      <c r="B1158" s="155"/>
      <c r="C1158" s="31">
        <v>0.05</v>
      </c>
      <c r="D1158" s="139">
        <v>0.64</v>
      </c>
      <c r="E1158" s="139">
        <v>0.64</v>
      </c>
      <c r="F1158" s="52"/>
      <c r="G1158" s="10"/>
      <c r="H1158" s="10"/>
      <c r="I1158" s="10"/>
      <c r="J1158" s="10"/>
      <c r="K1158" s="10"/>
      <c r="L1158" s="143" t="s">
        <v>3209</v>
      </c>
      <c r="M1158" s="144"/>
      <c r="N1158" s="144"/>
      <c r="O1158" s="144"/>
    </row>
    <row r="1159">
      <c r="A1159" s="138" t="s">
        <v>3210</v>
      </c>
      <c r="B1159" s="155"/>
      <c r="C1159" s="31">
        <v>0.05</v>
      </c>
      <c r="D1159" s="139">
        <v>0.64</v>
      </c>
      <c r="E1159" s="139">
        <v>0.64</v>
      </c>
      <c r="F1159" s="52"/>
      <c r="G1159" s="10"/>
      <c r="H1159" s="10"/>
      <c r="I1159" s="10"/>
      <c r="J1159" s="10"/>
      <c r="K1159" s="10"/>
      <c r="L1159" s="143" t="s">
        <v>608</v>
      </c>
      <c r="M1159" s="144"/>
      <c r="N1159" s="144"/>
      <c r="O1159" s="144"/>
    </row>
    <row r="1160">
      <c r="A1160" s="138" t="s">
        <v>3211</v>
      </c>
      <c r="B1160" s="155"/>
      <c r="C1160" s="31">
        <v>0.05</v>
      </c>
      <c r="D1160" s="139">
        <v>0.64</v>
      </c>
      <c r="E1160" s="139">
        <v>0.64</v>
      </c>
      <c r="F1160" s="52"/>
      <c r="G1160" s="10"/>
      <c r="H1160" s="10"/>
      <c r="I1160" s="10"/>
      <c r="J1160" s="10"/>
      <c r="K1160" s="10"/>
      <c r="L1160" s="143" t="s">
        <v>3210</v>
      </c>
      <c r="M1160" s="144"/>
      <c r="N1160" s="144"/>
      <c r="O1160" s="144"/>
    </row>
    <row r="1161">
      <c r="A1161" s="138" t="s">
        <v>3212</v>
      </c>
      <c r="B1161" s="155"/>
      <c r="C1161" s="31">
        <v>0.05</v>
      </c>
      <c r="D1161" s="139">
        <v>0.64</v>
      </c>
      <c r="E1161" s="139">
        <v>0.64</v>
      </c>
      <c r="F1161" s="52"/>
      <c r="G1161" s="10"/>
      <c r="H1161" s="10"/>
      <c r="I1161" s="10"/>
      <c r="J1161" s="10"/>
      <c r="K1161" s="10"/>
      <c r="L1161" s="143" t="s">
        <v>3211</v>
      </c>
      <c r="M1161" s="144"/>
      <c r="N1161" s="144"/>
      <c r="O1161" s="144"/>
    </row>
    <row r="1162">
      <c r="A1162" s="138" t="s">
        <v>3213</v>
      </c>
      <c r="B1162" s="155"/>
      <c r="C1162" s="31">
        <v>0.05</v>
      </c>
      <c r="D1162" s="139">
        <v>0.64</v>
      </c>
      <c r="E1162" s="139">
        <v>0.64</v>
      </c>
      <c r="F1162" s="52"/>
      <c r="G1162" s="10"/>
      <c r="H1162" s="10"/>
      <c r="I1162" s="10"/>
      <c r="J1162" s="10"/>
      <c r="K1162" s="10"/>
      <c r="L1162" s="143" t="s">
        <v>3212</v>
      </c>
      <c r="M1162" s="144"/>
      <c r="N1162" s="144"/>
      <c r="O1162" s="144"/>
    </row>
    <row r="1163">
      <c r="A1163" s="138" t="s">
        <v>3214</v>
      </c>
      <c r="B1163" s="155"/>
      <c r="C1163" s="31">
        <v>0.05</v>
      </c>
      <c r="D1163" s="139">
        <v>0.64</v>
      </c>
      <c r="E1163" s="139">
        <v>0.64</v>
      </c>
      <c r="F1163" s="52"/>
      <c r="G1163" s="10"/>
      <c r="H1163" s="10"/>
      <c r="I1163" s="10"/>
      <c r="J1163" s="10"/>
      <c r="K1163" s="10"/>
      <c r="L1163" s="143" t="s">
        <v>3213</v>
      </c>
      <c r="M1163" s="144"/>
      <c r="N1163" s="144"/>
      <c r="O1163" s="144"/>
    </row>
    <row r="1164">
      <c r="A1164" s="138" t="s">
        <v>3215</v>
      </c>
      <c r="B1164" s="155"/>
      <c r="C1164" s="31">
        <v>0.05</v>
      </c>
      <c r="D1164" s="139">
        <v>0.64</v>
      </c>
      <c r="E1164" s="139">
        <v>0.64</v>
      </c>
      <c r="F1164" s="52"/>
      <c r="G1164" s="10"/>
      <c r="H1164" s="10"/>
      <c r="I1164" s="10"/>
      <c r="J1164" s="10"/>
      <c r="K1164" s="10"/>
      <c r="L1164" s="143" t="s">
        <v>3214</v>
      </c>
      <c r="M1164" s="144"/>
      <c r="N1164" s="144"/>
      <c r="O1164" s="144"/>
    </row>
    <row r="1165">
      <c r="A1165" s="138" t="s">
        <v>3216</v>
      </c>
      <c r="B1165" s="155"/>
      <c r="C1165" s="31">
        <v>0.05</v>
      </c>
      <c r="D1165" s="139">
        <v>0.64</v>
      </c>
      <c r="E1165" s="139">
        <v>0.64</v>
      </c>
      <c r="F1165" s="52"/>
      <c r="G1165" s="10"/>
      <c r="H1165" s="10"/>
      <c r="I1165" s="10"/>
      <c r="J1165" s="10"/>
      <c r="K1165" s="10"/>
      <c r="L1165" s="143" t="s">
        <v>3215</v>
      </c>
      <c r="M1165" s="144"/>
      <c r="N1165" s="144"/>
      <c r="O1165" s="144"/>
    </row>
    <row r="1166">
      <c r="A1166" s="138" t="s">
        <v>3217</v>
      </c>
      <c r="B1166" s="155"/>
      <c r="C1166" s="31">
        <v>0.05</v>
      </c>
      <c r="D1166" s="139">
        <v>0.64</v>
      </c>
      <c r="E1166" s="139">
        <v>0.64</v>
      </c>
      <c r="F1166" s="52"/>
      <c r="G1166" s="10"/>
      <c r="H1166" s="10"/>
      <c r="I1166" s="10"/>
      <c r="J1166" s="10"/>
      <c r="K1166" s="10"/>
      <c r="L1166" s="143" t="s">
        <v>3216</v>
      </c>
      <c r="M1166" s="144"/>
      <c r="N1166" s="144"/>
      <c r="O1166" s="144"/>
    </row>
    <row r="1167">
      <c r="A1167" s="138" t="s">
        <v>3218</v>
      </c>
      <c r="B1167" s="155"/>
      <c r="C1167" s="31">
        <v>0.05</v>
      </c>
      <c r="D1167" s="139">
        <v>0.64</v>
      </c>
      <c r="E1167" s="139">
        <v>0.64</v>
      </c>
      <c r="F1167" s="52"/>
      <c r="G1167" s="10"/>
      <c r="H1167" s="10"/>
      <c r="I1167" s="10"/>
      <c r="J1167" s="10"/>
      <c r="K1167" s="10"/>
      <c r="L1167" s="143" t="s">
        <v>3217</v>
      </c>
      <c r="M1167" s="144"/>
      <c r="N1167" s="144"/>
      <c r="O1167" s="144"/>
    </row>
    <row r="1168">
      <c r="A1168" s="138" t="s">
        <v>3219</v>
      </c>
      <c r="B1168" s="155"/>
      <c r="C1168" s="31">
        <v>0.05</v>
      </c>
      <c r="D1168" s="139">
        <v>0.64</v>
      </c>
      <c r="E1168" s="139">
        <v>0.64</v>
      </c>
      <c r="F1168" s="52"/>
      <c r="G1168" s="10"/>
      <c r="H1168" s="10"/>
      <c r="I1168" s="10"/>
      <c r="J1168" s="10"/>
      <c r="K1168" s="10"/>
      <c r="L1168" s="143" t="s">
        <v>3218</v>
      </c>
      <c r="M1168" s="144"/>
      <c r="N1168" s="144"/>
      <c r="O1168" s="144"/>
    </row>
    <row r="1169">
      <c r="A1169" s="138" t="s">
        <v>3220</v>
      </c>
      <c r="B1169" s="155"/>
      <c r="C1169" s="31">
        <v>0.05</v>
      </c>
      <c r="D1169" s="139">
        <v>0.64</v>
      </c>
      <c r="E1169" s="139">
        <v>0.64</v>
      </c>
      <c r="F1169" s="52"/>
      <c r="G1169" s="10"/>
      <c r="H1169" s="10"/>
      <c r="I1169" s="10"/>
      <c r="J1169" s="10"/>
      <c r="K1169" s="10"/>
      <c r="L1169" s="143" t="s">
        <v>3219</v>
      </c>
      <c r="M1169" s="144"/>
      <c r="N1169" s="144"/>
      <c r="O1169" s="144"/>
    </row>
    <row r="1170">
      <c r="A1170" s="138" t="s">
        <v>3221</v>
      </c>
      <c r="B1170" s="155"/>
      <c r="C1170" s="31">
        <v>0.05</v>
      </c>
      <c r="D1170" s="139">
        <v>0.64</v>
      </c>
      <c r="E1170" s="139">
        <v>0.64</v>
      </c>
      <c r="F1170" s="52"/>
      <c r="G1170" s="10"/>
      <c r="H1170" s="10"/>
      <c r="I1170" s="10"/>
      <c r="J1170" s="10"/>
      <c r="K1170" s="10"/>
      <c r="L1170" s="143" t="s">
        <v>3220</v>
      </c>
      <c r="M1170" s="144"/>
      <c r="N1170" s="144"/>
      <c r="O1170" s="144"/>
    </row>
    <row r="1171">
      <c r="A1171" s="138" t="s">
        <v>3222</v>
      </c>
      <c r="B1171" s="155"/>
      <c r="C1171" s="31">
        <v>0.05</v>
      </c>
      <c r="D1171" s="139">
        <v>0.64</v>
      </c>
      <c r="E1171" s="139">
        <v>0.64</v>
      </c>
      <c r="F1171" s="52"/>
      <c r="G1171" s="10"/>
      <c r="H1171" s="10"/>
      <c r="I1171" s="10"/>
      <c r="J1171" s="10"/>
      <c r="K1171" s="10"/>
      <c r="L1171" s="143" t="s">
        <v>3221</v>
      </c>
      <c r="M1171" s="144"/>
      <c r="N1171" s="144"/>
      <c r="O1171" s="144"/>
    </row>
    <row r="1172">
      <c r="A1172" s="138" t="s">
        <v>3223</v>
      </c>
      <c r="B1172" s="155"/>
      <c r="C1172" s="31">
        <v>0.05</v>
      </c>
      <c r="D1172" s="139">
        <v>0.64</v>
      </c>
      <c r="E1172" s="139">
        <v>0.64</v>
      </c>
      <c r="F1172" s="52"/>
      <c r="G1172" s="10"/>
      <c r="H1172" s="10"/>
      <c r="I1172" s="10"/>
      <c r="J1172" s="10"/>
      <c r="K1172" s="10"/>
      <c r="L1172" s="143" t="s">
        <v>3222</v>
      </c>
      <c r="M1172" s="144"/>
      <c r="N1172" s="144"/>
      <c r="O1172" s="144"/>
    </row>
    <row r="1173">
      <c r="A1173" s="138" t="s">
        <v>3224</v>
      </c>
      <c r="B1173" s="155"/>
      <c r="C1173" s="31">
        <v>0.05</v>
      </c>
      <c r="D1173" s="139">
        <v>0.64</v>
      </c>
      <c r="E1173" s="139">
        <v>0.64</v>
      </c>
      <c r="F1173" s="52"/>
      <c r="G1173" s="10"/>
      <c r="H1173" s="10"/>
      <c r="I1173" s="10"/>
      <c r="J1173" s="10"/>
      <c r="K1173" s="10"/>
      <c r="L1173" s="143" t="s">
        <v>3223</v>
      </c>
      <c r="M1173" s="144"/>
      <c r="N1173" s="144"/>
      <c r="O1173" s="144"/>
    </row>
    <row r="1174">
      <c r="A1174" s="138" t="s">
        <v>3225</v>
      </c>
      <c r="B1174" s="155"/>
      <c r="C1174" s="31">
        <v>0.05</v>
      </c>
      <c r="D1174" s="139">
        <v>0.64</v>
      </c>
      <c r="E1174" s="139">
        <v>0.64</v>
      </c>
      <c r="F1174" s="52"/>
      <c r="G1174" s="10"/>
      <c r="H1174" s="10"/>
      <c r="I1174" s="10"/>
      <c r="J1174" s="10"/>
      <c r="K1174" s="10"/>
      <c r="L1174" s="143" t="s">
        <v>3224</v>
      </c>
      <c r="M1174" s="144"/>
      <c r="N1174" s="144"/>
      <c r="O1174" s="144"/>
    </row>
    <row r="1175">
      <c r="A1175" s="138" t="s">
        <v>3226</v>
      </c>
      <c r="B1175" s="155"/>
      <c r="C1175" s="31">
        <v>0.05</v>
      </c>
      <c r="D1175" s="139">
        <v>0.64</v>
      </c>
      <c r="E1175" s="139">
        <v>0.64</v>
      </c>
      <c r="F1175" s="52"/>
      <c r="G1175" s="10"/>
      <c r="H1175" s="10"/>
      <c r="I1175" s="10"/>
      <c r="J1175" s="10"/>
      <c r="K1175" s="10"/>
      <c r="L1175" s="143" t="s">
        <v>3225</v>
      </c>
      <c r="M1175" s="144"/>
      <c r="N1175" s="144"/>
      <c r="O1175" s="144"/>
    </row>
    <row r="1176">
      <c r="A1176" s="138" t="s">
        <v>3227</v>
      </c>
      <c r="B1176" s="155"/>
      <c r="C1176" s="31">
        <v>0.05</v>
      </c>
      <c r="D1176" s="139">
        <v>0.64</v>
      </c>
      <c r="E1176" s="139">
        <v>0.64</v>
      </c>
      <c r="F1176" s="52"/>
      <c r="G1176" s="10"/>
      <c r="H1176" s="10"/>
      <c r="I1176" s="10"/>
      <c r="J1176" s="10"/>
      <c r="K1176" s="10"/>
      <c r="L1176" s="143" t="s">
        <v>3226</v>
      </c>
      <c r="M1176" s="144"/>
      <c r="N1176" s="144"/>
      <c r="O1176" s="144"/>
    </row>
    <row r="1177">
      <c r="A1177" s="138" t="s">
        <v>3228</v>
      </c>
      <c r="B1177" s="155"/>
      <c r="C1177" s="31">
        <v>0.05</v>
      </c>
      <c r="D1177" s="139">
        <v>0.64</v>
      </c>
      <c r="E1177" s="139">
        <v>0.64</v>
      </c>
      <c r="F1177" s="52"/>
      <c r="G1177" s="10"/>
      <c r="H1177" s="10"/>
      <c r="I1177" s="10"/>
      <c r="J1177" s="10"/>
      <c r="K1177" s="10"/>
      <c r="L1177" s="143" t="s">
        <v>3227</v>
      </c>
      <c r="M1177" s="144"/>
      <c r="N1177" s="144"/>
      <c r="O1177" s="144"/>
    </row>
    <row r="1178">
      <c r="A1178" s="138" t="s">
        <v>3229</v>
      </c>
      <c r="B1178" s="155"/>
      <c r="C1178" s="31">
        <v>0.05</v>
      </c>
      <c r="D1178" s="139">
        <v>0.64</v>
      </c>
      <c r="E1178" s="139">
        <v>0.64</v>
      </c>
      <c r="F1178" s="52"/>
      <c r="G1178" s="10"/>
      <c r="H1178" s="10"/>
      <c r="I1178" s="10"/>
      <c r="J1178" s="10"/>
      <c r="K1178" s="10"/>
      <c r="L1178" s="143" t="s">
        <v>3228</v>
      </c>
      <c r="M1178" s="144"/>
      <c r="N1178" s="144"/>
      <c r="O1178" s="144"/>
    </row>
    <row r="1179">
      <c r="A1179" s="138" t="s">
        <v>3230</v>
      </c>
      <c r="B1179" s="155"/>
      <c r="C1179" s="31">
        <v>0.05</v>
      </c>
      <c r="D1179" s="139">
        <v>0.64</v>
      </c>
      <c r="E1179" s="139">
        <v>0.64</v>
      </c>
      <c r="F1179" s="52"/>
      <c r="G1179" s="10"/>
      <c r="H1179" s="10"/>
      <c r="I1179" s="10"/>
      <c r="J1179" s="10"/>
      <c r="K1179" s="10"/>
      <c r="L1179" s="143" t="s">
        <v>3229</v>
      </c>
      <c r="M1179" s="144"/>
      <c r="N1179" s="144"/>
      <c r="O1179" s="144"/>
    </row>
    <row r="1180">
      <c r="A1180" s="138" t="s">
        <v>3231</v>
      </c>
      <c r="B1180" s="155"/>
      <c r="C1180" s="31">
        <v>0.05</v>
      </c>
      <c r="D1180" s="139">
        <v>0.64</v>
      </c>
      <c r="E1180" s="139">
        <v>0.64</v>
      </c>
      <c r="F1180" s="52"/>
      <c r="G1180" s="10"/>
      <c r="H1180" s="10"/>
      <c r="I1180" s="10"/>
      <c r="J1180" s="10"/>
      <c r="K1180" s="10"/>
      <c r="L1180" s="143" t="s">
        <v>3230</v>
      </c>
      <c r="M1180" s="144"/>
      <c r="N1180" s="144"/>
      <c r="O1180" s="144"/>
    </row>
    <row r="1181">
      <c r="A1181" s="138" t="s">
        <v>3232</v>
      </c>
      <c r="B1181" s="155"/>
      <c r="C1181" s="31">
        <v>0.05</v>
      </c>
      <c r="D1181" s="139">
        <v>0.64</v>
      </c>
      <c r="E1181" s="139">
        <v>0.64</v>
      </c>
      <c r="F1181" s="52"/>
      <c r="G1181" s="10"/>
      <c r="H1181" s="10"/>
      <c r="I1181" s="10"/>
      <c r="J1181" s="10"/>
      <c r="K1181" s="10"/>
      <c r="L1181" s="143" t="s">
        <v>3231</v>
      </c>
      <c r="M1181" s="144"/>
      <c r="N1181" s="144"/>
      <c r="O1181" s="144"/>
    </row>
    <row r="1182">
      <c r="A1182" s="138" t="s">
        <v>3233</v>
      </c>
      <c r="B1182" s="155"/>
      <c r="C1182" s="31">
        <v>0.05</v>
      </c>
      <c r="D1182" s="139">
        <v>0.64</v>
      </c>
      <c r="E1182" s="139">
        <v>0.64</v>
      </c>
      <c r="F1182" s="52"/>
      <c r="G1182" s="10"/>
      <c r="H1182" s="10"/>
      <c r="I1182" s="10"/>
      <c r="J1182" s="10"/>
      <c r="K1182" s="10"/>
      <c r="L1182" s="143" t="s">
        <v>3232</v>
      </c>
      <c r="M1182" s="144"/>
      <c r="N1182" s="144"/>
      <c r="O1182" s="144"/>
    </row>
    <row r="1183">
      <c r="A1183" s="138" t="s">
        <v>3234</v>
      </c>
      <c r="B1183" s="155"/>
      <c r="C1183" s="31">
        <v>0.05</v>
      </c>
      <c r="D1183" s="139">
        <v>0.64</v>
      </c>
      <c r="E1183" s="139">
        <v>0.64</v>
      </c>
      <c r="F1183" s="52"/>
      <c r="G1183" s="10"/>
      <c r="H1183" s="10"/>
      <c r="I1183" s="10"/>
      <c r="J1183" s="10"/>
      <c r="K1183" s="10"/>
      <c r="L1183" s="143" t="s">
        <v>3233</v>
      </c>
      <c r="M1183" s="144"/>
      <c r="N1183" s="144"/>
      <c r="O1183" s="144"/>
    </row>
    <row r="1184">
      <c r="A1184" s="138" t="s">
        <v>3235</v>
      </c>
      <c r="B1184" s="155"/>
      <c r="C1184" s="31">
        <v>0.05</v>
      </c>
      <c r="D1184" s="139">
        <v>0.64</v>
      </c>
      <c r="E1184" s="139">
        <v>0.64</v>
      </c>
      <c r="F1184" s="52"/>
      <c r="G1184" s="10"/>
      <c r="H1184" s="10"/>
      <c r="I1184" s="10"/>
      <c r="J1184" s="10"/>
      <c r="K1184" s="10"/>
      <c r="L1184" s="143" t="s">
        <v>3234</v>
      </c>
      <c r="M1184" s="144"/>
      <c r="N1184" s="144"/>
      <c r="O1184" s="144"/>
    </row>
    <row r="1185">
      <c r="A1185" s="138" t="s">
        <v>3236</v>
      </c>
      <c r="B1185" s="155"/>
      <c r="C1185" s="31">
        <v>0.05</v>
      </c>
      <c r="D1185" s="139">
        <v>0.64</v>
      </c>
      <c r="E1185" s="139">
        <v>0.64</v>
      </c>
      <c r="F1185" s="52"/>
      <c r="G1185" s="10"/>
      <c r="H1185" s="10"/>
      <c r="I1185" s="10"/>
      <c r="J1185" s="10"/>
      <c r="K1185" s="10"/>
      <c r="L1185" s="143" t="s">
        <v>3235</v>
      </c>
      <c r="M1185" s="144"/>
      <c r="N1185" s="144"/>
      <c r="O1185" s="144"/>
    </row>
    <row r="1186">
      <c r="A1186" s="138" t="s">
        <v>3237</v>
      </c>
      <c r="B1186" s="155"/>
      <c r="C1186" s="31">
        <v>0.05</v>
      </c>
      <c r="D1186" s="139">
        <v>0.64</v>
      </c>
      <c r="E1186" s="139">
        <v>0.64</v>
      </c>
      <c r="F1186" s="52"/>
      <c r="G1186" s="10"/>
      <c r="H1186" s="10"/>
      <c r="I1186" s="10"/>
      <c r="J1186" s="10"/>
      <c r="K1186" s="10"/>
      <c r="L1186" s="143" t="s">
        <v>3236</v>
      </c>
      <c r="M1186" s="144"/>
      <c r="N1186" s="144"/>
      <c r="O1186" s="144"/>
    </row>
    <row r="1187">
      <c r="A1187" s="138" t="s">
        <v>3238</v>
      </c>
      <c r="B1187" s="155"/>
      <c r="C1187" s="31">
        <v>0.05</v>
      </c>
      <c r="D1187" s="139">
        <v>0.64</v>
      </c>
      <c r="E1187" s="139">
        <v>0.64</v>
      </c>
      <c r="F1187" s="52"/>
      <c r="G1187" s="10"/>
      <c r="H1187" s="10"/>
      <c r="I1187" s="10"/>
      <c r="J1187" s="10"/>
      <c r="K1187" s="10"/>
      <c r="L1187" s="143" t="s">
        <v>3237</v>
      </c>
      <c r="M1187" s="144"/>
      <c r="N1187" s="144"/>
      <c r="O1187" s="144"/>
    </row>
    <row r="1188">
      <c r="A1188" s="138" t="s">
        <v>3239</v>
      </c>
      <c r="B1188" s="155"/>
      <c r="C1188" s="31">
        <v>0.05</v>
      </c>
      <c r="D1188" s="139">
        <v>0.64</v>
      </c>
      <c r="E1188" s="139">
        <v>0.64</v>
      </c>
      <c r="F1188" s="52"/>
      <c r="G1188" s="10"/>
      <c r="H1188" s="10"/>
      <c r="I1188" s="10"/>
      <c r="J1188" s="10"/>
      <c r="K1188" s="10"/>
      <c r="L1188" s="143" t="s">
        <v>3238</v>
      </c>
      <c r="M1188" s="144"/>
      <c r="N1188" s="144"/>
      <c r="O1188" s="144"/>
    </row>
    <row r="1189">
      <c r="A1189" s="138" t="s">
        <v>3240</v>
      </c>
      <c r="B1189" s="155"/>
      <c r="C1189" s="31">
        <v>0.05</v>
      </c>
      <c r="D1189" s="139">
        <v>0.64</v>
      </c>
      <c r="E1189" s="139">
        <v>0.64</v>
      </c>
      <c r="F1189" s="52"/>
      <c r="G1189" s="10"/>
      <c r="H1189" s="10"/>
      <c r="I1189" s="10"/>
      <c r="J1189" s="10"/>
      <c r="K1189" s="10"/>
      <c r="L1189" s="143" t="s">
        <v>3239</v>
      </c>
      <c r="M1189" s="144"/>
      <c r="N1189" s="144"/>
      <c r="O1189" s="144"/>
    </row>
    <row r="1190">
      <c r="A1190" s="138" t="s">
        <v>3241</v>
      </c>
      <c r="B1190" s="155"/>
      <c r="C1190" s="31">
        <v>0.05</v>
      </c>
      <c r="D1190" s="139">
        <v>0.64</v>
      </c>
      <c r="E1190" s="139">
        <v>0.64</v>
      </c>
      <c r="F1190" s="52"/>
      <c r="G1190" s="10"/>
      <c r="H1190" s="10"/>
      <c r="I1190" s="10"/>
      <c r="J1190" s="10"/>
      <c r="K1190" s="10"/>
      <c r="L1190" s="143" t="s">
        <v>3240</v>
      </c>
      <c r="M1190" s="144"/>
      <c r="N1190" s="144"/>
      <c r="O1190" s="144"/>
    </row>
    <row r="1191">
      <c r="A1191" s="138" t="s">
        <v>3242</v>
      </c>
      <c r="B1191" s="155"/>
      <c r="C1191" s="31">
        <v>0.05</v>
      </c>
      <c r="D1191" s="139">
        <v>0.64</v>
      </c>
      <c r="E1191" s="139">
        <v>0.64</v>
      </c>
      <c r="F1191" s="52"/>
      <c r="G1191" s="10"/>
      <c r="H1191" s="10"/>
      <c r="I1191" s="10"/>
      <c r="J1191" s="10"/>
      <c r="K1191" s="10"/>
      <c r="L1191" s="143" t="s">
        <v>3241</v>
      </c>
      <c r="M1191" s="144"/>
      <c r="N1191" s="144"/>
      <c r="O1191" s="144"/>
    </row>
    <row r="1192">
      <c r="A1192" s="138" t="s">
        <v>3243</v>
      </c>
      <c r="B1192" s="155"/>
      <c r="C1192" s="31">
        <v>0.05</v>
      </c>
      <c r="D1192" s="139">
        <v>0.64</v>
      </c>
      <c r="E1192" s="139">
        <v>0.64</v>
      </c>
      <c r="F1192" s="52"/>
      <c r="G1192" s="10"/>
      <c r="H1192" s="10"/>
      <c r="I1192" s="10"/>
      <c r="J1192" s="10"/>
      <c r="K1192" s="10"/>
      <c r="L1192" s="143" t="s">
        <v>3242</v>
      </c>
      <c r="M1192" s="144"/>
      <c r="N1192" s="144"/>
      <c r="O1192" s="144"/>
    </row>
    <row r="1193">
      <c r="A1193" s="138" t="s">
        <v>3244</v>
      </c>
      <c r="B1193" s="155"/>
      <c r="C1193" s="31">
        <v>0.05</v>
      </c>
      <c r="D1193" s="139">
        <v>0.64</v>
      </c>
      <c r="E1193" s="139">
        <v>0.64</v>
      </c>
      <c r="F1193" s="52"/>
      <c r="G1193" s="10"/>
      <c r="H1193" s="10"/>
      <c r="I1193" s="10"/>
      <c r="J1193" s="10"/>
      <c r="K1193" s="10"/>
      <c r="L1193" s="143" t="s">
        <v>3243</v>
      </c>
      <c r="M1193" s="144"/>
      <c r="N1193" s="144"/>
      <c r="O1193" s="144"/>
    </row>
    <row r="1194">
      <c r="A1194" s="138" t="s">
        <v>3245</v>
      </c>
      <c r="B1194" s="155"/>
      <c r="C1194" s="31">
        <v>0.05</v>
      </c>
      <c r="D1194" s="139">
        <v>0.64</v>
      </c>
      <c r="E1194" s="139">
        <v>0.64</v>
      </c>
      <c r="F1194" s="52"/>
      <c r="G1194" s="10"/>
      <c r="H1194" s="10"/>
      <c r="I1194" s="10"/>
      <c r="J1194" s="10"/>
      <c r="K1194" s="10"/>
      <c r="L1194" s="143" t="s">
        <v>3244</v>
      </c>
      <c r="M1194" s="144"/>
      <c r="N1194" s="144"/>
      <c r="O1194" s="144"/>
    </row>
    <row r="1195">
      <c r="A1195" s="138" t="s">
        <v>3246</v>
      </c>
      <c r="B1195" s="155"/>
      <c r="C1195" s="31">
        <v>0.05</v>
      </c>
      <c r="D1195" s="139">
        <v>0.64</v>
      </c>
      <c r="E1195" s="139">
        <v>0.64</v>
      </c>
      <c r="F1195" s="52"/>
      <c r="G1195" s="10"/>
      <c r="H1195" s="10"/>
      <c r="I1195" s="10"/>
      <c r="J1195" s="10"/>
      <c r="K1195" s="10"/>
      <c r="L1195" s="143" t="s">
        <v>3245</v>
      </c>
      <c r="M1195" s="144"/>
      <c r="N1195" s="144"/>
      <c r="O1195" s="144"/>
    </row>
    <row r="1196">
      <c r="A1196" s="138" t="s">
        <v>3247</v>
      </c>
      <c r="B1196" s="155"/>
      <c r="C1196" s="31">
        <v>0.05</v>
      </c>
      <c r="D1196" s="139">
        <v>0.64</v>
      </c>
      <c r="E1196" s="139">
        <v>0.64</v>
      </c>
      <c r="F1196" s="52"/>
      <c r="G1196" s="10"/>
      <c r="H1196" s="10"/>
      <c r="I1196" s="10"/>
      <c r="J1196" s="10"/>
      <c r="K1196" s="10"/>
      <c r="L1196" s="143" t="s">
        <v>3246</v>
      </c>
      <c r="M1196" s="144"/>
      <c r="N1196" s="144"/>
      <c r="O1196" s="144"/>
    </row>
    <row r="1197">
      <c r="A1197" s="138" t="s">
        <v>3248</v>
      </c>
      <c r="B1197" s="155"/>
      <c r="C1197" s="31">
        <v>0.05</v>
      </c>
      <c r="D1197" s="139">
        <v>0.64</v>
      </c>
      <c r="E1197" s="139">
        <v>0.64</v>
      </c>
      <c r="F1197" s="52"/>
      <c r="G1197" s="10"/>
      <c r="H1197" s="10"/>
      <c r="I1197" s="10"/>
      <c r="J1197" s="10"/>
      <c r="K1197" s="10"/>
      <c r="L1197" s="143" t="s">
        <v>3247</v>
      </c>
      <c r="M1197" s="144"/>
      <c r="N1197" s="144"/>
      <c r="O1197" s="144"/>
    </row>
    <row r="1198">
      <c r="A1198" s="138" t="s">
        <v>3249</v>
      </c>
      <c r="B1198" s="155"/>
      <c r="C1198" s="31">
        <v>0.05</v>
      </c>
      <c r="D1198" s="139">
        <v>0.64</v>
      </c>
      <c r="E1198" s="139">
        <v>0.64</v>
      </c>
      <c r="F1198" s="52"/>
      <c r="G1198" s="10"/>
      <c r="H1198" s="10"/>
      <c r="I1198" s="10"/>
      <c r="J1198" s="10"/>
      <c r="K1198" s="10"/>
      <c r="L1198" s="143" t="s">
        <v>3248</v>
      </c>
      <c r="M1198" s="144"/>
      <c r="N1198" s="144"/>
      <c r="O1198" s="144"/>
    </row>
    <row r="1199">
      <c r="A1199" s="138" t="s">
        <v>3250</v>
      </c>
      <c r="B1199" s="155"/>
      <c r="C1199" s="31">
        <v>0.05</v>
      </c>
      <c r="D1199" s="139">
        <v>0.64</v>
      </c>
      <c r="E1199" s="139">
        <v>0.64</v>
      </c>
      <c r="F1199" s="52"/>
      <c r="G1199" s="10"/>
      <c r="H1199" s="10"/>
      <c r="I1199" s="10"/>
      <c r="J1199" s="10"/>
      <c r="K1199" s="10"/>
      <c r="L1199" s="143" t="s">
        <v>3249</v>
      </c>
      <c r="M1199" s="144"/>
      <c r="N1199" s="144"/>
      <c r="O1199" s="144"/>
    </row>
    <row r="1200">
      <c r="A1200" s="138" t="s">
        <v>3251</v>
      </c>
      <c r="B1200" s="155"/>
      <c r="C1200" s="31">
        <v>0.05</v>
      </c>
      <c r="D1200" s="139">
        <v>0.64</v>
      </c>
      <c r="E1200" s="139">
        <v>0.64</v>
      </c>
      <c r="F1200" s="52"/>
      <c r="G1200" s="10"/>
      <c r="H1200" s="10"/>
      <c r="I1200" s="10"/>
      <c r="J1200" s="10"/>
      <c r="K1200" s="10"/>
      <c r="L1200" s="143" t="s">
        <v>3250</v>
      </c>
      <c r="M1200" s="144"/>
      <c r="N1200" s="144"/>
      <c r="O1200" s="144"/>
    </row>
    <row r="1201">
      <c r="A1201" s="138" t="s">
        <v>3252</v>
      </c>
      <c r="B1201" s="155"/>
      <c r="C1201" s="31">
        <v>0.05</v>
      </c>
      <c r="D1201" s="139">
        <v>0.64</v>
      </c>
      <c r="E1201" s="139">
        <v>0.64</v>
      </c>
      <c r="F1201" s="52"/>
      <c r="G1201" s="10"/>
      <c r="H1201" s="10"/>
      <c r="I1201" s="10"/>
      <c r="J1201" s="10"/>
      <c r="K1201" s="10"/>
      <c r="L1201" s="143" t="s">
        <v>3251</v>
      </c>
      <c r="M1201" s="144"/>
      <c r="N1201" s="144"/>
      <c r="O1201" s="144"/>
    </row>
    <row r="1202">
      <c r="A1202" s="138" t="s">
        <v>3253</v>
      </c>
      <c r="B1202" s="155"/>
      <c r="C1202" s="31">
        <v>0.05</v>
      </c>
      <c r="D1202" s="139">
        <v>0.64</v>
      </c>
      <c r="E1202" s="139">
        <v>0.64</v>
      </c>
      <c r="F1202" s="52"/>
      <c r="G1202" s="10"/>
      <c r="H1202" s="10"/>
      <c r="I1202" s="10"/>
      <c r="J1202" s="10"/>
      <c r="K1202" s="10"/>
      <c r="L1202" s="143" t="s">
        <v>3252</v>
      </c>
      <c r="M1202" s="144"/>
      <c r="N1202" s="144"/>
      <c r="O1202" s="144"/>
    </row>
    <row r="1203">
      <c r="A1203" s="138" t="s">
        <v>3254</v>
      </c>
      <c r="B1203" s="155"/>
      <c r="C1203" s="31">
        <v>0.05</v>
      </c>
      <c r="D1203" s="139">
        <v>0.64</v>
      </c>
      <c r="E1203" s="139">
        <v>0.64</v>
      </c>
      <c r="F1203" s="52"/>
      <c r="G1203" s="10"/>
      <c r="H1203" s="10"/>
      <c r="I1203" s="10"/>
      <c r="J1203" s="10"/>
      <c r="K1203" s="10"/>
      <c r="L1203" s="143" t="s">
        <v>3253</v>
      </c>
      <c r="M1203" s="144"/>
      <c r="N1203" s="144"/>
      <c r="O1203" s="144"/>
    </row>
    <row r="1204">
      <c r="A1204" s="138" t="s">
        <v>3255</v>
      </c>
      <c r="B1204" s="155"/>
      <c r="C1204" s="31">
        <v>0.05</v>
      </c>
      <c r="D1204" s="139">
        <v>0.64</v>
      </c>
      <c r="E1204" s="139">
        <v>0.64</v>
      </c>
      <c r="F1204" s="52"/>
      <c r="G1204" s="10"/>
      <c r="H1204" s="10"/>
      <c r="I1204" s="10"/>
      <c r="J1204" s="10"/>
      <c r="K1204" s="10"/>
      <c r="L1204" s="143" t="s">
        <v>3254</v>
      </c>
      <c r="M1204" s="144"/>
      <c r="N1204" s="144"/>
      <c r="O1204" s="144"/>
    </row>
    <row r="1205">
      <c r="A1205" s="138" t="s">
        <v>3256</v>
      </c>
      <c r="B1205" s="155"/>
      <c r="C1205" s="31">
        <v>0.05</v>
      </c>
      <c r="D1205" s="139">
        <v>0.64</v>
      </c>
      <c r="E1205" s="139">
        <v>0.64</v>
      </c>
      <c r="F1205" s="52"/>
      <c r="G1205" s="10"/>
      <c r="H1205" s="10"/>
      <c r="I1205" s="10"/>
      <c r="J1205" s="10"/>
      <c r="K1205" s="10"/>
      <c r="L1205" s="143" t="s">
        <v>3255</v>
      </c>
      <c r="M1205" s="144"/>
      <c r="N1205" s="144"/>
      <c r="O1205" s="144"/>
    </row>
    <row r="1206">
      <c r="A1206" s="138" t="s">
        <v>3257</v>
      </c>
      <c r="B1206" s="155"/>
      <c r="C1206" s="31">
        <v>0.05</v>
      </c>
      <c r="D1206" s="139">
        <v>0.64</v>
      </c>
      <c r="E1206" s="139">
        <v>0.64</v>
      </c>
      <c r="F1206" s="52"/>
      <c r="G1206" s="10"/>
      <c r="H1206" s="10"/>
      <c r="I1206" s="10"/>
      <c r="J1206" s="10"/>
      <c r="K1206" s="10"/>
      <c r="L1206" s="143" t="s">
        <v>3256</v>
      </c>
      <c r="M1206" s="144"/>
      <c r="N1206" s="144"/>
      <c r="O1206" s="144"/>
    </row>
    <row r="1207">
      <c r="A1207" s="138" t="s">
        <v>3258</v>
      </c>
      <c r="B1207" s="155"/>
      <c r="C1207" s="31">
        <v>0.05</v>
      </c>
      <c r="D1207" s="139">
        <v>0.64</v>
      </c>
      <c r="E1207" s="139">
        <v>0.64</v>
      </c>
      <c r="F1207" s="52"/>
      <c r="G1207" s="10"/>
      <c r="H1207" s="10"/>
      <c r="I1207" s="10"/>
      <c r="J1207" s="10"/>
      <c r="K1207" s="10"/>
      <c r="L1207" s="143" t="s">
        <v>3257</v>
      </c>
      <c r="M1207" s="144"/>
      <c r="N1207" s="144"/>
      <c r="O1207" s="144"/>
    </row>
    <row r="1208">
      <c r="A1208" s="138" t="s">
        <v>3259</v>
      </c>
      <c r="B1208" s="155"/>
      <c r="C1208" s="31">
        <v>0.05</v>
      </c>
      <c r="D1208" s="139">
        <v>0.64</v>
      </c>
      <c r="E1208" s="139">
        <v>0.64</v>
      </c>
      <c r="F1208" s="52"/>
      <c r="G1208" s="10"/>
      <c r="H1208" s="10"/>
      <c r="I1208" s="10"/>
      <c r="J1208" s="10"/>
      <c r="K1208" s="10"/>
      <c r="L1208" s="143" t="s">
        <v>3258</v>
      </c>
      <c r="M1208" s="144"/>
      <c r="N1208" s="144"/>
      <c r="O1208" s="144"/>
    </row>
    <row r="1209">
      <c r="A1209" s="138" t="s">
        <v>3260</v>
      </c>
      <c r="B1209" s="155"/>
      <c r="C1209" s="31">
        <v>0.05</v>
      </c>
      <c r="D1209" s="139">
        <v>0.64</v>
      </c>
      <c r="E1209" s="139">
        <v>0.64</v>
      </c>
      <c r="F1209" s="52"/>
      <c r="G1209" s="10"/>
      <c r="H1209" s="10"/>
      <c r="I1209" s="10"/>
      <c r="J1209" s="10"/>
      <c r="K1209" s="10"/>
      <c r="L1209" s="143" t="s">
        <v>3259</v>
      </c>
      <c r="M1209" s="144"/>
      <c r="N1209" s="144"/>
      <c r="O1209" s="144"/>
    </row>
    <row r="1210">
      <c r="A1210" s="138" t="s">
        <v>3261</v>
      </c>
      <c r="B1210" s="155"/>
      <c r="C1210" s="31">
        <v>0.05</v>
      </c>
      <c r="D1210" s="139">
        <v>0.64</v>
      </c>
      <c r="E1210" s="139">
        <v>0.64</v>
      </c>
      <c r="F1210" s="52"/>
      <c r="G1210" s="10"/>
      <c r="H1210" s="10"/>
      <c r="I1210" s="10"/>
      <c r="J1210" s="10"/>
      <c r="K1210" s="10"/>
      <c r="L1210" s="143" t="s">
        <v>3260</v>
      </c>
      <c r="M1210" s="144"/>
      <c r="N1210" s="144"/>
      <c r="O1210" s="144"/>
    </row>
    <row r="1211">
      <c r="A1211" s="138" t="s">
        <v>3262</v>
      </c>
      <c r="B1211" s="155"/>
      <c r="C1211" s="31">
        <v>0.05</v>
      </c>
      <c r="D1211" s="139">
        <v>0.64</v>
      </c>
      <c r="E1211" s="139">
        <v>0.64</v>
      </c>
      <c r="F1211" s="52"/>
      <c r="G1211" s="10"/>
      <c r="H1211" s="10"/>
      <c r="I1211" s="10"/>
      <c r="J1211" s="10"/>
      <c r="K1211" s="10"/>
      <c r="L1211" s="143" t="s">
        <v>3261</v>
      </c>
      <c r="M1211" s="144"/>
      <c r="N1211" s="144"/>
      <c r="O1211" s="144"/>
    </row>
    <row r="1212">
      <c r="A1212" s="138" t="s">
        <v>3263</v>
      </c>
      <c r="B1212" s="155"/>
      <c r="C1212" s="31">
        <v>0.05</v>
      </c>
      <c r="D1212" s="139">
        <v>0.64</v>
      </c>
      <c r="E1212" s="139">
        <v>0.64</v>
      </c>
      <c r="F1212" s="52"/>
      <c r="G1212" s="10"/>
      <c r="H1212" s="10"/>
      <c r="I1212" s="10"/>
      <c r="J1212" s="10"/>
      <c r="K1212" s="10"/>
      <c r="L1212" s="143" t="s">
        <v>3262</v>
      </c>
      <c r="M1212" s="144"/>
      <c r="N1212" s="144"/>
      <c r="O1212" s="144"/>
    </row>
    <row r="1213">
      <c r="A1213" s="138" t="s">
        <v>3264</v>
      </c>
      <c r="B1213" s="155"/>
      <c r="C1213" s="31">
        <v>0.05</v>
      </c>
      <c r="D1213" s="139">
        <v>0.64</v>
      </c>
      <c r="E1213" s="139">
        <v>0.64</v>
      </c>
      <c r="F1213" s="52"/>
      <c r="G1213" s="10"/>
      <c r="H1213" s="10"/>
      <c r="I1213" s="10"/>
      <c r="J1213" s="10"/>
      <c r="K1213" s="10"/>
      <c r="L1213" s="143" t="s">
        <v>3263</v>
      </c>
      <c r="M1213" s="144"/>
      <c r="N1213" s="144"/>
      <c r="O1213" s="144"/>
    </row>
    <row r="1214">
      <c r="A1214" s="138" t="s">
        <v>3265</v>
      </c>
      <c r="B1214" s="155"/>
      <c r="C1214" s="31">
        <v>0.05</v>
      </c>
      <c r="D1214" s="139">
        <v>0.64</v>
      </c>
      <c r="E1214" s="139">
        <v>0.64</v>
      </c>
      <c r="F1214" s="52"/>
      <c r="G1214" s="10"/>
      <c r="H1214" s="10"/>
      <c r="I1214" s="10"/>
      <c r="J1214" s="10"/>
      <c r="K1214" s="10"/>
      <c r="L1214" s="143" t="s">
        <v>3264</v>
      </c>
      <c r="M1214" s="144"/>
      <c r="N1214" s="144"/>
      <c r="O1214" s="144"/>
    </row>
    <row r="1215">
      <c r="A1215" s="138" t="s">
        <v>3266</v>
      </c>
      <c r="B1215" s="155"/>
      <c r="C1215" s="31">
        <v>0.05</v>
      </c>
      <c r="D1215" s="139">
        <v>0.64</v>
      </c>
      <c r="E1215" s="139">
        <v>0.64</v>
      </c>
      <c r="F1215" s="52"/>
      <c r="G1215" s="10"/>
      <c r="H1215" s="10"/>
      <c r="I1215" s="10"/>
      <c r="J1215" s="10"/>
      <c r="K1215" s="10"/>
      <c r="L1215" s="143" t="s">
        <v>3265</v>
      </c>
      <c r="M1215" s="144"/>
      <c r="N1215" s="144"/>
      <c r="O1215" s="144"/>
    </row>
    <row r="1216">
      <c r="A1216" s="138" t="s">
        <v>636</v>
      </c>
      <c r="B1216" s="155"/>
      <c r="C1216" s="31">
        <v>0.05</v>
      </c>
      <c r="D1216" s="139">
        <v>0.64</v>
      </c>
      <c r="E1216" s="139">
        <v>0.64</v>
      </c>
      <c r="F1216" s="52"/>
      <c r="G1216" s="10"/>
      <c r="H1216" s="10"/>
      <c r="I1216" s="10"/>
      <c r="J1216" s="10"/>
      <c r="K1216" s="10"/>
      <c r="L1216" s="143" t="s">
        <v>3266</v>
      </c>
      <c r="M1216" s="144"/>
      <c r="N1216" s="144"/>
      <c r="O1216" s="144"/>
    </row>
    <row r="1217">
      <c r="A1217" s="138" t="s">
        <v>3267</v>
      </c>
      <c r="B1217" s="155"/>
      <c r="C1217" s="31">
        <v>0.05</v>
      </c>
      <c r="D1217" s="139">
        <v>0.64</v>
      </c>
      <c r="E1217" s="139">
        <v>0.64</v>
      </c>
      <c r="F1217" s="52"/>
      <c r="G1217" s="10"/>
      <c r="H1217" s="10"/>
      <c r="I1217" s="10"/>
      <c r="J1217" s="10"/>
      <c r="K1217" s="10"/>
      <c r="L1217" s="143" t="s">
        <v>636</v>
      </c>
      <c r="M1217" s="144"/>
      <c r="N1217" s="144"/>
      <c r="O1217" s="144"/>
    </row>
    <row r="1218">
      <c r="A1218" s="138" t="s">
        <v>3268</v>
      </c>
      <c r="B1218" s="155"/>
      <c r="C1218" s="31">
        <v>0.05</v>
      </c>
      <c r="D1218" s="139">
        <v>0.64</v>
      </c>
      <c r="E1218" s="139">
        <v>0.64</v>
      </c>
      <c r="F1218" s="52"/>
      <c r="G1218" s="10"/>
      <c r="H1218" s="10"/>
      <c r="I1218" s="10"/>
      <c r="J1218" s="10"/>
      <c r="K1218" s="10"/>
      <c r="L1218" s="143" t="s">
        <v>3267</v>
      </c>
      <c r="M1218" s="144"/>
      <c r="N1218" s="144"/>
      <c r="O1218" s="144"/>
    </row>
    <row r="1219">
      <c r="A1219" s="138" t="s">
        <v>3269</v>
      </c>
      <c r="B1219" s="155"/>
      <c r="C1219" s="31">
        <v>0.05</v>
      </c>
      <c r="D1219" s="139">
        <v>0.64</v>
      </c>
      <c r="E1219" s="139">
        <v>0.64</v>
      </c>
      <c r="F1219" s="52"/>
      <c r="G1219" s="10"/>
      <c r="H1219" s="10"/>
      <c r="I1219" s="10"/>
      <c r="J1219" s="10"/>
      <c r="K1219" s="10"/>
      <c r="L1219" s="143" t="s">
        <v>3268</v>
      </c>
      <c r="M1219" s="144"/>
      <c r="N1219" s="144"/>
      <c r="O1219" s="144"/>
    </row>
    <row r="1220">
      <c r="A1220" s="138" t="s">
        <v>3270</v>
      </c>
      <c r="B1220" s="155"/>
      <c r="C1220" s="31">
        <v>0.05</v>
      </c>
      <c r="D1220" s="139">
        <v>0.64</v>
      </c>
      <c r="E1220" s="139">
        <v>0.64</v>
      </c>
      <c r="F1220" s="52"/>
      <c r="G1220" s="10"/>
      <c r="H1220" s="10"/>
      <c r="I1220" s="10"/>
      <c r="J1220" s="10"/>
      <c r="K1220" s="10"/>
      <c r="L1220" s="143" t="s">
        <v>3269</v>
      </c>
      <c r="M1220" s="144"/>
      <c r="N1220" s="144"/>
      <c r="O1220" s="144"/>
    </row>
    <row r="1221">
      <c r="A1221" s="138" t="s">
        <v>3271</v>
      </c>
      <c r="B1221" s="155"/>
      <c r="C1221" s="31">
        <v>0.05</v>
      </c>
      <c r="D1221" s="139">
        <v>0.64</v>
      </c>
      <c r="E1221" s="139">
        <v>0.64</v>
      </c>
      <c r="F1221" s="52"/>
      <c r="G1221" s="10"/>
      <c r="H1221" s="10"/>
      <c r="I1221" s="10"/>
      <c r="J1221" s="10"/>
      <c r="K1221" s="10"/>
      <c r="L1221" s="143" t="s">
        <v>3270</v>
      </c>
      <c r="M1221" s="144"/>
      <c r="N1221" s="144"/>
      <c r="O1221" s="144"/>
    </row>
    <row r="1222">
      <c r="A1222" s="138" t="s">
        <v>3272</v>
      </c>
      <c r="B1222" s="155"/>
      <c r="C1222" s="31">
        <v>0.05</v>
      </c>
      <c r="D1222" s="139">
        <v>0.64</v>
      </c>
      <c r="E1222" s="139">
        <v>0.64</v>
      </c>
      <c r="F1222" s="52"/>
      <c r="G1222" s="10"/>
      <c r="H1222" s="10"/>
      <c r="I1222" s="10"/>
      <c r="J1222" s="10"/>
      <c r="K1222" s="10"/>
      <c r="L1222" s="143" t="s">
        <v>3271</v>
      </c>
      <c r="M1222" s="144"/>
      <c r="N1222" s="144"/>
      <c r="O1222" s="144"/>
    </row>
    <row r="1223">
      <c r="A1223" s="138" t="s">
        <v>3273</v>
      </c>
      <c r="B1223" s="155"/>
      <c r="C1223" s="31">
        <v>0.05</v>
      </c>
      <c r="D1223" s="139">
        <v>0.64</v>
      </c>
      <c r="E1223" s="139">
        <v>0.64</v>
      </c>
      <c r="F1223" s="52"/>
      <c r="G1223" s="10"/>
      <c r="H1223" s="10"/>
      <c r="I1223" s="10"/>
      <c r="J1223" s="10"/>
      <c r="K1223" s="10"/>
      <c r="L1223" s="143" t="s">
        <v>3272</v>
      </c>
      <c r="M1223" s="144"/>
      <c r="N1223" s="144"/>
      <c r="O1223" s="144"/>
    </row>
    <row r="1224">
      <c r="A1224" s="138" t="s">
        <v>3274</v>
      </c>
      <c r="B1224" s="155"/>
      <c r="C1224" s="31">
        <v>0.05</v>
      </c>
      <c r="D1224" s="139">
        <v>0.64</v>
      </c>
      <c r="E1224" s="139">
        <v>0.64</v>
      </c>
      <c r="F1224" s="52"/>
      <c r="G1224" s="10"/>
      <c r="H1224" s="10"/>
      <c r="I1224" s="10"/>
      <c r="J1224" s="10"/>
      <c r="K1224" s="10"/>
      <c r="L1224" s="143" t="s">
        <v>3273</v>
      </c>
      <c r="M1224" s="144"/>
      <c r="N1224" s="144"/>
      <c r="O1224" s="144"/>
    </row>
    <row r="1225">
      <c r="A1225" s="138" t="s">
        <v>3275</v>
      </c>
      <c r="B1225" s="155"/>
      <c r="C1225" s="31">
        <v>0.05</v>
      </c>
      <c r="D1225" s="139">
        <v>0.64</v>
      </c>
      <c r="E1225" s="139">
        <v>0.64</v>
      </c>
      <c r="F1225" s="52"/>
      <c r="G1225" s="10"/>
      <c r="H1225" s="10"/>
      <c r="I1225" s="10"/>
      <c r="J1225" s="10"/>
      <c r="K1225" s="10"/>
      <c r="L1225" s="143" t="s">
        <v>3274</v>
      </c>
      <c r="M1225" s="144"/>
      <c r="N1225" s="144"/>
      <c r="O1225" s="144"/>
    </row>
    <row r="1226">
      <c r="A1226" s="138" t="s">
        <v>3276</v>
      </c>
      <c r="B1226" s="155"/>
      <c r="C1226" s="31">
        <v>0.05</v>
      </c>
      <c r="D1226" s="139">
        <v>0.64</v>
      </c>
      <c r="E1226" s="139">
        <v>0.64</v>
      </c>
      <c r="F1226" s="52"/>
      <c r="G1226" s="10"/>
      <c r="H1226" s="10"/>
      <c r="I1226" s="10"/>
      <c r="J1226" s="10"/>
      <c r="K1226" s="10"/>
      <c r="L1226" s="143" t="s">
        <v>3275</v>
      </c>
      <c r="M1226" s="144"/>
      <c r="N1226" s="144"/>
      <c r="O1226" s="144"/>
    </row>
    <row r="1227">
      <c r="A1227" s="138" t="s">
        <v>3277</v>
      </c>
      <c r="B1227" s="155"/>
      <c r="C1227" s="31">
        <v>0.05</v>
      </c>
      <c r="D1227" s="139">
        <v>0.64</v>
      </c>
      <c r="E1227" s="139">
        <v>0.64</v>
      </c>
      <c r="F1227" s="52"/>
      <c r="G1227" s="10"/>
      <c r="H1227" s="10"/>
      <c r="I1227" s="10"/>
      <c r="J1227" s="10"/>
      <c r="K1227" s="10"/>
      <c r="L1227" s="143" t="s">
        <v>3276</v>
      </c>
      <c r="M1227" s="144"/>
      <c r="N1227" s="144"/>
      <c r="O1227" s="144"/>
    </row>
    <row r="1228">
      <c r="A1228" s="138" t="s">
        <v>3278</v>
      </c>
      <c r="B1228" s="155"/>
      <c r="C1228" s="31">
        <v>0.05</v>
      </c>
      <c r="D1228" s="139">
        <v>0.64</v>
      </c>
      <c r="E1228" s="139">
        <v>0.64</v>
      </c>
      <c r="F1228" s="52"/>
      <c r="G1228" s="10"/>
      <c r="H1228" s="10"/>
      <c r="I1228" s="10"/>
      <c r="J1228" s="10"/>
      <c r="K1228" s="10"/>
      <c r="L1228" s="143" t="s">
        <v>3277</v>
      </c>
      <c r="M1228" s="144"/>
      <c r="N1228" s="144"/>
      <c r="O1228" s="144"/>
    </row>
    <row r="1229">
      <c r="A1229" s="138" t="s">
        <v>3279</v>
      </c>
      <c r="B1229" s="155"/>
      <c r="C1229" s="31">
        <v>0.05</v>
      </c>
      <c r="D1229" s="139">
        <v>0.64</v>
      </c>
      <c r="E1229" s="139">
        <v>0.64</v>
      </c>
      <c r="F1229" s="52"/>
      <c r="G1229" s="10"/>
      <c r="H1229" s="10"/>
      <c r="I1229" s="10"/>
      <c r="J1229" s="10"/>
      <c r="K1229" s="10"/>
      <c r="L1229" s="143" t="s">
        <v>3278</v>
      </c>
      <c r="M1229" s="144"/>
      <c r="N1229" s="144"/>
      <c r="O1229" s="144"/>
    </row>
    <row r="1230">
      <c r="A1230" s="138" t="s">
        <v>3280</v>
      </c>
      <c r="B1230" s="155"/>
      <c r="C1230" s="31">
        <v>0.05</v>
      </c>
      <c r="D1230" s="139">
        <v>0.64</v>
      </c>
      <c r="E1230" s="139">
        <v>0.64</v>
      </c>
      <c r="F1230" s="52"/>
      <c r="G1230" s="10"/>
      <c r="H1230" s="10"/>
      <c r="I1230" s="10"/>
      <c r="J1230" s="10"/>
      <c r="K1230" s="10"/>
      <c r="L1230" s="143" t="s">
        <v>3279</v>
      </c>
      <c r="M1230" s="144"/>
      <c r="N1230" s="144"/>
      <c r="O1230" s="144"/>
    </row>
    <row r="1231">
      <c r="A1231" s="138" t="s">
        <v>3281</v>
      </c>
      <c r="B1231" s="155"/>
      <c r="C1231" s="31">
        <v>0.05</v>
      </c>
      <c r="D1231" s="139">
        <v>0.64</v>
      </c>
      <c r="E1231" s="139">
        <v>0.64</v>
      </c>
      <c r="F1231" s="52"/>
      <c r="G1231" s="10"/>
      <c r="H1231" s="10"/>
      <c r="I1231" s="10"/>
      <c r="J1231" s="10"/>
      <c r="K1231" s="10"/>
      <c r="L1231" s="143" t="s">
        <v>3280</v>
      </c>
      <c r="M1231" s="144"/>
      <c r="N1231" s="144"/>
      <c r="O1231" s="144"/>
    </row>
    <row r="1232">
      <c r="A1232" s="138" t="s">
        <v>3282</v>
      </c>
      <c r="B1232" s="155"/>
      <c r="C1232" s="31">
        <v>0.05</v>
      </c>
      <c r="D1232" s="139">
        <v>0.64</v>
      </c>
      <c r="E1232" s="139">
        <v>0.64</v>
      </c>
      <c r="F1232" s="52"/>
      <c r="G1232" s="10"/>
      <c r="H1232" s="10"/>
      <c r="I1232" s="10"/>
      <c r="J1232" s="10"/>
      <c r="K1232" s="10"/>
      <c r="L1232" s="143" t="s">
        <v>3281</v>
      </c>
      <c r="M1232" s="144"/>
      <c r="N1232" s="144"/>
      <c r="O1232" s="144"/>
    </row>
    <row r="1233">
      <c r="A1233" s="138" t="s">
        <v>3283</v>
      </c>
      <c r="B1233" s="155"/>
      <c r="C1233" s="31">
        <v>0.05</v>
      </c>
      <c r="D1233" s="139">
        <v>0.64</v>
      </c>
      <c r="E1233" s="139">
        <v>0.64</v>
      </c>
      <c r="F1233" s="52"/>
      <c r="G1233" s="10"/>
      <c r="H1233" s="10"/>
      <c r="I1233" s="10"/>
      <c r="J1233" s="10"/>
      <c r="K1233" s="10"/>
      <c r="L1233" s="143" t="s">
        <v>3282</v>
      </c>
      <c r="M1233" s="144"/>
      <c r="N1233" s="144"/>
      <c r="O1233" s="144"/>
    </row>
    <row r="1234">
      <c r="A1234" s="138" t="s">
        <v>3284</v>
      </c>
      <c r="B1234" s="155"/>
      <c r="C1234" s="31">
        <v>0.05</v>
      </c>
      <c r="D1234" s="139">
        <v>0.64</v>
      </c>
      <c r="E1234" s="139">
        <v>0.64</v>
      </c>
      <c r="F1234" s="52"/>
      <c r="G1234" s="10"/>
      <c r="H1234" s="10"/>
      <c r="I1234" s="10"/>
      <c r="J1234" s="10"/>
      <c r="K1234" s="10"/>
      <c r="L1234" s="143" t="s">
        <v>3283</v>
      </c>
      <c r="M1234" s="144"/>
      <c r="N1234" s="144"/>
      <c r="O1234" s="144"/>
    </row>
    <row r="1235">
      <c r="A1235" s="138" t="s">
        <v>3285</v>
      </c>
      <c r="B1235" s="155"/>
      <c r="C1235" s="31">
        <v>0.05</v>
      </c>
      <c r="D1235" s="139">
        <v>0.64</v>
      </c>
      <c r="E1235" s="139">
        <v>0.64</v>
      </c>
      <c r="F1235" s="52"/>
      <c r="G1235" s="10"/>
      <c r="H1235" s="10"/>
      <c r="I1235" s="10"/>
      <c r="J1235" s="10"/>
      <c r="K1235" s="10"/>
      <c r="L1235" s="143" t="s">
        <v>3284</v>
      </c>
      <c r="M1235" s="144"/>
      <c r="N1235" s="144"/>
      <c r="O1235" s="144"/>
    </row>
    <row r="1236">
      <c r="A1236" s="138" t="s">
        <v>3286</v>
      </c>
      <c r="B1236" s="155"/>
      <c r="C1236" s="31">
        <v>0.05</v>
      </c>
      <c r="D1236" s="139">
        <v>0.64</v>
      </c>
      <c r="E1236" s="139">
        <v>0.64</v>
      </c>
      <c r="F1236" s="52"/>
      <c r="G1236" s="10"/>
      <c r="H1236" s="10"/>
      <c r="I1236" s="10"/>
      <c r="J1236" s="10"/>
      <c r="K1236" s="10"/>
      <c r="L1236" s="143" t="s">
        <v>3285</v>
      </c>
      <c r="M1236" s="144"/>
      <c r="N1236" s="144"/>
      <c r="O1236" s="144"/>
    </row>
    <row r="1237">
      <c r="A1237" s="138" t="s">
        <v>3287</v>
      </c>
      <c r="B1237" s="155"/>
      <c r="C1237" s="31">
        <v>0.05</v>
      </c>
      <c r="D1237" s="139">
        <v>0.64</v>
      </c>
      <c r="E1237" s="139">
        <v>0.64</v>
      </c>
      <c r="F1237" s="52"/>
      <c r="G1237" s="10"/>
      <c r="H1237" s="10"/>
      <c r="I1237" s="10"/>
      <c r="J1237" s="10"/>
      <c r="K1237" s="10"/>
      <c r="L1237" s="143" t="s">
        <v>3286</v>
      </c>
      <c r="M1237" s="144"/>
      <c r="N1237" s="144"/>
      <c r="O1237" s="144"/>
    </row>
    <row r="1238">
      <c r="A1238" s="138" t="s">
        <v>3288</v>
      </c>
      <c r="B1238" s="155"/>
      <c r="C1238" s="31">
        <v>0.05</v>
      </c>
      <c r="D1238" s="139">
        <v>0.64</v>
      </c>
      <c r="E1238" s="139">
        <v>0.64</v>
      </c>
      <c r="F1238" s="52"/>
      <c r="G1238" s="10"/>
      <c r="H1238" s="10"/>
      <c r="I1238" s="10"/>
      <c r="J1238" s="10"/>
      <c r="K1238" s="10"/>
      <c r="L1238" s="143" t="s">
        <v>3287</v>
      </c>
      <c r="M1238" s="144"/>
      <c r="N1238" s="144"/>
      <c r="O1238" s="144"/>
    </row>
    <row r="1239">
      <c r="A1239" s="138" t="s">
        <v>3289</v>
      </c>
      <c r="B1239" s="155"/>
      <c r="C1239" s="31">
        <v>0.05</v>
      </c>
      <c r="D1239" s="139">
        <v>0.64</v>
      </c>
      <c r="E1239" s="139">
        <v>0.64</v>
      </c>
      <c r="F1239" s="52"/>
      <c r="G1239" s="10"/>
      <c r="H1239" s="10"/>
      <c r="I1239" s="10"/>
      <c r="J1239" s="10"/>
      <c r="K1239" s="10"/>
      <c r="L1239" s="143" t="s">
        <v>3288</v>
      </c>
      <c r="M1239" s="144"/>
      <c r="N1239" s="144"/>
      <c r="O1239" s="144"/>
    </row>
    <row r="1240">
      <c r="A1240" s="138" t="s">
        <v>3290</v>
      </c>
      <c r="B1240" s="155"/>
      <c r="C1240" s="31">
        <v>0.05</v>
      </c>
      <c r="D1240" s="139">
        <v>0.64</v>
      </c>
      <c r="E1240" s="139">
        <v>0.64</v>
      </c>
      <c r="F1240" s="52"/>
      <c r="G1240" s="10"/>
      <c r="H1240" s="10"/>
      <c r="I1240" s="10"/>
      <c r="J1240" s="10"/>
      <c r="K1240" s="10"/>
      <c r="L1240" s="143" t="s">
        <v>3289</v>
      </c>
      <c r="M1240" s="144"/>
      <c r="N1240" s="144"/>
      <c r="O1240" s="144"/>
    </row>
    <row r="1241">
      <c r="A1241" s="138" t="s">
        <v>3291</v>
      </c>
      <c r="B1241" s="155"/>
      <c r="C1241" s="31">
        <v>0.05</v>
      </c>
      <c r="D1241" s="139">
        <v>0.64</v>
      </c>
      <c r="E1241" s="139">
        <v>0.64</v>
      </c>
      <c r="F1241" s="52"/>
      <c r="G1241" s="10"/>
      <c r="H1241" s="10"/>
      <c r="I1241" s="10"/>
      <c r="J1241" s="10"/>
      <c r="K1241" s="10"/>
      <c r="L1241" s="143" t="s">
        <v>3290</v>
      </c>
      <c r="M1241" s="144"/>
      <c r="N1241" s="144"/>
      <c r="O1241" s="144"/>
    </row>
    <row r="1242">
      <c r="A1242" s="138" t="s">
        <v>3292</v>
      </c>
      <c r="B1242" s="155"/>
      <c r="C1242" s="31">
        <v>0.05</v>
      </c>
      <c r="D1242" s="139">
        <v>0.64</v>
      </c>
      <c r="E1242" s="139">
        <v>0.64</v>
      </c>
      <c r="F1242" s="52"/>
      <c r="G1242" s="10"/>
      <c r="H1242" s="10"/>
      <c r="I1242" s="10"/>
      <c r="J1242" s="10"/>
      <c r="K1242" s="10"/>
      <c r="L1242" s="143" t="s">
        <v>3291</v>
      </c>
      <c r="M1242" s="144"/>
      <c r="N1242" s="144"/>
      <c r="O1242" s="144"/>
    </row>
    <row r="1243">
      <c r="A1243" s="138" t="s">
        <v>3293</v>
      </c>
      <c r="B1243" s="155"/>
      <c r="C1243" s="31">
        <v>0.05</v>
      </c>
      <c r="D1243" s="139">
        <v>0.64</v>
      </c>
      <c r="E1243" s="139">
        <v>0.64</v>
      </c>
      <c r="F1243" s="52"/>
      <c r="G1243" s="10"/>
      <c r="H1243" s="10"/>
      <c r="I1243" s="10"/>
      <c r="J1243" s="10"/>
      <c r="K1243" s="10"/>
      <c r="L1243" s="143" t="s">
        <v>3292</v>
      </c>
      <c r="M1243" s="144"/>
      <c r="N1243" s="144"/>
      <c r="O1243" s="144"/>
    </row>
    <row r="1244">
      <c r="A1244" s="138" t="s">
        <v>3294</v>
      </c>
      <c r="B1244" s="155"/>
      <c r="C1244" s="31">
        <v>0.05</v>
      </c>
      <c r="D1244" s="139">
        <v>0.64</v>
      </c>
      <c r="E1244" s="139">
        <v>0.64</v>
      </c>
      <c r="F1244" s="52"/>
      <c r="G1244" s="10"/>
      <c r="H1244" s="10"/>
      <c r="I1244" s="10"/>
      <c r="J1244" s="10"/>
      <c r="K1244" s="10"/>
      <c r="L1244" s="143" t="s">
        <v>3293</v>
      </c>
      <c r="M1244" s="144"/>
      <c r="N1244" s="144"/>
      <c r="O1244" s="144"/>
    </row>
    <row r="1245">
      <c r="A1245" s="138" t="s">
        <v>3295</v>
      </c>
      <c r="B1245" s="155"/>
      <c r="C1245" s="31">
        <v>0.05</v>
      </c>
      <c r="D1245" s="139">
        <v>0.64</v>
      </c>
      <c r="E1245" s="139">
        <v>0.64</v>
      </c>
      <c r="F1245" s="52"/>
      <c r="G1245" s="10"/>
      <c r="H1245" s="10"/>
      <c r="I1245" s="10"/>
      <c r="J1245" s="10"/>
      <c r="K1245" s="10"/>
      <c r="L1245" s="143" t="s">
        <v>3294</v>
      </c>
      <c r="M1245" s="144"/>
      <c r="N1245" s="144"/>
      <c r="O1245" s="144"/>
    </row>
    <row r="1246">
      <c r="A1246" s="138" t="s">
        <v>3296</v>
      </c>
      <c r="B1246" s="155"/>
      <c r="C1246" s="31">
        <v>0.05</v>
      </c>
      <c r="D1246" s="139">
        <v>0.64</v>
      </c>
      <c r="E1246" s="139">
        <v>0.64</v>
      </c>
      <c r="F1246" s="52"/>
      <c r="G1246" s="10"/>
      <c r="H1246" s="10"/>
      <c r="I1246" s="10"/>
      <c r="J1246" s="10"/>
      <c r="K1246" s="10"/>
      <c r="L1246" s="143" t="s">
        <v>3295</v>
      </c>
      <c r="M1246" s="144"/>
      <c r="N1246" s="144"/>
      <c r="O1246" s="144"/>
    </row>
    <row r="1247">
      <c r="A1247" s="138" t="s">
        <v>3297</v>
      </c>
      <c r="B1247" s="155"/>
      <c r="C1247" s="31">
        <v>0.05</v>
      </c>
      <c r="D1247" s="139">
        <v>0.64</v>
      </c>
      <c r="E1247" s="139">
        <v>0.64</v>
      </c>
      <c r="F1247" s="52"/>
      <c r="G1247" s="10"/>
      <c r="H1247" s="10"/>
      <c r="I1247" s="10"/>
      <c r="J1247" s="10"/>
      <c r="K1247" s="10"/>
      <c r="L1247" s="143" t="s">
        <v>3296</v>
      </c>
      <c r="M1247" s="144"/>
      <c r="N1247" s="144"/>
      <c r="O1247" s="144"/>
    </row>
    <row r="1248">
      <c r="A1248" s="138" t="s">
        <v>3298</v>
      </c>
      <c r="B1248" s="155"/>
      <c r="C1248" s="31">
        <v>0.05</v>
      </c>
      <c r="D1248" s="139">
        <v>0.64</v>
      </c>
      <c r="E1248" s="139">
        <v>0.64</v>
      </c>
      <c r="F1248" s="52"/>
      <c r="G1248" s="10"/>
      <c r="H1248" s="10"/>
      <c r="I1248" s="10"/>
      <c r="J1248" s="10"/>
      <c r="K1248" s="10"/>
      <c r="L1248" s="143" t="s">
        <v>3297</v>
      </c>
      <c r="M1248" s="144"/>
      <c r="N1248" s="144"/>
      <c r="O1248" s="144"/>
    </row>
    <row r="1249">
      <c r="A1249" s="138" t="s">
        <v>3299</v>
      </c>
      <c r="B1249" s="155"/>
      <c r="C1249" s="31">
        <v>0.05</v>
      </c>
      <c r="D1249" s="139">
        <v>0.64</v>
      </c>
      <c r="E1249" s="139">
        <v>0.64</v>
      </c>
      <c r="F1249" s="52"/>
      <c r="G1249" s="10"/>
      <c r="H1249" s="10"/>
      <c r="I1249" s="10"/>
      <c r="J1249" s="10"/>
      <c r="K1249" s="10"/>
      <c r="L1249" s="143" t="s">
        <v>3298</v>
      </c>
      <c r="M1249" s="144"/>
      <c r="N1249" s="144"/>
      <c r="O1249" s="144"/>
    </row>
    <row r="1250">
      <c r="A1250" s="138" t="s">
        <v>3300</v>
      </c>
      <c r="B1250" s="155"/>
      <c r="C1250" s="31">
        <v>0.05</v>
      </c>
      <c r="D1250" s="139">
        <v>0.64</v>
      </c>
      <c r="E1250" s="139">
        <v>0.64</v>
      </c>
      <c r="F1250" s="52"/>
      <c r="G1250" s="10"/>
      <c r="H1250" s="10"/>
      <c r="I1250" s="10"/>
      <c r="J1250" s="10"/>
      <c r="K1250" s="10"/>
      <c r="L1250" s="143" t="s">
        <v>3299</v>
      </c>
      <c r="M1250" s="144"/>
      <c r="N1250" s="144"/>
      <c r="O1250" s="144"/>
    </row>
    <row r="1251">
      <c r="A1251" s="138" t="s">
        <v>3301</v>
      </c>
      <c r="B1251" s="155"/>
      <c r="C1251" s="31">
        <v>0.05</v>
      </c>
      <c r="D1251" s="139">
        <v>0.64</v>
      </c>
      <c r="E1251" s="139">
        <v>0.64</v>
      </c>
      <c r="F1251" s="52"/>
      <c r="G1251" s="10"/>
      <c r="H1251" s="10"/>
      <c r="I1251" s="10"/>
      <c r="J1251" s="10"/>
      <c r="K1251" s="10"/>
      <c r="L1251" s="143" t="s">
        <v>3300</v>
      </c>
      <c r="M1251" s="144"/>
      <c r="N1251" s="144"/>
      <c r="O1251" s="144"/>
    </row>
    <row r="1252">
      <c r="A1252" s="138" t="s">
        <v>3302</v>
      </c>
      <c r="B1252" s="155"/>
      <c r="C1252" s="31">
        <v>0.05</v>
      </c>
      <c r="D1252" s="139">
        <v>0.64</v>
      </c>
      <c r="E1252" s="139">
        <v>0.64</v>
      </c>
      <c r="F1252" s="52"/>
      <c r="G1252" s="10"/>
      <c r="H1252" s="10"/>
      <c r="I1252" s="10"/>
      <c r="J1252" s="10"/>
      <c r="K1252" s="10"/>
      <c r="L1252" s="143" t="s">
        <v>3301</v>
      </c>
      <c r="M1252" s="144"/>
      <c r="N1252" s="144"/>
      <c r="O1252" s="144"/>
    </row>
    <row r="1253">
      <c r="A1253" s="138" t="s">
        <v>3303</v>
      </c>
      <c r="B1253" s="155"/>
      <c r="C1253" s="31">
        <v>0.05</v>
      </c>
      <c r="D1253" s="139">
        <v>0.64</v>
      </c>
      <c r="E1253" s="139">
        <v>0.64</v>
      </c>
      <c r="F1253" s="52"/>
      <c r="G1253" s="10"/>
      <c r="H1253" s="10"/>
      <c r="I1253" s="10"/>
      <c r="J1253" s="10"/>
      <c r="K1253" s="10"/>
      <c r="L1253" s="143" t="s">
        <v>3302</v>
      </c>
      <c r="M1253" s="144"/>
      <c r="N1253" s="144"/>
      <c r="O1253" s="144"/>
    </row>
    <row r="1254">
      <c r="A1254" s="138" t="s">
        <v>3304</v>
      </c>
      <c r="B1254" s="155"/>
      <c r="C1254" s="31">
        <v>0.05</v>
      </c>
      <c r="D1254" s="139">
        <v>0.64</v>
      </c>
      <c r="E1254" s="139">
        <v>0.64</v>
      </c>
      <c r="F1254" s="52"/>
      <c r="G1254" s="10"/>
      <c r="H1254" s="10"/>
      <c r="I1254" s="10"/>
      <c r="J1254" s="10"/>
      <c r="K1254" s="10"/>
      <c r="L1254" s="143" t="s">
        <v>3303</v>
      </c>
      <c r="M1254" s="144"/>
      <c r="N1254" s="144"/>
      <c r="O1254" s="144"/>
    </row>
    <row r="1255">
      <c r="A1255" s="138" t="s">
        <v>3305</v>
      </c>
      <c r="B1255" s="155"/>
      <c r="C1255" s="31">
        <v>0.05</v>
      </c>
      <c r="D1255" s="139">
        <v>0.64</v>
      </c>
      <c r="E1255" s="139">
        <v>0.64</v>
      </c>
      <c r="F1255" s="52"/>
      <c r="G1255" s="10"/>
      <c r="H1255" s="10"/>
      <c r="I1255" s="10"/>
      <c r="J1255" s="10"/>
      <c r="K1255" s="10"/>
      <c r="L1255" s="143" t="s">
        <v>3304</v>
      </c>
      <c r="M1255" s="144"/>
      <c r="N1255" s="144"/>
      <c r="O1255" s="144"/>
    </row>
    <row r="1256">
      <c r="A1256" s="138" t="s">
        <v>3306</v>
      </c>
      <c r="B1256" s="155"/>
      <c r="C1256" s="31">
        <v>0.05</v>
      </c>
      <c r="D1256" s="139">
        <v>0.64</v>
      </c>
      <c r="E1256" s="139">
        <v>0.64</v>
      </c>
      <c r="F1256" s="52"/>
      <c r="G1256" s="10"/>
      <c r="H1256" s="10"/>
      <c r="I1256" s="10"/>
      <c r="J1256" s="10"/>
      <c r="K1256" s="10"/>
      <c r="L1256" s="143" t="s">
        <v>3305</v>
      </c>
      <c r="M1256" s="144"/>
      <c r="N1256" s="144"/>
      <c r="O1256" s="144"/>
    </row>
    <row r="1257">
      <c r="A1257" s="138" t="s">
        <v>3307</v>
      </c>
      <c r="B1257" s="155"/>
      <c r="C1257" s="31">
        <v>0.05</v>
      </c>
      <c r="D1257" s="139">
        <v>0.64</v>
      </c>
      <c r="E1257" s="139">
        <v>0.64</v>
      </c>
      <c r="F1257" s="52"/>
      <c r="G1257" s="10"/>
      <c r="H1257" s="10"/>
      <c r="I1257" s="10"/>
      <c r="J1257" s="10"/>
      <c r="K1257" s="10"/>
      <c r="L1257" s="143" t="s">
        <v>3306</v>
      </c>
      <c r="M1257" s="144"/>
      <c r="N1257" s="144"/>
      <c r="O1257" s="144"/>
    </row>
    <row r="1258">
      <c r="A1258" s="138" t="s">
        <v>3308</v>
      </c>
      <c r="B1258" s="155"/>
      <c r="C1258" s="31">
        <v>0.05</v>
      </c>
      <c r="D1258" s="139">
        <v>0.64</v>
      </c>
      <c r="E1258" s="139">
        <v>0.64</v>
      </c>
      <c r="F1258" s="52"/>
      <c r="G1258" s="10"/>
      <c r="H1258" s="10"/>
      <c r="I1258" s="10"/>
      <c r="J1258" s="10"/>
      <c r="K1258" s="10"/>
      <c r="L1258" s="143" t="s">
        <v>3307</v>
      </c>
      <c r="M1258" s="144"/>
      <c r="N1258" s="144"/>
      <c r="O1258" s="144"/>
    </row>
    <row r="1259">
      <c r="A1259" s="138" t="s">
        <v>3309</v>
      </c>
      <c r="B1259" s="155"/>
      <c r="C1259" s="31">
        <v>0.05</v>
      </c>
      <c r="D1259" s="139">
        <v>0.64</v>
      </c>
      <c r="E1259" s="139">
        <v>0.64</v>
      </c>
      <c r="F1259" s="52"/>
      <c r="G1259" s="10"/>
      <c r="H1259" s="10"/>
      <c r="I1259" s="10"/>
      <c r="J1259" s="10"/>
      <c r="K1259" s="10"/>
      <c r="L1259" s="143" t="s">
        <v>3308</v>
      </c>
      <c r="M1259" s="144"/>
      <c r="N1259" s="144"/>
      <c r="O1259" s="144"/>
    </row>
    <row r="1260">
      <c r="A1260" s="138" t="s">
        <v>3310</v>
      </c>
      <c r="B1260" s="155"/>
      <c r="C1260" s="31">
        <v>0.05</v>
      </c>
      <c r="D1260" s="139">
        <v>0.64</v>
      </c>
      <c r="E1260" s="139">
        <v>0.64</v>
      </c>
      <c r="F1260" s="52"/>
      <c r="G1260" s="10"/>
      <c r="H1260" s="10"/>
      <c r="I1260" s="10"/>
      <c r="J1260" s="10"/>
      <c r="K1260" s="10"/>
      <c r="L1260" s="143" t="s">
        <v>3309</v>
      </c>
      <c r="M1260" s="144"/>
      <c r="N1260" s="144"/>
      <c r="O1260" s="144"/>
    </row>
    <row r="1261">
      <c r="A1261" s="138" t="s">
        <v>3311</v>
      </c>
      <c r="B1261" s="155"/>
      <c r="C1261" s="31">
        <v>0.05</v>
      </c>
      <c r="D1261" s="139">
        <v>0.64</v>
      </c>
      <c r="E1261" s="139">
        <v>0.64</v>
      </c>
      <c r="F1261" s="52"/>
      <c r="G1261" s="10"/>
      <c r="H1261" s="10"/>
      <c r="I1261" s="10"/>
      <c r="J1261" s="10"/>
      <c r="K1261" s="10"/>
      <c r="L1261" s="143" t="s">
        <v>3310</v>
      </c>
      <c r="M1261" s="144"/>
      <c r="N1261" s="144"/>
      <c r="O1261" s="144"/>
    </row>
    <row r="1262">
      <c r="A1262" s="138" t="s">
        <v>3312</v>
      </c>
      <c r="B1262" s="155"/>
      <c r="C1262" s="31">
        <v>0.05</v>
      </c>
      <c r="D1262" s="139">
        <v>0.64</v>
      </c>
      <c r="E1262" s="139">
        <v>0.64</v>
      </c>
      <c r="F1262" s="52"/>
      <c r="G1262" s="10"/>
      <c r="H1262" s="10"/>
      <c r="I1262" s="10"/>
      <c r="J1262" s="10"/>
      <c r="K1262" s="10"/>
      <c r="L1262" s="143" t="s">
        <v>3311</v>
      </c>
      <c r="M1262" s="144"/>
      <c r="N1262" s="144"/>
      <c r="O1262" s="144"/>
    </row>
    <row r="1263">
      <c r="A1263" s="138" t="s">
        <v>3313</v>
      </c>
      <c r="B1263" s="155"/>
      <c r="C1263" s="31">
        <v>0.05</v>
      </c>
      <c r="D1263" s="139">
        <v>0.64</v>
      </c>
      <c r="E1263" s="139">
        <v>0.64</v>
      </c>
      <c r="F1263" s="52"/>
      <c r="G1263" s="10"/>
      <c r="H1263" s="10"/>
      <c r="I1263" s="10"/>
      <c r="J1263" s="10"/>
      <c r="K1263" s="10"/>
      <c r="L1263" s="143" t="s">
        <v>3312</v>
      </c>
      <c r="M1263" s="144"/>
      <c r="N1263" s="144"/>
      <c r="O1263" s="144"/>
    </row>
    <row r="1264">
      <c r="A1264" s="138" t="s">
        <v>3314</v>
      </c>
      <c r="B1264" s="155"/>
      <c r="C1264" s="31">
        <v>0.05</v>
      </c>
      <c r="D1264" s="139">
        <v>0.64</v>
      </c>
      <c r="E1264" s="139">
        <v>0.64</v>
      </c>
      <c r="F1264" s="52"/>
      <c r="G1264" s="10"/>
      <c r="H1264" s="10"/>
      <c r="I1264" s="10"/>
      <c r="J1264" s="10"/>
      <c r="K1264" s="10"/>
      <c r="L1264" s="143" t="s">
        <v>3313</v>
      </c>
      <c r="M1264" s="144"/>
      <c r="N1264" s="144"/>
      <c r="O1264" s="144"/>
    </row>
    <row r="1265">
      <c r="A1265" s="138" t="s">
        <v>3315</v>
      </c>
      <c r="B1265" s="155"/>
      <c r="C1265" s="31">
        <v>0.05</v>
      </c>
      <c r="D1265" s="139">
        <v>0.64</v>
      </c>
      <c r="E1265" s="139">
        <v>0.64</v>
      </c>
      <c r="F1265" s="52"/>
      <c r="G1265" s="10"/>
      <c r="H1265" s="10"/>
      <c r="I1265" s="10"/>
      <c r="J1265" s="10"/>
      <c r="K1265" s="10"/>
      <c r="L1265" s="143" t="s">
        <v>3314</v>
      </c>
      <c r="M1265" s="144"/>
      <c r="N1265" s="144"/>
      <c r="O1265" s="144"/>
    </row>
    <row r="1266">
      <c r="A1266" s="138" t="s">
        <v>3316</v>
      </c>
      <c r="B1266" s="155"/>
      <c r="C1266" s="31">
        <v>0.05</v>
      </c>
      <c r="D1266" s="139">
        <v>0.64</v>
      </c>
      <c r="E1266" s="139">
        <v>0.64</v>
      </c>
      <c r="F1266" s="52"/>
      <c r="G1266" s="10"/>
      <c r="H1266" s="10"/>
      <c r="I1266" s="10"/>
      <c r="J1266" s="10"/>
      <c r="K1266" s="10"/>
      <c r="L1266" s="143" t="s">
        <v>3315</v>
      </c>
      <c r="M1266" s="144"/>
      <c r="N1266" s="144"/>
      <c r="O1266" s="144"/>
    </row>
    <row r="1267">
      <c r="A1267" s="138" t="s">
        <v>3317</v>
      </c>
      <c r="B1267" s="155"/>
      <c r="C1267" s="31">
        <v>0.05</v>
      </c>
      <c r="D1267" s="139">
        <v>0.64</v>
      </c>
      <c r="E1267" s="139">
        <v>0.64</v>
      </c>
      <c r="F1267" s="52"/>
      <c r="G1267" s="10"/>
      <c r="H1267" s="10"/>
      <c r="I1267" s="10"/>
      <c r="J1267" s="10"/>
      <c r="K1267" s="10"/>
      <c r="L1267" s="143" t="s">
        <v>3316</v>
      </c>
      <c r="M1267" s="144"/>
      <c r="N1267" s="144"/>
      <c r="O1267" s="144"/>
    </row>
    <row r="1268">
      <c r="A1268" s="138" t="s">
        <v>3318</v>
      </c>
      <c r="B1268" s="155"/>
      <c r="C1268" s="31">
        <v>0.05</v>
      </c>
      <c r="D1268" s="139">
        <v>0.64</v>
      </c>
      <c r="E1268" s="139">
        <v>0.64</v>
      </c>
      <c r="F1268" s="52"/>
      <c r="G1268" s="10"/>
      <c r="H1268" s="10"/>
      <c r="I1268" s="10"/>
      <c r="J1268" s="10"/>
      <c r="K1268" s="10"/>
      <c r="L1268" s="143" t="s">
        <v>3317</v>
      </c>
      <c r="M1268" s="144"/>
      <c r="N1268" s="144"/>
      <c r="O1268" s="144"/>
    </row>
    <row r="1269">
      <c r="A1269" s="138" t="s">
        <v>3319</v>
      </c>
      <c r="B1269" s="155"/>
      <c r="C1269" s="31">
        <v>0.05</v>
      </c>
      <c r="D1269" s="139">
        <v>0.64</v>
      </c>
      <c r="E1269" s="139">
        <v>0.64</v>
      </c>
      <c r="F1269" s="52"/>
      <c r="G1269" s="10"/>
      <c r="H1269" s="10"/>
      <c r="I1269" s="10"/>
      <c r="J1269" s="10"/>
      <c r="K1269" s="10"/>
      <c r="L1269" s="143" t="s">
        <v>3318</v>
      </c>
      <c r="M1269" s="144"/>
      <c r="N1269" s="144"/>
      <c r="O1269" s="144"/>
    </row>
    <row r="1270">
      <c r="A1270" s="138" t="s">
        <v>3320</v>
      </c>
      <c r="B1270" s="155"/>
      <c r="C1270" s="31">
        <v>0.05</v>
      </c>
      <c r="D1270" s="139">
        <v>0.64</v>
      </c>
      <c r="E1270" s="139">
        <v>0.64</v>
      </c>
      <c r="F1270" s="52"/>
      <c r="G1270" s="10"/>
      <c r="H1270" s="10"/>
      <c r="I1270" s="10"/>
      <c r="J1270" s="10"/>
      <c r="K1270" s="10"/>
      <c r="L1270" s="143" t="s">
        <v>3319</v>
      </c>
      <c r="M1270" s="144"/>
      <c r="N1270" s="144"/>
      <c r="O1270" s="144"/>
    </row>
    <row r="1271">
      <c r="A1271" s="138" t="s">
        <v>3321</v>
      </c>
      <c r="B1271" s="155"/>
      <c r="C1271" s="31">
        <v>0.05</v>
      </c>
      <c r="D1271" s="139">
        <v>0.64</v>
      </c>
      <c r="E1271" s="139">
        <v>0.64</v>
      </c>
      <c r="F1271" s="52"/>
      <c r="G1271" s="10"/>
      <c r="H1271" s="10"/>
      <c r="I1271" s="10"/>
      <c r="J1271" s="10"/>
      <c r="K1271" s="10"/>
      <c r="L1271" s="143" t="s">
        <v>3320</v>
      </c>
      <c r="M1271" s="144"/>
      <c r="N1271" s="144"/>
      <c r="O1271" s="144"/>
    </row>
    <row r="1272">
      <c r="A1272" s="138" t="s">
        <v>3322</v>
      </c>
      <c r="B1272" s="155"/>
      <c r="C1272" s="31">
        <v>0.05</v>
      </c>
      <c r="D1272" s="139">
        <v>0.64</v>
      </c>
      <c r="E1272" s="139">
        <v>0.64</v>
      </c>
      <c r="F1272" s="52"/>
      <c r="G1272" s="10"/>
      <c r="H1272" s="10"/>
      <c r="I1272" s="10"/>
      <c r="J1272" s="10"/>
      <c r="K1272" s="10"/>
      <c r="L1272" s="143" t="s">
        <v>3321</v>
      </c>
      <c r="M1272" s="144"/>
      <c r="N1272" s="144"/>
      <c r="O1272" s="144"/>
    </row>
    <row r="1273">
      <c r="A1273" s="138" t="s">
        <v>3323</v>
      </c>
      <c r="B1273" s="155"/>
      <c r="C1273" s="31">
        <v>0.05</v>
      </c>
      <c r="D1273" s="139">
        <v>0.64</v>
      </c>
      <c r="E1273" s="139">
        <v>0.64</v>
      </c>
      <c r="F1273" s="52"/>
      <c r="G1273" s="10"/>
      <c r="H1273" s="10"/>
      <c r="I1273" s="10"/>
      <c r="J1273" s="10"/>
      <c r="K1273" s="10"/>
      <c r="L1273" s="143" t="s">
        <v>3322</v>
      </c>
      <c r="M1273" s="144"/>
      <c r="N1273" s="144"/>
      <c r="O1273" s="144"/>
    </row>
    <row r="1274">
      <c r="A1274" s="138" t="s">
        <v>3324</v>
      </c>
      <c r="B1274" s="155"/>
      <c r="C1274" s="31">
        <v>0.05</v>
      </c>
      <c r="D1274" s="139">
        <v>0.64</v>
      </c>
      <c r="E1274" s="139">
        <v>0.64</v>
      </c>
      <c r="F1274" s="52"/>
      <c r="G1274" s="10"/>
      <c r="H1274" s="10"/>
      <c r="I1274" s="10"/>
      <c r="J1274" s="10"/>
      <c r="K1274" s="10"/>
      <c r="L1274" s="143" t="s">
        <v>3323</v>
      </c>
      <c r="M1274" s="144"/>
      <c r="N1274" s="144"/>
      <c r="O1274" s="144"/>
    </row>
    <row r="1275">
      <c r="A1275" s="138" t="s">
        <v>3325</v>
      </c>
      <c r="B1275" s="155"/>
      <c r="C1275" s="31">
        <v>0.05</v>
      </c>
      <c r="D1275" s="139">
        <v>0.64</v>
      </c>
      <c r="E1275" s="139">
        <v>0.64</v>
      </c>
      <c r="F1275" s="52"/>
      <c r="G1275" s="10"/>
      <c r="H1275" s="10"/>
      <c r="I1275" s="10"/>
      <c r="J1275" s="10"/>
      <c r="K1275" s="10"/>
      <c r="L1275" s="143" t="s">
        <v>3324</v>
      </c>
      <c r="M1275" s="144"/>
      <c r="N1275" s="144"/>
      <c r="O1275" s="144"/>
    </row>
    <row r="1276">
      <c r="A1276" s="138" t="s">
        <v>861</v>
      </c>
      <c r="B1276" s="155"/>
      <c r="C1276" s="31">
        <v>0.05</v>
      </c>
      <c r="D1276" s="139">
        <v>0.64</v>
      </c>
      <c r="E1276" s="139">
        <v>0.64</v>
      </c>
      <c r="F1276" s="52"/>
      <c r="G1276" s="10"/>
      <c r="H1276" s="10"/>
      <c r="I1276" s="10"/>
      <c r="J1276" s="10"/>
      <c r="K1276" s="10"/>
      <c r="L1276" s="143" t="s">
        <v>3325</v>
      </c>
      <c r="M1276" s="144"/>
      <c r="N1276" s="144"/>
      <c r="O1276" s="144"/>
    </row>
    <row r="1277">
      <c r="A1277" s="138" t="s">
        <v>3326</v>
      </c>
      <c r="B1277" s="155"/>
      <c r="C1277" s="31">
        <v>0.05</v>
      </c>
      <c r="D1277" s="139">
        <v>0.64</v>
      </c>
      <c r="E1277" s="139">
        <v>0.64</v>
      </c>
      <c r="F1277" s="52"/>
      <c r="G1277" s="10"/>
      <c r="H1277" s="10"/>
      <c r="I1277" s="10"/>
      <c r="J1277" s="10"/>
      <c r="K1277" s="10"/>
      <c r="L1277" s="143" t="s">
        <v>861</v>
      </c>
      <c r="M1277" s="144"/>
      <c r="N1277" s="144"/>
      <c r="O1277" s="144"/>
    </row>
    <row r="1278">
      <c r="A1278" s="138" t="s">
        <v>3327</v>
      </c>
      <c r="B1278" s="155"/>
      <c r="C1278" s="31">
        <v>0.05</v>
      </c>
      <c r="D1278" s="139">
        <v>0.64</v>
      </c>
      <c r="E1278" s="139">
        <v>0.64</v>
      </c>
      <c r="F1278" s="52"/>
      <c r="G1278" s="10"/>
      <c r="H1278" s="10"/>
      <c r="I1278" s="10"/>
      <c r="J1278" s="10"/>
      <c r="K1278" s="10"/>
      <c r="L1278" s="143" t="s">
        <v>3326</v>
      </c>
      <c r="M1278" s="144"/>
      <c r="N1278" s="144"/>
      <c r="O1278" s="144"/>
    </row>
    <row r="1279">
      <c r="A1279" s="138" t="s">
        <v>3328</v>
      </c>
      <c r="B1279" s="155"/>
      <c r="C1279" s="31">
        <v>0.05</v>
      </c>
      <c r="D1279" s="139">
        <v>0.64</v>
      </c>
      <c r="E1279" s="139">
        <v>0.64</v>
      </c>
      <c r="F1279" s="52"/>
      <c r="G1279" s="10"/>
      <c r="H1279" s="10"/>
      <c r="I1279" s="10"/>
      <c r="J1279" s="10"/>
      <c r="K1279" s="10"/>
      <c r="L1279" s="143" t="s">
        <v>3327</v>
      </c>
      <c r="M1279" s="144"/>
      <c r="N1279" s="144"/>
      <c r="O1279" s="144"/>
    </row>
    <row r="1280">
      <c r="A1280" s="138" t="s">
        <v>3329</v>
      </c>
      <c r="B1280" s="155"/>
      <c r="C1280" s="31">
        <v>0.05</v>
      </c>
      <c r="D1280" s="139">
        <v>0.64</v>
      </c>
      <c r="E1280" s="139">
        <v>0.64</v>
      </c>
      <c r="F1280" s="52"/>
      <c r="G1280" s="10"/>
      <c r="H1280" s="10"/>
      <c r="I1280" s="10"/>
      <c r="J1280" s="10"/>
      <c r="K1280" s="10"/>
      <c r="L1280" s="143" t="s">
        <v>3328</v>
      </c>
      <c r="M1280" s="144"/>
      <c r="N1280" s="144"/>
      <c r="O1280" s="144"/>
    </row>
    <row r="1281">
      <c r="A1281" s="138" t="s">
        <v>3330</v>
      </c>
      <c r="B1281" s="155"/>
      <c r="C1281" s="31">
        <v>0.05</v>
      </c>
      <c r="D1281" s="139">
        <v>0.64</v>
      </c>
      <c r="E1281" s="139">
        <v>0.64</v>
      </c>
      <c r="F1281" s="52"/>
      <c r="G1281" s="10"/>
      <c r="H1281" s="10"/>
      <c r="I1281" s="10"/>
      <c r="J1281" s="10"/>
      <c r="K1281" s="10"/>
      <c r="L1281" s="143" t="s">
        <v>3329</v>
      </c>
      <c r="M1281" s="144"/>
      <c r="N1281" s="144"/>
      <c r="O1281" s="144"/>
    </row>
    <row r="1282">
      <c r="A1282" s="138" t="s">
        <v>3331</v>
      </c>
      <c r="B1282" s="155"/>
      <c r="C1282" s="31">
        <v>0.05</v>
      </c>
      <c r="D1282" s="139">
        <v>0.64</v>
      </c>
      <c r="E1282" s="139">
        <v>0.64</v>
      </c>
      <c r="F1282" s="52"/>
      <c r="G1282" s="10"/>
      <c r="H1282" s="10"/>
      <c r="I1282" s="10"/>
      <c r="J1282" s="10"/>
      <c r="K1282" s="10"/>
      <c r="L1282" s="143" t="s">
        <v>3330</v>
      </c>
      <c r="M1282" s="144"/>
      <c r="N1282" s="144"/>
      <c r="O1282" s="144"/>
    </row>
    <row r="1283">
      <c r="A1283" s="138" t="s">
        <v>3332</v>
      </c>
      <c r="B1283" s="155"/>
      <c r="C1283" s="31">
        <v>0.05</v>
      </c>
      <c r="D1283" s="139">
        <v>0.64</v>
      </c>
      <c r="E1283" s="139">
        <v>0.64</v>
      </c>
      <c r="F1283" s="52"/>
      <c r="G1283" s="10"/>
      <c r="H1283" s="10"/>
      <c r="I1283" s="10"/>
      <c r="J1283" s="10"/>
      <c r="K1283" s="10"/>
      <c r="L1283" s="143" t="s">
        <v>3331</v>
      </c>
      <c r="M1283" s="144"/>
      <c r="N1283" s="144"/>
      <c r="O1283" s="144"/>
    </row>
    <row r="1284">
      <c r="A1284" s="138" t="s">
        <v>3333</v>
      </c>
      <c r="B1284" s="155"/>
      <c r="C1284" s="31">
        <v>0.05</v>
      </c>
      <c r="D1284" s="139">
        <v>0.64</v>
      </c>
      <c r="E1284" s="139">
        <v>0.64</v>
      </c>
      <c r="F1284" s="52"/>
      <c r="G1284" s="10"/>
      <c r="H1284" s="10"/>
      <c r="I1284" s="10"/>
      <c r="J1284" s="10"/>
      <c r="K1284" s="10"/>
      <c r="L1284" s="143" t="s">
        <v>3332</v>
      </c>
      <c r="M1284" s="144"/>
      <c r="N1284" s="144"/>
      <c r="O1284" s="144"/>
    </row>
    <row r="1285">
      <c r="A1285" s="138" t="s">
        <v>3334</v>
      </c>
      <c r="B1285" s="155"/>
      <c r="C1285" s="31">
        <v>0.05</v>
      </c>
      <c r="D1285" s="139">
        <v>0.64</v>
      </c>
      <c r="E1285" s="139">
        <v>0.64</v>
      </c>
      <c r="F1285" s="52"/>
      <c r="G1285" s="10"/>
      <c r="H1285" s="10"/>
      <c r="I1285" s="10"/>
      <c r="J1285" s="10"/>
      <c r="K1285" s="10"/>
      <c r="L1285" s="143" t="s">
        <v>3333</v>
      </c>
      <c r="M1285" s="144"/>
      <c r="N1285" s="144"/>
      <c r="O1285" s="144"/>
    </row>
    <row r="1286">
      <c r="A1286" s="138" t="s">
        <v>3335</v>
      </c>
      <c r="B1286" s="155"/>
      <c r="C1286" s="31">
        <v>0.05</v>
      </c>
      <c r="D1286" s="139">
        <v>0.64</v>
      </c>
      <c r="E1286" s="139">
        <v>0.64</v>
      </c>
      <c r="F1286" s="52"/>
      <c r="G1286" s="10"/>
      <c r="H1286" s="10"/>
      <c r="I1286" s="10"/>
      <c r="J1286" s="10"/>
      <c r="K1286" s="10"/>
      <c r="L1286" s="143" t="s">
        <v>3334</v>
      </c>
      <c r="M1286" s="144"/>
      <c r="N1286" s="144"/>
      <c r="O1286" s="144"/>
    </row>
    <row r="1287">
      <c r="A1287" s="138" t="s">
        <v>3336</v>
      </c>
      <c r="B1287" s="155"/>
      <c r="C1287" s="31">
        <v>0.05</v>
      </c>
      <c r="D1287" s="139">
        <v>0.64</v>
      </c>
      <c r="E1287" s="139">
        <v>0.64</v>
      </c>
      <c r="F1287" s="52"/>
      <c r="G1287" s="10"/>
      <c r="H1287" s="10"/>
      <c r="I1287" s="10"/>
      <c r="J1287" s="10"/>
      <c r="K1287" s="10"/>
      <c r="L1287" s="143" t="s">
        <v>3335</v>
      </c>
      <c r="M1287" s="144"/>
      <c r="N1287" s="144"/>
      <c r="O1287" s="144"/>
    </row>
    <row r="1288">
      <c r="A1288" s="138" t="s">
        <v>3337</v>
      </c>
      <c r="B1288" s="155"/>
      <c r="C1288" s="31">
        <v>0.05</v>
      </c>
      <c r="D1288" s="139">
        <v>0.64</v>
      </c>
      <c r="E1288" s="139">
        <v>0.64</v>
      </c>
      <c r="F1288" s="52"/>
      <c r="G1288" s="10"/>
      <c r="H1288" s="10"/>
      <c r="I1288" s="10"/>
      <c r="J1288" s="10"/>
      <c r="K1288" s="10"/>
      <c r="L1288" s="143" t="s">
        <v>3336</v>
      </c>
      <c r="M1288" s="144"/>
      <c r="N1288" s="144"/>
      <c r="O1288" s="144"/>
    </row>
    <row r="1289">
      <c r="A1289" s="138" t="s">
        <v>3338</v>
      </c>
      <c r="B1289" s="155"/>
      <c r="C1289" s="31">
        <v>0.05</v>
      </c>
      <c r="D1289" s="139">
        <v>0.64</v>
      </c>
      <c r="E1289" s="139">
        <v>0.64</v>
      </c>
      <c r="F1289" s="52"/>
      <c r="G1289" s="10"/>
      <c r="H1289" s="10"/>
      <c r="I1289" s="10"/>
      <c r="J1289" s="10"/>
      <c r="K1289" s="10"/>
      <c r="L1289" s="143" t="s">
        <v>3337</v>
      </c>
      <c r="M1289" s="144"/>
      <c r="N1289" s="144"/>
      <c r="O1289" s="144"/>
    </row>
    <row r="1290">
      <c r="A1290" s="138" t="s">
        <v>3339</v>
      </c>
      <c r="B1290" s="155"/>
      <c r="C1290" s="31">
        <v>0.05</v>
      </c>
      <c r="D1290" s="139">
        <v>0.64</v>
      </c>
      <c r="E1290" s="139">
        <v>0.64</v>
      </c>
      <c r="F1290" s="52"/>
      <c r="G1290" s="10"/>
      <c r="H1290" s="10"/>
      <c r="I1290" s="10"/>
      <c r="J1290" s="10"/>
      <c r="K1290" s="10"/>
      <c r="L1290" s="143" t="s">
        <v>3338</v>
      </c>
      <c r="M1290" s="144"/>
      <c r="N1290" s="144"/>
      <c r="O1290" s="144"/>
    </row>
    <row r="1291">
      <c r="A1291" s="138" t="s">
        <v>3340</v>
      </c>
      <c r="B1291" s="155"/>
      <c r="C1291" s="31">
        <v>0.05</v>
      </c>
      <c r="D1291" s="139">
        <v>0.64</v>
      </c>
      <c r="E1291" s="139">
        <v>0.64</v>
      </c>
      <c r="F1291" s="52"/>
      <c r="G1291" s="10"/>
      <c r="H1291" s="10"/>
      <c r="I1291" s="10"/>
      <c r="J1291" s="10"/>
      <c r="K1291" s="10"/>
      <c r="L1291" s="143" t="s">
        <v>3339</v>
      </c>
      <c r="M1291" s="144"/>
      <c r="N1291" s="144"/>
      <c r="O1291" s="144"/>
    </row>
    <row r="1292">
      <c r="A1292" s="138" t="s">
        <v>3341</v>
      </c>
      <c r="B1292" s="155"/>
      <c r="C1292" s="31">
        <v>0.05</v>
      </c>
      <c r="D1292" s="139">
        <v>0.64</v>
      </c>
      <c r="E1292" s="139">
        <v>0.64</v>
      </c>
      <c r="F1292" s="52"/>
      <c r="G1292" s="10"/>
      <c r="H1292" s="10"/>
      <c r="I1292" s="10"/>
      <c r="J1292" s="10"/>
      <c r="K1292" s="10"/>
      <c r="L1292" s="143" t="s">
        <v>3340</v>
      </c>
      <c r="M1292" s="144"/>
      <c r="N1292" s="144"/>
      <c r="O1292" s="144"/>
    </row>
    <row r="1293">
      <c r="A1293" s="138" t="s">
        <v>3342</v>
      </c>
      <c r="B1293" s="155"/>
      <c r="C1293" s="31">
        <v>0.05</v>
      </c>
      <c r="D1293" s="139">
        <v>0.64</v>
      </c>
      <c r="E1293" s="139">
        <v>0.64</v>
      </c>
      <c r="F1293" s="52"/>
      <c r="G1293" s="10"/>
      <c r="H1293" s="10"/>
      <c r="I1293" s="10"/>
      <c r="J1293" s="10"/>
      <c r="K1293" s="10"/>
      <c r="L1293" s="143" t="s">
        <v>3341</v>
      </c>
      <c r="M1293" s="144"/>
      <c r="N1293" s="144"/>
      <c r="O1293" s="144"/>
    </row>
    <row r="1294">
      <c r="A1294" s="138" t="s">
        <v>3343</v>
      </c>
      <c r="B1294" s="155"/>
      <c r="C1294" s="31">
        <v>0.05</v>
      </c>
      <c r="D1294" s="139">
        <v>0.64</v>
      </c>
      <c r="E1294" s="139">
        <v>0.64</v>
      </c>
      <c r="F1294" s="52"/>
      <c r="G1294" s="10"/>
      <c r="H1294" s="10"/>
      <c r="I1294" s="10"/>
      <c r="J1294" s="10"/>
      <c r="K1294" s="10"/>
      <c r="L1294" s="143" t="s">
        <v>3342</v>
      </c>
      <c r="M1294" s="144"/>
      <c r="N1294" s="144"/>
      <c r="O1294" s="144"/>
    </row>
    <row r="1295">
      <c r="A1295" s="138" t="s">
        <v>3344</v>
      </c>
      <c r="B1295" s="155"/>
      <c r="C1295" s="31">
        <v>0.05</v>
      </c>
      <c r="D1295" s="139">
        <v>0.64</v>
      </c>
      <c r="E1295" s="139">
        <v>0.64</v>
      </c>
      <c r="F1295" s="52"/>
      <c r="G1295" s="10"/>
      <c r="H1295" s="10"/>
      <c r="I1295" s="10"/>
      <c r="J1295" s="10"/>
      <c r="K1295" s="10"/>
      <c r="L1295" s="143" t="s">
        <v>3343</v>
      </c>
      <c r="M1295" s="144"/>
      <c r="N1295" s="144"/>
      <c r="O1295" s="144"/>
    </row>
    <row r="1296">
      <c r="A1296" s="138" t="s">
        <v>3345</v>
      </c>
      <c r="B1296" s="155"/>
      <c r="C1296" s="31">
        <v>0.05</v>
      </c>
      <c r="D1296" s="139">
        <v>0.64</v>
      </c>
      <c r="E1296" s="139">
        <v>0.64</v>
      </c>
      <c r="F1296" s="52"/>
      <c r="G1296" s="10"/>
      <c r="H1296" s="10"/>
      <c r="I1296" s="10"/>
      <c r="J1296" s="10"/>
      <c r="K1296" s="10"/>
      <c r="L1296" s="143" t="s">
        <v>3344</v>
      </c>
      <c r="M1296" s="144"/>
      <c r="N1296" s="144"/>
      <c r="O1296" s="144"/>
    </row>
    <row r="1297">
      <c r="A1297" s="138" t="s">
        <v>3346</v>
      </c>
      <c r="B1297" s="155"/>
      <c r="C1297" s="31">
        <v>0.05</v>
      </c>
      <c r="D1297" s="139">
        <v>0.64</v>
      </c>
      <c r="E1297" s="139">
        <v>0.64</v>
      </c>
      <c r="F1297" s="52"/>
      <c r="G1297" s="10"/>
      <c r="H1297" s="10"/>
      <c r="I1297" s="10"/>
      <c r="J1297" s="10"/>
      <c r="K1297" s="10"/>
      <c r="L1297" s="143" t="s">
        <v>3345</v>
      </c>
      <c r="M1297" s="144"/>
      <c r="N1297" s="144"/>
      <c r="O1297" s="144"/>
    </row>
    <row r="1298">
      <c r="A1298" s="138" t="s">
        <v>3347</v>
      </c>
      <c r="B1298" s="155"/>
      <c r="C1298" s="31">
        <v>0.05</v>
      </c>
      <c r="D1298" s="139">
        <v>0.64</v>
      </c>
      <c r="E1298" s="139">
        <v>0.64</v>
      </c>
      <c r="F1298" s="52"/>
      <c r="G1298" s="10"/>
      <c r="H1298" s="10"/>
      <c r="I1298" s="10"/>
      <c r="J1298" s="10"/>
      <c r="K1298" s="10"/>
      <c r="L1298" s="143" t="s">
        <v>3346</v>
      </c>
      <c r="M1298" s="144"/>
      <c r="N1298" s="144"/>
      <c r="O1298" s="144"/>
    </row>
    <row r="1299">
      <c r="A1299" s="138" t="s">
        <v>3348</v>
      </c>
      <c r="B1299" s="155"/>
      <c r="C1299" s="31">
        <v>0.05</v>
      </c>
      <c r="D1299" s="139">
        <v>0.64</v>
      </c>
      <c r="E1299" s="139">
        <v>0.64</v>
      </c>
      <c r="F1299" s="52"/>
      <c r="G1299" s="10"/>
      <c r="H1299" s="10"/>
      <c r="I1299" s="10"/>
      <c r="J1299" s="10"/>
      <c r="K1299" s="10"/>
      <c r="L1299" s="143" t="s">
        <v>3347</v>
      </c>
      <c r="M1299" s="144"/>
      <c r="N1299" s="144"/>
      <c r="O1299" s="144"/>
    </row>
    <row r="1300">
      <c r="A1300" s="138" t="s">
        <v>3349</v>
      </c>
      <c r="B1300" s="155"/>
      <c r="C1300" s="31">
        <v>0.05</v>
      </c>
      <c r="D1300" s="139">
        <v>0.64</v>
      </c>
      <c r="E1300" s="139">
        <v>0.64</v>
      </c>
      <c r="F1300" s="52"/>
      <c r="G1300" s="10"/>
      <c r="H1300" s="10"/>
      <c r="I1300" s="10"/>
      <c r="J1300" s="10"/>
      <c r="K1300" s="10"/>
      <c r="L1300" s="143" t="s">
        <v>3348</v>
      </c>
      <c r="M1300" s="144"/>
      <c r="N1300" s="144"/>
      <c r="O1300" s="144"/>
    </row>
    <row r="1301">
      <c r="A1301" s="138" t="s">
        <v>3350</v>
      </c>
      <c r="B1301" s="155"/>
      <c r="C1301" s="31">
        <v>0.05</v>
      </c>
      <c r="D1301" s="139">
        <v>0.64</v>
      </c>
      <c r="E1301" s="139">
        <v>0.64</v>
      </c>
      <c r="F1301" s="52"/>
      <c r="G1301" s="10"/>
      <c r="H1301" s="10"/>
      <c r="I1301" s="10"/>
      <c r="J1301" s="10"/>
      <c r="K1301" s="10"/>
      <c r="L1301" s="143" t="s">
        <v>3349</v>
      </c>
      <c r="M1301" s="144"/>
      <c r="N1301" s="144"/>
      <c r="O1301" s="144"/>
    </row>
    <row r="1302">
      <c r="A1302" s="138" t="s">
        <v>3351</v>
      </c>
      <c r="B1302" s="155"/>
      <c r="C1302" s="31">
        <v>0.05</v>
      </c>
      <c r="D1302" s="139">
        <v>0.64</v>
      </c>
      <c r="E1302" s="139">
        <v>0.64</v>
      </c>
      <c r="F1302" s="52"/>
      <c r="G1302" s="10"/>
      <c r="H1302" s="10"/>
      <c r="I1302" s="10"/>
      <c r="J1302" s="10"/>
      <c r="K1302" s="10"/>
      <c r="L1302" s="143" t="s">
        <v>3350</v>
      </c>
      <c r="M1302" s="144"/>
      <c r="N1302" s="144"/>
      <c r="O1302" s="144"/>
    </row>
    <row r="1303">
      <c r="A1303" s="138" t="s">
        <v>3352</v>
      </c>
      <c r="B1303" s="155"/>
      <c r="C1303" s="31">
        <v>0.05</v>
      </c>
      <c r="D1303" s="139">
        <v>0.64</v>
      </c>
      <c r="E1303" s="139">
        <v>0.64</v>
      </c>
      <c r="F1303" s="52"/>
      <c r="G1303" s="10"/>
      <c r="H1303" s="10"/>
      <c r="I1303" s="10"/>
      <c r="J1303" s="10"/>
      <c r="K1303" s="10"/>
      <c r="L1303" s="143" t="s">
        <v>3351</v>
      </c>
      <c r="M1303" s="144"/>
      <c r="N1303" s="144"/>
      <c r="O1303" s="144"/>
    </row>
    <row r="1304">
      <c r="A1304" s="138" t="s">
        <v>3353</v>
      </c>
      <c r="B1304" s="155"/>
      <c r="C1304" s="31">
        <v>0.05</v>
      </c>
      <c r="D1304" s="139">
        <v>0.64</v>
      </c>
      <c r="E1304" s="139">
        <v>0.64</v>
      </c>
      <c r="F1304" s="52"/>
      <c r="G1304" s="10"/>
      <c r="H1304" s="10"/>
      <c r="I1304" s="10"/>
      <c r="J1304" s="10"/>
      <c r="K1304" s="10"/>
      <c r="L1304" s="143" t="s">
        <v>3352</v>
      </c>
      <c r="M1304" s="144"/>
      <c r="N1304" s="144"/>
      <c r="O1304" s="144"/>
    </row>
    <row r="1305">
      <c r="A1305" s="138" t="s">
        <v>3354</v>
      </c>
      <c r="B1305" s="155"/>
      <c r="C1305" s="31">
        <v>0.05</v>
      </c>
      <c r="D1305" s="139">
        <v>0.64</v>
      </c>
      <c r="E1305" s="139">
        <v>0.64</v>
      </c>
      <c r="F1305" s="52"/>
      <c r="G1305" s="10"/>
      <c r="H1305" s="10"/>
      <c r="I1305" s="10"/>
      <c r="J1305" s="10"/>
      <c r="K1305" s="10"/>
      <c r="L1305" s="143" t="s">
        <v>3353</v>
      </c>
      <c r="M1305" s="144"/>
      <c r="N1305" s="144"/>
      <c r="O1305" s="144"/>
    </row>
    <row r="1306">
      <c r="A1306" s="138" t="s">
        <v>3355</v>
      </c>
      <c r="B1306" s="155"/>
      <c r="C1306" s="31">
        <v>0.05</v>
      </c>
      <c r="D1306" s="139">
        <v>0.64</v>
      </c>
      <c r="E1306" s="139">
        <v>0.64</v>
      </c>
      <c r="F1306" s="52"/>
      <c r="G1306" s="10"/>
      <c r="H1306" s="10"/>
      <c r="I1306" s="10"/>
      <c r="J1306" s="10"/>
      <c r="K1306" s="10"/>
      <c r="L1306" s="143" t="s">
        <v>3354</v>
      </c>
      <c r="M1306" s="144"/>
      <c r="N1306" s="144"/>
      <c r="O1306" s="144"/>
    </row>
    <row r="1307">
      <c r="A1307" s="138" t="s">
        <v>3356</v>
      </c>
      <c r="B1307" s="155"/>
      <c r="C1307" s="31">
        <v>0.05</v>
      </c>
      <c r="D1307" s="139">
        <v>0.64</v>
      </c>
      <c r="E1307" s="139">
        <v>0.64</v>
      </c>
      <c r="F1307" s="52"/>
      <c r="G1307" s="10"/>
      <c r="H1307" s="10"/>
      <c r="I1307" s="10"/>
      <c r="J1307" s="10"/>
      <c r="K1307" s="10"/>
      <c r="L1307" s="143" t="s">
        <v>3355</v>
      </c>
      <c r="M1307" s="144"/>
      <c r="N1307" s="144"/>
      <c r="O1307" s="144"/>
    </row>
    <row r="1308">
      <c r="A1308" s="138" t="s">
        <v>3357</v>
      </c>
      <c r="B1308" s="155"/>
      <c r="C1308" s="31">
        <v>0.05</v>
      </c>
      <c r="D1308" s="139">
        <v>0.64</v>
      </c>
      <c r="E1308" s="139">
        <v>0.64</v>
      </c>
      <c r="F1308" s="52"/>
      <c r="G1308" s="10"/>
      <c r="H1308" s="10"/>
      <c r="I1308" s="10"/>
      <c r="J1308" s="10"/>
      <c r="K1308" s="10"/>
      <c r="L1308" s="143" t="s">
        <v>3356</v>
      </c>
      <c r="M1308" s="144"/>
      <c r="N1308" s="144"/>
      <c r="O1308" s="144"/>
    </row>
    <row r="1309">
      <c r="A1309" s="138" t="s">
        <v>3358</v>
      </c>
      <c r="B1309" s="155"/>
      <c r="C1309" s="31">
        <v>0.05</v>
      </c>
      <c r="D1309" s="139">
        <v>0.64</v>
      </c>
      <c r="E1309" s="139">
        <v>0.64</v>
      </c>
      <c r="F1309" s="52"/>
      <c r="G1309" s="10"/>
      <c r="H1309" s="10"/>
      <c r="I1309" s="10"/>
      <c r="J1309" s="10"/>
      <c r="K1309" s="10"/>
      <c r="L1309" s="143" t="s">
        <v>3357</v>
      </c>
      <c r="M1309" s="144"/>
      <c r="N1309" s="144"/>
      <c r="O1309" s="144"/>
    </row>
    <row r="1310">
      <c r="A1310" s="138" t="s">
        <v>3359</v>
      </c>
      <c r="B1310" s="155"/>
      <c r="C1310" s="31">
        <v>0.05</v>
      </c>
      <c r="D1310" s="139">
        <v>0.64</v>
      </c>
      <c r="E1310" s="139">
        <v>0.64</v>
      </c>
      <c r="F1310" s="52"/>
      <c r="G1310" s="10"/>
      <c r="H1310" s="10"/>
      <c r="I1310" s="10"/>
      <c r="J1310" s="10"/>
      <c r="K1310" s="10"/>
      <c r="L1310" s="143" t="s">
        <v>3358</v>
      </c>
      <c r="M1310" s="144"/>
      <c r="N1310" s="144"/>
      <c r="O1310" s="144"/>
    </row>
    <row r="1311">
      <c r="A1311" s="138" t="s">
        <v>3360</v>
      </c>
      <c r="B1311" s="155"/>
      <c r="C1311" s="31">
        <v>0.05</v>
      </c>
      <c r="D1311" s="139">
        <v>0.64</v>
      </c>
      <c r="E1311" s="139">
        <v>0.64</v>
      </c>
      <c r="F1311" s="52"/>
      <c r="G1311" s="10"/>
      <c r="H1311" s="10"/>
      <c r="I1311" s="10"/>
      <c r="J1311" s="10"/>
      <c r="K1311" s="10"/>
      <c r="L1311" s="143" t="s">
        <v>3359</v>
      </c>
      <c r="M1311" s="144"/>
      <c r="N1311" s="144"/>
      <c r="O1311" s="144"/>
    </row>
    <row r="1312">
      <c r="A1312" s="138" t="s">
        <v>3361</v>
      </c>
      <c r="B1312" s="155"/>
      <c r="C1312" s="31">
        <v>0.05</v>
      </c>
      <c r="D1312" s="139">
        <v>0.64</v>
      </c>
      <c r="E1312" s="139">
        <v>0.64</v>
      </c>
      <c r="F1312" s="52"/>
      <c r="G1312" s="10"/>
      <c r="H1312" s="10"/>
      <c r="I1312" s="10"/>
      <c r="J1312" s="10"/>
      <c r="K1312" s="10"/>
      <c r="L1312" s="143" t="s">
        <v>3360</v>
      </c>
      <c r="M1312" s="144"/>
      <c r="N1312" s="144"/>
      <c r="O1312" s="144"/>
    </row>
    <row r="1313">
      <c r="A1313" s="138" t="s">
        <v>3362</v>
      </c>
      <c r="B1313" s="155"/>
      <c r="C1313" s="31">
        <v>0.05</v>
      </c>
      <c r="D1313" s="139">
        <v>0.64</v>
      </c>
      <c r="E1313" s="139">
        <v>0.64</v>
      </c>
      <c r="F1313" s="52"/>
      <c r="G1313" s="10"/>
      <c r="H1313" s="10"/>
      <c r="I1313" s="10"/>
      <c r="J1313" s="10"/>
      <c r="K1313" s="10"/>
      <c r="L1313" s="143" t="s">
        <v>3361</v>
      </c>
      <c r="M1313" s="144"/>
      <c r="N1313" s="144"/>
      <c r="O1313" s="144"/>
    </row>
    <row r="1314">
      <c r="A1314" s="138" t="s">
        <v>3363</v>
      </c>
      <c r="B1314" s="155"/>
      <c r="C1314" s="31">
        <v>0.05</v>
      </c>
      <c r="D1314" s="139">
        <v>0.64</v>
      </c>
      <c r="E1314" s="139">
        <v>0.64</v>
      </c>
      <c r="F1314" s="52"/>
      <c r="G1314" s="10"/>
      <c r="H1314" s="10"/>
      <c r="I1314" s="10"/>
      <c r="J1314" s="10"/>
      <c r="K1314" s="10"/>
      <c r="L1314" s="143" t="s">
        <v>3362</v>
      </c>
      <c r="M1314" s="144"/>
      <c r="N1314" s="144"/>
      <c r="O1314" s="144"/>
    </row>
    <row r="1315">
      <c r="A1315" s="138" t="s">
        <v>3364</v>
      </c>
      <c r="B1315" s="155"/>
      <c r="C1315" s="31">
        <v>0.05</v>
      </c>
      <c r="D1315" s="139">
        <v>0.64</v>
      </c>
      <c r="E1315" s="139">
        <v>0.64</v>
      </c>
      <c r="F1315" s="52"/>
      <c r="G1315" s="10"/>
      <c r="H1315" s="10"/>
      <c r="I1315" s="10"/>
      <c r="J1315" s="10"/>
      <c r="K1315" s="10"/>
      <c r="L1315" s="143" t="s">
        <v>3363</v>
      </c>
      <c r="M1315" s="144"/>
      <c r="N1315" s="144"/>
      <c r="O1315" s="144"/>
    </row>
    <row r="1316">
      <c r="A1316" s="138" t="s">
        <v>3365</v>
      </c>
      <c r="B1316" s="155"/>
      <c r="C1316" s="31">
        <v>0.05</v>
      </c>
      <c r="D1316" s="139">
        <v>0.64</v>
      </c>
      <c r="E1316" s="139">
        <v>0.64</v>
      </c>
      <c r="F1316" s="52"/>
      <c r="G1316" s="10"/>
      <c r="H1316" s="10"/>
      <c r="I1316" s="10"/>
      <c r="J1316" s="10"/>
      <c r="K1316" s="10"/>
      <c r="L1316" s="143" t="s">
        <v>3364</v>
      </c>
      <c r="M1316" s="144"/>
      <c r="N1316" s="144"/>
      <c r="O1316" s="144"/>
    </row>
    <row r="1317">
      <c r="A1317" s="138" t="s">
        <v>3366</v>
      </c>
      <c r="B1317" s="155"/>
      <c r="C1317" s="31">
        <v>0.05</v>
      </c>
      <c r="D1317" s="139">
        <v>0.64</v>
      </c>
      <c r="E1317" s="139">
        <v>0.64</v>
      </c>
      <c r="F1317" s="52"/>
      <c r="G1317" s="10"/>
      <c r="H1317" s="10"/>
      <c r="I1317" s="10"/>
      <c r="J1317" s="10"/>
      <c r="K1317" s="10"/>
      <c r="L1317" s="143" t="s">
        <v>3365</v>
      </c>
      <c r="M1317" s="144"/>
      <c r="N1317" s="144"/>
      <c r="O1317" s="144"/>
    </row>
    <row r="1318">
      <c r="A1318" s="138" t="s">
        <v>3367</v>
      </c>
      <c r="B1318" s="155"/>
      <c r="C1318" s="31">
        <v>0.05</v>
      </c>
      <c r="D1318" s="139">
        <v>0.64</v>
      </c>
      <c r="E1318" s="139">
        <v>0.64</v>
      </c>
      <c r="F1318" s="52"/>
      <c r="G1318" s="10"/>
      <c r="H1318" s="10"/>
      <c r="I1318" s="10"/>
      <c r="J1318" s="10"/>
      <c r="K1318" s="10"/>
      <c r="L1318" s="143" t="s">
        <v>3366</v>
      </c>
      <c r="M1318" s="144"/>
      <c r="N1318" s="144"/>
      <c r="O1318" s="144"/>
    </row>
    <row r="1319">
      <c r="A1319" s="138" t="s">
        <v>3368</v>
      </c>
      <c r="B1319" s="155"/>
      <c r="C1319" s="31">
        <v>0.05</v>
      </c>
      <c r="D1319" s="139">
        <v>0.64</v>
      </c>
      <c r="E1319" s="139">
        <v>0.64</v>
      </c>
      <c r="F1319" s="52"/>
      <c r="G1319" s="10"/>
      <c r="H1319" s="10"/>
      <c r="I1319" s="10"/>
      <c r="J1319" s="10"/>
      <c r="K1319" s="10"/>
      <c r="L1319" s="143" t="s">
        <v>3367</v>
      </c>
      <c r="M1319" s="144"/>
      <c r="N1319" s="144"/>
      <c r="O1319" s="144"/>
    </row>
    <row r="1320">
      <c r="A1320" s="138" t="s">
        <v>3369</v>
      </c>
      <c r="B1320" s="155"/>
      <c r="C1320" s="31">
        <v>0.05</v>
      </c>
      <c r="D1320" s="139">
        <v>0.64</v>
      </c>
      <c r="E1320" s="139">
        <v>0.64</v>
      </c>
      <c r="F1320" s="52"/>
      <c r="G1320" s="10"/>
      <c r="H1320" s="10"/>
      <c r="I1320" s="10"/>
      <c r="J1320" s="10"/>
      <c r="K1320" s="10"/>
      <c r="L1320" s="143" t="s">
        <v>3368</v>
      </c>
      <c r="M1320" s="144"/>
      <c r="N1320" s="144"/>
      <c r="O1320" s="144"/>
    </row>
    <row r="1321">
      <c r="A1321" s="138" t="s">
        <v>3370</v>
      </c>
      <c r="B1321" s="155"/>
      <c r="C1321" s="31">
        <v>0.05</v>
      </c>
      <c r="D1321" s="139">
        <v>0.64</v>
      </c>
      <c r="E1321" s="139">
        <v>0.64</v>
      </c>
      <c r="F1321" s="52"/>
      <c r="G1321" s="10"/>
      <c r="H1321" s="10"/>
      <c r="I1321" s="10"/>
      <c r="J1321" s="10"/>
      <c r="K1321" s="10"/>
      <c r="L1321" s="143" t="s">
        <v>3369</v>
      </c>
      <c r="M1321" s="144"/>
      <c r="N1321" s="144"/>
      <c r="O1321" s="144"/>
    </row>
    <row r="1322">
      <c r="A1322" s="138" t="s">
        <v>3371</v>
      </c>
      <c r="B1322" s="155"/>
      <c r="C1322" s="31">
        <v>0.05</v>
      </c>
      <c r="D1322" s="139">
        <v>0.64</v>
      </c>
      <c r="E1322" s="139">
        <v>0.64</v>
      </c>
      <c r="F1322" s="52"/>
      <c r="G1322" s="10"/>
      <c r="H1322" s="10"/>
      <c r="I1322" s="10"/>
      <c r="J1322" s="10"/>
      <c r="K1322" s="10"/>
      <c r="L1322" s="143" t="s">
        <v>3370</v>
      </c>
      <c r="M1322" s="144"/>
      <c r="N1322" s="144"/>
      <c r="O1322" s="144"/>
    </row>
    <row r="1323">
      <c r="A1323" s="138" t="s">
        <v>3372</v>
      </c>
      <c r="B1323" s="155"/>
      <c r="C1323" s="31">
        <v>0.05</v>
      </c>
      <c r="D1323" s="139">
        <v>0.64</v>
      </c>
      <c r="E1323" s="139">
        <v>0.64</v>
      </c>
      <c r="F1323" s="52"/>
      <c r="G1323" s="10"/>
      <c r="H1323" s="10"/>
      <c r="I1323" s="10"/>
      <c r="J1323" s="10"/>
      <c r="K1323" s="10"/>
      <c r="L1323" s="143" t="s">
        <v>3371</v>
      </c>
      <c r="M1323" s="144"/>
      <c r="N1323" s="144"/>
      <c r="O1323" s="144"/>
    </row>
    <row r="1324">
      <c r="A1324" s="138" t="s">
        <v>3373</v>
      </c>
      <c r="B1324" s="155"/>
      <c r="C1324" s="31">
        <v>0.05</v>
      </c>
      <c r="D1324" s="139">
        <v>0.64</v>
      </c>
      <c r="E1324" s="139">
        <v>0.64</v>
      </c>
      <c r="F1324" s="52"/>
      <c r="G1324" s="10"/>
      <c r="H1324" s="10"/>
      <c r="I1324" s="10"/>
      <c r="J1324" s="10"/>
      <c r="K1324" s="10"/>
      <c r="L1324" s="143" t="s">
        <v>3372</v>
      </c>
      <c r="M1324" s="144"/>
      <c r="N1324" s="144"/>
      <c r="O1324" s="144"/>
    </row>
    <row r="1325">
      <c r="A1325" s="138" t="s">
        <v>3374</v>
      </c>
      <c r="B1325" s="155"/>
      <c r="C1325" s="31">
        <v>0.05</v>
      </c>
      <c r="D1325" s="139">
        <v>0.64</v>
      </c>
      <c r="E1325" s="139">
        <v>0.64</v>
      </c>
      <c r="F1325" s="52"/>
      <c r="G1325" s="10"/>
      <c r="H1325" s="10"/>
      <c r="I1325" s="10"/>
      <c r="J1325" s="10"/>
      <c r="K1325" s="10"/>
      <c r="L1325" s="143" t="s">
        <v>3373</v>
      </c>
      <c r="M1325" s="144"/>
      <c r="N1325" s="144"/>
      <c r="O1325" s="144"/>
    </row>
    <row r="1326">
      <c r="A1326" s="138" t="s">
        <v>3375</v>
      </c>
      <c r="B1326" s="155"/>
      <c r="C1326" s="31">
        <v>0.05</v>
      </c>
      <c r="D1326" s="139">
        <v>0.64</v>
      </c>
      <c r="E1326" s="139">
        <v>0.64</v>
      </c>
      <c r="F1326" s="52"/>
      <c r="G1326" s="10"/>
      <c r="H1326" s="10"/>
      <c r="I1326" s="10"/>
      <c r="J1326" s="10"/>
      <c r="K1326" s="10"/>
      <c r="L1326" s="143" t="s">
        <v>3374</v>
      </c>
      <c r="M1326" s="144"/>
      <c r="N1326" s="144"/>
      <c r="O1326" s="144"/>
    </row>
    <row r="1327">
      <c r="A1327" s="138" t="s">
        <v>3376</v>
      </c>
      <c r="B1327" s="155"/>
      <c r="C1327" s="31">
        <v>0.05</v>
      </c>
      <c r="D1327" s="139">
        <v>0.64</v>
      </c>
      <c r="E1327" s="139">
        <v>0.64</v>
      </c>
      <c r="F1327" s="52"/>
      <c r="G1327" s="10"/>
      <c r="H1327" s="10"/>
      <c r="I1327" s="10"/>
      <c r="J1327" s="10"/>
      <c r="K1327" s="10"/>
      <c r="L1327" s="143" t="s">
        <v>3375</v>
      </c>
      <c r="M1327" s="144"/>
      <c r="N1327" s="144"/>
      <c r="O1327" s="144"/>
    </row>
    <row r="1328">
      <c r="A1328" s="138" t="s">
        <v>1059</v>
      </c>
      <c r="B1328" s="155"/>
      <c r="C1328" s="31">
        <v>0.05</v>
      </c>
      <c r="D1328" s="139">
        <v>0.64</v>
      </c>
      <c r="E1328" s="139">
        <v>0.64</v>
      </c>
      <c r="F1328" s="52"/>
      <c r="G1328" s="10"/>
      <c r="H1328" s="10"/>
      <c r="I1328" s="10"/>
      <c r="J1328" s="10"/>
      <c r="K1328" s="10"/>
      <c r="L1328" s="143" t="s">
        <v>3376</v>
      </c>
      <c r="M1328" s="144"/>
      <c r="N1328" s="144"/>
      <c r="O1328" s="144"/>
    </row>
    <row r="1329">
      <c r="A1329" s="138" t="s">
        <v>3377</v>
      </c>
      <c r="B1329" s="155"/>
      <c r="C1329" s="31">
        <v>0.05</v>
      </c>
      <c r="D1329" s="139">
        <v>0.64</v>
      </c>
      <c r="E1329" s="139">
        <v>0.64</v>
      </c>
      <c r="F1329" s="52"/>
      <c r="G1329" s="10"/>
      <c r="H1329" s="10"/>
      <c r="I1329" s="10"/>
      <c r="J1329" s="10"/>
      <c r="K1329" s="10"/>
      <c r="L1329" s="143" t="s">
        <v>1059</v>
      </c>
      <c r="M1329" s="144"/>
      <c r="N1329" s="144"/>
      <c r="O1329" s="144"/>
    </row>
    <row r="1330">
      <c r="A1330" s="138" t="s">
        <v>3378</v>
      </c>
      <c r="B1330" s="155"/>
      <c r="C1330" s="31">
        <v>0.05</v>
      </c>
      <c r="D1330" s="139">
        <v>0.64</v>
      </c>
      <c r="E1330" s="139">
        <v>0.64</v>
      </c>
      <c r="F1330" s="52"/>
      <c r="G1330" s="10"/>
      <c r="H1330" s="10"/>
      <c r="I1330" s="10"/>
      <c r="J1330" s="10"/>
      <c r="K1330" s="10"/>
      <c r="L1330" s="143" t="s">
        <v>3377</v>
      </c>
      <c r="M1330" s="144"/>
      <c r="N1330" s="144"/>
      <c r="O1330" s="144"/>
    </row>
    <row r="1331">
      <c r="A1331" s="138" t="s">
        <v>3379</v>
      </c>
      <c r="B1331" s="155"/>
      <c r="C1331" s="31">
        <v>0.05</v>
      </c>
      <c r="D1331" s="139">
        <v>0.64</v>
      </c>
      <c r="E1331" s="139">
        <v>0.64</v>
      </c>
      <c r="F1331" s="52"/>
      <c r="G1331" s="10"/>
      <c r="H1331" s="10"/>
      <c r="I1331" s="10"/>
      <c r="J1331" s="10"/>
      <c r="K1331" s="10"/>
      <c r="L1331" s="143" t="s">
        <v>3378</v>
      </c>
      <c r="M1331" s="144"/>
      <c r="N1331" s="144"/>
      <c r="O1331" s="144"/>
    </row>
    <row r="1332">
      <c r="A1332" s="138" t="s">
        <v>3380</v>
      </c>
      <c r="B1332" s="155"/>
      <c r="C1332" s="31">
        <v>0.05</v>
      </c>
      <c r="D1332" s="139">
        <v>0.64</v>
      </c>
      <c r="E1332" s="139">
        <v>0.64</v>
      </c>
      <c r="F1332" s="52"/>
      <c r="G1332" s="10"/>
      <c r="H1332" s="10"/>
      <c r="I1332" s="10"/>
      <c r="J1332" s="10"/>
      <c r="K1332" s="10"/>
      <c r="L1332" s="143" t="s">
        <v>3379</v>
      </c>
      <c r="M1332" s="144"/>
      <c r="N1332" s="144"/>
      <c r="O1332" s="144"/>
    </row>
    <row r="1333">
      <c r="A1333" s="138" t="s">
        <v>3381</v>
      </c>
      <c r="B1333" s="155"/>
      <c r="C1333" s="31">
        <v>0.05</v>
      </c>
      <c r="D1333" s="139">
        <v>0.64</v>
      </c>
      <c r="E1333" s="139">
        <v>0.64</v>
      </c>
      <c r="F1333" s="52"/>
      <c r="G1333" s="10"/>
      <c r="H1333" s="10"/>
      <c r="I1333" s="10"/>
      <c r="J1333" s="10"/>
      <c r="K1333" s="10"/>
      <c r="L1333" s="143" t="s">
        <v>3380</v>
      </c>
      <c r="M1333" s="144"/>
      <c r="N1333" s="144"/>
      <c r="O1333" s="144"/>
    </row>
    <row r="1334">
      <c r="A1334" s="138" t="s">
        <v>3382</v>
      </c>
      <c r="B1334" s="155"/>
      <c r="C1334" s="31">
        <v>0.05</v>
      </c>
      <c r="D1334" s="139">
        <v>0.64</v>
      </c>
      <c r="E1334" s="139">
        <v>0.64</v>
      </c>
      <c r="F1334" s="52"/>
      <c r="G1334" s="10"/>
      <c r="H1334" s="10"/>
      <c r="I1334" s="10"/>
      <c r="J1334" s="10"/>
      <c r="K1334" s="10"/>
      <c r="L1334" s="143" t="s">
        <v>3381</v>
      </c>
      <c r="M1334" s="144"/>
      <c r="N1334" s="144"/>
      <c r="O1334" s="144"/>
    </row>
    <row r="1335">
      <c r="A1335" s="138" t="s">
        <v>3383</v>
      </c>
      <c r="B1335" s="155"/>
      <c r="C1335" s="31">
        <v>0.05</v>
      </c>
      <c r="D1335" s="139">
        <v>0.64</v>
      </c>
      <c r="E1335" s="139">
        <v>0.64</v>
      </c>
      <c r="F1335" s="52"/>
      <c r="G1335" s="10"/>
      <c r="H1335" s="10"/>
      <c r="I1335" s="10"/>
      <c r="J1335" s="10"/>
      <c r="K1335" s="10"/>
      <c r="L1335" s="143" t="s">
        <v>3382</v>
      </c>
      <c r="M1335" s="144"/>
      <c r="N1335" s="144"/>
      <c r="O1335" s="144"/>
    </row>
    <row r="1336">
      <c r="A1336" s="138" t="s">
        <v>3384</v>
      </c>
      <c r="B1336" s="155"/>
      <c r="C1336" s="31">
        <v>0.05</v>
      </c>
      <c r="D1336" s="139">
        <v>0.64</v>
      </c>
      <c r="E1336" s="139">
        <v>0.64</v>
      </c>
      <c r="F1336" s="52"/>
      <c r="G1336" s="10"/>
      <c r="H1336" s="10"/>
      <c r="I1336" s="10"/>
      <c r="J1336" s="10"/>
      <c r="K1336" s="10"/>
      <c r="L1336" s="143" t="s">
        <v>3383</v>
      </c>
      <c r="M1336" s="144"/>
      <c r="N1336" s="144"/>
      <c r="O1336" s="144"/>
    </row>
    <row r="1337">
      <c r="A1337" s="138" t="s">
        <v>3385</v>
      </c>
      <c r="B1337" s="155"/>
      <c r="C1337" s="31">
        <v>0.05</v>
      </c>
      <c r="D1337" s="139">
        <v>0.64</v>
      </c>
      <c r="E1337" s="139">
        <v>0.64</v>
      </c>
      <c r="F1337" s="52"/>
      <c r="G1337" s="10"/>
      <c r="H1337" s="10"/>
      <c r="I1337" s="10"/>
      <c r="J1337" s="10"/>
      <c r="K1337" s="10"/>
      <c r="L1337" s="143" t="s">
        <v>3384</v>
      </c>
      <c r="M1337" s="144"/>
      <c r="N1337" s="144"/>
      <c r="O1337" s="144"/>
    </row>
    <row r="1338">
      <c r="A1338" s="138" t="s">
        <v>3386</v>
      </c>
      <c r="B1338" s="155"/>
      <c r="C1338" s="31">
        <v>0.05</v>
      </c>
      <c r="D1338" s="139">
        <v>0.64</v>
      </c>
      <c r="E1338" s="139">
        <v>0.64</v>
      </c>
      <c r="F1338" s="52"/>
      <c r="G1338" s="10"/>
      <c r="H1338" s="10"/>
      <c r="I1338" s="10"/>
      <c r="J1338" s="10"/>
      <c r="K1338" s="10"/>
      <c r="L1338" s="143" t="s">
        <v>3385</v>
      </c>
      <c r="M1338" s="144"/>
      <c r="N1338" s="144"/>
      <c r="O1338" s="144"/>
    </row>
    <row r="1339">
      <c r="A1339" s="138" t="s">
        <v>3387</v>
      </c>
      <c r="B1339" s="155"/>
      <c r="C1339" s="31">
        <v>0.05</v>
      </c>
      <c r="D1339" s="139">
        <v>0.64</v>
      </c>
      <c r="E1339" s="139">
        <v>0.64</v>
      </c>
      <c r="F1339" s="52"/>
      <c r="G1339" s="10"/>
      <c r="H1339" s="10"/>
      <c r="I1339" s="10"/>
      <c r="J1339" s="10"/>
      <c r="K1339" s="10"/>
      <c r="L1339" s="143" t="s">
        <v>3386</v>
      </c>
      <c r="M1339" s="144"/>
      <c r="N1339" s="144"/>
      <c r="O1339" s="144"/>
    </row>
    <row r="1340">
      <c r="A1340" s="138" t="s">
        <v>3388</v>
      </c>
      <c r="B1340" s="155"/>
      <c r="C1340" s="31">
        <v>0.05</v>
      </c>
      <c r="D1340" s="139">
        <v>0.64</v>
      </c>
      <c r="E1340" s="139">
        <v>0.64</v>
      </c>
      <c r="F1340" s="52"/>
      <c r="G1340" s="10"/>
      <c r="H1340" s="10"/>
      <c r="I1340" s="10"/>
      <c r="J1340" s="10"/>
      <c r="K1340" s="10"/>
      <c r="L1340" s="143" t="s">
        <v>3387</v>
      </c>
      <c r="M1340" s="144"/>
      <c r="N1340" s="144"/>
      <c r="O1340" s="144"/>
    </row>
    <row r="1341">
      <c r="A1341" s="138" t="s">
        <v>3389</v>
      </c>
      <c r="B1341" s="155"/>
      <c r="C1341" s="31">
        <v>0.05</v>
      </c>
      <c r="D1341" s="139">
        <v>0.64</v>
      </c>
      <c r="E1341" s="139">
        <v>0.64</v>
      </c>
      <c r="F1341" s="52"/>
      <c r="G1341" s="10"/>
      <c r="H1341" s="10"/>
      <c r="I1341" s="10"/>
      <c r="J1341" s="10"/>
      <c r="K1341" s="10"/>
      <c r="L1341" s="143" t="s">
        <v>3388</v>
      </c>
      <c r="M1341" s="144"/>
      <c r="N1341" s="144"/>
      <c r="O1341" s="144"/>
    </row>
    <row r="1342">
      <c r="A1342" s="138" t="s">
        <v>3390</v>
      </c>
      <c r="B1342" s="155"/>
      <c r="C1342" s="31">
        <v>0.05</v>
      </c>
      <c r="D1342" s="139">
        <v>0.64</v>
      </c>
      <c r="E1342" s="139">
        <v>0.64</v>
      </c>
      <c r="F1342" s="52"/>
      <c r="G1342" s="10"/>
      <c r="H1342" s="10"/>
      <c r="I1342" s="10"/>
      <c r="J1342" s="10"/>
      <c r="K1342" s="10"/>
      <c r="L1342" s="143" t="s">
        <v>3389</v>
      </c>
      <c r="M1342" s="144"/>
      <c r="N1342" s="144"/>
      <c r="O1342" s="144"/>
    </row>
    <row r="1343">
      <c r="A1343" s="138" t="s">
        <v>3391</v>
      </c>
      <c r="B1343" s="155"/>
      <c r="C1343" s="31">
        <v>0.05</v>
      </c>
      <c r="D1343" s="139">
        <v>0.64</v>
      </c>
      <c r="E1343" s="139">
        <v>0.64</v>
      </c>
      <c r="F1343" s="52"/>
      <c r="G1343" s="10"/>
      <c r="H1343" s="10"/>
      <c r="I1343" s="10"/>
      <c r="J1343" s="10"/>
      <c r="K1343" s="10"/>
      <c r="L1343" s="143" t="s">
        <v>3390</v>
      </c>
      <c r="M1343" s="144"/>
      <c r="N1343" s="144"/>
      <c r="O1343" s="144"/>
    </row>
    <row r="1344">
      <c r="A1344" s="138" t="s">
        <v>3392</v>
      </c>
      <c r="B1344" s="155"/>
      <c r="C1344" s="31">
        <v>0.05</v>
      </c>
      <c r="D1344" s="139">
        <v>0.64</v>
      </c>
      <c r="E1344" s="139">
        <v>0.64</v>
      </c>
      <c r="F1344" s="52"/>
      <c r="G1344" s="10"/>
      <c r="H1344" s="10"/>
      <c r="I1344" s="10"/>
      <c r="J1344" s="10"/>
      <c r="K1344" s="10"/>
      <c r="L1344" s="143" t="s">
        <v>3391</v>
      </c>
      <c r="M1344" s="144"/>
      <c r="N1344" s="144"/>
      <c r="O1344" s="144"/>
    </row>
    <row r="1345">
      <c r="A1345" s="138" t="s">
        <v>3393</v>
      </c>
      <c r="B1345" s="155"/>
      <c r="C1345" s="31">
        <v>0.05</v>
      </c>
      <c r="D1345" s="139">
        <v>0.64</v>
      </c>
      <c r="E1345" s="139">
        <v>0.64</v>
      </c>
      <c r="F1345" s="52"/>
      <c r="G1345" s="10"/>
      <c r="H1345" s="10"/>
      <c r="I1345" s="10"/>
      <c r="J1345" s="10"/>
      <c r="K1345" s="10"/>
      <c r="L1345" s="143" t="s">
        <v>3392</v>
      </c>
      <c r="M1345" s="144"/>
      <c r="N1345" s="144"/>
      <c r="O1345" s="144"/>
    </row>
    <row r="1346">
      <c r="A1346" s="138" t="s">
        <v>3394</v>
      </c>
      <c r="B1346" s="155"/>
      <c r="C1346" s="31">
        <v>0.05</v>
      </c>
      <c r="D1346" s="139">
        <v>0.64</v>
      </c>
      <c r="E1346" s="139">
        <v>0.64</v>
      </c>
      <c r="F1346" s="52"/>
      <c r="G1346" s="10"/>
      <c r="H1346" s="10"/>
      <c r="I1346" s="10"/>
      <c r="J1346" s="10"/>
      <c r="K1346" s="10"/>
      <c r="L1346" s="143" t="s">
        <v>3393</v>
      </c>
      <c r="M1346" s="144"/>
      <c r="N1346" s="144"/>
      <c r="O1346" s="144"/>
    </row>
    <row r="1347">
      <c r="A1347" s="138" t="s">
        <v>3395</v>
      </c>
      <c r="B1347" s="155"/>
      <c r="C1347" s="31">
        <v>0.05</v>
      </c>
      <c r="D1347" s="139">
        <v>0.64</v>
      </c>
      <c r="E1347" s="139">
        <v>0.64</v>
      </c>
      <c r="F1347" s="52"/>
      <c r="G1347" s="10"/>
      <c r="H1347" s="10"/>
      <c r="I1347" s="10"/>
      <c r="J1347" s="10"/>
      <c r="K1347" s="10"/>
      <c r="L1347" s="143" t="s">
        <v>3394</v>
      </c>
      <c r="M1347" s="144"/>
      <c r="N1347" s="144"/>
      <c r="O1347" s="144"/>
    </row>
    <row r="1348">
      <c r="A1348" s="138" t="s">
        <v>3396</v>
      </c>
      <c r="B1348" s="155"/>
      <c r="C1348" s="31">
        <v>0.05</v>
      </c>
      <c r="D1348" s="139">
        <v>0.64</v>
      </c>
      <c r="E1348" s="139">
        <v>0.64</v>
      </c>
      <c r="F1348" s="52"/>
      <c r="G1348" s="10"/>
      <c r="H1348" s="10"/>
      <c r="I1348" s="10"/>
      <c r="J1348" s="10"/>
      <c r="K1348" s="10"/>
      <c r="L1348" s="143" t="s">
        <v>3395</v>
      </c>
      <c r="M1348" s="144"/>
      <c r="N1348" s="144"/>
      <c r="O1348" s="144"/>
    </row>
    <row r="1349">
      <c r="A1349" s="138" t="s">
        <v>3397</v>
      </c>
      <c r="B1349" s="155"/>
      <c r="C1349" s="31">
        <v>0.05</v>
      </c>
      <c r="D1349" s="139">
        <v>0.64</v>
      </c>
      <c r="E1349" s="139">
        <v>0.64</v>
      </c>
      <c r="F1349" s="52"/>
      <c r="G1349" s="10"/>
      <c r="H1349" s="10"/>
      <c r="I1349" s="10"/>
      <c r="J1349" s="10"/>
      <c r="K1349" s="10"/>
      <c r="L1349" s="143" t="s">
        <v>3396</v>
      </c>
      <c r="M1349" s="144"/>
      <c r="N1349" s="144"/>
      <c r="O1349" s="144"/>
    </row>
    <row r="1350">
      <c r="A1350" s="138" t="s">
        <v>3398</v>
      </c>
      <c r="B1350" s="155"/>
      <c r="C1350" s="31">
        <v>0.05</v>
      </c>
      <c r="D1350" s="139">
        <v>0.64</v>
      </c>
      <c r="E1350" s="139">
        <v>0.64</v>
      </c>
      <c r="F1350" s="52"/>
      <c r="G1350" s="10"/>
      <c r="H1350" s="10"/>
      <c r="I1350" s="10"/>
      <c r="J1350" s="10"/>
      <c r="K1350" s="10"/>
      <c r="L1350" s="143" t="s">
        <v>3397</v>
      </c>
      <c r="M1350" s="144"/>
      <c r="N1350" s="144"/>
      <c r="O1350" s="144"/>
    </row>
    <row r="1351">
      <c r="A1351" s="138" t="s">
        <v>3399</v>
      </c>
      <c r="B1351" s="155"/>
      <c r="C1351" s="31">
        <v>0.05</v>
      </c>
      <c r="D1351" s="139">
        <v>0.64</v>
      </c>
      <c r="E1351" s="139">
        <v>0.64</v>
      </c>
      <c r="F1351" s="52"/>
      <c r="G1351" s="10"/>
      <c r="H1351" s="10"/>
      <c r="I1351" s="10"/>
      <c r="J1351" s="10"/>
      <c r="K1351" s="10"/>
      <c r="L1351" s="143" t="s">
        <v>3398</v>
      </c>
      <c r="M1351" s="144"/>
      <c r="N1351" s="144"/>
      <c r="O1351" s="144"/>
    </row>
    <row r="1352">
      <c r="A1352" s="138" t="s">
        <v>3400</v>
      </c>
      <c r="B1352" s="155"/>
      <c r="C1352" s="31">
        <v>0.05</v>
      </c>
      <c r="D1352" s="139">
        <v>0.64</v>
      </c>
      <c r="E1352" s="139">
        <v>0.64</v>
      </c>
      <c r="F1352" s="52"/>
      <c r="G1352" s="10"/>
      <c r="H1352" s="10"/>
      <c r="I1352" s="10"/>
      <c r="J1352" s="10"/>
      <c r="K1352" s="10"/>
      <c r="L1352" s="143" t="s">
        <v>3399</v>
      </c>
      <c r="M1352" s="144"/>
      <c r="N1352" s="144"/>
      <c r="O1352" s="144"/>
    </row>
    <row r="1353">
      <c r="A1353" s="138" t="s">
        <v>3401</v>
      </c>
      <c r="B1353" s="155"/>
      <c r="C1353" s="31">
        <v>0.05</v>
      </c>
      <c r="D1353" s="139">
        <v>0.64</v>
      </c>
      <c r="E1353" s="139">
        <v>0.64</v>
      </c>
      <c r="F1353" s="52"/>
      <c r="G1353" s="10"/>
      <c r="H1353" s="10"/>
      <c r="I1353" s="10"/>
      <c r="J1353" s="10"/>
      <c r="K1353" s="10"/>
      <c r="L1353" s="143" t="s">
        <v>3400</v>
      </c>
      <c r="M1353" s="144"/>
      <c r="N1353" s="144"/>
      <c r="O1353" s="144"/>
    </row>
    <row r="1354">
      <c r="A1354" s="138" t="s">
        <v>3402</v>
      </c>
      <c r="B1354" s="155"/>
      <c r="C1354" s="31">
        <v>0.05</v>
      </c>
      <c r="D1354" s="139">
        <v>0.64</v>
      </c>
      <c r="E1354" s="139">
        <v>0.64</v>
      </c>
      <c r="F1354" s="52"/>
      <c r="G1354" s="10"/>
      <c r="H1354" s="10"/>
      <c r="I1354" s="10"/>
      <c r="J1354" s="10"/>
      <c r="K1354" s="10"/>
      <c r="L1354" s="143" t="s">
        <v>3401</v>
      </c>
      <c r="M1354" s="144"/>
      <c r="N1354" s="144"/>
      <c r="O1354" s="144"/>
    </row>
    <row r="1355">
      <c r="A1355" s="138" t="s">
        <v>3403</v>
      </c>
      <c r="B1355" s="155"/>
      <c r="C1355" s="31">
        <v>0.05</v>
      </c>
      <c r="D1355" s="139">
        <v>0.64</v>
      </c>
      <c r="E1355" s="139">
        <v>0.64</v>
      </c>
      <c r="F1355" s="52"/>
      <c r="G1355" s="10"/>
      <c r="H1355" s="10"/>
      <c r="I1355" s="10"/>
      <c r="J1355" s="10"/>
      <c r="K1355" s="10"/>
      <c r="L1355" s="143" t="s">
        <v>3402</v>
      </c>
      <c r="M1355" s="144"/>
      <c r="N1355" s="144"/>
      <c r="O1355" s="144"/>
    </row>
    <row r="1356">
      <c r="A1356" s="138" t="s">
        <v>3404</v>
      </c>
      <c r="B1356" s="155"/>
      <c r="C1356" s="31">
        <v>0.05</v>
      </c>
      <c r="D1356" s="139">
        <v>0.64</v>
      </c>
      <c r="E1356" s="139">
        <v>0.64</v>
      </c>
      <c r="F1356" s="52"/>
      <c r="G1356" s="10"/>
      <c r="H1356" s="10"/>
      <c r="I1356" s="10"/>
      <c r="J1356" s="10"/>
      <c r="K1356" s="10"/>
      <c r="L1356" s="143" t="s">
        <v>3403</v>
      </c>
      <c r="M1356" s="144"/>
      <c r="N1356" s="144"/>
      <c r="O1356" s="144"/>
    </row>
    <row r="1357">
      <c r="A1357" s="138" t="s">
        <v>3405</v>
      </c>
      <c r="B1357" s="155"/>
      <c r="C1357" s="31">
        <v>0.05</v>
      </c>
      <c r="D1357" s="139">
        <v>0.64</v>
      </c>
      <c r="E1357" s="139">
        <v>0.64</v>
      </c>
      <c r="F1357" s="52"/>
      <c r="G1357" s="10"/>
      <c r="H1357" s="10"/>
      <c r="I1357" s="10"/>
      <c r="J1357" s="10"/>
      <c r="K1357" s="10"/>
      <c r="L1357" s="143" t="s">
        <v>3404</v>
      </c>
      <c r="M1357" s="144"/>
      <c r="N1357" s="144"/>
      <c r="O1357" s="144"/>
    </row>
    <row r="1358">
      <c r="A1358" s="138" t="s">
        <v>3406</v>
      </c>
      <c r="B1358" s="155"/>
      <c r="C1358" s="31">
        <v>0.05</v>
      </c>
      <c r="D1358" s="139">
        <v>0.64</v>
      </c>
      <c r="E1358" s="139">
        <v>0.64</v>
      </c>
      <c r="F1358" s="52"/>
      <c r="G1358" s="10"/>
      <c r="H1358" s="10"/>
      <c r="I1358" s="10"/>
      <c r="J1358" s="10"/>
      <c r="K1358" s="10"/>
      <c r="L1358" s="143" t="s">
        <v>3405</v>
      </c>
      <c r="M1358" s="144"/>
      <c r="N1358" s="144"/>
      <c r="O1358" s="144"/>
    </row>
    <row r="1359">
      <c r="A1359" s="138" t="s">
        <v>3407</v>
      </c>
      <c r="B1359" s="155"/>
      <c r="C1359" s="31">
        <v>0.05</v>
      </c>
      <c r="D1359" s="139">
        <v>0.64</v>
      </c>
      <c r="E1359" s="139">
        <v>0.64</v>
      </c>
      <c r="F1359" s="52"/>
      <c r="G1359" s="10"/>
      <c r="H1359" s="10"/>
      <c r="I1359" s="10"/>
      <c r="J1359" s="10"/>
      <c r="K1359" s="10"/>
      <c r="L1359" s="143" t="s">
        <v>3406</v>
      </c>
      <c r="M1359" s="144"/>
      <c r="N1359" s="144"/>
      <c r="O1359" s="144"/>
    </row>
    <row r="1360">
      <c r="A1360" s="138" t="s">
        <v>3408</v>
      </c>
      <c r="B1360" s="155"/>
      <c r="C1360" s="31">
        <v>0.05</v>
      </c>
      <c r="D1360" s="139">
        <v>0.64</v>
      </c>
      <c r="E1360" s="139">
        <v>0.64</v>
      </c>
      <c r="F1360" s="52"/>
      <c r="G1360" s="10"/>
      <c r="H1360" s="10"/>
      <c r="I1360" s="10"/>
      <c r="J1360" s="10"/>
      <c r="K1360" s="10"/>
      <c r="L1360" s="143" t="s">
        <v>3407</v>
      </c>
      <c r="M1360" s="144"/>
      <c r="N1360" s="144"/>
      <c r="O1360" s="144"/>
    </row>
    <row r="1361">
      <c r="A1361" s="138" t="s">
        <v>3409</v>
      </c>
      <c r="B1361" s="155"/>
      <c r="C1361" s="31">
        <v>0.05</v>
      </c>
      <c r="D1361" s="139">
        <v>0.64</v>
      </c>
      <c r="E1361" s="139">
        <v>0.64</v>
      </c>
      <c r="F1361" s="52"/>
      <c r="G1361" s="10"/>
      <c r="H1361" s="10"/>
      <c r="I1361" s="10"/>
      <c r="J1361" s="10"/>
      <c r="K1361" s="10"/>
      <c r="L1361" s="143" t="s">
        <v>3408</v>
      </c>
      <c r="M1361" s="144"/>
      <c r="N1361" s="144"/>
      <c r="O1361" s="144"/>
    </row>
    <row r="1362">
      <c r="A1362" s="138" t="s">
        <v>3410</v>
      </c>
      <c r="B1362" s="155"/>
      <c r="C1362" s="31">
        <v>0.05</v>
      </c>
      <c r="D1362" s="139">
        <v>0.64</v>
      </c>
      <c r="E1362" s="139">
        <v>0.64</v>
      </c>
      <c r="F1362" s="52"/>
      <c r="G1362" s="10"/>
      <c r="H1362" s="10"/>
      <c r="I1362" s="10"/>
      <c r="J1362" s="10"/>
      <c r="K1362" s="10"/>
      <c r="L1362" s="143" t="s">
        <v>3409</v>
      </c>
      <c r="M1362" s="144"/>
      <c r="N1362" s="144"/>
      <c r="O1362" s="144"/>
    </row>
    <row r="1363">
      <c r="A1363" s="138" t="s">
        <v>3411</v>
      </c>
      <c r="B1363" s="155"/>
      <c r="C1363" s="31">
        <v>0.05</v>
      </c>
      <c r="D1363" s="139">
        <v>0.64</v>
      </c>
      <c r="E1363" s="139">
        <v>0.64</v>
      </c>
      <c r="F1363" s="52"/>
      <c r="G1363" s="10"/>
      <c r="H1363" s="10"/>
      <c r="I1363" s="10"/>
      <c r="J1363" s="10"/>
      <c r="K1363" s="10"/>
      <c r="L1363" s="143" t="s">
        <v>3410</v>
      </c>
      <c r="M1363" s="144"/>
      <c r="N1363" s="144"/>
      <c r="O1363" s="144"/>
    </row>
    <row r="1364">
      <c r="A1364" s="138" t="s">
        <v>3412</v>
      </c>
      <c r="B1364" s="155"/>
      <c r="C1364" s="31">
        <v>0.05</v>
      </c>
      <c r="D1364" s="139">
        <v>0.64</v>
      </c>
      <c r="E1364" s="139">
        <v>0.64</v>
      </c>
      <c r="F1364" s="52"/>
      <c r="G1364" s="10"/>
      <c r="H1364" s="10"/>
      <c r="I1364" s="10"/>
      <c r="J1364" s="10"/>
      <c r="K1364" s="10"/>
      <c r="L1364" s="143" t="s">
        <v>3411</v>
      </c>
      <c r="M1364" s="144"/>
      <c r="N1364" s="144"/>
      <c r="O1364" s="144"/>
    </row>
    <row r="1365">
      <c r="A1365" s="138" t="s">
        <v>3413</v>
      </c>
      <c r="B1365" s="155"/>
      <c r="C1365" s="31">
        <v>0.05</v>
      </c>
      <c r="D1365" s="139">
        <v>0.64</v>
      </c>
      <c r="E1365" s="139">
        <v>0.64</v>
      </c>
      <c r="F1365" s="52"/>
      <c r="G1365" s="10"/>
      <c r="H1365" s="10"/>
      <c r="I1365" s="10"/>
      <c r="J1365" s="10"/>
      <c r="K1365" s="10"/>
      <c r="L1365" s="143" t="s">
        <v>3412</v>
      </c>
      <c r="M1365" s="144"/>
      <c r="N1365" s="144"/>
      <c r="O1365" s="144"/>
    </row>
    <row r="1366">
      <c r="A1366" s="138" t="s">
        <v>3414</v>
      </c>
      <c r="B1366" s="155"/>
      <c r="C1366" s="31">
        <v>0.05</v>
      </c>
      <c r="D1366" s="139">
        <v>0.64</v>
      </c>
      <c r="E1366" s="139">
        <v>0.64</v>
      </c>
      <c r="F1366" s="52"/>
      <c r="G1366" s="10"/>
      <c r="H1366" s="10"/>
      <c r="I1366" s="10"/>
      <c r="J1366" s="10"/>
      <c r="K1366" s="10"/>
      <c r="L1366" s="143" t="s">
        <v>3413</v>
      </c>
      <c r="M1366" s="144"/>
      <c r="N1366" s="144"/>
      <c r="O1366" s="144"/>
    </row>
    <row r="1367">
      <c r="A1367" s="138" t="s">
        <v>3415</v>
      </c>
      <c r="B1367" s="155"/>
      <c r="C1367" s="31">
        <v>0.05</v>
      </c>
      <c r="D1367" s="139">
        <v>0.64</v>
      </c>
      <c r="E1367" s="139">
        <v>0.64</v>
      </c>
      <c r="F1367" s="52"/>
      <c r="G1367" s="10"/>
      <c r="H1367" s="10"/>
      <c r="I1367" s="10"/>
      <c r="J1367" s="10"/>
      <c r="K1367" s="10"/>
      <c r="L1367" s="143" t="s">
        <v>3414</v>
      </c>
      <c r="M1367" s="144"/>
      <c r="N1367" s="144"/>
      <c r="O1367" s="144"/>
    </row>
    <row r="1368">
      <c r="A1368" s="138" t="s">
        <v>3416</v>
      </c>
      <c r="B1368" s="155"/>
      <c r="C1368" s="31">
        <v>0.05</v>
      </c>
      <c r="D1368" s="139">
        <v>0.64</v>
      </c>
      <c r="E1368" s="139">
        <v>0.64</v>
      </c>
      <c r="F1368" s="52"/>
      <c r="G1368" s="10"/>
      <c r="H1368" s="10"/>
      <c r="I1368" s="10"/>
      <c r="J1368" s="10"/>
      <c r="K1368" s="10"/>
      <c r="L1368" s="143" t="s">
        <v>3415</v>
      </c>
      <c r="M1368" s="144"/>
      <c r="N1368" s="144"/>
      <c r="O1368" s="144"/>
    </row>
    <row r="1369">
      <c r="A1369" s="138" t="s">
        <v>3417</v>
      </c>
      <c r="B1369" s="155"/>
      <c r="C1369" s="31">
        <v>0.05</v>
      </c>
      <c r="D1369" s="139">
        <v>0.64</v>
      </c>
      <c r="E1369" s="139">
        <v>0.64</v>
      </c>
      <c r="F1369" s="52"/>
      <c r="G1369" s="10"/>
      <c r="H1369" s="10"/>
      <c r="I1369" s="10"/>
      <c r="J1369" s="10"/>
      <c r="K1369" s="10"/>
      <c r="L1369" s="143" t="s">
        <v>3416</v>
      </c>
      <c r="M1369" s="144"/>
      <c r="N1369" s="144"/>
      <c r="O1369" s="144"/>
    </row>
    <row r="1370">
      <c r="A1370" s="138" t="s">
        <v>3418</v>
      </c>
      <c r="B1370" s="155"/>
      <c r="C1370" s="31">
        <v>0.05</v>
      </c>
      <c r="D1370" s="139">
        <v>0.64</v>
      </c>
      <c r="E1370" s="139">
        <v>0.64</v>
      </c>
      <c r="F1370" s="52"/>
      <c r="G1370" s="10"/>
      <c r="H1370" s="10"/>
      <c r="I1370" s="10"/>
      <c r="J1370" s="10"/>
      <c r="K1370" s="10"/>
      <c r="L1370" s="143" t="s">
        <v>3417</v>
      </c>
      <c r="M1370" s="144"/>
      <c r="N1370" s="144"/>
      <c r="O1370" s="144"/>
    </row>
    <row r="1371">
      <c r="A1371" s="138" t="s">
        <v>3419</v>
      </c>
      <c r="B1371" s="155"/>
      <c r="C1371" s="31">
        <v>0.05</v>
      </c>
      <c r="D1371" s="139">
        <v>0.64</v>
      </c>
      <c r="E1371" s="139">
        <v>0.64</v>
      </c>
      <c r="F1371" s="52"/>
      <c r="G1371" s="10"/>
      <c r="H1371" s="10"/>
      <c r="I1371" s="10"/>
      <c r="J1371" s="10"/>
      <c r="K1371" s="10"/>
      <c r="L1371" s="143" t="s">
        <v>3418</v>
      </c>
      <c r="M1371" s="144"/>
      <c r="N1371" s="144"/>
      <c r="O1371" s="144"/>
    </row>
    <row r="1372">
      <c r="A1372" s="138" t="s">
        <v>1178</v>
      </c>
      <c r="B1372" s="155"/>
      <c r="C1372" s="31">
        <v>0.05</v>
      </c>
      <c r="D1372" s="139">
        <v>0.64</v>
      </c>
      <c r="E1372" s="139">
        <v>0.64</v>
      </c>
      <c r="F1372" s="52"/>
      <c r="G1372" s="10"/>
      <c r="H1372" s="10"/>
      <c r="I1372" s="10"/>
      <c r="J1372" s="10"/>
      <c r="K1372" s="10"/>
      <c r="L1372" s="143" t="s">
        <v>3419</v>
      </c>
      <c r="M1372" s="144"/>
      <c r="N1372" s="144"/>
      <c r="O1372" s="144"/>
    </row>
    <row r="1373">
      <c r="A1373" s="138" t="s">
        <v>1365</v>
      </c>
      <c r="B1373" s="155"/>
      <c r="C1373" s="31">
        <v>0.05</v>
      </c>
      <c r="D1373" s="139">
        <v>0.64</v>
      </c>
      <c r="E1373" s="139">
        <v>0.64</v>
      </c>
      <c r="F1373" s="52"/>
      <c r="G1373" s="10"/>
      <c r="H1373" s="10"/>
      <c r="I1373" s="10"/>
      <c r="J1373" s="10"/>
      <c r="K1373" s="10"/>
      <c r="L1373" s="143" t="s">
        <v>1178</v>
      </c>
      <c r="M1373" s="144"/>
      <c r="N1373" s="144"/>
      <c r="O1373" s="144"/>
    </row>
    <row r="1374">
      <c r="A1374" s="138" t="s">
        <v>3420</v>
      </c>
      <c r="B1374" s="155"/>
      <c r="C1374" s="31">
        <v>0.05</v>
      </c>
      <c r="D1374" s="139">
        <v>0.64</v>
      </c>
      <c r="E1374" s="139">
        <v>0.64</v>
      </c>
      <c r="F1374" s="52"/>
      <c r="G1374" s="10"/>
      <c r="H1374" s="10"/>
      <c r="I1374" s="10"/>
      <c r="J1374" s="10"/>
      <c r="K1374" s="10"/>
      <c r="L1374" s="143" t="s">
        <v>1365</v>
      </c>
      <c r="M1374" s="144"/>
      <c r="N1374" s="144"/>
      <c r="O1374" s="144"/>
    </row>
    <row r="1375">
      <c r="A1375" s="138" t="s">
        <v>3421</v>
      </c>
      <c r="B1375" s="155"/>
      <c r="C1375" s="31">
        <v>0.05</v>
      </c>
      <c r="D1375" s="139">
        <v>0.64</v>
      </c>
      <c r="E1375" s="139">
        <v>0.64</v>
      </c>
      <c r="F1375" s="52"/>
      <c r="G1375" s="10"/>
      <c r="H1375" s="10"/>
      <c r="I1375" s="10"/>
      <c r="J1375" s="10"/>
      <c r="K1375" s="10"/>
      <c r="L1375" s="143" t="s">
        <v>3420</v>
      </c>
      <c r="M1375" s="144"/>
      <c r="N1375" s="144"/>
      <c r="O1375" s="144"/>
    </row>
    <row r="1376">
      <c r="A1376" s="138" t="s">
        <v>3422</v>
      </c>
      <c r="B1376" s="155"/>
      <c r="C1376" s="31">
        <v>0.05</v>
      </c>
      <c r="D1376" s="139">
        <v>0.64</v>
      </c>
      <c r="E1376" s="139">
        <v>0.64</v>
      </c>
      <c r="F1376" s="52"/>
      <c r="G1376" s="10"/>
      <c r="H1376" s="10"/>
      <c r="I1376" s="10"/>
      <c r="J1376" s="10"/>
      <c r="K1376" s="10"/>
      <c r="L1376" s="143" t="s">
        <v>3421</v>
      </c>
      <c r="M1376" s="144"/>
      <c r="N1376" s="144"/>
      <c r="O1376" s="144"/>
    </row>
    <row r="1377">
      <c r="A1377" s="138" t="s">
        <v>3423</v>
      </c>
      <c r="B1377" s="155"/>
      <c r="C1377" s="31">
        <v>0.05</v>
      </c>
      <c r="D1377" s="139">
        <v>0.64</v>
      </c>
      <c r="E1377" s="139">
        <v>0.64</v>
      </c>
      <c r="F1377" s="52"/>
      <c r="G1377" s="10"/>
      <c r="H1377" s="10"/>
      <c r="I1377" s="10"/>
      <c r="J1377" s="10"/>
      <c r="K1377" s="10"/>
      <c r="L1377" s="143" t="s">
        <v>3422</v>
      </c>
      <c r="M1377" s="144"/>
      <c r="N1377" s="144"/>
      <c r="O1377" s="144"/>
    </row>
    <row r="1378">
      <c r="A1378" s="138" t="s">
        <v>3424</v>
      </c>
      <c r="B1378" s="155"/>
      <c r="C1378" s="31">
        <v>0.05</v>
      </c>
      <c r="D1378" s="139">
        <v>0.64</v>
      </c>
      <c r="E1378" s="139">
        <v>0.64</v>
      </c>
      <c r="F1378" s="52"/>
      <c r="G1378" s="10"/>
      <c r="H1378" s="10"/>
      <c r="I1378" s="10"/>
      <c r="J1378" s="10"/>
      <c r="K1378" s="10"/>
      <c r="L1378" s="143" t="s">
        <v>3423</v>
      </c>
      <c r="M1378" s="144"/>
      <c r="N1378" s="144"/>
      <c r="O1378" s="144"/>
    </row>
    <row r="1379">
      <c r="A1379" s="138" t="s">
        <v>3425</v>
      </c>
      <c r="B1379" s="155"/>
      <c r="C1379" s="31">
        <v>0.05</v>
      </c>
      <c r="D1379" s="139">
        <v>0.64</v>
      </c>
      <c r="E1379" s="139">
        <v>0.64</v>
      </c>
      <c r="F1379" s="52"/>
      <c r="G1379" s="10"/>
      <c r="H1379" s="10"/>
      <c r="I1379" s="10"/>
      <c r="J1379" s="10"/>
      <c r="K1379" s="10"/>
      <c r="L1379" s="143" t="s">
        <v>3424</v>
      </c>
      <c r="M1379" s="144"/>
      <c r="N1379" s="144"/>
      <c r="O1379" s="144"/>
    </row>
    <row r="1380">
      <c r="A1380" s="138" t="s">
        <v>3426</v>
      </c>
      <c r="B1380" s="155"/>
      <c r="C1380" s="31">
        <v>0.05</v>
      </c>
      <c r="D1380" s="139">
        <v>0.64</v>
      </c>
      <c r="E1380" s="139">
        <v>0.64</v>
      </c>
      <c r="F1380" s="52"/>
      <c r="G1380" s="10"/>
      <c r="H1380" s="10"/>
      <c r="I1380" s="10"/>
      <c r="J1380" s="10"/>
      <c r="K1380" s="10"/>
      <c r="L1380" s="143" t="s">
        <v>3425</v>
      </c>
      <c r="M1380" s="144"/>
      <c r="N1380" s="144"/>
      <c r="O1380" s="144"/>
    </row>
    <row r="1381">
      <c r="A1381" s="138" t="s">
        <v>3427</v>
      </c>
      <c r="B1381" s="155"/>
      <c r="C1381" s="31">
        <v>0.05</v>
      </c>
      <c r="D1381" s="139">
        <v>0.64</v>
      </c>
      <c r="E1381" s="139">
        <v>0.64</v>
      </c>
      <c r="F1381" s="52"/>
      <c r="G1381" s="10"/>
      <c r="H1381" s="10"/>
      <c r="I1381" s="10"/>
      <c r="J1381" s="10"/>
      <c r="K1381" s="10"/>
      <c r="L1381" s="143" t="s">
        <v>3426</v>
      </c>
      <c r="M1381" s="144"/>
      <c r="N1381" s="144"/>
      <c r="O1381" s="144"/>
    </row>
    <row r="1382">
      <c r="A1382" s="138" t="s">
        <v>3428</v>
      </c>
      <c r="B1382" s="155"/>
      <c r="C1382" s="31">
        <v>0.05</v>
      </c>
      <c r="D1382" s="139">
        <v>0.64</v>
      </c>
      <c r="E1382" s="139">
        <v>0.64</v>
      </c>
      <c r="F1382" s="52"/>
      <c r="G1382" s="10"/>
      <c r="H1382" s="10"/>
      <c r="I1382" s="10"/>
      <c r="J1382" s="10"/>
      <c r="K1382" s="10"/>
      <c r="L1382" s="143" t="s">
        <v>3427</v>
      </c>
      <c r="M1382" s="144"/>
      <c r="N1382" s="144"/>
      <c r="O1382" s="144"/>
    </row>
    <row r="1383">
      <c r="A1383" s="138" t="s">
        <v>3429</v>
      </c>
      <c r="B1383" s="155"/>
      <c r="C1383" s="31">
        <v>0.05</v>
      </c>
      <c r="D1383" s="139">
        <v>0.64</v>
      </c>
      <c r="E1383" s="139">
        <v>0.64</v>
      </c>
      <c r="F1383" s="52"/>
      <c r="G1383" s="10"/>
      <c r="H1383" s="10"/>
      <c r="I1383" s="10"/>
      <c r="J1383" s="10"/>
      <c r="K1383" s="10"/>
      <c r="L1383" s="143" t="s">
        <v>3428</v>
      </c>
      <c r="M1383" s="144"/>
      <c r="N1383" s="144"/>
      <c r="O1383" s="144"/>
    </row>
    <row r="1384">
      <c r="A1384" s="138" t="s">
        <v>3430</v>
      </c>
      <c r="B1384" s="155"/>
      <c r="C1384" s="31">
        <v>0.05</v>
      </c>
      <c r="D1384" s="139">
        <v>0.64</v>
      </c>
      <c r="E1384" s="139">
        <v>0.64</v>
      </c>
      <c r="F1384" s="52"/>
      <c r="G1384" s="10"/>
      <c r="H1384" s="10"/>
      <c r="I1384" s="10"/>
      <c r="J1384" s="10"/>
      <c r="K1384" s="10"/>
      <c r="L1384" s="143" t="s">
        <v>3429</v>
      </c>
      <c r="M1384" s="144"/>
      <c r="N1384" s="144"/>
      <c r="O1384" s="144"/>
    </row>
    <row r="1385">
      <c r="A1385" s="138" t="s">
        <v>3431</v>
      </c>
      <c r="B1385" s="155"/>
      <c r="C1385" s="31">
        <v>0.05</v>
      </c>
      <c r="D1385" s="139">
        <v>0.64</v>
      </c>
      <c r="E1385" s="139">
        <v>0.64</v>
      </c>
      <c r="F1385" s="52"/>
      <c r="G1385" s="10"/>
      <c r="H1385" s="10"/>
      <c r="I1385" s="10"/>
      <c r="J1385" s="10"/>
      <c r="K1385" s="10"/>
      <c r="L1385" s="143" t="s">
        <v>3430</v>
      </c>
      <c r="M1385" s="144"/>
      <c r="N1385" s="144"/>
      <c r="O1385" s="144"/>
    </row>
    <row r="1386">
      <c r="A1386" s="138" t="s">
        <v>3432</v>
      </c>
      <c r="B1386" s="155"/>
      <c r="C1386" s="31">
        <v>0.05</v>
      </c>
      <c r="D1386" s="139">
        <v>0.64</v>
      </c>
      <c r="E1386" s="139">
        <v>0.64</v>
      </c>
      <c r="F1386" s="52"/>
      <c r="G1386" s="10"/>
      <c r="H1386" s="10"/>
      <c r="I1386" s="10"/>
      <c r="J1386" s="10"/>
      <c r="K1386" s="10"/>
      <c r="L1386" s="143" t="s">
        <v>3431</v>
      </c>
      <c r="M1386" s="144"/>
      <c r="N1386" s="144"/>
      <c r="O1386" s="144"/>
    </row>
    <row r="1387">
      <c r="A1387" s="138" t="s">
        <v>3433</v>
      </c>
      <c r="B1387" s="155"/>
      <c r="C1387" s="31">
        <v>0.05</v>
      </c>
      <c r="D1387" s="139">
        <v>0.64</v>
      </c>
      <c r="E1387" s="139">
        <v>0.64</v>
      </c>
      <c r="F1387" s="52"/>
      <c r="G1387" s="10"/>
      <c r="H1387" s="10"/>
      <c r="I1387" s="10"/>
      <c r="J1387" s="10"/>
      <c r="K1387" s="10"/>
      <c r="L1387" s="143" t="s">
        <v>3432</v>
      </c>
      <c r="M1387" s="144"/>
      <c r="N1387" s="144"/>
      <c r="O1387" s="144"/>
    </row>
    <row r="1388">
      <c r="A1388" s="138" t="s">
        <v>3434</v>
      </c>
      <c r="B1388" s="155"/>
      <c r="C1388" s="31">
        <v>0.05</v>
      </c>
      <c r="D1388" s="139">
        <v>0.64</v>
      </c>
      <c r="E1388" s="139">
        <v>0.64</v>
      </c>
      <c r="F1388" s="52"/>
      <c r="G1388" s="10"/>
      <c r="H1388" s="10"/>
      <c r="I1388" s="10"/>
      <c r="J1388" s="10"/>
      <c r="K1388" s="10"/>
      <c r="L1388" s="143" t="s">
        <v>3433</v>
      </c>
      <c r="M1388" s="144"/>
      <c r="N1388" s="144"/>
      <c r="O1388" s="144"/>
    </row>
    <row r="1389">
      <c r="A1389" s="138" t="s">
        <v>3435</v>
      </c>
      <c r="B1389" s="155"/>
      <c r="C1389" s="31">
        <v>0.05</v>
      </c>
      <c r="D1389" s="139">
        <v>0.64</v>
      </c>
      <c r="E1389" s="139">
        <v>0.64</v>
      </c>
      <c r="F1389" s="52"/>
      <c r="G1389" s="10"/>
      <c r="H1389" s="10"/>
      <c r="I1389" s="10"/>
      <c r="J1389" s="10"/>
      <c r="K1389" s="10"/>
      <c r="L1389" s="143" t="s">
        <v>3434</v>
      </c>
      <c r="M1389" s="144"/>
      <c r="N1389" s="144"/>
      <c r="O1389" s="144"/>
    </row>
    <row r="1390">
      <c r="A1390" s="138" t="s">
        <v>3436</v>
      </c>
      <c r="B1390" s="155"/>
      <c r="C1390" s="31">
        <v>0.05</v>
      </c>
      <c r="D1390" s="139">
        <v>0.64</v>
      </c>
      <c r="E1390" s="139">
        <v>0.64</v>
      </c>
      <c r="F1390" s="52"/>
      <c r="G1390" s="10"/>
      <c r="H1390" s="10"/>
      <c r="I1390" s="10"/>
      <c r="J1390" s="10"/>
      <c r="K1390" s="10"/>
      <c r="L1390" s="143" t="s">
        <v>3435</v>
      </c>
      <c r="M1390" s="144"/>
      <c r="N1390" s="144"/>
      <c r="O1390" s="144"/>
    </row>
    <row r="1391">
      <c r="A1391" s="138" t="s">
        <v>3437</v>
      </c>
      <c r="B1391" s="155"/>
      <c r="C1391" s="31">
        <v>0.05</v>
      </c>
      <c r="D1391" s="139">
        <v>0.64</v>
      </c>
      <c r="E1391" s="139">
        <v>0.64</v>
      </c>
      <c r="F1391" s="52"/>
      <c r="G1391" s="10"/>
      <c r="H1391" s="10"/>
      <c r="I1391" s="10"/>
      <c r="J1391" s="10"/>
      <c r="K1391" s="10"/>
      <c r="L1391" s="143" t="s">
        <v>3436</v>
      </c>
      <c r="M1391" s="144"/>
      <c r="N1391" s="144"/>
      <c r="O1391" s="144"/>
    </row>
    <row r="1392">
      <c r="A1392" s="138" t="s">
        <v>3438</v>
      </c>
      <c r="B1392" s="134">
        <v>7083.0</v>
      </c>
      <c r="C1392" s="31">
        <v>0.05</v>
      </c>
      <c r="D1392" s="148">
        <v>0.78</v>
      </c>
      <c r="E1392" s="83">
        <v>0.78</v>
      </c>
      <c r="F1392" s="52"/>
      <c r="G1392" s="10"/>
      <c r="H1392" s="10"/>
      <c r="I1392" s="10"/>
      <c r="J1392" s="10"/>
      <c r="K1392" s="10"/>
      <c r="L1392" s="143" t="s">
        <v>3437</v>
      </c>
      <c r="M1392" s="144"/>
      <c r="N1392" s="144"/>
      <c r="O1392" s="144"/>
    </row>
    <row r="1393">
      <c r="A1393" s="138" t="s">
        <v>3439</v>
      </c>
      <c r="B1393" s="155"/>
      <c r="C1393" s="31">
        <v>0.05</v>
      </c>
      <c r="D1393" s="139">
        <v>0.64</v>
      </c>
      <c r="E1393" s="139">
        <v>0.64</v>
      </c>
      <c r="F1393" s="52"/>
      <c r="G1393" s="10"/>
      <c r="H1393" s="10"/>
      <c r="I1393" s="10"/>
      <c r="J1393" s="10"/>
      <c r="K1393" s="10"/>
      <c r="L1393" s="143" t="s">
        <v>3438</v>
      </c>
      <c r="M1393" s="144">
        <v>7083.0</v>
      </c>
      <c r="N1393" s="144"/>
      <c r="O1393" s="144"/>
    </row>
    <row r="1394">
      <c r="A1394" s="138" t="s">
        <v>3440</v>
      </c>
      <c r="B1394" s="155"/>
      <c r="C1394" s="31">
        <v>0.05</v>
      </c>
      <c r="D1394" s="139">
        <v>0.64</v>
      </c>
      <c r="E1394" s="139">
        <v>0.64</v>
      </c>
      <c r="F1394" s="52"/>
      <c r="G1394" s="10"/>
      <c r="H1394" s="10"/>
      <c r="I1394" s="10"/>
      <c r="J1394" s="10"/>
      <c r="K1394" s="10"/>
      <c r="L1394" s="143" t="s">
        <v>3439</v>
      </c>
      <c r="M1394" s="144"/>
      <c r="N1394" s="144"/>
      <c r="O1394" s="144"/>
    </row>
    <row r="1395">
      <c r="A1395" s="138" t="s">
        <v>3441</v>
      </c>
      <c r="B1395" s="155"/>
      <c r="C1395" s="31">
        <v>0.05</v>
      </c>
      <c r="D1395" s="139">
        <v>0.64</v>
      </c>
      <c r="E1395" s="139">
        <v>0.64</v>
      </c>
      <c r="F1395" s="52"/>
      <c r="G1395" s="10"/>
      <c r="H1395" s="10"/>
      <c r="I1395" s="10"/>
      <c r="J1395" s="10"/>
      <c r="K1395" s="10"/>
      <c r="L1395" s="143" t="s">
        <v>3440</v>
      </c>
      <c r="M1395" s="144"/>
      <c r="N1395" s="144"/>
      <c r="O1395" s="144"/>
    </row>
    <row r="1396">
      <c r="A1396" s="138" t="s">
        <v>3442</v>
      </c>
      <c r="B1396" s="155"/>
      <c r="C1396" s="31">
        <v>0.05</v>
      </c>
      <c r="D1396" s="139">
        <v>0.64</v>
      </c>
      <c r="E1396" s="139">
        <v>0.64</v>
      </c>
      <c r="F1396" s="52"/>
      <c r="G1396" s="10"/>
      <c r="H1396" s="10"/>
      <c r="I1396" s="10"/>
      <c r="J1396" s="10"/>
      <c r="K1396" s="10"/>
      <c r="L1396" s="143" t="s">
        <v>3441</v>
      </c>
      <c r="M1396" s="144"/>
      <c r="N1396" s="144"/>
      <c r="O1396" s="144"/>
    </row>
    <row r="1397">
      <c r="A1397" s="138" t="s">
        <v>3443</v>
      </c>
      <c r="B1397" s="155"/>
      <c r="C1397" s="31">
        <v>0.05</v>
      </c>
      <c r="D1397" s="139">
        <v>0.64</v>
      </c>
      <c r="E1397" s="139">
        <v>0.64</v>
      </c>
      <c r="F1397" s="52"/>
      <c r="G1397" s="10"/>
      <c r="H1397" s="10"/>
      <c r="I1397" s="10"/>
      <c r="J1397" s="10"/>
      <c r="K1397" s="10"/>
      <c r="L1397" s="143" t="s">
        <v>3442</v>
      </c>
      <c r="M1397" s="144"/>
      <c r="N1397" s="144"/>
      <c r="O1397" s="144"/>
    </row>
    <row r="1398">
      <c r="A1398" s="138" t="s">
        <v>3444</v>
      </c>
      <c r="B1398" s="155"/>
      <c r="C1398" s="31">
        <v>0.05</v>
      </c>
      <c r="D1398" s="139">
        <v>0.64</v>
      </c>
      <c r="E1398" s="139">
        <v>0.64</v>
      </c>
      <c r="F1398" s="52"/>
      <c r="G1398" s="10"/>
      <c r="H1398" s="10"/>
      <c r="I1398" s="10"/>
      <c r="J1398" s="10"/>
      <c r="K1398" s="10"/>
      <c r="L1398" s="143" t="s">
        <v>3443</v>
      </c>
      <c r="M1398" s="144"/>
      <c r="N1398" s="144"/>
      <c r="O1398" s="144"/>
    </row>
    <row r="1399">
      <c r="A1399" s="138" t="s">
        <v>3445</v>
      </c>
      <c r="B1399" s="155"/>
      <c r="C1399" s="31">
        <v>0.05</v>
      </c>
      <c r="D1399" s="139">
        <v>0.64</v>
      </c>
      <c r="E1399" s="139">
        <v>0.64</v>
      </c>
      <c r="F1399" s="52"/>
      <c r="G1399" s="10"/>
      <c r="H1399" s="10"/>
      <c r="I1399" s="10"/>
      <c r="J1399" s="10"/>
      <c r="K1399" s="10"/>
      <c r="L1399" s="143" t="s">
        <v>3444</v>
      </c>
      <c r="M1399" s="144"/>
      <c r="N1399" s="144"/>
      <c r="O1399" s="144"/>
    </row>
    <row r="1400">
      <c r="A1400" s="138" t="s">
        <v>3446</v>
      </c>
      <c r="B1400" s="155"/>
      <c r="C1400" s="31">
        <v>0.05</v>
      </c>
      <c r="D1400" s="139">
        <v>0.64</v>
      </c>
      <c r="E1400" s="139">
        <v>0.64</v>
      </c>
      <c r="F1400" s="52"/>
      <c r="G1400" s="10"/>
      <c r="H1400" s="10"/>
      <c r="I1400" s="10"/>
      <c r="J1400" s="10"/>
      <c r="K1400" s="10"/>
      <c r="L1400" s="143" t="s">
        <v>3445</v>
      </c>
      <c r="M1400" s="144"/>
      <c r="N1400" s="144"/>
      <c r="O1400" s="144"/>
    </row>
    <row r="1401">
      <c r="A1401" s="138" t="s">
        <v>3447</v>
      </c>
      <c r="B1401" s="155"/>
      <c r="C1401" s="31">
        <v>0.05</v>
      </c>
      <c r="D1401" s="139">
        <v>0.64</v>
      </c>
      <c r="E1401" s="139">
        <v>0.64</v>
      </c>
      <c r="F1401" s="52"/>
      <c r="G1401" s="10"/>
      <c r="H1401" s="10"/>
      <c r="I1401" s="10"/>
      <c r="J1401" s="10"/>
      <c r="K1401" s="10"/>
      <c r="L1401" s="143" t="s">
        <v>3446</v>
      </c>
      <c r="M1401" s="144"/>
      <c r="N1401" s="144"/>
      <c r="O1401" s="144"/>
    </row>
    <row r="1402">
      <c r="A1402" s="138" t="s">
        <v>3448</v>
      </c>
      <c r="B1402" s="155"/>
      <c r="C1402" s="31">
        <v>0.05</v>
      </c>
      <c r="D1402" s="139">
        <v>0.64</v>
      </c>
      <c r="E1402" s="139">
        <v>0.64</v>
      </c>
      <c r="F1402" s="52"/>
      <c r="G1402" s="10"/>
      <c r="H1402" s="10"/>
      <c r="I1402" s="10"/>
      <c r="J1402" s="10"/>
      <c r="K1402" s="10"/>
      <c r="L1402" s="143" t="s">
        <v>3447</v>
      </c>
      <c r="M1402" s="144"/>
      <c r="N1402" s="144"/>
      <c r="O1402" s="144"/>
    </row>
    <row r="1403">
      <c r="A1403" s="138" t="s">
        <v>3449</v>
      </c>
      <c r="B1403" s="134">
        <v>7083.0</v>
      </c>
      <c r="C1403" s="31">
        <v>0.05</v>
      </c>
      <c r="D1403" s="148">
        <v>0.78</v>
      </c>
      <c r="E1403" s="83">
        <v>0.78</v>
      </c>
      <c r="F1403" s="52"/>
      <c r="G1403" s="10"/>
      <c r="H1403" s="10"/>
      <c r="I1403" s="10"/>
      <c r="J1403" s="10"/>
      <c r="K1403" s="10"/>
      <c r="L1403" s="143" t="s">
        <v>3448</v>
      </c>
      <c r="M1403" s="144"/>
      <c r="N1403" s="144"/>
      <c r="O1403" s="144"/>
    </row>
    <row r="1404">
      <c r="A1404" s="138" t="s">
        <v>3450</v>
      </c>
      <c r="B1404" s="134">
        <v>2345.0</v>
      </c>
      <c r="C1404" s="31">
        <v>0.05</v>
      </c>
      <c r="D1404" s="147">
        <v>0.9</v>
      </c>
      <c r="E1404" s="147">
        <v>0.9</v>
      </c>
      <c r="F1404" s="52"/>
      <c r="G1404" s="10"/>
      <c r="H1404" s="10"/>
      <c r="I1404" s="10"/>
      <c r="J1404" s="10"/>
      <c r="K1404" s="10"/>
      <c r="L1404" s="143" t="s">
        <v>3449</v>
      </c>
      <c r="M1404" s="144">
        <v>7083.0</v>
      </c>
      <c r="N1404" s="144"/>
      <c r="O1404" s="144"/>
    </row>
    <row r="1405">
      <c r="A1405" s="138" t="s">
        <v>3451</v>
      </c>
      <c r="B1405" s="134">
        <v>2345.0</v>
      </c>
      <c r="C1405" s="31">
        <v>0.05</v>
      </c>
      <c r="D1405" s="147">
        <v>0.9</v>
      </c>
      <c r="E1405" s="147">
        <v>0.9</v>
      </c>
      <c r="F1405" s="52"/>
      <c r="G1405" s="10"/>
      <c r="H1405" s="10"/>
      <c r="I1405" s="10"/>
      <c r="J1405" s="10"/>
      <c r="K1405" s="10"/>
      <c r="L1405" s="145" t="s">
        <v>3450</v>
      </c>
      <c r="M1405" s="5">
        <v>2345.0</v>
      </c>
      <c r="N1405" s="5"/>
      <c r="O1405" s="5"/>
    </row>
    <row r="1406">
      <c r="A1406" s="138" t="s">
        <v>3452</v>
      </c>
      <c r="B1406" s="134">
        <v>2345.0</v>
      </c>
      <c r="C1406" s="31">
        <v>0.05</v>
      </c>
      <c r="D1406" s="147">
        <v>0.9</v>
      </c>
      <c r="E1406" s="147">
        <v>0.9</v>
      </c>
      <c r="F1406" s="52"/>
      <c r="G1406" s="10"/>
      <c r="H1406" s="10"/>
      <c r="I1406" s="10"/>
      <c r="J1406" s="10"/>
      <c r="K1406" s="10"/>
      <c r="L1406" s="143" t="s">
        <v>3451</v>
      </c>
      <c r="M1406" s="144">
        <v>2345.0</v>
      </c>
      <c r="N1406" s="144"/>
      <c r="O1406" s="144"/>
    </row>
    <row r="1407">
      <c r="A1407" s="138" t="s">
        <v>3453</v>
      </c>
      <c r="B1407" s="134">
        <v>2345.0</v>
      </c>
      <c r="C1407" s="31">
        <v>0.05</v>
      </c>
      <c r="D1407" s="147">
        <v>0.9</v>
      </c>
      <c r="E1407" s="147">
        <v>0.9</v>
      </c>
      <c r="F1407" s="52"/>
      <c r="G1407" s="10"/>
      <c r="H1407" s="10"/>
      <c r="I1407" s="10"/>
      <c r="J1407" s="10"/>
      <c r="K1407" s="10"/>
      <c r="L1407" s="143" t="s">
        <v>3452</v>
      </c>
      <c r="M1407" s="144">
        <v>2345.0</v>
      </c>
      <c r="N1407" s="144"/>
      <c r="O1407" s="144"/>
    </row>
    <row r="1408">
      <c r="A1408" s="138" t="s">
        <v>3454</v>
      </c>
      <c r="B1408" s="134">
        <v>2345.0</v>
      </c>
      <c r="C1408" s="31">
        <v>0.05</v>
      </c>
      <c r="D1408" s="147">
        <v>0.9</v>
      </c>
      <c r="E1408" s="147">
        <v>0.9</v>
      </c>
      <c r="F1408" s="52"/>
      <c r="G1408" s="10"/>
      <c r="H1408" s="10"/>
      <c r="I1408" s="10"/>
      <c r="J1408" s="10"/>
      <c r="K1408" s="10"/>
      <c r="L1408" s="145" t="s">
        <v>3453</v>
      </c>
      <c r="M1408" s="5">
        <v>2345.0</v>
      </c>
      <c r="N1408" s="5"/>
      <c r="O1408" s="5"/>
    </row>
    <row r="1409">
      <c r="A1409" s="138" t="s">
        <v>3455</v>
      </c>
      <c r="B1409" s="134">
        <v>2345.0</v>
      </c>
      <c r="C1409" s="31">
        <v>0.05</v>
      </c>
      <c r="D1409" s="147">
        <v>0.9</v>
      </c>
      <c r="E1409" s="147">
        <v>0.9</v>
      </c>
      <c r="F1409" s="52"/>
      <c r="G1409" s="10"/>
      <c r="H1409" s="10"/>
      <c r="I1409" s="10"/>
      <c r="J1409" s="10"/>
      <c r="K1409" s="10"/>
      <c r="L1409" s="145" t="s">
        <v>3454</v>
      </c>
      <c r="M1409" s="5">
        <v>2345.0</v>
      </c>
      <c r="N1409" s="5"/>
      <c r="O1409" s="5"/>
    </row>
    <row r="1410">
      <c r="A1410" s="138" t="s">
        <v>3456</v>
      </c>
      <c r="B1410" s="134">
        <v>2345.0</v>
      </c>
      <c r="C1410" s="31">
        <v>0.05</v>
      </c>
      <c r="D1410" s="147">
        <v>0.9</v>
      </c>
      <c r="E1410" s="147">
        <v>0.9</v>
      </c>
      <c r="F1410" s="52"/>
      <c r="G1410" s="10"/>
      <c r="H1410" s="10"/>
      <c r="I1410" s="10"/>
      <c r="J1410" s="10"/>
      <c r="K1410" s="10"/>
      <c r="L1410" s="143" t="s">
        <v>3455</v>
      </c>
      <c r="M1410" s="144">
        <v>2345.0</v>
      </c>
      <c r="N1410" s="144"/>
      <c r="O1410" s="144"/>
    </row>
    <row r="1411">
      <c r="A1411" s="138" t="s">
        <v>3457</v>
      </c>
      <c r="B1411" s="134">
        <v>2345.0</v>
      </c>
      <c r="C1411" s="31">
        <v>0.05</v>
      </c>
      <c r="D1411" s="147">
        <v>0.9</v>
      </c>
      <c r="E1411" s="147">
        <v>0.9</v>
      </c>
      <c r="F1411" s="52"/>
      <c r="G1411" s="10"/>
      <c r="H1411" s="10"/>
      <c r="I1411" s="10"/>
      <c r="J1411" s="10"/>
      <c r="K1411" s="10"/>
      <c r="L1411" s="143" t="s">
        <v>3456</v>
      </c>
      <c r="M1411" s="144">
        <v>2345.0</v>
      </c>
      <c r="N1411" s="144"/>
      <c r="O1411" s="144"/>
    </row>
    <row r="1412">
      <c r="A1412" s="138" t="s">
        <v>3458</v>
      </c>
      <c r="B1412" s="134">
        <v>2345.0</v>
      </c>
      <c r="C1412" s="31">
        <v>0.05</v>
      </c>
      <c r="D1412" s="147">
        <v>0.9</v>
      </c>
      <c r="E1412" s="147">
        <v>0.9</v>
      </c>
      <c r="F1412" s="52"/>
      <c r="G1412" s="10"/>
      <c r="H1412" s="10"/>
      <c r="I1412" s="10"/>
      <c r="J1412" s="10"/>
      <c r="K1412" s="10"/>
      <c r="L1412" s="145" t="s">
        <v>3457</v>
      </c>
      <c r="M1412" s="5">
        <v>2345.0</v>
      </c>
      <c r="N1412" s="5"/>
      <c r="O1412" s="5"/>
    </row>
    <row r="1413">
      <c r="A1413" s="138" t="s">
        <v>3459</v>
      </c>
      <c r="B1413" s="134">
        <v>2345.0</v>
      </c>
      <c r="C1413" s="31">
        <v>0.05</v>
      </c>
      <c r="D1413" s="147">
        <v>0.9</v>
      </c>
      <c r="E1413" s="147">
        <v>0.9</v>
      </c>
      <c r="F1413" s="52"/>
      <c r="G1413" s="10"/>
      <c r="H1413" s="10"/>
      <c r="I1413" s="10"/>
      <c r="J1413" s="10"/>
      <c r="K1413" s="10"/>
      <c r="L1413" s="145" t="s">
        <v>3458</v>
      </c>
      <c r="M1413" s="5">
        <v>2345.0</v>
      </c>
      <c r="N1413" s="5"/>
      <c r="O1413" s="5"/>
    </row>
    <row r="1414">
      <c r="A1414" s="138" t="s">
        <v>3460</v>
      </c>
      <c r="B1414" s="155"/>
      <c r="C1414" s="31">
        <v>0.05</v>
      </c>
      <c r="D1414" s="139">
        <v>0.64</v>
      </c>
      <c r="E1414" s="139">
        <v>0.64</v>
      </c>
      <c r="F1414" s="52"/>
      <c r="G1414" s="10"/>
      <c r="H1414" s="10"/>
      <c r="I1414" s="10"/>
      <c r="J1414" s="10"/>
      <c r="K1414" s="10"/>
      <c r="L1414" s="145" t="s">
        <v>3459</v>
      </c>
      <c r="M1414" s="5">
        <v>2345.0</v>
      </c>
      <c r="N1414" s="5"/>
      <c r="O1414" s="5"/>
    </row>
    <row r="1415">
      <c r="A1415" s="138" t="s">
        <v>3461</v>
      </c>
      <c r="B1415" s="155"/>
      <c r="C1415" s="31">
        <v>0.05</v>
      </c>
      <c r="D1415" s="139">
        <v>0.64</v>
      </c>
      <c r="E1415" s="139">
        <v>0.64</v>
      </c>
      <c r="F1415" s="52"/>
      <c r="G1415" s="10"/>
      <c r="H1415" s="10"/>
      <c r="I1415" s="10"/>
      <c r="J1415" s="10"/>
      <c r="K1415" s="10"/>
      <c r="L1415" s="143" t="s">
        <v>3460</v>
      </c>
      <c r="M1415" s="144"/>
      <c r="N1415" s="144"/>
      <c r="O1415" s="144"/>
    </row>
    <row r="1416">
      <c r="A1416" s="138" t="s">
        <v>3462</v>
      </c>
      <c r="B1416" s="155"/>
      <c r="C1416" s="31">
        <v>0.05</v>
      </c>
      <c r="D1416" s="139">
        <v>0.64</v>
      </c>
      <c r="E1416" s="139">
        <v>0.64</v>
      </c>
      <c r="F1416" s="52"/>
      <c r="G1416" s="10"/>
      <c r="H1416" s="10"/>
      <c r="I1416" s="10"/>
      <c r="J1416" s="10"/>
      <c r="K1416" s="10"/>
      <c r="L1416" s="143" t="s">
        <v>3461</v>
      </c>
      <c r="M1416" s="144"/>
      <c r="N1416" s="144"/>
      <c r="O1416" s="144"/>
    </row>
    <row r="1417">
      <c r="A1417" s="138" t="s">
        <v>3463</v>
      </c>
      <c r="B1417" s="134">
        <v>7129.0</v>
      </c>
      <c r="C1417" s="31">
        <v>0.05</v>
      </c>
      <c r="D1417" s="139">
        <v>0.64</v>
      </c>
      <c r="E1417" s="139">
        <v>0.64</v>
      </c>
      <c r="F1417" s="52"/>
      <c r="G1417" s="10"/>
      <c r="H1417" s="10"/>
      <c r="I1417" s="10"/>
      <c r="J1417" s="10"/>
      <c r="K1417" s="10"/>
      <c r="L1417" s="143" t="s">
        <v>3462</v>
      </c>
      <c r="M1417" s="144"/>
      <c r="N1417" s="144"/>
      <c r="O1417" s="144"/>
    </row>
    <row r="1418">
      <c r="A1418" s="138" t="s">
        <v>3464</v>
      </c>
      <c r="B1418" s="134">
        <v>189.0</v>
      </c>
      <c r="C1418" s="31">
        <v>0.05</v>
      </c>
      <c r="D1418" s="26">
        <v>0.78</v>
      </c>
      <c r="E1418" s="26">
        <v>0.78</v>
      </c>
      <c r="F1418" s="52"/>
      <c r="G1418" s="10"/>
      <c r="H1418" s="10"/>
      <c r="I1418" s="10"/>
      <c r="J1418" s="10"/>
      <c r="K1418" s="10"/>
      <c r="L1418" s="143" t="s">
        <v>3465</v>
      </c>
      <c r="M1418" s="144"/>
      <c r="N1418" s="144"/>
      <c r="O1418" s="144"/>
    </row>
    <row r="1419">
      <c r="A1419" s="138" t="s">
        <v>3466</v>
      </c>
      <c r="B1419" s="134">
        <v>189.0</v>
      </c>
      <c r="C1419" s="31">
        <v>0.05</v>
      </c>
      <c r="D1419" s="26">
        <v>0.78</v>
      </c>
      <c r="E1419" s="26">
        <v>0.78</v>
      </c>
      <c r="F1419" s="52"/>
      <c r="G1419" s="10"/>
      <c r="H1419" s="10"/>
      <c r="I1419" s="10"/>
      <c r="J1419" s="10"/>
      <c r="K1419" s="10"/>
      <c r="L1419" s="143" t="s">
        <v>3467</v>
      </c>
      <c r="M1419" s="144"/>
      <c r="N1419" s="144"/>
      <c r="O1419" s="144"/>
    </row>
    <row r="1420">
      <c r="A1420" s="138" t="s">
        <v>3468</v>
      </c>
      <c r="B1420" s="153">
        <v>14659.0</v>
      </c>
      <c r="C1420" s="31">
        <v>0.05</v>
      </c>
      <c r="D1420" s="139">
        <v>0.64</v>
      </c>
      <c r="E1420" s="139">
        <v>0.64</v>
      </c>
      <c r="F1420" s="52"/>
      <c r="G1420" s="10"/>
      <c r="H1420" s="10"/>
      <c r="I1420" s="10"/>
      <c r="J1420" s="10"/>
      <c r="K1420" s="10"/>
      <c r="L1420" s="143" t="s">
        <v>3469</v>
      </c>
      <c r="M1420" s="144"/>
      <c r="N1420" s="144"/>
      <c r="O1420" s="144"/>
    </row>
    <row r="1421">
      <c r="A1421" s="138" t="s">
        <v>3470</v>
      </c>
      <c r="B1421" s="134">
        <v>6924.0</v>
      </c>
      <c r="C1421" s="31">
        <v>0.05</v>
      </c>
      <c r="D1421" s="139">
        <v>0.64</v>
      </c>
      <c r="E1421" s="139">
        <v>0.64</v>
      </c>
      <c r="F1421" s="52"/>
      <c r="G1421" s="10"/>
      <c r="H1421" s="10"/>
      <c r="I1421" s="10"/>
      <c r="J1421" s="10"/>
      <c r="K1421" s="10"/>
      <c r="L1421" s="143" t="s">
        <v>3471</v>
      </c>
      <c r="M1421" s="144"/>
      <c r="N1421" s="144"/>
      <c r="O1421" s="144"/>
    </row>
    <row r="1422">
      <c r="A1422" s="138" t="s">
        <v>3472</v>
      </c>
      <c r="B1422" s="134">
        <v>5458.0</v>
      </c>
      <c r="C1422" s="31">
        <v>0.05</v>
      </c>
      <c r="D1422" s="139">
        <v>0.64</v>
      </c>
      <c r="E1422" s="139">
        <v>0.64</v>
      </c>
      <c r="F1422" s="52"/>
      <c r="G1422" s="10"/>
      <c r="H1422" s="10"/>
      <c r="I1422" s="10"/>
      <c r="J1422" s="10"/>
      <c r="K1422" s="10"/>
      <c r="L1422" s="143" t="s">
        <v>3473</v>
      </c>
      <c r="M1422" s="144"/>
      <c r="N1422" s="144"/>
      <c r="O1422" s="144"/>
    </row>
    <row r="1423">
      <c r="A1423" s="138" t="s">
        <v>3474</v>
      </c>
      <c r="B1423" s="153">
        <v>8225.0</v>
      </c>
      <c r="C1423" s="31">
        <v>0.05</v>
      </c>
      <c r="D1423" s="139">
        <v>0.64</v>
      </c>
      <c r="E1423" s="139">
        <v>0.64</v>
      </c>
      <c r="F1423" s="52"/>
      <c r="G1423" s="10"/>
      <c r="H1423" s="10"/>
      <c r="I1423" s="10"/>
      <c r="J1423" s="10"/>
      <c r="K1423" s="10"/>
      <c r="L1423" s="143" t="s">
        <v>3463</v>
      </c>
      <c r="M1423" s="144">
        <v>7129.0</v>
      </c>
      <c r="N1423" s="144"/>
      <c r="O1423" s="144"/>
    </row>
    <row r="1424">
      <c r="A1424" s="138" t="s">
        <v>3475</v>
      </c>
      <c r="B1424" s="155"/>
      <c r="C1424" s="31">
        <v>0.05</v>
      </c>
      <c r="D1424" s="139">
        <v>0.64</v>
      </c>
      <c r="E1424" s="139">
        <v>0.64</v>
      </c>
      <c r="F1424" s="52"/>
      <c r="G1424" s="10"/>
      <c r="H1424" s="10"/>
      <c r="I1424" s="10"/>
      <c r="J1424" s="10"/>
      <c r="K1424" s="10"/>
      <c r="L1424" s="145" t="s">
        <v>3464</v>
      </c>
      <c r="M1424" s="5">
        <v>189.0</v>
      </c>
      <c r="N1424" s="5"/>
      <c r="O1424" s="5"/>
    </row>
    <row r="1425">
      <c r="A1425" s="138" t="s">
        <v>3476</v>
      </c>
      <c r="B1425" s="134">
        <v>7104.0</v>
      </c>
      <c r="C1425" s="31">
        <v>0.05</v>
      </c>
      <c r="D1425" s="139">
        <v>0.64</v>
      </c>
      <c r="E1425" s="139">
        <v>0.64</v>
      </c>
      <c r="F1425" s="52"/>
      <c r="G1425" s="10"/>
      <c r="H1425" s="10"/>
      <c r="I1425" s="10"/>
      <c r="J1425" s="10"/>
      <c r="K1425" s="10"/>
      <c r="L1425" s="145" t="s">
        <v>3466</v>
      </c>
      <c r="M1425" s="5">
        <v>189.0</v>
      </c>
      <c r="N1425" s="5"/>
      <c r="O1425" s="5"/>
    </row>
    <row r="1426">
      <c r="A1426" s="138" t="s">
        <v>3477</v>
      </c>
      <c r="B1426" s="134">
        <v>7297.0</v>
      </c>
      <c r="C1426" s="31">
        <v>0.05</v>
      </c>
      <c r="D1426" s="139">
        <v>0.64</v>
      </c>
      <c r="E1426" s="139">
        <v>0.64</v>
      </c>
      <c r="F1426" s="52"/>
      <c r="G1426" s="10"/>
      <c r="H1426" s="10"/>
      <c r="I1426" s="10"/>
      <c r="J1426" s="10"/>
      <c r="K1426" s="10"/>
      <c r="L1426" s="143" t="s">
        <v>3468</v>
      </c>
      <c r="M1426" s="144"/>
      <c r="N1426" s="144"/>
      <c r="O1426" s="144"/>
    </row>
    <row r="1427">
      <c r="A1427" s="138" t="s">
        <v>3478</v>
      </c>
      <c r="B1427" s="155">
        <f> 7137</f>
        <v>7137</v>
      </c>
      <c r="C1427" s="31">
        <v>0.05</v>
      </c>
      <c r="D1427" s="139">
        <v>0.64</v>
      </c>
      <c r="E1427" s="139">
        <v>0.64</v>
      </c>
      <c r="F1427" s="52"/>
      <c r="G1427" s="10"/>
      <c r="H1427" s="10"/>
      <c r="I1427" s="10"/>
      <c r="J1427" s="10"/>
      <c r="K1427" s="10"/>
      <c r="L1427" s="145" t="s">
        <v>3470</v>
      </c>
      <c r="M1427" s="5">
        <v>6924.0</v>
      </c>
      <c r="N1427" s="5"/>
      <c r="O1427" s="5">
        <v>6924.0</v>
      </c>
    </row>
    <row r="1428">
      <c r="A1428" s="138" t="s">
        <v>3479</v>
      </c>
      <c r="B1428" s="134">
        <v>6660.0</v>
      </c>
      <c r="C1428" s="31">
        <v>0.05</v>
      </c>
      <c r="D1428" s="139">
        <v>0.64</v>
      </c>
      <c r="E1428" s="139">
        <v>0.64</v>
      </c>
      <c r="F1428" s="52"/>
      <c r="G1428" s="10"/>
      <c r="H1428" s="10"/>
      <c r="I1428" s="10"/>
      <c r="J1428" s="10"/>
      <c r="K1428" s="10"/>
      <c r="L1428" s="143" t="s">
        <v>3472</v>
      </c>
      <c r="M1428" s="144">
        <v>5458.0</v>
      </c>
      <c r="N1428" s="144"/>
      <c r="O1428" s="144"/>
    </row>
    <row r="1429">
      <c r="A1429" s="138" t="s">
        <v>3480</v>
      </c>
      <c r="B1429" s="134">
        <v>6671.0</v>
      </c>
      <c r="C1429" s="31">
        <v>0.05</v>
      </c>
      <c r="D1429" s="139">
        <v>0.64</v>
      </c>
      <c r="E1429" s="139">
        <v>0.64</v>
      </c>
      <c r="F1429" s="52"/>
      <c r="G1429" s="10"/>
      <c r="H1429" s="10"/>
      <c r="I1429" s="10"/>
      <c r="J1429" s="10"/>
      <c r="K1429" s="10"/>
      <c r="L1429" s="143" t="s">
        <v>3474</v>
      </c>
      <c r="M1429" s="154">
        <v>8225.0</v>
      </c>
      <c r="N1429" s="144"/>
      <c r="O1429" s="144"/>
    </row>
    <row r="1430">
      <c r="A1430" s="138" t="s">
        <v>3481</v>
      </c>
      <c r="B1430" s="134">
        <v>6671.0</v>
      </c>
      <c r="C1430" s="31">
        <v>0.05</v>
      </c>
      <c r="D1430" s="139">
        <v>0.64</v>
      </c>
      <c r="E1430" s="139">
        <v>0.64</v>
      </c>
      <c r="F1430" s="52"/>
      <c r="G1430" s="10"/>
      <c r="H1430" s="10"/>
      <c r="I1430" s="10"/>
      <c r="J1430" s="10"/>
      <c r="K1430" s="10"/>
      <c r="L1430" s="143" t="s">
        <v>3475</v>
      </c>
      <c r="M1430" s="144"/>
      <c r="N1430" s="144"/>
      <c r="O1430" s="144"/>
    </row>
    <row r="1431">
      <c r="A1431" s="138" t="s">
        <v>3482</v>
      </c>
      <c r="B1431" s="134">
        <v>6671.0</v>
      </c>
      <c r="C1431" s="31">
        <v>0.05</v>
      </c>
      <c r="D1431" s="139">
        <v>0.64</v>
      </c>
      <c r="E1431" s="139">
        <v>0.64</v>
      </c>
      <c r="F1431" s="52"/>
      <c r="G1431" s="10"/>
      <c r="H1431" s="10"/>
      <c r="I1431" s="10"/>
      <c r="J1431" s="10"/>
      <c r="K1431" s="10"/>
      <c r="L1431" s="143" t="s">
        <v>3476</v>
      </c>
      <c r="M1431" s="144">
        <v>7104.0</v>
      </c>
      <c r="N1431" s="144"/>
      <c r="O1431" s="144"/>
    </row>
    <row r="1432">
      <c r="A1432" s="138" t="s">
        <v>3483</v>
      </c>
      <c r="B1432" s="134">
        <v>6671.0</v>
      </c>
      <c r="C1432" s="31">
        <v>0.05</v>
      </c>
      <c r="D1432" s="139">
        <v>0.64</v>
      </c>
      <c r="E1432" s="139">
        <v>0.64</v>
      </c>
      <c r="F1432" s="52"/>
      <c r="G1432" s="10"/>
      <c r="H1432" s="10"/>
      <c r="I1432" s="10"/>
      <c r="J1432" s="10"/>
      <c r="K1432" s="10"/>
      <c r="L1432" s="143" t="s">
        <v>3477</v>
      </c>
      <c r="M1432" s="144">
        <v>7297.0</v>
      </c>
      <c r="N1432" s="144"/>
      <c r="O1432" s="144">
        <v>7297.0</v>
      </c>
    </row>
    <row r="1433">
      <c r="A1433" s="138" t="s">
        <v>3484</v>
      </c>
      <c r="B1433" s="134">
        <v>6671.0</v>
      </c>
      <c r="C1433" s="31">
        <v>0.05</v>
      </c>
      <c r="D1433" s="139">
        <v>0.64</v>
      </c>
      <c r="E1433" s="139">
        <v>0.64</v>
      </c>
      <c r="F1433" s="52"/>
      <c r="G1433" s="10"/>
      <c r="H1433" s="10"/>
      <c r="I1433" s="10"/>
      <c r="J1433" s="10"/>
      <c r="K1433" s="10"/>
      <c r="L1433" s="143" t="s">
        <v>3478</v>
      </c>
      <c r="M1433" s="144">
        <f> 7137</f>
        <v>7137</v>
      </c>
      <c r="N1433" s="144"/>
      <c r="O1433" s="144"/>
    </row>
    <row r="1434">
      <c r="A1434" s="138" t="s">
        <v>3485</v>
      </c>
      <c r="B1434" s="134">
        <v>6671.0</v>
      </c>
      <c r="C1434" s="31">
        <v>0.05</v>
      </c>
      <c r="D1434" s="139">
        <v>0.64</v>
      </c>
      <c r="E1434" s="139">
        <v>0.64</v>
      </c>
      <c r="F1434" s="52"/>
      <c r="G1434" s="10"/>
      <c r="H1434" s="10"/>
      <c r="I1434" s="10"/>
      <c r="J1434" s="10"/>
      <c r="K1434" s="10"/>
      <c r="L1434" s="143" t="s">
        <v>3479</v>
      </c>
      <c r="M1434" s="144">
        <v>6660.0</v>
      </c>
      <c r="N1434" s="144"/>
      <c r="O1434" s="144"/>
    </row>
    <row r="1435">
      <c r="A1435" s="138" t="s">
        <v>3486</v>
      </c>
      <c r="B1435" s="134">
        <v>6671.0</v>
      </c>
      <c r="C1435" s="31">
        <v>0.05</v>
      </c>
      <c r="D1435" s="139">
        <v>0.64</v>
      </c>
      <c r="E1435" s="139">
        <v>0.64</v>
      </c>
      <c r="F1435" s="52"/>
      <c r="G1435" s="10"/>
      <c r="H1435" s="10"/>
      <c r="I1435" s="10"/>
      <c r="J1435" s="10"/>
      <c r="K1435" s="10"/>
      <c r="L1435" s="143" t="s">
        <v>3480</v>
      </c>
      <c r="M1435" s="144">
        <v>6671.0</v>
      </c>
      <c r="N1435" s="144"/>
      <c r="O1435" s="144"/>
    </row>
    <row r="1436">
      <c r="A1436" s="138" t="s">
        <v>3487</v>
      </c>
      <c r="B1436" s="134">
        <v>6671.0</v>
      </c>
      <c r="C1436" s="31">
        <v>0.05</v>
      </c>
      <c r="D1436" s="139">
        <v>0.64</v>
      </c>
      <c r="E1436" s="139">
        <v>0.64</v>
      </c>
      <c r="F1436" s="52"/>
      <c r="G1436" s="10"/>
      <c r="H1436" s="10"/>
      <c r="I1436" s="10"/>
      <c r="J1436" s="10"/>
      <c r="K1436" s="10"/>
      <c r="L1436" s="143" t="s">
        <v>3481</v>
      </c>
      <c r="M1436" s="144">
        <v>6671.0</v>
      </c>
      <c r="N1436" s="144"/>
      <c r="O1436" s="144"/>
    </row>
    <row r="1437">
      <c r="A1437" s="138" t="s">
        <v>3488</v>
      </c>
      <c r="B1437" s="134">
        <v>6671.0</v>
      </c>
      <c r="C1437" s="31">
        <v>0.05</v>
      </c>
      <c r="D1437" s="139">
        <v>0.64</v>
      </c>
      <c r="E1437" s="139">
        <v>0.64</v>
      </c>
      <c r="F1437" s="52"/>
      <c r="G1437" s="10"/>
      <c r="H1437" s="10"/>
      <c r="I1437" s="10"/>
      <c r="J1437" s="10"/>
      <c r="K1437" s="10"/>
      <c r="L1437" s="143" t="s">
        <v>3482</v>
      </c>
      <c r="M1437" s="144">
        <v>6671.0</v>
      </c>
      <c r="N1437" s="144"/>
      <c r="O1437" s="144"/>
    </row>
    <row r="1438">
      <c r="A1438" s="138" t="s">
        <v>3489</v>
      </c>
      <c r="B1438" s="134">
        <v>6671.0</v>
      </c>
      <c r="C1438" s="31">
        <v>0.05</v>
      </c>
      <c r="D1438" s="139">
        <v>0.64</v>
      </c>
      <c r="E1438" s="139">
        <v>0.64</v>
      </c>
      <c r="F1438" s="52"/>
      <c r="G1438" s="10"/>
      <c r="H1438" s="10"/>
      <c r="I1438" s="10"/>
      <c r="J1438" s="10"/>
      <c r="K1438" s="10"/>
      <c r="L1438" s="143" t="s">
        <v>3483</v>
      </c>
      <c r="M1438" s="144">
        <v>6671.0</v>
      </c>
      <c r="N1438" s="144"/>
      <c r="O1438" s="144"/>
    </row>
    <row r="1439">
      <c r="A1439" s="138" t="s">
        <v>3490</v>
      </c>
      <c r="B1439" s="134">
        <v>7098.0</v>
      </c>
      <c r="C1439" s="31">
        <v>0.05</v>
      </c>
      <c r="D1439" s="139">
        <v>0.64</v>
      </c>
      <c r="E1439" s="139">
        <v>0.64</v>
      </c>
      <c r="F1439" s="52"/>
      <c r="G1439" s="10"/>
      <c r="H1439" s="10"/>
      <c r="I1439" s="10"/>
      <c r="J1439" s="10"/>
      <c r="K1439" s="10"/>
      <c r="L1439" s="143" t="s">
        <v>3484</v>
      </c>
      <c r="M1439" s="144">
        <v>6671.0</v>
      </c>
      <c r="N1439" s="144"/>
      <c r="O1439" s="144"/>
    </row>
    <row r="1440">
      <c r="A1440" s="138" t="s">
        <v>3491</v>
      </c>
      <c r="B1440" s="134">
        <v>663.0</v>
      </c>
      <c r="C1440" s="31">
        <v>0.05</v>
      </c>
      <c r="D1440" s="139">
        <v>0.64</v>
      </c>
      <c r="E1440" s="139">
        <v>0.64</v>
      </c>
      <c r="F1440" s="52"/>
      <c r="G1440" s="10"/>
      <c r="H1440" s="10"/>
      <c r="I1440" s="10"/>
      <c r="J1440" s="10"/>
      <c r="K1440" s="10"/>
      <c r="L1440" s="143" t="s">
        <v>3485</v>
      </c>
      <c r="M1440" s="144">
        <v>6671.0</v>
      </c>
      <c r="N1440" s="144"/>
      <c r="O1440" s="144"/>
    </row>
    <row r="1441">
      <c r="A1441" s="138" t="s">
        <v>3492</v>
      </c>
      <c r="B1441" s="134">
        <v>7054.0</v>
      </c>
      <c r="C1441" s="31">
        <v>0.05</v>
      </c>
      <c r="D1441" s="139">
        <v>0.64</v>
      </c>
      <c r="E1441" s="139">
        <v>0.64</v>
      </c>
      <c r="F1441" s="52"/>
      <c r="G1441" s="10"/>
      <c r="H1441" s="10"/>
      <c r="I1441" s="10"/>
      <c r="J1441" s="10"/>
      <c r="K1441" s="10"/>
      <c r="L1441" s="143" t="s">
        <v>3486</v>
      </c>
      <c r="M1441" s="144">
        <v>6671.0</v>
      </c>
      <c r="N1441" s="144"/>
      <c r="O1441" s="144"/>
    </row>
    <row r="1442">
      <c r="A1442" s="138" t="s">
        <v>3493</v>
      </c>
      <c r="B1442" s="134">
        <v>6658.0</v>
      </c>
      <c r="C1442" s="31">
        <v>0.05</v>
      </c>
      <c r="D1442" s="148">
        <v>0.75</v>
      </c>
      <c r="E1442" s="83">
        <v>0.75</v>
      </c>
      <c r="F1442" s="52"/>
      <c r="G1442" s="10"/>
      <c r="H1442" s="10"/>
      <c r="I1442" s="10"/>
      <c r="J1442" s="10"/>
      <c r="K1442" s="10"/>
      <c r="L1442" s="143" t="s">
        <v>3487</v>
      </c>
      <c r="M1442" s="144">
        <v>6671.0</v>
      </c>
      <c r="N1442" s="144"/>
      <c r="O1442" s="144"/>
    </row>
    <row r="1443">
      <c r="A1443" s="138" t="s">
        <v>3494</v>
      </c>
      <c r="B1443" s="134">
        <v>7098.0</v>
      </c>
      <c r="C1443" s="31">
        <v>0.05</v>
      </c>
      <c r="D1443" s="139">
        <v>0.64</v>
      </c>
      <c r="E1443" s="139">
        <v>0.64</v>
      </c>
      <c r="F1443" s="52"/>
      <c r="G1443" s="10"/>
      <c r="H1443" s="10"/>
      <c r="I1443" s="10"/>
      <c r="J1443" s="10"/>
      <c r="K1443" s="10"/>
      <c r="L1443" s="143" t="s">
        <v>3488</v>
      </c>
      <c r="M1443" s="144">
        <v>6671.0</v>
      </c>
      <c r="N1443" s="144"/>
      <c r="O1443" s="144"/>
    </row>
    <row r="1444">
      <c r="A1444" s="138" t="s">
        <v>3495</v>
      </c>
      <c r="B1444" s="134">
        <v>7062.0</v>
      </c>
      <c r="C1444" s="31">
        <v>0.05</v>
      </c>
      <c r="D1444" s="139">
        <v>0.64</v>
      </c>
      <c r="E1444" s="139">
        <v>0.64</v>
      </c>
      <c r="F1444" s="52"/>
      <c r="G1444" s="10"/>
      <c r="H1444" s="10"/>
      <c r="I1444" s="10"/>
      <c r="J1444" s="10"/>
      <c r="K1444" s="10"/>
      <c r="L1444" s="143" t="s">
        <v>3489</v>
      </c>
      <c r="M1444" s="144">
        <v>6671.0</v>
      </c>
      <c r="N1444" s="144"/>
      <c r="O1444" s="144"/>
    </row>
    <row r="1445">
      <c r="A1445" s="138" t="s">
        <v>3496</v>
      </c>
      <c r="B1445" s="134">
        <v>7070.0</v>
      </c>
      <c r="C1445" s="31">
        <v>0.05</v>
      </c>
      <c r="D1445" s="139">
        <v>0.64</v>
      </c>
      <c r="E1445" s="139">
        <v>0.64</v>
      </c>
      <c r="F1445" s="52"/>
      <c r="G1445" s="10"/>
      <c r="H1445" s="10"/>
      <c r="I1445" s="10"/>
      <c r="J1445" s="10"/>
      <c r="K1445" s="10"/>
      <c r="L1445" s="143" t="s">
        <v>3490</v>
      </c>
      <c r="M1445" s="144">
        <v>7098.0</v>
      </c>
      <c r="N1445" s="144"/>
      <c r="O1445" s="144"/>
    </row>
    <row r="1446">
      <c r="A1446" s="138" t="s">
        <v>3497</v>
      </c>
      <c r="B1446" s="134">
        <v>7051.0</v>
      </c>
      <c r="C1446" s="31">
        <v>0.05</v>
      </c>
      <c r="D1446" s="139">
        <v>0.64</v>
      </c>
      <c r="E1446" s="139">
        <v>0.64</v>
      </c>
      <c r="F1446" s="52"/>
      <c r="G1446" s="10"/>
      <c r="H1446" s="10"/>
      <c r="I1446" s="10"/>
      <c r="J1446" s="10"/>
      <c r="K1446" s="10"/>
      <c r="L1446" s="143" t="s">
        <v>3491</v>
      </c>
      <c r="M1446" s="144">
        <v>663.0</v>
      </c>
      <c r="N1446" s="144"/>
      <c r="O1446" s="144"/>
    </row>
    <row r="1447">
      <c r="A1447" s="138" t="s">
        <v>3498</v>
      </c>
      <c r="B1447" s="134">
        <v>6906.0</v>
      </c>
      <c r="C1447" s="31">
        <v>0.05</v>
      </c>
      <c r="D1447" s="139">
        <v>0.64</v>
      </c>
      <c r="E1447" s="139">
        <v>0.64</v>
      </c>
      <c r="F1447" s="52"/>
      <c r="G1447" s="10"/>
      <c r="H1447" s="10"/>
      <c r="I1447" s="10"/>
      <c r="J1447" s="10"/>
      <c r="K1447" s="10"/>
      <c r="L1447" s="143" t="s">
        <v>3492</v>
      </c>
      <c r="M1447" s="144">
        <v>7054.0</v>
      </c>
      <c r="N1447" s="144"/>
      <c r="O1447" s="144"/>
    </row>
    <row r="1448">
      <c r="A1448" s="138" t="s">
        <v>3499</v>
      </c>
      <c r="B1448" s="134">
        <v>7083.0</v>
      </c>
      <c r="C1448" s="31">
        <v>0.05</v>
      </c>
      <c r="D1448" s="148">
        <v>0.78</v>
      </c>
      <c r="E1448" s="83">
        <v>0.78</v>
      </c>
      <c r="F1448" s="52"/>
      <c r="G1448" s="10"/>
      <c r="H1448" s="10"/>
      <c r="I1448" s="10"/>
      <c r="J1448" s="10"/>
      <c r="K1448" s="10"/>
      <c r="L1448" s="143" t="s">
        <v>3493</v>
      </c>
      <c r="M1448" s="144">
        <v>6658.0</v>
      </c>
      <c r="N1448" s="144"/>
      <c r="O1448" s="144"/>
    </row>
    <row r="1449">
      <c r="A1449" s="138" t="s">
        <v>3500</v>
      </c>
      <c r="B1449" s="134">
        <v>6906.0</v>
      </c>
      <c r="C1449" s="31">
        <v>0.05</v>
      </c>
      <c r="D1449" s="139">
        <v>0.64</v>
      </c>
      <c r="E1449" s="139">
        <v>0.64</v>
      </c>
      <c r="F1449" s="52"/>
      <c r="G1449" s="10"/>
      <c r="H1449" s="10"/>
      <c r="I1449" s="10"/>
      <c r="J1449" s="10"/>
      <c r="K1449" s="10"/>
      <c r="L1449" s="143" t="s">
        <v>3494</v>
      </c>
      <c r="M1449" s="144">
        <v>7098.0</v>
      </c>
      <c r="N1449" s="144"/>
      <c r="O1449" s="144"/>
    </row>
    <row r="1450">
      <c r="A1450" s="138" t="s">
        <v>3501</v>
      </c>
      <c r="B1450" s="134">
        <v>6658.0</v>
      </c>
      <c r="C1450" s="31">
        <v>0.05</v>
      </c>
      <c r="D1450" s="148">
        <v>0.75</v>
      </c>
      <c r="E1450" s="83">
        <v>0.75</v>
      </c>
      <c r="F1450" s="52"/>
      <c r="G1450" s="10"/>
      <c r="H1450" s="10"/>
      <c r="I1450" s="10"/>
      <c r="J1450" s="10"/>
      <c r="K1450" s="10"/>
      <c r="L1450" s="143" t="s">
        <v>3495</v>
      </c>
      <c r="M1450" s="144">
        <v>7062.0</v>
      </c>
      <c r="N1450" s="144"/>
      <c r="O1450" s="144"/>
    </row>
    <row r="1451">
      <c r="A1451" s="138" t="s">
        <v>3502</v>
      </c>
      <c r="B1451" s="151">
        <v>6802.0</v>
      </c>
      <c r="C1451" s="31">
        <v>0.05</v>
      </c>
      <c r="D1451" s="139">
        <v>0.64</v>
      </c>
      <c r="E1451" s="139">
        <v>0.64</v>
      </c>
      <c r="F1451" s="52"/>
      <c r="G1451" s="10"/>
      <c r="H1451" s="10"/>
      <c r="I1451" s="10"/>
      <c r="J1451" s="10"/>
      <c r="K1451" s="10"/>
      <c r="L1451" s="143" t="s">
        <v>3496</v>
      </c>
      <c r="M1451" s="144">
        <v>7070.0</v>
      </c>
      <c r="N1451" s="144"/>
      <c r="O1451" s="144"/>
    </row>
    <row r="1452">
      <c r="A1452" s="138" t="s">
        <v>3503</v>
      </c>
      <c r="B1452" s="156">
        <v>7023.0</v>
      </c>
      <c r="C1452" s="31">
        <v>0.05</v>
      </c>
      <c r="D1452" s="139">
        <v>0.64</v>
      </c>
      <c r="E1452" s="139">
        <v>0.64</v>
      </c>
      <c r="F1452" s="52"/>
      <c r="G1452" s="10"/>
      <c r="H1452" s="10"/>
      <c r="I1452" s="10"/>
      <c r="J1452" s="10"/>
      <c r="K1452" s="10"/>
      <c r="L1452" s="143" t="s">
        <v>3497</v>
      </c>
      <c r="M1452" s="144">
        <v>7051.0</v>
      </c>
      <c r="N1452" s="144"/>
      <c r="O1452" s="144"/>
    </row>
    <row r="1453">
      <c r="A1453" s="138" t="s">
        <v>3504</v>
      </c>
      <c r="B1453" s="134">
        <v>4922.0</v>
      </c>
      <c r="C1453" s="31">
        <v>0.05</v>
      </c>
      <c r="D1453" s="139">
        <v>0.64</v>
      </c>
      <c r="E1453" s="139">
        <v>0.64</v>
      </c>
      <c r="F1453" s="52"/>
      <c r="G1453" s="10"/>
      <c r="H1453" s="10"/>
      <c r="I1453" s="10"/>
      <c r="J1453" s="10"/>
      <c r="K1453" s="10"/>
      <c r="L1453" s="143" t="s">
        <v>3498</v>
      </c>
      <c r="M1453" s="144">
        <v>6906.0</v>
      </c>
      <c r="N1453" s="144"/>
      <c r="O1453" s="144"/>
    </row>
    <row r="1454">
      <c r="A1454" s="138" t="s">
        <v>3505</v>
      </c>
      <c r="B1454" s="134">
        <v>4922.0</v>
      </c>
      <c r="C1454" s="31">
        <v>0.05</v>
      </c>
      <c r="D1454" s="139">
        <v>0.64</v>
      </c>
      <c r="E1454" s="139">
        <v>0.64</v>
      </c>
      <c r="F1454" s="52"/>
      <c r="G1454" s="10"/>
      <c r="H1454" s="10"/>
      <c r="I1454" s="10"/>
      <c r="J1454" s="10"/>
      <c r="K1454" s="10"/>
      <c r="L1454" s="145" t="s">
        <v>3499</v>
      </c>
      <c r="M1454" s="5">
        <v>7083.0</v>
      </c>
      <c r="N1454" s="5"/>
      <c r="O1454" s="5"/>
    </row>
    <row r="1455">
      <c r="A1455" s="138" t="s">
        <v>3506</v>
      </c>
      <c r="B1455" s="134">
        <v>4922.0</v>
      </c>
      <c r="C1455" s="31">
        <v>0.05</v>
      </c>
      <c r="D1455" s="139">
        <v>0.64</v>
      </c>
      <c r="E1455" s="139">
        <v>0.64</v>
      </c>
      <c r="F1455" s="52"/>
      <c r="G1455" s="10"/>
      <c r="H1455" s="10"/>
      <c r="I1455" s="10"/>
      <c r="J1455" s="10"/>
      <c r="K1455" s="10"/>
      <c r="L1455" s="143" t="s">
        <v>3500</v>
      </c>
      <c r="M1455" s="144">
        <v>6906.0</v>
      </c>
      <c r="N1455" s="144"/>
      <c r="O1455" s="144"/>
    </row>
    <row r="1456">
      <c r="A1456" s="138" t="s">
        <v>3507</v>
      </c>
      <c r="B1456" s="134">
        <v>4922.0</v>
      </c>
      <c r="C1456" s="31">
        <v>0.05</v>
      </c>
      <c r="D1456" s="139">
        <v>0.64</v>
      </c>
      <c r="E1456" s="139">
        <v>0.64</v>
      </c>
      <c r="F1456" s="52"/>
      <c r="G1456" s="10"/>
      <c r="H1456" s="10"/>
      <c r="I1456" s="10"/>
      <c r="J1456" s="10"/>
      <c r="K1456" s="10"/>
      <c r="L1456" s="143" t="s">
        <v>3501</v>
      </c>
      <c r="M1456" s="144">
        <v>6658.0</v>
      </c>
      <c r="N1456" s="144"/>
      <c r="O1456" s="144"/>
    </row>
    <row r="1457">
      <c r="A1457" s="138" t="s">
        <v>3508</v>
      </c>
      <c r="B1457" s="134">
        <v>5458.0</v>
      </c>
      <c r="C1457" s="31">
        <v>0.05</v>
      </c>
      <c r="D1457" s="139">
        <v>0.64</v>
      </c>
      <c r="E1457" s="139">
        <v>0.64</v>
      </c>
      <c r="F1457" s="52"/>
      <c r="G1457" s="10"/>
      <c r="H1457" s="10"/>
      <c r="I1457" s="10"/>
      <c r="J1457" s="10"/>
      <c r="K1457" s="10"/>
      <c r="L1457" s="143" t="s">
        <v>3502</v>
      </c>
      <c r="M1457" s="152">
        <v>6802.0</v>
      </c>
      <c r="N1457" s="144"/>
      <c r="O1457" s="144"/>
    </row>
    <row r="1458">
      <c r="A1458" s="138" t="s">
        <v>3509</v>
      </c>
      <c r="B1458" s="134">
        <v>5458.0</v>
      </c>
      <c r="C1458" s="31">
        <v>0.05</v>
      </c>
      <c r="D1458" s="139">
        <v>0.64</v>
      </c>
      <c r="E1458" s="139">
        <v>0.64</v>
      </c>
      <c r="F1458" s="52"/>
      <c r="G1458" s="10"/>
      <c r="H1458" s="10"/>
      <c r="I1458" s="10"/>
      <c r="J1458" s="10"/>
      <c r="K1458" s="10"/>
      <c r="L1458" s="143" t="s">
        <v>3503</v>
      </c>
      <c r="M1458" s="144">
        <v>7023.0</v>
      </c>
      <c r="N1458" s="144"/>
      <c r="O1458" s="144">
        <v>7023.0</v>
      </c>
    </row>
    <row r="1459">
      <c r="A1459" s="138" t="s">
        <v>3510</v>
      </c>
      <c r="B1459" s="134">
        <v>5458.0</v>
      </c>
      <c r="C1459" s="31">
        <v>0.05</v>
      </c>
      <c r="D1459" s="139">
        <v>0.64</v>
      </c>
      <c r="E1459" s="139">
        <v>0.64</v>
      </c>
      <c r="F1459" s="52"/>
      <c r="G1459" s="10"/>
      <c r="H1459" s="10"/>
      <c r="I1459" s="10"/>
      <c r="J1459" s="10"/>
      <c r="K1459" s="10"/>
      <c r="L1459" s="143" t="s">
        <v>3504</v>
      </c>
      <c r="M1459" s="144">
        <v>4922.0</v>
      </c>
      <c r="N1459" s="144"/>
      <c r="O1459" s="144"/>
    </row>
    <row r="1460">
      <c r="A1460" s="138" t="s">
        <v>3511</v>
      </c>
      <c r="B1460" s="134">
        <v>5458.0</v>
      </c>
      <c r="C1460" s="31">
        <v>0.05</v>
      </c>
      <c r="D1460" s="139">
        <v>0.64</v>
      </c>
      <c r="E1460" s="139">
        <v>0.64</v>
      </c>
      <c r="F1460" s="52"/>
      <c r="G1460" s="10"/>
      <c r="H1460" s="10"/>
      <c r="I1460" s="10"/>
      <c r="J1460" s="10"/>
      <c r="K1460" s="10"/>
      <c r="L1460" s="143" t="s">
        <v>3505</v>
      </c>
      <c r="M1460" s="144">
        <v>4922.0</v>
      </c>
      <c r="N1460" s="144"/>
      <c r="O1460" s="144"/>
    </row>
    <row r="1461">
      <c r="A1461" s="138" t="s">
        <v>3512</v>
      </c>
      <c r="B1461" s="53">
        <v>13811.0</v>
      </c>
      <c r="C1461" s="31">
        <v>0.05</v>
      </c>
      <c r="D1461" s="139">
        <v>0.64</v>
      </c>
      <c r="E1461" s="139">
        <v>0.64</v>
      </c>
      <c r="F1461" s="52"/>
      <c r="G1461" s="10"/>
      <c r="H1461" s="10"/>
      <c r="I1461" s="10"/>
      <c r="J1461" s="10"/>
      <c r="K1461" s="10"/>
      <c r="L1461" s="143" t="s">
        <v>3506</v>
      </c>
      <c r="M1461" s="144">
        <v>4922.0</v>
      </c>
      <c r="N1461" s="144"/>
      <c r="O1461" s="144"/>
    </row>
    <row r="1462">
      <c r="A1462" s="138" t="s">
        <v>3513</v>
      </c>
      <c r="B1462" s="53">
        <v>9616.0</v>
      </c>
      <c r="C1462" s="31">
        <v>0.05</v>
      </c>
      <c r="D1462" s="139">
        <v>0.64</v>
      </c>
      <c r="E1462" s="139">
        <v>0.64</v>
      </c>
      <c r="F1462" s="52"/>
      <c r="G1462" s="10"/>
      <c r="H1462" s="10"/>
      <c r="I1462" s="10"/>
      <c r="J1462" s="10"/>
      <c r="K1462" s="10"/>
      <c r="L1462" s="143" t="s">
        <v>3507</v>
      </c>
      <c r="M1462" s="144">
        <v>4922.0</v>
      </c>
      <c r="N1462" s="144"/>
      <c r="O1462" s="144"/>
    </row>
    <row r="1463">
      <c r="A1463" s="138" t="s">
        <v>3514</v>
      </c>
      <c r="B1463" s="53">
        <v>14000.0</v>
      </c>
      <c r="C1463" s="31">
        <v>0.05</v>
      </c>
      <c r="D1463" s="139">
        <v>0.64</v>
      </c>
      <c r="E1463" s="139">
        <v>0.64</v>
      </c>
      <c r="F1463" s="52"/>
      <c r="G1463" s="10"/>
      <c r="H1463" s="10"/>
      <c r="I1463" s="10"/>
      <c r="J1463" s="10"/>
      <c r="K1463" s="10"/>
      <c r="L1463" s="143" t="s">
        <v>3508</v>
      </c>
      <c r="M1463" s="144">
        <v>5458.0</v>
      </c>
      <c r="N1463" s="144">
        <v>4922.0</v>
      </c>
      <c r="O1463" s="144">
        <v>5458.0</v>
      </c>
    </row>
    <row r="1464">
      <c r="A1464" s="138" t="s">
        <v>3515</v>
      </c>
      <c r="B1464" s="53">
        <v>6143.0</v>
      </c>
      <c r="C1464" s="31">
        <v>0.05</v>
      </c>
      <c r="D1464" s="148">
        <v>0.78</v>
      </c>
      <c r="E1464" s="83">
        <v>0.78</v>
      </c>
      <c r="F1464" s="52"/>
      <c r="G1464" s="10"/>
      <c r="H1464" s="10"/>
      <c r="I1464" s="10"/>
      <c r="J1464" s="10"/>
      <c r="K1464" s="10"/>
      <c r="L1464" s="143" t="s">
        <v>3509</v>
      </c>
      <c r="M1464" s="144">
        <v>5458.0</v>
      </c>
      <c r="N1464" s="144">
        <v>6887.0</v>
      </c>
      <c r="O1464" s="144">
        <v>5458.0</v>
      </c>
    </row>
    <row r="1465">
      <c r="A1465" s="138" t="s">
        <v>3516</v>
      </c>
      <c r="B1465" s="53">
        <v>11775.0</v>
      </c>
      <c r="C1465" s="31">
        <v>0.05</v>
      </c>
      <c r="D1465" s="139">
        <v>0.64</v>
      </c>
      <c r="E1465" s="139">
        <v>0.64</v>
      </c>
      <c r="F1465" s="52"/>
      <c r="G1465" s="10"/>
      <c r="H1465" s="10"/>
      <c r="I1465" s="10"/>
      <c r="J1465" s="10"/>
      <c r="K1465" s="10"/>
      <c r="L1465" s="143" t="s">
        <v>3510</v>
      </c>
      <c r="M1465" s="144">
        <v>5458.0</v>
      </c>
      <c r="N1465" s="144">
        <v>7080.0</v>
      </c>
      <c r="O1465" s="144">
        <v>5458.0</v>
      </c>
    </row>
    <row r="1466">
      <c r="A1466" s="138" t="s">
        <v>3517</v>
      </c>
      <c r="B1466" s="52"/>
      <c r="C1466" s="31">
        <v>0.05</v>
      </c>
      <c r="D1466" s="139">
        <v>0.64</v>
      </c>
      <c r="E1466" s="139">
        <v>0.64</v>
      </c>
      <c r="F1466" s="10"/>
      <c r="G1466" s="10"/>
      <c r="H1466" s="10"/>
      <c r="I1466" s="10"/>
      <c r="J1466" s="10"/>
      <c r="K1466" s="10"/>
      <c r="L1466" s="145" t="s">
        <v>3511</v>
      </c>
      <c r="M1466" s="5">
        <v>5458.0</v>
      </c>
      <c r="N1466" s="5">
        <v>3920.0</v>
      </c>
      <c r="O1466" s="5">
        <v>5458.0</v>
      </c>
    </row>
    <row r="1467">
      <c r="A1467" s="138" t="s">
        <v>3518</v>
      </c>
      <c r="B1467" s="53">
        <v>12611.0</v>
      </c>
      <c r="C1467" s="31">
        <v>0.05</v>
      </c>
      <c r="D1467" s="139">
        <v>0.64</v>
      </c>
      <c r="E1467" s="139">
        <v>0.64</v>
      </c>
      <c r="F1467" s="10"/>
      <c r="G1467" s="10"/>
      <c r="H1467" s="10"/>
      <c r="I1467" s="10"/>
      <c r="J1467" s="10"/>
      <c r="K1467" s="10"/>
      <c r="L1467" s="10"/>
      <c r="M1467" s="10"/>
      <c r="N1467" s="10"/>
      <c r="O1467" s="10"/>
    </row>
    <row r="1468">
      <c r="A1468" s="138" t="s">
        <v>3519</v>
      </c>
      <c r="B1468" s="53">
        <v>14071.0</v>
      </c>
      <c r="C1468" s="31">
        <v>0.05</v>
      </c>
      <c r="D1468" s="139">
        <v>0.64</v>
      </c>
      <c r="E1468" s="139">
        <v>0.64</v>
      </c>
      <c r="F1468" s="10"/>
      <c r="G1468" s="10"/>
      <c r="H1468" s="10"/>
      <c r="I1468" s="10"/>
      <c r="J1468" s="10"/>
      <c r="K1468" s="10"/>
      <c r="L1468" s="10"/>
      <c r="M1468" s="10"/>
      <c r="N1468" s="10"/>
      <c r="O1468" s="10"/>
    </row>
    <row r="1469">
      <c r="A1469" s="138" t="s">
        <v>3520</v>
      </c>
      <c r="B1469" s="53">
        <v>14031.0</v>
      </c>
      <c r="C1469" s="31">
        <v>0.05</v>
      </c>
      <c r="D1469" s="139">
        <v>0.64</v>
      </c>
      <c r="E1469" s="139">
        <v>0.64</v>
      </c>
      <c r="F1469" s="10"/>
      <c r="G1469" s="10"/>
      <c r="H1469" s="10"/>
      <c r="I1469" s="10"/>
      <c r="J1469" s="10"/>
      <c r="K1469" s="10"/>
      <c r="L1469" s="10"/>
      <c r="M1469" s="10"/>
      <c r="N1469" s="10"/>
      <c r="O1469" s="10"/>
    </row>
    <row r="1470">
      <c r="A1470" s="138" t="s">
        <v>3521</v>
      </c>
      <c r="B1470" s="53">
        <v>7416.0</v>
      </c>
      <c r="C1470" s="31">
        <v>0.05</v>
      </c>
      <c r="D1470" s="139">
        <v>0.64</v>
      </c>
      <c r="E1470" s="139">
        <v>0.64</v>
      </c>
      <c r="F1470" s="10"/>
      <c r="G1470" s="10"/>
      <c r="H1470" s="10"/>
      <c r="I1470" s="10"/>
      <c r="J1470" s="10"/>
      <c r="K1470" s="10"/>
      <c r="L1470" s="10"/>
      <c r="M1470" s="10"/>
      <c r="N1470" s="10"/>
      <c r="O1470" s="10"/>
    </row>
    <row r="1471">
      <c r="A1471" s="138" t="s">
        <v>3522</v>
      </c>
      <c r="B1471" s="53">
        <v>14013.0</v>
      </c>
      <c r="C1471" s="31">
        <v>0.05</v>
      </c>
      <c r="D1471" s="139">
        <v>0.64</v>
      </c>
      <c r="E1471" s="139">
        <v>0.64</v>
      </c>
      <c r="F1471" s="10"/>
      <c r="G1471" s="10"/>
      <c r="H1471" s="10"/>
      <c r="I1471" s="10"/>
      <c r="J1471" s="10"/>
      <c r="K1471" s="10"/>
      <c r="L1471" s="10"/>
      <c r="M1471" s="10"/>
      <c r="N1471" s="10"/>
      <c r="O1471" s="10"/>
    </row>
    <row r="1472">
      <c r="A1472" s="138" t="s">
        <v>3523</v>
      </c>
      <c r="B1472" s="53">
        <v>10368.0</v>
      </c>
      <c r="C1472" s="31">
        <v>0.05</v>
      </c>
      <c r="D1472" s="139">
        <v>0.64</v>
      </c>
      <c r="E1472" s="139">
        <v>0.64</v>
      </c>
      <c r="F1472" s="10"/>
      <c r="G1472" s="10"/>
      <c r="H1472" s="10"/>
      <c r="I1472" s="10"/>
      <c r="J1472" s="10"/>
      <c r="K1472" s="10"/>
      <c r="L1472" s="10"/>
      <c r="M1472" s="10"/>
      <c r="N1472" s="10"/>
      <c r="O1472" s="10"/>
    </row>
    <row r="1473">
      <c r="A1473" s="138" t="s">
        <v>3524</v>
      </c>
      <c r="B1473" s="53">
        <v>8576.0</v>
      </c>
      <c r="C1473" s="31">
        <v>0.05</v>
      </c>
      <c r="D1473" s="139">
        <v>0.64</v>
      </c>
      <c r="E1473" s="139">
        <v>0.64</v>
      </c>
      <c r="F1473" s="10"/>
      <c r="G1473" s="10"/>
      <c r="H1473" s="10"/>
      <c r="I1473" s="10"/>
      <c r="J1473" s="10"/>
      <c r="K1473" s="10"/>
      <c r="L1473" s="10"/>
      <c r="M1473" s="10"/>
      <c r="N1473" s="10"/>
      <c r="O1473" s="10"/>
    </row>
    <row r="1474">
      <c r="A1474" s="138" t="s">
        <v>3525</v>
      </c>
      <c r="B1474" s="53">
        <v>12324.0</v>
      </c>
      <c r="C1474" s="31">
        <v>0.05</v>
      </c>
      <c r="D1474" s="139">
        <v>0.64</v>
      </c>
      <c r="E1474" s="139">
        <v>0.64</v>
      </c>
      <c r="F1474" s="10"/>
      <c r="G1474" s="10"/>
      <c r="H1474" s="10"/>
      <c r="I1474" s="10"/>
      <c r="J1474" s="10"/>
      <c r="K1474" s="10"/>
      <c r="L1474" s="10"/>
      <c r="M1474" s="10"/>
      <c r="N1474" s="10"/>
      <c r="O1474" s="10"/>
    </row>
    <row r="1475">
      <c r="A1475" s="138" t="s">
        <v>3526</v>
      </c>
      <c r="B1475" s="53">
        <v>9362.0</v>
      </c>
      <c r="C1475" s="31">
        <v>0.05</v>
      </c>
      <c r="D1475" s="139">
        <v>0.64</v>
      </c>
      <c r="E1475" s="139">
        <v>0.64</v>
      </c>
      <c r="F1475" s="10"/>
      <c r="G1475" s="10"/>
      <c r="H1475" s="10"/>
      <c r="I1475" s="10"/>
      <c r="J1475" s="10"/>
      <c r="K1475" s="10"/>
      <c r="L1475" s="10"/>
      <c r="M1475" s="10"/>
      <c r="N1475" s="10"/>
      <c r="O1475" s="10"/>
    </row>
    <row r="1476">
      <c r="A1476" s="138" t="s">
        <v>3527</v>
      </c>
      <c r="B1476" s="53">
        <v>10970.0</v>
      </c>
      <c r="C1476" s="31">
        <v>0.05</v>
      </c>
      <c r="D1476" s="139">
        <v>0.64</v>
      </c>
      <c r="E1476" s="139">
        <v>0.64</v>
      </c>
      <c r="F1476" s="10"/>
      <c r="G1476" s="10"/>
      <c r="H1476" s="10"/>
      <c r="I1476" s="10"/>
      <c r="J1476" s="10"/>
      <c r="K1476" s="10"/>
      <c r="L1476" s="10"/>
      <c r="M1476" s="10"/>
      <c r="N1476" s="10"/>
      <c r="O1476" s="10"/>
    </row>
    <row r="1477">
      <c r="A1477" s="138" t="s">
        <v>3528</v>
      </c>
      <c r="B1477" s="53">
        <v>8578.0</v>
      </c>
      <c r="C1477" s="31">
        <v>0.05</v>
      </c>
      <c r="D1477" s="139">
        <v>0.64</v>
      </c>
      <c r="E1477" s="139">
        <v>0.64</v>
      </c>
      <c r="F1477" s="10"/>
      <c r="G1477" s="10"/>
      <c r="H1477" s="10"/>
      <c r="I1477" s="10"/>
      <c r="J1477" s="10"/>
      <c r="K1477" s="10"/>
      <c r="L1477" s="10"/>
      <c r="M1477" s="10"/>
      <c r="N1477" s="10"/>
      <c r="O1477" s="10"/>
    </row>
    <row r="1478">
      <c r="A1478" s="138" t="s">
        <v>3529</v>
      </c>
      <c r="B1478" s="53">
        <v>11105.0</v>
      </c>
      <c r="C1478" s="31">
        <v>0.05</v>
      </c>
      <c r="D1478" s="139">
        <v>0.64</v>
      </c>
      <c r="E1478" s="139">
        <v>0.64</v>
      </c>
      <c r="F1478" s="10"/>
      <c r="G1478" s="10"/>
      <c r="H1478" s="10"/>
      <c r="I1478" s="10"/>
      <c r="J1478" s="10"/>
      <c r="K1478" s="10"/>
      <c r="L1478" s="10"/>
      <c r="M1478" s="10"/>
      <c r="N1478" s="10"/>
      <c r="O1478" s="10"/>
    </row>
    <row r="1479">
      <c r="A1479" s="138" t="s">
        <v>3530</v>
      </c>
      <c r="B1479" s="53">
        <v>12015.0</v>
      </c>
      <c r="C1479" s="31">
        <v>0.05</v>
      </c>
      <c r="D1479" s="139">
        <v>0.64</v>
      </c>
      <c r="E1479" s="139">
        <v>0.64</v>
      </c>
      <c r="F1479" s="10"/>
      <c r="G1479" s="10"/>
      <c r="H1479" s="10"/>
      <c r="I1479" s="10"/>
      <c r="J1479" s="10"/>
      <c r="K1479" s="10"/>
      <c r="L1479" s="10"/>
      <c r="M1479" s="10"/>
      <c r="N1479" s="10"/>
      <c r="O1479" s="10"/>
    </row>
    <row r="1480">
      <c r="A1480" s="138" t="s">
        <v>3531</v>
      </c>
      <c r="B1480" s="53">
        <v>9811.0</v>
      </c>
      <c r="C1480" s="31">
        <v>0.05</v>
      </c>
      <c r="D1480" s="139">
        <v>0.64</v>
      </c>
      <c r="E1480" s="139">
        <v>0.64</v>
      </c>
      <c r="F1480" s="10"/>
      <c r="G1480" s="10"/>
      <c r="H1480" s="10"/>
      <c r="I1480" s="10"/>
      <c r="J1480" s="10"/>
      <c r="K1480" s="10"/>
      <c r="L1480" s="10"/>
      <c r="M1480" s="10"/>
      <c r="N1480" s="10"/>
      <c r="O1480" s="10"/>
    </row>
    <row r="1481">
      <c r="A1481" s="138" t="s">
        <v>1506</v>
      </c>
      <c r="B1481" s="53">
        <v>11553.0</v>
      </c>
      <c r="C1481" s="31">
        <v>0.05</v>
      </c>
      <c r="D1481" s="139">
        <v>0.64</v>
      </c>
      <c r="E1481" s="139">
        <v>0.64</v>
      </c>
      <c r="F1481" s="10"/>
      <c r="G1481" s="10"/>
      <c r="H1481" s="10"/>
      <c r="I1481" s="10"/>
      <c r="J1481" s="10"/>
      <c r="K1481" s="10"/>
      <c r="L1481" s="10"/>
      <c r="M1481" s="10"/>
      <c r="N1481" s="10"/>
      <c r="O1481" s="10"/>
    </row>
    <row r="1482">
      <c r="A1482" s="138" t="s">
        <v>3532</v>
      </c>
      <c r="B1482" s="53">
        <v>9768.0</v>
      </c>
      <c r="C1482" s="31">
        <v>0.05</v>
      </c>
      <c r="D1482" s="139">
        <v>0.64</v>
      </c>
      <c r="E1482" s="139">
        <v>0.64</v>
      </c>
      <c r="F1482" s="10"/>
      <c r="G1482" s="10"/>
      <c r="H1482" s="10"/>
      <c r="I1482" s="10"/>
      <c r="J1482" s="10"/>
      <c r="K1482" s="10"/>
      <c r="L1482" s="10"/>
      <c r="M1482" s="10"/>
      <c r="N1482" s="10"/>
      <c r="O1482" s="10"/>
    </row>
    <row r="1483">
      <c r="A1483" s="138" t="s">
        <v>3533</v>
      </c>
      <c r="B1483" s="53">
        <v>7866.0</v>
      </c>
      <c r="C1483" s="31">
        <v>0.05</v>
      </c>
      <c r="D1483" s="139">
        <v>0.64</v>
      </c>
      <c r="E1483" s="139">
        <v>0.64</v>
      </c>
      <c r="F1483" s="10"/>
      <c r="G1483" s="10"/>
      <c r="H1483" s="10"/>
      <c r="I1483" s="10"/>
      <c r="J1483" s="10"/>
      <c r="K1483" s="10"/>
      <c r="L1483" s="10"/>
      <c r="M1483" s="10"/>
      <c r="N1483" s="10"/>
      <c r="O1483" s="10"/>
    </row>
    <row r="1484">
      <c r="A1484" s="138" t="s">
        <v>3534</v>
      </c>
      <c r="B1484" s="53">
        <v>9814.0</v>
      </c>
      <c r="C1484" s="31">
        <v>0.05</v>
      </c>
      <c r="D1484" s="139">
        <v>0.64</v>
      </c>
      <c r="E1484" s="139">
        <v>0.64</v>
      </c>
      <c r="F1484" s="10"/>
      <c r="G1484" s="10"/>
      <c r="H1484" s="10"/>
      <c r="I1484" s="10"/>
      <c r="J1484" s="10"/>
      <c r="K1484" s="10"/>
      <c r="L1484" s="10"/>
      <c r="M1484" s="10"/>
      <c r="N1484" s="10"/>
      <c r="O1484" s="10"/>
    </row>
    <row r="1485">
      <c r="A1485" s="138" t="s">
        <v>3535</v>
      </c>
      <c r="B1485" s="53">
        <v>8623.0</v>
      </c>
      <c r="C1485" s="31">
        <v>0.05</v>
      </c>
      <c r="D1485" s="83">
        <v>0.78</v>
      </c>
      <c r="E1485" s="83">
        <v>0.78</v>
      </c>
      <c r="F1485" s="10"/>
      <c r="G1485" s="10"/>
      <c r="H1485" s="10"/>
      <c r="I1485" s="10"/>
      <c r="J1485" s="10"/>
      <c r="K1485" s="10"/>
      <c r="L1485" s="10"/>
      <c r="M1485" s="10"/>
      <c r="N1485" s="10"/>
      <c r="O1485" s="10"/>
    </row>
    <row r="1486">
      <c r="A1486" s="138" t="s">
        <v>3536</v>
      </c>
      <c r="B1486" s="53">
        <v>12221.0</v>
      </c>
      <c r="C1486" s="31">
        <v>0.05</v>
      </c>
      <c r="D1486" s="139">
        <v>0.64</v>
      </c>
      <c r="E1486" s="139">
        <v>0.64</v>
      </c>
      <c r="F1486" s="10"/>
      <c r="G1486" s="10"/>
      <c r="H1486" s="10"/>
      <c r="I1486" s="10"/>
      <c r="J1486" s="10"/>
      <c r="K1486" s="10"/>
      <c r="L1486" s="10"/>
      <c r="M1486" s="10"/>
      <c r="N1486" s="10"/>
      <c r="O1486" s="10"/>
    </row>
    <row r="1487">
      <c r="A1487" s="138" t="s">
        <v>3537</v>
      </c>
      <c r="B1487" s="53">
        <v>9672.0</v>
      </c>
      <c r="C1487" s="31">
        <v>0.05</v>
      </c>
      <c r="D1487" s="139">
        <v>0.64</v>
      </c>
      <c r="E1487" s="139">
        <v>0.64</v>
      </c>
      <c r="F1487" s="10"/>
      <c r="G1487" s="10"/>
      <c r="H1487" s="10"/>
      <c r="I1487" s="10"/>
      <c r="J1487" s="10"/>
      <c r="K1487" s="10"/>
      <c r="L1487" s="10"/>
      <c r="M1487" s="10"/>
      <c r="N1487" s="10"/>
      <c r="O1487" s="10"/>
    </row>
    <row r="1488">
      <c r="A1488" s="138" t="s">
        <v>3538</v>
      </c>
      <c r="B1488" s="53">
        <v>8096.0</v>
      </c>
      <c r="C1488" s="31">
        <v>0.05</v>
      </c>
      <c r="D1488" s="139">
        <v>0.64</v>
      </c>
      <c r="E1488" s="139">
        <v>0.64</v>
      </c>
      <c r="F1488" s="10"/>
      <c r="G1488" s="10"/>
      <c r="H1488" s="10"/>
      <c r="I1488" s="10"/>
      <c r="J1488" s="10"/>
      <c r="K1488" s="10"/>
      <c r="L1488" s="10"/>
      <c r="M1488" s="10"/>
      <c r="N1488" s="10"/>
      <c r="O1488" s="10"/>
    </row>
    <row r="1489">
      <c r="A1489" s="138" t="s">
        <v>3539</v>
      </c>
      <c r="B1489" s="53">
        <v>12259.0</v>
      </c>
      <c r="C1489" s="31">
        <v>0.05</v>
      </c>
      <c r="D1489" s="139">
        <v>0.64</v>
      </c>
      <c r="E1489" s="139">
        <v>0.64</v>
      </c>
      <c r="F1489" s="10"/>
      <c r="G1489" s="10"/>
      <c r="H1489" s="10"/>
      <c r="I1489" s="10"/>
      <c r="J1489" s="10"/>
      <c r="K1489" s="10"/>
      <c r="L1489" s="10"/>
      <c r="M1489" s="10"/>
      <c r="N1489" s="10"/>
      <c r="O1489" s="10"/>
    </row>
    <row r="1490">
      <c r="A1490" s="138" t="s">
        <v>3540</v>
      </c>
      <c r="B1490" s="53">
        <v>10368.0</v>
      </c>
      <c r="C1490" s="31">
        <v>0.05</v>
      </c>
      <c r="D1490" s="139">
        <v>0.64</v>
      </c>
      <c r="E1490" s="139">
        <v>0.64</v>
      </c>
      <c r="F1490" s="10"/>
      <c r="G1490" s="10"/>
      <c r="H1490" s="10"/>
      <c r="I1490" s="10"/>
      <c r="J1490" s="10"/>
      <c r="K1490" s="10"/>
      <c r="L1490" s="10"/>
      <c r="M1490" s="10"/>
      <c r="N1490" s="10"/>
      <c r="O1490" s="10"/>
    </row>
    <row r="1491">
      <c r="A1491" s="138" t="s">
        <v>3541</v>
      </c>
      <c r="B1491" s="53">
        <v>11768.0</v>
      </c>
      <c r="C1491" s="31">
        <v>0.05</v>
      </c>
      <c r="D1491" s="139">
        <v>0.64</v>
      </c>
      <c r="E1491" s="139">
        <v>0.64</v>
      </c>
      <c r="F1491" s="10"/>
      <c r="G1491" s="10"/>
      <c r="H1491" s="10"/>
      <c r="I1491" s="10"/>
      <c r="J1491" s="10"/>
      <c r="K1491" s="10"/>
      <c r="L1491" s="10"/>
      <c r="M1491" s="10"/>
      <c r="N1491" s="10"/>
      <c r="O1491" s="10"/>
    </row>
    <row r="1492">
      <c r="A1492" s="138" t="s">
        <v>3542</v>
      </c>
      <c r="B1492" s="53">
        <v>7866.0</v>
      </c>
      <c r="C1492" s="31">
        <v>0.05</v>
      </c>
      <c r="D1492" s="139">
        <v>0.64</v>
      </c>
      <c r="E1492" s="139">
        <v>0.64</v>
      </c>
      <c r="F1492" s="10"/>
      <c r="G1492" s="10"/>
      <c r="H1492" s="10"/>
      <c r="I1492" s="10"/>
      <c r="J1492" s="10"/>
      <c r="K1492" s="10"/>
      <c r="L1492" s="10"/>
      <c r="M1492" s="10"/>
      <c r="N1492" s="10"/>
      <c r="O1492" s="10"/>
    </row>
    <row r="1493">
      <c r="A1493" s="138" t="s">
        <v>3543</v>
      </c>
      <c r="B1493" s="53">
        <v>7518.0</v>
      </c>
      <c r="C1493" s="31">
        <v>0.05</v>
      </c>
      <c r="D1493" s="139">
        <v>0.64</v>
      </c>
      <c r="E1493" s="139">
        <v>0.64</v>
      </c>
      <c r="F1493" s="10"/>
      <c r="G1493" s="10"/>
      <c r="H1493" s="10"/>
      <c r="I1493" s="10"/>
      <c r="J1493" s="10"/>
      <c r="K1493" s="10"/>
      <c r="L1493" s="10"/>
      <c r="M1493" s="10"/>
      <c r="N1493" s="10"/>
      <c r="O1493" s="10"/>
    </row>
    <row r="1494">
      <c r="A1494" s="138" t="s">
        <v>3544</v>
      </c>
      <c r="B1494" s="53">
        <v>12575.0</v>
      </c>
      <c r="C1494" s="31">
        <v>0.05</v>
      </c>
      <c r="D1494" s="139">
        <v>0.64</v>
      </c>
      <c r="E1494" s="139">
        <v>0.64</v>
      </c>
      <c r="F1494" s="10"/>
      <c r="G1494" s="10"/>
      <c r="H1494" s="10"/>
      <c r="I1494" s="10"/>
      <c r="J1494" s="10"/>
      <c r="K1494" s="10"/>
      <c r="L1494" s="10"/>
      <c r="M1494" s="10"/>
      <c r="N1494" s="10"/>
      <c r="O1494" s="10"/>
    </row>
    <row r="1495">
      <c r="A1495" s="138" t="s">
        <v>3545</v>
      </c>
      <c r="B1495" s="53">
        <v>10861.0</v>
      </c>
      <c r="C1495" s="31">
        <v>0.05</v>
      </c>
      <c r="D1495" s="139">
        <v>0.64</v>
      </c>
      <c r="E1495" s="139">
        <v>0.64</v>
      </c>
      <c r="F1495" s="10"/>
      <c r="G1495" s="10"/>
      <c r="H1495" s="10"/>
      <c r="I1495" s="10"/>
      <c r="J1495" s="10"/>
      <c r="K1495" s="10"/>
      <c r="L1495" s="10"/>
      <c r="M1495" s="10"/>
      <c r="N1495" s="10"/>
      <c r="O1495" s="10"/>
    </row>
    <row r="1496">
      <c r="A1496" s="138" t="s">
        <v>3465</v>
      </c>
      <c r="B1496" s="53">
        <v>14681.0</v>
      </c>
      <c r="C1496" s="31">
        <v>0.05</v>
      </c>
      <c r="D1496" s="139">
        <v>0.64</v>
      </c>
      <c r="E1496" s="139">
        <v>0.64</v>
      </c>
      <c r="F1496" s="10"/>
      <c r="G1496" s="10"/>
      <c r="H1496" s="10"/>
      <c r="I1496" s="10"/>
      <c r="J1496" s="10"/>
      <c r="K1496" s="10"/>
      <c r="L1496" s="10"/>
      <c r="M1496" s="10"/>
      <c r="N1496" s="10"/>
      <c r="O1496" s="10"/>
    </row>
    <row r="1497">
      <c r="A1497" s="138" t="s">
        <v>3467</v>
      </c>
      <c r="B1497" s="53">
        <v>14746.0</v>
      </c>
      <c r="C1497" s="31">
        <v>0.05</v>
      </c>
      <c r="D1497" s="139">
        <v>0.64</v>
      </c>
      <c r="E1497" s="139">
        <v>0.64</v>
      </c>
      <c r="F1497" s="10"/>
      <c r="G1497" s="10"/>
      <c r="H1497" s="10"/>
      <c r="I1497" s="10"/>
      <c r="J1497" s="10"/>
      <c r="K1497" s="10"/>
      <c r="L1497" s="10"/>
      <c r="M1497" s="10"/>
      <c r="N1497" s="10"/>
      <c r="O1497" s="10"/>
    </row>
    <row r="1498">
      <c r="A1498" s="138" t="s">
        <v>3469</v>
      </c>
      <c r="B1498" s="52"/>
      <c r="C1498" s="31">
        <v>0.05</v>
      </c>
      <c r="D1498" s="139">
        <v>0.64</v>
      </c>
      <c r="E1498" s="139">
        <v>0.64</v>
      </c>
      <c r="F1498" s="10"/>
      <c r="G1498" s="10"/>
      <c r="H1498" s="10"/>
      <c r="I1498" s="10"/>
      <c r="J1498" s="10"/>
      <c r="K1498" s="10"/>
      <c r="L1498" s="10"/>
      <c r="M1498" s="10"/>
      <c r="N1498" s="10"/>
      <c r="O1498" s="10"/>
    </row>
    <row r="1499">
      <c r="A1499" s="138" t="s">
        <v>3471</v>
      </c>
      <c r="B1499" s="37">
        <v>14540.0</v>
      </c>
      <c r="C1499" s="31">
        <v>0.05</v>
      </c>
      <c r="D1499" s="139">
        <v>0.64</v>
      </c>
      <c r="E1499" s="139">
        <v>0.64</v>
      </c>
      <c r="F1499" s="10"/>
      <c r="G1499" s="10"/>
      <c r="H1499" s="10"/>
      <c r="I1499" s="10"/>
      <c r="J1499" s="10"/>
      <c r="K1499" s="10"/>
      <c r="L1499" s="10"/>
      <c r="M1499" s="10"/>
      <c r="N1499" s="10"/>
      <c r="O1499" s="10"/>
    </row>
    <row r="1500">
      <c r="A1500" s="138" t="s">
        <v>3473</v>
      </c>
      <c r="B1500" s="52"/>
      <c r="C1500" s="31">
        <v>0.05</v>
      </c>
      <c r="D1500" s="139">
        <v>0.64</v>
      </c>
      <c r="E1500" s="139">
        <v>0.64</v>
      </c>
      <c r="F1500" s="10"/>
      <c r="G1500" s="10"/>
      <c r="H1500" s="10"/>
      <c r="I1500" s="10"/>
      <c r="J1500" s="10"/>
      <c r="K1500" s="10"/>
      <c r="L1500" s="10"/>
      <c r="M1500" s="10"/>
      <c r="N1500" s="10"/>
      <c r="O1500" s="10"/>
    </row>
    <row r="1501">
      <c r="A1501" s="138" t="s">
        <v>3546</v>
      </c>
      <c r="B1501" s="53">
        <v>14747.0</v>
      </c>
      <c r="C1501" s="31">
        <v>0.05</v>
      </c>
      <c r="D1501" s="139">
        <v>0.64</v>
      </c>
      <c r="E1501" s="139">
        <v>0.64</v>
      </c>
      <c r="F1501" s="10"/>
      <c r="G1501" s="10"/>
      <c r="H1501" s="10"/>
      <c r="I1501" s="10"/>
      <c r="J1501" s="10"/>
      <c r="K1501" s="10"/>
      <c r="L1501" s="10"/>
      <c r="M1501" s="10"/>
      <c r="N1501" s="10"/>
      <c r="O1501" s="10"/>
    </row>
    <row r="1502">
      <c r="A1502" s="53"/>
      <c r="B1502" s="53"/>
      <c r="C1502" s="53"/>
      <c r="D1502" s="10"/>
      <c r="E1502" s="10"/>
      <c r="F1502" s="10"/>
      <c r="G1502" s="10"/>
      <c r="H1502" s="10"/>
      <c r="I1502" s="10"/>
      <c r="J1502" s="10"/>
      <c r="K1502" s="10"/>
      <c r="L1502" s="10"/>
      <c r="M1502" s="10"/>
      <c r="N1502" s="10"/>
      <c r="O1502" s="10"/>
    </row>
    <row r="1503">
      <c r="A1503" s="52"/>
      <c r="B1503" s="52"/>
      <c r="C1503" s="52"/>
      <c r="D1503" s="10"/>
      <c r="E1503" s="10"/>
      <c r="F1503" s="10"/>
      <c r="G1503" s="10"/>
      <c r="H1503" s="10"/>
      <c r="I1503" s="10"/>
      <c r="J1503" s="10"/>
      <c r="K1503" s="10"/>
      <c r="L1503" s="10"/>
      <c r="M1503" s="10"/>
      <c r="N1503" s="10"/>
      <c r="O1503" s="10"/>
    </row>
    <row r="1504">
      <c r="A1504" s="52"/>
      <c r="B1504" s="52"/>
      <c r="C1504" s="52"/>
      <c r="D1504" s="10"/>
      <c r="E1504" s="10"/>
      <c r="F1504" s="10"/>
      <c r="G1504" s="10"/>
      <c r="H1504" s="10"/>
      <c r="I1504" s="10"/>
      <c r="J1504" s="10"/>
      <c r="K1504" s="10"/>
      <c r="L1504" s="10"/>
      <c r="M1504" s="10"/>
      <c r="N1504" s="10"/>
      <c r="O1504" s="10"/>
    </row>
    <row r="1505">
      <c r="A1505" s="52"/>
      <c r="B1505" s="52"/>
      <c r="C1505" s="52"/>
      <c r="D1505" s="10"/>
      <c r="E1505" s="10"/>
      <c r="F1505" s="10"/>
      <c r="G1505" s="10"/>
      <c r="H1505" s="10"/>
      <c r="I1505" s="10"/>
      <c r="J1505" s="10"/>
      <c r="K1505" s="10"/>
      <c r="L1505" s="10"/>
      <c r="M1505" s="10"/>
      <c r="N1505" s="10"/>
      <c r="O1505" s="10"/>
    </row>
    <row r="1506">
      <c r="A1506" s="52"/>
      <c r="B1506" s="52"/>
      <c r="C1506" s="52"/>
      <c r="D1506" s="10"/>
      <c r="E1506" s="10"/>
      <c r="F1506" s="10"/>
      <c r="G1506" s="10"/>
      <c r="H1506" s="10"/>
      <c r="I1506" s="10"/>
      <c r="J1506" s="10"/>
      <c r="K1506" s="10"/>
      <c r="L1506" s="10"/>
      <c r="M1506" s="10"/>
      <c r="N1506" s="10"/>
      <c r="O1506" s="10"/>
    </row>
    <row r="1507">
      <c r="A1507" s="52"/>
      <c r="B1507" s="52"/>
      <c r="C1507" s="52"/>
      <c r="D1507" s="10"/>
      <c r="E1507" s="10"/>
      <c r="F1507" s="10"/>
      <c r="G1507" s="10"/>
      <c r="H1507" s="10"/>
      <c r="I1507" s="10"/>
      <c r="J1507" s="10"/>
      <c r="K1507" s="10"/>
      <c r="L1507" s="10"/>
      <c r="M1507" s="10"/>
      <c r="N1507" s="10"/>
      <c r="O1507" s="10"/>
    </row>
    <row r="1508">
      <c r="A1508" s="52"/>
      <c r="B1508" s="52"/>
      <c r="C1508" s="52"/>
      <c r="D1508" s="10"/>
      <c r="E1508" s="10"/>
      <c r="F1508" s="10"/>
      <c r="G1508" s="10"/>
      <c r="H1508" s="10"/>
      <c r="I1508" s="10"/>
      <c r="J1508" s="10"/>
      <c r="K1508" s="10"/>
      <c r="L1508" s="10"/>
      <c r="M1508" s="10"/>
      <c r="N1508" s="10"/>
      <c r="O1508" s="10"/>
    </row>
    <row r="1509">
      <c r="A1509" s="52"/>
      <c r="B1509" s="52"/>
      <c r="C1509" s="52"/>
      <c r="D1509" s="10"/>
      <c r="E1509" s="10"/>
      <c r="F1509" s="10"/>
      <c r="G1509" s="10"/>
      <c r="H1509" s="10"/>
      <c r="I1509" s="10"/>
      <c r="J1509" s="10"/>
      <c r="K1509" s="10"/>
      <c r="L1509" s="10"/>
      <c r="M1509" s="10"/>
      <c r="N1509" s="10"/>
      <c r="O1509" s="10"/>
    </row>
    <row r="1510">
      <c r="A1510" s="52"/>
      <c r="B1510" s="52"/>
      <c r="C1510" s="52"/>
      <c r="D1510" s="10"/>
      <c r="E1510" s="10"/>
      <c r="F1510" s="10"/>
      <c r="G1510" s="10"/>
      <c r="H1510" s="10"/>
      <c r="I1510" s="10"/>
      <c r="J1510" s="10"/>
      <c r="K1510" s="10"/>
      <c r="L1510" s="10"/>
      <c r="M1510" s="10"/>
      <c r="N1510" s="10"/>
      <c r="O1510" s="10"/>
    </row>
    <row r="1511">
      <c r="A1511" s="52"/>
      <c r="B1511" s="52"/>
      <c r="C1511" s="53"/>
      <c r="D1511" s="10"/>
      <c r="E1511" s="10"/>
      <c r="F1511" s="10"/>
      <c r="G1511" s="10"/>
      <c r="H1511" s="10"/>
      <c r="I1511" s="10"/>
      <c r="J1511" s="10"/>
      <c r="K1511" s="10"/>
      <c r="L1511" s="10"/>
      <c r="M1511" s="10"/>
      <c r="N1511" s="10"/>
      <c r="O1511" s="10"/>
    </row>
    <row r="1512">
      <c r="A1512" s="52"/>
      <c r="B1512" s="52"/>
      <c r="C1512" s="53"/>
      <c r="D1512" s="10"/>
      <c r="E1512" s="10"/>
      <c r="F1512" s="10"/>
      <c r="G1512" s="10"/>
      <c r="H1512" s="10"/>
      <c r="I1512" s="10"/>
      <c r="J1512" s="10"/>
      <c r="K1512" s="10"/>
      <c r="L1512" s="10"/>
      <c r="M1512" s="10"/>
      <c r="N1512" s="10"/>
      <c r="O1512" s="10"/>
    </row>
    <row r="1513">
      <c r="A1513" s="52"/>
      <c r="B1513" s="52"/>
      <c r="C1513" s="53"/>
      <c r="D1513" s="10"/>
      <c r="E1513" s="10"/>
      <c r="F1513" s="10"/>
      <c r="G1513" s="10"/>
      <c r="H1513" s="10"/>
      <c r="I1513" s="10"/>
      <c r="J1513" s="10"/>
      <c r="K1513" s="10"/>
      <c r="L1513" s="10"/>
      <c r="M1513" s="10"/>
      <c r="N1513" s="10"/>
      <c r="O1513" s="10"/>
    </row>
    <row r="1514">
      <c r="A1514" s="52"/>
      <c r="B1514" s="52"/>
      <c r="C1514" s="53"/>
      <c r="D1514" s="10"/>
      <c r="E1514" s="10"/>
      <c r="F1514" s="10"/>
      <c r="G1514" s="10"/>
      <c r="H1514" s="10"/>
      <c r="I1514" s="10"/>
      <c r="J1514" s="10"/>
      <c r="K1514" s="10"/>
      <c r="L1514" s="10"/>
      <c r="M1514" s="10"/>
      <c r="N1514" s="10"/>
      <c r="O1514" s="10"/>
    </row>
    <row r="1515">
      <c r="A1515" s="138"/>
      <c r="B1515" s="52"/>
      <c r="C1515" s="53"/>
      <c r="D1515" s="10"/>
      <c r="E1515" s="10"/>
      <c r="F1515" s="10"/>
      <c r="G1515" s="10"/>
      <c r="H1515" s="10"/>
      <c r="I1515" s="10"/>
      <c r="J1515" s="10"/>
      <c r="K1515" s="10"/>
      <c r="L1515" s="10"/>
      <c r="M1515" s="10"/>
      <c r="N1515" s="10"/>
      <c r="O1515" s="10"/>
    </row>
    <row r="1516">
      <c r="A1516" s="138"/>
      <c r="B1516" s="52"/>
      <c r="C1516" s="53"/>
      <c r="D1516" s="10"/>
      <c r="E1516" s="10"/>
      <c r="F1516" s="10"/>
      <c r="G1516" s="10"/>
      <c r="H1516" s="10"/>
      <c r="I1516" s="10"/>
      <c r="J1516" s="10"/>
      <c r="K1516" s="10"/>
      <c r="L1516" s="10"/>
      <c r="M1516" s="10"/>
      <c r="N1516" s="10"/>
      <c r="O1516" s="10"/>
    </row>
    <row r="1517">
      <c r="A1517" s="138"/>
      <c r="B1517" s="52"/>
      <c r="C1517" s="53"/>
      <c r="D1517" s="10"/>
      <c r="E1517" s="10"/>
      <c r="F1517" s="10"/>
      <c r="G1517" s="10"/>
      <c r="H1517" s="10"/>
      <c r="I1517" s="10"/>
      <c r="J1517" s="10"/>
      <c r="K1517" s="10"/>
      <c r="L1517" s="10"/>
      <c r="M1517" s="10"/>
      <c r="N1517" s="10"/>
      <c r="O1517" s="10"/>
    </row>
    <row r="1518">
      <c r="A1518" s="138"/>
      <c r="B1518" s="52"/>
      <c r="C1518" s="53"/>
      <c r="D1518" s="10"/>
      <c r="E1518" s="10"/>
      <c r="F1518" s="10"/>
      <c r="G1518" s="10"/>
      <c r="H1518" s="10"/>
      <c r="I1518" s="10"/>
      <c r="J1518" s="10"/>
      <c r="K1518" s="10"/>
      <c r="L1518" s="10"/>
      <c r="M1518" s="10"/>
      <c r="N1518" s="10"/>
      <c r="O1518" s="10"/>
    </row>
    <row r="1519">
      <c r="A1519" s="138"/>
      <c r="B1519" s="52"/>
      <c r="C1519" s="53"/>
      <c r="D1519" s="10"/>
      <c r="E1519" s="10"/>
      <c r="F1519" s="10"/>
      <c r="G1519" s="10"/>
      <c r="H1519" s="10"/>
      <c r="I1519" s="10"/>
      <c r="J1519" s="10"/>
      <c r="K1519" s="10"/>
      <c r="L1519" s="10"/>
      <c r="M1519" s="10"/>
      <c r="N1519" s="10"/>
      <c r="O1519" s="10"/>
    </row>
    <row r="1520">
      <c r="A1520" s="138"/>
      <c r="B1520" s="52"/>
      <c r="C1520" s="53"/>
      <c r="D1520" s="10"/>
      <c r="E1520" s="10"/>
      <c r="F1520" s="10"/>
      <c r="G1520" s="10"/>
      <c r="H1520" s="10"/>
      <c r="I1520" s="10"/>
      <c r="J1520" s="10"/>
      <c r="K1520" s="10"/>
      <c r="L1520" s="10"/>
      <c r="M1520" s="10"/>
      <c r="N1520" s="10"/>
      <c r="O1520" s="10"/>
    </row>
    <row r="1521">
      <c r="A1521" s="138"/>
      <c r="B1521" s="52"/>
      <c r="C1521" s="53"/>
      <c r="D1521" s="10"/>
      <c r="E1521" s="10"/>
      <c r="F1521" s="10"/>
      <c r="G1521" s="10"/>
      <c r="H1521" s="10"/>
      <c r="I1521" s="10"/>
      <c r="J1521" s="10"/>
      <c r="K1521" s="10"/>
      <c r="L1521" s="10"/>
      <c r="M1521" s="10"/>
      <c r="N1521" s="10"/>
      <c r="O1521" s="10"/>
    </row>
    <row r="1522">
      <c r="A1522" s="138"/>
      <c r="B1522" s="52"/>
      <c r="C1522" s="53"/>
      <c r="D1522" s="10"/>
      <c r="E1522" s="10"/>
      <c r="F1522" s="10"/>
      <c r="G1522" s="10"/>
      <c r="H1522" s="10"/>
      <c r="I1522" s="10"/>
      <c r="J1522" s="10"/>
      <c r="K1522" s="10"/>
      <c r="L1522" s="10"/>
      <c r="M1522" s="10"/>
      <c r="N1522" s="10"/>
      <c r="O1522" s="10"/>
    </row>
    <row r="1523">
      <c r="A1523" s="138"/>
      <c r="B1523" s="52"/>
      <c r="C1523" s="53"/>
      <c r="D1523" s="10"/>
      <c r="E1523" s="10"/>
      <c r="F1523" s="10"/>
      <c r="G1523" s="10"/>
      <c r="H1523" s="10"/>
      <c r="I1523" s="10"/>
      <c r="J1523" s="10"/>
      <c r="K1523" s="10"/>
      <c r="L1523" s="10"/>
      <c r="M1523" s="10"/>
      <c r="N1523" s="10"/>
      <c r="O1523" s="10"/>
    </row>
    <row r="1524">
      <c r="A1524" s="138"/>
      <c r="B1524" s="52"/>
      <c r="C1524" s="53"/>
      <c r="D1524" s="10"/>
      <c r="E1524" s="10"/>
      <c r="F1524" s="10"/>
      <c r="G1524" s="10"/>
      <c r="H1524" s="10"/>
      <c r="I1524" s="10"/>
      <c r="J1524" s="10"/>
      <c r="K1524" s="10"/>
      <c r="L1524" s="10"/>
      <c r="M1524" s="10"/>
      <c r="N1524" s="10"/>
      <c r="O1524" s="10"/>
    </row>
    <row r="1525">
      <c r="A1525" s="138"/>
      <c r="B1525" s="52"/>
      <c r="C1525" s="53"/>
      <c r="D1525" s="10"/>
      <c r="E1525" s="10"/>
      <c r="F1525" s="10"/>
      <c r="G1525" s="10"/>
      <c r="H1525" s="10"/>
      <c r="I1525" s="10"/>
      <c r="J1525" s="10"/>
      <c r="K1525" s="10"/>
      <c r="L1525" s="10"/>
      <c r="M1525" s="10"/>
      <c r="N1525" s="10"/>
      <c r="O1525" s="10"/>
    </row>
    <row r="1526">
      <c r="A1526" s="52"/>
      <c r="B1526" s="52"/>
      <c r="C1526" s="53"/>
      <c r="D1526" s="10"/>
      <c r="E1526" s="10"/>
      <c r="F1526" s="10"/>
      <c r="G1526" s="10"/>
      <c r="H1526" s="10"/>
      <c r="I1526" s="10"/>
      <c r="J1526" s="10"/>
      <c r="K1526" s="10"/>
      <c r="L1526" s="10"/>
      <c r="M1526" s="10"/>
      <c r="N1526" s="10"/>
      <c r="O1526" s="10"/>
    </row>
    <row r="1527">
      <c r="A1527" s="52"/>
      <c r="B1527" s="52"/>
      <c r="C1527" s="53"/>
      <c r="D1527" s="10"/>
      <c r="E1527" s="10"/>
      <c r="F1527" s="10"/>
      <c r="G1527" s="10"/>
      <c r="H1527" s="10"/>
      <c r="I1527" s="10"/>
      <c r="J1527" s="10"/>
      <c r="K1527" s="10"/>
      <c r="L1527" s="10"/>
      <c r="M1527" s="10"/>
      <c r="N1527" s="10"/>
      <c r="O1527" s="10"/>
    </row>
    <row r="1528">
      <c r="A1528" s="52"/>
      <c r="B1528" s="52"/>
      <c r="C1528" s="53"/>
      <c r="D1528" s="10"/>
      <c r="E1528" s="10"/>
      <c r="F1528" s="10"/>
      <c r="G1528" s="10"/>
      <c r="H1528" s="10"/>
      <c r="I1528" s="10"/>
      <c r="J1528" s="10"/>
      <c r="K1528" s="10"/>
      <c r="L1528" s="10"/>
      <c r="M1528" s="10"/>
      <c r="N1528" s="10"/>
      <c r="O1528" s="10"/>
    </row>
    <row r="1529">
      <c r="A1529" s="52"/>
      <c r="B1529" s="52"/>
      <c r="C1529" s="53"/>
      <c r="D1529" s="10"/>
      <c r="E1529" s="10"/>
      <c r="F1529" s="10"/>
      <c r="G1529" s="10"/>
      <c r="H1529" s="10"/>
      <c r="I1529" s="10"/>
      <c r="J1529" s="10"/>
      <c r="K1529" s="10"/>
      <c r="L1529" s="10"/>
      <c r="M1529" s="10"/>
      <c r="N1529" s="10"/>
      <c r="O1529" s="10"/>
    </row>
    <row r="1530">
      <c r="A1530" s="52"/>
      <c r="B1530" s="52"/>
      <c r="C1530" s="53"/>
      <c r="D1530" s="10"/>
      <c r="E1530" s="10"/>
      <c r="F1530" s="10"/>
      <c r="G1530" s="10"/>
      <c r="H1530" s="10"/>
      <c r="I1530" s="10"/>
      <c r="J1530" s="10"/>
      <c r="K1530" s="10"/>
      <c r="L1530" s="10"/>
      <c r="M1530" s="10"/>
      <c r="N1530" s="10"/>
      <c r="O1530" s="10"/>
    </row>
    <row r="1531">
      <c r="A1531" s="52"/>
      <c r="B1531" s="52"/>
      <c r="C1531" s="53"/>
      <c r="D1531" s="10"/>
      <c r="E1531" s="10"/>
      <c r="F1531" s="10"/>
      <c r="G1531" s="10"/>
      <c r="H1531" s="10"/>
      <c r="I1531" s="10"/>
      <c r="J1531" s="10"/>
      <c r="K1531" s="10"/>
      <c r="L1531" s="10"/>
      <c r="M1531" s="10"/>
      <c r="N1531" s="10"/>
      <c r="O1531" s="10"/>
    </row>
    <row r="1532">
      <c r="A1532" s="52"/>
      <c r="B1532" s="52"/>
      <c r="C1532" s="53"/>
      <c r="D1532" s="10"/>
      <c r="E1532" s="10"/>
      <c r="F1532" s="10"/>
      <c r="G1532" s="10"/>
      <c r="H1532" s="10"/>
      <c r="I1532" s="10"/>
      <c r="J1532" s="10"/>
      <c r="K1532" s="10"/>
      <c r="L1532" s="10"/>
      <c r="M1532" s="10"/>
      <c r="N1532" s="10"/>
      <c r="O1532" s="10"/>
    </row>
    <row r="1533">
      <c r="A1533" s="52"/>
      <c r="B1533" s="52"/>
      <c r="C1533" s="53"/>
      <c r="D1533" s="10"/>
      <c r="E1533" s="10"/>
      <c r="F1533" s="10"/>
      <c r="G1533" s="10"/>
      <c r="H1533" s="10"/>
      <c r="I1533" s="10"/>
      <c r="J1533" s="10"/>
      <c r="K1533" s="10"/>
      <c r="L1533" s="10"/>
      <c r="M1533" s="10"/>
      <c r="N1533" s="10"/>
      <c r="O1533" s="10"/>
    </row>
    <row r="1534">
      <c r="A1534" s="52"/>
      <c r="B1534" s="52"/>
      <c r="C1534" s="53"/>
      <c r="D1534" s="10"/>
      <c r="E1534" s="10"/>
      <c r="F1534" s="10"/>
      <c r="G1534" s="10"/>
      <c r="H1534" s="10"/>
      <c r="I1534" s="10"/>
      <c r="J1534" s="10"/>
      <c r="K1534" s="10"/>
      <c r="L1534" s="10"/>
      <c r="M1534" s="10"/>
      <c r="N1534" s="10"/>
      <c r="O1534" s="10"/>
    </row>
    <row r="1535">
      <c r="A1535" s="52"/>
      <c r="B1535" s="52"/>
      <c r="C1535" s="53"/>
      <c r="D1535" s="10"/>
      <c r="E1535" s="10"/>
      <c r="F1535" s="10"/>
      <c r="G1535" s="10"/>
      <c r="H1535" s="10"/>
      <c r="I1535" s="10"/>
      <c r="J1535" s="10"/>
      <c r="K1535" s="10"/>
      <c r="L1535" s="10"/>
      <c r="M1535" s="10"/>
      <c r="N1535" s="10"/>
      <c r="O1535" s="10"/>
    </row>
    <row r="1536">
      <c r="A1536" s="52"/>
      <c r="B1536" s="52"/>
      <c r="C1536" s="53"/>
      <c r="D1536" s="10"/>
      <c r="E1536" s="10"/>
      <c r="F1536" s="10"/>
      <c r="G1536" s="10"/>
      <c r="H1536" s="10"/>
      <c r="I1536" s="10"/>
      <c r="J1536" s="10"/>
      <c r="K1536" s="10"/>
      <c r="L1536" s="10"/>
      <c r="M1536" s="10"/>
      <c r="N1536" s="10"/>
      <c r="O1536" s="10"/>
    </row>
    <row r="1537">
      <c r="A1537" s="52"/>
      <c r="B1537" s="52"/>
      <c r="C1537" s="53"/>
      <c r="D1537" s="10"/>
      <c r="E1537" s="10"/>
      <c r="F1537" s="10"/>
      <c r="G1537" s="10"/>
      <c r="H1537" s="10"/>
      <c r="I1537" s="10"/>
      <c r="J1537" s="10"/>
      <c r="K1537" s="10"/>
      <c r="L1537" s="10"/>
      <c r="M1537" s="10"/>
      <c r="N1537" s="10"/>
      <c r="O1537" s="10"/>
    </row>
    <row r="1538">
      <c r="A1538" s="138"/>
      <c r="B1538" s="52"/>
      <c r="C1538" s="53"/>
      <c r="D1538" s="10"/>
      <c r="E1538" s="10"/>
      <c r="F1538" s="10"/>
      <c r="G1538" s="10"/>
      <c r="H1538" s="10"/>
      <c r="I1538" s="10"/>
      <c r="J1538" s="10"/>
      <c r="K1538" s="10"/>
      <c r="L1538" s="10"/>
      <c r="M1538" s="10"/>
      <c r="N1538" s="10"/>
      <c r="O1538" s="10"/>
    </row>
    <row r="1539">
      <c r="A1539" s="138"/>
      <c r="B1539" s="52"/>
      <c r="C1539" s="53"/>
      <c r="D1539" s="10"/>
      <c r="E1539" s="10"/>
      <c r="F1539" s="10"/>
      <c r="G1539" s="10"/>
      <c r="H1539" s="10"/>
      <c r="I1539" s="10"/>
      <c r="J1539" s="10"/>
      <c r="K1539" s="10"/>
      <c r="L1539" s="10"/>
      <c r="M1539" s="10"/>
      <c r="N1539" s="10"/>
      <c r="O1539" s="10"/>
    </row>
    <row r="1540">
      <c r="A1540" s="138"/>
      <c r="B1540" s="52"/>
      <c r="C1540" s="53"/>
      <c r="D1540" s="10"/>
      <c r="E1540" s="10"/>
      <c r="F1540" s="10"/>
      <c r="G1540" s="10"/>
      <c r="H1540" s="10"/>
      <c r="I1540" s="10"/>
      <c r="J1540" s="10"/>
      <c r="K1540" s="10"/>
      <c r="L1540" s="10"/>
      <c r="M1540" s="10"/>
      <c r="N1540" s="10"/>
      <c r="O1540" s="10"/>
    </row>
    <row r="1541">
      <c r="A1541" s="138"/>
      <c r="B1541" s="52"/>
      <c r="C1541" s="53"/>
      <c r="D1541" s="10"/>
      <c r="E1541" s="10"/>
      <c r="F1541" s="10"/>
      <c r="G1541" s="10"/>
      <c r="H1541" s="10"/>
      <c r="I1541" s="10"/>
      <c r="J1541" s="10"/>
      <c r="K1541" s="10"/>
      <c r="L1541" s="10"/>
      <c r="M1541" s="10"/>
      <c r="N1541" s="10"/>
      <c r="O1541" s="10"/>
    </row>
    <row r="1542">
      <c r="A1542" s="138"/>
      <c r="B1542" s="52"/>
      <c r="C1542" s="53"/>
      <c r="D1542" s="10"/>
      <c r="E1542" s="10"/>
      <c r="F1542" s="10"/>
      <c r="G1542" s="10"/>
      <c r="H1542" s="10"/>
      <c r="I1542" s="10"/>
      <c r="J1542" s="10"/>
      <c r="K1542" s="10"/>
      <c r="L1542" s="10"/>
      <c r="M1542" s="10"/>
      <c r="N1542" s="10"/>
      <c r="O1542" s="10"/>
    </row>
    <row r="1543">
      <c r="A1543" s="138"/>
      <c r="B1543" s="52"/>
      <c r="C1543" s="53"/>
      <c r="D1543" s="10"/>
      <c r="E1543" s="10"/>
      <c r="F1543" s="10"/>
      <c r="G1543" s="10"/>
      <c r="H1543" s="10"/>
      <c r="I1543" s="10"/>
      <c r="J1543" s="10"/>
      <c r="K1543" s="10"/>
      <c r="L1543" s="10"/>
      <c r="M1543" s="10"/>
      <c r="N1543" s="10"/>
      <c r="O1543" s="10"/>
    </row>
    <row r="1544">
      <c r="A1544" s="138"/>
      <c r="B1544" s="52"/>
      <c r="C1544" s="53"/>
      <c r="D1544" s="10"/>
      <c r="E1544" s="10"/>
      <c r="F1544" s="10"/>
      <c r="G1544" s="10"/>
      <c r="H1544" s="10"/>
      <c r="I1544" s="10"/>
      <c r="J1544" s="10"/>
      <c r="K1544" s="10"/>
      <c r="L1544" s="10"/>
      <c r="M1544" s="10"/>
      <c r="N1544" s="10"/>
      <c r="O1544" s="10"/>
    </row>
    <row r="1545">
      <c r="A1545" s="138"/>
      <c r="B1545" s="52"/>
      <c r="C1545" s="53"/>
      <c r="D1545" s="10"/>
      <c r="E1545" s="10"/>
      <c r="F1545" s="10"/>
      <c r="G1545" s="10"/>
      <c r="H1545" s="10"/>
      <c r="I1545" s="10"/>
      <c r="J1545" s="10"/>
      <c r="K1545" s="10"/>
      <c r="L1545" s="10"/>
      <c r="M1545" s="10"/>
      <c r="N1545" s="10"/>
      <c r="O1545" s="10"/>
    </row>
    <row r="1546">
      <c r="A1546" s="138"/>
      <c r="B1546" s="52"/>
      <c r="C1546" s="53"/>
      <c r="D1546" s="10"/>
      <c r="E1546" s="10"/>
      <c r="F1546" s="10"/>
      <c r="G1546" s="10"/>
      <c r="H1546" s="10"/>
      <c r="I1546" s="10"/>
      <c r="J1546" s="10"/>
      <c r="K1546" s="10"/>
      <c r="L1546" s="10"/>
      <c r="M1546" s="10"/>
      <c r="N1546" s="10"/>
      <c r="O1546" s="10"/>
    </row>
    <row r="1547">
      <c r="A1547" s="138"/>
      <c r="B1547" s="52"/>
      <c r="C1547" s="53"/>
      <c r="D1547" s="10"/>
      <c r="E1547" s="10"/>
      <c r="F1547" s="10"/>
      <c r="G1547" s="10"/>
      <c r="H1547" s="10"/>
      <c r="I1547" s="10"/>
      <c r="J1547" s="10"/>
      <c r="K1547" s="10"/>
      <c r="L1547" s="10"/>
      <c r="M1547" s="10"/>
      <c r="N1547" s="10"/>
      <c r="O1547" s="10"/>
    </row>
    <row r="1548">
      <c r="A1548" s="138"/>
      <c r="B1548" s="52"/>
      <c r="C1548" s="53"/>
      <c r="D1548" s="10"/>
      <c r="E1548" s="10"/>
      <c r="F1548" s="10"/>
      <c r="G1548" s="10"/>
      <c r="H1548" s="10"/>
      <c r="I1548" s="10"/>
      <c r="J1548" s="10"/>
      <c r="K1548" s="10"/>
      <c r="L1548" s="10"/>
      <c r="M1548" s="10"/>
      <c r="N1548" s="10"/>
      <c r="O1548" s="10"/>
    </row>
    <row r="1549">
      <c r="A1549" s="138"/>
      <c r="B1549" s="52"/>
      <c r="C1549" s="53"/>
      <c r="D1549" s="10"/>
      <c r="E1549" s="10"/>
      <c r="F1549" s="10"/>
      <c r="G1549" s="10"/>
      <c r="H1549" s="10"/>
      <c r="I1549" s="10"/>
      <c r="J1549" s="10"/>
      <c r="K1549" s="10"/>
      <c r="L1549" s="10"/>
      <c r="M1549" s="10"/>
      <c r="N1549" s="10"/>
      <c r="O1549" s="10"/>
    </row>
    <row r="1550">
      <c r="A1550" s="138"/>
      <c r="B1550" s="52"/>
      <c r="C1550" s="53"/>
      <c r="D1550" s="10"/>
      <c r="E1550" s="10"/>
      <c r="F1550" s="10"/>
      <c r="G1550" s="10"/>
      <c r="H1550" s="10"/>
      <c r="I1550" s="10"/>
      <c r="J1550" s="10"/>
      <c r="K1550" s="10"/>
      <c r="L1550" s="10"/>
      <c r="M1550" s="10"/>
      <c r="N1550" s="10"/>
      <c r="O1550" s="10"/>
    </row>
    <row r="1551">
      <c r="A1551" s="138"/>
      <c r="B1551" s="52"/>
      <c r="C1551" s="53"/>
      <c r="D1551" s="10"/>
      <c r="E1551" s="10"/>
      <c r="F1551" s="10"/>
      <c r="G1551" s="10"/>
      <c r="H1551" s="10"/>
      <c r="I1551" s="10"/>
      <c r="J1551" s="10"/>
      <c r="K1551" s="10"/>
      <c r="L1551" s="10"/>
      <c r="M1551" s="10"/>
      <c r="N1551" s="10"/>
      <c r="O1551" s="10"/>
    </row>
    <row r="1552">
      <c r="A1552" s="138"/>
      <c r="B1552" s="52"/>
      <c r="C1552" s="53"/>
      <c r="D1552" s="10"/>
      <c r="E1552" s="10"/>
      <c r="F1552" s="10"/>
      <c r="G1552" s="10"/>
      <c r="H1552" s="10"/>
      <c r="I1552" s="10"/>
      <c r="J1552" s="10"/>
      <c r="K1552" s="10"/>
      <c r="L1552" s="10"/>
      <c r="M1552" s="10"/>
      <c r="N1552" s="10"/>
      <c r="O1552" s="10"/>
    </row>
    <row r="1553">
      <c r="A1553" s="138"/>
      <c r="B1553" s="52"/>
      <c r="C1553" s="53"/>
      <c r="D1553" s="10"/>
      <c r="E1553" s="10"/>
      <c r="F1553" s="10"/>
      <c r="G1553" s="10"/>
      <c r="H1553" s="10"/>
      <c r="I1553" s="10"/>
      <c r="J1553" s="10"/>
      <c r="K1553" s="10"/>
      <c r="L1553" s="10"/>
      <c r="M1553" s="10"/>
      <c r="N1553" s="10"/>
      <c r="O1553" s="10"/>
    </row>
    <row r="1554">
      <c r="A1554" s="138"/>
      <c r="B1554" s="52"/>
      <c r="C1554" s="53"/>
      <c r="D1554" s="10"/>
      <c r="E1554" s="10"/>
      <c r="F1554" s="10"/>
      <c r="G1554" s="10"/>
      <c r="H1554" s="10"/>
      <c r="I1554" s="10"/>
      <c r="J1554" s="10"/>
      <c r="K1554" s="10"/>
      <c r="L1554" s="10"/>
      <c r="M1554" s="10"/>
      <c r="N1554" s="10"/>
      <c r="O1554" s="10"/>
    </row>
    <row r="1555">
      <c r="A1555" s="138"/>
      <c r="B1555" s="52"/>
      <c r="C1555" s="53"/>
      <c r="D1555" s="10"/>
      <c r="E1555" s="10"/>
      <c r="F1555" s="10"/>
      <c r="G1555" s="10"/>
      <c r="H1555" s="10"/>
      <c r="I1555" s="10"/>
      <c r="J1555" s="10"/>
      <c r="K1555" s="10"/>
      <c r="L1555" s="10"/>
      <c r="M1555" s="10"/>
      <c r="N1555" s="10"/>
      <c r="O1555" s="10"/>
    </row>
    <row r="1556">
      <c r="A1556" s="138"/>
      <c r="B1556" s="52"/>
      <c r="C1556" s="53"/>
      <c r="D1556" s="10"/>
      <c r="E1556" s="10"/>
      <c r="F1556" s="10"/>
      <c r="G1556" s="10"/>
      <c r="H1556" s="10"/>
      <c r="I1556" s="10"/>
      <c r="J1556" s="10"/>
      <c r="K1556" s="10"/>
      <c r="L1556" s="10"/>
      <c r="M1556" s="10"/>
      <c r="N1556" s="10"/>
      <c r="O1556" s="10"/>
    </row>
    <row r="1557">
      <c r="A1557" s="138"/>
      <c r="B1557" s="52"/>
      <c r="C1557" s="53"/>
      <c r="D1557" s="10"/>
      <c r="E1557" s="10"/>
      <c r="F1557" s="10"/>
      <c r="G1557" s="10"/>
      <c r="H1557" s="10"/>
      <c r="I1557" s="10"/>
      <c r="J1557" s="10"/>
      <c r="K1557" s="10"/>
      <c r="L1557" s="10"/>
      <c r="M1557" s="10"/>
      <c r="N1557" s="10"/>
      <c r="O1557" s="10"/>
    </row>
    <row r="1558">
      <c r="A1558" s="138"/>
      <c r="B1558" s="52"/>
      <c r="C1558" s="53"/>
      <c r="D1558" s="10"/>
      <c r="E1558" s="10"/>
      <c r="F1558" s="10"/>
      <c r="G1558" s="10"/>
      <c r="H1558" s="10"/>
      <c r="I1558" s="10"/>
      <c r="J1558" s="10"/>
      <c r="K1558" s="10"/>
      <c r="L1558" s="10"/>
      <c r="M1558" s="10"/>
      <c r="N1558" s="10"/>
      <c r="O1558" s="10"/>
    </row>
    <row r="1559">
      <c r="A1559" s="138"/>
      <c r="B1559" s="52"/>
      <c r="C1559" s="53"/>
      <c r="D1559" s="10"/>
      <c r="E1559" s="10"/>
      <c r="F1559" s="10"/>
      <c r="G1559" s="10"/>
      <c r="H1559" s="10"/>
      <c r="I1559" s="10"/>
      <c r="J1559" s="10"/>
      <c r="K1559" s="10"/>
      <c r="L1559" s="10"/>
      <c r="M1559" s="10"/>
      <c r="N1559" s="10"/>
      <c r="O1559" s="10"/>
    </row>
    <row r="1560">
      <c r="A1560" s="138"/>
      <c r="B1560" s="52"/>
      <c r="C1560" s="53"/>
      <c r="D1560" s="10"/>
      <c r="E1560" s="10"/>
      <c r="F1560" s="10"/>
      <c r="G1560" s="10"/>
      <c r="H1560" s="10"/>
      <c r="I1560" s="10"/>
      <c r="J1560" s="10"/>
      <c r="K1560" s="10"/>
      <c r="L1560" s="10"/>
      <c r="M1560" s="10"/>
      <c r="N1560" s="10"/>
      <c r="O1560" s="10"/>
    </row>
    <row r="1561">
      <c r="A1561" s="138"/>
      <c r="B1561" s="52"/>
      <c r="C1561" s="53"/>
      <c r="D1561" s="10"/>
      <c r="E1561" s="10"/>
      <c r="F1561" s="10"/>
      <c r="G1561" s="10"/>
      <c r="H1561" s="10"/>
      <c r="I1561" s="10"/>
      <c r="J1561" s="10"/>
      <c r="K1561" s="10"/>
      <c r="L1561" s="10"/>
      <c r="M1561" s="10"/>
      <c r="N1561" s="10"/>
      <c r="O1561" s="10"/>
    </row>
    <row r="1562">
      <c r="A1562" s="138"/>
      <c r="B1562" s="52"/>
      <c r="C1562" s="53"/>
      <c r="D1562" s="10"/>
      <c r="E1562" s="10"/>
      <c r="F1562" s="10"/>
      <c r="G1562" s="10"/>
      <c r="H1562" s="10"/>
      <c r="I1562" s="10"/>
      <c r="J1562" s="10"/>
      <c r="K1562" s="10"/>
      <c r="L1562" s="10"/>
      <c r="M1562" s="10"/>
      <c r="N1562" s="10"/>
      <c r="O1562" s="10"/>
    </row>
    <row r="1563">
      <c r="A1563" s="138"/>
      <c r="B1563" s="52"/>
      <c r="C1563" s="53"/>
      <c r="D1563" s="10"/>
      <c r="E1563" s="10"/>
      <c r="F1563" s="10"/>
      <c r="G1563" s="10"/>
      <c r="H1563" s="10"/>
      <c r="I1563" s="10"/>
      <c r="J1563" s="10"/>
      <c r="K1563" s="10"/>
      <c r="L1563" s="10"/>
      <c r="M1563" s="10"/>
      <c r="N1563" s="10"/>
      <c r="O1563" s="10"/>
    </row>
    <row r="1564">
      <c r="A1564" s="157"/>
      <c r="B1564" s="10"/>
      <c r="C1564" s="9"/>
      <c r="D1564" s="10"/>
      <c r="E1564" s="10"/>
      <c r="F1564" s="10"/>
      <c r="G1564" s="10"/>
      <c r="H1564" s="10"/>
      <c r="I1564" s="10"/>
      <c r="J1564" s="10"/>
      <c r="K1564" s="10"/>
      <c r="L1564" s="10"/>
      <c r="M1564" s="10"/>
      <c r="N1564" s="10"/>
      <c r="O1564" s="10"/>
    </row>
    <row r="1565">
      <c r="A1565" s="157"/>
      <c r="B1565" s="10"/>
      <c r="C1565" s="9"/>
      <c r="D1565" s="10"/>
      <c r="E1565" s="10"/>
      <c r="F1565" s="10"/>
      <c r="G1565" s="10"/>
      <c r="H1565" s="10"/>
      <c r="I1565" s="10"/>
      <c r="J1565" s="10"/>
      <c r="K1565" s="10"/>
      <c r="L1565" s="10"/>
      <c r="M1565" s="10"/>
      <c r="N1565" s="10"/>
      <c r="O1565" s="10"/>
    </row>
    <row r="1566">
      <c r="A1566" s="157"/>
      <c r="B1566" s="10"/>
      <c r="C1566" s="9"/>
      <c r="D1566" s="10"/>
      <c r="E1566" s="10"/>
      <c r="F1566" s="10"/>
      <c r="G1566" s="10"/>
      <c r="H1566" s="10"/>
      <c r="I1566" s="10"/>
      <c r="J1566" s="10"/>
      <c r="K1566" s="10"/>
      <c r="L1566" s="10"/>
      <c r="M1566" s="10"/>
      <c r="N1566" s="10"/>
      <c r="O1566" s="10"/>
    </row>
    <row r="1567">
      <c r="A1567" s="157"/>
      <c r="B1567" s="10"/>
      <c r="C1567" s="9"/>
      <c r="D1567" s="10"/>
      <c r="E1567" s="10"/>
      <c r="F1567" s="10"/>
      <c r="G1567" s="10"/>
      <c r="H1567" s="10"/>
      <c r="I1567" s="10"/>
      <c r="J1567" s="10"/>
      <c r="K1567" s="10"/>
      <c r="L1567" s="10"/>
      <c r="M1567" s="10"/>
      <c r="N1567" s="10"/>
      <c r="O1567" s="10"/>
    </row>
    <row r="1568">
      <c r="A1568" s="157"/>
      <c r="B1568" s="10"/>
      <c r="C1568" s="9"/>
      <c r="D1568" s="10"/>
      <c r="E1568" s="10"/>
      <c r="F1568" s="10"/>
      <c r="G1568" s="10"/>
      <c r="H1568" s="10"/>
      <c r="I1568" s="10"/>
      <c r="J1568" s="10"/>
      <c r="K1568" s="10"/>
      <c r="L1568" s="10"/>
      <c r="M1568" s="10"/>
      <c r="N1568" s="10"/>
      <c r="O1568" s="10"/>
    </row>
    <row r="1569">
      <c r="A1569" s="157"/>
      <c r="B1569" s="10"/>
      <c r="C1569" s="9"/>
      <c r="D1569" s="10"/>
      <c r="E1569" s="10"/>
      <c r="F1569" s="10"/>
      <c r="G1569" s="10"/>
      <c r="H1569" s="10"/>
      <c r="I1569" s="10"/>
      <c r="J1569" s="10"/>
      <c r="K1569" s="10"/>
      <c r="L1569" s="10"/>
      <c r="M1569" s="10"/>
      <c r="N1569" s="10"/>
      <c r="O1569" s="10"/>
    </row>
    <row r="1570">
      <c r="A1570" s="157"/>
      <c r="B1570" s="10"/>
      <c r="C1570" s="9"/>
      <c r="D1570" s="10"/>
      <c r="E1570" s="10"/>
      <c r="F1570" s="10"/>
      <c r="G1570" s="10"/>
      <c r="H1570" s="10"/>
      <c r="I1570" s="10"/>
      <c r="J1570" s="10"/>
      <c r="K1570" s="10"/>
      <c r="L1570" s="10"/>
      <c r="M1570" s="10"/>
      <c r="N1570" s="10"/>
      <c r="O1570" s="10"/>
    </row>
    <row r="1571">
      <c r="A1571" s="157"/>
      <c r="B1571" s="10"/>
      <c r="C1571" s="9"/>
      <c r="D1571" s="10"/>
      <c r="E1571" s="10"/>
      <c r="F1571" s="10"/>
      <c r="G1571" s="10"/>
      <c r="H1571" s="10"/>
      <c r="I1571" s="10"/>
      <c r="J1571" s="10"/>
      <c r="K1571" s="10"/>
      <c r="L1571" s="10"/>
      <c r="M1571" s="10"/>
      <c r="N1571" s="10"/>
      <c r="O1571" s="10"/>
    </row>
    <row r="1572">
      <c r="A1572" s="157"/>
      <c r="B1572" s="10"/>
      <c r="C1572" s="9"/>
      <c r="D1572" s="10"/>
      <c r="E1572" s="10"/>
      <c r="F1572" s="10"/>
      <c r="G1572" s="10"/>
      <c r="H1572" s="10"/>
      <c r="I1572" s="10"/>
      <c r="J1572" s="10"/>
      <c r="K1572" s="10"/>
      <c r="L1572" s="10"/>
      <c r="M1572" s="10"/>
      <c r="N1572" s="10"/>
      <c r="O1572" s="10"/>
    </row>
    <row r="1573">
      <c r="A1573" s="157"/>
      <c r="B1573" s="10"/>
      <c r="C1573" s="9"/>
      <c r="D1573" s="10"/>
      <c r="E1573" s="10"/>
      <c r="F1573" s="10"/>
      <c r="G1573" s="10"/>
      <c r="H1573" s="10"/>
      <c r="I1573" s="10"/>
      <c r="J1573" s="10"/>
      <c r="K1573" s="10"/>
      <c r="L1573" s="10"/>
      <c r="M1573" s="10"/>
      <c r="N1573" s="10"/>
      <c r="O1573" s="10"/>
    </row>
    <row r="1574">
      <c r="A1574" s="157"/>
      <c r="B1574" s="10"/>
      <c r="C1574" s="9"/>
      <c r="D1574" s="10"/>
      <c r="E1574" s="10"/>
      <c r="F1574" s="10"/>
      <c r="G1574" s="10"/>
      <c r="H1574" s="10"/>
      <c r="I1574" s="10"/>
      <c r="J1574" s="10"/>
      <c r="K1574" s="10"/>
      <c r="L1574" s="10"/>
      <c r="M1574" s="10"/>
      <c r="N1574" s="10"/>
      <c r="O1574" s="10"/>
    </row>
    <row r="1575">
      <c r="A1575" s="157"/>
      <c r="B1575" s="10"/>
      <c r="C1575" s="9"/>
      <c r="D1575" s="10"/>
      <c r="E1575" s="10"/>
      <c r="F1575" s="10"/>
      <c r="G1575" s="10"/>
      <c r="H1575" s="10"/>
      <c r="I1575" s="10"/>
      <c r="J1575" s="10"/>
      <c r="K1575" s="10"/>
      <c r="L1575" s="10"/>
      <c r="M1575" s="10"/>
      <c r="N1575" s="10"/>
      <c r="O1575" s="10"/>
    </row>
    <row r="1576">
      <c r="A1576" s="157"/>
      <c r="B1576" s="10"/>
      <c r="C1576" s="9"/>
      <c r="D1576" s="10"/>
      <c r="E1576" s="10"/>
      <c r="F1576" s="10"/>
      <c r="G1576" s="10"/>
      <c r="H1576" s="10"/>
      <c r="I1576" s="10"/>
      <c r="J1576" s="10"/>
      <c r="K1576" s="10"/>
      <c r="L1576" s="10"/>
      <c r="M1576" s="10"/>
      <c r="N1576" s="10"/>
      <c r="O1576" s="10"/>
    </row>
    <row r="1577">
      <c r="A1577" s="157"/>
      <c r="B1577" s="10"/>
      <c r="C1577" s="9"/>
      <c r="D1577" s="10"/>
      <c r="E1577" s="10"/>
      <c r="F1577" s="10"/>
      <c r="G1577" s="10"/>
      <c r="H1577" s="10"/>
      <c r="I1577" s="10"/>
      <c r="J1577" s="10"/>
      <c r="K1577" s="10"/>
      <c r="L1577" s="10"/>
      <c r="M1577" s="10"/>
      <c r="N1577" s="10"/>
      <c r="O1577" s="10"/>
    </row>
    <row r="1578">
      <c r="A1578" s="157"/>
      <c r="B1578" s="10"/>
      <c r="C1578" s="9"/>
      <c r="D1578" s="10"/>
      <c r="E1578" s="10"/>
      <c r="F1578" s="10"/>
      <c r="G1578" s="10"/>
      <c r="H1578" s="10"/>
      <c r="I1578" s="10"/>
      <c r="J1578" s="10"/>
      <c r="K1578" s="10"/>
      <c r="L1578" s="10"/>
      <c r="M1578" s="10"/>
      <c r="N1578" s="10"/>
      <c r="O1578" s="10"/>
    </row>
    <row r="1579">
      <c r="A1579" s="157"/>
      <c r="B1579" s="10"/>
      <c r="C1579" s="9"/>
      <c r="D1579" s="10"/>
      <c r="E1579" s="10"/>
      <c r="F1579" s="10"/>
      <c r="G1579" s="10"/>
      <c r="H1579" s="10"/>
      <c r="I1579" s="10"/>
      <c r="J1579" s="10"/>
      <c r="K1579" s="10"/>
      <c r="L1579" s="10"/>
      <c r="M1579" s="10"/>
      <c r="N1579" s="10"/>
      <c r="O1579" s="10"/>
    </row>
    <row r="1580">
      <c r="A1580" s="157"/>
      <c r="B1580" s="10"/>
      <c r="C1580" s="9"/>
      <c r="D1580" s="10"/>
      <c r="E1580" s="10"/>
      <c r="F1580" s="10"/>
      <c r="G1580" s="10"/>
      <c r="H1580" s="10"/>
      <c r="I1580" s="10"/>
      <c r="J1580" s="10"/>
      <c r="K1580" s="10"/>
      <c r="L1580" s="10"/>
      <c r="M1580" s="10"/>
      <c r="N1580" s="10"/>
      <c r="O1580" s="10"/>
    </row>
    <row r="1581">
      <c r="A1581" s="157"/>
      <c r="B1581" s="10"/>
      <c r="C1581" s="9"/>
      <c r="D1581" s="10"/>
      <c r="E1581" s="10"/>
      <c r="F1581" s="10"/>
      <c r="G1581" s="10"/>
      <c r="H1581" s="10"/>
      <c r="I1581" s="10"/>
      <c r="J1581" s="10"/>
      <c r="K1581" s="10"/>
      <c r="L1581" s="10"/>
      <c r="M1581" s="10"/>
      <c r="N1581" s="10"/>
      <c r="O1581" s="10"/>
    </row>
    <row r="1582">
      <c r="A1582" s="157"/>
      <c r="B1582" s="10"/>
      <c r="C1582" s="9"/>
      <c r="D1582" s="10"/>
      <c r="E1582" s="10"/>
      <c r="F1582" s="10"/>
      <c r="G1582" s="10"/>
      <c r="H1582" s="10"/>
      <c r="I1582" s="10"/>
      <c r="J1582" s="10"/>
      <c r="K1582" s="10"/>
      <c r="L1582" s="10"/>
      <c r="M1582" s="10"/>
      <c r="N1582" s="10"/>
      <c r="O1582" s="10"/>
    </row>
    <row r="1583">
      <c r="A1583" s="157"/>
      <c r="B1583" s="10"/>
      <c r="C1583" s="9"/>
      <c r="D1583" s="10"/>
      <c r="E1583" s="10"/>
      <c r="F1583" s="10"/>
      <c r="G1583" s="10"/>
      <c r="H1583" s="10"/>
      <c r="I1583" s="10"/>
      <c r="J1583" s="10"/>
      <c r="K1583" s="10"/>
      <c r="L1583" s="10"/>
      <c r="M1583" s="10"/>
      <c r="N1583" s="10"/>
      <c r="O1583" s="10"/>
    </row>
    <row r="1584">
      <c r="A1584" s="157"/>
      <c r="B1584" s="10"/>
      <c r="C1584" s="9"/>
      <c r="D1584" s="10"/>
      <c r="E1584" s="10"/>
      <c r="F1584" s="10"/>
      <c r="G1584" s="10"/>
      <c r="H1584" s="10"/>
      <c r="I1584" s="10"/>
      <c r="J1584" s="10"/>
      <c r="K1584" s="10"/>
      <c r="L1584" s="10"/>
      <c r="M1584" s="10"/>
      <c r="N1584" s="10"/>
      <c r="O1584" s="10"/>
    </row>
    <row r="1585">
      <c r="A1585" s="157"/>
      <c r="B1585" s="10"/>
      <c r="C1585" s="9"/>
      <c r="D1585" s="10"/>
      <c r="E1585" s="10"/>
      <c r="F1585" s="10"/>
      <c r="G1585" s="10"/>
      <c r="H1585" s="10"/>
      <c r="I1585" s="10"/>
      <c r="J1585" s="10"/>
      <c r="K1585" s="10"/>
      <c r="L1585" s="10"/>
      <c r="M1585" s="10"/>
      <c r="N1585" s="10"/>
      <c r="O1585" s="10"/>
    </row>
    <row r="1586">
      <c r="A1586" s="157"/>
      <c r="B1586" s="10"/>
      <c r="C1586" s="9"/>
      <c r="D1586" s="10"/>
      <c r="E1586" s="10"/>
      <c r="F1586" s="10"/>
      <c r="G1586" s="10"/>
      <c r="H1586" s="10"/>
      <c r="I1586" s="10"/>
      <c r="J1586" s="10"/>
      <c r="K1586" s="10"/>
      <c r="L1586" s="10"/>
      <c r="M1586" s="10"/>
      <c r="N1586" s="10"/>
      <c r="O1586" s="10"/>
    </row>
    <row r="1587">
      <c r="A1587" s="157"/>
      <c r="B1587" s="10"/>
      <c r="C1587" s="9"/>
      <c r="D1587" s="10"/>
      <c r="E1587" s="10"/>
      <c r="F1587" s="10"/>
      <c r="G1587" s="10"/>
      <c r="H1587" s="10"/>
      <c r="I1587" s="10"/>
      <c r="J1587" s="10"/>
      <c r="K1587" s="10"/>
      <c r="L1587" s="10"/>
      <c r="M1587" s="10"/>
      <c r="N1587" s="10"/>
      <c r="O1587" s="10"/>
    </row>
    <row r="1588">
      <c r="A1588" s="157"/>
      <c r="B1588" s="10"/>
      <c r="C1588" s="9"/>
      <c r="D1588" s="10"/>
      <c r="E1588" s="10"/>
      <c r="F1588" s="10"/>
      <c r="G1588" s="10"/>
      <c r="H1588" s="10"/>
      <c r="I1588" s="10"/>
      <c r="J1588" s="10"/>
      <c r="K1588" s="10"/>
      <c r="L1588" s="10"/>
      <c r="M1588" s="10"/>
      <c r="N1588" s="10"/>
      <c r="O1588" s="10"/>
    </row>
    <row r="1589">
      <c r="A1589" s="157"/>
      <c r="B1589" s="10"/>
      <c r="C1589" s="9"/>
      <c r="D1589" s="10"/>
      <c r="E1589" s="10"/>
      <c r="F1589" s="10"/>
      <c r="G1589" s="10"/>
      <c r="H1589" s="10"/>
      <c r="I1589" s="10"/>
      <c r="J1589" s="10"/>
      <c r="K1589" s="10"/>
      <c r="L1589" s="10"/>
      <c r="M1589" s="10"/>
      <c r="N1589" s="10"/>
      <c r="O1589" s="10"/>
    </row>
    <row r="1590">
      <c r="A1590" s="157"/>
      <c r="B1590" s="10"/>
      <c r="C1590" s="9"/>
      <c r="D1590" s="10"/>
      <c r="E1590" s="10"/>
      <c r="F1590" s="10"/>
      <c r="G1590" s="10"/>
      <c r="H1590" s="10"/>
      <c r="I1590" s="10"/>
      <c r="J1590" s="10"/>
      <c r="K1590" s="10"/>
      <c r="L1590" s="10"/>
      <c r="M1590" s="10"/>
      <c r="N1590" s="10"/>
      <c r="O1590" s="10"/>
    </row>
    <row r="1591">
      <c r="A1591" s="157"/>
      <c r="B1591" s="10"/>
      <c r="C1591" s="9"/>
      <c r="D1591" s="10"/>
      <c r="E1591" s="10"/>
      <c r="F1591" s="10"/>
      <c r="G1591" s="10"/>
      <c r="H1591" s="10"/>
      <c r="I1591" s="10"/>
      <c r="J1591" s="10"/>
      <c r="K1591" s="10"/>
      <c r="L1591" s="10"/>
      <c r="M1591" s="10"/>
      <c r="N1591" s="10"/>
      <c r="O1591" s="10"/>
    </row>
    <row r="1592">
      <c r="A1592" s="157"/>
      <c r="B1592" s="10"/>
      <c r="C1592" s="9"/>
      <c r="D1592" s="10"/>
      <c r="E1592" s="10"/>
      <c r="F1592" s="10"/>
      <c r="G1592" s="10"/>
      <c r="H1592" s="10"/>
      <c r="I1592" s="10"/>
      <c r="J1592" s="10"/>
      <c r="K1592" s="10"/>
      <c r="L1592" s="10"/>
      <c r="M1592" s="10"/>
      <c r="N1592" s="10"/>
      <c r="O1592" s="10"/>
    </row>
    <row r="1593">
      <c r="A1593" s="157"/>
      <c r="B1593" s="10"/>
      <c r="C1593" s="9"/>
      <c r="D1593" s="10"/>
      <c r="E1593" s="10"/>
      <c r="F1593" s="10"/>
      <c r="G1593" s="10"/>
      <c r="H1593" s="10"/>
      <c r="I1593" s="10"/>
      <c r="J1593" s="10"/>
      <c r="K1593" s="10"/>
      <c r="L1593" s="10"/>
      <c r="M1593" s="10"/>
      <c r="N1593" s="10"/>
      <c r="O1593" s="10"/>
    </row>
    <row r="1594">
      <c r="A1594" s="157"/>
      <c r="B1594" s="10"/>
      <c r="C1594" s="9"/>
      <c r="D1594" s="10"/>
      <c r="E1594" s="10"/>
      <c r="F1594" s="10"/>
      <c r="G1594" s="10"/>
      <c r="H1594" s="10"/>
      <c r="I1594" s="10"/>
      <c r="J1594" s="10"/>
      <c r="K1594" s="10"/>
      <c r="L1594" s="10"/>
      <c r="M1594" s="10"/>
      <c r="N1594" s="10"/>
      <c r="O1594" s="10"/>
    </row>
    <row r="1595">
      <c r="A1595" s="157"/>
      <c r="B1595" s="10"/>
      <c r="C1595" s="9"/>
      <c r="D1595" s="10"/>
      <c r="E1595" s="10"/>
      <c r="F1595" s="10"/>
      <c r="G1595" s="10"/>
      <c r="H1595" s="10"/>
      <c r="I1595" s="10"/>
      <c r="J1595" s="10"/>
      <c r="K1595" s="10"/>
      <c r="L1595" s="10"/>
      <c r="M1595" s="10"/>
      <c r="N1595" s="10"/>
      <c r="O1595" s="10"/>
    </row>
    <row r="1596">
      <c r="A1596" s="157"/>
      <c r="B1596" s="10"/>
      <c r="C1596" s="9"/>
      <c r="D1596" s="10"/>
      <c r="E1596" s="10"/>
      <c r="F1596" s="10"/>
      <c r="G1596" s="10"/>
      <c r="H1596" s="10"/>
      <c r="I1596" s="10"/>
      <c r="J1596" s="10"/>
      <c r="K1596" s="10"/>
      <c r="L1596" s="10"/>
      <c r="M1596" s="10"/>
      <c r="N1596" s="10"/>
      <c r="O1596" s="10"/>
    </row>
    <row r="1597">
      <c r="A1597" s="157"/>
      <c r="B1597" s="10"/>
      <c r="C1597" s="9"/>
      <c r="D1597" s="10"/>
      <c r="E1597" s="10"/>
      <c r="F1597" s="10"/>
      <c r="G1597" s="10"/>
      <c r="H1597" s="10"/>
      <c r="I1597" s="10"/>
      <c r="J1597" s="10"/>
      <c r="K1597" s="10"/>
      <c r="L1597" s="10"/>
      <c r="M1597" s="10"/>
      <c r="N1597" s="10"/>
      <c r="O1597" s="10"/>
    </row>
    <row r="1598">
      <c r="A1598" s="157"/>
      <c r="B1598" s="10"/>
      <c r="C1598" s="9"/>
      <c r="D1598" s="10"/>
      <c r="E1598" s="10"/>
      <c r="F1598" s="10"/>
      <c r="G1598" s="10"/>
      <c r="H1598" s="10"/>
      <c r="I1598" s="10"/>
      <c r="J1598" s="10"/>
      <c r="K1598" s="10"/>
      <c r="L1598" s="10"/>
      <c r="M1598" s="10"/>
      <c r="N1598" s="10"/>
      <c r="O1598" s="10"/>
    </row>
    <row r="1599">
      <c r="A1599" s="157"/>
      <c r="B1599" s="10"/>
      <c r="C1599" s="9"/>
      <c r="D1599" s="10"/>
      <c r="E1599" s="10"/>
      <c r="F1599" s="10"/>
      <c r="G1599" s="10"/>
      <c r="H1599" s="10"/>
      <c r="I1599" s="10"/>
      <c r="J1599" s="10"/>
      <c r="K1599" s="10"/>
      <c r="L1599" s="10"/>
      <c r="M1599" s="10"/>
      <c r="N1599" s="10"/>
      <c r="O1599" s="10"/>
    </row>
    <row r="1600">
      <c r="A1600" s="157"/>
      <c r="B1600" s="10"/>
      <c r="C1600" s="9"/>
      <c r="D1600" s="10"/>
      <c r="E1600" s="10"/>
      <c r="F1600" s="10"/>
      <c r="G1600" s="10"/>
      <c r="H1600" s="10"/>
      <c r="I1600" s="10"/>
      <c r="J1600" s="10"/>
      <c r="K1600" s="10"/>
      <c r="L1600" s="10"/>
      <c r="M1600" s="10"/>
      <c r="N1600" s="10"/>
      <c r="O1600" s="10"/>
    </row>
    <row r="1601">
      <c r="A1601" s="157"/>
      <c r="B1601" s="10"/>
      <c r="C1601" s="9"/>
      <c r="D1601" s="10"/>
      <c r="E1601" s="10"/>
      <c r="F1601" s="10"/>
      <c r="G1601" s="10"/>
      <c r="H1601" s="10"/>
      <c r="I1601" s="10"/>
      <c r="J1601" s="10"/>
      <c r="K1601" s="10"/>
      <c r="L1601" s="10"/>
      <c r="M1601" s="10"/>
      <c r="N1601" s="10"/>
      <c r="O1601" s="10"/>
    </row>
    <row r="1602">
      <c r="A1602" s="157"/>
      <c r="B1602" s="10"/>
      <c r="C1602" s="9"/>
      <c r="D1602" s="10"/>
      <c r="E1602" s="10"/>
      <c r="F1602" s="10"/>
      <c r="G1602" s="10"/>
      <c r="H1602" s="10"/>
      <c r="I1602" s="10"/>
      <c r="J1602" s="10"/>
      <c r="K1602" s="10"/>
      <c r="L1602" s="10"/>
      <c r="M1602" s="10"/>
      <c r="N1602" s="10"/>
      <c r="O1602" s="10"/>
    </row>
    <row r="1603">
      <c r="A1603" s="157"/>
      <c r="B1603" s="10"/>
      <c r="C1603" s="9"/>
      <c r="D1603" s="10"/>
      <c r="E1603" s="10"/>
      <c r="F1603" s="10"/>
      <c r="G1603" s="10"/>
      <c r="H1603" s="10"/>
      <c r="I1603" s="10"/>
      <c r="J1603" s="10"/>
      <c r="K1603" s="10"/>
      <c r="L1603" s="10"/>
      <c r="M1603" s="10"/>
      <c r="N1603" s="10"/>
      <c r="O1603" s="10"/>
    </row>
    <row r="1604">
      <c r="A1604" s="157"/>
      <c r="B1604" s="10"/>
      <c r="C1604" s="9"/>
      <c r="D1604" s="10"/>
      <c r="E1604" s="10"/>
      <c r="F1604" s="10"/>
      <c r="G1604" s="10"/>
      <c r="H1604" s="10"/>
      <c r="I1604" s="10"/>
      <c r="J1604" s="10"/>
      <c r="K1604" s="10"/>
      <c r="L1604" s="10"/>
      <c r="M1604" s="10"/>
      <c r="N1604" s="10"/>
      <c r="O1604" s="10"/>
    </row>
    <row r="1605">
      <c r="A1605" s="157"/>
      <c r="B1605" s="10"/>
      <c r="C1605" s="9"/>
      <c r="D1605" s="10"/>
      <c r="E1605" s="10"/>
      <c r="F1605" s="10"/>
      <c r="G1605" s="10"/>
      <c r="H1605" s="10"/>
      <c r="I1605" s="10"/>
      <c r="J1605" s="10"/>
      <c r="K1605" s="10"/>
      <c r="L1605" s="10"/>
      <c r="M1605" s="10"/>
      <c r="N1605" s="10"/>
      <c r="O1605" s="10"/>
    </row>
    <row r="1606">
      <c r="A1606" s="157"/>
      <c r="B1606" s="10"/>
      <c r="C1606" s="9"/>
      <c r="D1606" s="10"/>
      <c r="E1606" s="10"/>
      <c r="F1606" s="10"/>
      <c r="G1606" s="10"/>
      <c r="H1606" s="10"/>
      <c r="I1606" s="10"/>
      <c r="J1606" s="10"/>
      <c r="K1606" s="10"/>
      <c r="L1606" s="10"/>
      <c r="M1606" s="10"/>
      <c r="N1606" s="10"/>
      <c r="O1606" s="10"/>
    </row>
    <row r="1607">
      <c r="A1607" s="157"/>
      <c r="B1607" s="10"/>
      <c r="C1607" s="9"/>
      <c r="D1607" s="10"/>
      <c r="E1607" s="10"/>
      <c r="F1607" s="10"/>
      <c r="G1607" s="10"/>
      <c r="H1607" s="10"/>
      <c r="I1607" s="10"/>
      <c r="J1607" s="10"/>
      <c r="K1607" s="10"/>
      <c r="L1607" s="10"/>
      <c r="M1607" s="10"/>
      <c r="N1607" s="10"/>
      <c r="O1607" s="10"/>
    </row>
    <row r="1608">
      <c r="A1608" s="157"/>
      <c r="B1608" s="9"/>
      <c r="C1608" s="10"/>
      <c r="D1608" s="10"/>
      <c r="E1608" s="10"/>
      <c r="F1608" s="10"/>
      <c r="G1608" s="10"/>
      <c r="H1608" s="10"/>
      <c r="I1608" s="10"/>
      <c r="J1608" s="10"/>
      <c r="K1608" s="10"/>
      <c r="L1608" s="10"/>
      <c r="M1608" s="10"/>
      <c r="N1608" s="10"/>
      <c r="O1608" s="10"/>
    </row>
    <row r="1609">
      <c r="A1609" s="157"/>
      <c r="B1609" s="9"/>
      <c r="C1609" s="10"/>
      <c r="D1609" s="10"/>
      <c r="E1609" s="10"/>
      <c r="F1609" s="10"/>
      <c r="G1609" s="10"/>
      <c r="H1609" s="10"/>
      <c r="I1609" s="10"/>
      <c r="J1609" s="10"/>
      <c r="K1609" s="10"/>
      <c r="L1609" s="10"/>
      <c r="M1609" s="10"/>
      <c r="N1609" s="10"/>
      <c r="O1609" s="10"/>
    </row>
    <row r="1610">
      <c r="A1610" s="157"/>
      <c r="B1610" s="9"/>
      <c r="C1610" s="10"/>
      <c r="D1610" s="10"/>
      <c r="E1610" s="10"/>
      <c r="F1610" s="10"/>
      <c r="G1610" s="10"/>
      <c r="H1610" s="10"/>
      <c r="I1610" s="10"/>
      <c r="J1610" s="10"/>
      <c r="K1610" s="10"/>
      <c r="L1610" s="10"/>
      <c r="M1610" s="10"/>
      <c r="N1610" s="10"/>
      <c r="O1610" s="10"/>
    </row>
    <row r="1611">
      <c r="A1611" s="157"/>
      <c r="B1611" s="9"/>
      <c r="C1611" s="10"/>
      <c r="D1611" s="10"/>
      <c r="E1611" s="10"/>
      <c r="F1611" s="10"/>
      <c r="G1611" s="10"/>
      <c r="H1611" s="10"/>
      <c r="I1611" s="10"/>
      <c r="J1611" s="10"/>
      <c r="K1611" s="10"/>
      <c r="L1611" s="10"/>
      <c r="M1611" s="10"/>
      <c r="N1611" s="10"/>
      <c r="O1611" s="10"/>
    </row>
    <row r="1612">
      <c r="A1612" s="157"/>
      <c r="B1612" s="9"/>
      <c r="C1612" s="10"/>
      <c r="D1612" s="10"/>
      <c r="E1612" s="10"/>
      <c r="F1612" s="10"/>
      <c r="G1612" s="10"/>
      <c r="H1612" s="10"/>
      <c r="I1612" s="10"/>
      <c r="J1612" s="10"/>
      <c r="K1612" s="10"/>
      <c r="L1612" s="10"/>
      <c r="M1612" s="10"/>
      <c r="N1612" s="10"/>
      <c r="O1612" s="10"/>
    </row>
    <row r="1613">
      <c r="A1613" s="157"/>
      <c r="B1613" s="9"/>
      <c r="C1613" s="10"/>
      <c r="D1613" s="10"/>
      <c r="E1613" s="10"/>
      <c r="F1613" s="10"/>
      <c r="G1613" s="10"/>
      <c r="H1613" s="10"/>
      <c r="I1613" s="10"/>
      <c r="J1613" s="10"/>
      <c r="K1613" s="10"/>
      <c r="L1613" s="10"/>
      <c r="M1613" s="10"/>
      <c r="N1613" s="10"/>
      <c r="O1613" s="10"/>
    </row>
    <row r="1614">
      <c r="A1614" s="157"/>
      <c r="B1614" s="9"/>
      <c r="C1614" s="10"/>
      <c r="D1614" s="10"/>
      <c r="E1614" s="10"/>
      <c r="F1614" s="10"/>
      <c r="G1614" s="10"/>
      <c r="H1614" s="10"/>
      <c r="I1614" s="10"/>
      <c r="J1614" s="10"/>
      <c r="K1614" s="10"/>
      <c r="L1614" s="10"/>
      <c r="M1614" s="10"/>
      <c r="N1614" s="10"/>
      <c r="O1614" s="10"/>
    </row>
    <row r="1615">
      <c r="A1615" s="157"/>
      <c r="B1615" s="9"/>
      <c r="C1615" s="10"/>
      <c r="D1615" s="10"/>
      <c r="E1615" s="10"/>
      <c r="F1615" s="10"/>
      <c r="G1615" s="10"/>
      <c r="H1615" s="10"/>
      <c r="I1615" s="10"/>
      <c r="J1615" s="10"/>
      <c r="K1615" s="10"/>
      <c r="L1615" s="10"/>
      <c r="M1615" s="10"/>
      <c r="N1615" s="10"/>
      <c r="O1615" s="10"/>
    </row>
    <row r="1616">
      <c r="A1616" s="157"/>
      <c r="B1616" s="9"/>
      <c r="C1616" s="10"/>
      <c r="D1616" s="10"/>
      <c r="E1616" s="10"/>
      <c r="F1616" s="10"/>
      <c r="G1616" s="10"/>
      <c r="H1616" s="10"/>
      <c r="I1616" s="10"/>
      <c r="J1616" s="10"/>
      <c r="K1616" s="10"/>
      <c r="L1616" s="10"/>
      <c r="M1616" s="10"/>
      <c r="N1616" s="10"/>
      <c r="O1616" s="10"/>
    </row>
    <row r="1617">
      <c r="A1617" s="157"/>
      <c r="B1617" s="9"/>
      <c r="C1617" s="10"/>
      <c r="D1617" s="10"/>
      <c r="E1617" s="10"/>
      <c r="F1617" s="10"/>
      <c r="G1617" s="10"/>
      <c r="H1617" s="10"/>
      <c r="I1617" s="10"/>
      <c r="J1617" s="10"/>
      <c r="K1617" s="10"/>
      <c r="L1617" s="10"/>
      <c r="M1617" s="10"/>
      <c r="N1617" s="10"/>
      <c r="O1617" s="10"/>
    </row>
    <row r="1618">
      <c r="A1618" s="157"/>
      <c r="B1618" s="9"/>
      <c r="C1618" s="10"/>
      <c r="D1618" s="10"/>
      <c r="E1618" s="10"/>
      <c r="F1618" s="10"/>
      <c r="G1618" s="10"/>
      <c r="H1618" s="10"/>
      <c r="I1618" s="10"/>
      <c r="J1618" s="10"/>
      <c r="K1618" s="10"/>
      <c r="L1618" s="10"/>
      <c r="M1618" s="10"/>
      <c r="N1618" s="10"/>
      <c r="O1618" s="10"/>
    </row>
    <row r="1619">
      <c r="A1619" s="157"/>
      <c r="B1619" s="9"/>
      <c r="C1619" s="10"/>
      <c r="D1619" s="10"/>
      <c r="E1619" s="10"/>
      <c r="F1619" s="10"/>
      <c r="G1619" s="10"/>
      <c r="H1619" s="10"/>
      <c r="I1619" s="10"/>
      <c r="J1619" s="10"/>
      <c r="K1619" s="10"/>
      <c r="L1619" s="10"/>
      <c r="M1619" s="10"/>
      <c r="N1619" s="10"/>
      <c r="O1619" s="10"/>
    </row>
    <row r="1620">
      <c r="A1620" s="157"/>
      <c r="B1620" s="9"/>
      <c r="C1620" s="10"/>
      <c r="D1620" s="10"/>
      <c r="E1620" s="10"/>
      <c r="F1620" s="10"/>
      <c r="G1620" s="10"/>
      <c r="H1620" s="10"/>
      <c r="I1620" s="10"/>
      <c r="J1620" s="10"/>
      <c r="K1620" s="10"/>
      <c r="L1620" s="10"/>
      <c r="M1620" s="10"/>
      <c r="N1620" s="10"/>
      <c r="O1620" s="10"/>
    </row>
    <row r="1621">
      <c r="A1621" s="157"/>
      <c r="B1621" s="9"/>
      <c r="C1621" s="10"/>
      <c r="D1621" s="10"/>
      <c r="E1621" s="10"/>
      <c r="F1621" s="10"/>
      <c r="G1621" s="10"/>
      <c r="H1621" s="10"/>
      <c r="I1621" s="10"/>
      <c r="J1621" s="10"/>
      <c r="K1621" s="10"/>
      <c r="L1621" s="10"/>
      <c r="M1621" s="10"/>
      <c r="N1621" s="10"/>
      <c r="O1621" s="10"/>
    </row>
    <row r="1622">
      <c r="A1622" s="157"/>
      <c r="B1622" s="9"/>
      <c r="C1622" s="10"/>
      <c r="D1622" s="10"/>
      <c r="E1622" s="10"/>
      <c r="F1622" s="10"/>
      <c r="G1622" s="10"/>
      <c r="H1622" s="10"/>
      <c r="I1622" s="10"/>
      <c r="J1622" s="10"/>
      <c r="K1622" s="10"/>
      <c r="L1622" s="10"/>
      <c r="M1622" s="10"/>
      <c r="N1622" s="10"/>
      <c r="O1622" s="10"/>
    </row>
    <row r="1623">
      <c r="A1623" s="157"/>
      <c r="B1623" s="9"/>
      <c r="C1623" s="10"/>
      <c r="D1623" s="10"/>
      <c r="E1623" s="10"/>
      <c r="F1623" s="10"/>
      <c r="G1623" s="10"/>
      <c r="H1623" s="10"/>
      <c r="I1623" s="10"/>
      <c r="J1623" s="10"/>
      <c r="K1623" s="10"/>
      <c r="L1623" s="10"/>
      <c r="M1623" s="10"/>
      <c r="N1623" s="10"/>
      <c r="O1623" s="10"/>
    </row>
    <row r="1624">
      <c r="A1624" s="157"/>
      <c r="B1624" s="9"/>
      <c r="C1624" s="10"/>
      <c r="D1624" s="10"/>
      <c r="E1624" s="10"/>
      <c r="F1624" s="10"/>
      <c r="G1624" s="10"/>
      <c r="H1624" s="10"/>
      <c r="I1624" s="10"/>
      <c r="J1624" s="10"/>
      <c r="K1624" s="10"/>
      <c r="L1624" s="10"/>
      <c r="M1624" s="10"/>
      <c r="N1624" s="10"/>
      <c r="O1624" s="10"/>
    </row>
    <row r="1625">
      <c r="A1625" s="157"/>
      <c r="B1625" s="9"/>
      <c r="C1625" s="10"/>
      <c r="D1625" s="10"/>
      <c r="E1625" s="10"/>
      <c r="F1625" s="10"/>
      <c r="G1625" s="10"/>
      <c r="H1625" s="10"/>
      <c r="I1625" s="10"/>
      <c r="J1625" s="10"/>
      <c r="K1625" s="10"/>
      <c r="L1625" s="10"/>
      <c r="M1625" s="10"/>
      <c r="N1625" s="10"/>
      <c r="O1625" s="10"/>
    </row>
    <row r="1626">
      <c r="A1626" s="157"/>
      <c r="B1626" s="9"/>
      <c r="C1626" s="10"/>
      <c r="D1626" s="10"/>
      <c r="E1626" s="10"/>
      <c r="F1626" s="10"/>
      <c r="G1626" s="10"/>
      <c r="H1626" s="10"/>
      <c r="I1626" s="10"/>
      <c r="J1626" s="10"/>
      <c r="K1626" s="10"/>
      <c r="L1626" s="10"/>
      <c r="M1626" s="10"/>
      <c r="N1626" s="10"/>
      <c r="O1626" s="10"/>
    </row>
    <row r="1627">
      <c r="A1627" s="157"/>
      <c r="B1627" s="9"/>
      <c r="C1627" s="10"/>
      <c r="D1627" s="10"/>
      <c r="E1627" s="10"/>
      <c r="F1627" s="10"/>
      <c r="G1627" s="10"/>
      <c r="H1627" s="10"/>
      <c r="I1627" s="10"/>
      <c r="J1627" s="10"/>
      <c r="K1627" s="10"/>
      <c r="L1627" s="10"/>
      <c r="M1627" s="10"/>
      <c r="N1627" s="10"/>
      <c r="O1627" s="10"/>
    </row>
    <row r="1628">
      <c r="A1628" s="157"/>
      <c r="B1628" s="9"/>
      <c r="C1628" s="10"/>
      <c r="D1628" s="10"/>
      <c r="E1628" s="10"/>
      <c r="F1628" s="10"/>
      <c r="G1628" s="10"/>
      <c r="H1628" s="10"/>
      <c r="I1628" s="10"/>
      <c r="J1628" s="10"/>
      <c r="K1628" s="10"/>
      <c r="L1628" s="10"/>
      <c r="M1628" s="10"/>
      <c r="N1628" s="10"/>
      <c r="O1628" s="10"/>
    </row>
    <row r="1629">
      <c r="A1629" s="157"/>
      <c r="B1629" s="9"/>
      <c r="C1629" s="10"/>
      <c r="D1629" s="10"/>
      <c r="E1629" s="10"/>
      <c r="F1629" s="10"/>
      <c r="G1629" s="10"/>
      <c r="H1629" s="10"/>
      <c r="I1629" s="10"/>
      <c r="J1629" s="10"/>
      <c r="K1629" s="10"/>
      <c r="L1629" s="10"/>
      <c r="M1629" s="10"/>
      <c r="N1629" s="10"/>
      <c r="O1629" s="10"/>
    </row>
    <row r="1630">
      <c r="A1630" s="157"/>
      <c r="B1630" s="9"/>
      <c r="C1630" s="10"/>
      <c r="D1630" s="10"/>
      <c r="E1630" s="10"/>
      <c r="F1630" s="10"/>
      <c r="G1630" s="10"/>
      <c r="H1630" s="10"/>
      <c r="I1630" s="10"/>
      <c r="J1630" s="10"/>
      <c r="K1630" s="10"/>
      <c r="L1630" s="10"/>
      <c r="M1630" s="10"/>
      <c r="N1630" s="10"/>
      <c r="O1630" s="10"/>
    </row>
    <row r="1631">
      <c r="A1631" s="157"/>
      <c r="B1631" s="9"/>
      <c r="C1631" s="10"/>
      <c r="D1631" s="10"/>
      <c r="E1631" s="10"/>
      <c r="F1631" s="10"/>
      <c r="G1631" s="10"/>
      <c r="H1631" s="10"/>
      <c r="I1631" s="10"/>
      <c r="J1631" s="10"/>
      <c r="K1631" s="10"/>
      <c r="L1631" s="10"/>
      <c r="M1631" s="10"/>
      <c r="N1631" s="10"/>
      <c r="O1631" s="10"/>
    </row>
    <row r="1632">
      <c r="A1632" s="157"/>
      <c r="B1632" s="9"/>
      <c r="C1632" s="10"/>
      <c r="D1632" s="10"/>
      <c r="E1632" s="10"/>
      <c r="F1632" s="10"/>
      <c r="G1632" s="10"/>
      <c r="H1632" s="10"/>
      <c r="I1632" s="10"/>
      <c r="J1632" s="10"/>
      <c r="K1632" s="10"/>
      <c r="L1632" s="10"/>
      <c r="M1632" s="10"/>
      <c r="N1632" s="10"/>
      <c r="O1632" s="10"/>
    </row>
    <row r="1633">
      <c r="A1633" s="157"/>
      <c r="B1633" s="9"/>
      <c r="C1633" s="10"/>
      <c r="D1633" s="10"/>
      <c r="E1633" s="10"/>
      <c r="F1633" s="10"/>
      <c r="G1633" s="10"/>
      <c r="H1633" s="10"/>
      <c r="I1633" s="10"/>
      <c r="J1633" s="10"/>
      <c r="K1633" s="10"/>
      <c r="L1633" s="10"/>
      <c r="M1633" s="10"/>
      <c r="N1633" s="10"/>
      <c r="O1633" s="10"/>
    </row>
    <row r="1634">
      <c r="A1634" s="157"/>
      <c r="B1634" s="9"/>
      <c r="C1634" s="10"/>
      <c r="D1634" s="10"/>
      <c r="E1634" s="10"/>
      <c r="F1634" s="10"/>
      <c r="G1634" s="10"/>
      <c r="H1634" s="10"/>
      <c r="I1634" s="10"/>
      <c r="J1634" s="10"/>
      <c r="K1634" s="10"/>
      <c r="L1634" s="10"/>
      <c r="M1634" s="10"/>
      <c r="N1634" s="10"/>
      <c r="O1634" s="10"/>
    </row>
    <row r="1635">
      <c r="A1635" s="157"/>
      <c r="B1635" s="9"/>
      <c r="C1635" s="10"/>
      <c r="D1635" s="10"/>
      <c r="E1635" s="10"/>
      <c r="F1635" s="10"/>
      <c r="G1635" s="10"/>
      <c r="H1635" s="10"/>
      <c r="I1635" s="10"/>
      <c r="J1635" s="10"/>
      <c r="K1635" s="10"/>
      <c r="L1635" s="10"/>
      <c r="M1635" s="10"/>
      <c r="N1635" s="10"/>
      <c r="O1635" s="10"/>
    </row>
    <row r="1636">
      <c r="A1636" s="157"/>
      <c r="B1636" s="9"/>
      <c r="C1636" s="10"/>
      <c r="D1636" s="10"/>
      <c r="E1636" s="10"/>
      <c r="F1636" s="10"/>
      <c r="G1636" s="10"/>
      <c r="H1636" s="10"/>
      <c r="I1636" s="10"/>
      <c r="J1636" s="10"/>
      <c r="K1636" s="10"/>
      <c r="L1636" s="10"/>
      <c r="M1636" s="10"/>
      <c r="N1636" s="10"/>
      <c r="O1636" s="10"/>
    </row>
    <row r="1637">
      <c r="A1637" s="157"/>
      <c r="B1637" s="9"/>
      <c r="C1637" s="10"/>
      <c r="D1637" s="10"/>
      <c r="E1637" s="10"/>
      <c r="F1637" s="10"/>
      <c r="G1637" s="10"/>
      <c r="H1637" s="10"/>
      <c r="I1637" s="10"/>
      <c r="J1637" s="10"/>
      <c r="K1637" s="10"/>
      <c r="L1637" s="10"/>
      <c r="M1637" s="10"/>
      <c r="N1637" s="10"/>
      <c r="O1637" s="10"/>
    </row>
    <row r="1638">
      <c r="A1638" s="157"/>
      <c r="B1638" s="9"/>
      <c r="C1638" s="10"/>
      <c r="D1638" s="10"/>
      <c r="E1638" s="10"/>
      <c r="F1638" s="10"/>
      <c r="G1638" s="10"/>
      <c r="H1638" s="10"/>
      <c r="I1638" s="10"/>
      <c r="J1638" s="10"/>
      <c r="K1638" s="10"/>
      <c r="L1638" s="10"/>
      <c r="M1638" s="10"/>
      <c r="N1638" s="10"/>
      <c r="O1638" s="10"/>
    </row>
    <row r="1639">
      <c r="A1639" s="157"/>
      <c r="B1639" s="9"/>
      <c r="C1639" s="10"/>
      <c r="D1639" s="10"/>
      <c r="E1639" s="10"/>
      <c r="F1639" s="10"/>
      <c r="G1639" s="10"/>
      <c r="H1639" s="10"/>
      <c r="I1639" s="10"/>
      <c r="J1639" s="10"/>
      <c r="K1639" s="10"/>
      <c r="L1639" s="10"/>
      <c r="M1639" s="10"/>
      <c r="N1639" s="10"/>
      <c r="O1639" s="10"/>
    </row>
    <row r="1640">
      <c r="A1640" s="157"/>
      <c r="B1640" s="9"/>
      <c r="C1640" s="10"/>
      <c r="D1640" s="10"/>
      <c r="E1640" s="10"/>
      <c r="F1640" s="10"/>
      <c r="G1640" s="10"/>
      <c r="H1640" s="10"/>
      <c r="I1640" s="10"/>
      <c r="J1640" s="10"/>
      <c r="K1640" s="10"/>
      <c r="L1640" s="10"/>
      <c r="M1640" s="10"/>
      <c r="N1640" s="10"/>
      <c r="O1640" s="10"/>
    </row>
    <row r="1641">
      <c r="A1641" s="157"/>
      <c r="B1641" s="9"/>
      <c r="C1641" s="10"/>
      <c r="D1641" s="10"/>
      <c r="E1641" s="10"/>
      <c r="F1641" s="10"/>
      <c r="G1641" s="10"/>
      <c r="H1641" s="10"/>
      <c r="I1641" s="10"/>
      <c r="J1641" s="10"/>
      <c r="K1641" s="10"/>
      <c r="L1641" s="10"/>
      <c r="M1641" s="10"/>
      <c r="N1641" s="10"/>
      <c r="O1641" s="10"/>
    </row>
    <row r="1642">
      <c r="A1642" s="157"/>
      <c r="B1642" s="9"/>
      <c r="C1642" s="10"/>
      <c r="D1642" s="10"/>
      <c r="E1642" s="10"/>
      <c r="F1642" s="10"/>
      <c r="G1642" s="10"/>
      <c r="H1642" s="10"/>
      <c r="I1642" s="10"/>
      <c r="J1642" s="10"/>
      <c r="K1642" s="10"/>
      <c r="L1642" s="10"/>
      <c r="M1642" s="10"/>
      <c r="N1642" s="10"/>
      <c r="O1642" s="10"/>
    </row>
    <row r="1643">
      <c r="A1643" s="157"/>
      <c r="B1643" s="9"/>
      <c r="C1643" s="10"/>
      <c r="D1643" s="10"/>
      <c r="E1643" s="10"/>
      <c r="F1643" s="10"/>
      <c r="G1643" s="10"/>
      <c r="H1643" s="10"/>
      <c r="I1643" s="10"/>
      <c r="J1643" s="10"/>
      <c r="K1643" s="10"/>
      <c r="L1643" s="10"/>
      <c r="M1643" s="10"/>
      <c r="N1643" s="10"/>
      <c r="O1643" s="10"/>
    </row>
    <row r="1644">
      <c r="A1644" s="157"/>
      <c r="B1644" s="9"/>
      <c r="C1644" s="10"/>
      <c r="D1644" s="10"/>
      <c r="E1644" s="10"/>
      <c r="F1644" s="10"/>
      <c r="G1644" s="10"/>
      <c r="H1644" s="10"/>
      <c r="I1644" s="10"/>
      <c r="J1644" s="10"/>
      <c r="K1644" s="10"/>
      <c r="L1644" s="10"/>
      <c r="M1644" s="10"/>
      <c r="N1644" s="10"/>
      <c r="O1644" s="10"/>
    </row>
    <row r="1645">
      <c r="A1645" s="157"/>
      <c r="B1645" s="9"/>
      <c r="C1645" s="10"/>
      <c r="D1645" s="10"/>
      <c r="E1645" s="10"/>
      <c r="F1645" s="10"/>
      <c r="G1645" s="10"/>
      <c r="H1645" s="10"/>
      <c r="I1645" s="10"/>
      <c r="J1645" s="10"/>
      <c r="K1645" s="10"/>
      <c r="L1645" s="10"/>
      <c r="M1645" s="10"/>
      <c r="N1645" s="10"/>
      <c r="O1645" s="10"/>
    </row>
    <row r="1646">
      <c r="A1646" s="157"/>
      <c r="B1646" s="9"/>
      <c r="C1646" s="10"/>
      <c r="D1646" s="10"/>
      <c r="E1646" s="10"/>
      <c r="F1646" s="10"/>
      <c r="G1646" s="10"/>
      <c r="H1646" s="10"/>
      <c r="I1646" s="10"/>
      <c r="J1646" s="10"/>
      <c r="K1646" s="10"/>
      <c r="L1646" s="10"/>
      <c r="M1646" s="10"/>
      <c r="N1646" s="10"/>
      <c r="O1646" s="10"/>
    </row>
    <row r="1647">
      <c r="A1647" s="157"/>
      <c r="B1647" s="9"/>
      <c r="C1647" s="10"/>
      <c r="D1647" s="10"/>
      <c r="E1647" s="10"/>
      <c r="F1647" s="10"/>
      <c r="G1647" s="10"/>
      <c r="H1647" s="10"/>
      <c r="I1647" s="10"/>
      <c r="J1647" s="10"/>
      <c r="K1647" s="10"/>
      <c r="L1647" s="10"/>
      <c r="M1647" s="10"/>
      <c r="N1647" s="10"/>
      <c r="O1647" s="10"/>
    </row>
    <row r="1648">
      <c r="A1648" s="157"/>
      <c r="B1648" s="9"/>
      <c r="C1648" s="10"/>
      <c r="D1648" s="10"/>
      <c r="E1648" s="10"/>
      <c r="F1648" s="10"/>
      <c r="G1648" s="10"/>
      <c r="H1648" s="10"/>
      <c r="I1648" s="10"/>
      <c r="J1648" s="10"/>
      <c r="K1648" s="10"/>
      <c r="L1648" s="10"/>
      <c r="M1648" s="10"/>
      <c r="N1648" s="10"/>
      <c r="O1648" s="10"/>
    </row>
    <row r="1649">
      <c r="A1649" s="157"/>
      <c r="B1649" s="9"/>
      <c r="C1649" s="10"/>
      <c r="D1649" s="10"/>
      <c r="E1649" s="10"/>
      <c r="F1649" s="10"/>
      <c r="G1649" s="10"/>
      <c r="H1649" s="10"/>
      <c r="I1649" s="10"/>
      <c r="J1649" s="10"/>
      <c r="K1649" s="10"/>
      <c r="L1649" s="10"/>
      <c r="M1649" s="10"/>
      <c r="N1649" s="10"/>
      <c r="O1649" s="10"/>
    </row>
    <row r="1650">
      <c r="A1650" s="157"/>
      <c r="B1650" s="9"/>
      <c r="C1650" s="10"/>
      <c r="D1650" s="10"/>
      <c r="E1650" s="10"/>
      <c r="F1650" s="10"/>
      <c r="G1650" s="10"/>
      <c r="H1650" s="10"/>
      <c r="I1650" s="10"/>
      <c r="J1650" s="10"/>
      <c r="K1650" s="10"/>
      <c r="L1650" s="10"/>
      <c r="M1650" s="10"/>
      <c r="N1650" s="10"/>
      <c r="O1650" s="10"/>
    </row>
    <row r="1651">
      <c r="A1651" s="157"/>
      <c r="B1651" s="9"/>
      <c r="C1651" s="10"/>
      <c r="D1651" s="10"/>
      <c r="E1651" s="10"/>
      <c r="F1651" s="10"/>
      <c r="G1651" s="10"/>
      <c r="H1651" s="10"/>
      <c r="I1651" s="10"/>
      <c r="J1651" s="10"/>
      <c r="K1651" s="10"/>
      <c r="L1651" s="10"/>
      <c r="M1651" s="10"/>
      <c r="N1651" s="10"/>
      <c r="O1651" s="10"/>
    </row>
    <row r="1652">
      <c r="A1652" s="157"/>
      <c r="B1652" s="9"/>
      <c r="C1652" s="10"/>
      <c r="D1652" s="10"/>
      <c r="E1652" s="10"/>
      <c r="F1652" s="10"/>
      <c r="G1652" s="10"/>
      <c r="H1652" s="10"/>
      <c r="I1652" s="10"/>
      <c r="J1652" s="10"/>
      <c r="K1652" s="10"/>
      <c r="L1652" s="10"/>
      <c r="M1652" s="10"/>
      <c r="N1652" s="10"/>
      <c r="O1652" s="10"/>
    </row>
    <row r="1653">
      <c r="A1653" s="157"/>
      <c r="B1653" s="9"/>
      <c r="C1653" s="10"/>
      <c r="D1653" s="10"/>
      <c r="E1653" s="10"/>
      <c r="F1653" s="10"/>
      <c r="G1653" s="10"/>
      <c r="H1653" s="10"/>
      <c r="I1653" s="10"/>
      <c r="J1653" s="10"/>
      <c r="K1653" s="10"/>
      <c r="L1653" s="10"/>
      <c r="M1653" s="10"/>
      <c r="N1653" s="10"/>
      <c r="O1653" s="10"/>
    </row>
    <row r="1654">
      <c r="A1654" s="157"/>
      <c r="B1654" s="9"/>
      <c r="C1654" s="10"/>
      <c r="D1654" s="10"/>
      <c r="E1654" s="10"/>
      <c r="F1654" s="10"/>
      <c r="G1654" s="10"/>
      <c r="H1654" s="10"/>
      <c r="I1654" s="10"/>
      <c r="J1654" s="10"/>
      <c r="K1654" s="10"/>
      <c r="L1654" s="10"/>
      <c r="M1654" s="10"/>
      <c r="N1654" s="10"/>
      <c r="O1654" s="10"/>
    </row>
    <row r="1655">
      <c r="A1655" s="157"/>
      <c r="B1655" s="9"/>
      <c r="C1655" s="10"/>
      <c r="D1655" s="10"/>
      <c r="E1655" s="10"/>
      <c r="F1655" s="10"/>
      <c r="G1655" s="10"/>
      <c r="H1655" s="10"/>
      <c r="I1655" s="10"/>
      <c r="J1655" s="10"/>
      <c r="K1655" s="10"/>
      <c r="L1655" s="10"/>
      <c r="M1655" s="10"/>
      <c r="N1655" s="10"/>
      <c r="O1655" s="10"/>
    </row>
    <row r="1656">
      <c r="A1656" s="157"/>
      <c r="B1656" s="9"/>
      <c r="C1656" s="10"/>
      <c r="D1656" s="10"/>
      <c r="E1656" s="10"/>
      <c r="F1656" s="10"/>
      <c r="G1656" s="10"/>
      <c r="H1656" s="10"/>
      <c r="I1656" s="10"/>
      <c r="J1656" s="10"/>
      <c r="K1656" s="10"/>
      <c r="L1656" s="10"/>
      <c r="M1656" s="10"/>
      <c r="N1656" s="10"/>
      <c r="O1656" s="10"/>
    </row>
    <row r="1657">
      <c r="A1657" s="157"/>
      <c r="B1657" s="9"/>
      <c r="C1657" s="10"/>
      <c r="D1657" s="10"/>
      <c r="E1657" s="10"/>
      <c r="F1657" s="10"/>
      <c r="G1657" s="10"/>
      <c r="H1657" s="10"/>
      <c r="I1657" s="10"/>
      <c r="J1657" s="10"/>
      <c r="K1657" s="10"/>
      <c r="L1657" s="10"/>
      <c r="M1657" s="10"/>
      <c r="N1657" s="10"/>
      <c r="O1657" s="10"/>
    </row>
    <row r="1658">
      <c r="A1658" s="157"/>
      <c r="B1658" s="9"/>
      <c r="C1658" s="10"/>
      <c r="D1658" s="10"/>
      <c r="E1658" s="10"/>
      <c r="F1658" s="10"/>
      <c r="G1658" s="10"/>
      <c r="H1658" s="10"/>
      <c r="I1658" s="10"/>
      <c r="J1658" s="10"/>
      <c r="K1658" s="10"/>
      <c r="L1658" s="10"/>
      <c r="M1658" s="10"/>
      <c r="N1658" s="10"/>
      <c r="O1658" s="10"/>
    </row>
    <row r="1659">
      <c r="A1659" s="157"/>
      <c r="B1659" s="9"/>
      <c r="C1659" s="10"/>
      <c r="D1659" s="10"/>
      <c r="E1659" s="10"/>
      <c r="F1659" s="10"/>
      <c r="G1659" s="10"/>
      <c r="H1659" s="10"/>
      <c r="I1659" s="10"/>
      <c r="J1659" s="10"/>
      <c r="K1659" s="10"/>
      <c r="L1659" s="10"/>
      <c r="M1659" s="10"/>
      <c r="N1659" s="10"/>
      <c r="O1659" s="10"/>
    </row>
    <row r="1660">
      <c r="A1660" s="157"/>
      <c r="B1660" s="9"/>
      <c r="C1660" s="10"/>
      <c r="D1660" s="10"/>
      <c r="E1660" s="10"/>
      <c r="F1660" s="10"/>
      <c r="G1660" s="10"/>
      <c r="H1660" s="10"/>
      <c r="I1660" s="10"/>
      <c r="J1660" s="10"/>
      <c r="K1660" s="10"/>
      <c r="L1660" s="10"/>
      <c r="M1660" s="10"/>
      <c r="N1660" s="10"/>
      <c r="O1660" s="10"/>
    </row>
    <row r="1661">
      <c r="A1661" s="157"/>
      <c r="B1661" s="9"/>
      <c r="C1661" s="10"/>
      <c r="D1661" s="10"/>
      <c r="E1661" s="10"/>
      <c r="F1661" s="10"/>
      <c r="G1661" s="10"/>
      <c r="H1661" s="10"/>
      <c r="I1661" s="10"/>
      <c r="J1661" s="10"/>
      <c r="K1661" s="10"/>
      <c r="L1661" s="10"/>
      <c r="M1661" s="10"/>
      <c r="N1661" s="10"/>
      <c r="O1661" s="10"/>
    </row>
    <row r="1662">
      <c r="A1662" s="157"/>
      <c r="B1662" s="9"/>
      <c r="C1662" s="10"/>
      <c r="D1662" s="10"/>
      <c r="E1662" s="10"/>
      <c r="F1662" s="10"/>
      <c r="G1662" s="10"/>
      <c r="H1662" s="10"/>
      <c r="I1662" s="10"/>
      <c r="J1662" s="10"/>
      <c r="K1662" s="10"/>
      <c r="L1662" s="10"/>
      <c r="M1662" s="10"/>
      <c r="N1662" s="10"/>
      <c r="O1662" s="10"/>
    </row>
    <row r="1663">
      <c r="A1663" s="157"/>
      <c r="B1663" s="9"/>
      <c r="C1663" s="10"/>
      <c r="D1663" s="10"/>
      <c r="E1663" s="10"/>
      <c r="F1663" s="10"/>
      <c r="G1663" s="10"/>
      <c r="H1663" s="10"/>
      <c r="I1663" s="10"/>
      <c r="J1663" s="10"/>
      <c r="K1663" s="10"/>
      <c r="L1663" s="10"/>
      <c r="M1663" s="10"/>
      <c r="N1663" s="10"/>
      <c r="O1663" s="10"/>
    </row>
    <row r="1664">
      <c r="A1664" s="157"/>
      <c r="B1664" s="9"/>
      <c r="C1664" s="10"/>
      <c r="D1664" s="10"/>
      <c r="E1664" s="10"/>
      <c r="F1664" s="10"/>
      <c r="G1664" s="10"/>
      <c r="H1664" s="10"/>
      <c r="I1664" s="10"/>
      <c r="J1664" s="10"/>
      <c r="K1664" s="10"/>
      <c r="L1664" s="10"/>
      <c r="M1664" s="10"/>
      <c r="N1664" s="10"/>
      <c r="O1664" s="10"/>
    </row>
    <row r="1665">
      <c r="A1665" s="157"/>
      <c r="B1665" s="9"/>
      <c r="C1665" s="10"/>
      <c r="D1665" s="10"/>
      <c r="E1665" s="10"/>
      <c r="F1665" s="10"/>
      <c r="G1665" s="10"/>
      <c r="H1665" s="10"/>
      <c r="I1665" s="10"/>
      <c r="J1665" s="10"/>
      <c r="K1665" s="10"/>
      <c r="L1665" s="10"/>
      <c r="M1665" s="10"/>
      <c r="N1665" s="10"/>
      <c r="O1665" s="10"/>
    </row>
    <row r="1666">
      <c r="A1666" s="157"/>
      <c r="B1666" s="9"/>
      <c r="C1666" s="10"/>
      <c r="D1666" s="10"/>
      <c r="E1666" s="10"/>
      <c r="F1666" s="10"/>
      <c r="G1666" s="10"/>
      <c r="H1666" s="10"/>
      <c r="I1666" s="10"/>
      <c r="J1666" s="10"/>
      <c r="K1666" s="10"/>
      <c r="L1666" s="10"/>
      <c r="M1666" s="10"/>
      <c r="N1666" s="10"/>
      <c r="O1666" s="10"/>
    </row>
    <row r="1667">
      <c r="A1667" s="157"/>
      <c r="B1667" s="9"/>
      <c r="C1667" s="10"/>
      <c r="D1667" s="10"/>
      <c r="E1667" s="10"/>
      <c r="F1667" s="10"/>
      <c r="G1667" s="10"/>
      <c r="H1667" s="10"/>
      <c r="I1667" s="10"/>
      <c r="J1667" s="10"/>
      <c r="K1667" s="10"/>
      <c r="L1667" s="10"/>
      <c r="M1667" s="10"/>
      <c r="N1667" s="10"/>
      <c r="O1667" s="10"/>
    </row>
    <row r="1668">
      <c r="A1668" s="157"/>
      <c r="B1668" s="9"/>
      <c r="C1668" s="10"/>
      <c r="D1668" s="10"/>
      <c r="E1668" s="10"/>
      <c r="F1668" s="10"/>
      <c r="G1668" s="10"/>
      <c r="H1668" s="10"/>
      <c r="I1668" s="10"/>
      <c r="J1668" s="10"/>
      <c r="K1668" s="10"/>
      <c r="L1668" s="10"/>
      <c r="M1668" s="10"/>
      <c r="N1668" s="10"/>
      <c r="O1668" s="10"/>
    </row>
    <row r="1669">
      <c r="A1669" s="157"/>
      <c r="B1669" s="9"/>
      <c r="C1669" s="10"/>
      <c r="D1669" s="10"/>
      <c r="E1669" s="10"/>
      <c r="F1669" s="10"/>
      <c r="G1669" s="10"/>
      <c r="H1669" s="10"/>
      <c r="I1669" s="10"/>
      <c r="J1669" s="10"/>
      <c r="K1669" s="10"/>
      <c r="L1669" s="10"/>
      <c r="M1669" s="10"/>
      <c r="N1669" s="10"/>
      <c r="O1669" s="10"/>
    </row>
    <row r="1670">
      <c r="A1670" s="157"/>
      <c r="B1670" s="9"/>
      <c r="C1670" s="10"/>
      <c r="D1670" s="10"/>
      <c r="E1670" s="10"/>
      <c r="F1670" s="10"/>
      <c r="G1670" s="10"/>
      <c r="H1670" s="10"/>
      <c r="I1670" s="10"/>
      <c r="J1670" s="10"/>
      <c r="K1670" s="10"/>
      <c r="L1670" s="10"/>
      <c r="M1670" s="10"/>
      <c r="N1670" s="10"/>
      <c r="O1670" s="10"/>
    </row>
    <row r="1671">
      <c r="A1671" s="157"/>
      <c r="B1671" s="9"/>
      <c r="C1671" s="10"/>
      <c r="D1671" s="10"/>
      <c r="E1671" s="10"/>
      <c r="F1671" s="10"/>
      <c r="G1671" s="10"/>
      <c r="H1671" s="10"/>
      <c r="I1671" s="10"/>
      <c r="J1671" s="10"/>
      <c r="K1671" s="10"/>
      <c r="L1671" s="10"/>
      <c r="M1671" s="10"/>
      <c r="N1671" s="10"/>
      <c r="O1671" s="10"/>
    </row>
    <row r="1672">
      <c r="A1672" s="157"/>
      <c r="B1672" s="9"/>
      <c r="C1672" s="10"/>
      <c r="D1672" s="10"/>
      <c r="E1672" s="10"/>
      <c r="F1672" s="10"/>
      <c r="G1672" s="10"/>
      <c r="H1672" s="10"/>
      <c r="I1672" s="10"/>
      <c r="J1672" s="10"/>
      <c r="K1672" s="10"/>
      <c r="L1672" s="10"/>
      <c r="M1672" s="10"/>
      <c r="N1672" s="10"/>
      <c r="O1672" s="10"/>
    </row>
    <row r="1673">
      <c r="A1673" s="157"/>
      <c r="B1673" s="9"/>
      <c r="C1673" s="10"/>
      <c r="D1673" s="10"/>
      <c r="E1673" s="10"/>
      <c r="F1673" s="10"/>
      <c r="G1673" s="10"/>
      <c r="H1673" s="10"/>
      <c r="I1673" s="10"/>
      <c r="J1673" s="10"/>
      <c r="K1673" s="10"/>
      <c r="L1673" s="10"/>
      <c r="M1673" s="10"/>
      <c r="N1673" s="10"/>
      <c r="O1673" s="10"/>
    </row>
    <row r="1674">
      <c r="A1674" s="157"/>
      <c r="B1674" s="9"/>
      <c r="C1674" s="10"/>
      <c r="D1674" s="10"/>
      <c r="E1674" s="10"/>
      <c r="F1674" s="10"/>
      <c r="G1674" s="10"/>
      <c r="H1674" s="10"/>
      <c r="I1674" s="10"/>
      <c r="J1674" s="10"/>
      <c r="K1674" s="10"/>
      <c r="L1674" s="10"/>
      <c r="M1674" s="10"/>
      <c r="N1674" s="10"/>
      <c r="O1674" s="10"/>
    </row>
    <row r="1675">
      <c r="A1675" s="157"/>
      <c r="B1675" s="9"/>
      <c r="C1675" s="10"/>
      <c r="D1675" s="10"/>
      <c r="E1675" s="10"/>
      <c r="F1675" s="10"/>
      <c r="G1675" s="10"/>
      <c r="H1675" s="10"/>
      <c r="I1675" s="10"/>
      <c r="J1675" s="10"/>
      <c r="K1675" s="10"/>
      <c r="L1675" s="10"/>
      <c r="M1675" s="10"/>
      <c r="N1675" s="10"/>
      <c r="O1675" s="10"/>
    </row>
    <row r="1676">
      <c r="A1676" s="157"/>
      <c r="B1676" s="9"/>
      <c r="C1676" s="10"/>
      <c r="D1676" s="10"/>
      <c r="E1676" s="10"/>
      <c r="F1676" s="10"/>
      <c r="G1676" s="10"/>
      <c r="H1676" s="10"/>
      <c r="I1676" s="10"/>
      <c r="J1676" s="10"/>
      <c r="K1676" s="10"/>
      <c r="L1676" s="10"/>
      <c r="M1676" s="10"/>
      <c r="N1676" s="10"/>
      <c r="O1676" s="10"/>
    </row>
    <row r="1677">
      <c r="A1677" s="157"/>
      <c r="B1677" s="9"/>
      <c r="C1677" s="10"/>
      <c r="D1677" s="10"/>
      <c r="E1677" s="10"/>
      <c r="F1677" s="10"/>
      <c r="G1677" s="10"/>
      <c r="H1677" s="10"/>
      <c r="I1677" s="10"/>
      <c r="J1677" s="10"/>
      <c r="K1677" s="10"/>
      <c r="L1677" s="10"/>
      <c r="M1677" s="10"/>
      <c r="N1677" s="10"/>
      <c r="O1677" s="10"/>
    </row>
    <row r="1678">
      <c r="A1678" s="157"/>
      <c r="B1678" s="9"/>
      <c r="C1678" s="10"/>
      <c r="D1678" s="10"/>
      <c r="E1678" s="10"/>
      <c r="F1678" s="10"/>
      <c r="G1678" s="10"/>
      <c r="H1678" s="10"/>
      <c r="I1678" s="10"/>
      <c r="J1678" s="10"/>
      <c r="K1678" s="10"/>
      <c r="L1678" s="10"/>
      <c r="M1678" s="10"/>
      <c r="N1678" s="10"/>
      <c r="O1678" s="10"/>
    </row>
    <row r="1679">
      <c r="A1679" s="157"/>
      <c r="B1679" s="9"/>
      <c r="C1679" s="10"/>
      <c r="D1679" s="10"/>
      <c r="E1679" s="10"/>
      <c r="F1679" s="10"/>
      <c r="G1679" s="10"/>
      <c r="H1679" s="10"/>
      <c r="I1679" s="10"/>
      <c r="J1679" s="10"/>
      <c r="K1679" s="10"/>
      <c r="L1679" s="10"/>
      <c r="M1679" s="10"/>
      <c r="N1679" s="10"/>
      <c r="O1679" s="10"/>
    </row>
    <row r="1680">
      <c r="A1680" s="157"/>
      <c r="B1680" s="9"/>
      <c r="C1680" s="10"/>
      <c r="D1680" s="10"/>
      <c r="E1680" s="10"/>
      <c r="F1680" s="10"/>
      <c r="G1680" s="10"/>
      <c r="H1680" s="10"/>
      <c r="I1680" s="10"/>
      <c r="J1680" s="10"/>
      <c r="K1680" s="10"/>
      <c r="L1680" s="10"/>
      <c r="M1680" s="10"/>
      <c r="N1680" s="10"/>
      <c r="O1680" s="10"/>
    </row>
    <row r="1681">
      <c r="A1681" s="157"/>
      <c r="B1681" s="9"/>
      <c r="C1681" s="10"/>
      <c r="D1681" s="10"/>
      <c r="E1681" s="10"/>
      <c r="F1681" s="10"/>
      <c r="G1681" s="10"/>
      <c r="H1681" s="10"/>
      <c r="I1681" s="10"/>
      <c r="J1681" s="10"/>
      <c r="K1681" s="10"/>
      <c r="L1681" s="10"/>
      <c r="M1681" s="10"/>
      <c r="N1681" s="10"/>
      <c r="O1681" s="10"/>
    </row>
    <row r="1682">
      <c r="A1682" s="157"/>
      <c r="B1682" s="9"/>
      <c r="C1682" s="10"/>
      <c r="D1682" s="10"/>
      <c r="E1682" s="10"/>
      <c r="F1682" s="10"/>
      <c r="G1682" s="10"/>
      <c r="H1682" s="10"/>
      <c r="I1682" s="10"/>
      <c r="J1682" s="10"/>
      <c r="K1682" s="10"/>
      <c r="L1682" s="10"/>
      <c r="M1682" s="10"/>
      <c r="N1682" s="10"/>
      <c r="O1682" s="10"/>
    </row>
    <row r="1683">
      <c r="A1683" s="157"/>
      <c r="B1683" s="9"/>
      <c r="C1683" s="10"/>
      <c r="D1683" s="10"/>
      <c r="E1683" s="10"/>
      <c r="F1683" s="10"/>
      <c r="G1683" s="10"/>
      <c r="H1683" s="10"/>
      <c r="I1683" s="10"/>
      <c r="J1683" s="10"/>
      <c r="K1683" s="10"/>
      <c r="L1683" s="10"/>
      <c r="M1683" s="10"/>
      <c r="N1683" s="10"/>
      <c r="O1683" s="10"/>
    </row>
    <row r="1684">
      <c r="A1684" s="157"/>
      <c r="B1684" s="9"/>
      <c r="C1684" s="10"/>
      <c r="D1684" s="10"/>
      <c r="E1684" s="10"/>
      <c r="F1684" s="10"/>
      <c r="G1684" s="10"/>
      <c r="H1684" s="10"/>
      <c r="I1684" s="10"/>
      <c r="J1684" s="10"/>
      <c r="K1684" s="10"/>
      <c r="L1684" s="10"/>
      <c r="M1684" s="10"/>
      <c r="N1684" s="10"/>
      <c r="O1684" s="10"/>
    </row>
    <row r="1685">
      <c r="A1685" s="157"/>
      <c r="B1685" s="9"/>
      <c r="C1685" s="10"/>
      <c r="D1685" s="10"/>
      <c r="E1685" s="10"/>
      <c r="F1685" s="10"/>
      <c r="G1685" s="10"/>
      <c r="H1685" s="10"/>
      <c r="I1685" s="10"/>
      <c r="J1685" s="10"/>
      <c r="K1685" s="10"/>
      <c r="L1685" s="10"/>
      <c r="M1685" s="10"/>
      <c r="N1685" s="10"/>
      <c r="O1685" s="10"/>
    </row>
    <row r="1686">
      <c r="A1686" s="157"/>
      <c r="B1686" s="9"/>
      <c r="C1686" s="10"/>
      <c r="D1686" s="10"/>
      <c r="E1686" s="10"/>
      <c r="F1686" s="10"/>
      <c r="G1686" s="10"/>
      <c r="H1686" s="10"/>
      <c r="I1686" s="10"/>
      <c r="J1686" s="10"/>
      <c r="K1686" s="10"/>
      <c r="L1686" s="10"/>
      <c r="M1686" s="10"/>
      <c r="N1686" s="10"/>
      <c r="O1686" s="10"/>
    </row>
    <row r="1687">
      <c r="A1687" s="157"/>
      <c r="B1687" s="9"/>
      <c r="C1687" s="10"/>
      <c r="D1687" s="10"/>
      <c r="E1687" s="10"/>
      <c r="F1687" s="10"/>
      <c r="G1687" s="10"/>
      <c r="H1687" s="10"/>
      <c r="I1687" s="10"/>
      <c r="J1687" s="10"/>
      <c r="K1687" s="10"/>
      <c r="L1687" s="10"/>
      <c r="M1687" s="10"/>
      <c r="N1687" s="10"/>
      <c r="O1687" s="10"/>
    </row>
    <row r="1688">
      <c r="A1688" s="157"/>
      <c r="B1688" s="9"/>
      <c r="C1688" s="10"/>
      <c r="D1688" s="10"/>
      <c r="E1688" s="10"/>
      <c r="F1688" s="10"/>
      <c r="G1688" s="10"/>
      <c r="H1688" s="10"/>
      <c r="I1688" s="10"/>
      <c r="J1688" s="10"/>
      <c r="K1688" s="10"/>
      <c r="L1688" s="10"/>
      <c r="M1688" s="10"/>
      <c r="N1688" s="10"/>
      <c r="O1688" s="10"/>
    </row>
    <row r="1689">
      <c r="A1689" s="157"/>
      <c r="B1689" s="9"/>
      <c r="C1689" s="10"/>
      <c r="D1689" s="10"/>
      <c r="E1689" s="10"/>
      <c r="F1689" s="10"/>
      <c r="G1689" s="10"/>
      <c r="H1689" s="10"/>
      <c r="I1689" s="10"/>
      <c r="J1689" s="10"/>
      <c r="K1689" s="10"/>
      <c r="L1689" s="10"/>
      <c r="M1689" s="10"/>
      <c r="N1689" s="10"/>
      <c r="O1689" s="10"/>
    </row>
    <row r="1690">
      <c r="A1690" s="157"/>
      <c r="B1690" s="9"/>
      <c r="C1690" s="10"/>
      <c r="D1690" s="10"/>
      <c r="E1690" s="10"/>
      <c r="F1690" s="10"/>
      <c r="G1690" s="10"/>
      <c r="H1690" s="10"/>
      <c r="I1690" s="10"/>
      <c r="J1690" s="10"/>
      <c r="K1690" s="10"/>
      <c r="L1690" s="10"/>
      <c r="M1690" s="10"/>
      <c r="N1690" s="10"/>
      <c r="O1690" s="10"/>
    </row>
    <row r="1691">
      <c r="A1691" s="157"/>
      <c r="B1691" s="9"/>
      <c r="C1691" s="10"/>
      <c r="D1691" s="10"/>
      <c r="E1691" s="10"/>
      <c r="F1691" s="10"/>
      <c r="G1691" s="10"/>
      <c r="H1691" s="10"/>
      <c r="I1691" s="10"/>
      <c r="J1691" s="10"/>
      <c r="K1691" s="10"/>
      <c r="L1691" s="10"/>
      <c r="M1691" s="10"/>
      <c r="N1691" s="10"/>
      <c r="O1691" s="10"/>
    </row>
    <row r="1692">
      <c r="A1692" s="157"/>
      <c r="B1692" s="9"/>
      <c r="C1692" s="10"/>
      <c r="D1692" s="10"/>
      <c r="E1692" s="10"/>
      <c r="F1692" s="10"/>
      <c r="G1692" s="10"/>
      <c r="H1692" s="10"/>
      <c r="I1692" s="10"/>
      <c r="J1692" s="10"/>
      <c r="K1692" s="10"/>
      <c r="L1692" s="10"/>
      <c r="M1692" s="10"/>
      <c r="N1692" s="10"/>
      <c r="O1692" s="10"/>
    </row>
    <row r="1693">
      <c r="A1693" s="157"/>
      <c r="B1693" s="9"/>
      <c r="C1693" s="10"/>
      <c r="D1693" s="10"/>
      <c r="E1693" s="10"/>
      <c r="F1693" s="10"/>
      <c r="G1693" s="10"/>
      <c r="H1693" s="10"/>
      <c r="I1693" s="10"/>
      <c r="J1693" s="10"/>
      <c r="K1693" s="10"/>
      <c r="L1693" s="10"/>
      <c r="M1693" s="10"/>
      <c r="N1693" s="10"/>
      <c r="O1693" s="10"/>
    </row>
    <row r="1694">
      <c r="A1694" s="157"/>
      <c r="B1694" s="9"/>
      <c r="C1694" s="10"/>
      <c r="D1694" s="10"/>
      <c r="E1694" s="10"/>
      <c r="F1694" s="10"/>
      <c r="G1694" s="10"/>
      <c r="H1694" s="10"/>
      <c r="I1694" s="10"/>
      <c r="J1694" s="10"/>
      <c r="K1694" s="10"/>
      <c r="L1694" s="10"/>
      <c r="M1694" s="10"/>
      <c r="N1694" s="10"/>
      <c r="O1694" s="10"/>
    </row>
    <row r="1695">
      <c r="A1695" s="157"/>
      <c r="B1695" s="9"/>
      <c r="C1695" s="10"/>
      <c r="D1695" s="10"/>
      <c r="E1695" s="10"/>
      <c r="F1695" s="10"/>
      <c r="G1695" s="10"/>
      <c r="H1695" s="10"/>
      <c r="I1695" s="10"/>
      <c r="J1695" s="10"/>
      <c r="K1695" s="10"/>
      <c r="L1695" s="10"/>
      <c r="M1695" s="10"/>
      <c r="N1695" s="10"/>
      <c r="O1695" s="10"/>
    </row>
    <row r="1696">
      <c r="A1696" s="157"/>
      <c r="B1696" s="9"/>
      <c r="C1696" s="10"/>
      <c r="D1696" s="10"/>
      <c r="E1696" s="10"/>
      <c r="F1696" s="10"/>
      <c r="G1696" s="10"/>
      <c r="H1696" s="10"/>
      <c r="I1696" s="10"/>
      <c r="J1696" s="10"/>
      <c r="K1696" s="10"/>
      <c r="L1696" s="10"/>
      <c r="M1696" s="10"/>
      <c r="N1696" s="10"/>
      <c r="O1696" s="10"/>
    </row>
    <row r="1697">
      <c r="A1697" s="157"/>
      <c r="B1697" s="9"/>
      <c r="C1697" s="10"/>
      <c r="D1697" s="10"/>
      <c r="E1697" s="10"/>
      <c r="F1697" s="10"/>
      <c r="G1697" s="10"/>
      <c r="H1697" s="10"/>
      <c r="I1697" s="10"/>
      <c r="J1697" s="10"/>
      <c r="K1697" s="10"/>
      <c r="L1697" s="10"/>
      <c r="M1697" s="10"/>
      <c r="N1697" s="10"/>
      <c r="O1697" s="10"/>
    </row>
    <row r="1698">
      <c r="A1698" s="157"/>
      <c r="B1698" s="9"/>
      <c r="C1698" s="10"/>
      <c r="D1698" s="10"/>
      <c r="E1698" s="10"/>
      <c r="F1698" s="10"/>
      <c r="G1698" s="10"/>
      <c r="H1698" s="10"/>
      <c r="I1698" s="10"/>
      <c r="J1698" s="10"/>
      <c r="K1698" s="10"/>
      <c r="L1698" s="10"/>
      <c r="M1698" s="10"/>
      <c r="N1698" s="10"/>
      <c r="O1698" s="10"/>
    </row>
    <row r="1699">
      <c r="A1699" s="157"/>
      <c r="B1699" s="9"/>
      <c r="C1699" s="10"/>
      <c r="D1699" s="10"/>
      <c r="E1699" s="10"/>
      <c r="F1699" s="10"/>
      <c r="G1699" s="10"/>
      <c r="H1699" s="10"/>
      <c r="I1699" s="10"/>
      <c r="J1699" s="10"/>
      <c r="K1699" s="10"/>
      <c r="L1699" s="10"/>
      <c r="M1699" s="10"/>
      <c r="N1699" s="10"/>
      <c r="O1699" s="10"/>
    </row>
    <row r="1700">
      <c r="A1700" s="157"/>
      <c r="B1700" s="9"/>
      <c r="C1700" s="10"/>
      <c r="D1700" s="10"/>
      <c r="E1700" s="10"/>
      <c r="F1700" s="10"/>
      <c r="G1700" s="10"/>
      <c r="H1700" s="10"/>
      <c r="I1700" s="10"/>
      <c r="J1700" s="10"/>
      <c r="K1700" s="10"/>
      <c r="L1700" s="10"/>
      <c r="M1700" s="10"/>
      <c r="N1700" s="10"/>
      <c r="O1700" s="10"/>
    </row>
    <row r="1701">
      <c r="A1701" s="157"/>
      <c r="B1701" s="9"/>
      <c r="C1701" s="10"/>
      <c r="D1701" s="10"/>
      <c r="E1701" s="10"/>
      <c r="F1701" s="10"/>
      <c r="G1701" s="10"/>
      <c r="H1701" s="10"/>
      <c r="I1701" s="10"/>
      <c r="J1701" s="10"/>
      <c r="K1701" s="10"/>
      <c r="L1701" s="10"/>
      <c r="M1701" s="10"/>
      <c r="N1701" s="10"/>
      <c r="O1701" s="10"/>
    </row>
    <row r="1702">
      <c r="A1702" s="157"/>
      <c r="B1702" s="9"/>
      <c r="C1702" s="10"/>
      <c r="D1702" s="10"/>
      <c r="E1702" s="10"/>
      <c r="F1702" s="10"/>
      <c r="G1702" s="10"/>
      <c r="H1702" s="10"/>
      <c r="I1702" s="10"/>
      <c r="J1702" s="10"/>
      <c r="K1702" s="10"/>
      <c r="L1702" s="10"/>
      <c r="M1702" s="10"/>
      <c r="N1702" s="10"/>
      <c r="O1702" s="10"/>
    </row>
    <row r="1703">
      <c r="A1703" s="157"/>
      <c r="B1703" s="9"/>
      <c r="C1703" s="10"/>
      <c r="D1703" s="10"/>
      <c r="E1703" s="10"/>
      <c r="F1703" s="10"/>
      <c r="G1703" s="10"/>
      <c r="H1703" s="10"/>
      <c r="I1703" s="10"/>
      <c r="J1703" s="10"/>
      <c r="K1703" s="10"/>
      <c r="L1703" s="10"/>
      <c r="M1703" s="10"/>
      <c r="N1703" s="10"/>
      <c r="O1703" s="10"/>
    </row>
    <row r="1704">
      <c r="A1704" s="157"/>
      <c r="B1704" s="9"/>
      <c r="C1704" s="10"/>
      <c r="D1704" s="10"/>
      <c r="E1704" s="10"/>
      <c r="F1704" s="10"/>
      <c r="G1704" s="10"/>
      <c r="H1704" s="10"/>
      <c r="I1704" s="10"/>
      <c r="J1704" s="10"/>
      <c r="K1704" s="10"/>
      <c r="L1704" s="10"/>
      <c r="M1704" s="10"/>
      <c r="N1704" s="10"/>
      <c r="O1704" s="10"/>
    </row>
    <row r="1705">
      <c r="A1705" s="157"/>
      <c r="B1705" s="9"/>
      <c r="C1705" s="10"/>
      <c r="D1705" s="10"/>
      <c r="E1705" s="10"/>
      <c r="F1705" s="10"/>
      <c r="G1705" s="10"/>
      <c r="H1705" s="10"/>
      <c r="I1705" s="10"/>
      <c r="J1705" s="10"/>
      <c r="K1705" s="10"/>
      <c r="L1705" s="10"/>
      <c r="M1705" s="10"/>
      <c r="N1705" s="10"/>
      <c r="O1705" s="10"/>
    </row>
    <row r="1706">
      <c r="A1706" s="157"/>
      <c r="B1706" s="9"/>
      <c r="C1706" s="10"/>
      <c r="D1706" s="10"/>
      <c r="E1706" s="10"/>
      <c r="F1706" s="10"/>
      <c r="G1706" s="10"/>
      <c r="H1706" s="10"/>
      <c r="I1706" s="10"/>
      <c r="J1706" s="10"/>
      <c r="K1706" s="10"/>
      <c r="L1706" s="10"/>
      <c r="M1706" s="10"/>
      <c r="N1706" s="10"/>
      <c r="O1706" s="10"/>
    </row>
    <row r="1707">
      <c r="A1707" s="157"/>
      <c r="B1707" s="9"/>
      <c r="C1707" s="10"/>
      <c r="D1707" s="10"/>
      <c r="E1707" s="10"/>
      <c r="F1707" s="10"/>
      <c r="G1707" s="10"/>
      <c r="H1707" s="10"/>
      <c r="I1707" s="10"/>
      <c r="J1707" s="10"/>
      <c r="K1707" s="10"/>
      <c r="L1707" s="10"/>
      <c r="M1707" s="10"/>
      <c r="N1707" s="10"/>
      <c r="O1707" s="10"/>
    </row>
    <row r="1708">
      <c r="A1708" s="157"/>
      <c r="B1708" s="9"/>
      <c r="C1708" s="10"/>
      <c r="D1708" s="10"/>
      <c r="E1708" s="10"/>
      <c r="F1708" s="10"/>
      <c r="G1708" s="10"/>
      <c r="H1708" s="10"/>
      <c r="I1708" s="10"/>
      <c r="J1708" s="10"/>
      <c r="K1708" s="10"/>
      <c r="L1708" s="10"/>
      <c r="M1708" s="10"/>
      <c r="N1708" s="10"/>
      <c r="O1708" s="10"/>
    </row>
    <row r="1709">
      <c r="A1709" s="157"/>
      <c r="B1709" s="9"/>
      <c r="C1709" s="10"/>
      <c r="D1709" s="10"/>
      <c r="E1709" s="10"/>
      <c r="F1709" s="10"/>
      <c r="G1709" s="10"/>
      <c r="H1709" s="10"/>
      <c r="I1709" s="10"/>
      <c r="J1709" s="10"/>
      <c r="K1709" s="10"/>
      <c r="L1709" s="10"/>
      <c r="M1709" s="10"/>
      <c r="N1709" s="10"/>
      <c r="O1709" s="10"/>
    </row>
    <row r="1710">
      <c r="A1710" s="157"/>
      <c r="B1710" s="9"/>
      <c r="C1710" s="10"/>
      <c r="D1710" s="10"/>
      <c r="E1710" s="10"/>
      <c r="F1710" s="10"/>
      <c r="G1710" s="10"/>
      <c r="H1710" s="10"/>
      <c r="I1710" s="10"/>
      <c r="J1710" s="10"/>
      <c r="K1710" s="10"/>
      <c r="L1710" s="10"/>
      <c r="M1710" s="10"/>
      <c r="N1710" s="10"/>
      <c r="O1710" s="10"/>
    </row>
    <row r="1711">
      <c r="A1711" s="157"/>
      <c r="B1711" s="9"/>
      <c r="C1711" s="10"/>
      <c r="D1711" s="10"/>
      <c r="E1711" s="10"/>
      <c r="F1711" s="10"/>
      <c r="G1711" s="10"/>
      <c r="H1711" s="10"/>
      <c r="I1711" s="10"/>
      <c r="J1711" s="10"/>
      <c r="K1711" s="10"/>
      <c r="L1711" s="10"/>
      <c r="M1711" s="10"/>
      <c r="N1711" s="10"/>
      <c r="O1711" s="10"/>
    </row>
    <row r="1712">
      <c r="A1712" s="157"/>
      <c r="B1712" s="9"/>
      <c r="C1712" s="10"/>
      <c r="D1712" s="10"/>
      <c r="E1712" s="10"/>
      <c r="F1712" s="10"/>
      <c r="G1712" s="10"/>
      <c r="H1712" s="10"/>
      <c r="I1712" s="10"/>
      <c r="J1712" s="10"/>
      <c r="K1712" s="10"/>
      <c r="L1712" s="10"/>
      <c r="M1712" s="10"/>
      <c r="N1712" s="10"/>
      <c r="O1712" s="10"/>
    </row>
    <row r="1713">
      <c r="A1713" s="157"/>
      <c r="B1713" s="9"/>
      <c r="C1713" s="10"/>
      <c r="D1713" s="10"/>
      <c r="E1713" s="10"/>
      <c r="F1713" s="10"/>
      <c r="G1713" s="10"/>
      <c r="H1713" s="10"/>
      <c r="I1713" s="10"/>
      <c r="J1713" s="10"/>
      <c r="K1713" s="10"/>
      <c r="L1713" s="10"/>
      <c r="M1713" s="10"/>
      <c r="N1713" s="10"/>
      <c r="O1713" s="10"/>
    </row>
    <row r="1714">
      <c r="A1714" s="157"/>
      <c r="B1714" s="9"/>
      <c r="C1714" s="10"/>
      <c r="D1714" s="10"/>
      <c r="E1714" s="10"/>
      <c r="F1714" s="10"/>
      <c r="G1714" s="10"/>
      <c r="H1714" s="10"/>
      <c r="I1714" s="10"/>
      <c r="J1714" s="10"/>
      <c r="K1714" s="10"/>
      <c r="L1714" s="10"/>
      <c r="M1714" s="10"/>
      <c r="N1714" s="10"/>
      <c r="O1714" s="10"/>
    </row>
    <row r="1715">
      <c r="A1715" s="157"/>
      <c r="B1715" s="9"/>
      <c r="C1715" s="10"/>
      <c r="D1715" s="10"/>
      <c r="E1715" s="10"/>
      <c r="F1715" s="10"/>
      <c r="G1715" s="10"/>
      <c r="H1715" s="10"/>
      <c r="I1715" s="10"/>
      <c r="J1715" s="10"/>
      <c r="K1715" s="10"/>
      <c r="L1715" s="10"/>
      <c r="M1715" s="10"/>
      <c r="N1715" s="10"/>
      <c r="O1715" s="10"/>
    </row>
    <row r="1716">
      <c r="A1716" s="157"/>
      <c r="B1716" s="9"/>
      <c r="C1716" s="10"/>
      <c r="D1716" s="10"/>
      <c r="E1716" s="10"/>
      <c r="F1716" s="10"/>
      <c r="G1716" s="10"/>
      <c r="H1716" s="10"/>
      <c r="I1716" s="10"/>
      <c r="J1716" s="10"/>
      <c r="K1716" s="10"/>
      <c r="L1716" s="10"/>
      <c r="M1716" s="10"/>
      <c r="N1716" s="10"/>
      <c r="O1716" s="10"/>
    </row>
    <row r="1717">
      <c r="A1717" s="157"/>
      <c r="B1717" s="9"/>
      <c r="C1717" s="10"/>
      <c r="D1717" s="10"/>
      <c r="E1717" s="10"/>
      <c r="F1717" s="10"/>
      <c r="G1717" s="10"/>
      <c r="H1717" s="10"/>
      <c r="I1717" s="10"/>
      <c r="J1717" s="10"/>
      <c r="K1717" s="10"/>
      <c r="L1717" s="10"/>
      <c r="M1717" s="10"/>
      <c r="N1717" s="10"/>
      <c r="O1717" s="10"/>
    </row>
    <row r="1718">
      <c r="A1718" s="157"/>
      <c r="B1718" s="9"/>
      <c r="C1718" s="10"/>
      <c r="D1718" s="10"/>
      <c r="E1718" s="10"/>
      <c r="F1718" s="10"/>
      <c r="G1718" s="10"/>
      <c r="H1718" s="10"/>
      <c r="I1718" s="10"/>
      <c r="J1718" s="10"/>
      <c r="K1718" s="10"/>
      <c r="L1718" s="10"/>
      <c r="M1718" s="10"/>
      <c r="N1718" s="10"/>
      <c r="O1718" s="10"/>
    </row>
    <row r="1719">
      <c r="A1719" s="157"/>
      <c r="B1719" s="9"/>
      <c r="C1719" s="10"/>
      <c r="D1719" s="10"/>
      <c r="E1719" s="10"/>
      <c r="F1719" s="10"/>
      <c r="G1719" s="10"/>
      <c r="H1719" s="10"/>
      <c r="I1719" s="10"/>
      <c r="J1719" s="10"/>
      <c r="K1719" s="10"/>
      <c r="L1719" s="10"/>
      <c r="M1719" s="10"/>
      <c r="N1719" s="10"/>
      <c r="O1719" s="10"/>
    </row>
    <row r="1720">
      <c r="A1720" s="157"/>
      <c r="B1720" s="9"/>
      <c r="C1720" s="10"/>
      <c r="D1720" s="10"/>
      <c r="E1720" s="10"/>
      <c r="F1720" s="10"/>
      <c r="G1720" s="10"/>
      <c r="H1720" s="10"/>
      <c r="I1720" s="10"/>
      <c r="J1720" s="10"/>
      <c r="K1720" s="10"/>
      <c r="L1720" s="10"/>
      <c r="M1720" s="10"/>
      <c r="N1720" s="10"/>
      <c r="O1720" s="10"/>
    </row>
    <row r="1721">
      <c r="A1721" s="157"/>
      <c r="B1721" s="9"/>
      <c r="C1721" s="10"/>
      <c r="D1721" s="10"/>
      <c r="E1721" s="10"/>
      <c r="F1721" s="10"/>
      <c r="G1721" s="10"/>
      <c r="H1721" s="10"/>
      <c r="I1721" s="10"/>
      <c r="J1721" s="10"/>
      <c r="K1721" s="10"/>
      <c r="L1721" s="10"/>
      <c r="M1721" s="10"/>
      <c r="N1721" s="10"/>
      <c r="O1721" s="10"/>
    </row>
    <row r="1722">
      <c r="A1722" s="157"/>
      <c r="B1722" s="9"/>
      <c r="C1722" s="10"/>
      <c r="D1722" s="10"/>
      <c r="E1722" s="10"/>
      <c r="F1722" s="10"/>
      <c r="G1722" s="10"/>
      <c r="H1722" s="10"/>
      <c r="I1722" s="10"/>
      <c r="J1722" s="10"/>
      <c r="K1722" s="10"/>
      <c r="L1722" s="10"/>
      <c r="M1722" s="10"/>
      <c r="N1722" s="10"/>
      <c r="O1722" s="10"/>
    </row>
    <row r="1723">
      <c r="A1723" s="157"/>
      <c r="B1723" s="9"/>
      <c r="C1723" s="10"/>
      <c r="D1723" s="10"/>
      <c r="E1723" s="10"/>
      <c r="F1723" s="10"/>
      <c r="G1723" s="10"/>
      <c r="H1723" s="10"/>
      <c r="I1723" s="10"/>
      <c r="J1723" s="10"/>
      <c r="K1723" s="10"/>
      <c r="L1723" s="10"/>
      <c r="M1723" s="10"/>
      <c r="N1723" s="10"/>
      <c r="O1723" s="10"/>
    </row>
    <row r="1724">
      <c r="A1724" s="157"/>
      <c r="B1724" s="9"/>
      <c r="C1724" s="10"/>
      <c r="D1724" s="10"/>
      <c r="E1724" s="10"/>
      <c r="F1724" s="10"/>
      <c r="G1724" s="10"/>
      <c r="H1724" s="10"/>
      <c r="I1724" s="10"/>
      <c r="J1724" s="10"/>
      <c r="K1724" s="10"/>
      <c r="L1724" s="10"/>
      <c r="M1724" s="10"/>
      <c r="N1724" s="10"/>
      <c r="O1724" s="10"/>
    </row>
    <row r="1725">
      <c r="A1725" s="157"/>
      <c r="B1725" s="9"/>
      <c r="C1725" s="10"/>
      <c r="D1725" s="10"/>
      <c r="E1725" s="10"/>
      <c r="F1725" s="10"/>
      <c r="G1725" s="10"/>
      <c r="H1725" s="10"/>
      <c r="I1725" s="10"/>
      <c r="J1725" s="10"/>
      <c r="K1725" s="10"/>
      <c r="L1725" s="10"/>
      <c r="M1725" s="10"/>
      <c r="N1725" s="10"/>
      <c r="O1725" s="10"/>
    </row>
    <row r="1726">
      <c r="A1726" s="157"/>
      <c r="B1726" s="9"/>
      <c r="C1726" s="10"/>
      <c r="D1726" s="10"/>
      <c r="E1726" s="10"/>
      <c r="F1726" s="10"/>
      <c r="G1726" s="10"/>
      <c r="H1726" s="10"/>
      <c r="I1726" s="10"/>
      <c r="J1726" s="10"/>
      <c r="K1726" s="10"/>
      <c r="L1726" s="10"/>
      <c r="M1726" s="10"/>
      <c r="N1726" s="10"/>
      <c r="O1726" s="10"/>
    </row>
    <row r="1727">
      <c r="A1727" s="157"/>
      <c r="B1727" s="9"/>
      <c r="C1727" s="10"/>
      <c r="D1727" s="10"/>
      <c r="E1727" s="10"/>
      <c r="F1727" s="10"/>
      <c r="G1727" s="10"/>
      <c r="H1727" s="10"/>
      <c r="I1727" s="10"/>
      <c r="J1727" s="10"/>
      <c r="K1727" s="10"/>
      <c r="L1727" s="10"/>
      <c r="M1727" s="10"/>
      <c r="N1727" s="10"/>
      <c r="O1727" s="10"/>
    </row>
    <row r="1728">
      <c r="A1728" s="157"/>
      <c r="B1728" s="9"/>
      <c r="C1728" s="10"/>
      <c r="D1728" s="10"/>
      <c r="E1728" s="10"/>
      <c r="F1728" s="10"/>
      <c r="G1728" s="10"/>
      <c r="H1728" s="10"/>
      <c r="I1728" s="10"/>
      <c r="J1728" s="10"/>
      <c r="K1728" s="10"/>
      <c r="L1728" s="10"/>
      <c r="M1728" s="10"/>
      <c r="N1728" s="10"/>
      <c r="O1728" s="10"/>
    </row>
    <row r="1729">
      <c r="A1729" s="157"/>
      <c r="B1729" s="9"/>
      <c r="C1729" s="10"/>
      <c r="D1729" s="10"/>
      <c r="E1729" s="10"/>
      <c r="F1729" s="10"/>
      <c r="G1729" s="10"/>
      <c r="H1729" s="10"/>
      <c r="I1729" s="10"/>
      <c r="J1729" s="10"/>
      <c r="K1729" s="10"/>
      <c r="L1729" s="10"/>
      <c r="M1729" s="10"/>
      <c r="N1729" s="10"/>
      <c r="O1729" s="10"/>
    </row>
    <row r="1730">
      <c r="A1730" s="157"/>
      <c r="B1730" s="9"/>
      <c r="C1730" s="10"/>
      <c r="D1730" s="10"/>
      <c r="E1730" s="10"/>
      <c r="F1730" s="10"/>
      <c r="G1730" s="10"/>
      <c r="H1730" s="10"/>
      <c r="I1730" s="10"/>
      <c r="J1730" s="10"/>
      <c r="K1730" s="10"/>
      <c r="L1730" s="10"/>
      <c r="M1730" s="10"/>
      <c r="N1730" s="10"/>
      <c r="O1730" s="10"/>
    </row>
    <row r="1731">
      <c r="A1731" s="157"/>
      <c r="B1731" s="9"/>
      <c r="C1731" s="10"/>
      <c r="D1731" s="10"/>
      <c r="E1731" s="10"/>
      <c r="F1731" s="10"/>
      <c r="G1731" s="10"/>
      <c r="H1731" s="10"/>
      <c r="I1731" s="10"/>
      <c r="J1731" s="10"/>
      <c r="K1731" s="10"/>
      <c r="L1731" s="10"/>
      <c r="M1731" s="10"/>
      <c r="N1731" s="10"/>
      <c r="O1731" s="10"/>
    </row>
    <row r="1732">
      <c r="A1732" s="157"/>
      <c r="B1732" s="9"/>
      <c r="C1732" s="10"/>
      <c r="D1732" s="10"/>
      <c r="E1732" s="10"/>
      <c r="F1732" s="10"/>
      <c r="G1732" s="10"/>
      <c r="H1732" s="10"/>
      <c r="I1732" s="10"/>
      <c r="J1732" s="10"/>
      <c r="K1732" s="10"/>
      <c r="L1732" s="10"/>
      <c r="M1732" s="10"/>
      <c r="N1732" s="10"/>
      <c r="O1732" s="10"/>
    </row>
    <row r="1733">
      <c r="A1733" s="157"/>
      <c r="B1733" s="9"/>
      <c r="C1733" s="10"/>
      <c r="D1733" s="10"/>
      <c r="E1733" s="10"/>
      <c r="F1733" s="10"/>
      <c r="G1733" s="10"/>
      <c r="H1733" s="10"/>
      <c r="I1733" s="10"/>
      <c r="J1733" s="10"/>
      <c r="K1733" s="10"/>
      <c r="L1733" s="10"/>
      <c r="M1733" s="10"/>
      <c r="N1733" s="10"/>
      <c r="O1733" s="10"/>
    </row>
    <row r="1734">
      <c r="A1734" s="157"/>
      <c r="B1734" s="9"/>
      <c r="C1734" s="10"/>
      <c r="D1734" s="10"/>
      <c r="E1734" s="10"/>
      <c r="F1734" s="10"/>
      <c r="G1734" s="10"/>
      <c r="H1734" s="10"/>
      <c r="I1734" s="10"/>
      <c r="J1734" s="10"/>
      <c r="K1734" s="10"/>
      <c r="L1734" s="10"/>
      <c r="M1734" s="10"/>
      <c r="N1734" s="10"/>
      <c r="O1734" s="10"/>
    </row>
    <row r="1735">
      <c r="A1735" s="157"/>
      <c r="B1735" s="9"/>
      <c r="C1735" s="10"/>
      <c r="D1735" s="10"/>
      <c r="E1735" s="10"/>
      <c r="F1735" s="10"/>
      <c r="G1735" s="10"/>
      <c r="H1735" s="10"/>
      <c r="I1735" s="10"/>
      <c r="J1735" s="10"/>
      <c r="K1735" s="10"/>
      <c r="L1735" s="10"/>
      <c r="M1735" s="10"/>
      <c r="N1735" s="10"/>
      <c r="O1735" s="10"/>
    </row>
    <row r="1736">
      <c r="A1736" s="157"/>
      <c r="B1736" s="9"/>
      <c r="C1736" s="10"/>
      <c r="D1736" s="10"/>
      <c r="E1736" s="10"/>
      <c r="F1736" s="10"/>
      <c r="G1736" s="10"/>
      <c r="H1736" s="10"/>
      <c r="I1736" s="10"/>
      <c r="J1736" s="10"/>
      <c r="K1736" s="10"/>
      <c r="L1736" s="10"/>
      <c r="M1736" s="10"/>
      <c r="N1736" s="10"/>
      <c r="O1736" s="10"/>
    </row>
    <row r="1737">
      <c r="A1737" s="157"/>
      <c r="B1737" s="9"/>
      <c r="C1737" s="10"/>
      <c r="D1737" s="10"/>
      <c r="E1737" s="10"/>
      <c r="F1737" s="10"/>
      <c r="G1737" s="10"/>
      <c r="H1737" s="10"/>
      <c r="I1737" s="10"/>
      <c r="J1737" s="10"/>
      <c r="K1737" s="10"/>
      <c r="L1737" s="10"/>
      <c r="M1737" s="10"/>
      <c r="N1737" s="10"/>
      <c r="O1737" s="10"/>
    </row>
    <row r="1738">
      <c r="A1738" s="157"/>
      <c r="B1738" s="9"/>
      <c r="C1738" s="10"/>
      <c r="D1738" s="10"/>
      <c r="E1738" s="10"/>
      <c r="F1738" s="10"/>
      <c r="G1738" s="10"/>
      <c r="H1738" s="10"/>
      <c r="I1738" s="10"/>
      <c r="J1738" s="10"/>
      <c r="K1738" s="10"/>
      <c r="L1738" s="10"/>
      <c r="M1738" s="10"/>
      <c r="N1738" s="10"/>
      <c r="O1738" s="10"/>
    </row>
    <row r="1739">
      <c r="A1739" s="157"/>
      <c r="B1739" s="9"/>
      <c r="C1739" s="10"/>
      <c r="D1739" s="10"/>
      <c r="E1739" s="10"/>
      <c r="F1739" s="10"/>
      <c r="G1739" s="10"/>
      <c r="H1739" s="10"/>
      <c r="I1739" s="10"/>
      <c r="J1739" s="10"/>
      <c r="K1739" s="10"/>
      <c r="L1739" s="10"/>
      <c r="M1739" s="10"/>
      <c r="N1739" s="10"/>
      <c r="O1739" s="10"/>
    </row>
    <row r="1740">
      <c r="A1740" s="157"/>
      <c r="B1740" s="9"/>
      <c r="C1740" s="10"/>
      <c r="D1740" s="10"/>
      <c r="E1740" s="10"/>
      <c r="F1740" s="10"/>
      <c r="G1740" s="10"/>
      <c r="H1740" s="10"/>
      <c r="I1740" s="10"/>
      <c r="J1740" s="10"/>
      <c r="K1740" s="10"/>
      <c r="L1740" s="10"/>
      <c r="M1740" s="10"/>
      <c r="N1740" s="10"/>
      <c r="O1740" s="10"/>
    </row>
    <row r="1741">
      <c r="A1741" s="157"/>
      <c r="B1741" s="9"/>
      <c r="C1741" s="10"/>
      <c r="D1741" s="10"/>
      <c r="E1741" s="10"/>
      <c r="F1741" s="10"/>
      <c r="G1741" s="10"/>
      <c r="H1741" s="10"/>
      <c r="I1741" s="10"/>
      <c r="J1741" s="10"/>
      <c r="K1741" s="10"/>
      <c r="L1741" s="10"/>
      <c r="M1741" s="10"/>
      <c r="N1741" s="10"/>
      <c r="O1741" s="10"/>
    </row>
    <row r="1742">
      <c r="A1742" s="157"/>
      <c r="B1742" s="9"/>
      <c r="C1742" s="10"/>
      <c r="D1742" s="10"/>
      <c r="E1742" s="10"/>
      <c r="F1742" s="10"/>
      <c r="G1742" s="10"/>
      <c r="H1742" s="10"/>
      <c r="I1742" s="10"/>
      <c r="J1742" s="10"/>
      <c r="K1742" s="10"/>
      <c r="L1742" s="10"/>
      <c r="M1742" s="10"/>
      <c r="N1742" s="10"/>
      <c r="O1742" s="10"/>
    </row>
    <row r="1743">
      <c r="A1743" s="157"/>
      <c r="B1743" s="9"/>
      <c r="C1743" s="10"/>
      <c r="D1743" s="10"/>
      <c r="E1743" s="10"/>
      <c r="F1743" s="10"/>
      <c r="G1743" s="10"/>
      <c r="H1743" s="10"/>
      <c r="I1743" s="10"/>
      <c r="J1743" s="10"/>
      <c r="K1743" s="10"/>
      <c r="L1743" s="10"/>
      <c r="M1743" s="10"/>
      <c r="N1743" s="10"/>
      <c r="O1743" s="10"/>
    </row>
    <row r="1744">
      <c r="A1744" s="157"/>
      <c r="B1744" s="9"/>
      <c r="C1744" s="10"/>
      <c r="D1744" s="10"/>
      <c r="E1744" s="10"/>
      <c r="F1744" s="10"/>
      <c r="G1744" s="10"/>
      <c r="H1744" s="10"/>
      <c r="I1744" s="10"/>
      <c r="J1744" s="10"/>
      <c r="K1744" s="10"/>
      <c r="L1744" s="10"/>
      <c r="M1744" s="10"/>
      <c r="N1744" s="10"/>
      <c r="O1744" s="10"/>
    </row>
    <row r="1745">
      <c r="A1745" s="157"/>
      <c r="B1745" s="9"/>
      <c r="C1745" s="10"/>
      <c r="D1745" s="10"/>
      <c r="E1745" s="10"/>
      <c r="F1745" s="10"/>
      <c r="G1745" s="10"/>
      <c r="H1745" s="10"/>
      <c r="I1745" s="10"/>
      <c r="J1745" s="10"/>
      <c r="K1745" s="10"/>
      <c r="L1745" s="10"/>
      <c r="M1745" s="10"/>
      <c r="N1745" s="10"/>
      <c r="O1745" s="10"/>
    </row>
    <row r="1746">
      <c r="A1746" s="157"/>
      <c r="B1746" s="9"/>
      <c r="C1746" s="10"/>
      <c r="D1746" s="10"/>
      <c r="E1746" s="10"/>
      <c r="F1746" s="10"/>
      <c r="G1746" s="10"/>
      <c r="H1746" s="10"/>
      <c r="I1746" s="10"/>
      <c r="J1746" s="10"/>
      <c r="K1746" s="10"/>
      <c r="L1746" s="10"/>
      <c r="M1746" s="10"/>
      <c r="N1746" s="10"/>
      <c r="O1746" s="10"/>
    </row>
    <row r="1747">
      <c r="A1747" s="157"/>
      <c r="B1747" s="9"/>
      <c r="C1747" s="10"/>
      <c r="D1747" s="10"/>
      <c r="E1747" s="10"/>
      <c r="F1747" s="10"/>
      <c r="G1747" s="10"/>
      <c r="H1747" s="10"/>
      <c r="I1747" s="10"/>
      <c r="J1747" s="10"/>
      <c r="K1747" s="10"/>
      <c r="L1747" s="10"/>
      <c r="M1747" s="10"/>
      <c r="N1747" s="10"/>
      <c r="O1747" s="10"/>
    </row>
    <row r="1748">
      <c r="A1748" s="157"/>
      <c r="B1748" s="9"/>
      <c r="C1748" s="10"/>
      <c r="D1748" s="10"/>
      <c r="E1748" s="10"/>
      <c r="F1748" s="10"/>
      <c r="G1748" s="10"/>
      <c r="H1748" s="10"/>
      <c r="I1748" s="10"/>
      <c r="J1748" s="10"/>
      <c r="K1748" s="10"/>
      <c r="L1748" s="10"/>
      <c r="M1748" s="10"/>
      <c r="N1748" s="10"/>
      <c r="O1748" s="10"/>
    </row>
    <row r="1749">
      <c r="A1749" s="157"/>
      <c r="B1749" s="9"/>
      <c r="C1749" s="10"/>
      <c r="D1749" s="10"/>
      <c r="E1749" s="10"/>
      <c r="F1749" s="10"/>
      <c r="G1749" s="10"/>
      <c r="H1749" s="10"/>
      <c r="I1749" s="10"/>
      <c r="J1749" s="10"/>
      <c r="K1749" s="10"/>
      <c r="L1749" s="10"/>
      <c r="M1749" s="10"/>
      <c r="N1749" s="10"/>
      <c r="O1749" s="10"/>
    </row>
    <row r="1750">
      <c r="A1750" s="157"/>
      <c r="B1750" s="9"/>
      <c r="C1750" s="10"/>
      <c r="D1750" s="10"/>
      <c r="E1750" s="10"/>
      <c r="F1750" s="10"/>
      <c r="G1750" s="10"/>
      <c r="H1750" s="10"/>
      <c r="I1750" s="10"/>
      <c r="J1750" s="10"/>
      <c r="K1750" s="10"/>
      <c r="L1750" s="10"/>
      <c r="M1750" s="10"/>
      <c r="N1750" s="10"/>
      <c r="O1750" s="10"/>
    </row>
    <row r="1751">
      <c r="A1751" s="157"/>
      <c r="B1751" s="9"/>
      <c r="C1751" s="10"/>
      <c r="D1751" s="10"/>
      <c r="E1751" s="10"/>
      <c r="F1751" s="10"/>
      <c r="G1751" s="10"/>
      <c r="H1751" s="10"/>
      <c r="I1751" s="10"/>
      <c r="J1751" s="10"/>
      <c r="K1751" s="10"/>
      <c r="L1751" s="10"/>
      <c r="M1751" s="10"/>
      <c r="N1751" s="10"/>
      <c r="O1751" s="10"/>
    </row>
    <row r="1752">
      <c r="A1752" s="157"/>
      <c r="B1752" s="9"/>
      <c r="C1752" s="10"/>
      <c r="D1752" s="10"/>
      <c r="E1752" s="10"/>
      <c r="F1752" s="10"/>
      <c r="G1752" s="10"/>
      <c r="H1752" s="10"/>
      <c r="I1752" s="10"/>
      <c r="J1752" s="10"/>
      <c r="K1752" s="10"/>
      <c r="L1752" s="10"/>
      <c r="M1752" s="10"/>
      <c r="N1752" s="10"/>
      <c r="O1752" s="10"/>
    </row>
    <row r="1753">
      <c r="A1753" s="157"/>
      <c r="B1753" s="9"/>
      <c r="C1753" s="10"/>
      <c r="D1753" s="10"/>
      <c r="E1753" s="10"/>
      <c r="F1753" s="10"/>
      <c r="G1753" s="10"/>
      <c r="H1753" s="10"/>
      <c r="I1753" s="10"/>
      <c r="J1753" s="10"/>
      <c r="K1753" s="10"/>
      <c r="L1753" s="10"/>
      <c r="M1753" s="10"/>
      <c r="N1753" s="10"/>
      <c r="O1753" s="10"/>
    </row>
    <row r="1754">
      <c r="A1754" s="157"/>
      <c r="B1754" s="9"/>
      <c r="C1754" s="10"/>
      <c r="D1754" s="10"/>
      <c r="E1754" s="10"/>
      <c r="F1754" s="10"/>
      <c r="G1754" s="10"/>
      <c r="H1754" s="10"/>
      <c r="I1754" s="10"/>
      <c r="J1754" s="10"/>
      <c r="K1754" s="10"/>
      <c r="L1754" s="10"/>
      <c r="M1754" s="10"/>
      <c r="N1754" s="10"/>
      <c r="O1754" s="10"/>
    </row>
    <row r="1755">
      <c r="A1755" s="157"/>
      <c r="B1755" s="9"/>
      <c r="C1755" s="10"/>
      <c r="D1755" s="10"/>
      <c r="E1755" s="10"/>
      <c r="F1755" s="10"/>
      <c r="G1755" s="10"/>
      <c r="H1755" s="10"/>
      <c r="I1755" s="10"/>
      <c r="J1755" s="10"/>
      <c r="K1755" s="10"/>
      <c r="L1755" s="10"/>
      <c r="M1755" s="10"/>
      <c r="N1755" s="10"/>
      <c r="O1755" s="10"/>
    </row>
    <row r="1756">
      <c r="A1756" s="157"/>
      <c r="B1756" s="9"/>
      <c r="C1756" s="10"/>
      <c r="D1756" s="10"/>
      <c r="E1756" s="10"/>
      <c r="F1756" s="10"/>
      <c r="G1756" s="10"/>
      <c r="H1756" s="10"/>
      <c r="I1756" s="10"/>
      <c r="J1756" s="10"/>
      <c r="K1756" s="10"/>
      <c r="L1756" s="10"/>
      <c r="M1756" s="10"/>
      <c r="N1756" s="10"/>
      <c r="O1756" s="10"/>
    </row>
    <row r="1757">
      <c r="A1757" s="157"/>
      <c r="B1757" s="9"/>
      <c r="C1757" s="10"/>
      <c r="D1757" s="10"/>
      <c r="E1757" s="10"/>
      <c r="F1757" s="10"/>
      <c r="G1757" s="10"/>
      <c r="H1757" s="10"/>
      <c r="I1757" s="10"/>
      <c r="J1757" s="10"/>
      <c r="K1757" s="10"/>
      <c r="L1757" s="10"/>
      <c r="M1757" s="10"/>
      <c r="N1757" s="10"/>
      <c r="O1757" s="10"/>
    </row>
    <row r="1758">
      <c r="A1758" s="157"/>
      <c r="B1758" s="9"/>
      <c r="C1758" s="10"/>
      <c r="D1758" s="10"/>
      <c r="E1758" s="10"/>
      <c r="F1758" s="10"/>
      <c r="G1758" s="10"/>
      <c r="H1758" s="10"/>
      <c r="I1758" s="10"/>
      <c r="J1758" s="10"/>
      <c r="K1758" s="10"/>
      <c r="L1758" s="10"/>
      <c r="M1758" s="10"/>
      <c r="N1758" s="10"/>
      <c r="O1758" s="10"/>
    </row>
    <row r="1759">
      <c r="A1759" s="157"/>
      <c r="B1759" s="9"/>
      <c r="C1759" s="10"/>
      <c r="D1759" s="10"/>
      <c r="E1759" s="10"/>
      <c r="F1759" s="10"/>
      <c r="G1759" s="10"/>
      <c r="H1759" s="10"/>
      <c r="I1759" s="10"/>
      <c r="J1759" s="10"/>
      <c r="K1759" s="10"/>
      <c r="L1759" s="10"/>
      <c r="M1759" s="10"/>
      <c r="N1759" s="10"/>
      <c r="O1759" s="10"/>
    </row>
    <row r="1760">
      <c r="A1760" s="157"/>
      <c r="B1760" s="9"/>
      <c r="C1760" s="10"/>
      <c r="D1760" s="10"/>
      <c r="E1760" s="10"/>
      <c r="F1760" s="10"/>
      <c r="G1760" s="10"/>
      <c r="H1760" s="10"/>
      <c r="I1760" s="10"/>
      <c r="J1760" s="10"/>
      <c r="K1760" s="10"/>
      <c r="L1760" s="10"/>
      <c r="M1760" s="10"/>
      <c r="N1760" s="10"/>
      <c r="O1760" s="10"/>
    </row>
    <row r="1761">
      <c r="A1761" s="157"/>
      <c r="B1761" s="9"/>
      <c r="C1761" s="10"/>
      <c r="D1761" s="10"/>
      <c r="E1761" s="10"/>
      <c r="F1761" s="10"/>
      <c r="G1761" s="10"/>
      <c r="H1761" s="10"/>
      <c r="I1761" s="10"/>
      <c r="J1761" s="10"/>
      <c r="K1761" s="10"/>
      <c r="L1761" s="10"/>
      <c r="M1761" s="10"/>
      <c r="N1761" s="10"/>
      <c r="O1761" s="10"/>
    </row>
    <row r="1762">
      <c r="A1762" s="157"/>
      <c r="B1762" s="9"/>
      <c r="C1762" s="10"/>
      <c r="D1762" s="10"/>
      <c r="E1762" s="10"/>
      <c r="F1762" s="10"/>
      <c r="G1762" s="10"/>
      <c r="H1762" s="10"/>
      <c r="I1762" s="10"/>
      <c r="J1762" s="10"/>
      <c r="K1762" s="10"/>
      <c r="L1762" s="10"/>
      <c r="M1762" s="10"/>
      <c r="N1762" s="10"/>
      <c r="O1762" s="10"/>
    </row>
    <row r="1763">
      <c r="A1763" s="157"/>
      <c r="B1763" s="9"/>
      <c r="C1763" s="10"/>
      <c r="D1763" s="10"/>
      <c r="E1763" s="10"/>
      <c r="F1763" s="10"/>
      <c r="G1763" s="10"/>
      <c r="H1763" s="10"/>
      <c r="I1763" s="10"/>
      <c r="J1763" s="10"/>
      <c r="K1763" s="10"/>
      <c r="L1763" s="10"/>
      <c r="M1763" s="10"/>
      <c r="N1763" s="10"/>
      <c r="O1763" s="10"/>
    </row>
    <row r="1764">
      <c r="A1764" s="157"/>
      <c r="B1764" s="9"/>
      <c r="C1764" s="10"/>
      <c r="D1764" s="10"/>
      <c r="E1764" s="10"/>
      <c r="F1764" s="10"/>
      <c r="G1764" s="10"/>
      <c r="H1764" s="10"/>
      <c r="I1764" s="10"/>
      <c r="J1764" s="10"/>
      <c r="K1764" s="10"/>
      <c r="L1764" s="10"/>
      <c r="M1764" s="10"/>
      <c r="N1764" s="10"/>
      <c r="O1764" s="10"/>
    </row>
    <row r="1765">
      <c r="A1765" s="157"/>
      <c r="B1765" s="9"/>
      <c r="C1765" s="10"/>
      <c r="D1765" s="10"/>
      <c r="E1765" s="10"/>
      <c r="F1765" s="10"/>
      <c r="G1765" s="10"/>
      <c r="H1765" s="10"/>
      <c r="I1765" s="10"/>
      <c r="J1765" s="10"/>
      <c r="K1765" s="10"/>
      <c r="L1765" s="10"/>
      <c r="M1765" s="10"/>
      <c r="N1765" s="10"/>
      <c r="O1765" s="10"/>
    </row>
    <row r="1766">
      <c r="A1766" s="157"/>
      <c r="B1766" s="9"/>
      <c r="C1766" s="10"/>
      <c r="D1766" s="10"/>
      <c r="E1766" s="10"/>
      <c r="F1766" s="10"/>
      <c r="G1766" s="10"/>
      <c r="H1766" s="10"/>
      <c r="I1766" s="10"/>
      <c r="J1766" s="10"/>
      <c r="K1766" s="10"/>
      <c r="L1766" s="10"/>
      <c r="M1766" s="10"/>
      <c r="N1766" s="10"/>
      <c r="O1766" s="10"/>
    </row>
    <row r="1767">
      <c r="A1767" s="157"/>
      <c r="B1767" s="9"/>
      <c r="C1767" s="10"/>
      <c r="D1767" s="10"/>
      <c r="E1767" s="10"/>
      <c r="F1767" s="10"/>
      <c r="G1767" s="10"/>
      <c r="H1767" s="10"/>
      <c r="I1767" s="10"/>
      <c r="J1767" s="10"/>
      <c r="K1767" s="10"/>
      <c r="L1767" s="10"/>
      <c r="M1767" s="10"/>
      <c r="N1767" s="10"/>
      <c r="O1767" s="10"/>
    </row>
    <row r="1768">
      <c r="A1768" s="157"/>
      <c r="B1768" s="9"/>
      <c r="C1768" s="10"/>
      <c r="D1768" s="10"/>
      <c r="E1768" s="10"/>
      <c r="F1768" s="10"/>
      <c r="G1768" s="10"/>
      <c r="H1768" s="10"/>
      <c r="I1768" s="10"/>
      <c r="J1768" s="10"/>
      <c r="K1768" s="10"/>
      <c r="L1768" s="10"/>
      <c r="M1768" s="10"/>
      <c r="N1768" s="10"/>
      <c r="O1768" s="10"/>
    </row>
    <row r="1769">
      <c r="A1769" s="157"/>
      <c r="B1769" s="9"/>
      <c r="C1769" s="10"/>
      <c r="D1769" s="10"/>
      <c r="E1769" s="10"/>
      <c r="F1769" s="10"/>
      <c r="G1769" s="10"/>
      <c r="H1769" s="10"/>
      <c r="I1769" s="10"/>
      <c r="J1769" s="10"/>
      <c r="K1769" s="10"/>
      <c r="L1769" s="10"/>
      <c r="M1769" s="10"/>
      <c r="N1769" s="10"/>
      <c r="O1769" s="10"/>
    </row>
    <row r="1770">
      <c r="A1770" s="157"/>
      <c r="B1770" s="9"/>
      <c r="C1770" s="10"/>
      <c r="D1770" s="10"/>
      <c r="E1770" s="10"/>
      <c r="F1770" s="10"/>
      <c r="G1770" s="10"/>
      <c r="H1770" s="10"/>
      <c r="I1770" s="10"/>
      <c r="J1770" s="10"/>
      <c r="K1770" s="10"/>
      <c r="L1770" s="10"/>
      <c r="M1770" s="10"/>
      <c r="N1770" s="10"/>
      <c r="O1770" s="10"/>
    </row>
    <row r="1771">
      <c r="A1771" s="157"/>
      <c r="B1771" s="9"/>
      <c r="C1771" s="10"/>
      <c r="D1771" s="10"/>
      <c r="E1771" s="10"/>
      <c r="F1771" s="10"/>
      <c r="G1771" s="10"/>
      <c r="H1771" s="10"/>
      <c r="I1771" s="10"/>
      <c r="J1771" s="10"/>
      <c r="K1771" s="10"/>
      <c r="L1771" s="10"/>
      <c r="M1771" s="10"/>
      <c r="N1771" s="10"/>
      <c r="O1771" s="10"/>
    </row>
    <row r="1772">
      <c r="A1772" s="157"/>
      <c r="B1772" s="9"/>
      <c r="C1772" s="10"/>
      <c r="D1772" s="10"/>
      <c r="E1772" s="10"/>
      <c r="F1772" s="10"/>
      <c r="G1772" s="10"/>
      <c r="H1772" s="10"/>
      <c r="I1772" s="10"/>
      <c r="J1772" s="10"/>
      <c r="K1772" s="10"/>
      <c r="L1772" s="10"/>
      <c r="M1772" s="10"/>
      <c r="N1772" s="10"/>
      <c r="O1772" s="10"/>
    </row>
    <row r="1773">
      <c r="A1773" s="157"/>
      <c r="B1773" s="9"/>
      <c r="C1773" s="10"/>
      <c r="D1773" s="10"/>
      <c r="E1773" s="10"/>
      <c r="F1773" s="10"/>
      <c r="G1773" s="10"/>
      <c r="H1773" s="10"/>
      <c r="I1773" s="10"/>
      <c r="J1773" s="10"/>
      <c r="K1773" s="10"/>
      <c r="L1773" s="10"/>
      <c r="M1773" s="10"/>
      <c r="N1773" s="10"/>
      <c r="O1773" s="10"/>
    </row>
    <row r="1774">
      <c r="A1774" s="157"/>
      <c r="B1774" s="9"/>
      <c r="C1774" s="10"/>
      <c r="D1774" s="10"/>
      <c r="E1774" s="10"/>
      <c r="F1774" s="10"/>
      <c r="G1774" s="10"/>
      <c r="H1774" s="10"/>
      <c r="I1774" s="10"/>
      <c r="J1774" s="10"/>
      <c r="K1774" s="10"/>
      <c r="L1774" s="10"/>
      <c r="M1774" s="10"/>
      <c r="N1774" s="10"/>
      <c r="O1774" s="10"/>
    </row>
    <row r="1775">
      <c r="A1775" s="157"/>
      <c r="B1775" s="9"/>
      <c r="C1775" s="10"/>
      <c r="D1775" s="10"/>
      <c r="E1775" s="10"/>
      <c r="F1775" s="10"/>
      <c r="G1775" s="10"/>
      <c r="H1775" s="10"/>
      <c r="I1775" s="10"/>
      <c r="J1775" s="10"/>
      <c r="K1775" s="10"/>
      <c r="L1775" s="10"/>
      <c r="M1775" s="10"/>
      <c r="N1775" s="10"/>
      <c r="O1775" s="10"/>
    </row>
    <row r="1776">
      <c r="A1776" s="157"/>
      <c r="B1776" s="9"/>
      <c r="C1776" s="10"/>
      <c r="D1776" s="10"/>
      <c r="E1776" s="10"/>
      <c r="F1776" s="10"/>
      <c r="G1776" s="10"/>
      <c r="H1776" s="10"/>
      <c r="I1776" s="10"/>
      <c r="J1776" s="10"/>
      <c r="K1776" s="10"/>
      <c r="L1776" s="10"/>
      <c r="M1776" s="10"/>
      <c r="N1776" s="10"/>
      <c r="O1776" s="10"/>
    </row>
    <row r="1777">
      <c r="A1777" s="157"/>
      <c r="B1777" s="9"/>
      <c r="C1777" s="10"/>
      <c r="D1777" s="10"/>
      <c r="E1777" s="10"/>
      <c r="F1777" s="10"/>
      <c r="G1777" s="10"/>
      <c r="H1777" s="10"/>
      <c r="I1777" s="10"/>
      <c r="J1777" s="10"/>
      <c r="K1777" s="10"/>
      <c r="L1777" s="10"/>
      <c r="M1777" s="10"/>
      <c r="N1777" s="10"/>
      <c r="O1777" s="10"/>
    </row>
    <row r="1778">
      <c r="A1778" s="157"/>
      <c r="B1778" s="9"/>
      <c r="C1778" s="10"/>
      <c r="D1778" s="10"/>
      <c r="E1778" s="10"/>
      <c r="F1778" s="10"/>
      <c r="G1778" s="10"/>
      <c r="H1778" s="10"/>
      <c r="I1778" s="10"/>
      <c r="J1778" s="10"/>
      <c r="K1778" s="10"/>
      <c r="L1778" s="10"/>
      <c r="M1778" s="10"/>
      <c r="N1778" s="10"/>
      <c r="O1778" s="10"/>
    </row>
    <row r="1779">
      <c r="A1779" s="157"/>
      <c r="B1779" s="9"/>
      <c r="C1779" s="10"/>
      <c r="D1779" s="10"/>
      <c r="E1779" s="10"/>
      <c r="F1779" s="10"/>
      <c r="G1779" s="10"/>
      <c r="H1779" s="10"/>
      <c r="I1779" s="10"/>
      <c r="J1779" s="10"/>
      <c r="K1779" s="10"/>
      <c r="L1779" s="10"/>
      <c r="M1779" s="10"/>
      <c r="N1779" s="10"/>
      <c r="O1779" s="10"/>
    </row>
    <row r="1780">
      <c r="A1780" s="157"/>
      <c r="B1780" s="9"/>
      <c r="C1780" s="10"/>
      <c r="D1780" s="10"/>
      <c r="E1780" s="10"/>
      <c r="F1780" s="10"/>
      <c r="G1780" s="10"/>
      <c r="H1780" s="10"/>
      <c r="I1780" s="10"/>
      <c r="J1780" s="10"/>
      <c r="K1780" s="10"/>
      <c r="L1780" s="10"/>
      <c r="M1780" s="10"/>
      <c r="N1780" s="10"/>
      <c r="O1780" s="10"/>
    </row>
    <row r="1781">
      <c r="A1781" s="157"/>
      <c r="B1781" s="9"/>
      <c r="C1781" s="10"/>
      <c r="D1781" s="10"/>
      <c r="E1781" s="10"/>
      <c r="F1781" s="10"/>
      <c r="G1781" s="10"/>
      <c r="H1781" s="10"/>
      <c r="I1781" s="10"/>
      <c r="J1781" s="10"/>
      <c r="K1781" s="10"/>
      <c r="L1781" s="10"/>
      <c r="M1781" s="10"/>
      <c r="N1781" s="10"/>
      <c r="O1781" s="10"/>
    </row>
    <row r="1782">
      <c r="A1782" s="157"/>
      <c r="B1782" s="9"/>
      <c r="C1782" s="10"/>
      <c r="D1782" s="10"/>
      <c r="E1782" s="10"/>
      <c r="F1782" s="10"/>
      <c r="G1782" s="10"/>
      <c r="H1782" s="10"/>
      <c r="I1782" s="10"/>
      <c r="J1782" s="10"/>
      <c r="K1782" s="10"/>
      <c r="L1782" s="10"/>
      <c r="M1782" s="10"/>
      <c r="N1782" s="10"/>
      <c r="O1782" s="10"/>
    </row>
    <row r="1783">
      <c r="A1783" s="157"/>
      <c r="B1783" s="9"/>
      <c r="C1783" s="10"/>
      <c r="D1783" s="10"/>
      <c r="E1783" s="10"/>
      <c r="F1783" s="10"/>
      <c r="G1783" s="10"/>
      <c r="H1783" s="10"/>
      <c r="I1783" s="10"/>
      <c r="J1783" s="10"/>
      <c r="K1783" s="10"/>
      <c r="L1783" s="10"/>
      <c r="M1783" s="10"/>
      <c r="N1783" s="10"/>
      <c r="O1783" s="10"/>
    </row>
    <row r="1784">
      <c r="A1784" s="157"/>
      <c r="B1784" s="9"/>
      <c r="C1784" s="10"/>
      <c r="D1784" s="10"/>
      <c r="E1784" s="10"/>
      <c r="F1784" s="10"/>
      <c r="G1784" s="10"/>
      <c r="H1784" s="10"/>
      <c r="I1784" s="10"/>
      <c r="J1784" s="10"/>
      <c r="K1784" s="10"/>
      <c r="L1784" s="10"/>
      <c r="M1784" s="10"/>
      <c r="N1784" s="10"/>
      <c r="O1784" s="10"/>
    </row>
    <row r="1785">
      <c r="A1785" s="157"/>
      <c r="B1785" s="9"/>
      <c r="C1785" s="10"/>
      <c r="D1785" s="10"/>
      <c r="E1785" s="10"/>
      <c r="F1785" s="10"/>
      <c r="G1785" s="10"/>
      <c r="H1785" s="10"/>
      <c r="I1785" s="10"/>
      <c r="J1785" s="10"/>
      <c r="K1785" s="10"/>
      <c r="L1785" s="10"/>
      <c r="M1785" s="10"/>
      <c r="N1785" s="10"/>
      <c r="O1785" s="10"/>
    </row>
    <row r="1786">
      <c r="A1786" s="157"/>
      <c r="B1786" s="9"/>
      <c r="C1786" s="10"/>
      <c r="D1786" s="10"/>
      <c r="E1786" s="10"/>
      <c r="F1786" s="10"/>
      <c r="G1786" s="10"/>
      <c r="H1786" s="10"/>
      <c r="I1786" s="10"/>
      <c r="J1786" s="10"/>
      <c r="K1786" s="10"/>
      <c r="L1786" s="10"/>
      <c r="M1786" s="10"/>
      <c r="N1786" s="10"/>
      <c r="O1786" s="10"/>
    </row>
    <row r="1787">
      <c r="A1787" s="157"/>
      <c r="B1787" s="9"/>
      <c r="C1787" s="10"/>
      <c r="D1787" s="10"/>
      <c r="E1787" s="10"/>
      <c r="F1787" s="10"/>
      <c r="G1787" s="10"/>
      <c r="H1787" s="10"/>
      <c r="I1787" s="10"/>
      <c r="J1787" s="10"/>
      <c r="K1787" s="10"/>
      <c r="L1787" s="10"/>
      <c r="M1787" s="10"/>
      <c r="N1787" s="10"/>
      <c r="O1787" s="10"/>
    </row>
    <row r="1788">
      <c r="A1788" s="157"/>
      <c r="B1788" s="9"/>
      <c r="C1788" s="10"/>
      <c r="D1788" s="10"/>
      <c r="E1788" s="10"/>
      <c r="F1788" s="10"/>
      <c r="G1788" s="10"/>
      <c r="H1788" s="10"/>
      <c r="I1788" s="10"/>
      <c r="J1788" s="10"/>
      <c r="K1788" s="10"/>
      <c r="L1788" s="10"/>
      <c r="M1788" s="10"/>
      <c r="N1788" s="10"/>
      <c r="O1788" s="10"/>
    </row>
    <row r="1789">
      <c r="A1789" s="157"/>
      <c r="B1789" s="9"/>
      <c r="C1789" s="10"/>
      <c r="D1789" s="10"/>
      <c r="E1789" s="10"/>
      <c r="F1789" s="10"/>
      <c r="G1789" s="10"/>
      <c r="H1789" s="10"/>
      <c r="I1789" s="10"/>
      <c r="J1789" s="10"/>
      <c r="K1789" s="10"/>
      <c r="L1789" s="10"/>
      <c r="M1789" s="10"/>
      <c r="N1789" s="10"/>
      <c r="O1789" s="10"/>
    </row>
    <row r="1790">
      <c r="A1790" s="157"/>
      <c r="B1790" s="9"/>
      <c r="C1790" s="10"/>
      <c r="D1790" s="10"/>
      <c r="E1790" s="10"/>
      <c r="F1790" s="10"/>
      <c r="G1790" s="10"/>
      <c r="H1790" s="10"/>
      <c r="I1790" s="10"/>
      <c r="J1790" s="10"/>
      <c r="K1790" s="10"/>
      <c r="L1790" s="10"/>
      <c r="M1790" s="10"/>
      <c r="N1790" s="10"/>
      <c r="O1790" s="10"/>
    </row>
    <row r="1791">
      <c r="A1791" s="157"/>
      <c r="B1791" s="9"/>
      <c r="C1791" s="10"/>
      <c r="D1791" s="10"/>
      <c r="E1791" s="10"/>
      <c r="F1791" s="10"/>
      <c r="G1791" s="10"/>
      <c r="H1791" s="10"/>
      <c r="I1791" s="10"/>
      <c r="J1791" s="10"/>
      <c r="K1791" s="10"/>
      <c r="L1791" s="10"/>
      <c r="M1791" s="10"/>
      <c r="N1791" s="10"/>
      <c r="O1791" s="10"/>
    </row>
    <row r="1792">
      <c r="A1792" s="157"/>
      <c r="B1792" s="9"/>
      <c r="C1792" s="10"/>
      <c r="D1792" s="10"/>
      <c r="E1792" s="10"/>
      <c r="F1792" s="10"/>
      <c r="G1792" s="10"/>
      <c r="H1792" s="10"/>
      <c r="I1792" s="10"/>
      <c r="J1792" s="10"/>
      <c r="K1792" s="10"/>
      <c r="L1792" s="10"/>
      <c r="M1792" s="10"/>
      <c r="N1792" s="10"/>
      <c r="O1792" s="10"/>
    </row>
    <row r="1793">
      <c r="A1793" s="157"/>
      <c r="B1793" s="9"/>
      <c r="C1793" s="10"/>
      <c r="D1793" s="10"/>
      <c r="E1793" s="10"/>
      <c r="F1793" s="10"/>
      <c r="G1793" s="10"/>
      <c r="H1793" s="10"/>
      <c r="I1793" s="10"/>
      <c r="J1793" s="10"/>
      <c r="K1793" s="10"/>
      <c r="L1793" s="10"/>
      <c r="M1793" s="10"/>
      <c r="N1793" s="10"/>
      <c r="O1793" s="10"/>
    </row>
    <row r="1794">
      <c r="A1794" s="157"/>
      <c r="B1794" s="9"/>
      <c r="C1794" s="10"/>
      <c r="D1794" s="10"/>
      <c r="E1794" s="10"/>
      <c r="F1794" s="10"/>
      <c r="G1794" s="10"/>
      <c r="H1794" s="10"/>
      <c r="I1794" s="10"/>
      <c r="J1794" s="10"/>
      <c r="K1794" s="10"/>
      <c r="L1794" s="10"/>
      <c r="M1794" s="10"/>
      <c r="N1794" s="10"/>
      <c r="O1794" s="10"/>
    </row>
    <row r="1795">
      <c r="A1795" s="157"/>
      <c r="B1795" s="9"/>
      <c r="C1795" s="10"/>
      <c r="D1795" s="10"/>
      <c r="E1795" s="10"/>
      <c r="F1795" s="10"/>
      <c r="G1795" s="10"/>
      <c r="H1795" s="10"/>
      <c r="I1795" s="10"/>
      <c r="J1795" s="10"/>
      <c r="K1795" s="10"/>
      <c r="L1795" s="10"/>
      <c r="M1795" s="10"/>
      <c r="N1795" s="10"/>
      <c r="O1795" s="10"/>
    </row>
    <row r="1796">
      <c r="A1796" s="157"/>
      <c r="B1796" s="9"/>
      <c r="C1796" s="10"/>
      <c r="D1796" s="10"/>
      <c r="E1796" s="10"/>
      <c r="F1796" s="10"/>
      <c r="G1796" s="10"/>
      <c r="H1796" s="10"/>
      <c r="I1796" s="10"/>
      <c r="J1796" s="10"/>
      <c r="K1796" s="10"/>
      <c r="L1796" s="10"/>
      <c r="M1796" s="10"/>
      <c r="N1796" s="10"/>
      <c r="O1796" s="10"/>
    </row>
    <row r="1797">
      <c r="A1797" s="157"/>
      <c r="B1797" s="9"/>
      <c r="C1797" s="10"/>
      <c r="D1797" s="10"/>
      <c r="E1797" s="10"/>
      <c r="F1797" s="10"/>
      <c r="G1797" s="10"/>
      <c r="H1797" s="10"/>
      <c r="I1797" s="10"/>
      <c r="J1797" s="10"/>
      <c r="K1797" s="10"/>
      <c r="L1797" s="10"/>
      <c r="M1797" s="10"/>
      <c r="N1797" s="10"/>
      <c r="O1797" s="10"/>
    </row>
    <row r="1798">
      <c r="A1798" s="157"/>
      <c r="B1798" s="9"/>
      <c r="C1798" s="10"/>
      <c r="D1798" s="10"/>
      <c r="E1798" s="10"/>
      <c r="F1798" s="10"/>
      <c r="G1798" s="10"/>
      <c r="H1798" s="10"/>
      <c r="I1798" s="10"/>
      <c r="J1798" s="10"/>
      <c r="K1798" s="10"/>
      <c r="L1798" s="10"/>
      <c r="M1798" s="10"/>
      <c r="N1798" s="10"/>
      <c r="O1798" s="10"/>
    </row>
    <row r="1799">
      <c r="A1799" s="157"/>
      <c r="B1799" s="9"/>
      <c r="C1799" s="10"/>
      <c r="D1799" s="10"/>
      <c r="E1799" s="10"/>
      <c r="F1799" s="10"/>
      <c r="G1799" s="10"/>
      <c r="H1799" s="10"/>
      <c r="I1799" s="10"/>
      <c r="J1799" s="10"/>
      <c r="K1799" s="10"/>
      <c r="L1799" s="10"/>
      <c r="M1799" s="10"/>
      <c r="N1799" s="10"/>
      <c r="O1799" s="10"/>
    </row>
    <row r="1800">
      <c r="A1800" s="157"/>
      <c r="B1800" s="9"/>
      <c r="C1800" s="10"/>
      <c r="D1800" s="10"/>
      <c r="E1800" s="10"/>
      <c r="F1800" s="10"/>
      <c r="G1800" s="10"/>
      <c r="H1800" s="10"/>
      <c r="I1800" s="10"/>
      <c r="J1800" s="10"/>
      <c r="K1800" s="10"/>
      <c r="L1800" s="10"/>
      <c r="M1800" s="10"/>
      <c r="N1800" s="10"/>
      <c r="O1800" s="10"/>
    </row>
    <row r="1801">
      <c r="A1801" s="157"/>
      <c r="B1801" s="9"/>
      <c r="C1801" s="10"/>
      <c r="D1801" s="10"/>
      <c r="E1801" s="10"/>
      <c r="F1801" s="10"/>
      <c r="G1801" s="10"/>
      <c r="H1801" s="10"/>
      <c r="I1801" s="10"/>
      <c r="J1801" s="10"/>
      <c r="K1801" s="10"/>
      <c r="L1801" s="10"/>
      <c r="M1801" s="10"/>
      <c r="N1801" s="10"/>
      <c r="O1801" s="10"/>
    </row>
    <row r="1802">
      <c r="A1802" s="157"/>
      <c r="B1802" s="9"/>
      <c r="C1802" s="10"/>
      <c r="D1802" s="10"/>
      <c r="E1802" s="10"/>
      <c r="F1802" s="10"/>
      <c r="G1802" s="10"/>
      <c r="H1802" s="10"/>
      <c r="I1802" s="10"/>
      <c r="J1802" s="10"/>
      <c r="K1802" s="10"/>
      <c r="L1802" s="10"/>
      <c r="M1802" s="10"/>
      <c r="N1802" s="10"/>
      <c r="O1802" s="10"/>
    </row>
    <row r="1803">
      <c r="A1803" s="157"/>
      <c r="B1803" s="9"/>
      <c r="C1803" s="10"/>
      <c r="D1803" s="10"/>
      <c r="E1803" s="10"/>
      <c r="F1803" s="10"/>
      <c r="G1803" s="10"/>
      <c r="H1803" s="10"/>
      <c r="I1803" s="10"/>
      <c r="J1803" s="10"/>
      <c r="K1803" s="10"/>
      <c r="L1803" s="10"/>
      <c r="M1803" s="10"/>
      <c r="N1803" s="10"/>
      <c r="O1803" s="10"/>
    </row>
    <row r="1804">
      <c r="A1804" s="157"/>
      <c r="B1804" s="9"/>
      <c r="C1804" s="10"/>
      <c r="D1804" s="10"/>
      <c r="E1804" s="10"/>
      <c r="F1804" s="10"/>
      <c r="G1804" s="10"/>
      <c r="H1804" s="10"/>
      <c r="I1804" s="10"/>
      <c r="J1804" s="10"/>
      <c r="K1804" s="10"/>
      <c r="L1804" s="10"/>
      <c r="M1804" s="10"/>
      <c r="N1804" s="10"/>
      <c r="O1804" s="10"/>
    </row>
    <row r="1805">
      <c r="A1805" s="157"/>
      <c r="B1805" s="9"/>
      <c r="C1805" s="10"/>
      <c r="D1805" s="10"/>
      <c r="E1805" s="10"/>
      <c r="F1805" s="10"/>
      <c r="G1805" s="10"/>
      <c r="H1805" s="10"/>
      <c r="I1805" s="10"/>
      <c r="J1805" s="10"/>
      <c r="K1805" s="10"/>
      <c r="L1805" s="10"/>
      <c r="M1805" s="10"/>
      <c r="N1805" s="10"/>
      <c r="O1805" s="10"/>
    </row>
    <row r="1806">
      <c r="A1806" s="157"/>
      <c r="B1806" s="9"/>
      <c r="C1806" s="10"/>
      <c r="D1806" s="10"/>
      <c r="E1806" s="10"/>
      <c r="F1806" s="10"/>
      <c r="G1806" s="10"/>
      <c r="H1806" s="10"/>
      <c r="I1806" s="10"/>
      <c r="J1806" s="10"/>
      <c r="K1806" s="10"/>
      <c r="L1806" s="10"/>
      <c r="M1806" s="10"/>
      <c r="N1806" s="10"/>
      <c r="O1806" s="10"/>
    </row>
    <row r="1807">
      <c r="A1807" s="157"/>
      <c r="B1807" s="9"/>
      <c r="C1807" s="10"/>
      <c r="D1807" s="10"/>
      <c r="E1807" s="10"/>
      <c r="F1807" s="10"/>
      <c r="G1807" s="10"/>
      <c r="H1807" s="10"/>
      <c r="I1807" s="10"/>
      <c r="J1807" s="10"/>
      <c r="K1807" s="10"/>
      <c r="L1807" s="10"/>
      <c r="M1807" s="10"/>
      <c r="N1807" s="10"/>
      <c r="O1807" s="10"/>
    </row>
    <row r="1808">
      <c r="A1808" s="157"/>
      <c r="B1808" s="9"/>
      <c r="C1808" s="10"/>
      <c r="D1808" s="10"/>
      <c r="E1808" s="10"/>
      <c r="F1808" s="10"/>
      <c r="G1808" s="10"/>
      <c r="H1808" s="10"/>
      <c r="I1808" s="10"/>
      <c r="J1808" s="10"/>
      <c r="K1808" s="10"/>
      <c r="L1808" s="10"/>
      <c r="M1808" s="10"/>
      <c r="N1808" s="10"/>
      <c r="O1808" s="10"/>
    </row>
    <row r="1809">
      <c r="A1809" s="157"/>
      <c r="B1809" s="9"/>
      <c r="C1809" s="10"/>
      <c r="D1809" s="10"/>
      <c r="E1809" s="10"/>
      <c r="F1809" s="10"/>
      <c r="G1809" s="10"/>
      <c r="H1809" s="10"/>
      <c r="I1809" s="10"/>
      <c r="J1809" s="10"/>
      <c r="K1809" s="10"/>
      <c r="L1809" s="10"/>
      <c r="M1809" s="10"/>
      <c r="N1809" s="10"/>
      <c r="O1809" s="10"/>
    </row>
    <row r="1810">
      <c r="A1810" s="157"/>
      <c r="B1810" s="9"/>
      <c r="C1810" s="10"/>
      <c r="D1810" s="10"/>
      <c r="E1810" s="10"/>
      <c r="F1810" s="10"/>
      <c r="G1810" s="10"/>
      <c r="H1810" s="10"/>
      <c r="I1810" s="10"/>
      <c r="J1810" s="10"/>
      <c r="K1810" s="10"/>
      <c r="L1810" s="10"/>
      <c r="M1810" s="10"/>
      <c r="N1810" s="10"/>
      <c r="O1810" s="10"/>
    </row>
    <row r="1811">
      <c r="A1811" s="157"/>
      <c r="B1811" s="9"/>
      <c r="C1811" s="10"/>
      <c r="D1811" s="10"/>
      <c r="E1811" s="10"/>
      <c r="F1811" s="10"/>
      <c r="G1811" s="10"/>
      <c r="H1811" s="10"/>
      <c r="I1811" s="10"/>
      <c r="J1811" s="10"/>
      <c r="K1811" s="10"/>
      <c r="L1811" s="10"/>
      <c r="M1811" s="10"/>
      <c r="N1811" s="10"/>
      <c r="O1811" s="10"/>
    </row>
    <row r="1812">
      <c r="A1812" s="157"/>
      <c r="B1812" s="9"/>
      <c r="C1812" s="10"/>
      <c r="D1812" s="10"/>
      <c r="E1812" s="10"/>
      <c r="F1812" s="10"/>
      <c r="G1812" s="10"/>
      <c r="H1812" s="10"/>
      <c r="I1812" s="10"/>
      <c r="J1812" s="10"/>
      <c r="K1812" s="10"/>
      <c r="L1812" s="10"/>
      <c r="M1812" s="10"/>
      <c r="N1812" s="10"/>
      <c r="O1812" s="10"/>
    </row>
    <row r="1813">
      <c r="A1813" s="157"/>
      <c r="B1813" s="9"/>
      <c r="C1813" s="10"/>
      <c r="D1813" s="10"/>
      <c r="E1813" s="10"/>
      <c r="F1813" s="10"/>
      <c r="G1813" s="10"/>
      <c r="H1813" s="10"/>
      <c r="I1813" s="10"/>
      <c r="J1813" s="10"/>
      <c r="K1813" s="10"/>
      <c r="L1813" s="10"/>
      <c r="M1813" s="10"/>
      <c r="N1813" s="10"/>
      <c r="O1813" s="10"/>
    </row>
    <row r="1814">
      <c r="A1814" s="157"/>
      <c r="B1814" s="9"/>
      <c r="C1814" s="10"/>
      <c r="D1814" s="10"/>
      <c r="E1814" s="10"/>
      <c r="F1814" s="10"/>
      <c r="G1814" s="10"/>
      <c r="H1814" s="10"/>
      <c r="I1814" s="10"/>
      <c r="J1814" s="10"/>
      <c r="K1814" s="10"/>
      <c r="L1814" s="10"/>
      <c r="M1814" s="10"/>
      <c r="N1814" s="10"/>
      <c r="O1814" s="10"/>
    </row>
    <row r="1815">
      <c r="A1815" s="157"/>
      <c r="B1815" s="9"/>
      <c r="C1815" s="10"/>
      <c r="D1815" s="10"/>
      <c r="E1815" s="10"/>
      <c r="F1815" s="10"/>
      <c r="G1815" s="10"/>
      <c r="H1815" s="10"/>
      <c r="I1815" s="10"/>
      <c r="J1815" s="10"/>
      <c r="K1815" s="10"/>
      <c r="L1815" s="10"/>
      <c r="M1815" s="10"/>
      <c r="N1815" s="10"/>
      <c r="O1815" s="10"/>
    </row>
    <row r="1816">
      <c r="A1816" s="157"/>
      <c r="B1816" s="9"/>
      <c r="C1816" s="10"/>
      <c r="D1816" s="10"/>
      <c r="E1816" s="10"/>
      <c r="F1816" s="10"/>
      <c r="G1816" s="10"/>
      <c r="H1816" s="10"/>
      <c r="I1816" s="10"/>
      <c r="J1816" s="10"/>
      <c r="K1816" s="10"/>
      <c r="L1816" s="10"/>
      <c r="M1816" s="10"/>
      <c r="N1816" s="10"/>
      <c r="O1816" s="10"/>
    </row>
    <row r="1817">
      <c r="A1817" s="157"/>
      <c r="B1817" s="9"/>
      <c r="C1817" s="10"/>
      <c r="D1817" s="10"/>
      <c r="E1817" s="10"/>
      <c r="F1817" s="10"/>
      <c r="G1817" s="10"/>
      <c r="H1817" s="10"/>
      <c r="I1817" s="10"/>
      <c r="J1817" s="10"/>
      <c r="K1817" s="10"/>
      <c r="L1817" s="10"/>
      <c r="M1817" s="10"/>
      <c r="N1817" s="10"/>
      <c r="O1817" s="10"/>
    </row>
    <row r="1818">
      <c r="A1818" s="157"/>
      <c r="B1818" s="9"/>
      <c r="C1818" s="10"/>
      <c r="D1818" s="10"/>
      <c r="E1818" s="10"/>
      <c r="F1818" s="10"/>
      <c r="G1818" s="10"/>
      <c r="H1818" s="10"/>
      <c r="I1818" s="10"/>
      <c r="J1818" s="10"/>
      <c r="K1818" s="10"/>
      <c r="L1818" s="10"/>
      <c r="M1818" s="10"/>
      <c r="N1818" s="10"/>
      <c r="O1818" s="10"/>
    </row>
    <row r="1819">
      <c r="A1819" s="157"/>
      <c r="B1819" s="9"/>
      <c r="C1819" s="10"/>
      <c r="D1819" s="10"/>
      <c r="E1819" s="10"/>
      <c r="F1819" s="10"/>
      <c r="G1819" s="10"/>
      <c r="H1819" s="10"/>
      <c r="I1819" s="10"/>
      <c r="J1819" s="10"/>
      <c r="K1819" s="10"/>
      <c r="L1819" s="10"/>
      <c r="M1819" s="10"/>
      <c r="N1819" s="10"/>
      <c r="O1819" s="10"/>
    </row>
    <row r="1820">
      <c r="A1820" s="157"/>
      <c r="B1820" s="9"/>
      <c r="C1820" s="10"/>
      <c r="D1820" s="10"/>
      <c r="E1820" s="10"/>
      <c r="F1820" s="10"/>
      <c r="G1820" s="10"/>
      <c r="H1820" s="10"/>
      <c r="I1820" s="10"/>
      <c r="J1820" s="10"/>
      <c r="K1820" s="10"/>
      <c r="L1820" s="10"/>
      <c r="M1820" s="10"/>
      <c r="N1820" s="10"/>
      <c r="O1820" s="10"/>
    </row>
    <row r="1821">
      <c r="A1821" s="157"/>
      <c r="B1821" s="9"/>
      <c r="C1821" s="10"/>
      <c r="D1821" s="10"/>
      <c r="E1821" s="10"/>
      <c r="F1821" s="10"/>
      <c r="G1821" s="10"/>
      <c r="H1821" s="10"/>
      <c r="I1821" s="10"/>
      <c r="J1821" s="10"/>
      <c r="K1821" s="10"/>
      <c r="L1821" s="10"/>
      <c r="M1821" s="10"/>
      <c r="N1821" s="10"/>
      <c r="O1821" s="10"/>
    </row>
    <row r="1822">
      <c r="A1822" s="157"/>
      <c r="B1822" s="9"/>
      <c r="C1822" s="10"/>
      <c r="D1822" s="10"/>
      <c r="E1822" s="10"/>
      <c r="F1822" s="10"/>
      <c r="G1822" s="10"/>
      <c r="H1822" s="10"/>
      <c r="I1822" s="10"/>
      <c r="J1822" s="10"/>
      <c r="K1822" s="10"/>
      <c r="L1822" s="10"/>
      <c r="M1822" s="10"/>
      <c r="N1822" s="10"/>
      <c r="O1822" s="10"/>
    </row>
    <row r="1823">
      <c r="A1823" s="157"/>
      <c r="B1823" s="9"/>
      <c r="C1823" s="10"/>
      <c r="D1823" s="10"/>
      <c r="E1823" s="10"/>
      <c r="F1823" s="10"/>
      <c r="G1823" s="10"/>
      <c r="H1823" s="10"/>
      <c r="I1823" s="10"/>
      <c r="J1823" s="10"/>
      <c r="K1823" s="10"/>
      <c r="L1823" s="10"/>
      <c r="M1823" s="10"/>
      <c r="N1823" s="10"/>
      <c r="O1823" s="10"/>
    </row>
    <row r="1824">
      <c r="A1824" s="157"/>
      <c r="B1824" s="9"/>
      <c r="C1824" s="10"/>
      <c r="D1824" s="10"/>
      <c r="E1824" s="10"/>
      <c r="F1824" s="10"/>
      <c r="G1824" s="10"/>
      <c r="H1824" s="10"/>
      <c r="I1824" s="10"/>
      <c r="J1824" s="10"/>
      <c r="K1824" s="10"/>
      <c r="L1824" s="10"/>
      <c r="M1824" s="10"/>
      <c r="N1824" s="10"/>
      <c r="O1824" s="10"/>
    </row>
    <row r="1825">
      <c r="A1825" s="157"/>
      <c r="B1825" s="9"/>
      <c r="C1825" s="10"/>
      <c r="D1825" s="10"/>
      <c r="E1825" s="10"/>
      <c r="F1825" s="10"/>
      <c r="G1825" s="10"/>
      <c r="H1825" s="10"/>
      <c r="I1825" s="10"/>
      <c r="J1825" s="10"/>
      <c r="K1825" s="10"/>
      <c r="L1825" s="10"/>
      <c r="M1825" s="10"/>
      <c r="N1825" s="10"/>
      <c r="O1825" s="10"/>
    </row>
    <row r="1826">
      <c r="A1826" s="157"/>
      <c r="B1826" s="9"/>
      <c r="C1826" s="10"/>
      <c r="D1826" s="10"/>
      <c r="E1826" s="10"/>
      <c r="F1826" s="10"/>
      <c r="G1826" s="10"/>
      <c r="H1826" s="10"/>
      <c r="I1826" s="10"/>
      <c r="J1826" s="10"/>
      <c r="K1826" s="10"/>
      <c r="L1826" s="10"/>
      <c r="M1826" s="10"/>
      <c r="N1826" s="10"/>
      <c r="O1826" s="10"/>
    </row>
    <row r="1827">
      <c r="A1827" s="157"/>
      <c r="B1827" s="9"/>
      <c r="C1827" s="10"/>
      <c r="D1827" s="10"/>
      <c r="E1827" s="10"/>
      <c r="F1827" s="10"/>
      <c r="G1827" s="10"/>
      <c r="H1827" s="10"/>
      <c r="I1827" s="10"/>
      <c r="J1827" s="10"/>
      <c r="K1827" s="10"/>
      <c r="L1827" s="10"/>
      <c r="M1827" s="10"/>
      <c r="N1827" s="10"/>
      <c r="O1827" s="10"/>
    </row>
    <row r="1828">
      <c r="A1828" s="157"/>
      <c r="B1828" s="9"/>
      <c r="C1828" s="10"/>
      <c r="D1828" s="10"/>
      <c r="E1828" s="10"/>
      <c r="F1828" s="10"/>
      <c r="G1828" s="10"/>
      <c r="H1828" s="10"/>
      <c r="I1828" s="10"/>
      <c r="J1828" s="10"/>
      <c r="K1828" s="10"/>
      <c r="L1828" s="10"/>
      <c r="M1828" s="10"/>
      <c r="N1828" s="10"/>
      <c r="O1828" s="10"/>
    </row>
    <row r="1829">
      <c r="A1829" s="157"/>
      <c r="B1829" s="9"/>
      <c r="C1829" s="10"/>
      <c r="D1829" s="10"/>
      <c r="E1829" s="10"/>
      <c r="F1829" s="10"/>
      <c r="G1829" s="10"/>
      <c r="H1829" s="10"/>
      <c r="I1829" s="10"/>
      <c r="J1829" s="10"/>
      <c r="K1829" s="10"/>
      <c r="L1829" s="10"/>
      <c r="M1829" s="10"/>
      <c r="N1829" s="10"/>
      <c r="O1829" s="10"/>
    </row>
    <row r="1830">
      <c r="A1830" s="157"/>
      <c r="B1830" s="9"/>
      <c r="C1830" s="10"/>
      <c r="D1830" s="10"/>
      <c r="E1830" s="10"/>
      <c r="F1830" s="10"/>
      <c r="G1830" s="10"/>
      <c r="H1830" s="10"/>
      <c r="I1830" s="10"/>
      <c r="J1830" s="10"/>
      <c r="K1830" s="10"/>
      <c r="L1830" s="10"/>
      <c r="M1830" s="10"/>
      <c r="N1830" s="10"/>
      <c r="O1830" s="10"/>
    </row>
    <row r="1831">
      <c r="A1831" s="157"/>
      <c r="B1831" s="9"/>
      <c r="C1831" s="10"/>
      <c r="D1831" s="10"/>
      <c r="E1831" s="10"/>
      <c r="F1831" s="10"/>
      <c r="G1831" s="10"/>
      <c r="H1831" s="10"/>
      <c r="I1831" s="10"/>
      <c r="J1831" s="10"/>
      <c r="K1831" s="10"/>
      <c r="L1831" s="10"/>
      <c r="M1831" s="10"/>
      <c r="N1831" s="10"/>
      <c r="O1831" s="10"/>
    </row>
    <row r="1832">
      <c r="A1832" s="157"/>
      <c r="B1832" s="9"/>
      <c r="C1832" s="10"/>
      <c r="D1832" s="10"/>
      <c r="E1832" s="10"/>
      <c r="F1832" s="10"/>
      <c r="G1832" s="10"/>
      <c r="H1832" s="10"/>
      <c r="I1832" s="10"/>
      <c r="J1832" s="10"/>
      <c r="K1832" s="10"/>
      <c r="L1832" s="10"/>
      <c r="M1832" s="10"/>
      <c r="N1832" s="10"/>
      <c r="O1832" s="10"/>
    </row>
    <row r="1833">
      <c r="A1833" s="157"/>
      <c r="B1833" s="9"/>
      <c r="C1833" s="10"/>
      <c r="D1833" s="10"/>
      <c r="E1833" s="10"/>
      <c r="F1833" s="10"/>
      <c r="G1833" s="10"/>
      <c r="H1833" s="10"/>
      <c r="I1833" s="10"/>
      <c r="J1833" s="10"/>
      <c r="K1833" s="10"/>
      <c r="L1833" s="10"/>
      <c r="M1833" s="10"/>
      <c r="N1833" s="10"/>
      <c r="O1833" s="10"/>
    </row>
    <row r="1834">
      <c r="A1834" s="157"/>
      <c r="B1834" s="9"/>
      <c r="C1834" s="10"/>
      <c r="D1834" s="10"/>
      <c r="E1834" s="10"/>
      <c r="F1834" s="10"/>
      <c r="G1834" s="10"/>
      <c r="H1834" s="10"/>
      <c r="I1834" s="10"/>
      <c r="J1834" s="10"/>
      <c r="K1834" s="10"/>
      <c r="L1834" s="10"/>
      <c r="M1834" s="10"/>
      <c r="N1834" s="10"/>
      <c r="O1834" s="10"/>
    </row>
    <row r="1835">
      <c r="A1835" s="157"/>
      <c r="B1835" s="9"/>
      <c r="C1835" s="10"/>
      <c r="D1835" s="10"/>
      <c r="E1835" s="10"/>
      <c r="F1835" s="10"/>
      <c r="G1835" s="10"/>
      <c r="H1835" s="10"/>
      <c r="I1835" s="10"/>
      <c r="J1835" s="10"/>
      <c r="K1835" s="10"/>
      <c r="L1835" s="10"/>
      <c r="M1835" s="10"/>
      <c r="N1835" s="10"/>
      <c r="O1835" s="10"/>
    </row>
    <row r="1836">
      <c r="A1836" s="157"/>
      <c r="B1836" s="9"/>
      <c r="C1836" s="10"/>
      <c r="D1836" s="10"/>
      <c r="E1836" s="10"/>
      <c r="F1836" s="10"/>
      <c r="G1836" s="10"/>
      <c r="H1836" s="10"/>
      <c r="I1836" s="10"/>
      <c r="J1836" s="10"/>
      <c r="K1836" s="10"/>
      <c r="L1836" s="10"/>
      <c r="M1836" s="10"/>
      <c r="N1836" s="10"/>
      <c r="O1836" s="10"/>
    </row>
    <row r="1837">
      <c r="A1837" s="157"/>
      <c r="B1837" s="9"/>
      <c r="C1837" s="10"/>
      <c r="D1837" s="10"/>
      <c r="E1837" s="10"/>
      <c r="F1837" s="10"/>
      <c r="G1837" s="10"/>
      <c r="H1837" s="10"/>
      <c r="I1837" s="10"/>
      <c r="J1837" s="10"/>
      <c r="K1837" s="10"/>
      <c r="L1837" s="10"/>
      <c r="M1837" s="10"/>
      <c r="N1837" s="10"/>
      <c r="O1837" s="10"/>
    </row>
    <row r="1838">
      <c r="A1838" s="157"/>
      <c r="B1838" s="9"/>
      <c r="C1838" s="10"/>
      <c r="D1838" s="10"/>
      <c r="E1838" s="10"/>
      <c r="F1838" s="10"/>
      <c r="G1838" s="10"/>
      <c r="H1838" s="10"/>
      <c r="I1838" s="10"/>
      <c r="J1838" s="10"/>
      <c r="K1838" s="10"/>
      <c r="L1838" s="10"/>
      <c r="M1838" s="10"/>
      <c r="N1838" s="10"/>
      <c r="O1838" s="10"/>
    </row>
    <row r="1839">
      <c r="A1839" s="157"/>
      <c r="B1839" s="9"/>
      <c r="C1839" s="10"/>
      <c r="D1839" s="10"/>
      <c r="E1839" s="10"/>
      <c r="F1839" s="10"/>
      <c r="G1839" s="10"/>
      <c r="H1839" s="10"/>
      <c r="I1839" s="10"/>
      <c r="J1839" s="10"/>
      <c r="K1839" s="10"/>
      <c r="L1839" s="10"/>
      <c r="M1839" s="10"/>
      <c r="N1839" s="10"/>
      <c r="O1839" s="10"/>
    </row>
    <row r="1840">
      <c r="A1840" s="157"/>
      <c r="B1840" s="9"/>
      <c r="C1840" s="10"/>
      <c r="D1840" s="10"/>
      <c r="E1840" s="10"/>
      <c r="F1840" s="10"/>
      <c r="G1840" s="10"/>
      <c r="H1840" s="10"/>
      <c r="I1840" s="10"/>
      <c r="J1840" s="10"/>
      <c r="K1840" s="10"/>
      <c r="L1840" s="10"/>
      <c r="M1840" s="10"/>
      <c r="N1840" s="10"/>
      <c r="O1840" s="10"/>
    </row>
    <row r="1841">
      <c r="A1841" s="157"/>
      <c r="B1841" s="9"/>
      <c r="C1841" s="10"/>
      <c r="D1841" s="10"/>
      <c r="E1841" s="10"/>
      <c r="F1841" s="10"/>
      <c r="G1841" s="10"/>
      <c r="H1841" s="10"/>
      <c r="I1841" s="10"/>
      <c r="J1841" s="10"/>
      <c r="K1841" s="10"/>
      <c r="L1841" s="10"/>
      <c r="M1841" s="10"/>
      <c r="N1841" s="10"/>
      <c r="O1841" s="10"/>
    </row>
    <row r="1842">
      <c r="A1842" s="157"/>
      <c r="B1842" s="9"/>
      <c r="C1842" s="10"/>
      <c r="D1842" s="10"/>
      <c r="E1842" s="10"/>
      <c r="F1842" s="10"/>
      <c r="G1842" s="10"/>
      <c r="H1842" s="10"/>
      <c r="I1842" s="10"/>
      <c r="J1842" s="10"/>
      <c r="K1842" s="10"/>
      <c r="L1842" s="10"/>
      <c r="M1842" s="10"/>
      <c r="N1842" s="10"/>
      <c r="O1842" s="10"/>
    </row>
    <row r="1843">
      <c r="A1843" s="157"/>
      <c r="B1843" s="9"/>
      <c r="C1843" s="10"/>
      <c r="D1843" s="10"/>
      <c r="E1843" s="10"/>
      <c r="F1843" s="10"/>
      <c r="G1843" s="10"/>
      <c r="H1843" s="10"/>
      <c r="I1843" s="10"/>
      <c r="J1843" s="10"/>
      <c r="K1843" s="10"/>
      <c r="L1843" s="10"/>
      <c r="M1843" s="10"/>
      <c r="N1843" s="10"/>
      <c r="O1843" s="10"/>
    </row>
    <row r="1844">
      <c r="A1844" s="157"/>
      <c r="B1844" s="9"/>
      <c r="C1844" s="10"/>
      <c r="D1844" s="10"/>
      <c r="E1844" s="10"/>
      <c r="F1844" s="10"/>
      <c r="G1844" s="10"/>
      <c r="H1844" s="10"/>
      <c r="I1844" s="10"/>
      <c r="J1844" s="10"/>
      <c r="K1844" s="10"/>
      <c r="L1844" s="10"/>
      <c r="M1844" s="10"/>
      <c r="N1844" s="10"/>
      <c r="O1844" s="10"/>
    </row>
    <row r="1845">
      <c r="A1845" s="157"/>
      <c r="B1845" s="9"/>
      <c r="C1845" s="10"/>
      <c r="D1845" s="10"/>
      <c r="E1845" s="10"/>
      <c r="F1845" s="10"/>
      <c r="G1845" s="10"/>
      <c r="H1845" s="10"/>
      <c r="I1845" s="10"/>
      <c r="J1845" s="10"/>
      <c r="K1845" s="10"/>
      <c r="L1845" s="10"/>
      <c r="M1845" s="10"/>
      <c r="N1845" s="10"/>
      <c r="O1845" s="10"/>
    </row>
    <row r="1846">
      <c r="A1846" s="157"/>
      <c r="B1846" s="9"/>
      <c r="C1846" s="10"/>
      <c r="D1846" s="10"/>
      <c r="E1846" s="10"/>
      <c r="F1846" s="10"/>
      <c r="G1846" s="10"/>
      <c r="H1846" s="10"/>
      <c r="I1846" s="10"/>
      <c r="J1846" s="10"/>
      <c r="K1846" s="10"/>
      <c r="L1846" s="10"/>
      <c r="M1846" s="10"/>
      <c r="N1846" s="10"/>
      <c r="O1846" s="10"/>
    </row>
    <row r="1847">
      <c r="A1847" s="157"/>
      <c r="B1847" s="9"/>
      <c r="C1847" s="10"/>
      <c r="D1847" s="10"/>
      <c r="E1847" s="10"/>
      <c r="F1847" s="10"/>
      <c r="G1847" s="10"/>
      <c r="H1847" s="10"/>
      <c r="I1847" s="10"/>
      <c r="J1847" s="10"/>
      <c r="K1847" s="10"/>
      <c r="L1847" s="10"/>
      <c r="M1847" s="10"/>
      <c r="N1847" s="10"/>
      <c r="O1847" s="10"/>
    </row>
    <row r="1848">
      <c r="A1848" s="157"/>
      <c r="B1848" s="9"/>
      <c r="C1848" s="10"/>
      <c r="D1848" s="10"/>
      <c r="E1848" s="10"/>
      <c r="F1848" s="10"/>
      <c r="G1848" s="10"/>
      <c r="H1848" s="10"/>
      <c r="I1848" s="10"/>
      <c r="J1848" s="10"/>
      <c r="K1848" s="10"/>
      <c r="L1848" s="10"/>
      <c r="M1848" s="10"/>
      <c r="N1848" s="10"/>
      <c r="O1848" s="10"/>
    </row>
    <row r="1849">
      <c r="A1849" s="157"/>
      <c r="B1849" s="9"/>
      <c r="C1849" s="10"/>
      <c r="D1849" s="10"/>
      <c r="E1849" s="10"/>
      <c r="F1849" s="10"/>
      <c r="G1849" s="10"/>
      <c r="H1849" s="10"/>
      <c r="I1849" s="10"/>
      <c r="J1849" s="10"/>
      <c r="K1849" s="10"/>
      <c r="L1849" s="10"/>
      <c r="M1849" s="10"/>
      <c r="N1849" s="10"/>
      <c r="O1849" s="10"/>
    </row>
    <row r="1850">
      <c r="A1850" s="157"/>
      <c r="B1850" s="9"/>
      <c r="C1850" s="10"/>
      <c r="D1850" s="10"/>
      <c r="E1850" s="10"/>
      <c r="F1850" s="10"/>
      <c r="G1850" s="10"/>
      <c r="H1850" s="10"/>
      <c r="I1850" s="10"/>
      <c r="J1850" s="10"/>
      <c r="K1850" s="10"/>
      <c r="L1850" s="10"/>
      <c r="M1850" s="10"/>
      <c r="N1850" s="10"/>
      <c r="O1850" s="10"/>
    </row>
    <row r="1851">
      <c r="A1851" s="157"/>
      <c r="B1851" s="9"/>
      <c r="C1851" s="10"/>
      <c r="D1851" s="10"/>
      <c r="E1851" s="10"/>
      <c r="F1851" s="10"/>
      <c r="G1851" s="10"/>
      <c r="H1851" s="10"/>
      <c r="I1851" s="10"/>
      <c r="J1851" s="10"/>
      <c r="K1851" s="10"/>
      <c r="L1851" s="10"/>
      <c r="M1851" s="10"/>
      <c r="N1851" s="10"/>
      <c r="O1851" s="10"/>
    </row>
    <row r="1852">
      <c r="A1852" s="157"/>
      <c r="B1852" s="9"/>
      <c r="C1852" s="10"/>
      <c r="D1852" s="10"/>
      <c r="E1852" s="10"/>
      <c r="F1852" s="10"/>
      <c r="G1852" s="10"/>
      <c r="H1852" s="10"/>
      <c r="I1852" s="10"/>
      <c r="J1852" s="10"/>
      <c r="K1852" s="10"/>
      <c r="L1852" s="10"/>
      <c r="M1852" s="10"/>
      <c r="N1852" s="10"/>
      <c r="O1852" s="10"/>
    </row>
    <row r="1853">
      <c r="A1853" s="157"/>
      <c r="B1853" s="9"/>
      <c r="C1853" s="10"/>
      <c r="D1853" s="10"/>
      <c r="E1853" s="10"/>
      <c r="F1853" s="10"/>
      <c r="G1853" s="10"/>
      <c r="H1853" s="10"/>
      <c r="I1853" s="10"/>
      <c r="J1853" s="10"/>
      <c r="K1853" s="10"/>
      <c r="L1853" s="10"/>
      <c r="M1853" s="10"/>
      <c r="N1853" s="10"/>
      <c r="O1853" s="10"/>
    </row>
    <row r="1854">
      <c r="A1854" s="157"/>
      <c r="B1854" s="9"/>
      <c r="C1854" s="10"/>
      <c r="D1854" s="10"/>
      <c r="E1854" s="10"/>
      <c r="F1854" s="10"/>
      <c r="G1854" s="10"/>
      <c r="H1854" s="10"/>
      <c r="I1854" s="10"/>
      <c r="J1854" s="10"/>
      <c r="K1854" s="10"/>
      <c r="L1854" s="10"/>
      <c r="M1854" s="10"/>
      <c r="N1854" s="10"/>
      <c r="O1854" s="10"/>
    </row>
    <row r="1855">
      <c r="A1855" s="157"/>
      <c r="B1855" s="9"/>
      <c r="C1855" s="10"/>
      <c r="D1855" s="10"/>
      <c r="E1855" s="10"/>
      <c r="F1855" s="10"/>
      <c r="G1855" s="10"/>
      <c r="H1855" s="10"/>
      <c r="I1855" s="10"/>
      <c r="J1855" s="10"/>
      <c r="K1855" s="10"/>
      <c r="L1855" s="10"/>
      <c r="M1855" s="10"/>
      <c r="N1855" s="10"/>
      <c r="O1855" s="10"/>
    </row>
    <row r="1856">
      <c r="A1856" s="157"/>
      <c r="B1856" s="9"/>
      <c r="C1856" s="10"/>
      <c r="D1856" s="10"/>
      <c r="E1856" s="10"/>
      <c r="F1856" s="10"/>
      <c r="G1856" s="10"/>
      <c r="H1856" s="10"/>
      <c r="I1856" s="10"/>
      <c r="J1856" s="10"/>
      <c r="K1856" s="10"/>
      <c r="L1856" s="10"/>
      <c r="M1856" s="10"/>
      <c r="N1856" s="10"/>
      <c r="O1856" s="10"/>
    </row>
    <row r="1857">
      <c r="A1857" s="157"/>
      <c r="B1857" s="9"/>
      <c r="C1857" s="10"/>
      <c r="D1857" s="10"/>
      <c r="E1857" s="10"/>
      <c r="F1857" s="10"/>
      <c r="G1857" s="10"/>
      <c r="H1857" s="10"/>
      <c r="I1857" s="10"/>
      <c r="J1857" s="10"/>
      <c r="K1857" s="10"/>
      <c r="L1857" s="10"/>
      <c r="M1857" s="10"/>
      <c r="N1857" s="10"/>
      <c r="O1857" s="10"/>
    </row>
    <row r="1858">
      <c r="A1858" s="157"/>
      <c r="B1858" s="9"/>
      <c r="C1858" s="10"/>
      <c r="D1858" s="10"/>
      <c r="E1858" s="10"/>
      <c r="F1858" s="10"/>
      <c r="G1858" s="10"/>
      <c r="H1858" s="10"/>
      <c r="I1858" s="10"/>
      <c r="J1858" s="10"/>
      <c r="K1858" s="10"/>
      <c r="L1858" s="10"/>
      <c r="M1858" s="10"/>
      <c r="N1858" s="10"/>
      <c r="O1858" s="10"/>
    </row>
    <row r="1859">
      <c r="A1859" s="157"/>
      <c r="B1859" s="9"/>
      <c r="C1859" s="10"/>
      <c r="D1859" s="10"/>
      <c r="E1859" s="10"/>
      <c r="F1859" s="10"/>
      <c r="G1859" s="10"/>
      <c r="H1859" s="10"/>
      <c r="I1859" s="10"/>
      <c r="J1859" s="10"/>
      <c r="K1859" s="10"/>
      <c r="L1859" s="10"/>
      <c r="M1859" s="10"/>
      <c r="N1859" s="10"/>
      <c r="O1859" s="10"/>
    </row>
    <row r="1860">
      <c r="A1860" s="157"/>
      <c r="B1860" s="9"/>
      <c r="C1860" s="10"/>
      <c r="D1860" s="10"/>
      <c r="E1860" s="10"/>
      <c r="F1860" s="10"/>
      <c r="G1860" s="10"/>
      <c r="H1860" s="10"/>
      <c r="I1860" s="10"/>
      <c r="J1860" s="10"/>
      <c r="K1860" s="10"/>
      <c r="L1860" s="10"/>
      <c r="M1860" s="10"/>
      <c r="N1860" s="10"/>
      <c r="O1860" s="10"/>
    </row>
    <row r="1861">
      <c r="A1861" s="157"/>
      <c r="B1861" s="9"/>
      <c r="C1861" s="10"/>
      <c r="D1861" s="10"/>
      <c r="E1861" s="10"/>
      <c r="F1861" s="10"/>
      <c r="G1861" s="10"/>
      <c r="H1861" s="10"/>
      <c r="I1861" s="10"/>
      <c r="J1861" s="10"/>
      <c r="K1861" s="10"/>
      <c r="L1861" s="10"/>
      <c r="M1861" s="10"/>
      <c r="N1861" s="10"/>
      <c r="O1861" s="10"/>
    </row>
    <row r="1862">
      <c r="A1862" s="157"/>
      <c r="B1862" s="9"/>
      <c r="C1862" s="10"/>
      <c r="D1862" s="10"/>
      <c r="E1862" s="10"/>
      <c r="F1862" s="10"/>
      <c r="G1862" s="10"/>
      <c r="H1862" s="10"/>
      <c r="I1862" s="10"/>
      <c r="J1862" s="10"/>
      <c r="K1862" s="10"/>
      <c r="L1862" s="10"/>
      <c r="M1862" s="10"/>
      <c r="N1862" s="10"/>
      <c r="O1862" s="10"/>
    </row>
    <row r="1863">
      <c r="A1863" s="157"/>
      <c r="B1863" s="9"/>
      <c r="C1863" s="10"/>
      <c r="D1863" s="10"/>
      <c r="E1863" s="10"/>
      <c r="F1863" s="10"/>
      <c r="G1863" s="10"/>
      <c r="H1863" s="10"/>
      <c r="I1863" s="10"/>
      <c r="J1863" s="10"/>
      <c r="K1863" s="10"/>
      <c r="L1863" s="10"/>
      <c r="M1863" s="10"/>
      <c r="N1863" s="10"/>
      <c r="O1863" s="10"/>
    </row>
    <row r="1864">
      <c r="A1864" s="157"/>
      <c r="B1864" s="9"/>
      <c r="C1864" s="10"/>
      <c r="D1864" s="10"/>
      <c r="E1864" s="10"/>
      <c r="F1864" s="10"/>
      <c r="G1864" s="10"/>
      <c r="H1864" s="10"/>
      <c r="I1864" s="10"/>
      <c r="J1864" s="10"/>
      <c r="K1864" s="10"/>
      <c r="L1864" s="10"/>
      <c r="M1864" s="10"/>
      <c r="N1864" s="10"/>
      <c r="O1864" s="10"/>
    </row>
    <row r="1865">
      <c r="A1865" s="157"/>
      <c r="B1865" s="9"/>
      <c r="C1865" s="10"/>
      <c r="D1865" s="10"/>
      <c r="E1865" s="10"/>
      <c r="F1865" s="10"/>
      <c r="G1865" s="10"/>
      <c r="H1865" s="10"/>
      <c r="I1865" s="10"/>
      <c r="J1865" s="10"/>
      <c r="K1865" s="10"/>
      <c r="L1865" s="10"/>
      <c r="M1865" s="10"/>
      <c r="N1865" s="10"/>
      <c r="O1865" s="10"/>
    </row>
    <row r="1866">
      <c r="A1866" s="157"/>
      <c r="B1866" s="9"/>
      <c r="C1866" s="10"/>
      <c r="D1866" s="10"/>
      <c r="E1866" s="10"/>
      <c r="F1866" s="10"/>
      <c r="G1866" s="10"/>
      <c r="H1866" s="10"/>
      <c r="I1866" s="10"/>
      <c r="J1866" s="10"/>
      <c r="K1866" s="10"/>
      <c r="L1866" s="10"/>
      <c r="M1866" s="10"/>
      <c r="N1866" s="10"/>
      <c r="O1866" s="10"/>
    </row>
    <row r="1867">
      <c r="A1867" s="157"/>
      <c r="B1867" s="9"/>
      <c r="C1867" s="10"/>
      <c r="D1867" s="10"/>
      <c r="E1867" s="10"/>
      <c r="F1867" s="10"/>
      <c r="G1867" s="10"/>
      <c r="H1867" s="10"/>
      <c r="I1867" s="10"/>
      <c r="J1867" s="10"/>
      <c r="K1867" s="10"/>
      <c r="L1867" s="10"/>
      <c r="M1867" s="10"/>
      <c r="N1867" s="10"/>
      <c r="O1867" s="10"/>
    </row>
    <row r="1868">
      <c r="A1868" s="157"/>
      <c r="B1868" s="9"/>
      <c r="C1868" s="10"/>
      <c r="D1868" s="10"/>
      <c r="E1868" s="10"/>
      <c r="F1868" s="10"/>
      <c r="G1868" s="10"/>
      <c r="H1868" s="10"/>
      <c r="I1868" s="10"/>
      <c r="J1868" s="10"/>
      <c r="K1868" s="10"/>
      <c r="L1868" s="10"/>
      <c r="M1868" s="10"/>
      <c r="N1868" s="10"/>
      <c r="O1868" s="10"/>
    </row>
    <row r="1869">
      <c r="A1869" s="157"/>
      <c r="B1869" s="9"/>
      <c r="C1869" s="10"/>
      <c r="D1869" s="10"/>
      <c r="E1869" s="10"/>
      <c r="F1869" s="10"/>
      <c r="G1869" s="10"/>
      <c r="H1869" s="10"/>
      <c r="I1869" s="10"/>
      <c r="J1869" s="10"/>
      <c r="K1869" s="10"/>
      <c r="L1869" s="10"/>
      <c r="M1869" s="10"/>
      <c r="N1869" s="10"/>
      <c r="O1869" s="10"/>
    </row>
    <row r="1870">
      <c r="A1870" s="157"/>
      <c r="B1870" s="9"/>
      <c r="C1870" s="10"/>
      <c r="D1870" s="10"/>
      <c r="E1870" s="10"/>
      <c r="F1870" s="10"/>
      <c r="G1870" s="10"/>
      <c r="H1870" s="10"/>
      <c r="I1870" s="10"/>
      <c r="J1870" s="10"/>
      <c r="K1870" s="10"/>
      <c r="L1870" s="10"/>
      <c r="M1870" s="10"/>
      <c r="N1870" s="10"/>
      <c r="O1870" s="10"/>
    </row>
    <row r="1871">
      <c r="A1871" s="157"/>
      <c r="B1871" s="9"/>
      <c r="C1871" s="10"/>
      <c r="D1871" s="10"/>
      <c r="E1871" s="10"/>
      <c r="F1871" s="10"/>
      <c r="G1871" s="10"/>
      <c r="H1871" s="10"/>
      <c r="I1871" s="10"/>
      <c r="J1871" s="10"/>
      <c r="K1871" s="10"/>
      <c r="L1871" s="10"/>
      <c r="M1871" s="10"/>
      <c r="N1871" s="10"/>
      <c r="O1871" s="10"/>
    </row>
    <row r="1872">
      <c r="A1872" s="157"/>
      <c r="B1872" s="9"/>
      <c r="C1872" s="10"/>
      <c r="D1872" s="10"/>
      <c r="E1872" s="10"/>
      <c r="F1872" s="10"/>
      <c r="G1872" s="10"/>
      <c r="H1872" s="10"/>
      <c r="I1872" s="10"/>
      <c r="J1872" s="10"/>
      <c r="K1872" s="10"/>
      <c r="L1872" s="10"/>
      <c r="M1872" s="10"/>
      <c r="N1872" s="10"/>
      <c r="O1872" s="10"/>
    </row>
    <row r="1873">
      <c r="A1873" s="157"/>
      <c r="B1873" s="9"/>
      <c r="C1873" s="10"/>
      <c r="D1873" s="10"/>
      <c r="E1873" s="10"/>
      <c r="F1873" s="10"/>
      <c r="G1873" s="10"/>
      <c r="H1873" s="10"/>
      <c r="I1873" s="10"/>
      <c r="J1873" s="10"/>
      <c r="K1873" s="10"/>
      <c r="L1873" s="10"/>
      <c r="M1873" s="10"/>
      <c r="N1873" s="10"/>
      <c r="O1873" s="10"/>
    </row>
    <row r="1874">
      <c r="A1874" s="157"/>
      <c r="B1874" s="9"/>
      <c r="C1874" s="10"/>
      <c r="D1874" s="10"/>
      <c r="E1874" s="10"/>
      <c r="F1874" s="10"/>
      <c r="G1874" s="10"/>
      <c r="H1874" s="10"/>
      <c r="I1874" s="10"/>
      <c r="J1874" s="10"/>
      <c r="K1874" s="10"/>
      <c r="L1874" s="10"/>
      <c r="M1874" s="10"/>
      <c r="N1874" s="10"/>
      <c r="O1874" s="10"/>
    </row>
    <row r="1875">
      <c r="A1875" s="157"/>
      <c r="B1875" s="9"/>
      <c r="C1875" s="10"/>
      <c r="D1875" s="10"/>
      <c r="E1875" s="10"/>
      <c r="F1875" s="10"/>
      <c r="G1875" s="10"/>
      <c r="H1875" s="10"/>
      <c r="I1875" s="10"/>
      <c r="J1875" s="10"/>
      <c r="K1875" s="10"/>
      <c r="L1875" s="10"/>
      <c r="M1875" s="10"/>
      <c r="N1875" s="10"/>
      <c r="O1875" s="10"/>
    </row>
    <row r="1876">
      <c r="A1876" s="157"/>
      <c r="B1876" s="9"/>
      <c r="C1876" s="10"/>
      <c r="D1876" s="10"/>
      <c r="E1876" s="10"/>
      <c r="F1876" s="10"/>
      <c r="G1876" s="10"/>
      <c r="H1876" s="10"/>
      <c r="I1876" s="10"/>
      <c r="J1876" s="10"/>
      <c r="K1876" s="10"/>
      <c r="L1876" s="10"/>
      <c r="M1876" s="10"/>
      <c r="N1876" s="10"/>
      <c r="O1876" s="10"/>
    </row>
    <row r="1877">
      <c r="A1877" s="157"/>
      <c r="B1877" s="9"/>
      <c r="C1877" s="10"/>
      <c r="D1877" s="10"/>
      <c r="E1877" s="10"/>
      <c r="F1877" s="10"/>
      <c r="G1877" s="10"/>
      <c r="H1877" s="10"/>
      <c r="I1877" s="10"/>
      <c r="J1877" s="10"/>
      <c r="K1877" s="10"/>
      <c r="L1877" s="10"/>
      <c r="M1877" s="10"/>
      <c r="N1877" s="10"/>
      <c r="O1877" s="10"/>
    </row>
    <row r="1878">
      <c r="A1878" s="157"/>
      <c r="B1878" s="9"/>
      <c r="C1878" s="10"/>
      <c r="D1878" s="10"/>
      <c r="E1878" s="10"/>
      <c r="F1878" s="10"/>
      <c r="G1878" s="10"/>
      <c r="H1878" s="10"/>
      <c r="I1878" s="10"/>
      <c r="J1878" s="10"/>
      <c r="K1878" s="10"/>
      <c r="L1878" s="10"/>
      <c r="M1878" s="10"/>
      <c r="N1878" s="10"/>
      <c r="O1878" s="10"/>
    </row>
    <row r="1879">
      <c r="A1879" s="157"/>
      <c r="B1879" s="9"/>
      <c r="C1879" s="10"/>
      <c r="D1879" s="10"/>
      <c r="E1879" s="10"/>
      <c r="F1879" s="10"/>
      <c r="G1879" s="10"/>
      <c r="H1879" s="10"/>
      <c r="I1879" s="10"/>
      <c r="J1879" s="10"/>
      <c r="K1879" s="10"/>
      <c r="L1879" s="10"/>
      <c r="M1879" s="10"/>
      <c r="N1879" s="10"/>
      <c r="O1879" s="10"/>
    </row>
    <row r="1880">
      <c r="A1880" s="157"/>
      <c r="B1880" s="9"/>
      <c r="C1880" s="10"/>
      <c r="D1880" s="10"/>
      <c r="E1880" s="10"/>
      <c r="F1880" s="10"/>
      <c r="G1880" s="10"/>
      <c r="H1880" s="10"/>
      <c r="I1880" s="10"/>
      <c r="J1880" s="10"/>
      <c r="K1880" s="10"/>
      <c r="L1880" s="10"/>
      <c r="M1880" s="10"/>
      <c r="N1880" s="10"/>
      <c r="O1880" s="10"/>
    </row>
    <row r="1881">
      <c r="A1881" s="157"/>
      <c r="B1881" s="9"/>
      <c r="C1881" s="10"/>
      <c r="D1881" s="10"/>
      <c r="E1881" s="10"/>
      <c r="F1881" s="10"/>
      <c r="G1881" s="10"/>
      <c r="H1881" s="10"/>
      <c r="I1881" s="10"/>
      <c r="J1881" s="10"/>
      <c r="K1881" s="10"/>
      <c r="L1881" s="10"/>
      <c r="M1881" s="10"/>
      <c r="N1881" s="10"/>
      <c r="O1881" s="10"/>
    </row>
    <row r="1882">
      <c r="A1882" s="157"/>
      <c r="B1882" s="9"/>
      <c r="C1882" s="10"/>
      <c r="D1882" s="10"/>
      <c r="E1882" s="10"/>
      <c r="F1882" s="10"/>
      <c r="G1882" s="10"/>
      <c r="H1882" s="10"/>
      <c r="I1882" s="10"/>
      <c r="J1882" s="10"/>
      <c r="K1882" s="10"/>
      <c r="L1882" s="10"/>
      <c r="M1882" s="10"/>
      <c r="N1882" s="10"/>
      <c r="O1882" s="10"/>
    </row>
    <row r="1883">
      <c r="A1883" s="157"/>
      <c r="B1883" s="9"/>
      <c r="C1883" s="10"/>
      <c r="D1883" s="10"/>
      <c r="E1883" s="10"/>
      <c r="F1883" s="10"/>
      <c r="G1883" s="10"/>
      <c r="H1883" s="10"/>
      <c r="I1883" s="10"/>
      <c r="J1883" s="10"/>
      <c r="K1883" s="10"/>
      <c r="L1883" s="10"/>
      <c r="M1883" s="10"/>
      <c r="N1883" s="10"/>
      <c r="O1883" s="10"/>
    </row>
    <row r="1884">
      <c r="A1884" s="157"/>
      <c r="B1884" s="9"/>
      <c r="C1884" s="10"/>
      <c r="D1884" s="10"/>
      <c r="E1884" s="10"/>
      <c r="F1884" s="10"/>
      <c r="G1884" s="10"/>
      <c r="H1884" s="10"/>
      <c r="I1884" s="10"/>
      <c r="J1884" s="10"/>
      <c r="K1884" s="10"/>
      <c r="L1884" s="10"/>
      <c r="M1884" s="10"/>
      <c r="N1884" s="10"/>
      <c r="O1884" s="10"/>
    </row>
    <row r="1885">
      <c r="A1885" s="157"/>
      <c r="B1885" s="9"/>
      <c r="C1885" s="10"/>
      <c r="D1885" s="10"/>
      <c r="E1885" s="10"/>
      <c r="F1885" s="10"/>
      <c r="G1885" s="10"/>
      <c r="H1885" s="10"/>
      <c r="I1885" s="10"/>
      <c r="J1885" s="10"/>
      <c r="K1885" s="10"/>
      <c r="L1885" s="10"/>
      <c r="M1885" s="10"/>
      <c r="N1885" s="10"/>
      <c r="O1885" s="10"/>
    </row>
    <row r="1886">
      <c r="A1886" s="157"/>
      <c r="B1886" s="9"/>
      <c r="C1886" s="10"/>
      <c r="D1886" s="10"/>
      <c r="E1886" s="10"/>
      <c r="F1886" s="10"/>
      <c r="G1886" s="10"/>
      <c r="H1886" s="10"/>
      <c r="I1886" s="10"/>
      <c r="J1886" s="10"/>
      <c r="K1886" s="10"/>
      <c r="L1886" s="10"/>
      <c r="M1886" s="10"/>
      <c r="N1886" s="10"/>
      <c r="O1886" s="10"/>
    </row>
    <row r="1887">
      <c r="A1887" s="157"/>
      <c r="B1887" s="9"/>
      <c r="C1887" s="10"/>
      <c r="D1887" s="10"/>
      <c r="E1887" s="10"/>
      <c r="F1887" s="10"/>
      <c r="G1887" s="10"/>
      <c r="H1887" s="10"/>
      <c r="I1887" s="10"/>
      <c r="J1887" s="10"/>
      <c r="K1887" s="10"/>
      <c r="L1887" s="10"/>
      <c r="M1887" s="10"/>
      <c r="N1887" s="10"/>
      <c r="O1887" s="10"/>
    </row>
    <row r="1888">
      <c r="A1888" s="157"/>
      <c r="B1888" s="9"/>
      <c r="C1888" s="10"/>
      <c r="D1888" s="10"/>
      <c r="E1888" s="10"/>
      <c r="F1888" s="10"/>
      <c r="G1888" s="10"/>
      <c r="H1888" s="10"/>
      <c r="I1888" s="10"/>
      <c r="J1888" s="10"/>
      <c r="K1888" s="10"/>
      <c r="L1888" s="10"/>
      <c r="M1888" s="10"/>
      <c r="N1888" s="10"/>
      <c r="O1888" s="10"/>
    </row>
    <row r="1889">
      <c r="A1889" s="157"/>
      <c r="B1889" s="9"/>
      <c r="C1889" s="10"/>
      <c r="D1889" s="10"/>
      <c r="E1889" s="10"/>
      <c r="F1889" s="10"/>
      <c r="G1889" s="10"/>
      <c r="H1889" s="10"/>
      <c r="I1889" s="10"/>
      <c r="J1889" s="10"/>
      <c r="K1889" s="10"/>
      <c r="L1889" s="10"/>
      <c r="M1889" s="10"/>
      <c r="N1889" s="10"/>
      <c r="O1889" s="10"/>
    </row>
    <row r="1890">
      <c r="A1890" s="157"/>
      <c r="B1890" s="9"/>
      <c r="C1890" s="10"/>
      <c r="D1890" s="10"/>
      <c r="E1890" s="10"/>
      <c r="F1890" s="10"/>
      <c r="G1890" s="10"/>
      <c r="H1890" s="10"/>
      <c r="I1890" s="10"/>
      <c r="J1890" s="10"/>
      <c r="K1890" s="10"/>
      <c r="L1890" s="10"/>
      <c r="M1890" s="10"/>
      <c r="N1890" s="10"/>
      <c r="O1890" s="10"/>
    </row>
    <row r="1891">
      <c r="A1891" s="157"/>
      <c r="B1891" s="9"/>
      <c r="C1891" s="10"/>
      <c r="D1891" s="10"/>
      <c r="E1891" s="10"/>
      <c r="F1891" s="10"/>
      <c r="G1891" s="10"/>
      <c r="H1891" s="10"/>
      <c r="I1891" s="10"/>
      <c r="J1891" s="10"/>
      <c r="K1891" s="10"/>
      <c r="L1891" s="10"/>
      <c r="M1891" s="10"/>
      <c r="N1891" s="10"/>
      <c r="O1891" s="10"/>
    </row>
    <row r="1892">
      <c r="A1892" s="157"/>
      <c r="B1892" s="9"/>
      <c r="C1892" s="10"/>
      <c r="D1892" s="10"/>
      <c r="E1892" s="10"/>
      <c r="F1892" s="10"/>
      <c r="G1892" s="10"/>
      <c r="H1892" s="10"/>
      <c r="I1892" s="10"/>
      <c r="J1892" s="10"/>
      <c r="K1892" s="10"/>
      <c r="L1892" s="10"/>
      <c r="M1892" s="10"/>
      <c r="N1892" s="10"/>
      <c r="O1892" s="10"/>
    </row>
    <row r="1893">
      <c r="A1893" s="157"/>
      <c r="B1893" s="9"/>
      <c r="C1893" s="10"/>
      <c r="D1893" s="10"/>
      <c r="E1893" s="10"/>
      <c r="F1893" s="10"/>
      <c r="G1893" s="10"/>
      <c r="H1893" s="10"/>
      <c r="I1893" s="10"/>
      <c r="J1893" s="10"/>
      <c r="K1893" s="10"/>
      <c r="L1893" s="10"/>
      <c r="M1893" s="10"/>
      <c r="N1893" s="10"/>
      <c r="O1893" s="10"/>
    </row>
    <row r="1894">
      <c r="A1894" s="157"/>
      <c r="B1894" s="9"/>
      <c r="C1894" s="10"/>
      <c r="D1894" s="10"/>
      <c r="E1894" s="10"/>
      <c r="F1894" s="10"/>
      <c r="G1894" s="10"/>
      <c r="H1894" s="10"/>
      <c r="I1894" s="10"/>
      <c r="J1894" s="10"/>
      <c r="K1894" s="10"/>
      <c r="L1894" s="10"/>
      <c r="M1894" s="10"/>
      <c r="N1894" s="10"/>
      <c r="O1894" s="10"/>
    </row>
    <row r="1895">
      <c r="A1895" s="157"/>
      <c r="B1895" s="9"/>
      <c r="C1895" s="10"/>
      <c r="D1895" s="10"/>
      <c r="E1895" s="10"/>
      <c r="F1895" s="10"/>
      <c r="G1895" s="10"/>
      <c r="H1895" s="10"/>
      <c r="I1895" s="10"/>
      <c r="J1895" s="10"/>
      <c r="K1895" s="10"/>
      <c r="L1895" s="10"/>
      <c r="M1895" s="10"/>
      <c r="N1895" s="10"/>
      <c r="O1895" s="10"/>
    </row>
    <row r="1896">
      <c r="A1896" s="157"/>
      <c r="B1896" s="9"/>
      <c r="C1896" s="10"/>
      <c r="D1896" s="10"/>
      <c r="E1896" s="10"/>
      <c r="F1896" s="10"/>
      <c r="G1896" s="10"/>
      <c r="H1896" s="10"/>
      <c r="I1896" s="10"/>
      <c r="J1896" s="10"/>
      <c r="K1896" s="10"/>
      <c r="L1896" s="10"/>
      <c r="M1896" s="10"/>
      <c r="N1896" s="10"/>
      <c r="O1896" s="10"/>
    </row>
    <row r="1897">
      <c r="A1897" s="157"/>
      <c r="B1897" s="9"/>
      <c r="C1897" s="10"/>
      <c r="D1897" s="10"/>
      <c r="E1897" s="10"/>
      <c r="F1897" s="10"/>
      <c r="G1897" s="10"/>
      <c r="H1897" s="10"/>
      <c r="I1897" s="10"/>
      <c r="J1897" s="10"/>
      <c r="K1897" s="10"/>
      <c r="L1897" s="10"/>
      <c r="M1897" s="10"/>
      <c r="N1897" s="10"/>
      <c r="O1897" s="10"/>
    </row>
    <row r="1898">
      <c r="A1898" s="157"/>
      <c r="B1898" s="9"/>
      <c r="C1898" s="10"/>
      <c r="D1898" s="10"/>
      <c r="E1898" s="10"/>
      <c r="F1898" s="10"/>
      <c r="G1898" s="10"/>
      <c r="H1898" s="10"/>
      <c r="I1898" s="10"/>
      <c r="J1898" s="10"/>
      <c r="K1898" s="10"/>
      <c r="L1898" s="10"/>
      <c r="M1898" s="10"/>
      <c r="N1898" s="10"/>
      <c r="O1898" s="10"/>
    </row>
    <row r="1899">
      <c r="A1899" s="157"/>
      <c r="B1899" s="9"/>
      <c r="C1899" s="10"/>
      <c r="D1899" s="10"/>
      <c r="E1899" s="10"/>
      <c r="F1899" s="10"/>
      <c r="G1899" s="10"/>
      <c r="H1899" s="10"/>
      <c r="I1899" s="10"/>
      <c r="J1899" s="10"/>
      <c r="K1899" s="10"/>
      <c r="L1899" s="10"/>
      <c r="M1899" s="10"/>
      <c r="N1899" s="10"/>
      <c r="O1899" s="10"/>
    </row>
    <row r="1900">
      <c r="A1900" s="157"/>
      <c r="B1900" s="9"/>
      <c r="C1900" s="10"/>
      <c r="D1900" s="10"/>
      <c r="E1900" s="10"/>
      <c r="F1900" s="10"/>
      <c r="G1900" s="10"/>
      <c r="H1900" s="10"/>
      <c r="I1900" s="10"/>
      <c r="J1900" s="10"/>
      <c r="K1900" s="10"/>
      <c r="L1900" s="10"/>
      <c r="M1900" s="10"/>
      <c r="N1900" s="10"/>
      <c r="O1900" s="10"/>
    </row>
    <row r="1901">
      <c r="A1901" s="157"/>
      <c r="B1901" s="9"/>
      <c r="C1901" s="10"/>
      <c r="D1901" s="10"/>
      <c r="E1901" s="10"/>
      <c r="F1901" s="10"/>
      <c r="G1901" s="10"/>
      <c r="H1901" s="10"/>
      <c r="I1901" s="10"/>
      <c r="J1901" s="10"/>
      <c r="K1901" s="10"/>
      <c r="L1901" s="10"/>
      <c r="M1901" s="10"/>
      <c r="N1901" s="10"/>
      <c r="O1901" s="10"/>
    </row>
    <row r="1902">
      <c r="A1902" s="157"/>
      <c r="B1902" s="9"/>
      <c r="C1902" s="10"/>
      <c r="D1902" s="10"/>
      <c r="E1902" s="10"/>
      <c r="F1902" s="10"/>
      <c r="G1902" s="10"/>
      <c r="H1902" s="10"/>
      <c r="I1902" s="10"/>
      <c r="J1902" s="10"/>
      <c r="K1902" s="10"/>
      <c r="L1902" s="10"/>
      <c r="M1902" s="10"/>
      <c r="N1902" s="10"/>
      <c r="O1902" s="10"/>
    </row>
    <row r="1903">
      <c r="A1903" s="157"/>
      <c r="B1903" s="9"/>
      <c r="C1903" s="10"/>
      <c r="D1903" s="10"/>
      <c r="E1903" s="10"/>
      <c r="F1903" s="10"/>
      <c r="G1903" s="10"/>
      <c r="H1903" s="10"/>
      <c r="I1903" s="10"/>
      <c r="J1903" s="10"/>
      <c r="K1903" s="10"/>
      <c r="L1903" s="10"/>
      <c r="M1903" s="10"/>
      <c r="N1903" s="10"/>
      <c r="O1903" s="10"/>
    </row>
    <row r="1904">
      <c r="A1904" s="157"/>
      <c r="B1904" s="9"/>
      <c r="C1904" s="10"/>
      <c r="D1904" s="10"/>
      <c r="E1904" s="10"/>
      <c r="F1904" s="10"/>
      <c r="G1904" s="10"/>
      <c r="H1904" s="10"/>
      <c r="I1904" s="10"/>
      <c r="J1904" s="10"/>
      <c r="K1904" s="10"/>
      <c r="L1904" s="10"/>
      <c r="M1904" s="10"/>
      <c r="N1904" s="10"/>
      <c r="O1904" s="10"/>
    </row>
    <row r="1905">
      <c r="A1905" s="157"/>
      <c r="B1905" s="9"/>
      <c r="C1905" s="10"/>
      <c r="D1905" s="10"/>
      <c r="E1905" s="10"/>
      <c r="F1905" s="10"/>
      <c r="G1905" s="10"/>
      <c r="H1905" s="10"/>
      <c r="I1905" s="10"/>
      <c r="J1905" s="10"/>
      <c r="K1905" s="10"/>
      <c r="L1905" s="10"/>
      <c r="M1905" s="10"/>
      <c r="N1905" s="10"/>
      <c r="O1905" s="10"/>
    </row>
    <row r="1906">
      <c r="A1906" s="157"/>
      <c r="B1906" s="9"/>
      <c r="C1906" s="10"/>
      <c r="D1906" s="10"/>
      <c r="E1906" s="10"/>
      <c r="F1906" s="10"/>
      <c r="G1906" s="10"/>
      <c r="H1906" s="10"/>
      <c r="I1906" s="10"/>
      <c r="J1906" s="10"/>
      <c r="K1906" s="10"/>
      <c r="L1906" s="10"/>
      <c r="M1906" s="10"/>
      <c r="N1906" s="10"/>
      <c r="O1906" s="10"/>
    </row>
    <row r="1907">
      <c r="A1907" s="157"/>
      <c r="B1907" s="9"/>
      <c r="C1907" s="10"/>
      <c r="D1907" s="10"/>
      <c r="E1907" s="10"/>
      <c r="F1907" s="10"/>
      <c r="G1907" s="10"/>
      <c r="H1907" s="10"/>
      <c r="I1907" s="10"/>
      <c r="J1907" s="10"/>
      <c r="K1907" s="10"/>
      <c r="L1907" s="10"/>
      <c r="M1907" s="10"/>
      <c r="N1907" s="10"/>
      <c r="O1907" s="10"/>
    </row>
    <row r="1908">
      <c r="A1908" s="157"/>
      <c r="B1908" s="9"/>
      <c r="C1908" s="10"/>
      <c r="D1908" s="10"/>
      <c r="E1908" s="10"/>
      <c r="F1908" s="10"/>
      <c r="G1908" s="10"/>
      <c r="H1908" s="10"/>
      <c r="I1908" s="10"/>
      <c r="J1908" s="10"/>
      <c r="K1908" s="10"/>
      <c r="L1908" s="10"/>
      <c r="M1908" s="10"/>
      <c r="N1908" s="10"/>
      <c r="O1908" s="10"/>
    </row>
    <row r="1909">
      <c r="A1909" s="157"/>
      <c r="B1909" s="9"/>
      <c r="C1909" s="10"/>
      <c r="D1909" s="10"/>
      <c r="E1909" s="10"/>
      <c r="F1909" s="10"/>
      <c r="G1909" s="10"/>
      <c r="H1909" s="10"/>
      <c r="I1909" s="10"/>
      <c r="J1909" s="10"/>
      <c r="K1909" s="10"/>
      <c r="L1909" s="10"/>
      <c r="M1909" s="10"/>
      <c r="N1909" s="10"/>
      <c r="O1909" s="10"/>
    </row>
    <row r="1910">
      <c r="A1910" s="157"/>
      <c r="B1910" s="9"/>
      <c r="C1910" s="10"/>
      <c r="D1910" s="10"/>
      <c r="E1910" s="10"/>
      <c r="F1910" s="10"/>
      <c r="G1910" s="10"/>
      <c r="H1910" s="10"/>
      <c r="I1910" s="10"/>
      <c r="J1910" s="10"/>
      <c r="K1910" s="10"/>
      <c r="L1910" s="10"/>
      <c r="M1910" s="10"/>
      <c r="N1910" s="10"/>
      <c r="O1910" s="10"/>
    </row>
    <row r="1911">
      <c r="A1911" s="157"/>
      <c r="B1911" s="9"/>
      <c r="C1911" s="10"/>
      <c r="D1911" s="10"/>
      <c r="E1911" s="10"/>
      <c r="F1911" s="10"/>
      <c r="G1911" s="10"/>
      <c r="H1911" s="10"/>
      <c r="I1911" s="10"/>
      <c r="J1911" s="10"/>
      <c r="K1911" s="10"/>
      <c r="L1911" s="10"/>
      <c r="M1911" s="10"/>
      <c r="N1911" s="10"/>
      <c r="O1911" s="10"/>
    </row>
    <row r="1912">
      <c r="A1912" s="157"/>
      <c r="B1912" s="9"/>
      <c r="C1912" s="10"/>
      <c r="D1912" s="10"/>
      <c r="E1912" s="10"/>
      <c r="F1912" s="10"/>
      <c r="G1912" s="10"/>
      <c r="H1912" s="10"/>
      <c r="I1912" s="10"/>
      <c r="J1912" s="10"/>
      <c r="K1912" s="10"/>
      <c r="L1912" s="10"/>
      <c r="M1912" s="10"/>
      <c r="N1912" s="10"/>
      <c r="O1912" s="10"/>
    </row>
    <row r="1913">
      <c r="A1913" s="157"/>
      <c r="B1913" s="9"/>
      <c r="C1913" s="10"/>
      <c r="D1913" s="10"/>
      <c r="E1913" s="10"/>
      <c r="F1913" s="10"/>
      <c r="G1913" s="10"/>
      <c r="H1913" s="10"/>
      <c r="I1913" s="10"/>
      <c r="J1913" s="10"/>
      <c r="K1913" s="10"/>
      <c r="L1913" s="10"/>
      <c r="M1913" s="10"/>
      <c r="N1913" s="10"/>
      <c r="O1913" s="10"/>
    </row>
    <row r="1914">
      <c r="A1914" s="157"/>
      <c r="B1914" s="9"/>
      <c r="C1914" s="10"/>
      <c r="D1914" s="10"/>
      <c r="E1914" s="10"/>
      <c r="F1914" s="10"/>
      <c r="G1914" s="10"/>
      <c r="H1914" s="10"/>
      <c r="I1914" s="10"/>
      <c r="J1914" s="10"/>
      <c r="K1914" s="10"/>
      <c r="L1914" s="10"/>
      <c r="M1914" s="10"/>
      <c r="N1914" s="10"/>
      <c r="O1914" s="10"/>
    </row>
    <row r="1915">
      <c r="A1915" s="157"/>
      <c r="B1915" s="9"/>
      <c r="C1915" s="10"/>
      <c r="D1915" s="10"/>
      <c r="E1915" s="10"/>
      <c r="F1915" s="10"/>
      <c r="G1915" s="10"/>
      <c r="H1915" s="10"/>
      <c r="I1915" s="10"/>
      <c r="J1915" s="10"/>
      <c r="K1915" s="10"/>
      <c r="L1915" s="10"/>
      <c r="M1915" s="10"/>
      <c r="N1915" s="10"/>
      <c r="O1915" s="10"/>
    </row>
    <row r="1916">
      <c r="A1916" s="157"/>
      <c r="B1916" s="9"/>
      <c r="C1916" s="10"/>
      <c r="D1916" s="10"/>
      <c r="E1916" s="10"/>
      <c r="F1916" s="10"/>
      <c r="G1916" s="10"/>
      <c r="H1916" s="10"/>
      <c r="I1916" s="10"/>
      <c r="J1916" s="10"/>
      <c r="K1916" s="10"/>
      <c r="L1916" s="10"/>
      <c r="M1916" s="10"/>
      <c r="N1916" s="10"/>
      <c r="O1916" s="10"/>
    </row>
    <row r="1917">
      <c r="A1917" s="157"/>
      <c r="B1917" s="9"/>
      <c r="C1917" s="10"/>
      <c r="D1917" s="10"/>
      <c r="E1917" s="10"/>
      <c r="F1917" s="10"/>
      <c r="G1917" s="10"/>
      <c r="H1917" s="10"/>
      <c r="I1917" s="10"/>
      <c r="J1917" s="10"/>
      <c r="K1917" s="10"/>
      <c r="L1917" s="10"/>
      <c r="M1917" s="10"/>
      <c r="N1917" s="10"/>
      <c r="O1917" s="10"/>
    </row>
    <row r="1918">
      <c r="A1918" s="157"/>
      <c r="B1918" s="9"/>
      <c r="C1918" s="10"/>
      <c r="D1918" s="10"/>
      <c r="E1918" s="10"/>
      <c r="F1918" s="10"/>
      <c r="G1918" s="10"/>
      <c r="H1918" s="10"/>
      <c r="I1918" s="10"/>
      <c r="J1918" s="10"/>
      <c r="K1918" s="10"/>
      <c r="L1918" s="10"/>
      <c r="M1918" s="10"/>
      <c r="N1918" s="10"/>
      <c r="O1918" s="10"/>
    </row>
    <row r="1919">
      <c r="A1919" s="157"/>
      <c r="B1919" s="9"/>
      <c r="C1919" s="10"/>
      <c r="D1919" s="10"/>
      <c r="E1919" s="10"/>
      <c r="F1919" s="10"/>
      <c r="G1919" s="10"/>
      <c r="H1919" s="10"/>
      <c r="I1919" s="10"/>
      <c r="J1919" s="10"/>
      <c r="K1919" s="10"/>
      <c r="L1919" s="10"/>
      <c r="M1919" s="10"/>
      <c r="N1919" s="10"/>
      <c r="O1919" s="10"/>
    </row>
    <row r="1920">
      <c r="A1920" s="157"/>
      <c r="B1920" s="9"/>
      <c r="C1920" s="10"/>
      <c r="D1920" s="10"/>
      <c r="E1920" s="10"/>
      <c r="F1920" s="10"/>
      <c r="G1920" s="10"/>
      <c r="H1920" s="10"/>
      <c r="I1920" s="10"/>
      <c r="J1920" s="10"/>
      <c r="K1920" s="10"/>
      <c r="L1920" s="10"/>
      <c r="M1920" s="10"/>
      <c r="N1920" s="10"/>
      <c r="O1920" s="10"/>
    </row>
    <row r="1921">
      <c r="A1921" s="157"/>
      <c r="B1921" s="9"/>
      <c r="C1921" s="10"/>
      <c r="D1921" s="10"/>
      <c r="E1921" s="10"/>
      <c r="F1921" s="10"/>
      <c r="G1921" s="10"/>
      <c r="H1921" s="10"/>
      <c r="I1921" s="10"/>
      <c r="J1921" s="10"/>
      <c r="K1921" s="10"/>
      <c r="L1921" s="10"/>
      <c r="M1921" s="10"/>
      <c r="N1921" s="10"/>
      <c r="O1921" s="10"/>
    </row>
    <row r="1922">
      <c r="A1922" s="157"/>
      <c r="B1922" s="9"/>
      <c r="C1922" s="10"/>
      <c r="D1922" s="10"/>
      <c r="E1922" s="10"/>
      <c r="F1922" s="10"/>
      <c r="G1922" s="10"/>
      <c r="H1922" s="10"/>
      <c r="I1922" s="10"/>
      <c r="J1922" s="10"/>
      <c r="K1922" s="10"/>
      <c r="L1922" s="10"/>
      <c r="M1922" s="10"/>
      <c r="N1922" s="10"/>
      <c r="O1922" s="10"/>
    </row>
    <row r="1923">
      <c r="A1923" s="157"/>
      <c r="B1923" s="9"/>
      <c r="C1923" s="10"/>
      <c r="D1923" s="10"/>
      <c r="E1923" s="10"/>
      <c r="F1923" s="10"/>
      <c r="G1923" s="10"/>
      <c r="H1923" s="10"/>
      <c r="I1923" s="10"/>
      <c r="J1923" s="10"/>
      <c r="K1923" s="10"/>
      <c r="L1923" s="10"/>
      <c r="M1923" s="10"/>
      <c r="N1923" s="10"/>
      <c r="O1923" s="10"/>
    </row>
    <row r="1924">
      <c r="A1924" s="157"/>
      <c r="B1924" s="9"/>
      <c r="C1924" s="10"/>
      <c r="D1924" s="10"/>
      <c r="E1924" s="10"/>
      <c r="F1924" s="10"/>
      <c r="G1924" s="10"/>
      <c r="H1924" s="10"/>
      <c r="I1924" s="10"/>
      <c r="J1924" s="10"/>
      <c r="K1924" s="10"/>
      <c r="L1924" s="10"/>
      <c r="M1924" s="10"/>
      <c r="N1924" s="10"/>
      <c r="O1924" s="10"/>
    </row>
    <row r="1925">
      <c r="A1925" s="157"/>
      <c r="B1925" s="9"/>
      <c r="C1925" s="10"/>
      <c r="D1925" s="10"/>
      <c r="E1925" s="10"/>
      <c r="F1925" s="10"/>
      <c r="G1925" s="10"/>
      <c r="H1925" s="10"/>
      <c r="I1925" s="10"/>
      <c r="J1925" s="10"/>
      <c r="K1925" s="10"/>
      <c r="L1925" s="10"/>
      <c r="M1925" s="10"/>
      <c r="N1925" s="10"/>
      <c r="O1925" s="10"/>
    </row>
    <row r="1926">
      <c r="A1926" s="157"/>
      <c r="B1926" s="9"/>
      <c r="C1926" s="10"/>
      <c r="D1926" s="10"/>
      <c r="E1926" s="10"/>
      <c r="F1926" s="10"/>
      <c r="G1926" s="10"/>
      <c r="H1926" s="10"/>
      <c r="I1926" s="10"/>
      <c r="J1926" s="10"/>
      <c r="K1926" s="10"/>
      <c r="L1926" s="10"/>
      <c r="M1926" s="10"/>
      <c r="N1926" s="10"/>
      <c r="O1926" s="10"/>
    </row>
    <row r="1927">
      <c r="A1927" s="157"/>
      <c r="B1927" s="9"/>
      <c r="C1927" s="10"/>
      <c r="D1927" s="10"/>
      <c r="E1927" s="10"/>
      <c r="F1927" s="10"/>
      <c r="G1927" s="10"/>
      <c r="H1927" s="10"/>
      <c r="I1927" s="10"/>
      <c r="J1927" s="10"/>
      <c r="K1927" s="10"/>
      <c r="L1927" s="10"/>
      <c r="M1927" s="10"/>
      <c r="N1927" s="10"/>
      <c r="O1927" s="10"/>
    </row>
    <row r="1928">
      <c r="A1928" s="157"/>
      <c r="B1928" s="9"/>
      <c r="C1928" s="10"/>
      <c r="D1928" s="10"/>
      <c r="E1928" s="10"/>
      <c r="F1928" s="10"/>
      <c r="G1928" s="10"/>
      <c r="H1928" s="10"/>
      <c r="I1928" s="10"/>
      <c r="J1928" s="10"/>
      <c r="K1928" s="10"/>
      <c r="L1928" s="10"/>
      <c r="M1928" s="10"/>
      <c r="N1928" s="10"/>
      <c r="O1928" s="10"/>
    </row>
    <row r="1929">
      <c r="A1929" s="157"/>
      <c r="B1929" s="9"/>
      <c r="C1929" s="10"/>
      <c r="D1929" s="10"/>
      <c r="E1929" s="10"/>
      <c r="F1929" s="10"/>
      <c r="G1929" s="10"/>
      <c r="H1929" s="10"/>
      <c r="I1929" s="10"/>
      <c r="J1929" s="10"/>
      <c r="K1929" s="10"/>
      <c r="L1929" s="10"/>
      <c r="M1929" s="10"/>
      <c r="N1929" s="10"/>
      <c r="O1929" s="10"/>
    </row>
    <row r="1930">
      <c r="A1930" s="157"/>
      <c r="B1930" s="9"/>
      <c r="C1930" s="10"/>
      <c r="D1930" s="10"/>
      <c r="E1930" s="10"/>
      <c r="F1930" s="10"/>
      <c r="G1930" s="10"/>
      <c r="H1930" s="10"/>
      <c r="I1930" s="10"/>
      <c r="J1930" s="10"/>
      <c r="K1930" s="10"/>
      <c r="L1930" s="10"/>
      <c r="M1930" s="10"/>
      <c r="N1930" s="10"/>
      <c r="O1930" s="10"/>
    </row>
    <row r="1931">
      <c r="A1931" s="157"/>
      <c r="B1931" s="9"/>
      <c r="C1931" s="10"/>
      <c r="D1931" s="10"/>
      <c r="E1931" s="10"/>
      <c r="F1931" s="10"/>
      <c r="G1931" s="10"/>
      <c r="H1931" s="10"/>
      <c r="I1931" s="10"/>
      <c r="J1931" s="10"/>
      <c r="K1931" s="10"/>
      <c r="L1931" s="10"/>
      <c r="M1931" s="10"/>
      <c r="N1931" s="10"/>
      <c r="O1931" s="10"/>
    </row>
    <row r="1932">
      <c r="A1932" s="157"/>
      <c r="B1932" s="9"/>
      <c r="C1932" s="10"/>
      <c r="D1932" s="10"/>
      <c r="E1932" s="10"/>
      <c r="F1932" s="10"/>
      <c r="G1932" s="10"/>
      <c r="H1932" s="10"/>
      <c r="I1932" s="10"/>
      <c r="J1932" s="10"/>
      <c r="K1932" s="10"/>
      <c r="L1932" s="10"/>
      <c r="M1932" s="10"/>
      <c r="N1932" s="10"/>
      <c r="O1932" s="10"/>
    </row>
    <row r="1933">
      <c r="A1933" s="157"/>
      <c r="B1933" s="9"/>
      <c r="C1933" s="10"/>
      <c r="D1933" s="10"/>
      <c r="E1933" s="10"/>
      <c r="F1933" s="10"/>
      <c r="G1933" s="10"/>
      <c r="H1933" s="10"/>
      <c r="I1933" s="10"/>
      <c r="J1933" s="10"/>
      <c r="K1933" s="10"/>
      <c r="L1933" s="10"/>
      <c r="M1933" s="10"/>
      <c r="N1933" s="10"/>
      <c r="O1933" s="10"/>
    </row>
    <row r="1934">
      <c r="A1934" s="157"/>
      <c r="B1934" s="9"/>
      <c r="C1934" s="10"/>
      <c r="D1934" s="10"/>
      <c r="E1934" s="10"/>
      <c r="F1934" s="10"/>
      <c r="G1934" s="10"/>
      <c r="H1934" s="10"/>
      <c r="I1934" s="10"/>
      <c r="J1934" s="10"/>
      <c r="K1934" s="10"/>
      <c r="L1934" s="10"/>
      <c r="M1934" s="10"/>
      <c r="N1934" s="10"/>
      <c r="O1934" s="10"/>
    </row>
    <row r="1935">
      <c r="A1935" s="157"/>
      <c r="B1935" s="9"/>
      <c r="C1935" s="10"/>
      <c r="D1935" s="10"/>
      <c r="E1935" s="10"/>
      <c r="F1935" s="10"/>
      <c r="G1935" s="10"/>
      <c r="H1935" s="10"/>
      <c r="I1935" s="10"/>
      <c r="J1935" s="10"/>
      <c r="K1935" s="10"/>
      <c r="L1935" s="10"/>
      <c r="M1935" s="10"/>
      <c r="N1935" s="10"/>
      <c r="O1935" s="10"/>
    </row>
    <row r="1936">
      <c r="A1936" s="157"/>
      <c r="B1936" s="9"/>
      <c r="C1936" s="10"/>
      <c r="D1936" s="10"/>
      <c r="E1936" s="10"/>
      <c r="F1936" s="10"/>
      <c r="G1936" s="10"/>
      <c r="H1936" s="10"/>
      <c r="I1936" s="10"/>
      <c r="J1936" s="10"/>
      <c r="K1936" s="10"/>
      <c r="L1936" s="10"/>
      <c r="M1936" s="10"/>
      <c r="N1936" s="10"/>
      <c r="O1936" s="10"/>
    </row>
    <row r="1937">
      <c r="A1937" s="157"/>
      <c r="B1937" s="9"/>
      <c r="C1937" s="10"/>
      <c r="D1937" s="10"/>
      <c r="E1937" s="10"/>
      <c r="F1937" s="10"/>
      <c r="G1937" s="10"/>
      <c r="H1937" s="10"/>
      <c r="I1937" s="10"/>
      <c r="J1937" s="10"/>
      <c r="K1937" s="10"/>
      <c r="L1937" s="10"/>
      <c r="M1937" s="10"/>
      <c r="N1937" s="10"/>
      <c r="O1937" s="10"/>
    </row>
    <row r="1938">
      <c r="A1938" s="157"/>
      <c r="B1938" s="9"/>
      <c r="C1938" s="10"/>
      <c r="D1938" s="10"/>
      <c r="E1938" s="10"/>
      <c r="F1938" s="10"/>
      <c r="G1938" s="10"/>
      <c r="H1938" s="10"/>
      <c r="I1938" s="10"/>
      <c r="J1938" s="10"/>
      <c r="K1938" s="10"/>
      <c r="L1938" s="10"/>
      <c r="M1938" s="10"/>
      <c r="N1938" s="10"/>
      <c r="O1938" s="10"/>
    </row>
    <row r="1939">
      <c r="A1939" s="157"/>
      <c r="B1939" s="9"/>
      <c r="C1939" s="10"/>
      <c r="D1939" s="10"/>
      <c r="E1939" s="10"/>
      <c r="F1939" s="10"/>
      <c r="G1939" s="10"/>
      <c r="H1939" s="10"/>
      <c r="I1939" s="10"/>
      <c r="J1939" s="10"/>
      <c r="K1939" s="10"/>
      <c r="L1939" s="10"/>
      <c r="M1939" s="10"/>
      <c r="N1939" s="10"/>
      <c r="O1939" s="10"/>
    </row>
    <row r="1940">
      <c r="A1940" s="157"/>
      <c r="B1940" s="9"/>
      <c r="C1940" s="10"/>
      <c r="D1940" s="10"/>
      <c r="E1940" s="10"/>
      <c r="F1940" s="10"/>
      <c r="G1940" s="10"/>
      <c r="H1940" s="10"/>
      <c r="I1940" s="10"/>
      <c r="J1940" s="10"/>
      <c r="K1940" s="10"/>
      <c r="L1940" s="10"/>
      <c r="M1940" s="10"/>
      <c r="N1940" s="10"/>
      <c r="O1940" s="10"/>
    </row>
    <row r="1941">
      <c r="A1941" s="157"/>
      <c r="B1941" s="9"/>
      <c r="C1941" s="10"/>
      <c r="D1941" s="10"/>
      <c r="E1941" s="10"/>
      <c r="F1941" s="10"/>
      <c r="G1941" s="10"/>
      <c r="H1941" s="10"/>
      <c r="I1941" s="10"/>
      <c r="J1941" s="10"/>
      <c r="K1941" s="10"/>
      <c r="L1941" s="10"/>
      <c r="M1941" s="10"/>
      <c r="N1941" s="10"/>
      <c r="O1941" s="10"/>
    </row>
    <row r="1942">
      <c r="A1942" s="157"/>
      <c r="B1942" s="9"/>
      <c r="C1942" s="10"/>
      <c r="D1942" s="10"/>
      <c r="E1942" s="10"/>
      <c r="F1942" s="10"/>
      <c r="G1942" s="10"/>
      <c r="H1942" s="10"/>
      <c r="I1942" s="10"/>
      <c r="J1942" s="10"/>
      <c r="K1942" s="10"/>
      <c r="L1942" s="10"/>
      <c r="M1942" s="10"/>
      <c r="N1942" s="10"/>
      <c r="O1942" s="10"/>
    </row>
    <row r="1943">
      <c r="A1943" s="157"/>
      <c r="B1943" s="9"/>
      <c r="C1943" s="10"/>
      <c r="D1943" s="10"/>
      <c r="E1943" s="10"/>
      <c r="F1943" s="10"/>
      <c r="G1943" s="10"/>
      <c r="H1943" s="10"/>
      <c r="I1943" s="10"/>
      <c r="J1943" s="10"/>
      <c r="K1943" s="10"/>
      <c r="L1943" s="10"/>
      <c r="M1943" s="10"/>
      <c r="N1943" s="10"/>
      <c r="O1943" s="10"/>
    </row>
    <row r="1944">
      <c r="A1944" s="157"/>
      <c r="B1944" s="9"/>
      <c r="C1944" s="10"/>
      <c r="D1944" s="10"/>
      <c r="E1944" s="10"/>
      <c r="F1944" s="10"/>
      <c r="G1944" s="10"/>
      <c r="H1944" s="10"/>
      <c r="I1944" s="10"/>
      <c r="J1944" s="10"/>
      <c r="K1944" s="10"/>
      <c r="L1944" s="10"/>
      <c r="M1944" s="10"/>
      <c r="N1944" s="10"/>
      <c r="O1944" s="10"/>
    </row>
    <row r="1945">
      <c r="A1945" s="157"/>
      <c r="B1945" s="9"/>
      <c r="C1945" s="10"/>
      <c r="D1945" s="10"/>
      <c r="E1945" s="10"/>
      <c r="F1945" s="10"/>
      <c r="G1945" s="10"/>
      <c r="H1945" s="10"/>
      <c r="I1945" s="10"/>
      <c r="J1945" s="10"/>
      <c r="K1945" s="10"/>
      <c r="L1945" s="10"/>
      <c r="M1945" s="10"/>
      <c r="N1945" s="10"/>
      <c r="O1945" s="10"/>
    </row>
    <row r="1946">
      <c r="A1946" s="157"/>
      <c r="B1946" s="9"/>
      <c r="C1946" s="10"/>
      <c r="D1946" s="10"/>
      <c r="E1946" s="10"/>
      <c r="F1946" s="10"/>
      <c r="G1946" s="10"/>
      <c r="H1946" s="10"/>
      <c r="I1946" s="10"/>
      <c r="J1946" s="10"/>
      <c r="K1946" s="10"/>
      <c r="L1946" s="10"/>
      <c r="M1946" s="10"/>
      <c r="N1946" s="10"/>
      <c r="O1946" s="10"/>
    </row>
    <row r="1947">
      <c r="A1947" s="157"/>
      <c r="B1947" s="9"/>
      <c r="C1947" s="10"/>
      <c r="D1947" s="10"/>
      <c r="E1947" s="10"/>
      <c r="F1947" s="10"/>
      <c r="G1947" s="10"/>
      <c r="H1947" s="10"/>
      <c r="I1947" s="10"/>
      <c r="J1947" s="10"/>
      <c r="K1947" s="10"/>
      <c r="L1947" s="10"/>
      <c r="M1947" s="10"/>
      <c r="N1947" s="10"/>
      <c r="O1947" s="10"/>
    </row>
    <row r="1948">
      <c r="A1948" s="157"/>
      <c r="B1948" s="9"/>
      <c r="C1948" s="10"/>
      <c r="D1948" s="10"/>
      <c r="E1948" s="10"/>
      <c r="F1948" s="10"/>
      <c r="G1948" s="10"/>
      <c r="H1948" s="10"/>
      <c r="I1948" s="10"/>
      <c r="J1948" s="10"/>
      <c r="K1948" s="10"/>
      <c r="L1948" s="10"/>
      <c r="M1948" s="10"/>
      <c r="N1948" s="10"/>
      <c r="O1948" s="10"/>
    </row>
    <row r="1949">
      <c r="A1949" s="157"/>
      <c r="B1949" s="9"/>
      <c r="C1949" s="10"/>
      <c r="D1949" s="10"/>
      <c r="E1949" s="10"/>
      <c r="F1949" s="10"/>
      <c r="G1949" s="10"/>
      <c r="H1949" s="10"/>
      <c r="I1949" s="10"/>
      <c r="J1949" s="10"/>
      <c r="K1949" s="10"/>
      <c r="L1949" s="10"/>
      <c r="M1949" s="10"/>
      <c r="N1949" s="10"/>
      <c r="O1949" s="10"/>
    </row>
    <row r="1950">
      <c r="A1950" s="157"/>
      <c r="B1950" s="9"/>
      <c r="C1950" s="10"/>
      <c r="D1950" s="10"/>
      <c r="E1950" s="10"/>
      <c r="F1950" s="10"/>
      <c r="G1950" s="10"/>
      <c r="H1950" s="10"/>
      <c r="I1950" s="10"/>
      <c r="J1950" s="10"/>
      <c r="K1950" s="10"/>
      <c r="L1950" s="10"/>
      <c r="M1950" s="10"/>
      <c r="N1950" s="10"/>
      <c r="O1950" s="10"/>
    </row>
    <row r="1951">
      <c r="A1951" s="157"/>
      <c r="B1951" s="9"/>
      <c r="C1951" s="10"/>
      <c r="D1951" s="10"/>
      <c r="E1951" s="10"/>
      <c r="F1951" s="10"/>
      <c r="G1951" s="10"/>
      <c r="H1951" s="10"/>
      <c r="I1951" s="10"/>
      <c r="J1951" s="10"/>
      <c r="K1951" s="10"/>
      <c r="L1951" s="10"/>
      <c r="M1951" s="10"/>
      <c r="N1951" s="10"/>
      <c r="O1951" s="10"/>
    </row>
    <row r="1952">
      <c r="A1952" s="157"/>
      <c r="B1952" s="9"/>
      <c r="C1952" s="10"/>
      <c r="D1952" s="10"/>
      <c r="E1952" s="10"/>
      <c r="F1952" s="10"/>
      <c r="G1952" s="10"/>
      <c r="H1952" s="10"/>
      <c r="I1952" s="10"/>
      <c r="J1952" s="10"/>
      <c r="K1952" s="10"/>
      <c r="L1952" s="10"/>
      <c r="M1952" s="10"/>
      <c r="N1952" s="10"/>
      <c r="O1952" s="10"/>
    </row>
    <row r="1953">
      <c r="A1953" s="157"/>
      <c r="B1953" s="9"/>
      <c r="C1953" s="10"/>
      <c r="D1953" s="10"/>
      <c r="E1953" s="10"/>
      <c r="F1953" s="10"/>
      <c r="G1953" s="10"/>
      <c r="H1953" s="10"/>
      <c r="I1953" s="10"/>
      <c r="J1953" s="10"/>
      <c r="K1953" s="10"/>
      <c r="L1953" s="10"/>
      <c r="M1953" s="10"/>
      <c r="N1953" s="10"/>
      <c r="O1953" s="10"/>
    </row>
    <row r="1954">
      <c r="A1954" s="157"/>
      <c r="B1954" s="9"/>
      <c r="C1954" s="10"/>
      <c r="D1954" s="10"/>
      <c r="E1954" s="10"/>
      <c r="F1954" s="10"/>
      <c r="G1954" s="10"/>
      <c r="H1954" s="10"/>
      <c r="I1954" s="10"/>
      <c r="J1954" s="10"/>
      <c r="K1954" s="10"/>
      <c r="L1954" s="10"/>
      <c r="M1954" s="10"/>
      <c r="N1954" s="10"/>
      <c r="O1954" s="10"/>
    </row>
    <row r="1955">
      <c r="A1955" s="157"/>
      <c r="B1955" s="9"/>
      <c r="C1955" s="10"/>
      <c r="D1955" s="10"/>
      <c r="E1955" s="10"/>
      <c r="F1955" s="10"/>
      <c r="G1955" s="10"/>
      <c r="H1955" s="10"/>
      <c r="I1955" s="10"/>
      <c r="J1955" s="10"/>
      <c r="K1955" s="10"/>
      <c r="L1955" s="10"/>
      <c r="M1955" s="10"/>
      <c r="N1955" s="10"/>
      <c r="O1955" s="10"/>
    </row>
    <row r="1956">
      <c r="A1956" s="157"/>
      <c r="B1956" s="9"/>
      <c r="C1956" s="10"/>
      <c r="D1956" s="10"/>
      <c r="E1956" s="10"/>
      <c r="F1956" s="10"/>
      <c r="G1956" s="10"/>
      <c r="H1956" s="10"/>
      <c r="I1956" s="10"/>
      <c r="J1956" s="10"/>
      <c r="K1956" s="10"/>
      <c r="L1956" s="10"/>
      <c r="M1956" s="10"/>
      <c r="N1956" s="10"/>
      <c r="O1956" s="10"/>
    </row>
    <row r="1957">
      <c r="A1957" s="157"/>
      <c r="B1957" s="9"/>
      <c r="C1957" s="10"/>
      <c r="D1957" s="10"/>
      <c r="E1957" s="10"/>
      <c r="F1957" s="10"/>
      <c r="G1957" s="10"/>
      <c r="H1957" s="10"/>
      <c r="I1957" s="10"/>
      <c r="J1957" s="10"/>
      <c r="K1957" s="10"/>
      <c r="L1957" s="10"/>
      <c r="M1957" s="10"/>
      <c r="N1957" s="10"/>
      <c r="O1957" s="10"/>
    </row>
    <row r="1958">
      <c r="A1958" s="157"/>
      <c r="B1958" s="9"/>
      <c r="C1958" s="10"/>
      <c r="D1958" s="10"/>
      <c r="E1958" s="10"/>
      <c r="F1958" s="10"/>
      <c r="G1958" s="10"/>
      <c r="H1958" s="10"/>
      <c r="I1958" s="10"/>
      <c r="J1958" s="10"/>
      <c r="K1958" s="10"/>
      <c r="L1958" s="10"/>
      <c r="M1958" s="10"/>
      <c r="N1958" s="10"/>
      <c r="O1958" s="10"/>
    </row>
    <row r="1959">
      <c r="A1959" s="157"/>
      <c r="B1959" s="9"/>
      <c r="C1959" s="10"/>
      <c r="D1959" s="10"/>
      <c r="E1959" s="10"/>
      <c r="F1959" s="10"/>
      <c r="G1959" s="10"/>
      <c r="H1959" s="10"/>
      <c r="I1959" s="10"/>
      <c r="J1959" s="10"/>
      <c r="K1959" s="10"/>
      <c r="L1959" s="10"/>
      <c r="M1959" s="10"/>
      <c r="N1959" s="10"/>
      <c r="O1959" s="10"/>
    </row>
    <row r="1960">
      <c r="A1960" s="157"/>
      <c r="B1960" s="9"/>
      <c r="C1960" s="10"/>
      <c r="D1960" s="10"/>
      <c r="E1960" s="10"/>
      <c r="F1960" s="10"/>
      <c r="G1960" s="10"/>
      <c r="H1960" s="10"/>
      <c r="I1960" s="10"/>
      <c r="J1960" s="10"/>
      <c r="K1960" s="10"/>
      <c r="L1960" s="10"/>
      <c r="M1960" s="10"/>
      <c r="N1960" s="10"/>
      <c r="O1960" s="10"/>
    </row>
    <row r="1961">
      <c r="A1961" s="157"/>
      <c r="B1961" s="9"/>
      <c r="C1961" s="10"/>
      <c r="D1961" s="10"/>
      <c r="E1961" s="10"/>
      <c r="F1961" s="10"/>
      <c r="G1961" s="10"/>
      <c r="H1961" s="10"/>
      <c r="I1961" s="10"/>
      <c r="J1961" s="10"/>
      <c r="K1961" s="10"/>
      <c r="L1961" s="10"/>
      <c r="M1961" s="10"/>
      <c r="N1961" s="10"/>
      <c r="O1961" s="10"/>
    </row>
    <row r="1962">
      <c r="A1962" s="157"/>
      <c r="B1962" s="9"/>
      <c r="C1962" s="10"/>
      <c r="D1962" s="10"/>
      <c r="E1962" s="10"/>
      <c r="F1962" s="10"/>
      <c r="G1962" s="10"/>
      <c r="H1962" s="10"/>
      <c r="I1962" s="10"/>
      <c r="J1962" s="10"/>
      <c r="K1962" s="10"/>
      <c r="L1962" s="10"/>
      <c r="M1962" s="10"/>
      <c r="N1962" s="10"/>
      <c r="O1962" s="10"/>
    </row>
    <row r="1963">
      <c r="A1963" s="157"/>
      <c r="B1963" s="9"/>
      <c r="C1963" s="10"/>
      <c r="D1963" s="10"/>
      <c r="E1963" s="10"/>
      <c r="F1963" s="10"/>
      <c r="G1963" s="10"/>
      <c r="H1963" s="10"/>
      <c r="I1963" s="10"/>
      <c r="J1963" s="10"/>
      <c r="K1963" s="10"/>
      <c r="L1963" s="10"/>
      <c r="M1963" s="10"/>
      <c r="N1963" s="10"/>
      <c r="O1963" s="10"/>
    </row>
    <row r="1964">
      <c r="A1964" s="157"/>
      <c r="B1964" s="9"/>
      <c r="C1964" s="10"/>
      <c r="D1964" s="10"/>
      <c r="E1964" s="10"/>
      <c r="F1964" s="10"/>
      <c r="G1964" s="10"/>
      <c r="H1964" s="10"/>
      <c r="I1964" s="10"/>
      <c r="J1964" s="10"/>
      <c r="K1964" s="10"/>
      <c r="L1964" s="10"/>
      <c r="M1964" s="10"/>
      <c r="N1964" s="10"/>
      <c r="O1964" s="10"/>
    </row>
    <row r="1965">
      <c r="A1965" s="157"/>
      <c r="B1965" s="9"/>
      <c r="C1965" s="10"/>
      <c r="D1965" s="10"/>
      <c r="E1965" s="10"/>
      <c r="F1965" s="10"/>
      <c r="G1965" s="10"/>
      <c r="H1965" s="10"/>
      <c r="I1965" s="10"/>
      <c r="J1965" s="10"/>
      <c r="K1965" s="10"/>
      <c r="L1965" s="10"/>
      <c r="M1965" s="10"/>
      <c r="N1965" s="10"/>
      <c r="O1965" s="10"/>
    </row>
    <row r="1966">
      <c r="A1966" s="157"/>
      <c r="B1966" s="9"/>
      <c r="C1966" s="10"/>
      <c r="D1966" s="10"/>
      <c r="E1966" s="10"/>
      <c r="F1966" s="10"/>
      <c r="G1966" s="10"/>
      <c r="H1966" s="10"/>
      <c r="I1966" s="10"/>
      <c r="J1966" s="10"/>
      <c r="K1966" s="10"/>
      <c r="L1966" s="10"/>
      <c r="M1966" s="10"/>
      <c r="N1966" s="10"/>
      <c r="O1966" s="10"/>
    </row>
    <row r="1967">
      <c r="A1967" s="157"/>
      <c r="B1967" s="9"/>
      <c r="C1967" s="10"/>
      <c r="D1967" s="10"/>
      <c r="E1967" s="10"/>
      <c r="F1967" s="10"/>
      <c r="G1967" s="10"/>
      <c r="H1967" s="10"/>
      <c r="I1967" s="10"/>
      <c r="J1967" s="10"/>
      <c r="K1967" s="10"/>
      <c r="L1967" s="10"/>
      <c r="M1967" s="10"/>
      <c r="N1967" s="10"/>
      <c r="O1967" s="10"/>
    </row>
    <row r="1968">
      <c r="A1968" s="157"/>
      <c r="B1968" s="9"/>
      <c r="C1968" s="10"/>
      <c r="D1968" s="10"/>
      <c r="E1968" s="10"/>
      <c r="F1968" s="10"/>
      <c r="G1968" s="10"/>
      <c r="H1968" s="10"/>
      <c r="I1968" s="10"/>
      <c r="J1968" s="10"/>
      <c r="K1968" s="10"/>
      <c r="L1968" s="10"/>
      <c r="M1968" s="10"/>
      <c r="N1968" s="10"/>
      <c r="O1968" s="10"/>
    </row>
    <row r="1969">
      <c r="A1969" s="157"/>
      <c r="B1969" s="9"/>
      <c r="C1969" s="10"/>
      <c r="D1969" s="10"/>
      <c r="E1969" s="10"/>
      <c r="F1969" s="10"/>
      <c r="G1969" s="10"/>
      <c r="H1969" s="10"/>
      <c r="I1969" s="10"/>
      <c r="J1969" s="10"/>
      <c r="K1969" s="10"/>
      <c r="L1969" s="10"/>
      <c r="M1969" s="10"/>
      <c r="N1969" s="10"/>
      <c r="O1969" s="10"/>
    </row>
    <row r="1970">
      <c r="A1970" s="157"/>
      <c r="B1970" s="9"/>
      <c r="C1970" s="10"/>
      <c r="D1970" s="10"/>
      <c r="E1970" s="10"/>
      <c r="F1970" s="10"/>
      <c r="G1970" s="10"/>
      <c r="H1970" s="10"/>
      <c r="I1970" s="10"/>
      <c r="J1970" s="10"/>
      <c r="K1970" s="10"/>
      <c r="L1970" s="10"/>
      <c r="M1970" s="10"/>
      <c r="N1970" s="10"/>
      <c r="O1970" s="10"/>
    </row>
    <row r="1971">
      <c r="A1971" s="157"/>
      <c r="B1971" s="9"/>
      <c r="C1971" s="10"/>
      <c r="D1971" s="10"/>
      <c r="E1971" s="10"/>
      <c r="F1971" s="10"/>
      <c r="G1971" s="10"/>
      <c r="H1971" s="10"/>
      <c r="I1971" s="10"/>
      <c r="J1971" s="10"/>
      <c r="K1971" s="10"/>
      <c r="L1971" s="10"/>
      <c r="M1971" s="10"/>
      <c r="N1971" s="10"/>
      <c r="O1971" s="10"/>
    </row>
    <row r="1972">
      <c r="A1972" s="157"/>
      <c r="B1972" s="9"/>
      <c r="C1972" s="10"/>
      <c r="D1972" s="10"/>
      <c r="E1972" s="10"/>
      <c r="F1972" s="10"/>
      <c r="G1972" s="10"/>
      <c r="H1972" s="10"/>
      <c r="I1972" s="10"/>
      <c r="J1972" s="10"/>
      <c r="K1972" s="10"/>
      <c r="L1972" s="10"/>
      <c r="M1972" s="10"/>
      <c r="N1972" s="10"/>
      <c r="O1972" s="10"/>
    </row>
    <row r="1973">
      <c r="A1973" s="157"/>
      <c r="B1973" s="9"/>
      <c r="C1973" s="10"/>
      <c r="D1973" s="10"/>
      <c r="E1973" s="10"/>
      <c r="F1973" s="10"/>
      <c r="G1973" s="10"/>
      <c r="H1973" s="10"/>
      <c r="I1973" s="10"/>
      <c r="J1973" s="10"/>
      <c r="K1973" s="10"/>
      <c r="L1973" s="10"/>
      <c r="M1973" s="10"/>
      <c r="N1973" s="10"/>
      <c r="O1973" s="10"/>
    </row>
    <row r="1974">
      <c r="A1974" s="157"/>
      <c r="B1974" s="9"/>
      <c r="C1974" s="10"/>
      <c r="D1974" s="10"/>
      <c r="E1974" s="10"/>
      <c r="F1974" s="10"/>
      <c r="G1974" s="10"/>
      <c r="H1974" s="10"/>
      <c r="I1974" s="10"/>
      <c r="J1974" s="10"/>
      <c r="K1974" s="10"/>
      <c r="L1974" s="10"/>
      <c r="M1974" s="10"/>
      <c r="N1974" s="10"/>
      <c r="O1974" s="10"/>
    </row>
    <row r="1975">
      <c r="A1975" s="157"/>
      <c r="B1975" s="9"/>
      <c r="C1975" s="10"/>
      <c r="D1975" s="10"/>
      <c r="E1975" s="10"/>
      <c r="F1975" s="10"/>
      <c r="G1975" s="10"/>
      <c r="H1975" s="10"/>
      <c r="I1975" s="10"/>
      <c r="J1975" s="10"/>
      <c r="K1975" s="10"/>
      <c r="L1975" s="10"/>
      <c r="M1975" s="10"/>
      <c r="N1975" s="10"/>
      <c r="O1975" s="10"/>
    </row>
    <row r="1976">
      <c r="A1976" s="157"/>
      <c r="B1976" s="9"/>
      <c r="C1976" s="10"/>
      <c r="D1976" s="10"/>
      <c r="E1976" s="10"/>
      <c r="F1976" s="10"/>
      <c r="G1976" s="10"/>
      <c r="H1976" s="10"/>
      <c r="I1976" s="10"/>
      <c r="J1976" s="10"/>
      <c r="K1976" s="10"/>
      <c r="L1976" s="10"/>
      <c r="M1976" s="10"/>
      <c r="N1976" s="10"/>
      <c r="O1976" s="10"/>
    </row>
    <row r="1977">
      <c r="A1977" s="157"/>
      <c r="B1977" s="9"/>
      <c r="C1977" s="10"/>
      <c r="D1977" s="10"/>
      <c r="E1977" s="10"/>
      <c r="F1977" s="10"/>
      <c r="G1977" s="10"/>
      <c r="H1977" s="10"/>
      <c r="I1977" s="10"/>
      <c r="J1977" s="10"/>
      <c r="K1977" s="10"/>
      <c r="L1977" s="10"/>
      <c r="M1977" s="10"/>
      <c r="N1977" s="10"/>
      <c r="O1977" s="10"/>
    </row>
    <row r="1978">
      <c r="A1978" s="157"/>
      <c r="B1978" s="9"/>
      <c r="C1978" s="10"/>
      <c r="D1978" s="10"/>
      <c r="E1978" s="10"/>
      <c r="F1978" s="10"/>
      <c r="G1978" s="10"/>
      <c r="H1978" s="10"/>
      <c r="I1978" s="10"/>
      <c r="J1978" s="10"/>
      <c r="K1978" s="10"/>
      <c r="L1978" s="10"/>
      <c r="M1978" s="10"/>
      <c r="N1978" s="10"/>
      <c r="O1978" s="10"/>
    </row>
    <row r="1979">
      <c r="A1979" s="157"/>
      <c r="B1979" s="9"/>
      <c r="C1979" s="10"/>
      <c r="D1979" s="10"/>
      <c r="E1979" s="10"/>
      <c r="F1979" s="10"/>
      <c r="G1979" s="10"/>
      <c r="H1979" s="10"/>
      <c r="I1979" s="10"/>
      <c r="J1979" s="10"/>
      <c r="K1979" s="10"/>
      <c r="L1979" s="10"/>
      <c r="M1979" s="10"/>
      <c r="N1979" s="10"/>
      <c r="O1979" s="10"/>
    </row>
    <row r="1980">
      <c r="A1980" s="157"/>
      <c r="B1980" s="9"/>
      <c r="C1980" s="10"/>
      <c r="D1980" s="10"/>
      <c r="E1980" s="10"/>
      <c r="F1980" s="10"/>
      <c r="G1980" s="10"/>
      <c r="H1980" s="10"/>
      <c r="I1980" s="10"/>
      <c r="J1980" s="10"/>
      <c r="K1980" s="10"/>
      <c r="L1980" s="10"/>
      <c r="M1980" s="10"/>
      <c r="N1980" s="10"/>
      <c r="O1980" s="10"/>
    </row>
    <row r="1981">
      <c r="A1981" s="157"/>
      <c r="B1981" s="9"/>
      <c r="C1981" s="10"/>
      <c r="D1981" s="10"/>
      <c r="E1981" s="10"/>
      <c r="F1981" s="10"/>
      <c r="G1981" s="10"/>
      <c r="H1981" s="10"/>
      <c r="I1981" s="10"/>
      <c r="J1981" s="10"/>
      <c r="K1981" s="10"/>
      <c r="L1981" s="10"/>
      <c r="M1981" s="10"/>
      <c r="N1981" s="10"/>
      <c r="O1981" s="10"/>
    </row>
    <row r="1982">
      <c r="A1982" s="157"/>
      <c r="B1982" s="9"/>
      <c r="C1982" s="10"/>
      <c r="D1982" s="10"/>
      <c r="E1982" s="10"/>
      <c r="F1982" s="10"/>
      <c r="G1982" s="10"/>
      <c r="H1982" s="10"/>
      <c r="I1982" s="10"/>
      <c r="J1982" s="10"/>
      <c r="K1982" s="10"/>
      <c r="L1982" s="10"/>
      <c r="M1982" s="10"/>
      <c r="N1982" s="10"/>
      <c r="O1982" s="10"/>
    </row>
    <row r="1983">
      <c r="A1983" s="157"/>
      <c r="B1983" s="9"/>
      <c r="C1983" s="10"/>
      <c r="D1983" s="10"/>
      <c r="E1983" s="10"/>
      <c r="F1983" s="10"/>
      <c r="G1983" s="10"/>
      <c r="H1983" s="10"/>
      <c r="I1983" s="10"/>
      <c r="J1983" s="10"/>
      <c r="K1983" s="10"/>
      <c r="L1983" s="10"/>
      <c r="M1983" s="10"/>
      <c r="N1983" s="10"/>
      <c r="O1983" s="10"/>
    </row>
    <row r="1984">
      <c r="A1984" s="157"/>
      <c r="B1984" s="9"/>
      <c r="C1984" s="10"/>
      <c r="D1984" s="10"/>
      <c r="E1984" s="10"/>
      <c r="F1984" s="10"/>
      <c r="G1984" s="10"/>
      <c r="H1984" s="10"/>
      <c r="I1984" s="10"/>
      <c r="J1984" s="10"/>
      <c r="K1984" s="10"/>
      <c r="L1984" s="10"/>
      <c r="M1984" s="10"/>
      <c r="N1984" s="10"/>
      <c r="O1984" s="10"/>
    </row>
    <row r="1985">
      <c r="A1985" s="157"/>
      <c r="B1985" s="9"/>
      <c r="C1985" s="10"/>
      <c r="D1985" s="10"/>
      <c r="E1985" s="10"/>
      <c r="F1985" s="10"/>
      <c r="G1985" s="10"/>
      <c r="H1985" s="10"/>
      <c r="I1985" s="10"/>
      <c r="J1985" s="10"/>
      <c r="K1985" s="10"/>
      <c r="L1985" s="10"/>
      <c r="M1985" s="10"/>
      <c r="N1985" s="10"/>
      <c r="O1985" s="10"/>
    </row>
    <row r="1986">
      <c r="A1986" s="157"/>
      <c r="B1986" s="9"/>
      <c r="C1986" s="10"/>
      <c r="D1986" s="10"/>
      <c r="E1986" s="10"/>
      <c r="F1986" s="10"/>
      <c r="G1986" s="10"/>
      <c r="H1986" s="10"/>
      <c r="I1986" s="10"/>
      <c r="J1986" s="10"/>
      <c r="K1986" s="10"/>
      <c r="L1986" s="10"/>
      <c r="M1986" s="10"/>
      <c r="N1986" s="10"/>
      <c r="O1986" s="10"/>
    </row>
    <row r="1987">
      <c r="A1987" s="157"/>
      <c r="B1987" s="9"/>
      <c r="C1987" s="10"/>
      <c r="D1987" s="10"/>
      <c r="E1987" s="10"/>
      <c r="F1987" s="10"/>
      <c r="G1987" s="10"/>
      <c r="H1987" s="10"/>
      <c r="I1987" s="10"/>
      <c r="J1987" s="10"/>
      <c r="K1987" s="10"/>
      <c r="L1987" s="10"/>
      <c r="M1987" s="10"/>
      <c r="N1987" s="10"/>
      <c r="O1987" s="10"/>
    </row>
    <row r="1988">
      <c r="A1988" s="157"/>
      <c r="B1988" s="9"/>
      <c r="C1988" s="10"/>
      <c r="D1988" s="10"/>
      <c r="E1988" s="10"/>
      <c r="F1988" s="10"/>
      <c r="G1988" s="10"/>
      <c r="H1988" s="10"/>
      <c r="I1988" s="10"/>
      <c r="J1988" s="10"/>
      <c r="K1988" s="10"/>
      <c r="L1988" s="10"/>
      <c r="M1988" s="10"/>
      <c r="N1988" s="10"/>
      <c r="O1988" s="10"/>
    </row>
    <row r="1989">
      <c r="A1989" s="157"/>
      <c r="B1989" s="9"/>
      <c r="C1989" s="10"/>
      <c r="D1989" s="10"/>
      <c r="E1989" s="10"/>
      <c r="F1989" s="10"/>
      <c r="G1989" s="10"/>
      <c r="H1989" s="10"/>
      <c r="I1989" s="10"/>
      <c r="J1989" s="10"/>
      <c r="K1989" s="10"/>
      <c r="L1989" s="10"/>
      <c r="M1989" s="10"/>
      <c r="N1989" s="10"/>
      <c r="O1989" s="10"/>
    </row>
    <row r="1990">
      <c r="A1990" s="157"/>
      <c r="B1990" s="9"/>
      <c r="C1990" s="10"/>
      <c r="D1990" s="10"/>
      <c r="E1990" s="10"/>
      <c r="F1990" s="10"/>
      <c r="G1990" s="10"/>
      <c r="H1990" s="10"/>
      <c r="I1990" s="10"/>
      <c r="J1990" s="10"/>
      <c r="K1990" s="10"/>
      <c r="L1990" s="10"/>
      <c r="M1990" s="10"/>
      <c r="N1990" s="10"/>
      <c r="O1990" s="10"/>
    </row>
    <row r="1991">
      <c r="A1991" s="157"/>
      <c r="B1991" s="9"/>
      <c r="C1991" s="10"/>
      <c r="D1991" s="10"/>
      <c r="E1991" s="10"/>
      <c r="F1991" s="10"/>
      <c r="G1991" s="10"/>
      <c r="H1991" s="10"/>
      <c r="I1991" s="10"/>
      <c r="J1991" s="10"/>
      <c r="K1991" s="10"/>
      <c r="L1991" s="10"/>
      <c r="M1991" s="10"/>
      <c r="N1991" s="10"/>
      <c r="O1991" s="10"/>
    </row>
    <row r="1992">
      <c r="A1992" s="157"/>
      <c r="B1992" s="9"/>
      <c r="C1992" s="10"/>
      <c r="D1992" s="10"/>
      <c r="E1992" s="10"/>
      <c r="F1992" s="10"/>
      <c r="G1992" s="10"/>
      <c r="H1992" s="10"/>
      <c r="I1992" s="10"/>
      <c r="J1992" s="10"/>
      <c r="K1992" s="10"/>
      <c r="L1992" s="10"/>
      <c r="M1992" s="10"/>
      <c r="N1992" s="10"/>
      <c r="O1992" s="10"/>
    </row>
    <row r="1993">
      <c r="A1993" s="157"/>
      <c r="B1993" s="9"/>
      <c r="C1993" s="10"/>
      <c r="D1993" s="10"/>
      <c r="E1993" s="10"/>
      <c r="F1993" s="10"/>
      <c r="G1993" s="10"/>
      <c r="H1993" s="10"/>
      <c r="I1993" s="10"/>
      <c r="J1993" s="10"/>
      <c r="K1993" s="10"/>
      <c r="L1993" s="10"/>
      <c r="M1993" s="10"/>
      <c r="N1993" s="10"/>
      <c r="O1993" s="10"/>
    </row>
    <row r="1994">
      <c r="A1994" s="157"/>
      <c r="B1994" s="9"/>
      <c r="C1994" s="10"/>
      <c r="D1994" s="10"/>
      <c r="E1994" s="10"/>
      <c r="F1994" s="10"/>
      <c r="G1994" s="10"/>
      <c r="H1994" s="10"/>
      <c r="I1994" s="10"/>
      <c r="J1994" s="10"/>
      <c r="K1994" s="10"/>
      <c r="L1994" s="10"/>
      <c r="M1994" s="10"/>
      <c r="N1994" s="10"/>
      <c r="O1994" s="10"/>
    </row>
    <row r="1995">
      <c r="A1995" s="157"/>
      <c r="B1995" s="9"/>
      <c r="C1995" s="10"/>
      <c r="D1995" s="10"/>
      <c r="E1995" s="10"/>
      <c r="F1995" s="10"/>
      <c r="G1995" s="10"/>
      <c r="H1995" s="10"/>
      <c r="I1995" s="10"/>
      <c r="J1995" s="10"/>
      <c r="K1995" s="10"/>
      <c r="L1995" s="10"/>
      <c r="M1995" s="10"/>
      <c r="N1995" s="10"/>
      <c r="O1995" s="10"/>
    </row>
    <row r="1996">
      <c r="A1996" s="157"/>
      <c r="B1996" s="9"/>
      <c r="C1996" s="10"/>
      <c r="D1996" s="10"/>
      <c r="E1996" s="10"/>
      <c r="F1996" s="10"/>
      <c r="G1996" s="10"/>
      <c r="H1996" s="10"/>
      <c r="I1996" s="10"/>
      <c r="J1996" s="10"/>
      <c r="K1996" s="10"/>
      <c r="L1996" s="10"/>
      <c r="M1996" s="10"/>
      <c r="N1996" s="10"/>
      <c r="O1996" s="10"/>
    </row>
    <row r="1997">
      <c r="A1997" s="157"/>
      <c r="B1997" s="9"/>
      <c r="C1997" s="10"/>
      <c r="D1997" s="10"/>
      <c r="E1997" s="10"/>
      <c r="F1997" s="10"/>
      <c r="G1997" s="10"/>
      <c r="H1997" s="10"/>
      <c r="I1997" s="10"/>
      <c r="J1997" s="10"/>
      <c r="K1997" s="10"/>
      <c r="L1997" s="10"/>
      <c r="M1997" s="10"/>
      <c r="N1997" s="10"/>
      <c r="O1997" s="10"/>
    </row>
    <row r="1998">
      <c r="A1998" s="157"/>
      <c r="B1998" s="9"/>
      <c r="C1998" s="10"/>
      <c r="D1998" s="10"/>
      <c r="E1998" s="10"/>
      <c r="F1998" s="10"/>
      <c r="G1998" s="10"/>
      <c r="H1998" s="10"/>
      <c r="I1998" s="10"/>
      <c r="J1998" s="10"/>
      <c r="K1998" s="10"/>
      <c r="L1998" s="10"/>
      <c r="M1998" s="10"/>
      <c r="N1998" s="10"/>
      <c r="O1998" s="10"/>
    </row>
    <row r="1999">
      <c r="A1999" s="157"/>
      <c r="B1999" s="9"/>
      <c r="C1999" s="10"/>
      <c r="D1999" s="10"/>
      <c r="E1999" s="10"/>
      <c r="F1999" s="10"/>
      <c r="G1999" s="10"/>
      <c r="H1999" s="10"/>
      <c r="I1999" s="10"/>
      <c r="J1999" s="10"/>
      <c r="K1999" s="10"/>
      <c r="L1999" s="10"/>
      <c r="M1999" s="10"/>
      <c r="N1999" s="10"/>
      <c r="O1999" s="10"/>
    </row>
    <row r="2000">
      <c r="A2000" s="157"/>
      <c r="B2000" s="9"/>
      <c r="C2000" s="10"/>
      <c r="D2000" s="10"/>
      <c r="E2000" s="10"/>
      <c r="F2000" s="10"/>
      <c r="G2000" s="10"/>
      <c r="H2000" s="10"/>
      <c r="I2000" s="10"/>
      <c r="J2000" s="10"/>
      <c r="K2000" s="10"/>
      <c r="L2000" s="10"/>
      <c r="M2000" s="10"/>
      <c r="N2000" s="10"/>
      <c r="O2000" s="10"/>
    </row>
    <row r="2001">
      <c r="A2001" s="157"/>
      <c r="B2001" s="9"/>
      <c r="C2001" s="10"/>
      <c r="D2001" s="10"/>
      <c r="E2001" s="10"/>
      <c r="F2001" s="10"/>
      <c r="G2001" s="10"/>
      <c r="H2001" s="10"/>
      <c r="I2001" s="10"/>
      <c r="J2001" s="10"/>
      <c r="K2001" s="10"/>
      <c r="L2001" s="10"/>
      <c r="M2001" s="10"/>
      <c r="N2001" s="10"/>
      <c r="O2001" s="10"/>
    </row>
    <row r="2002">
      <c r="A2002" s="157"/>
      <c r="B2002" s="9"/>
      <c r="C2002" s="10"/>
      <c r="D2002" s="10"/>
      <c r="E2002" s="10"/>
      <c r="F2002" s="10"/>
      <c r="G2002" s="10"/>
      <c r="H2002" s="10"/>
      <c r="I2002" s="10"/>
      <c r="J2002" s="10"/>
      <c r="K2002" s="10"/>
      <c r="L2002" s="10"/>
      <c r="M2002" s="10"/>
      <c r="N2002" s="10"/>
      <c r="O2002" s="10"/>
    </row>
    <row r="2003">
      <c r="A2003" s="157"/>
      <c r="B2003" s="9"/>
      <c r="C2003" s="10"/>
      <c r="D2003" s="10"/>
      <c r="E2003" s="10"/>
      <c r="F2003" s="10"/>
      <c r="G2003" s="10"/>
      <c r="H2003" s="10"/>
      <c r="I2003" s="10"/>
      <c r="J2003" s="10"/>
      <c r="K2003" s="10"/>
      <c r="L2003" s="10"/>
      <c r="M2003" s="10"/>
      <c r="N2003" s="10"/>
      <c r="O2003" s="10"/>
    </row>
    <row r="2004">
      <c r="A2004" s="157"/>
      <c r="B2004" s="9"/>
      <c r="C2004" s="10"/>
      <c r="D2004" s="10"/>
      <c r="E2004" s="10"/>
      <c r="F2004" s="10"/>
      <c r="G2004" s="10"/>
      <c r="H2004" s="10"/>
      <c r="I2004" s="10"/>
      <c r="J2004" s="10"/>
      <c r="K2004" s="10"/>
      <c r="L2004" s="10"/>
      <c r="M2004" s="10"/>
      <c r="N2004" s="10"/>
      <c r="O2004" s="10"/>
    </row>
    <row r="2005">
      <c r="A2005" s="157"/>
      <c r="B2005" s="9"/>
      <c r="C2005" s="10"/>
      <c r="D2005" s="10"/>
      <c r="E2005" s="10"/>
      <c r="F2005" s="10"/>
      <c r="G2005" s="10"/>
      <c r="H2005" s="10"/>
      <c r="I2005" s="10"/>
      <c r="J2005" s="10"/>
      <c r="K2005" s="10"/>
      <c r="L2005" s="10"/>
      <c r="M2005" s="10"/>
      <c r="N2005" s="10"/>
      <c r="O2005" s="10"/>
    </row>
    <row r="2006">
      <c r="A2006" s="157"/>
      <c r="B2006" s="9"/>
      <c r="C2006" s="10"/>
      <c r="D2006" s="10"/>
      <c r="E2006" s="10"/>
      <c r="F2006" s="10"/>
      <c r="G2006" s="10"/>
      <c r="H2006" s="10"/>
      <c r="I2006" s="10"/>
      <c r="J2006" s="10"/>
      <c r="K2006" s="10"/>
      <c r="L2006" s="10"/>
      <c r="M2006" s="10"/>
      <c r="N2006" s="10"/>
      <c r="O2006" s="10"/>
    </row>
    <row r="2007">
      <c r="A2007" s="157"/>
      <c r="B2007" s="9"/>
      <c r="C2007" s="10"/>
      <c r="D2007" s="10"/>
      <c r="E2007" s="10"/>
      <c r="F2007" s="10"/>
      <c r="G2007" s="10"/>
      <c r="H2007" s="10"/>
      <c r="I2007" s="10"/>
      <c r="J2007" s="10"/>
      <c r="K2007" s="10"/>
      <c r="L2007" s="10"/>
      <c r="M2007" s="10"/>
      <c r="N2007" s="10"/>
      <c r="O2007" s="10"/>
    </row>
    <row r="2008">
      <c r="A2008" s="157"/>
      <c r="B2008" s="9"/>
      <c r="C2008" s="10"/>
      <c r="D2008" s="10"/>
      <c r="E2008" s="10"/>
      <c r="F2008" s="10"/>
      <c r="G2008" s="10"/>
      <c r="H2008" s="10"/>
      <c r="I2008" s="10"/>
      <c r="J2008" s="10"/>
      <c r="K2008" s="10"/>
      <c r="L2008" s="10"/>
      <c r="M2008" s="10"/>
      <c r="N2008" s="10"/>
      <c r="O2008" s="10"/>
    </row>
    <row r="2009">
      <c r="A2009" s="157"/>
      <c r="B2009" s="9"/>
      <c r="C2009" s="10"/>
      <c r="D2009" s="10"/>
      <c r="E2009" s="10"/>
      <c r="F2009" s="10"/>
      <c r="G2009" s="10"/>
      <c r="H2009" s="10"/>
      <c r="I2009" s="10"/>
      <c r="J2009" s="10"/>
      <c r="K2009" s="10"/>
      <c r="L2009" s="10"/>
      <c r="M2009" s="10"/>
      <c r="N2009" s="10"/>
      <c r="O2009" s="10"/>
    </row>
    <row r="2010">
      <c r="A2010" s="157"/>
      <c r="B2010" s="9"/>
      <c r="C2010" s="10"/>
      <c r="D2010" s="10"/>
      <c r="E2010" s="10"/>
      <c r="F2010" s="10"/>
      <c r="G2010" s="10"/>
      <c r="H2010" s="10"/>
      <c r="I2010" s="10"/>
      <c r="J2010" s="10"/>
      <c r="K2010" s="10"/>
      <c r="L2010" s="10"/>
      <c r="M2010" s="10"/>
      <c r="N2010" s="10"/>
      <c r="O2010" s="10"/>
    </row>
    <row r="2011">
      <c r="A2011" s="157"/>
      <c r="B2011" s="9"/>
      <c r="C2011" s="10"/>
      <c r="D2011" s="10"/>
      <c r="E2011" s="10"/>
      <c r="F2011" s="10"/>
      <c r="G2011" s="10"/>
      <c r="H2011" s="10"/>
      <c r="I2011" s="10"/>
      <c r="J2011" s="10"/>
      <c r="K2011" s="10"/>
      <c r="L2011" s="10"/>
      <c r="M2011" s="10"/>
      <c r="N2011" s="10"/>
      <c r="O2011" s="10"/>
    </row>
    <row r="2012">
      <c r="A2012" s="157"/>
      <c r="B2012" s="9"/>
      <c r="C2012" s="10"/>
      <c r="D2012" s="10"/>
      <c r="E2012" s="10"/>
      <c r="F2012" s="10"/>
      <c r="G2012" s="10"/>
      <c r="H2012" s="10"/>
      <c r="I2012" s="10"/>
      <c r="J2012" s="10"/>
      <c r="K2012" s="10"/>
      <c r="L2012" s="10"/>
      <c r="M2012" s="10"/>
      <c r="N2012" s="10"/>
      <c r="O2012" s="10"/>
    </row>
    <row r="2013">
      <c r="A2013" s="157"/>
      <c r="B2013" s="9"/>
      <c r="C2013" s="10"/>
      <c r="D2013" s="10"/>
      <c r="E2013" s="10"/>
      <c r="F2013" s="10"/>
      <c r="G2013" s="10"/>
      <c r="H2013" s="10"/>
      <c r="I2013" s="10"/>
      <c r="J2013" s="10"/>
      <c r="K2013" s="10"/>
      <c r="L2013" s="10"/>
      <c r="M2013" s="10"/>
      <c r="N2013" s="10"/>
      <c r="O2013" s="10"/>
    </row>
    <row r="2014">
      <c r="A2014" s="157"/>
      <c r="B2014" s="9"/>
      <c r="C2014" s="10"/>
      <c r="D2014" s="10"/>
      <c r="E2014" s="10"/>
      <c r="F2014" s="10"/>
      <c r="G2014" s="10"/>
      <c r="H2014" s="10"/>
      <c r="I2014" s="10"/>
      <c r="J2014" s="10"/>
      <c r="K2014" s="10"/>
      <c r="L2014" s="10"/>
      <c r="M2014" s="10"/>
      <c r="N2014" s="10"/>
      <c r="O2014" s="10"/>
    </row>
    <row r="2015">
      <c r="A2015" s="157"/>
      <c r="B2015" s="9"/>
      <c r="C2015" s="10"/>
      <c r="D2015" s="10"/>
      <c r="E2015" s="10"/>
      <c r="F2015" s="10"/>
      <c r="G2015" s="10"/>
      <c r="H2015" s="10"/>
      <c r="I2015" s="10"/>
      <c r="J2015" s="10"/>
      <c r="K2015" s="10"/>
      <c r="L2015" s="10"/>
      <c r="M2015" s="10"/>
      <c r="N2015" s="10"/>
      <c r="O2015" s="10"/>
    </row>
    <row r="2016">
      <c r="A2016" s="157"/>
      <c r="B2016" s="9"/>
      <c r="C2016" s="10"/>
      <c r="D2016" s="10"/>
      <c r="E2016" s="10"/>
      <c r="F2016" s="10"/>
      <c r="G2016" s="10"/>
      <c r="H2016" s="10"/>
      <c r="I2016" s="10"/>
      <c r="J2016" s="10"/>
      <c r="K2016" s="10"/>
      <c r="L2016" s="10"/>
      <c r="M2016" s="10"/>
      <c r="N2016" s="10"/>
      <c r="O2016" s="10"/>
    </row>
    <row r="2017">
      <c r="A2017" s="157"/>
      <c r="B2017" s="9"/>
      <c r="C2017" s="10"/>
      <c r="D2017" s="10"/>
      <c r="E2017" s="10"/>
      <c r="F2017" s="10"/>
      <c r="G2017" s="10"/>
      <c r="H2017" s="10"/>
      <c r="I2017" s="10"/>
      <c r="J2017" s="10"/>
      <c r="K2017" s="10"/>
      <c r="L2017" s="10"/>
      <c r="M2017" s="10"/>
      <c r="N2017" s="10"/>
      <c r="O2017" s="10"/>
    </row>
    <row r="2018">
      <c r="A2018" s="157"/>
      <c r="B2018" s="9"/>
      <c r="C2018" s="10"/>
      <c r="D2018" s="10"/>
      <c r="E2018" s="10"/>
      <c r="F2018" s="10"/>
      <c r="G2018" s="10"/>
      <c r="H2018" s="10"/>
      <c r="I2018" s="10"/>
      <c r="J2018" s="10"/>
      <c r="K2018" s="10"/>
      <c r="L2018" s="10"/>
      <c r="M2018" s="10"/>
      <c r="N2018" s="10"/>
      <c r="O2018" s="10"/>
    </row>
    <row r="2019">
      <c r="A2019" s="157"/>
      <c r="B2019" s="9"/>
      <c r="C2019" s="10"/>
      <c r="D2019" s="10"/>
      <c r="E2019" s="10"/>
      <c r="F2019" s="10"/>
      <c r="G2019" s="10"/>
      <c r="H2019" s="10"/>
      <c r="I2019" s="10"/>
      <c r="J2019" s="10"/>
      <c r="K2019" s="10"/>
      <c r="L2019" s="10"/>
      <c r="M2019" s="10"/>
      <c r="N2019" s="10"/>
      <c r="O2019" s="10"/>
    </row>
    <row r="2020">
      <c r="A2020" s="157"/>
      <c r="B2020" s="9"/>
      <c r="C2020" s="10"/>
      <c r="D2020" s="10"/>
      <c r="E2020" s="10"/>
      <c r="F2020" s="10"/>
      <c r="G2020" s="10"/>
      <c r="H2020" s="10"/>
      <c r="I2020" s="10"/>
      <c r="J2020" s="10"/>
      <c r="K2020" s="10"/>
      <c r="L2020" s="10"/>
      <c r="M2020" s="10"/>
      <c r="N2020" s="10"/>
      <c r="O2020" s="10"/>
    </row>
    <row r="2021">
      <c r="A2021" s="157"/>
      <c r="B2021" s="9"/>
      <c r="C2021" s="10"/>
      <c r="D2021" s="10"/>
      <c r="E2021" s="10"/>
      <c r="F2021" s="10"/>
      <c r="G2021" s="10"/>
      <c r="H2021" s="10"/>
      <c r="I2021" s="10"/>
      <c r="J2021" s="10"/>
      <c r="K2021" s="10"/>
      <c r="L2021" s="10"/>
      <c r="M2021" s="10"/>
      <c r="N2021" s="10"/>
      <c r="O2021" s="10"/>
    </row>
    <row r="2022">
      <c r="A2022" s="157"/>
      <c r="B2022" s="9"/>
      <c r="C2022" s="10"/>
      <c r="D2022" s="10"/>
      <c r="E2022" s="10"/>
      <c r="F2022" s="10"/>
      <c r="G2022" s="10"/>
      <c r="H2022" s="10"/>
      <c r="I2022" s="10"/>
      <c r="J2022" s="10"/>
      <c r="K2022" s="10"/>
      <c r="L2022" s="10"/>
      <c r="M2022" s="10"/>
      <c r="N2022" s="10"/>
      <c r="O2022" s="10"/>
    </row>
    <row r="2023">
      <c r="A2023" s="157"/>
      <c r="B2023" s="9"/>
      <c r="C2023" s="10"/>
      <c r="D2023" s="10"/>
      <c r="E2023" s="10"/>
      <c r="F2023" s="10"/>
      <c r="G2023" s="10"/>
      <c r="H2023" s="10"/>
      <c r="I2023" s="10"/>
      <c r="J2023" s="10"/>
      <c r="K2023" s="10"/>
      <c r="L2023" s="10"/>
      <c r="M2023" s="10"/>
      <c r="N2023" s="10"/>
      <c r="O2023" s="10"/>
    </row>
    <row r="2024">
      <c r="A2024" s="157"/>
      <c r="B2024" s="9"/>
      <c r="C2024" s="10"/>
      <c r="D2024" s="10"/>
      <c r="E2024" s="10"/>
      <c r="F2024" s="10"/>
      <c r="G2024" s="10"/>
      <c r="H2024" s="10"/>
      <c r="I2024" s="10"/>
      <c r="J2024" s="10"/>
      <c r="K2024" s="10"/>
      <c r="L2024" s="10"/>
      <c r="M2024" s="10"/>
      <c r="N2024" s="10"/>
      <c r="O2024" s="10"/>
    </row>
    <row r="2025">
      <c r="A2025" s="157"/>
      <c r="B2025" s="9"/>
      <c r="C2025" s="10"/>
      <c r="D2025" s="10"/>
      <c r="E2025" s="10"/>
      <c r="F2025" s="10"/>
      <c r="G2025" s="10"/>
      <c r="H2025" s="10"/>
      <c r="I2025" s="10"/>
      <c r="J2025" s="10"/>
      <c r="K2025" s="10"/>
      <c r="L2025" s="10"/>
      <c r="M2025" s="10"/>
      <c r="N2025" s="10"/>
      <c r="O2025" s="10"/>
    </row>
    <row r="2026">
      <c r="A2026" s="157"/>
      <c r="B2026" s="9"/>
      <c r="C2026" s="10"/>
      <c r="D2026" s="10"/>
      <c r="E2026" s="10"/>
      <c r="F2026" s="10"/>
      <c r="G2026" s="10"/>
      <c r="H2026" s="10"/>
      <c r="I2026" s="10"/>
      <c r="J2026" s="10"/>
      <c r="K2026" s="10"/>
      <c r="L2026" s="10"/>
      <c r="M2026" s="10"/>
      <c r="N2026" s="10"/>
      <c r="O2026" s="10"/>
    </row>
    <row r="2027">
      <c r="A2027" s="157"/>
      <c r="B2027" s="9"/>
      <c r="C2027" s="10"/>
      <c r="D2027" s="10"/>
      <c r="E2027" s="10"/>
      <c r="F2027" s="10"/>
      <c r="G2027" s="10"/>
      <c r="H2027" s="10"/>
      <c r="I2027" s="10"/>
      <c r="J2027" s="10"/>
      <c r="K2027" s="10"/>
      <c r="L2027" s="10"/>
      <c r="M2027" s="10"/>
      <c r="N2027" s="10"/>
      <c r="O2027" s="10"/>
    </row>
    <row r="2028">
      <c r="A2028" s="157"/>
      <c r="B2028" s="9"/>
      <c r="C2028" s="10"/>
      <c r="D2028" s="10"/>
      <c r="E2028" s="10"/>
      <c r="F2028" s="10"/>
      <c r="G2028" s="10"/>
      <c r="H2028" s="10"/>
      <c r="I2028" s="10"/>
      <c r="J2028" s="10"/>
      <c r="K2028" s="10"/>
      <c r="L2028" s="10"/>
      <c r="M2028" s="10"/>
      <c r="N2028" s="10"/>
      <c r="O2028" s="10"/>
    </row>
    <row r="2029">
      <c r="A2029" s="157"/>
      <c r="B2029" s="9"/>
      <c r="C2029" s="10"/>
      <c r="D2029" s="10"/>
      <c r="E2029" s="10"/>
      <c r="F2029" s="10"/>
      <c r="G2029" s="10"/>
      <c r="H2029" s="10"/>
      <c r="I2029" s="10"/>
      <c r="J2029" s="10"/>
      <c r="K2029" s="10"/>
      <c r="L2029" s="10"/>
      <c r="M2029" s="10"/>
      <c r="N2029" s="10"/>
      <c r="O2029" s="10"/>
    </row>
    <row r="2030">
      <c r="A2030" s="157"/>
      <c r="B2030" s="9"/>
      <c r="C2030" s="10"/>
      <c r="D2030" s="10"/>
      <c r="E2030" s="10"/>
      <c r="F2030" s="10"/>
      <c r="G2030" s="10"/>
      <c r="H2030" s="10"/>
      <c r="I2030" s="10"/>
      <c r="J2030" s="10"/>
      <c r="K2030" s="10"/>
      <c r="L2030" s="10"/>
      <c r="M2030" s="10"/>
      <c r="N2030" s="10"/>
      <c r="O2030" s="10"/>
    </row>
    <row r="2031">
      <c r="A2031" s="157"/>
      <c r="B2031" s="9"/>
      <c r="C2031" s="10"/>
      <c r="D2031" s="10"/>
      <c r="E2031" s="10"/>
      <c r="F2031" s="10"/>
      <c r="G2031" s="10"/>
      <c r="H2031" s="10"/>
      <c r="I2031" s="10"/>
      <c r="J2031" s="10"/>
      <c r="K2031" s="10"/>
      <c r="L2031" s="10"/>
      <c r="M2031" s="10"/>
      <c r="N2031" s="10"/>
      <c r="O2031" s="10"/>
    </row>
    <row r="2032">
      <c r="A2032" s="157"/>
      <c r="B2032" s="9"/>
      <c r="C2032" s="10"/>
      <c r="D2032" s="10"/>
      <c r="E2032" s="10"/>
      <c r="F2032" s="10"/>
      <c r="G2032" s="10"/>
      <c r="H2032" s="10"/>
      <c r="I2032" s="10"/>
      <c r="J2032" s="10"/>
      <c r="K2032" s="10"/>
      <c r="L2032" s="10"/>
      <c r="M2032" s="10"/>
      <c r="N2032" s="10"/>
      <c r="O2032" s="10"/>
    </row>
    <row r="2033">
      <c r="A2033" s="157"/>
      <c r="B2033" s="9"/>
      <c r="C2033" s="10"/>
      <c r="D2033" s="10"/>
      <c r="E2033" s="10"/>
      <c r="F2033" s="10"/>
      <c r="G2033" s="10"/>
      <c r="H2033" s="10"/>
      <c r="I2033" s="10"/>
      <c r="J2033" s="10"/>
      <c r="K2033" s="10"/>
      <c r="L2033" s="10"/>
      <c r="M2033" s="10"/>
      <c r="N2033" s="10"/>
      <c r="O2033" s="10"/>
    </row>
    <row r="2034">
      <c r="A2034" s="157"/>
      <c r="B2034" s="9"/>
      <c r="C2034" s="10"/>
      <c r="D2034" s="10"/>
      <c r="E2034" s="10"/>
      <c r="F2034" s="10"/>
      <c r="G2034" s="10"/>
      <c r="H2034" s="10"/>
      <c r="I2034" s="10"/>
      <c r="J2034" s="10"/>
      <c r="K2034" s="10"/>
      <c r="L2034" s="10"/>
      <c r="M2034" s="10"/>
      <c r="N2034" s="10"/>
      <c r="O2034" s="10"/>
    </row>
    <row r="2035">
      <c r="A2035" s="157"/>
      <c r="B2035" s="9"/>
      <c r="C2035" s="10"/>
      <c r="D2035" s="10"/>
      <c r="E2035" s="10"/>
      <c r="F2035" s="10"/>
      <c r="G2035" s="10"/>
      <c r="H2035" s="10"/>
      <c r="I2035" s="10"/>
      <c r="J2035" s="10"/>
      <c r="K2035" s="10"/>
      <c r="L2035" s="10"/>
      <c r="M2035" s="10"/>
      <c r="N2035" s="10"/>
      <c r="O2035" s="10"/>
    </row>
    <row r="2036">
      <c r="A2036" s="157"/>
      <c r="B2036" s="9"/>
      <c r="C2036" s="10"/>
      <c r="D2036" s="10"/>
      <c r="E2036" s="10"/>
      <c r="F2036" s="10"/>
      <c r="G2036" s="10"/>
      <c r="H2036" s="10"/>
      <c r="I2036" s="10"/>
      <c r="J2036" s="10"/>
      <c r="K2036" s="10"/>
      <c r="L2036" s="10"/>
      <c r="M2036" s="10"/>
      <c r="N2036" s="10"/>
      <c r="O2036" s="10"/>
    </row>
    <row r="2037">
      <c r="A2037" s="157"/>
      <c r="B2037" s="9"/>
      <c r="C2037" s="10"/>
      <c r="D2037" s="10"/>
      <c r="E2037" s="10"/>
      <c r="F2037" s="10"/>
      <c r="G2037" s="10"/>
      <c r="H2037" s="10"/>
      <c r="I2037" s="10"/>
      <c r="J2037" s="10"/>
      <c r="K2037" s="10"/>
      <c r="L2037" s="10"/>
      <c r="M2037" s="10"/>
      <c r="N2037" s="10"/>
      <c r="O2037" s="10"/>
    </row>
    <row r="2038">
      <c r="A2038" s="157"/>
      <c r="B2038" s="9"/>
      <c r="C2038" s="10"/>
      <c r="D2038" s="10"/>
      <c r="E2038" s="10"/>
      <c r="F2038" s="10"/>
      <c r="G2038" s="10"/>
      <c r="H2038" s="10"/>
      <c r="I2038" s="10"/>
      <c r="J2038" s="10"/>
      <c r="K2038" s="10"/>
      <c r="L2038" s="10"/>
      <c r="M2038" s="10"/>
      <c r="N2038" s="10"/>
      <c r="O2038" s="10"/>
    </row>
    <row r="2039">
      <c r="A2039" s="157"/>
      <c r="B2039" s="9"/>
      <c r="C2039" s="10"/>
      <c r="D2039" s="10"/>
      <c r="E2039" s="10"/>
      <c r="F2039" s="10"/>
      <c r="G2039" s="10"/>
      <c r="H2039" s="10"/>
      <c r="I2039" s="10"/>
      <c r="J2039" s="10"/>
      <c r="K2039" s="10"/>
      <c r="L2039" s="10"/>
      <c r="M2039" s="10"/>
      <c r="N2039" s="10"/>
      <c r="O2039" s="10"/>
    </row>
    <row r="2040">
      <c r="A2040" s="157"/>
      <c r="B2040" s="9"/>
      <c r="C2040" s="10"/>
      <c r="D2040" s="10"/>
      <c r="E2040" s="10"/>
      <c r="F2040" s="10"/>
      <c r="G2040" s="10"/>
      <c r="H2040" s="10"/>
      <c r="I2040" s="10"/>
      <c r="J2040" s="10"/>
      <c r="K2040" s="10"/>
      <c r="L2040" s="10"/>
      <c r="M2040" s="10"/>
      <c r="N2040" s="10"/>
      <c r="O2040" s="10"/>
    </row>
    <row r="2041">
      <c r="A2041" s="157"/>
      <c r="B2041" s="9"/>
      <c r="C2041" s="10"/>
      <c r="D2041" s="10"/>
      <c r="E2041" s="10"/>
      <c r="F2041" s="10"/>
      <c r="G2041" s="10"/>
      <c r="H2041" s="10"/>
      <c r="I2041" s="10"/>
      <c r="J2041" s="10"/>
      <c r="K2041" s="10"/>
      <c r="L2041" s="10"/>
      <c r="M2041" s="10"/>
      <c r="N2041" s="10"/>
      <c r="O2041" s="10"/>
    </row>
    <row r="2042">
      <c r="A2042" s="157"/>
      <c r="B2042" s="9"/>
      <c r="C2042" s="10"/>
      <c r="D2042" s="10"/>
      <c r="E2042" s="10"/>
      <c r="F2042" s="10"/>
      <c r="G2042" s="10"/>
      <c r="H2042" s="10"/>
      <c r="I2042" s="10"/>
      <c r="J2042" s="10"/>
      <c r="K2042" s="10"/>
      <c r="L2042" s="10"/>
      <c r="M2042" s="10"/>
      <c r="N2042" s="10"/>
      <c r="O2042" s="10"/>
    </row>
    <row r="2043">
      <c r="A2043" s="157"/>
      <c r="B2043" s="9"/>
      <c r="C2043" s="10"/>
      <c r="D2043" s="10"/>
      <c r="E2043" s="10"/>
      <c r="F2043" s="10"/>
      <c r="G2043" s="10"/>
      <c r="H2043" s="10"/>
      <c r="I2043" s="10"/>
      <c r="J2043" s="10"/>
      <c r="K2043" s="10"/>
      <c r="L2043" s="10"/>
      <c r="M2043" s="10"/>
      <c r="N2043" s="10"/>
      <c r="O2043" s="10"/>
    </row>
    <row r="2044">
      <c r="A2044" s="157"/>
      <c r="B2044" s="9"/>
      <c r="C2044" s="10"/>
      <c r="D2044" s="10"/>
      <c r="E2044" s="10"/>
      <c r="F2044" s="10"/>
      <c r="G2044" s="10"/>
      <c r="H2044" s="10"/>
      <c r="I2044" s="10"/>
      <c r="J2044" s="10"/>
      <c r="K2044" s="10"/>
      <c r="L2044" s="10"/>
      <c r="M2044" s="10"/>
      <c r="N2044" s="10"/>
      <c r="O2044" s="10"/>
    </row>
    <row r="2045">
      <c r="A2045" s="157"/>
      <c r="B2045" s="9"/>
      <c r="C2045" s="10"/>
      <c r="D2045" s="10"/>
      <c r="E2045" s="10"/>
      <c r="F2045" s="10"/>
      <c r="G2045" s="10"/>
      <c r="H2045" s="10"/>
      <c r="I2045" s="10"/>
      <c r="J2045" s="10"/>
      <c r="K2045" s="10"/>
      <c r="L2045" s="10"/>
      <c r="M2045" s="10"/>
      <c r="N2045" s="10"/>
      <c r="O2045" s="10"/>
    </row>
    <row r="2046">
      <c r="A2046" s="157"/>
      <c r="B2046" s="9"/>
      <c r="C2046" s="10"/>
      <c r="D2046" s="10"/>
      <c r="E2046" s="10"/>
      <c r="F2046" s="10"/>
      <c r="G2046" s="10"/>
      <c r="H2046" s="10"/>
      <c r="I2046" s="10"/>
      <c r="J2046" s="10"/>
      <c r="K2046" s="10"/>
      <c r="L2046" s="10"/>
      <c r="M2046" s="10"/>
      <c r="N2046" s="10"/>
      <c r="O2046" s="10"/>
    </row>
    <row r="2047">
      <c r="A2047" s="157"/>
      <c r="B2047" s="9"/>
      <c r="C2047" s="10"/>
      <c r="D2047" s="10"/>
      <c r="E2047" s="10"/>
      <c r="F2047" s="10"/>
      <c r="G2047" s="10"/>
      <c r="H2047" s="10"/>
      <c r="I2047" s="10"/>
      <c r="J2047" s="10"/>
      <c r="K2047" s="10"/>
      <c r="L2047" s="10"/>
      <c r="M2047" s="10"/>
      <c r="N2047" s="10"/>
      <c r="O2047" s="10"/>
    </row>
    <row r="2048">
      <c r="A2048" s="157"/>
      <c r="B2048" s="9"/>
      <c r="C2048" s="10"/>
      <c r="D2048" s="10"/>
      <c r="E2048" s="10"/>
      <c r="F2048" s="10"/>
      <c r="G2048" s="10"/>
      <c r="H2048" s="10"/>
      <c r="I2048" s="10"/>
      <c r="J2048" s="10"/>
      <c r="K2048" s="10"/>
      <c r="L2048" s="10"/>
      <c r="M2048" s="10"/>
      <c r="N2048" s="10"/>
      <c r="O2048" s="10"/>
    </row>
    <row r="2049">
      <c r="A2049" s="157"/>
      <c r="B2049" s="9"/>
      <c r="C2049" s="10"/>
      <c r="D2049" s="10"/>
      <c r="E2049" s="10"/>
      <c r="F2049" s="10"/>
      <c r="G2049" s="10"/>
      <c r="H2049" s="10"/>
      <c r="I2049" s="10"/>
      <c r="J2049" s="10"/>
      <c r="K2049" s="10"/>
      <c r="L2049" s="10"/>
      <c r="M2049" s="10"/>
      <c r="N2049" s="10"/>
      <c r="O2049" s="10"/>
    </row>
    <row r="2050">
      <c r="A2050" s="157"/>
      <c r="B2050" s="9"/>
      <c r="C2050" s="10"/>
      <c r="D2050" s="10"/>
      <c r="E2050" s="10"/>
      <c r="F2050" s="10"/>
      <c r="G2050" s="10"/>
      <c r="H2050" s="10"/>
      <c r="I2050" s="10"/>
      <c r="J2050" s="10"/>
      <c r="K2050" s="10"/>
      <c r="L2050" s="10"/>
      <c r="M2050" s="10"/>
      <c r="N2050" s="10"/>
      <c r="O2050" s="10"/>
    </row>
    <row r="2051">
      <c r="A2051" s="157"/>
      <c r="B2051" s="9"/>
      <c r="C2051" s="10"/>
      <c r="D2051" s="10"/>
      <c r="E2051" s="10"/>
      <c r="F2051" s="10"/>
      <c r="G2051" s="10"/>
      <c r="H2051" s="10"/>
      <c r="I2051" s="10"/>
      <c r="J2051" s="10"/>
      <c r="K2051" s="10"/>
      <c r="L2051" s="10"/>
      <c r="M2051" s="10"/>
      <c r="N2051" s="10"/>
      <c r="O2051" s="10"/>
    </row>
    <row r="2052">
      <c r="A2052" s="157"/>
      <c r="B2052" s="9"/>
      <c r="C2052" s="10"/>
      <c r="D2052" s="10"/>
      <c r="E2052" s="10"/>
      <c r="F2052" s="10"/>
      <c r="G2052" s="10"/>
      <c r="H2052" s="10"/>
      <c r="I2052" s="10"/>
      <c r="J2052" s="10"/>
      <c r="K2052" s="10"/>
      <c r="L2052" s="10"/>
      <c r="M2052" s="10"/>
      <c r="N2052" s="10"/>
      <c r="O2052" s="10"/>
    </row>
    <row r="2053">
      <c r="A2053" s="157"/>
      <c r="B2053" s="9"/>
      <c r="C2053" s="10"/>
      <c r="D2053" s="10"/>
      <c r="E2053" s="10"/>
      <c r="F2053" s="10"/>
      <c r="G2053" s="10"/>
      <c r="H2053" s="10"/>
      <c r="I2053" s="10"/>
      <c r="J2053" s="10"/>
      <c r="K2053" s="10"/>
      <c r="L2053" s="10"/>
      <c r="M2053" s="10"/>
      <c r="N2053" s="10"/>
      <c r="O2053" s="10"/>
    </row>
    <row r="2054">
      <c r="A2054" s="157"/>
      <c r="B2054" s="9"/>
      <c r="C2054" s="10"/>
      <c r="D2054" s="10"/>
      <c r="E2054" s="10"/>
      <c r="F2054" s="10"/>
      <c r="G2054" s="10"/>
      <c r="H2054" s="10"/>
      <c r="I2054" s="10"/>
      <c r="J2054" s="10"/>
      <c r="K2054" s="10"/>
      <c r="L2054" s="10"/>
      <c r="M2054" s="10"/>
      <c r="N2054" s="10"/>
      <c r="O2054" s="10"/>
    </row>
    <row r="2055">
      <c r="A2055" s="157"/>
      <c r="B2055" s="9"/>
      <c r="C2055" s="10"/>
      <c r="D2055" s="10"/>
      <c r="E2055" s="10"/>
      <c r="F2055" s="10"/>
      <c r="G2055" s="10"/>
      <c r="H2055" s="10"/>
      <c r="I2055" s="10"/>
      <c r="J2055" s="10"/>
      <c r="K2055" s="10"/>
      <c r="L2055" s="10"/>
      <c r="M2055" s="10"/>
      <c r="N2055" s="10"/>
      <c r="O2055" s="10"/>
    </row>
    <row r="2056">
      <c r="A2056" s="157"/>
      <c r="B2056" s="9"/>
      <c r="C2056" s="10"/>
      <c r="D2056" s="10"/>
      <c r="E2056" s="10"/>
      <c r="F2056" s="10"/>
      <c r="G2056" s="10"/>
      <c r="H2056" s="10"/>
      <c r="I2056" s="10"/>
      <c r="J2056" s="10"/>
      <c r="K2056" s="10"/>
      <c r="L2056" s="10"/>
      <c r="M2056" s="10"/>
      <c r="N2056" s="10"/>
      <c r="O2056" s="10"/>
    </row>
    <row r="2057">
      <c r="A2057" s="157"/>
      <c r="B2057" s="9"/>
      <c r="C2057" s="10"/>
      <c r="D2057" s="10"/>
      <c r="E2057" s="10"/>
      <c r="F2057" s="10"/>
      <c r="G2057" s="10"/>
      <c r="H2057" s="10"/>
      <c r="I2057" s="10"/>
      <c r="J2057" s="10"/>
      <c r="K2057" s="10"/>
      <c r="L2057" s="10"/>
      <c r="M2057" s="10"/>
      <c r="N2057" s="10"/>
      <c r="O2057" s="10"/>
    </row>
    <row r="2058">
      <c r="A2058" s="157"/>
      <c r="B2058" s="9"/>
      <c r="C2058" s="10"/>
      <c r="D2058" s="10"/>
      <c r="E2058" s="10"/>
      <c r="F2058" s="10"/>
      <c r="G2058" s="10"/>
      <c r="H2058" s="10"/>
      <c r="I2058" s="10"/>
      <c r="J2058" s="10"/>
      <c r="K2058" s="10"/>
      <c r="L2058" s="10"/>
      <c r="M2058" s="10"/>
      <c r="N2058" s="10"/>
      <c r="O2058" s="10"/>
    </row>
    <row r="2059">
      <c r="A2059" s="157"/>
      <c r="B2059" s="9"/>
      <c r="C2059" s="10"/>
      <c r="D2059" s="10"/>
      <c r="E2059" s="10"/>
      <c r="F2059" s="10"/>
      <c r="G2059" s="10"/>
      <c r="H2059" s="10"/>
      <c r="I2059" s="10"/>
      <c r="J2059" s="10"/>
      <c r="K2059" s="10"/>
      <c r="L2059" s="10"/>
      <c r="M2059" s="10"/>
      <c r="N2059" s="10"/>
      <c r="O2059" s="10"/>
    </row>
    <row r="2060">
      <c r="A2060" s="157"/>
      <c r="B2060" s="9"/>
      <c r="C2060" s="10"/>
      <c r="D2060" s="10"/>
      <c r="E2060" s="10"/>
      <c r="F2060" s="10"/>
      <c r="G2060" s="10"/>
      <c r="H2060" s="10"/>
      <c r="I2060" s="10"/>
      <c r="J2060" s="10"/>
      <c r="K2060" s="10"/>
      <c r="L2060" s="10"/>
      <c r="M2060" s="10"/>
      <c r="N2060" s="10"/>
      <c r="O2060" s="10"/>
    </row>
    <row r="2061">
      <c r="A2061" s="157"/>
      <c r="B2061" s="9"/>
      <c r="C2061" s="10"/>
      <c r="D2061" s="10"/>
      <c r="E2061" s="10"/>
      <c r="F2061" s="10"/>
      <c r="G2061" s="10"/>
      <c r="H2061" s="10"/>
      <c r="I2061" s="10"/>
      <c r="J2061" s="10"/>
      <c r="K2061" s="10"/>
      <c r="L2061" s="10"/>
      <c r="M2061" s="10"/>
      <c r="N2061" s="10"/>
      <c r="O2061" s="10"/>
    </row>
    <row r="2062">
      <c r="A2062" s="157"/>
      <c r="B2062" s="9"/>
      <c r="C2062" s="10"/>
      <c r="D2062" s="10"/>
      <c r="E2062" s="10"/>
      <c r="F2062" s="10"/>
      <c r="G2062" s="10"/>
      <c r="H2062" s="10"/>
      <c r="I2062" s="10"/>
      <c r="J2062" s="10"/>
      <c r="K2062" s="10"/>
      <c r="L2062" s="10"/>
      <c r="M2062" s="10"/>
      <c r="N2062" s="10"/>
      <c r="O2062" s="10"/>
    </row>
    <row r="2063">
      <c r="A2063" s="157"/>
      <c r="B2063" s="9"/>
      <c r="C2063" s="10"/>
      <c r="D2063" s="10"/>
      <c r="E2063" s="10"/>
      <c r="F2063" s="10"/>
      <c r="G2063" s="10"/>
      <c r="H2063" s="10"/>
      <c r="I2063" s="10"/>
      <c r="J2063" s="10"/>
      <c r="K2063" s="10"/>
      <c r="L2063" s="10"/>
      <c r="M2063" s="10"/>
      <c r="N2063" s="10"/>
      <c r="O2063" s="10"/>
    </row>
    <row r="2064">
      <c r="A2064" s="157"/>
      <c r="B2064" s="9"/>
      <c r="C2064" s="10"/>
      <c r="D2064" s="10"/>
      <c r="E2064" s="10"/>
      <c r="F2064" s="10"/>
      <c r="G2064" s="10"/>
      <c r="H2064" s="10"/>
      <c r="I2064" s="10"/>
      <c r="J2064" s="10"/>
      <c r="K2064" s="10"/>
      <c r="L2064" s="10"/>
      <c r="M2064" s="10"/>
      <c r="N2064" s="10"/>
      <c r="O2064" s="10"/>
    </row>
    <row r="2065">
      <c r="A2065" s="157"/>
      <c r="B2065" s="9"/>
      <c r="C2065" s="10"/>
      <c r="D2065" s="10"/>
      <c r="E2065" s="10"/>
      <c r="F2065" s="10"/>
      <c r="G2065" s="10"/>
      <c r="H2065" s="10"/>
      <c r="I2065" s="10"/>
      <c r="J2065" s="10"/>
      <c r="K2065" s="10"/>
      <c r="L2065" s="10"/>
      <c r="M2065" s="10"/>
      <c r="N2065" s="10"/>
      <c r="O2065" s="10"/>
    </row>
    <row r="2066">
      <c r="A2066" s="157"/>
      <c r="B2066" s="9"/>
      <c r="C2066" s="10"/>
      <c r="D2066" s="10"/>
      <c r="E2066" s="10"/>
      <c r="F2066" s="10"/>
      <c r="G2066" s="10"/>
      <c r="H2066" s="10"/>
      <c r="I2066" s="10"/>
      <c r="J2066" s="10"/>
      <c r="K2066" s="10"/>
      <c r="L2066" s="10"/>
      <c r="M2066" s="10"/>
      <c r="N2066" s="10"/>
      <c r="O2066" s="10"/>
    </row>
    <row r="2067">
      <c r="A2067" s="157"/>
      <c r="B2067" s="9"/>
      <c r="C2067" s="10"/>
      <c r="D2067" s="10"/>
      <c r="E2067" s="10"/>
      <c r="F2067" s="10"/>
      <c r="G2067" s="10"/>
      <c r="H2067" s="10"/>
      <c r="I2067" s="10"/>
      <c r="J2067" s="10"/>
      <c r="K2067" s="10"/>
      <c r="L2067" s="10"/>
      <c r="M2067" s="10"/>
      <c r="N2067" s="10"/>
      <c r="O2067" s="10"/>
    </row>
    <row r="2068">
      <c r="A2068" s="157"/>
      <c r="B2068" s="9"/>
      <c r="C2068" s="10"/>
      <c r="D2068" s="10"/>
      <c r="E2068" s="10"/>
      <c r="F2068" s="10"/>
      <c r="G2068" s="10"/>
      <c r="H2068" s="10"/>
      <c r="I2068" s="10"/>
      <c r="J2068" s="10"/>
      <c r="K2068" s="10"/>
      <c r="L2068" s="10"/>
      <c r="M2068" s="10"/>
      <c r="N2068" s="10"/>
      <c r="O2068" s="10"/>
    </row>
    <row r="2069">
      <c r="A2069" s="157"/>
      <c r="B2069" s="9"/>
      <c r="C2069" s="10"/>
      <c r="D2069" s="10"/>
      <c r="E2069" s="10"/>
      <c r="F2069" s="10"/>
      <c r="G2069" s="10"/>
      <c r="H2069" s="10"/>
      <c r="I2069" s="10"/>
      <c r="J2069" s="10"/>
      <c r="K2069" s="10"/>
      <c r="L2069" s="10"/>
      <c r="M2069" s="10"/>
      <c r="N2069" s="10"/>
      <c r="O2069" s="10"/>
    </row>
    <row r="2070">
      <c r="A2070" s="157"/>
      <c r="B2070" s="9"/>
      <c r="C2070" s="10"/>
      <c r="D2070" s="10"/>
      <c r="E2070" s="10"/>
      <c r="F2070" s="10"/>
      <c r="G2070" s="10"/>
      <c r="H2070" s="10"/>
      <c r="I2070" s="10"/>
      <c r="J2070" s="10"/>
      <c r="K2070" s="10"/>
      <c r="L2070" s="10"/>
      <c r="M2070" s="10"/>
      <c r="N2070" s="10"/>
      <c r="O2070" s="10"/>
    </row>
    <row r="2071">
      <c r="A2071" s="157"/>
      <c r="B2071" s="9"/>
      <c r="C2071" s="10"/>
      <c r="D2071" s="10"/>
      <c r="E2071" s="10"/>
      <c r="F2071" s="10"/>
      <c r="G2071" s="10"/>
      <c r="H2071" s="10"/>
      <c r="I2071" s="10"/>
      <c r="J2071" s="10"/>
      <c r="K2071" s="10"/>
      <c r="L2071" s="10"/>
      <c r="M2071" s="10"/>
      <c r="N2071" s="10"/>
      <c r="O2071" s="10"/>
    </row>
    <row r="2072">
      <c r="A2072" s="157"/>
      <c r="B2072" s="9"/>
      <c r="C2072" s="10"/>
      <c r="D2072" s="10"/>
      <c r="E2072" s="10"/>
      <c r="F2072" s="10"/>
      <c r="G2072" s="10"/>
      <c r="H2072" s="10"/>
      <c r="I2072" s="10"/>
      <c r="J2072" s="10"/>
      <c r="K2072" s="10"/>
      <c r="L2072" s="10"/>
      <c r="M2072" s="10"/>
      <c r="N2072" s="10"/>
      <c r="O2072" s="10"/>
    </row>
    <row r="2073">
      <c r="A2073" s="157"/>
      <c r="B2073" s="9"/>
      <c r="C2073" s="10"/>
      <c r="D2073" s="10"/>
      <c r="E2073" s="10"/>
      <c r="F2073" s="10"/>
      <c r="G2073" s="10"/>
      <c r="H2073" s="10"/>
      <c r="I2073" s="10"/>
      <c r="J2073" s="10"/>
      <c r="K2073" s="10"/>
      <c r="L2073" s="10"/>
      <c r="M2073" s="10"/>
      <c r="N2073" s="10"/>
      <c r="O2073" s="10"/>
    </row>
    <row r="2074">
      <c r="A2074" s="157"/>
      <c r="B2074" s="9"/>
      <c r="C2074" s="10"/>
      <c r="D2074" s="10"/>
      <c r="E2074" s="10"/>
      <c r="F2074" s="10"/>
      <c r="G2074" s="10"/>
      <c r="H2074" s="10"/>
      <c r="I2074" s="10"/>
      <c r="J2074" s="10"/>
      <c r="K2074" s="10"/>
      <c r="L2074" s="10"/>
      <c r="M2074" s="10"/>
      <c r="N2074" s="10"/>
      <c r="O2074" s="10"/>
    </row>
    <row r="2075">
      <c r="A2075" s="157"/>
      <c r="B2075" s="9"/>
      <c r="C2075" s="10"/>
      <c r="D2075" s="10"/>
      <c r="E2075" s="10"/>
      <c r="F2075" s="10"/>
      <c r="G2075" s="10"/>
      <c r="H2075" s="10"/>
      <c r="I2075" s="10"/>
      <c r="J2075" s="10"/>
      <c r="K2075" s="10"/>
      <c r="L2075" s="10"/>
      <c r="M2075" s="10"/>
      <c r="N2075" s="10"/>
      <c r="O2075" s="10"/>
    </row>
    <row r="2076">
      <c r="A2076" s="157"/>
      <c r="B2076" s="9"/>
      <c r="C2076" s="10"/>
      <c r="D2076" s="10"/>
      <c r="E2076" s="10"/>
      <c r="F2076" s="10"/>
      <c r="G2076" s="10"/>
      <c r="H2076" s="10"/>
      <c r="I2076" s="10"/>
      <c r="J2076" s="10"/>
      <c r="K2076" s="10"/>
      <c r="L2076" s="10"/>
      <c r="M2076" s="10"/>
      <c r="N2076" s="10"/>
      <c r="O2076" s="10"/>
    </row>
    <row r="2077">
      <c r="A2077" s="157"/>
      <c r="B2077" s="9"/>
      <c r="C2077" s="10"/>
      <c r="D2077" s="10"/>
      <c r="E2077" s="10"/>
      <c r="F2077" s="10"/>
      <c r="G2077" s="10"/>
      <c r="H2077" s="10"/>
      <c r="I2077" s="10"/>
      <c r="J2077" s="10"/>
      <c r="K2077" s="10"/>
      <c r="L2077" s="10"/>
      <c r="M2077" s="10"/>
      <c r="N2077" s="10"/>
      <c r="O2077" s="10"/>
    </row>
    <row r="2078">
      <c r="A2078" s="157"/>
      <c r="B2078" s="9"/>
      <c r="C2078" s="10"/>
      <c r="D2078" s="10"/>
      <c r="E2078" s="10"/>
      <c r="F2078" s="10"/>
      <c r="G2078" s="10"/>
      <c r="H2078" s="10"/>
      <c r="I2078" s="10"/>
      <c r="J2078" s="10"/>
      <c r="K2078" s="10"/>
      <c r="L2078" s="10"/>
      <c r="M2078" s="10"/>
      <c r="N2078" s="10"/>
      <c r="O2078" s="10"/>
    </row>
    <row r="2079">
      <c r="A2079" s="157"/>
      <c r="B2079" s="9"/>
      <c r="C2079" s="10"/>
      <c r="D2079" s="10"/>
      <c r="E2079" s="10"/>
      <c r="F2079" s="10"/>
      <c r="G2079" s="10"/>
      <c r="H2079" s="10"/>
      <c r="I2079" s="10"/>
      <c r="J2079" s="10"/>
      <c r="K2079" s="10"/>
      <c r="L2079" s="10"/>
      <c r="M2079" s="10"/>
      <c r="N2079" s="10"/>
      <c r="O2079" s="10"/>
    </row>
    <row r="2080">
      <c r="A2080" s="157"/>
      <c r="B2080" s="9"/>
      <c r="C2080" s="10"/>
      <c r="D2080" s="10"/>
      <c r="E2080" s="10"/>
      <c r="F2080" s="10"/>
      <c r="G2080" s="10"/>
      <c r="H2080" s="10"/>
      <c r="I2080" s="10"/>
      <c r="J2080" s="10"/>
      <c r="K2080" s="10"/>
      <c r="L2080" s="10"/>
      <c r="M2080" s="10"/>
      <c r="N2080" s="10"/>
      <c r="O2080" s="10"/>
    </row>
    <row r="2081">
      <c r="A2081" s="157"/>
      <c r="B2081" s="9"/>
      <c r="C2081" s="10"/>
      <c r="D2081" s="10"/>
      <c r="E2081" s="10"/>
      <c r="F2081" s="10"/>
      <c r="G2081" s="10"/>
      <c r="H2081" s="10"/>
      <c r="I2081" s="10"/>
      <c r="J2081" s="10"/>
      <c r="K2081" s="10"/>
      <c r="L2081" s="10"/>
      <c r="M2081" s="10"/>
      <c r="N2081" s="10"/>
      <c r="O2081" s="10"/>
    </row>
    <row r="2082">
      <c r="A2082" s="157"/>
      <c r="B2082" s="9"/>
      <c r="C2082" s="10"/>
      <c r="D2082" s="10"/>
      <c r="E2082" s="10"/>
      <c r="F2082" s="10"/>
      <c r="G2082" s="10"/>
      <c r="H2082" s="10"/>
      <c r="I2082" s="10"/>
      <c r="J2082" s="10"/>
      <c r="K2082" s="10"/>
      <c r="L2082" s="10"/>
      <c r="M2082" s="10"/>
      <c r="N2082" s="10"/>
      <c r="O2082" s="10"/>
    </row>
    <row r="2083">
      <c r="A2083" s="157"/>
      <c r="B2083" s="9"/>
      <c r="C2083" s="10"/>
      <c r="D2083" s="10"/>
      <c r="E2083" s="10"/>
      <c r="F2083" s="10"/>
      <c r="G2083" s="10"/>
      <c r="H2083" s="10"/>
      <c r="I2083" s="10"/>
      <c r="J2083" s="10"/>
      <c r="K2083" s="10"/>
      <c r="L2083" s="10"/>
      <c r="M2083" s="10"/>
      <c r="N2083" s="10"/>
      <c r="O2083" s="10"/>
    </row>
    <row r="2084">
      <c r="A2084" s="157"/>
      <c r="B2084" s="9"/>
      <c r="C2084" s="10"/>
      <c r="D2084" s="10"/>
      <c r="E2084" s="10"/>
      <c r="F2084" s="10"/>
      <c r="G2084" s="10"/>
      <c r="H2084" s="10"/>
      <c r="I2084" s="10"/>
      <c r="J2084" s="10"/>
      <c r="K2084" s="10"/>
      <c r="L2084" s="10"/>
      <c r="M2084" s="10"/>
      <c r="N2084" s="10"/>
      <c r="O2084" s="10"/>
    </row>
    <row r="2085">
      <c r="A2085" s="157"/>
      <c r="B2085" s="9"/>
      <c r="C2085" s="10"/>
      <c r="D2085" s="10"/>
      <c r="E2085" s="10"/>
      <c r="F2085" s="10"/>
      <c r="G2085" s="10"/>
      <c r="H2085" s="10"/>
      <c r="I2085" s="10"/>
      <c r="J2085" s="10"/>
      <c r="K2085" s="10"/>
      <c r="L2085" s="10"/>
      <c r="M2085" s="10"/>
      <c r="N2085" s="10"/>
      <c r="O2085" s="10"/>
    </row>
    <row r="2086">
      <c r="A2086" s="157"/>
      <c r="B2086" s="9"/>
      <c r="C2086" s="10"/>
      <c r="D2086" s="10"/>
      <c r="E2086" s="10"/>
      <c r="F2086" s="10"/>
      <c r="G2086" s="10"/>
      <c r="H2086" s="10"/>
      <c r="I2086" s="10"/>
      <c r="J2086" s="10"/>
      <c r="K2086" s="10"/>
      <c r="L2086" s="10"/>
      <c r="M2086" s="10"/>
      <c r="N2086" s="10"/>
      <c r="O2086" s="10"/>
    </row>
    <row r="2087">
      <c r="A2087" s="157"/>
      <c r="B2087" s="9"/>
      <c r="C2087" s="10"/>
      <c r="D2087" s="10"/>
      <c r="E2087" s="10"/>
      <c r="F2087" s="10"/>
      <c r="G2087" s="10"/>
      <c r="H2087" s="10"/>
      <c r="I2087" s="10"/>
      <c r="J2087" s="10"/>
      <c r="K2087" s="10"/>
      <c r="L2087" s="10"/>
      <c r="M2087" s="10"/>
      <c r="N2087" s="10"/>
      <c r="O2087" s="10"/>
    </row>
    <row r="2088">
      <c r="A2088" s="157"/>
      <c r="B2088" s="9"/>
      <c r="C2088" s="10"/>
      <c r="D2088" s="10"/>
      <c r="E2088" s="10"/>
      <c r="F2088" s="10"/>
      <c r="G2088" s="10"/>
      <c r="H2088" s="10"/>
      <c r="I2088" s="10"/>
      <c r="J2088" s="10"/>
      <c r="K2088" s="10"/>
      <c r="L2088" s="10"/>
      <c r="M2088" s="10"/>
      <c r="N2088" s="10"/>
      <c r="O2088" s="10"/>
    </row>
    <row r="2089">
      <c r="A2089" s="157"/>
      <c r="B2089" s="9"/>
      <c r="C2089" s="10"/>
      <c r="D2089" s="10"/>
      <c r="E2089" s="10"/>
      <c r="F2089" s="10"/>
      <c r="G2089" s="10"/>
      <c r="H2089" s="10"/>
      <c r="I2089" s="10"/>
      <c r="J2089" s="10"/>
      <c r="K2089" s="10"/>
      <c r="L2089" s="10"/>
      <c r="M2089" s="10"/>
      <c r="N2089" s="10"/>
      <c r="O2089" s="10"/>
    </row>
    <row r="2090">
      <c r="A2090" s="157"/>
      <c r="B2090" s="9"/>
      <c r="C2090" s="10"/>
      <c r="D2090" s="10"/>
      <c r="E2090" s="10"/>
      <c r="F2090" s="10"/>
      <c r="G2090" s="10"/>
      <c r="H2090" s="10"/>
      <c r="I2090" s="10"/>
      <c r="J2090" s="10"/>
      <c r="K2090" s="10"/>
      <c r="L2090" s="10"/>
      <c r="M2090" s="10"/>
      <c r="N2090" s="10"/>
      <c r="O2090" s="10"/>
    </row>
    <row r="2091">
      <c r="A2091" s="157"/>
      <c r="B2091" s="9"/>
      <c r="C2091" s="10"/>
      <c r="D2091" s="10"/>
      <c r="E2091" s="10"/>
      <c r="F2091" s="10"/>
      <c r="G2091" s="10"/>
      <c r="H2091" s="10"/>
      <c r="I2091" s="10"/>
      <c r="J2091" s="10"/>
      <c r="K2091" s="10"/>
      <c r="L2091" s="10"/>
      <c r="M2091" s="10"/>
      <c r="N2091" s="10"/>
      <c r="O2091" s="10"/>
    </row>
    <row r="2092">
      <c r="A2092" s="157"/>
      <c r="B2092" s="9"/>
      <c r="C2092" s="10"/>
      <c r="D2092" s="10"/>
      <c r="E2092" s="10"/>
      <c r="F2092" s="10"/>
      <c r="G2092" s="10"/>
      <c r="H2092" s="10"/>
      <c r="I2092" s="10"/>
      <c r="J2092" s="10"/>
      <c r="K2092" s="10"/>
      <c r="L2092" s="10"/>
      <c r="M2092" s="10"/>
      <c r="N2092" s="10"/>
      <c r="O2092" s="10"/>
    </row>
    <row r="2093">
      <c r="A2093" s="157"/>
      <c r="B2093" s="9"/>
      <c r="C2093" s="10"/>
      <c r="D2093" s="10"/>
      <c r="E2093" s="10"/>
      <c r="F2093" s="10"/>
      <c r="G2093" s="10"/>
      <c r="H2093" s="10"/>
      <c r="I2093" s="10"/>
      <c r="J2093" s="10"/>
      <c r="K2093" s="10"/>
      <c r="L2093" s="10"/>
      <c r="M2093" s="10"/>
      <c r="N2093" s="10"/>
      <c r="O2093" s="10"/>
    </row>
    <row r="2094">
      <c r="A2094" s="157"/>
      <c r="B2094" s="9"/>
      <c r="C2094" s="10"/>
      <c r="D2094" s="10"/>
      <c r="E2094" s="10"/>
      <c r="F2094" s="10"/>
      <c r="G2094" s="10"/>
      <c r="H2094" s="10"/>
      <c r="I2094" s="10"/>
      <c r="J2094" s="10"/>
      <c r="K2094" s="10"/>
      <c r="L2094" s="10"/>
      <c r="M2094" s="10"/>
      <c r="N2094" s="10"/>
      <c r="O2094" s="10"/>
    </row>
    <row r="2095">
      <c r="A2095" s="157"/>
      <c r="B2095" s="9"/>
      <c r="C2095" s="10"/>
      <c r="D2095" s="10"/>
      <c r="E2095" s="10"/>
      <c r="F2095" s="10"/>
      <c r="G2095" s="10"/>
      <c r="H2095" s="10"/>
      <c r="I2095" s="10"/>
      <c r="J2095" s="10"/>
      <c r="K2095" s="10"/>
      <c r="L2095" s="10"/>
      <c r="M2095" s="10"/>
      <c r="N2095" s="10"/>
      <c r="O2095" s="10"/>
    </row>
    <row r="2096">
      <c r="A2096" s="157"/>
      <c r="B2096" s="9"/>
      <c r="C2096" s="10"/>
      <c r="D2096" s="10"/>
      <c r="E2096" s="10"/>
      <c r="F2096" s="10"/>
      <c r="G2096" s="10"/>
      <c r="H2096" s="10"/>
      <c r="I2096" s="10"/>
      <c r="J2096" s="10"/>
      <c r="K2096" s="10"/>
      <c r="L2096" s="10"/>
      <c r="M2096" s="10"/>
      <c r="N2096" s="10"/>
      <c r="O2096" s="10"/>
    </row>
    <row r="2097">
      <c r="A2097" s="157"/>
      <c r="B2097" s="9"/>
      <c r="C2097" s="10"/>
      <c r="D2097" s="10"/>
      <c r="E2097" s="10"/>
      <c r="F2097" s="10"/>
      <c r="G2097" s="10"/>
      <c r="H2097" s="10"/>
      <c r="I2097" s="10"/>
      <c r="J2097" s="10"/>
      <c r="K2097" s="10"/>
      <c r="L2097" s="10"/>
      <c r="M2097" s="10"/>
      <c r="N2097" s="10"/>
      <c r="O2097" s="10"/>
    </row>
    <row r="2098">
      <c r="A2098" s="157"/>
      <c r="B2098" s="9"/>
      <c r="C2098" s="10"/>
      <c r="D2098" s="10"/>
      <c r="E2098" s="10"/>
      <c r="F2098" s="10"/>
      <c r="G2098" s="10"/>
      <c r="H2098" s="10"/>
      <c r="I2098" s="10"/>
      <c r="J2098" s="10"/>
      <c r="K2098" s="10"/>
      <c r="L2098" s="10"/>
      <c r="M2098" s="10"/>
      <c r="N2098" s="10"/>
      <c r="O2098" s="10"/>
    </row>
    <row r="2099">
      <c r="A2099" s="157"/>
      <c r="B2099" s="9"/>
      <c r="C2099" s="10"/>
      <c r="D2099" s="10"/>
      <c r="E2099" s="10"/>
      <c r="F2099" s="10"/>
      <c r="G2099" s="10"/>
      <c r="H2099" s="10"/>
      <c r="I2099" s="10"/>
      <c r="J2099" s="10"/>
      <c r="K2099" s="10"/>
      <c r="L2099" s="10"/>
      <c r="M2099" s="10"/>
      <c r="N2099" s="10"/>
      <c r="O2099" s="10"/>
    </row>
    <row r="2100">
      <c r="A2100" s="157"/>
      <c r="B2100" s="9"/>
      <c r="C2100" s="10"/>
      <c r="D2100" s="10"/>
      <c r="E2100" s="10"/>
      <c r="F2100" s="10"/>
      <c r="G2100" s="10"/>
      <c r="H2100" s="10"/>
      <c r="I2100" s="10"/>
      <c r="J2100" s="10"/>
      <c r="K2100" s="10"/>
      <c r="L2100" s="10"/>
      <c r="M2100" s="10"/>
      <c r="N2100" s="10"/>
      <c r="O2100" s="10"/>
    </row>
    <row r="2101">
      <c r="A2101" s="157"/>
      <c r="B2101" s="9"/>
      <c r="C2101" s="10"/>
      <c r="D2101" s="10"/>
      <c r="E2101" s="10"/>
      <c r="F2101" s="10"/>
      <c r="G2101" s="10"/>
      <c r="H2101" s="10"/>
      <c r="I2101" s="10"/>
      <c r="J2101" s="10"/>
      <c r="K2101" s="10"/>
      <c r="L2101" s="10"/>
      <c r="M2101" s="10"/>
      <c r="N2101" s="10"/>
      <c r="O2101" s="10"/>
    </row>
    <row r="2102">
      <c r="A2102" s="157"/>
      <c r="B2102" s="9"/>
      <c r="C2102" s="10"/>
      <c r="D2102" s="10"/>
      <c r="E2102" s="10"/>
      <c r="F2102" s="10"/>
      <c r="G2102" s="10"/>
      <c r="H2102" s="10"/>
      <c r="I2102" s="10"/>
      <c r="J2102" s="10"/>
      <c r="K2102" s="10"/>
      <c r="L2102" s="10"/>
      <c r="M2102" s="10"/>
      <c r="N2102" s="10"/>
      <c r="O2102" s="10"/>
    </row>
    <row r="2103">
      <c r="A2103" s="157"/>
      <c r="B2103" s="9"/>
      <c r="C2103" s="10"/>
      <c r="D2103" s="10"/>
      <c r="E2103" s="10"/>
      <c r="F2103" s="10"/>
      <c r="G2103" s="10"/>
      <c r="H2103" s="10"/>
      <c r="I2103" s="10"/>
      <c r="J2103" s="10"/>
      <c r="K2103" s="10"/>
      <c r="L2103" s="10"/>
      <c r="M2103" s="10"/>
      <c r="N2103" s="10"/>
      <c r="O2103" s="10"/>
    </row>
    <row r="2104">
      <c r="A2104" s="157"/>
      <c r="B2104" s="9"/>
      <c r="C2104" s="10"/>
      <c r="D2104" s="10"/>
      <c r="E2104" s="10"/>
      <c r="F2104" s="10"/>
      <c r="G2104" s="10"/>
      <c r="H2104" s="10"/>
      <c r="I2104" s="10"/>
      <c r="J2104" s="10"/>
      <c r="K2104" s="10"/>
      <c r="L2104" s="10"/>
      <c r="M2104" s="10"/>
      <c r="N2104" s="10"/>
      <c r="O2104" s="10"/>
    </row>
    <row r="2105">
      <c r="A2105" s="157"/>
      <c r="B2105" s="9"/>
      <c r="C2105" s="10"/>
      <c r="D2105" s="10"/>
      <c r="E2105" s="10"/>
      <c r="F2105" s="10"/>
      <c r="G2105" s="10"/>
      <c r="H2105" s="10"/>
      <c r="I2105" s="10"/>
      <c r="J2105" s="10"/>
      <c r="K2105" s="10"/>
      <c r="L2105" s="10"/>
      <c r="M2105" s="10"/>
      <c r="N2105" s="10"/>
      <c r="O2105" s="10"/>
    </row>
    <row r="2106">
      <c r="A2106" s="157"/>
      <c r="B2106" s="9"/>
      <c r="C2106" s="10"/>
      <c r="D2106" s="10"/>
      <c r="E2106" s="10"/>
      <c r="F2106" s="10"/>
      <c r="G2106" s="10"/>
      <c r="H2106" s="10"/>
      <c r="I2106" s="10"/>
      <c r="J2106" s="10"/>
      <c r="K2106" s="10"/>
      <c r="L2106" s="10"/>
      <c r="M2106" s="10"/>
      <c r="N2106" s="10"/>
      <c r="O2106" s="10"/>
    </row>
    <row r="2107">
      <c r="A2107" s="157"/>
      <c r="B2107" s="9"/>
      <c r="C2107" s="10"/>
      <c r="D2107" s="10"/>
      <c r="E2107" s="10"/>
      <c r="F2107" s="10"/>
      <c r="G2107" s="10"/>
      <c r="H2107" s="10"/>
      <c r="I2107" s="10"/>
      <c r="J2107" s="10"/>
      <c r="K2107" s="10"/>
      <c r="L2107" s="10"/>
      <c r="M2107" s="10"/>
      <c r="N2107" s="10"/>
      <c r="O2107" s="10"/>
    </row>
    <row r="2108">
      <c r="A2108" s="157"/>
      <c r="B2108" s="9"/>
      <c r="C2108" s="10"/>
      <c r="D2108" s="10"/>
      <c r="E2108" s="10"/>
      <c r="F2108" s="10"/>
      <c r="G2108" s="10"/>
      <c r="H2108" s="10"/>
      <c r="I2108" s="10"/>
      <c r="J2108" s="10"/>
      <c r="K2108" s="10"/>
      <c r="L2108" s="10"/>
      <c r="M2108" s="10"/>
      <c r="N2108" s="10"/>
      <c r="O2108" s="10"/>
    </row>
    <row r="2109">
      <c r="A2109" s="157"/>
      <c r="B2109" s="9"/>
      <c r="C2109" s="10"/>
      <c r="D2109" s="10"/>
      <c r="E2109" s="10"/>
      <c r="F2109" s="10"/>
      <c r="G2109" s="10"/>
      <c r="H2109" s="10"/>
      <c r="I2109" s="10"/>
      <c r="J2109" s="10"/>
      <c r="K2109" s="10"/>
      <c r="L2109" s="10"/>
      <c r="M2109" s="10"/>
      <c r="N2109" s="10"/>
      <c r="O2109" s="10"/>
    </row>
    <row r="2110">
      <c r="A2110" s="157"/>
      <c r="B2110" s="9"/>
      <c r="C2110" s="10"/>
      <c r="D2110" s="10"/>
      <c r="E2110" s="10"/>
      <c r="F2110" s="10"/>
      <c r="G2110" s="10"/>
      <c r="H2110" s="10"/>
      <c r="I2110" s="10"/>
      <c r="J2110" s="10"/>
      <c r="K2110" s="10"/>
      <c r="L2110" s="10"/>
      <c r="M2110" s="10"/>
      <c r="N2110" s="10"/>
      <c r="O2110" s="10"/>
    </row>
    <row r="2111">
      <c r="A2111" s="157"/>
      <c r="B2111" s="9"/>
      <c r="C2111" s="10"/>
      <c r="D2111" s="10"/>
      <c r="E2111" s="10"/>
      <c r="F2111" s="10"/>
      <c r="G2111" s="10"/>
      <c r="H2111" s="10"/>
      <c r="I2111" s="10"/>
      <c r="J2111" s="10"/>
      <c r="K2111" s="10"/>
      <c r="L2111" s="10"/>
      <c r="M2111" s="10"/>
      <c r="N2111" s="10"/>
      <c r="O2111" s="10"/>
    </row>
    <row r="2112">
      <c r="A2112" s="157"/>
      <c r="B2112" s="9"/>
      <c r="C2112" s="10"/>
      <c r="D2112" s="10"/>
      <c r="E2112" s="10"/>
      <c r="F2112" s="10"/>
      <c r="G2112" s="10"/>
      <c r="H2112" s="10"/>
      <c r="I2112" s="10"/>
      <c r="J2112" s="10"/>
      <c r="K2112" s="10"/>
      <c r="L2112" s="10"/>
      <c r="M2112" s="10"/>
      <c r="N2112" s="10"/>
      <c r="O2112" s="10"/>
    </row>
    <row r="2113">
      <c r="A2113" s="157"/>
      <c r="B2113" s="9"/>
      <c r="C2113" s="10"/>
      <c r="D2113" s="10"/>
      <c r="E2113" s="10"/>
      <c r="F2113" s="10"/>
      <c r="G2113" s="10"/>
      <c r="H2113" s="10"/>
      <c r="I2113" s="10"/>
      <c r="J2113" s="10"/>
      <c r="K2113" s="10"/>
      <c r="L2113" s="10"/>
      <c r="M2113" s="10"/>
      <c r="N2113" s="10"/>
      <c r="O2113" s="10"/>
    </row>
    <row r="2114">
      <c r="A2114" s="157"/>
      <c r="B2114" s="9"/>
      <c r="C2114" s="10"/>
      <c r="D2114" s="10"/>
      <c r="E2114" s="10"/>
      <c r="F2114" s="10"/>
      <c r="G2114" s="10"/>
      <c r="H2114" s="10"/>
      <c r="I2114" s="10"/>
      <c r="J2114" s="10"/>
      <c r="K2114" s="10"/>
      <c r="L2114" s="10"/>
      <c r="M2114" s="10"/>
      <c r="N2114" s="10"/>
      <c r="O2114" s="10"/>
    </row>
    <row r="2115">
      <c r="A2115" s="157"/>
      <c r="B2115" s="9"/>
      <c r="C2115" s="10"/>
      <c r="D2115" s="10"/>
      <c r="E2115" s="10"/>
      <c r="F2115" s="10"/>
      <c r="G2115" s="10"/>
      <c r="H2115" s="10"/>
      <c r="I2115" s="10"/>
      <c r="J2115" s="10"/>
      <c r="K2115" s="10"/>
      <c r="L2115" s="10"/>
      <c r="M2115" s="10"/>
      <c r="N2115" s="10"/>
      <c r="O2115" s="10"/>
    </row>
    <row r="2116">
      <c r="A2116" s="157"/>
      <c r="B2116" s="9"/>
      <c r="C2116" s="10"/>
      <c r="D2116" s="10"/>
      <c r="E2116" s="10"/>
      <c r="F2116" s="10"/>
      <c r="G2116" s="10"/>
      <c r="H2116" s="10"/>
      <c r="I2116" s="10"/>
      <c r="J2116" s="10"/>
      <c r="K2116" s="10"/>
      <c r="L2116" s="10"/>
      <c r="M2116" s="10"/>
      <c r="N2116" s="10"/>
      <c r="O2116" s="10"/>
    </row>
    <row r="2117">
      <c r="A2117" s="157"/>
      <c r="B2117" s="9"/>
      <c r="C2117" s="10"/>
      <c r="D2117" s="10"/>
      <c r="E2117" s="10"/>
      <c r="F2117" s="10"/>
      <c r="G2117" s="10"/>
      <c r="H2117" s="10"/>
      <c r="I2117" s="10"/>
      <c r="J2117" s="10"/>
      <c r="K2117" s="10"/>
      <c r="L2117" s="10"/>
      <c r="M2117" s="10"/>
      <c r="N2117" s="10"/>
      <c r="O2117" s="10"/>
    </row>
    <row r="2118">
      <c r="A2118" s="157"/>
      <c r="B2118" s="9"/>
      <c r="C2118" s="10"/>
      <c r="D2118" s="10"/>
      <c r="E2118" s="10"/>
      <c r="F2118" s="10"/>
      <c r="G2118" s="10"/>
      <c r="H2118" s="10"/>
      <c r="I2118" s="10"/>
      <c r="J2118" s="10"/>
      <c r="K2118" s="10"/>
      <c r="L2118" s="10"/>
      <c r="M2118" s="10"/>
      <c r="N2118" s="10"/>
      <c r="O2118" s="10"/>
    </row>
    <row r="2119">
      <c r="A2119" s="157"/>
      <c r="B2119" s="9"/>
      <c r="C2119" s="10"/>
      <c r="D2119" s="10"/>
      <c r="E2119" s="10"/>
      <c r="F2119" s="10"/>
      <c r="G2119" s="10"/>
      <c r="H2119" s="10"/>
      <c r="I2119" s="10"/>
      <c r="J2119" s="10"/>
      <c r="K2119" s="10"/>
      <c r="L2119" s="10"/>
      <c r="M2119" s="10"/>
      <c r="N2119" s="10"/>
      <c r="O2119" s="10"/>
    </row>
    <row r="2120">
      <c r="A2120" s="157"/>
      <c r="B2120" s="9"/>
      <c r="C2120" s="10"/>
      <c r="D2120" s="10"/>
      <c r="E2120" s="10"/>
      <c r="F2120" s="10"/>
      <c r="G2120" s="10"/>
      <c r="H2120" s="10"/>
      <c r="I2120" s="10"/>
      <c r="J2120" s="10"/>
      <c r="K2120" s="10"/>
      <c r="L2120" s="10"/>
      <c r="M2120" s="10"/>
      <c r="N2120" s="10"/>
      <c r="O2120" s="10"/>
    </row>
    <row r="2121">
      <c r="A2121" s="157"/>
      <c r="B2121" s="9"/>
      <c r="C2121" s="10"/>
      <c r="D2121" s="10"/>
      <c r="E2121" s="10"/>
      <c r="F2121" s="10"/>
      <c r="G2121" s="10"/>
      <c r="H2121" s="10"/>
      <c r="I2121" s="10"/>
      <c r="J2121" s="10"/>
      <c r="K2121" s="10"/>
      <c r="L2121" s="10"/>
      <c r="M2121" s="10"/>
      <c r="N2121" s="10"/>
      <c r="O2121" s="10"/>
    </row>
    <row r="2122">
      <c r="A2122" s="157"/>
      <c r="B2122" s="9"/>
      <c r="C2122" s="10"/>
      <c r="D2122" s="10"/>
      <c r="E2122" s="10"/>
      <c r="F2122" s="10"/>
      <c r="G2122" s="10"/>
      <c r="H2122" s="10"/>
      <c r="I2122" s="10"/>
      <c r="J2122" s="10"/>
      <c r="K2122" s="10"/>
      <c r="L2122" s="10"/>
      <c r="M2122" s="10"/>
      <c r="N2122" s="10"/>
      <c r="O2122" s="10"/>
    </row>
    <row r="2123">
      <c r="A2123" s="157"/>
      <c r="B2123" s="9"/>
      <c r="C2123" s="10"/>
      <c r="D2123" s="10"/>
      <c r="E2123" s="10"/>
      <c r="F2123" s="10"/>
      <c r="G2123" s="10"/>
      <c r="H2123" s="10"/>
      <c r="I2123" s="10"/>
      <c r="J2123" s="10"/>
      <c r="K2123" s="10"/>
      <c r="L2123" s="10"/>
      <c r="M2123" s="10"/>
      <c r="N2123" s="10"/>
      <c r="O2123" s="10"/>
    </row>
    <row r="2124">
      <c r="A2124" s="157"/>
      <c r="B2124" s="9"/>
      <c r="C2124" s="10"/>
      <c r="D2124" s="10"/>
      <c r="E2124" s="10"/>
      <c r="F2124" s="10"/>
      <c r="G2124" s="10"/>
      <c r="H2124" s="10"/>
      <c r="I2124" s="10"/>
      <c r="J2124" s="10"/>
      <c r="K2124" s="10"/>
      <c r="L2124" s="10"/>
      <c r="M2124" s="10"/>
      <c r="N2124" s="10"/>
      <c r="O2124" s="10"/>
    </row>
    <row r="2125">
      <c r="A2125" s="157"/>
      <c r="B2125" s="9"/>
      <c r="C2125" s="10"/>
      <c r="D2125" s="10"/>
      <c r="E2125" s="10"/>
      <c r="F2125" s="10"/>
      <c r="G2125" s="10"/>
      <c r="H2125" s="10"/>
      <c r="I2125" s="10"/>
      <c r="J2125" s="10"/>
      <c r="K2125" s="10"/>
      <c r="L2125" s="10"/>
      <c r="M2125" s="10"/>
      <c r="N2125" s="10"/>
      <c r="O2125" s="10"/>
    </row>
    <row r="2126">
      <c r="A2126" s="157"/>
      <c r="B2126" s="9"/>
      <c r="C2126" s="10"/>
      <c r="D2126" s="10"/>
      <c r="E2126" s="10"/>
      <c r="F2126" s="10"/>
      <c r="G2126" s="10"/>
      <c r="H2126" s="10"/>
      <c r="I2126" s="10"/>
      <c r="J2126" s="10"/>
      <c r="K2126" s="10"/>
      <c r="L2126" s="10"/>
      <c r="M2126" s="10"/>
      <c r="N2126" s="10"/>
      <c r="O2126" s="10"/>
    </row>
    <row r="2127">
      <c r="A2127" s="157"/>
      <c r="B2127" s="9"/>
      <c r="C2127" s="10"/>
      <c r="D2127" s="10"/>
      <c r="E2127" s="10"/>
      <c r="F2127" s="10"/>
      <c r="G2127" s="10"/>
      <c r="H2127" s="10"/>
      <c r="I2127" s="10"/>
      <c r="J2127" s="10"/>
      <c r="K2127" s="10"/>
      <c r="L2127" s="10"/>
      <c r="M2127" s="10"/>
      <c r="N2127" s="10"/>
      <c r="O2127" s="10"/>
    </row>
    <row r="2128">
      <c r="A2128" s="157"/>
      <c r="B2128" s="9"/>
      <c r="C2128" s="10"/>
      <c r="D2128" s="10"/>
      <c r="E2128" s="10"/>
      <c r="F2128" s="10"/>
      <c r="G2128" s="10"/>
      <c r="H2128" s="10"/>
      <c r="I2128" s="10"/>
      <c r="J2128" s="10"/>
      <c r="K2128" s="10"/>
      <c r="L2128" s="10"/>
      <c r="M2128" s="10"/>
      <c r="N2128" s="10"/>
      <c r="O2128" s="10"/>
    </row>
    <row r="2129">
      <c r="A2129" s="157"/>
      <c r="B2129" s="9"/>
      <c r="C2129" s="10"/>
      <c r="D2129" s="10"/>
      <c r="E2129" s="10"/>
      <c r="F2129" s="10"/>
      <c r="G2129" s="10"/>
      <c r="H2129" s="10"/>
      <c r="I2129" s="10"/>
      <c r="J2129" s="10"/>
      <c r="K2129" s="10"/>
      <c r="L2129" s="10"/>
      <c r="M2129" s="10"/>
      <c r="N2129" s="10"/>
      <c r="O2129" s="10"/>
    </row>
    <row r="2130">
      <c r="A2130" s="157"/>
      <c r="B2130" s="9"/>
      <c r="C2130" s="10"/>
      <c r="D2130" s="10"/>
      <c r="E2130" s="10"/>
      <c r="F2130" s="10"/>
      <c r="G2130" s="10"/>
      <c r="H2130" s="10"/>
      <c r="I2130" s="10"/>
      <c r="J2130" s="10"/>
      <c r="K2130" s="10"/>
      <c r="L2130" s="10"/>
      <c r="M2130" s="10"/>
      <c r="N2130" s="10"/>
      <c r="O2130" s="10"/>
    </row>
    <row r="2131">
      <c r="A2131" s="157"/>
      <c r="B2131" s="9"/>
      <c r="C2131" s="10"/>
      <c r="D2131" s="10"/>
      <c r="E2131" s="10"/>
      <c r="F2131" s="10"/>
      <c r="G2131" s="10"/>
      <c r="H2131" s="10"/>
      <c r="I2131" s="10"/>
      <c r="J2131" s="10"/>
      <c r="K2131" s="10"/>
      <c r="L2131" s="10"/>
      <c r="M2131" s="10"/>
      <c r="N2131" s="10"/>
      <c r="O2131" s="10"/>
    </row>
    <row r="2132">
      <c r="A2132" s="157"/>
      <c r="B2132" s="9"/>
      <c r="C2132" s="10"/>
      <c r="D2132" s="10"/>
      <c r="E2132" s="10"/>
      <c r="F2132" s="10"/>
      <c r="G2132" s="10"/>
      <c r="H2132" s="10"/>
      <c r="I2132" s="10"/>
      <c r="J2132" s="10"/>
      <c r="K2132" s="10"/>
      <c r="L2132" s="10"/>
      <c r="M2132" s="10"/>
      <c r="N2132" s="10"/>
      <c r="O2132" s="10"/>
    </row>
    <row r="2133">
      <c r="A2133" s="157"/>
      <c r="B2133" s="9"/>
      <c r="C2133" s="10"/>
      <c r="D2133" s="10"/>
      <c r="E2133" s="10"/>
      <c r="F2133" s="10"/>
      <c r="G2133" s="10"/>
      <c r="H2133" s="10"/>
      <c r="I2133" s="10"/>
      <c r="J2133" s="10"/>
      <c r="K2133" s="10"/>
      <c r="L2133" s="10"/>
      <c r="M2133" s="10"/>
      <c r="N2133" s="10"/>
      <c r="O2133" s="10"/>
    </row>
    <row r="2134">
      <c r="A2134" s="157"/>
      <c r="B2134" s="9"/>
      <c r="C2134" s="10"/>
      <c r="D2134" s="10"/>
      <c r="E2134" s="10"/>
      <c r="F2134" s="10"/>
      <c r="G2134" s="10"/>
      <c r="H2134" s="10"/>
      <c r="I2134" s="10"/>
      <c r="J2134" s="10"/>
      <c r="K2134" s="10"/>
      <c r="L2134" s="10"/>
      <c r="M2134" s="10"/>
      <c r="N2134" s="10"/>
      <c r="O2134" s="10"/>
    </row>
    <row r="2135">
      <c r="A2135" s="157"/>
      <c r="B2135" s="9"/>
      <c r="C2135" s="10"/>
      <c r="D2135" s="10"/>
      <c r="E2135" s="10"/>
      <c r="F2135" s="10"/>
      <c r="G2135" s="10"/>
      <c r="H2135" s="10"/>
      <c r="I2135" s="10"/>
      <c r="J2135" s="10"/>
      <c r="K2135" s="10"/>
      <c r="L2135" s="10"/>
      <c r="M2135" s="10"/>
      <c r="N2135" s="10"/>
      <c r="O2135" s="10"/>
    </row>
    <row r="2136">
      <c r="A2136" s="157"/>
      <c r="B2136" s="9"/>
      <c r="C2136" s="10"/>
      <c r="D2136" s="10"/>
      <c r="E2136" s="10"/>
      <c r="F2136" s="10"/>
      <c r="G2136" s="10"/>
      <c r="H2136" s="10"/>
      <c r="I2136" s="10"/>
      <c r="J2136" s="10"/>
      <c r="K2136" s="10"/>
      <c r="L2136" s="10"/>
      <c r="M2136" s="10"/>
      <c r="N2136" s="10"/>
      <c r="O2136" s="10"/>
    </row>
    <row r="2137">
      <c r="A2137" s="157"/>
      <c r="B2137" s="9"/>
      <c r="C2137" s="10"/>
      <c r="D2137" s="10"/>
      <c r="E2137" s="10"/>
      <c r="F2137" s="10"/>
      <c r="G2137" s="10"/>
      <c r="H2137" s="10"/>
      <c r="I2137" s="10"/>
      <c r="J2137" s="10"/>
      <c r="K2137" s="10"/>
      <c r="L2137" s="10"/>
      <c r="M2137" s="10"/>
      <c r="N2137" s="10"/>
      <c r="O2137" s="10"/>
    </row>
    <row r="2138">
      <c r="A2138" s="157"/>
      <c r="B2138" s="9"/>
      <c r="C2138" s="10"/>
      <c r="D2138" s="10"/>
      <c r="E2138" s="10"/>
      <c r="F2138" s="10"/>
      <c r="G2138" s="10"/>
      <c r="H2138" s="10"/>
      <c r="I2138" s="10"/>
      <c r="J2138" s="10"/>
      <c r="K2138" s="10"/>
      <c r="L2138" s="10"/>
      <c r="M2138" s="10"/>
      <c r="N2138" s="10"/>
      <c r="O2138" s="10"/>
    </row>
    <row r="2139">
      <c r="A2139" s="157"/>
      <c r="B2139" s="9"/>
      <c r="C2139" s="10"/>
      <c r="D2139" s="10"/>
      <c r="E2139" s="10"/>
      <c r="F2139" s="10"/>
      <c r="G2139" s="10"/>
      <c r="H2139" s="10"/>
      <c r="I2139" s="10"/>
      <c r="J2139" s="10"/>
      <c r="K2139" s="10"/>
      <c r="L2139" s="10"/>
      <c r="M2139" s="10"/>
      <c r="N2139" s="10"/>
      <c r="O2139" s="10"/>
    </row>
    <row r="2140">
      <c r="A2140" s="157"/>
      <c r="B2140" s="9"/>
      <c r="C2140" s="10"/>
      <c r="D2140" s="10"/>
      <c r="E2140" s="10"/>
      <c r="F2140" s="10"/>
      <c r="G2140" s="10"/>
      <c r="H2140" s="10"/>
      <c r="I2140" s="10"/>
      <c r="J2140" s="10"/>
      <c r="K2140" s="10"/>
      <c r="L2140" s="10"/>
      <c r="M2140" s="10"/>
      <c r="N2140" s="10"/>
      <c r="O2140" s="10"/>
    </row>
    <row r="2141">
      <c r="A2141" s="157"/>
      <c r="B2141" s="9"/>
      <c r="C2141" s="10"/>
      <c r="D2141" s="10"/>
      <c r="E2141" s="10"/>
      <c r="F2141" s="10"/>
      <c r="G2141" s="10"/>
      <c r="H2141" s="10"/>
      <c r="I2141" s="10"/>
      <c r="J2141" s="10"/>
      <c r="K2141" s="10"/>
      <c r="L2141" s="10"/>
      <c r="M2141" s="10"/>
      <c r="N2141" s="10"/>
      <c r="O2141" s="10"/>
    </row>
    <row r="2142">
      <c r="A2142" s="157"/>
      <c r="B2142" s="9"/>
      <c r="C2142" s="10"/>
      <c r="D2142" s="10"/>
      <c r="E2142" s="10"/>
      <c r="F2142" s="10"/>
      <c r="G2142" s="10"/>
      <c r="H2142" s="10"/>
      <c r="I2142" s="10"/>
      <c r="J2142" s="10"/>
      <c r="K2142" s="10"/>
      <c r="L2142" s="10"/>
      <c r="M2142" s="10"/>
      <c r="N2142" s="10"/>
      <c r="O2142" s="10"/>
    </row>
    <row r="2143">
      <c r="A2143" s="157"/>
      <c r="B2143" s="9"/>
      <c r="C2143" s="10"/>
      <c r="D2143" s="10"/>
      <c r="E2143" s="10"/>
      <c r="F2143" s="10"/>
      <c r="G2143" s="10"/>
      <c r="H2143" s="10"/>
      <c r="I2143" s="10"/>
      <c r="J2143" s="10"/>
      <c r="K2143" s="10"/>
      <c r="L2143" s="10"/>
      <c r="M2143" s="10"/>
      <c r="N2143" s="10"/>
      <c r="O2143" s="10"/>
    </row>
    <row r="2144">
      <c r="A2144" s="157"/>
      <c r="B2144" s="9"/>
      <c r="C2144" s="10"/>
      <c r="D2144" s="10"/>
      <c r="E2144" s="10"/>
      <c r="F2144" s="10"/>
      <c r="G2144" s="10"/>
      <c r="H2144" s="10"/>
      <c r="I2144" s="10"/>
      <c r="J2144" s="10"/>
      <c r="K2144" s="10"/>
      <c r="L2144" s="10"/>
      <c r="M2144" s="10"/>
      <c r="N2144" s="10"/>
      <c r="O2144" s="10"/>
    </row>
    <row r="2145">
      <c r="A2145" s="157"/>
      <c r="B2145" s="9"/>
      <c r="C2145" s="10"/>
      <c r="D2145" s="10"/>
      <c r="E2145" s="10"/>
      <c r="F2145" s="10"/>
      <c r="G2145" s="10"/>
      <c r="H2145" s="10"/>
      <c r="I2145" s="10"/>
      <c r="J2145" s="10"/>
      <c r="K2145" s="10"/>
      <c r="L2145" s="10"/>
      <c r="M2145" s="10"/>
      <c r="N2145" s="10"/>
      <c r="O2145" s="10"/>
    </row>
    <row r="2146">
      <c r="A2146" s="157"/>
      <c r="B2146" s="9"/>
      <c r="C2146" s="10"/>
      <c r="D2146" s="10"/>
      <c r="E2146" s="10"/>
      <c r="F2146" s="10"/>
      <c r="G2146" s="10"/>
      <c r="H2146" s="10"/>
      <c r="I2146" s="10"/>
      <c r="J2146" s="10"/>
      <c r="K2146" s="10"/>
      <c r="L2146" s="10"/>
      <c r="M2146" s="10"/>
      <c r="N2146" s="10"/>
      <c r="O2146" s="10"/>
    </row>
    <row r="2147">
      <c r="A2147" s="157"/>
      <c r="B2147" s="9"/>
      <c r="C2147" s="10"/>
      <c r="D2147" s="10"/>
      <c r="E2147" s="10"/>
      <c r="F2147" s="10"/>
      <c r="G2147" s="10"/>
      <c r="H2147" s="10"/>
      <c r="I2147" s="10"/>
      <c r="J2147" s="10"/>
      <c r="K2147" s="10"/>
      <c r="L2147" s="10"/>
      <c r="M2147" s="10"/>
      <c r="N2147" s="10"/>
      <c r="O2147" s="10"/>
    </row>
    <row r="2148">
      <c r="A2148" s="157"/>
      <c r="B2148" s="9"/>
      <c r="C2148" s="10"/>
      <c r="D2148" s="10"/>
      <c r="E2148" s="10"/>
      <c r="F2148" s="10"/>
      <c r="G2148" s="10"/>
      <c r="H2148" s="10"/>
      <c r="I2148" s="10"/>
      <c r="J2148" s="10"/>
      <c r="K2148" s="10"/>
      <c r="L2148" s="10"/>
      <c r="M2148" s="10"/>
      <c r="N2148" s="10"/>
      <c r="O2148" s="10"/>
    </row>
    <row r="2149">
      <c r="A2149" s="157"/>
      <c r="B2149" s="9"/>
      <c r="C2149" s="10"/>
      <c r="D2149" s="10"/>
      <c r="E2149" s="10"/>
      <c r="F2149" s="10"/>
      <c r="G2149" s="10"/>
      <c r="H2149" s="10"/>
      <c r="I2149" s="10"/>
      <c r="J2149" s="10"/>
      <c r="K2149" s="10"/>
      <c r="L2149" s="10"/>
      <c r="M2149" s="10"/>
      <c r="N2149" s="10"/>
      <c r="O2149" s="10"/>
    </row>
    <row r="2150">
      <c r="A2150" s="157"/>
      <c r="B2150" s="9"/>
      <c r="C2150" s="10"/>
      <c r="D2150" s="10"/>
      <c r="E2150" s="10"/>
      <c r="F2150" s="10"/>
      <c r="G2150" s="10"/>
      <c r="H2150" s="10"/>
      <c r="I2150" s="10"/>
      <c r="J2150" s="10"/>
      <c r="K2150" s="10"/>
      <c r="L2150" s="10"/>
      <c r="M2150" s="10"/>
      <c r="N2150" s="10"/>
      <c r="O2150" s="10"/>
    </row>
    <row r="2151">
      <c r="A2151" s="157"/>
      <c r="B2151" s="9"/>
      <c r="C2151" s="10"/>
      <c r="D2151" s="10"/>
      <c r="E2151" s="10"/>
      <c r="F2151" s="10"/>
      <c r="G2151" s="10"/>
      <c r="H2151" s="10"/>
      <c r="I2151" s="10"/>
      <c r="J2151" s="10"/>
      <c r="K2151" s="10"/>
      <c r="L2151" s="10"/>
      <c r="M2151" s="10"/>
      <c r="N2151" s="10"/>
      <c r="O2151" s="10"/>
    </row>
    <row r="2152">
      <c r="A2152" s="157"/>
      <c r="B2152" s="9"/>
      <c r="C2152" s="10"/>
      <c r="D2152" s="10"/>
      <c r="E2152" s="10"/>
      <c r="F2152" s="10"/>
      <c r="G2152" s="10"/>
      <c r="H2152" s="10"/>
      <c r="I2152" s="10"/>
      <c r="J2152" s="10"/>
      <c r="K2152" s="10"/>
      <c r="L2152" s="10"/>
      <c r="M2152" s="10"/>
      <c r="N2152" s="10"/>
      <c r="O2152" s="10"/>
    </row>
    <row r="2153">
      <c r="A2153" s="157"/>
      <c r="B2153" s="9"/>
      <c r="C2153" s="10"/>
      <c r="D2153" s="10"/>
      <c r="E2153" s="10"/>
      <c r="F2153" s="10"/>
      <c r="G2153" s="10"/>
      <c r="H2153" s="10"/>
      <c r="I2153" s="10"/>
      <c r="J2153" s="10"/>
      <c r="K2153" s="10"/>
      <c r="L2153" s="10"/>
      <c r="M2153" s="10"/>
      <c r="N2153" s="10"/>
      <c r="O2153" s="10"/>
    </row>
    <row r="2154">
      <c r="A2154" s="157"/>
      <c r="B2154" s="9"/>
      <c r="C2154" s="10"/>
      <c r="D2154" s="10"/>
      <c r="E2154" s="10"/>
      <c r="F2154" s="10"/>
      <c r="G2154" s="10"/>
      <c r="H2154" s="10"/>
      <c r="I2154" s="10"/>
      <c r="J2154" s="10"/>
      <c r="K2154" s="10"/>
      <c r="L2154" s="10"/>
      <c r="M2154" s="10"/>
      <c r="N2154" s="10"/>
      <c r="O2154" s="10"/>
    </row>
    <row r="2155">
      <c r="A2155" s="157"/>
      <c r="B2155" s="9"/>
      <c r="C2155" s="10"/>
      <c r="D2155" s="10"/>
      <c r="E2155" s="10"/>
      <c r="F2155" s="10"/>
      <c r="G2155" s="10"/>
      <c r="H2155" s="10"/>
      <c r="I2155" s="10"/>
      <c r="J2155" s="10"/>
      <c r="K2155" s="10"/>
      <c r="L2155" s="10"/>
      <c r="M2155" s="10"/>
      <c r="N2155" s="10"/>
      <c r="O2155" s="10"/>
    </row>
    <row r="2156">
      <c r="A2156" s="157"/>
      <c r="B2156" s="9"/>
      <c r="C2156" s="10"/>
      <c r="D2156" s="10"/>
      <c r="E2156" s="10"/>
      <c r="F2156" s="10"/>
      <c r="G2156" s="10"/>
      <c r="H2156" s="10"/>
      <c r="I2156" s="10"/>
      <c r="J2156" s="10"/>
      <c r="K2156" s="10"/>
      <c r="L2156" s="10"/>
      <c r="M2156" s="10"/>
      <c r="N2156" s="10"/>
      <c r="O2156" s="10"/>
    </row>
    <row r="2157">
      <c r="A2157" s="157"/>
      <c r="B2157" s="9"/>
      <c r="C2157" s="10"/>
      <c r="D2157" s="10"/>
      <c r="E2157" s="10"/>
      <c r="F2157" s="10"/>
      <c r="G2157" s="10"/>
      <c r="H2157" s="10"/>
      <c r="I2157" s="10"/>
      <c r="J2157" s="10"/>
      <c r="K2157" s="10"/>
      <c r="L2157" s="10"/>
      <c r="M2157" s="10"/>
      <c r="N2157" s="10"/>
      <c r="O2157" s="10"/>
    </row>
    <row r="2158">
      <c r="A2158" s="157"/>
      <c r="B2158" s="9"/>
      <c r="C2158" s="10"/>
      <c r="D2158" s="10"/>
      <c r="E2158" s="10"/>
      <c r="F2158" s="10"/>
      <c r="G2158" s="10"/>
      <c r="H2158" s="10"/>
      <c r="I2158" s="10"/>
      <c r="J2158" s="10"/>
      <c r="K2158" s="10"/>
      <c r="L2158" s="10"/>
      <c r="M2158" s="10"/>
      <c r="N2158" s="10"/>
      <c r="O2158" s="10"/>
    </row>
    <row r="2159">
      <c r="A2159" s="157"/>
      <c r="B2159" s="9"/>
      <c r="C2159" s="10"/>
      <c r="D2159" s="10"/>
      <c r="E2159" s="10"/>
      <c r="F2159" s="10"/>
      <c r="G2159" s="10"/>
      <c r="H2159" s="10"/>
      <c r="I2159" s="10"/>
      <c r="J2159" s="10"/>
      <c r="K2159" s="10"/>
      <c r="L2159" s="10"/>
      <c r="M2159" s="10"/>
      <c r="N2159" s="10"/>
      <c r="O2159" s="10"/>
    </row>
    <row r="2160">
      <c r="A2160" s="157"/>
      <c r="B2160" s="9"/>
      <c r="C2160" s="10"/>
      <c r="D2160" s="10"/>
      <c r="E2160" s="10"/>
      <c r="F2160" s="10"/>
      <c r="G2160" s="10"/>
      <c r="H2160" s="10"/>
      <c r="I2160" s="10"/>
      <c r="J2160" s="10"/>
      <c r="K2160" s="10"/>
      <c r="L2160" s="10"/>
      <c r="M2160" s="10"/>
      <c r="N2160" s="10"/>
      <c r="O2160" s="10"/>
    </row>
    <row r="2161">
      <c r="A2161" s="157"/>
      <c r="B2161" s="9"/>
      <c r="C2161" s="10"/>
      <c r="D2161" s="10"/>
      <c r="E2161" s="10"/>
      <c r="F2161" s="10"/>
      <c r="G2161" s="10"/>
      <c r="H2161" s="10"/>
      <c r="I2161" s="10"/>
      <c r="J2161" s="10"/>
      <c r="K2161" s="10"/>
      <c r="L2161" s="10"/>
      <c r="M2161" s="10"/>
      <c r="N2161" s="10"/>
      <c r="O2161" s="10"/>
    </row>
    <row r="2162">
      <c r="A2162" s="157"/>
      <c r="B2162" s="9"/>
      <c r="C2162" s="10"/>
      <c r="D2162" s="10"/>
      <c r="E2162" s="10"/>
      <c r="F2162" s="10"/>
      <c r="G2162" s="10"/>
      <c r="H2162" s="10"/>
      <c r="I2162" s="10"/>
      <c r="J2162" s="10"/>
      <c r="K2162" s="10"/>
      <c r="L2162" s="10"/>
      <c r="M2162" s="10"/>
      <c r="N2162" s="10"/>
      <c r="O2162" s="10"/>
    </row>
    <row r="2163">
      <c r="A2163" s="157"/>
      <c r="B2163" s="9"/>
      <c r="C2163" s="10"/>
      <c r="D2163" s="10"/>
      <c r="E2163" s="10"/>
      <c r="F2163" s="10"/>
      <c r="G2163" s="10"/>
      <c r="H2163" s="10"/>
      <c r="I2163" s="10"/>
      <c r="J2163" s="10"/>
      <c r="K2163" s="10"/>
      <c r="L2163" s="10"/>
      <c r="M2163" s="10"/>
      <c r="N2163" s="10"/>
      <c r="O2163" s="10"/>
    </row>
    <row r="2164">
      <c r="A2164" s="157"/>
      <c r="B2164" s="9"/>
      <c r="C2164" s="10"/>
      <c r="D2164" s="10"/>
      <c r="E2164" s="10"/>
      <c r="F2164" s="10"/>
      <c r="G2164" s="10"/>
      <c r="H2164" s="10"/>
      <c r="I2164" s="10"/>
      <c r="J2164" s="10"/>
      <c r="K2164" s="10"/>
      <c r="L2164" s="10"/>
      <c r="M2164" s="10"/>
      <c r="N2164" s="10"/>
      <c r="O2164" s="10"/>
    </row>
    <row r="2165">
      <c r="A2165" s="157"/>
      <c r="B2165" s="9"/>
      <c r="C2165" s="10"/>
      <c r="D2165" s="10"/>
      <c r="E2165" s="10"/>
      <c r="F2165" s="10"/>
      <c r="G2165" s="10"/>
      <c r="H2165" s="10"/>
      <c r="I2165" s="10"/>
      <c r="J2165" s="10"/>
      <c r="K2165" s="10"/>
      <c r="L2165" s="10"/>
      <c r="M2165" s="10"/>
      <c r="N2165" s="10"/>
      <c r="O2165" s="10"/>
    </row>
    <row r="2166">
      <c r="A2166" s="157"/>
      <c r="B2166" s="9"/>
      <c r="C2166" s="10"/>
      <c r="D2166" s="10"/>
      <c r="E2166" s="10"/>
      <c r="F2166" s="10"/>
      <c r="G2166" s="10"/>
      <c r="H2166" s="10"/>
      <c r="I2166" s="10"/>
      <c r="J2166" s="10"/>
      <c r="K2166" s="10"/>
      <c r="L2166" s="10"/>
      <c r="M2166" s="10"/>
      <c r="N2166" s="10"/>
      <c r="O2166" s="10"/>
    </row>
    <row r="2167">
      <c r="A2167" s="157"/>
      <c r="B2167" s="9"/>
      <c r="C2167" s="10"/>
      <c r="D2167" s="10"/>
      <c r="E2167" s="10"/>
      <c r="F2167" s="10"/>
      <c r="G2167" s="10"/>
      <c r="H2167" s="10"/>
      <c r="I2167" s="10"/>
      <c r="J2167" s="10"/>
      <c r="K2167" s="10"/>
      <c r="L2167" s="10"/>
      <c r="M2167" s="10"/>
      <c r="N2167" s="10"/>
      <c r="O2167" s="10"/>
    </row>
    <row r="2168">
      <c r="A2168" s="157"/>
      <c r="B2168" s="9"/>
      <c r="C2168" s="10"/>
      <c r="D2168" s="10"/>
      <c r="E2168" s="10"/>
      <c r="F2168" s="10"/>
      <c r="G2168" s="10"/>
      <c r="H2168" s="10"/>
      <c r="I2168" s="10"/>
      <c r="J2168" s="10"/>
      <c r="K2168" s="10"/>
      <c r="L2168" s="10"/>
      <c r="M2168" s="10"/>
      <c r="N2168" s="10"/>
      <c r="O2168" s="10"/>
    </row>
    <row r="2169">
      <c r="A2169" s="157"/>
      <c r="B2169" s="9"/>
      <c r="C2169" s="10"/>
      <c r="D2169" s="10"/>
      <c r="E2169" s="10"/>
      <c r="F2169" s="10"/>
      <c r="G2169" s="10"/>
      <c r="H2169" s="10"/>
      <c r="I2169" s="10"/>
      <c r="J2169" s="10"/>
      <c r="K2169" s="10"/>
      <c r="L2169" s="10"/>
      <c r="M2169" s="10"/>
      <c r="N2169" s="10"/>
      <c r="O2169" s="10"/>
    </row>
    <row r="2170">
      <c r="A2170" s="157"/>
      <c r="B2170" s="9"/>
      <c r="C2170" s="10"/>
      <c r="D2170" s="10"/>
      <c r="E2170" s="10"/>
      <c r="F2170" s="10"/>
      <c r="G2170" s="10"/>
      <c r="H2170" s="10"/>
      <c r="I2170" s="10"/>
      <c r="J2170" s="10"/>
      <c r="K2170" s="10"/>
      <c r="L2170" s="10"/>
      <c r="M2170" s="10"/>
      <c r="N2170" s="10"/>
      <c r="O2170" s="10"/>
    </row>
    <row r="2171">
      <c r="A2171" s="157"/>
      <c r="B2171" s="9"/>
      <c r="C2171" s="10"/>
      <c r="D2171" s="10"/>
      <c r="E2171" s="10"/>
      <c r="F2171" s="10"/>
      <c r="G2171" s="10"/>
      <c r="H2171" s="10"/>
      <c r="I2171" s="10"/>
      <c r="J2171" s="10"/>
      <c r="K2171" s="10"/>
      <c r="L2171" s="10"/>
      <c r="M2171" s="10"/>
      <c r="N2171" s="10"/>
      <c r="O2171" s="10"/>
    </row>
    <row r="2172">
      <c r="A2172" s="157"/>
      <c r="B2172" s="9"/>
      <c r="C2172" s="10"/>
      <c r="D2172" s="10"/>
      <c r="E2172" s="10"/>
      <c r="F2172" s="10"/>
      <c r="G2172" s="10"/>
      <c r="H2172" s="10"/>
      <c r="I2172" s="10"/>
      <c r="J2172" s="10"/>
      <c r="K2172" s="10"/>
      <c r="L2172" s="10"/>
      <c r="M2172" s="10"/>
      <c r="N2172" s="10"/>
      <c r="O2172" s="10"/>
    </row>
    <row r="2173">
      <c r="A2173" s="157"/>
      <c r="B2173" s="9"/>
      <c r="C2173" s="10"/>
      <c r="D2173" s="10"/>
      <c r="E2173" s="10"/>
      <c r="F2173" s="10"/>
      <c r="G2173" s="10"/>
      <c r="H2173" s="10"/>
      <c r="I2173" s="10"/>
      <c r="J2173" s="10"/>
      <c r="K2173" s="10"/>
      <c r="L2173" s="10"/>
      <c r="M2173" s="10"/>
      <c r="N2173" s="10"/>
      <c r="O2173" s="10"/>
    </row>
    <row r="2174">
      <c r="A2174" s="157"/>
      <c r="B2174" s="9"/>
      <c r="C2174" s="10"/>
      <c r="D2174" s="10"/>
      <c r="E2174" s="10"/>
      <c r="F2174" s="10"/>
      <c r="G2174" s="10"/>
      <c r="H2174" s="10"/>
      <c r="I2174" s="10"/>
      <c r="J2174" s="10"/>
      <c r="K2174" s="10"/>
      <c r="L2174" s="10"/>
      <c r="M2174" s="10"/>
      <c r="N2174" s="10"/>
      <c r="O2174" s="10"/>
    </row>
    <row r="2175">
      <c r="A2175" s="157"/>
      <c r="B2175" s="9"/>
      <c r="C2175" s="10"/>
      <c r="D2175" s="10"/>
      <c r="E2175" s="10"/>
      <c r="F2175" s="10"/>
      <c r="G2175" s="10"/>
      <c r="H2175" s="10"/>
      <c r="I2175" s="10"/>
      <c r="J2175" s="10"/>
      <c r="K2175" s="10"/>
      <c r="L2175" s="10"/>
      <c r="M2175" s="10"/>
      <c r="N2175" s="10"/>
      <c r="O2175" s="10"/>
    </row>
    <row r="2176">
      <c r="A2176" s="157"/>
      <c r="B2176" s="9"/>
      <c r="C2176" s="10"/>
      <c r="D2176" s="10"/>
      <c r="E2176" s="10"/>
      <c r="F2176" s="10"/>
      <c r="G2176" s="10"/>
      <c r="H2176" s="10"/>
      <c r="I2176" s="10"/>
      <c r="J2176" s="10"/>
      <c r="K2176" s="10"/>
      <c r="L2176" s="10"/>
      <c r="M2176" s="10"/>
      <c r="N2176" s="10"/>
      <c r="O2176" s="10"/>
    </row>
    <row r="2177">
      <c r="A2177" s="157"/>
      <c r="B2177" s="9"/>
      <c r="C2177" s="10"/>
      <c r="D2177" s="10"/>
      <c r="E2177" s="10"/>
      <c r="F2177" s="10"/>
      <c r="G2177" s="10"/>
      <c r="H2177" s="10"/>
      <c r="I2177" s="10"/>
      <c r="J2177" s="10"/>
      <c r="K2177" s="10"/>
      <c r="L2177" s="10"/>
      <c r="M2177" s="10"/>
      <c r="N2177" s="10"/>
      <c r="O2177" s="10"/>
    </row>
    <row r="2178">
      <c r="A2178" s="157"/>
      <c r="B2178" s="9"/>
      <c r="C2178" s="10"/>
      <c r="D2178" s="10"/>
      <c r="E2178" s="10"/>
      <c r="F2178" s="10"/>
      <c r="G2178" s="10"/>
      <c r="H2178" s="10"/>
      <c r="I2178" s="10"/>
      <c r="J2178" s="10"/>
      <c r="K2178" s="10"/>
      <c r="L2178" s="10"/>
      <c r="M2178" s="10"/>
      <c r="N2178" s="10"/>
      <c r="O2178" s="10"/>
    </row>
    <row r="2179">
      <c r="A2179" s="157"/>
      <c r="B2179" s="9"/>
      <c r="C2179" s="10"/>
      <c r="D2179" s="10"/>
      <c r="E2179" s="10"/>
      <c r="F2179" s="10"/>
      <c r="G2179" s="10"/>
      <c r="H2179" s="10"/>
      <c r="I2179" s="10"/>
      <c r="J2179" s="10"/>
      <c r="K2179" s="10"/>
      <c r="L2179" s="10"/>
      <c r="M2179" s="10"/>
      <c r="N2179" s="10"/>
      <c r="O2179" s="10"/>
    </row>
    <row r="2180">
      <c r="A2180" s="157"/>
      <c r="B2180" s="9"/>
      <c r="C2180" s="10"/>
      <c r="D2180" s="10"/>
      <c r="E2180" s="10"/>
      <c r="F2180" s="10"/>
      <c r="G2180" s="10"/>
      <c r="H2180" s="10"/>
      <c r="I2180" s="10"/>
      <c r="J2180" s="10"/>
      <c r="K2180" s="10"/>
      <c r="L2180" s="10"/>
      <c r="M2180" s="10"/>
      <c r="N2180" s="10"/>
      <c r="O2180" s="10"/>
    </row>
    <row r="2181">
      <c r="A2181" s="157"/>
      <c r="B2181" s="9"/>
      <c r="C2181" s="10"/>
      <c r="D2181" s="10"/>
      <c r="E2181" s="10"/>
      <c r="F2181" s="10"/>
      <c r="G2181" s="10"/>
      <c r="H2181" s="10"/>
      <c r="I2181" s="10"/>
      <c r="J2181" s="10"/>
      <c r="K2181" s="10"/>
      <c r="L2181" s="10"/>
      <c r="M2181" s="10"/>
      <c r="N2181" s="10"/>
      <c r="O2181" s="10"/>
    </row>
    <row r="2182">
      <c r="A2182" s="157"/>
      <c r="B2182" s="9"/>
      <c r="C2182" s="10"/>
      <c r="D2182" s="10"/>
      <c r="E2182" s="10"/>
      <c r="F2182" s="10"/>
      <c r="G2182" s="10"/>
      <c r="H2182" s="10"/>
      <c r="I2182" s="10"/>
      <c r="J2182" s="10"/>
      <c r="K2182" s="10"/>
      <c r="L2182" s="10"/>
      <c r="M2182" s="10"/>
      <c r="N2182" s="10"/>
      <c r="O2182" s="10"/>
    </row>
    <row r="2183">
      <c r="A2183" s="157"/>
      <c r="B2183" s="9"/>
      <c r="C2183" s="10"/>
      <c r="D2183" s="10"/>
      <c r="E2183" s="10"/>
      <c r="F2183" s="10"/>
      <c r="G2183" s="10"/>
      <c r="H2183" s="10"/>
      <c r="I2183" s="10"/>
      <c r="J2183" s="10"/>
      <c r="K2183" s="10"/>
      <c r="L2183" s="10"/>
      <c r="M2183" s="10"/>
      <c r="N2183" s="10"/>
      <c r="O2183" s="10"/>
    </row>
    <row r="2184">
      <c r="A2184" s="157"/>
      <c r="B2184" s="9"/>
      <c r="C2184" s="10"/>
      <c r="D2184" s="10"/>
      <c r="E2184" s="10"/>
      <c r="F2184" s="10"/>
      <c r="G2184" s="10"/>
      <c r="H2184" s="10"/>
      <c r="I2184" s="10"/>
      <c r="J2184" s="10"/>
      <c r="K2184" s="10"/>
      <c r="L2184" s="10"/>
      <c r="M2184" s="10"/>
      <c r="N2184" s="10"/>
      <c r="O2184" s="10"/>
    </row>
    <row r="2185">
      <c r="A2185" s="157"/>
      <c r="B2185" s="9"/>
      <c r="C2185" s="10"/>
      <c r="D2185" s="10"/>
      <c r="E2185" s="10"/>
      <c r="F2185" s="10"/>
      <c r="G2185" s="10"/>
      <c r="H2185" s="10"/>
      <c r="I2185" s="10"/>
      <c r="J2185" s="10"/>
      <c r="K2185" s="10"/>
      <c r="L2185" s="10"/>
      <c r="M2185" s="10"/>
      <c r="N2185" s="10"/>
      <c r="O2185" s="10"/>
    </row>
    <row r="2186">
      <c r="A2186" s="157"/>
      <c r="B2186" s="9"/>
      <c r="C2186" s="10"/>
      <c r="D2186" s="10"/>
      <c r="E2186" s="10"/>
      <c r="F2186" s="10"/>
      <c r="G2186" s="10"/>
      <c r="H2186" s="10"/>
      <c r="I2186" s="10"/>
      <c r="J2186" s="10"/>
      <c r="K2186" s="10"/>
      <c r="L2186" s="10"/>
      <c r="M2186" s="10"/>
      <c r="N2186" s="10"/>
      <c r="O2186" s="10"/>
    </row>
    <row r="2187">
      <c r="A2187" s="157"/>
      <c r="B2187" s="9"/>
      <c r="C2187" s="10"/>
      <c r="D2187" s="10"/>
      <c r="E2187" s="10"/>
      <c r="F2187" s="10"/>
      <c r="G2187" s="10"/>
      <c r="H2187" s="10"/>
      <c r="I2187" s="10"/>
      <c r="J2187" s="10"/>
      <c r="K2187" s="10"/>
      <c r="L2187" s="10"/>
      <c r="M2187" s="10"/>
      <c r="N2187" s="10"/>
      <c r="O2187" s="10"/>
    </row>
    <row r="2188">
      <c r="A2188" s="157"/>
      <c r="B2188" s="9"/>
      <c r="C2188" s="10"/>
      <c r="D2188" s="10"/>
      <c r="E2188" s="10"/>
      <c r="F2188" s="10"/>
      <c r="G2188" s="10"/>
      <c r="H2188" s="10"/>
      <c r="I2188" s="10"/>
      <c r="J2188" s="10"/>
      <c r="K2188" s="10"/>
      <c r="L2188" s="10"/>
      <c r="M2188" s="10"/>
      <c r="N2188" s="10"/>
      <c r="O2188" s="10"/>
    </row>
    <row r="2189">
      <c r="A2189" s="157"/>
      <c r="B2189" s="9"/>
      <c r="C2189" s="10"/>
      <c r="D2189" s="10"/>
      <c r="E2189" s="10"/>
      <c r="F2189" s="10"/>
      <c r="G2189" s="10"/>
      <c r="H2189" s="10"/>
      <c r="I2189" s="10"/>
      <c r="J2189" s="10"/>
      <c r="K2189" s="10"/>
      <c r="L2189" s="10"/>
      <c r="M2189" s="10"/>
      <c r="N2189" s="10"/>
      <c r="O2189" s="10"/>
    </row>
    <row r="2190">
      <c r="A2190" s="157"/>
      <c r="B2190" s="9"/>
      <c r="C2190" s="10"/>
      <c r="D2190" s="10"/>
      <c r="E2190" s="10"/>
      <c r="F2190" s="10"/>
      <c r="G2190" s="10"/>
      <c r="H2190" s="10"/>
      <c r="I2190" s="10"/>
      <c r="J2190" s="10"/>
      <c r="K2190" s="10"/>
      <c r="L2190" s="10"/>
      <c r="M2190" s="10"/>
      <c r="N2190" s="10"/>
      <c r="O2190" s="10"/>
    </row>
    <row r="2191">
      <c r="A2191" s="157"/>
      <c r="B2191" s="9"/>
      <c r="C2191" s="10"/>
      <c r="D2191" s="10"/>
      <c r="E2191" s="10"/>
      <c r="F2191" s="10"/>
      <c r="G2191" s="10"/>
      <c r="H2191" s="10"/>
      <c r="I2191" s="10"/>
      <c r="J2191" s="10"/>
      <c r="K2191" s="10"/>
      <c r="L2191" s="10"/>
      <c r="M2191" s="10"/>
      <c r="N2191" s="10"/>
      <c r="O2191" s="10"/>
    </row>
    <row r="2192">
      <c r="A2192" s="157"/>
      <c r="B2192" s="9"/>
      <c r="C2192" s="10"/>
      <c r="D2192" s="10"/>
      <c r="E2192" s="10"/>
      <c r="F2192" s="10"/>
      <c r="G2192" s="10"/>
      <c r="H2192" s="10"/>
      <c r="I2192" s="10"/>
      <c r="J2192" s="10"/>
      <c r="K2192" s="10"/>
      <c r="L2192" s="10"/>
      <c r="M2192" s="10"/>
      <c r="N2192" s="10"/>
      <c r="O2192" s="10"/>
    </row>
    <row r="2193">
      <c r="A2193" s="157"/>
      <c r="B2193" s="9"/>
      <c r="C2193" s="10"/>
      <c r="D2193" s="10"/>
      <c r="E2193" s="10"/>
      <c r="F2193" s="10"/>
      <c r="G2193" s="10"/>
      <c r="H2193" s="10"/>
      <c r="I2193" s="10"/>
      <c r="J2193" s="10"/>
      <c r="K2193" s="10"/>
      <c r="L2193" s="10"/>
      <c r="M2193" s="10"/>
      <c r="N2193" s="10"/>
      <c r="O2193" s="10"/>
    </row>
    <row r="2194">
      <c r="A2194" s="157"/>
      <c r="B2194" s="9"/>
      <c r="C2194" s="10"/>
      <c r="D2194" s="10"/>
      <c r="E2194" s="10"/>
      <c r="F2194" s="10"/>
      <c r="G2194" s="10"/>
      <c r="H2194" s="10"/>
      <c r="I2194" s="10"/>
      <c r="J2194" s="10"/>
      <c r="K2194" s="10"/>
      <c r="L2194" s="10"/>
      <c r="M2194" s="10"/>
      <c r="N2194" s="10"/>
      <c r="O2194" s="10"/>
    </row>
    <row r="2195">
      <c r="A2195" s="157"/>
      <c r="B2195" s="9"/>
      <c r="C2195" s="10"/>
      <c r="D2195" s="10"/>
      <c r="E2195" s="10"/>
      <c r="F2195" s="10"/>
      <c r="G2195" s="10"/>
      <c r="H2195" s="10"/>
      <c r="I2195" s="10"/>
      <c r="J2195" s="10"/>
      <c r="K2195" s="10"/>
      <c r="L2195" s="10"/>
      <c r="M2195" s="10"/>
      <c r="N2195" s="10"/>
      <c r="O2195" s="10"/>
    </row>
    <row r="2196">
      <c r="A2196" s="157"/>
      <c r="B2196" s="9"/>
      <c r="C2196" s="10"/>
      <c r="D2196" s="10"/>
      <c r="E2196" s="10"/>
      <c r="F2196" s="10"/>
      <c r="G2196" s="10"/>
      <c r="H2196" s="10"/>
      <c r="I2196" s="10"/>
      <c r="J2196" s="10"/>
      <c r="K2196" s="10"/>
      <c r="L2196" s="10"/>
      <c r="M2196" s="10"/>
      <c r="N2196" s="10"/>
      <c r="O2196" s="10"/>
    </row>
    <row r="2197">
      <c r="A2197" s="157"/>
      <c r="B2197" s="9"/>
      <c r="C2197" s="10"/>
      <c r="D2197" s="10"/>
      <c r="E2197" s="10"/>
      <c r="F2197" s="10"/>
      <c r="G2197" s="10"/>
      <c r="H2197" s="10"/>
      <c r="I2197" s="10"/>
      <c r="J2197" s="10"/>
      <c r="K2197" s="10"/>
      <c r="L2197" s="10"/>
      <c r="M2197" s="10"/>
      <c r="N2197" s="10"/>
      <c r="O2197" s="10"/>
    </row>
    <row r="2198">
      <c r="A2198" s="157"/>
      <c r="B2198" s="9"/>
      <c r="C2198" s="10"/>
      <c r="D2198" s="10"/>
      <c r="E2198" s="10"/>
      <c r="F2198" s="10"/>
      <c r="G2198" s="10"/>
      <c r="H2198" s="10"/>
      <c r="I2198" s="10"/>
      <c r="J2198" s="10"/>
      <c r="K2198" s="10"/>
      <c r="L2198" s="10"/>
      <c r="M2198" s="10"/>
      <c r="N2198" s="10"/>
      <c r="O2198" s="10"/>
    </row>
    <row r="2199">
      <c r="A2199" s="157"/>
      <c r="B2199" s="9"/>
      <c r="C2199" s="10"/>
      <c r="D2199" s="10"/>
      <c r="E2199" s="10"/>
      <c r="F2199" s="10"/>
      <c r="G2199" s="10"/>
      <c r="H2199" s="10"/>
      <c r="I2199" s="10"/>
      <c r="J2199" s="10"/>
      <c r="K2199" s="10"/>
      <c r="L2199" s="10"/>
      <c r="M2199" s="10"/>
      <c r="N2199" s="10"/>
      <c r="O2199" s="10"/>
    </row>
    <row r="2200">
      <c r="A2200" s="157"/>
      <c r="B2200" s="9"/>
      <c r="C2200" s="10"/>
      <c r="D2200" s="10"/>
      <c r="E2200" s="10"/>
      <c r="F2200" s="10"/>
      <c r="G2200" s="10"/>
      <c r="H2200" s="10"/>
      <c r="I2200" s="10"/>
      <c r="J2200" s="10"/>
      <c r="K2200" s="10"/>
      <c r="L2200" s="10"/>
      <c r="M2200" s="10"/>
      <c r="N2200" s="10"/>
      <c r="O2200" s="10"/>
    </row>
    <row r="2201">
      <c r="A2201" s="157"/>
      <c r="B2201" s="9"/>
      <c r="C2201" s="10"/>
      <c r="D2201" s="10"/>
      <c r="E2201" s="10"/>
      <c r="F2201" s="10"/>
      <c r="G2201" s="10"/>
      <c r="H2201" s="10"/>
      <c r="I2201" s="10"/>
      <c r="J2201" s="10"/>
      <c r="K2201" s="10"/>
      <c r="L2201" s="10"/>
      <c r="M2201" s="10"/>
      <c r="N2201" s="10"/>
      <c r="O2201" s="10"/>
    </row>
    <row r="2202">
      <c r="A2202" s="157"/>
      <c r="B2202" s="9"/>
      <c r="C2202" s="10"/>
      <c r="D2202" s="10"/>
      <c r="E2202" s="10"/>
      <c r="F2202" s="10"/>
      <c r="G2202" s="10"/>
      <c r="H2202" s="10"/>
      <c r="I2202" s="10"/>
      <c r="J2202" s="10"/>
      <c r="K2202" s="10"/>
      <c r="L2202" s="10"/>
      <c r="M2202" s="10"/>
      <c r="N2202" s="10"/>
      <c r="O2202" s="10"/>
    </row>
    <row r="2203">
      <c r="A2203" s="157"/>
      <c r="B2203" s="9"/>
      <c r="C2203" s="10"/>
      <c r="D2203" s="10"/>
      <c r="E2203" s="10"/>
      <c r="F2203" s="10"/>
      <c r="G2203" s="10"/>
      <c r="H2203" s="10"/>
      <c r="I2203" s="10"/>
      <c r="J2203" s="10"/>
      <c r="K2203" s="10"/>
      <c r="L2203" s="10"/>
      <c r="M2203" s="10"/>
      <c r="N2203" s="10"/>
      <c r="O2203" s="10"/>
    </row>
    <row r="2204">
      <c r="A2204" s="157"/>
      <c r="B2204" s="9"/>
      <c r="C2204" s="10"/>
      <c r="D2204" s="10"/>
      <c r="E2204" s="10"/>
      <c r="F2204" s="10"/>
      <c r="G2204" s="10"/>
      <c r="H2204" s="10"/>
      <c r="I2204" s="10"/>
      <c r="J2204" s="10"/>
      <c r="K2204" s="10"/>
      <c r="L2204" s="10"/>
      <c r="M2204" s="10"/>
      <c r="N2204" s="10"/>
      <c r="O2204" s="10"/>
    </row>
    <row r="2205">
      <c r="A2205" s="157"/>
      <c r="B2205" s="9"/>
      <c r="C2205" s="10"/>
      <c r="D2205" s="10"/>
      <c r="E2205" s="10"/>
      <c r="F2205" s="10"/>
      <c r="G2205" s="10"/>
      <c r="H2205" s="10"/>
      <c r="I2205" s="10"/>
      <c r="J2205" s="10"/>
      <c r="K2205" s="10"/>
      <c r="L2205" s="10"/>
      <c r="M2205" s="10"/>
      <c r="N2205" s="10"/>
      <c r="O2205" s="10"/>
    </row>
    <row r="2206">
      <c r="A2206" s="157"/>
      <c r="B2206" s="9"/>
      <c r="C2206" s="10"/>
      <c r="D2206" s="10"/>
      <c r="E2206" s="10"/>
      <c r="F2206" s="10"/>
      <c r="G2206" s="10"/>
      <c r="H2206" s="10"/>
      <c r="I2206" s="10"/>
      <c r="J2206" s="10"/>
      <c r="K2206" s="10"/>
      <c r="L2206" s="10"/>
      <c r="M2206" s="10"/>
      <c r="N2206" s="10"/>
      <c r="O2206" s="10"/>
    </row>
    <row r="2207">
      <c r="A2207" s="157"/>
      <c r="B2207" s="9"/>
      <c r="C2207" s="10"/>
      <c r="D2207" s="10"/>
      <c r="E2207" s="10"/>
      <c r="F2207" s="10"/>
      <c r="G2207" s="10"/>
      <c r="H2207" s="10"/>
      <c r="I2207" s="10"/>
      <c r="J2207" s="10"/>
      <c r="K2207" s="10"/>
      <c r="L2207" s="10"/>
      <c r="M2207" s="10"/>
      <c r="N2207" s="10"/>
      <c r="O2207" s="10"/>
    </row>
    <row r="2208">
      <c r="A2208" s="157"/>
      <c r="B2208" s="9"/>
      <c r="C2208" s="10"/>
      <c r="D2208" s="10"/>
      <c r="E2208" s="10"/>
      <c r="F2208" s="10"/>
      <c r="G2208" s="10"/>
      <c r="H2208" s="10"/>
      <c r="I2208" s="10"/>
      <c r="J2208" s="10"/>
      <c r="K2208" s="10"/>
      <c r="L2208" s="10"/>
      <c r="M2208" s="10"/>
      <c r="N2208" s="10"/>
      <c r="O2208" s="10"/>
    </row>
    <row r="2209">
      <c r="A2209" s="157"/>
      <c r="B2209" s="9"/>
      <c r="C2209" s="10"/>
      <c r="D2209" s="10"/>
      <c r="E2209" s="10"/>
      <c r="F2209" s="10"/>
      <c r="G2209" s="10"/>
      <c r="H2209" s="10"/>
      <c r="I2209" s="10"/>
      <c r="J2209" s="10"/>
      <c r="K2209" s="10"/>
      <c r="L2209" s="10"/>
      <c r="M2209" s="10"/>
      <c r="N2209" s="10"/>
      <c r="O2209" s="10"/>
    </row>
    <row r="2210">
      <c r="A2210" s="157"/>
      <c r="B2210" s="9"/>
      <c r="C2210" s="10"/>
      <c r="D2210" s="10"/>
      <c r="E2210" s="10"/>
      <c r="F2210" s="10"/>
      <c r="G2210" s="10"/>
      <c r="H2210" s="10"/>
      <c r="I2210" s="10"/>
      <c r="J2210" s="10"/>
      <c r="K2210" s="10"/>
      <c r="L2210" s="10"/>
      <c r="M2210" s="10"/>
      <c r="N2210" s="10"/>
      <c r="O2210" s="10"/>
    </row>
    <row r="2211">
      <c r="A2211" s="157"/>
      <c r="B2211" s="9"/>
      <c r="C2211" s="10"/>
      <c r="D2211" s="10"/>
      <c r="E2211" s="10"/>
      <c r="F2211" s="10"/>
      <c r="G2211" s="10"/>
      <c r="H2211" s="10"/>
      <c r="I2211" s="10"/>
      <c r="J2211" s="10"/>
      <c r="K2211" s="10"/>
      <c r="L2211" s="10"/>
      <c r="M2211" s="10"/>
      <c r="N2211" s="10"/>
      <c r="O2211" s="10"/>
    </row>
    <row r="2212">
      <c r="A2212" s="157"/>
      <c r="B2212" s="9"/>
      <c r="C2212" s="10"/>
      <c r="D2212" s="10"/>
      <c r="E2212" s="10"/>
      <c r="F2212" s="10"/>
      <c r="G2212" s="10"/>
      <c r="H2212" s="10"/>
      <c r="I2212" s="10"/>
      <c r="J2212" s="10"/>
      <c r="K2212" s="10"/>
      <c r="L2212" s="10"/>
      <c r="M2212" s="10"/>
      <c r="N2212" s="10"/>
      <c r="O2212" s="10"/>
    </row>
    <row r="2213">
      <c r="A2213" s="157"/>
      <c r="B2213" s="9"/>
      <c r="C2213" s="10"/>
      <c r="D2213" s="10"/>
      <c r="E2213" s="10"/>
      <c r="F2213" s="10"/>
      <c r="G2213" s="10"/>
      <c r="H2213" s="10"/>
      <c r="I2213" s="10"/>
      <c r="J2213" s="10"/>
      <c r="K2213" s="10"/>
      <c r="L2213" s="10"/>
      <c r="M2213" s="10"/>
      <c r="N2213" s="10"/>
      <c r="O2213" s="10"/>
    </row>
    <row r="2214">
      <c r="A2214" s="157"/>
      <c r="B2214" s="9"/>
      <c r="C2214" s="10"/>
      <c r="D2214" s="10"/>
      <c r="E2214" s="10"/>
      <c r="F2214" s="10"/>
      <c r="G2214" s="10"/>
      <c r="H2214" s="10"/>
      <c r="I2214" s="10"/>
      <c r="J2214" s="10"/>
      <c r="K2214" s="10"/>
      <c r="L2214" s="10"/>
      <c r="M2214" s="10"/>
      <c r="N2214" s="10"/>
      <c r="O2214" s="10"/>
    </row>
    <row r="2215">
      <c r="A2215" s="157"/>
      <c r="B2215" s="9"/>
      <c r="C2215" s="10"/>
      <c r="D2215" s="10"/>
      <c r="E2215" s="10"/>
      <c r="F2215" s="10"/>
      <c r="G2215" s="10"/>
      <c r="H2215" s="10"/>
      <c r="I2215" s="10"/>
      <c r="J2215" s="10"/>
      <c r="K2215" s="10"/>
      <c r="L2215" s="10"/>
      <c r="M2215" s="10"/>
      <c r="N2215" s="10"/>
      <c r="O2215" s="10"/>
    </row>
    <row r="2216">
      <c r="A2216" s="157"/>
      <c r="B2216" s="9"/>
      <c r="C2216" s="10"/>
      <c r="D2216" s="10"/>
      <c r="E2216" s="10"/>
      <c r="F2216" s="10"/>
      <c r="G2216" s="10"/>
      <c r="H2216" s="10"/>
      <c r="I2216" s="10"/>
      <c r="J2216" s="10"/>
      <c r="K2216" s="10"/>
      <c r="L2216" s="10"/>
      <c r="M2216" s="10"/>
      <c r="N2216" s="10"/>
      <c r="O2216" s="10"/>
    </row>
    <row r="2217">
      <c r="A2217" s="157"/>
      <c r="B2217" s="9"/>
      <c r="C2217" s="10"/>
      <c r="D2217" s="10"/>
      <c r="E2217" s="10"/>
      <c r="F2217" s="10"/>
      <c r="G2217" s="10"/>
      <c r="H2217" s="10"/>
      <c r="I2217" s="10"/>
      <c r="J2217" s="10"/>
      <c r="K2217" s="10"/>
      <c r="L2217" s="10"/>
      <c r="M2217" s="10"/>
      <c r="N2217" s="10"/>
      <c r="O2217" s="10"/>
    </row>
    <row r="2218">
      <c r="A2218" s="157"/>
      <c r="B2218" s="9"/>
      <c r="C2218" s="10"/>
      <c r="D2218" s="10"/>
      <c r="E2218" s="10"/>
      <c r="F2218" s="10"/>
      <c r="G2218" s="10"/>
      <c r="H2218" s="10"/>
      <c r="I2218" s="10"/>
      <c r="J2218" s="10"/>
      <c r="K2218" s="10"/>
      <c r="L2218" s="10"/>
      <c r="M2218" s="10"/>
      <c r="N2218" s="10"/>
      <c r="O2218" s="10"/>
    </row>
    <row r="2219">
      <c r="A2219" s="157"/>
      <c r="B2219" s="9"/>
      <c r="C2219" s="10"/>
      <c r="D2219" s="10"/>
      <c r="E2219" s="10"/>
      <c r="F2219" s="10"/>
      <c r="G2219" s="10"/>
      <c r="H2219" s="10"/>
      <c r="I2219" s="10"/>
      <c r="J2219" s="10"/>
      <c r="K2219" s="10"/>
      <c r="L2219" s="10"/>
      <c r="M2219" s="10"/>
      <c r="N2219" s="10"/>
      <c r="O2219" s="10"/>
    </row>
    <row r="2220">
      <c r="A2220" s="157"/>
      <c r="B2220" s="9"/>
      <c r="C2220" s="10"/>
      <c r="D2220" s="10"/>
      <c r="E2220" s="10"/>
      <c r="F2220" s="10"/>
      <c r="G2220" s="10"/>
      <c r="H2220" s="10"/>
      <c r="I2220" s="10"/>
      <c r="J2220" s="10"/>
      <c r="K2220" s="10"/>
      <c r="L2220" s="10"/>
      <c r="M2220" s="10"/>
      <c r="N2220" s="10"/>
      <c r="O2220" s="10"/>
    </row>
    <row r="2221">
      <c r="A2221" s="157"/>
      <c r="B2221" s="9"/>
      <c r="C2221" s="10"/>
      <c r="D2221" s="10"/>
      <c r="E2221" s="10"/>
      <c r="F2221" s="10"/>
      <c r="G2221" s="10"/>
      <c r="H2221" s="10"/>
      <c r="I2221" s="10"/>
      <c r="J2221" s="10"/>
      <c r="K2221" s="10"/>
      <c r="L2221" s="10"/>
      <c r="M2221" s="10"/>
      <c r="N2221" s="10"/>
      <c r="O2221" s="10"/>
    </row>
    <row r="2222">
      <c r="A2222" s="157"/>
      <c r="B2222" s="9"/>
      <c r="C2222" s="10"/>
      <c r="D2222" s="10"/>
      <c r="E2222" s="10"/>
      <c r="F2222" s="10"/>
      <c r="G2222" s="10"/>
      <c r="H2222" s="10"/>
      <c r="I2222" s="10"/>
      <c r="J2222" s="10"/>
      <c r="K2222" s="10"/>
      <c r="L2222" s="10"/>
      <c r="M2222" s="10"/>
      <c r="N2222" s="10"/>
      <c r="O2222" s="10"/>
    </row>
    <row r="2223">
      <c r="A2223" s="157"/>
      <c r="B2223" s="9"/>
      <c r="C2223" s="10"/>
      <c r="D2223" s="10"/>
      <c r="E2223" s="10"/>
      <c r="F2223" s="10"/>
      <c r="G2223" s="10"/>
      <c r="H2223" s="10"/>
      <c r="I2223" s="10"/>
      <c r="J2223" s="10"/>
      <c r="K2223" s="10"/>
      <c r="L2223" s="10"/>
      <c r="M2223" s="10"/>
      <c r="N2223" s="10"/>
      <c r="O2223" s="10"/>
    </row>
    <row r="2224">
      <c r="A2224" s="157"/>
      <c r="B2224" s="9"/>
      <c r="C2224" s="10"/>
      <c r="D2224" s="10"/>
      <c r="E2224" s="10"/>
      <c r="F2224" s="10"/>
      <c r="G2224" s="10"/>
      <c r="H2224" s="10"/>
      <c r="I2224" s="10"/>
      <c r="J2224" s="10"/>
      <c r="K2224" s="10"/>
      <c r="L2224" s="10"/>
      <c r="M2224" s="10"/>
      <c r="N2224" s="10"/>
      <c r="O2224" s="10"/>
    </row>
    <row r="2225">
      <c r="A2225" s="157"/>
      <c r="B2225" s="9"/>
      <c r="C2225" s="10"/>
      <c r="D2225" s="10"/>
      <c r="E2225" s="10"/>
      <c r="F2225" s="10"/>
      <c r="G2225" s="10"/>
      <c r="H2225" s="10"/>
      <c r="I2225" s="10"/>
      <c r="J2225" s="10"/>
      <c r="K2225" s="10"/>
      <c r="L2225" s="10"/>
      <c r="M2225" s="10"/>
      <c r="N2225" s="10"/>
      <c r="O2225" s="10"/>
    </row>
    <row r="2226">
      <c r="A2226" s="157"/>
      <c r="B2226" s="9"/>
      <c r="C2226" s="10"/>
      <c r="D2226" s="10"/>
      <c r="E2226" s="10"/>
      <c r="F2226" s="10"/>
      <c r="G2226" s="10"/>
      <c r="H2226" s="10"/>
      <c r="I2226" s="10"/>
      <c r="J2226" s="10"/>
      <c r="K2226" s="10"/>
      <c r="L2226" s="10"/>
      <c r="M2226" s="10"/>
      <c r="N2226" s="10"/>
      <c r="O2226" s="10"/>
    </row>
    <row r="2227">
      <c r="A2227" s="157"/>
      <c r="B2227" s="9"/>
      <c r="C2227" s="10"/>
      <c r="D2227" s="10"/>
      <c r="E2227" s="10"/>
      <c r="F2227" s="10"/>
      <c r="G2227" s="10"/>
      <c r="H2227" s="10"/>
      <c r="I2227" s="10"/>
      <c r="J2227" s="10"/>
      <c r="K2227" s="10"/>
      <c r="L2227" s="10"/>
      <c r="M2227" s="10"/>
      <c r="N2227" s="10"/>
      <c r="O2227" s="10"/>
    </row>
    <row r="2228">
      <c r="A2228" s="157"/>
      <c r="B2228" s="9"/>
      <c r="C2228" s="10"/>
      <c r="D2228" s="10"/>
      <c r="E2228" s="10"/>
      <c r="F2228" s="10"/>
      <c r="G2228" s="10"/>
      <c r="H2228" s="10"/>
      <c r="I2228" s="10"/>
      <c r="J2228" s="10"/>
      <c r="K2228" s="10"/>
      <c r="L2228" s="10"/>
      <c r="M2228" s="10"/>
      <c r="N2228" s="10"/>
      <c r="O2228" s="10"/>
    </row>
    <row r="2229">
      <c r="A2229" s="157"/>
      <c r="B2229" s="9"/>
      <c r="C2229" s="10"/>
      <c r="D2229" s="10"/>
      <c r="E2229" s="10"/>
      <c r="F2229" s="10"/>
      <c r="G2229" s="10"/>
      <c r="H2229" s="10"/>
      <c r="I2229" s="10"/>
      <c r="J2229" s="10"/>
      <c r="K2229" s="10"/>
      <c r="L2229" s="10"/>
      <c r="M2229" s="10"/>
      <c r="N2229" s="10"/>
      <c r="O2229" s="10"/>
    </row>
    <row r="2230">
      <c r="A2230" s="157"/>
      <c r="B2230" s="9"/>
      <c r="C2230" s="10"/>
      <c r="D2230" s="10"/>
      <c r="E2230" s="10"/>
      <c r="F2230" s="10"/>
      <c r="G2230" s="10"/>
      <c r="H2230" s="10"/>
      <c r="I2230" s="10"/>
      <c r="J2230" s="10"/>
      <c r="K2230" s="10"/>
      <c r="L2230" s="10"/>
      <c r="M2230" s="10"/>
      <c r="N2230" s="10"/>
      <c r="O2230" s="10"/>
    </row>
    <row r="2231">
      <c r="A2231" s="157"/>
      <c r="B2231" s="9"/>
      <c r="C2231" s="10"/>
      <c r="D2231" s="10"/>
      <c r="E2231" s="10"/>
      <c r="F2231" s="10"/>
      <c r="G2231" s="10"/>
      <c r="H2231" s="10"/>
      <c r="I2231" s="10"/>
      <c r="J2231" s="10"/>
      <c r="K2231" s="10"/>
      <c r="L2231" s="10"/>
      <c r="M2231" s="10"/>
      <c r="N2231" s="10"/>
      <c r="O2231" s="10"/>
    </row>
    <row r="2232">
      <c r="A2232" s="157"/>
      <c r="B2232" s="9"/>
      <c r="C2232" s="10"/>
      <c r="D2232" s="10"/>
      <c r="E2232" s="10"/>
      <c r="F2232" s="10"/>
      <c r="G2232" s="10"/>
      <c r="H2232" s="10"/>
      <c r="I2232" s="10"/>
      <c r="J2232" s="10"/>
      <c r="K2232" s="10"/>
      <c r="L2232" s="10"/>
      <c r="M2232" s="10"/>
      <c r="N2232" s="10"/>
      <c r="O2232" s="10"/>
    </row>
    <row r="2233">
      <c r="A2233" s="157"/>
      <c r="B2233" s="9"/>
      <c r="C2233" s="10"/>
      <c r="D2233" s="10"/>
      <c r="E2233" s="10"/>
      <c r="F2233" s="10"/>
      <c r="G2233" s="10"/>
      <c r="H2233" s="10"/>
      <c r="I2233" s="10"/>
      <c r="J2233" s="10"/>
      <c r="K2233" s="10"/>
      <c r="L2233" s="10"/>
      <c r="M2233" s="10"/>
      <c r="N2233" s="10"/>
      <c r="O2233" s="10"/>
    </row>
    <row r="2234">
      <c r="A2234" s="157"/>
      <c r="B2234" s="9"/>
      <c r="C2234" s="10"/>
      <c r="D2234" s="10"/>
      <c r="E2234" s="10"/>
      <c r="F2234" s="10"/>
      <c r="G2234" s="10"/>
      <c r="H2234" s="10"/>
      <c r="I2234" s="10"/>
      <c r="J2234" s="10"/>
      <c r="K2234" s="10"/>
      <c r="L2234" s="10"/>
      <c r="M2234" s="10"/>
      <c r="N2234" s="10"/>
      <c r="O2234" s="10"/>
    </row>
    <row r="2235">
      <c r="A2235" s="157"/>
      <c r="B2235" s="9"/>
      <c r="C2235" s="10"/>
      <c r="D2235" s="10"/>
      <c r="E2235" s="10"/>
      <c r="F2235" s="10"/>
      <c r="G2235" s="10"/>
      <c r="H2235" s="10"/>
      <c r="I2235" s="10"/>
      <c r="J2235" s="10"/>
      <c r="K2235" s="10"/>
      <c r="L2235" s="10"/>
      <c r="M2235" s="10"/>
      <c r="N2235" s="10"/>
      <c r="O2235" s="10"/>
    </row>
    <row r="2236">
      <c r="A2236" s="157"/>
      <c r="B2236" s="9"/>
      <c r="C2236" s="10"/>
      <c r="D2236" s="10"/>
      <c r="E2236" s="10"/>
      <c r="F2236" s="10"/>
      <c r="G2236" s="10"/>
      <c r="H2236" s="10"/>
      <c r="I2236" s="10"/>
      <c r="J2236" s="10"/>
      <c r="K2236" s="10"/>
      <c r="L2236" s="10"/>
      <c r="M2236" s="10"/>
      <c r="N2236" s="10"/>
      <c r="O2236" s="10"/>
    </row>
    <row r="2237">
      <c r="A2237" s="157"/>
      <c r="B2237" s="9"/>
      <c r="C2237" s="10"/>
      <c r="D2237" s="10"/>
      <c r="E2237" s="10"/>
      <c r="F2237" s="10"/>
      <c r="G2237" s="10"/>
      <c r="H2237" s="10"/>
      <c r="I2237" s="10"/>
      <c r="J2237" s="10"/>
      <c r="K2237" s="10"/>
      <c r="L2237" s="10"/>
      <c r="M2237" s="10"/>
      <c r="N2237" s="10"/>
      <c r="O2237" s="10"/>
    </row>
    <row r="2238">
      <c r="A2238" s="157"/>
      <c r="B2238" s="9"/>
      <c r="C2238" s="10"/>
      <c r="D2238" s="10"/>
      <c r="E2238" s="10"/>
      <c r="F2238" s="10"/>
      <c r="G2238" s="10"/>
      <c r="H2238" s="10"/>
      <c r="I2238" s="10"/>
      <c r="J2238" s="10"/>
      <c r="K2238" s="10"/>
      <c r="L2238" s="10"/>
      <c r="M2238" s="10"/>
      <c r="N2238" s="10"/>
      <c r="O2238" s="10"/>
    </row>
    <row r="2239">
      <c r="A2239" s="157"/>
      <c r="B2239" s="9"/>
      <c r="C2239" s="10"/>
      <c r="D2239" s="10"/>
      <c r="E2239" s="10"/>
      <c r="F2239" s="10"/>
      <c r="G2239" s="10"/>
      <c r="H2239" s="10"/>
      <c r="I2239" s="10"/>
      <c r="J2239" s="10"/>
      <c r="K2239" s="10"/>
      <c r="L2239" s="10"/>
      <c r="M2239" s="10"/>
      <c r="N2239" s="10"/>
      <c r="O2239" s="10"/>
    </row>
    <row r="2240">
      <c r="A2240" s="157"/>
      <c r="B2240" s="9"/>
      <c r="C2240" s="10"/>
      <c r="D2240" s="10"/>
      <c r="E2240" s="10"/>
      <c r="F2240" s="10"/>
      <c r="G2240" s="10"/>
      <c r="H2240" s="10"/>
      <c r="I2240" s="10"/>
      <c r="J2240" s="10"/>
      <c r="K2240" s="10"/>
      <c r="L2240" s="10"/>
      <c r="M2240" s="10"/>
      <c r="N2240" s="10"/>
      <c r="O2240" s="10"/>
    </row>
    <row r="2241">
      <c r="A2241" s="157"/>
      <c r="B2241" s="9"/>
      <c r="C2241" s="10"/>
      <c r="D2241" s="10"/>
      <c r="E2241" s="10"/>
      <c r="F2241" s="10"/>
      <c r="G2241" s="10"/>
      <c r="H2241" s="10"/>
      <c r="I2241" s="10"/>
      <c r="J2241" s="10"/>
      <c r="K2241" s="10"/>
      <c r="L2241" s="10"/>
      <c r="M2241" s="10"/>
      <c r="N2241" s="10"/>
      <c r="O2241" s="10"/>
    </row>
    <row r="2242">
      <c r="A2242" s="157"/>
      <c r="B2242" s="9"/>
      <c r="C2242" s="10"/>
      <c r="D2242" s="10"/>
      <c r="E2242" s="10"/>
      <c r="F2242" s="10"/>
      <c r="G2242" s="10"/>
      <c r="H2242" s="10"/>
      <c r="I2242" s="10"/>
      <c r="J2242" s="10"/>
      <c r="K2242" s="10"/>
      <c r="L2242" s="10"/>
      <c r="M2242" s="10"/>
      <c r="N2242" s="10"/>
      <c r="O2242" s="10"/>
    </row>
    <row r="2243">
      <c r="A2243" s="157"/>
      <c r="B2243" s="9"/>
      <c r="C2243" s="10"/>
      <c r="D2243" s="10"/>
      <c r="E2243" s="10"/>
      <c r="F2243" s="10"/>
      <c r="G2243" s="10"/>
      <c r="H2243" s="10"/>
      <c r="I2243" s="10"/>
      <c r="J2243" s="10"/>
      <c r="K2243" s="10"/>
      <c r="L2243" s="10"/>
      <c r="M2243" s="10"/>
      <c r="N2243" s="10"/>
      <c r="O2243" s="10"/>
    </row>
    <row r="2244">
      <c r="A2244" s="157"/>
      <c r="B2244" s="9"/>
      <c r="C2244" s="10"/>
      <c r="D2244" s="10"/>
      <c r="E2244" s="10"/>
      <c r="F2244" s="10"/>
      <c r="G2244" s="10"/>
      <c r="H2244" s="10"/>
      <c r="I2244" s="10"/>
      <c r="J2244" s="10"/>
      <c r="K2244" s="10"/>
      <c r="L2244" s="10"/>
      <c r="M2244" s="10"/>
      <c r="N2244" s="10"/>
      <c r="O2244" s="10"/>
    </row>
    <row r="2245">
      <c r="A2245" s="157"/>
      <c r="B2245" s="9"/>
      <c r="C2245" s="10"/>
      <c r="D2245" s="10"/>
      <c r="E2245" s="10"/>
      <c r="F2245" s="10"/>
      <c r="G2245" s="10"/>
      <c r="H2245" s="10"/>
      <c r="I2245" s="10"/>
      <c r="J2245" s="10"/>
      <c r="K2245" s="10"/>
      <c r="L2245" s="10"/>
      <c r="M2245" s="10"/>
      <c r="N2245" s="10"/>
      <c r="O2245" s="10"/>
    </row>
    <row r="2246">
      <c r="A2246" s="157"/>
      <c r="B2246" s="9"/>
      <c r="C2246" s="10"/>
      <c r="D2246" s="10"/>
      <c r="E2246" s="10"/>
      <c r="F2246" s="10"/>
      <c r="G2246" s="10"/>
      <c r="H2246" s="10"/>
      <c r="I2246" s="10"/>
      <c r="J2246" s="10"/>
      <c r="K2246" s="10"/>
      <c r="L2246" s="10"/>
      <c r="M2246" s="10"/>
      <c r="N2246" s="10"/>
      <c r="O2246" s="10"/>
    </row>
    <row r="2247">
      <c r="A2247" s="157"/>
      <c r="B2247" s="9"/>
      <c r="C2247" s="10"/>
      <c r="D2247" s="10"/>
      <c r="E2247" s="10"/>
      <c r="F2247" s="10"/>
      <c r="G2247" s="10"/>
      <c r="H2247" s="10"/>
      <c r="I2247" s="10"/>
      <c r="J2247" s="10"/>
      <c r="K2247" s="10"/>
      <c r="L2247" s="10"/>
      <c r="M2247" s="10"/>
      <c r="N2247" s="10"/>
      <c r="O2247" s="10"/>
    </row>
    <row r="2248">
      <c r="A2248" s="157"/>
      <c r="B2248" s="9"/>
      <c r="C2248" s="10"/>
      <c r="D2248" s="10"/>
      <c r="E2248" s="10"/>
      <c r="F2248" s="10"/>
      <c r="G2248" s="10"/>
      <c r="H2248" s="10"/>
      <c r="I2248" s="10"/>
      <c r="J2248" s="10"/>
      <c r="K2248" s="10"/>
      <c r="L2248" s="10"/>
      <c r="M2248" s="10"/>
      <c r="N2248" s="10"/>
      <c r="O2248" s="10"/>
    </row>
    <row r="2249">
      <c r="A2249" s="157"/>
      <c r="B2249" s="9"/>
      <c r="C2249" s="10"/>
      <c r="D2249" s="10"/>
      <c r="E2249" s="10"/>
      <c r="F2249" s="10"/>
      <c r="G2249" s="10"/>
      <c r="H2249" s="10"/>
      <c r="I2249" s="10"/>
      <c r="J2249" s="10"/>
      <c r="K2249" s="10"/>
      <c r="L2249" s="10"/>
      <c r="M2249" s="10"/>
      <c r="N2249" s="10"/>
      <c r="O2249" s="10"/>
    </row>
    <row r="2250">
      <c r="A2250" s="157"/>
      <c r="B2250" s="9"/>
      <c r="C2250" s="10"/>
      <c r="D2250" s="10"/>
      <c r="E2250" s="10"/>
      <c r="F2250" s="10"/>
      <c r="G2250" s="10"/>
      <c r="H2250" s="10"/>
      <c r="I2250" s="10"/>
      <c r="J2250" s="10"/>
      <c r="K2250" s="10"/>
      <c r="L2250" s="10"/>
      <c r="M2250" s="10"/>
      <c r="N2250" s="10"/>
      <c r="O2250" s="10"/>
    </row>
    <row r="2251">
      <c r="A2251" s="157"/>
      <c r="B2251" s="9"/>
      <c r="C2251" s="10"/>
      <c r="D2251" s="10"/>
      <c r="E2251" s="10"/>
      <c r="F2251" s="10"/>
      <c r="G2251" s="10"/>
      <c r="H2251" s="10"/>
      <c r="I2251" s="10"/>
      <c r="J2251" s="10"/>
      <c r="K2251" s="10"/>
      <c r="L2251" s="10"/>
      <c r="M2251" s="10"/>
      <c r="N2251" s="10"/>
      <c r="O2251" s="10"/>
    </row>
    <row r="2252">
      <c r="A2252" s="157"/>
      <c r="B2252" s="9"/>
      <c r="C2252" s="10"/>
      <c r="D2252" s="10"/>
      <c r="E2252" s="10"/>
      <c r="F2252" s="10"/>
      <c r="G2252" s="10"/>
      <c r="H2252" s="10"/>
      <c r="I2252" s="10"/>
      <c r="J2252" s="10"/>
      <c r="K2252" s="10"/>
      <c r="L2252" s="10"/>
      <c r="M2252" s="10"/>
      <c r="N2252" s="10"/>
      <c r="O2252" s="10"/>
    </row>
    <row r="2253">
      <c r="A2253" s="157"/>
      <c r="B2253" s="9"/>
      <c r="C2253" s="10"/>
      <c r="D2253" s="10"/>
      <c r="E2253" s="10"/>
      <c r="F2253" s="10"/>
      <c r="G2253" s="10"/>
      <c r="H2253" s="10"/>
      <c r="I2253" s="10"/>
      <c r="J2253" s="10"/>
      <c r="K2253" s="10"/>
      <c r="L2253" s="10"/>
      <c r="M2253" s="10"/>
      <c r="N2253" s="10"/>
      <c r="O2253" s="10"/>
    </row>
    <row r="2254">
      <c r="A2254" s="157"/>
      <c r="B2254" s="9"/>
      <c r="C2254" s="10"/>
      <c r="D2254" s="10"/>
      <c r="E2254" s="10"/>
      <c r="F2254" s="10"/>
      <c r="G2254" s="10"/>
      <c r="H2254" s="10"/>
      <c r="I2254" s="10"/>
      <c r="J2254" s="10"/>
      <c r="K2254" s="10"/>
      <c r="L2254" s="10"/>
      <c r="M2254" s="10"/>
      <c r="N2254" s="10"/>
      <c r="O2254" s="10"/>
    </row>
    <row r="2255">
      <c r="A2255" s="157"/>
      <c r="B2255" s="9"/>
      <c r="C2255" s="10"/>
      <c r="D2255" s="10"/>
      <c r="E2255" s="10"/>
      <c r="F2255" s="10"/>
      <c r="G2255" s="10"/>
      <c r="H2255" s="10"/>
      <c r="I2255" s="10"/>
      <c r="J2255" s="10"/>
      <c r="K2255" s="10"/>
      <c r="L2255" s="10"/>
      <c r="M2255" s="10"/>
      <c r="N2255" s="10"/>
      <c r="O2255" s="10"/>
    </row>
    <row r="2256">
      <c r="A2256" s="157"/>
      <c r="B2256" s="9"/>
      <c r="C2256" s="10"/>
      <c r="D2256" s="10"/>
      <c r="E2256" s="10"/>
      <c r="F2256" s="10"/>
      <c r="G2256" s="10"/>
      <c r="H2256" s="10"/>
      <c r="I2256" s="10"/>
      <c r="J2256" s="10"/>
      <c r="K2256" s="10"/>
      <c r="L2256" s="10"/>
      <c r="M2256" s="10"/>
      <c r="N2256" s="10"/>
      <c r="O2256" s="10"/>
    </row>
    <row r="2257">
      <c r="A2257" s="157"/>
      <c r="B2257" s="9"/>
      <c r="C2257" s="10"/>
      <c r="D2257" s="10"/>
      <c r="E2257" s="10"/>
      <c r="F2257" s="10"/>
      <c r="G2257" s="10"/>
      <c r="H2257" s="10"/>
      <c r="I2257" s="10"/>
      <c r="J2257" s="10"/>
      <c r="K2257" s="10"/>
      <c r="L2257" s="10"/>
      <c r="M2257" s="10"/>
      <c r="N2257" s="10"/>
      <c r="O2257" s="10"/>
    </row>
    <row r="2258">
      <c r="A2258" s="157"/>
      <c r="B2258" s="9"/>
      <c r="C2258" s="10"/>
      <c r="D2258" s="10"/>
      <c r="E2258" s="10"/>
      <c r="F2258" s="10"/>
      <c r="G2258" s="10"/>
      <c r="H2258" s="10"/>
      <c r="I2258" s="10"/>
      <c r="J2258" s="10"/>
      <c r="K2258" s="10"/>
      <c r="L2258" s="10"/>
      <c r="M2258" s="10"/>
      <c r="N2258" s="10"/>
      <c r="O2258" s="10"/>
    </row>
    <row r="2259">
      <c r="A2259" s="157"/>
      <c r="B2259" s="9"/>
      <c r="C2259" s="10"/>
      <c r="D2259" s="10"/>
      <c r="E2259" s="10"/>
      <c r="F2259" s="10"/>
      <c r="G2259" s="10"/>
      <c r="H2259" s="10"/>
      <c r="I2259" s="10"/>
      <c r="J2259" s="10"/>
      <c r="K2259" s="10"/>
      <c r="L2259" s="10"/>
      <c r="M2259" s="10"/>
      <c r="N2259" s="10"/>
      <c r="O2259" s="10"/>
    </row>
    <row r="2260">
      <c r="A2260" s="157"/>
      <c r="B2260" s="9"/>
      <c r="C2260" s="10"/>
      <c r="D2260" s="10"/>
      <c r="E2260" s="10"/>
      <c r="F2260" s="10"/>
      <c r="G2260" s="10"/>
      <c r="H2260" s="10"/>
      <c r="I2260" s="10"/>
      <c r="J2260" s="10"/>
      <c r="K2260" s="10"/>
      <c r="L2260" s="10"/>
      <c r="M2260" s="10"/>
      <c r="N2260" s="10"/>
      <c r="O2260" s="10"/>
    </row>
    <row r="2261">
      <c r="A2261" s="157"/>
      <c r="B2261" s="9"/>
      <c r="C2261" s="10"/>
      <c r="D2261" s="10"/>
      <c r="E2261" s="10"/>
      <c r="F2261" s="10"/>
      <c r="G2261" s="10"/>
      <c r="H2261" s="10"/>
      <c r="I2261" s="10"/>
      <c r="J2261" s="10"/>
      <c r="K2261" s="10"/>
      <c r="L2261" s="10"/>
      <c r="M2261" s="10"/>
      <c r="N2261" s="10"/>
      <c r="O2261" s="10"/>
    </row>
    <row r="2262">
      <c r="A2262" s="157"/>
      <c r="B2262" s="9"/>
      <c r="C2262" s="10"/>
      <c r="D2262" s="10"/>
      <c r="E2262" s="10"/>
      <c r="F2262" s="10"/>
      <c r="G2262" s="10"/>
      <c r="H2262" s="10"/>
      <c r="I2262" s="10"/>
      <c r="J2262" s="10"/>
      <c r="K2262" s="10"/>
      <c r="L2262" s="10"/>
      <c r="M2262" s="10"/>
      <c r="N2262" s="10"/>
      <c r="O2262" s="10"/>
    </row>
    <row r="2263">
      <c r="A2263" s="157"/>
      <c r="B2263" s="9"/>
      <c r="C2263" s="10"/>
      <c r="D2263" s="10"/>
      <c r="E2263" s="10"/>
      <c r="F2263" s="10"/>
      <c r="G2263" s="10"/>
      <c r="H2263" s="10"/>
      <c r="I2263" s="10"/>
      <c r="J2263" s="10"/>
      <c r="K2263" s="10"/>
      <c r="L2263" s="10"/>
      <c r="M2263" s="10"/>
      <c r="N2263" s="10"/>
      <c r="O2263" s="10"/>
    </row>
    <row r="2264">
      <c r="A2264" s="157"/>
      <c r="B2264" s="9"/>
      <c r="C2264" s="10"/>
      <c r="D2264" s="10"/>
      <c r="E2264" s="10"/>
      <c r="F2264" s="10"/>
      <c r="G2264" s="10"/>
      <c r="H2264" s="10"/>
      <c r="I2264" s="10"/>
      <c r="J2264" s="10"/>
      <c r="K2264" s="10"/>
      <c r="L2264" s="10"/>
      <c r="M2264" s="10"/>
      <c r="N2264" s="10"/>
      <c r="O2264" s="10"/>
    </row>
    <row r="2265">
      <c r="A2265" s="157"/>
      <c r="B2265" s="9"/>
      <c r="C2265" s="10"/>
      <c r="D2265" s="10"/>
      <c r="E2265" s="10"/>
      <c r="F2265" s="10"/>
      <c r="G2265" s="10"/>
      <c r="H2265" s="10"/>
      <c r="I2265" s="10"/>
      <c r="J2265" s="10"/>
      <c r="K2265" s="10"/>
      <c r="L2265" s="10"/>
      <c r="M2265" s="10"/>
      <c r="N2265" s="10"/>
      <c r="O2265" s="10"/>
    </row>
    <row r="2266">
      <c r="A2266" s="157"/>
      <c r="B2266" s="9"/>
      <c r="C2266" s="10"/>
      <c r="D2266" s="10"/>
      <c r="E2266" s="10"/>
      <c r="F2266" s="10"/>
      <c r="G2266" s="10"/>
      <c r="H2266" s="10"/>
      <c r="I2266" s="10"/>
      <c r="J2266" s="10"/>
      <c r="K2266" s="10"/>
      <c r="L2266" s="10"/>
      <c r="M2266" s="10"/>
      <c r="N2266" s="10"/>
      <c r="O2266" s="10"/>
    </row>
    <row r="2267">
      <c r="A2267" s="157"/>
      <c r="B2267" s="9"/>
      <c r="C2267" s="10"/>
      <c r="D2267" s="10"/>
      <c r="E2267" s="10"/>
      <c r="F2267" s="10"/>
      <c r="G2267" s="10"/>
      <c r="H2267" s="10"/>
      <c r="I2267" s="10"/>
      <c r="J2267" s="10"/>
      <c r="K2267" s="10"/>
      <c r="L2267" s="10"/>
      <c r="M2267" s="10"/>
      <c r="N2267" s="10"/>
      <c r="O2267" s="10"/>
    </row>
    <row r="2268">
      <c r="A2268" s="157"/>
      <c r="B2268" s="9"/>
      <c r="C2268" s="10"/>
      <c r="D2268" s="10"/>
      <c r="E2268" s="10"/>
      <c r="F2268" s="10"/>
      <c r="G2268" s="10"/>
      <c r="H2268" s="10"/>
      <c r="I2268" s="10"/>
      <c r="J2268" s="10"/>
      <c r="K2268" s="10"/>
      <c r="L2268" s="10"/>
      <c r="M2268" s="10"/>
      <c r="N2268" s="10"/>
      <c r="O2268" s="10"/>
    </row>
    <row r="2269">
      <c r="A2269" s="157"/>
      <c r="B2269" s="9"/>
      <c r="C2269" s="10"/>
      <c r="D2269" s="10"/>
      <c r="E2269" s="10"/>
      <c r="F2269" s="10"/>
      <c r="G2269" s="10"/>
      <c r="H2269" s="10"/>
      <c r="I2269" s="10"/>
      <c r="J2269" s="10"/>
      <c r="K2269" s="10"/>
      <c r="L2269" s="10"/>
      <c r="M2269" s="10"/>
      <c r="N2269" s="10"/>
      <c r="O2269" s="10"/>
    </row>
    <row r="2270">
      <c r="A2270" s="157"/>
      <c r="B2270" s="9"/>
      <c r="C2270" s="10"/>
      <c r="D2270" s="10"/>
      <c r="E2270" s="10"/>
      <c r="F2270" s="10"/>
      <c r="G2270" s="10"/>
      <c r="H2270" s="10"/>
      <c r="I2270" s="10"/>
      <c r="J2270" s="10"/>
      <c r="K2270" s="10"/>
      <c r="L2270" s="10"/>
      <c r="M2270" s="10"/>
      <c r="N2270" s="10"/>
      <c r="O2270" s="10"/>
    </row>
    <row r="2271">
      <c r="A2271" s="157"/>
      <c r="B2271" s="9"/>
      <c r="C2271" s="10"/>
      <c r="D2271" s="10"/>
      <c r="E2271" s="10"/>
      <c r="F2271" s="10"/>
      <c r="G2271" s="10"/>
      <c r="H2271" s="10"/>
      <c r="I2271" s="10"/>
      <c r="J2271" s="10"/>
      <c r="K2271" s="10"/>
      <c r="L2271" s="10"/>
      <c r="M2271" s="10"/>
      <c r="N2271" s="10"/>
      <c r="O2271" s="10"/>
    </row>
    <row r="2272">
      <c r="A2272" s="157"/>
      <c r="B2272" s="9"/>
      <c r="C2272" s="10"/>
      <c r="D2272" s="10"/>
      <c r="E2272" s="10"/>
      <c r="F2272" s="10"/>
      <c r="G2272" s="10"/>
      <c r="H2272" s="10"/>
      <c r="I2272" s="10"/>
      <c r="J2272" s="10"/>
      <c r="K2272" s="10"/>
      <c r="L2272" s="10"/>
      <c r="M2272" s="10"/>
      <c r="N2272" s="10"/>
      <c r="O2272" s="10"/>
    </row>
    <row r="2273">
      <c r="A2273" s="157"/>
      <c r="B2273" s="9"/>
      <c r="C2273" s="10"/>
      <c r="D2273" s="10"/>
      <c r="E2273" s="10"/>
      <c r="F2273" s="10"/>
      <c r="G2273" s="10"/>
      <c r="H2273" s="10"/>
      <c r="I2273" s="10"/>
      <c r="J2273" s="10"/>
      <c r="K2273" s="10"/>
      <c r="L2273" s="10"/>
      <c r="M2273" s="10"/>
      <c r="N2273" s="10"/>
      <c r="O2273" s="10"/>
    </row>
    <row r="2274">
      <c r="A2274" s="157"/>
      <c r="B2274" s="9"/>
      <c r="C2274" s="10"/>
      <c r="D2274" s="10"/>
      <c r="E2274" s="10"/>
      <c r="F2274" s="10"/>
      <c r="G2274" s="10"/>
      <c r="H2274" s="10"/>
      <c r="I2274" s="10"/>
      <c r="J2274" s="10"/>
      <c r="K2274" s="10"/>
      <c r="L2274" s="10"/>
      <c r="M2274" s="10"/>
      <c r="N2274" s="10"/>
      <c r="O2274" s="10"/>
    </row>
    <row r="2275">
      <c r="A2275" s="157"/>
      <c r="B2275" s="9"/>
      <c r="C2275" s="10"/>
      <c r="D2275" s="10"/>
      <c r="E2275" s="10"/>
      <c r="F2275" s="10"/>
      <c r="G2275" s="10"/>
      <c r="H2275" s="10"/>
      <c r="I2275" s="10"/>
      <c r="J2275" s="10"/>
      <c r="K2275" s="10"/>
      <c r="L2275" s="10"/>
      <c r="M2275" s="10"/>
      <c r="N2275" s="10"/>
      <c r="O2275" s="10"/>
    </row>
    <row r="2276">
      <c r="A2276" s="157"/>
      <c r="B2276" s="9"/>
      <c r="C2276" s="10"/>
      <c r="D2276" s="10"/>
      <c r="E2276" s="10"/>
      <c r="F2276" s="10"/>
      <c r="G2276" s="10"/>
      <c r="H2276" s="10"/>
      <c r="I2276" s="10"/>
      <c r="J2276" s="10"/>
      <c r="K2276" s="10"/>
      <c r="L2276" s="10"/>
      <c r="M2276" s="10"/>
      <c r="N2276" s="10"/>
      <c r="O2276" s="10"/>
    </row>
    <row r="2277">
      <c r="A2277" s="157"/>
      <c r="B2277" s="9"/>
      <c r="C2277" s="10"/>
      <c r="D2277" s="10"/>
      <c r="E2277" s="10"/>
      <c r="F2277" s="10"/>
      <c r="G2277" s="10"/>
      <c r="H2277" s="10"/>
      <c r="I2277" s="10"/>
      <c r="J2277" s="10"/>
      <c r="K2277" s="10"/>
      <c r="L2277" s="10"/>
      <c r="M2277" s="10"/>
      <c r="N2277" s="10"/>
      <c r="O2277" s="10"/>
    </row>
    <row r="2278">
      <c r="A2278" s="157"/>
      <c r="B2278" s="9"/>
      <c r="C2278" s="10"/>
      <c r="D2278" s="10"/>
      <c r="E2278" s="10"/>
      <c r="F2278" s="10"/>
      <c r="G2278" s="10"/>
      <c r="H2278" s="10"/>
      <c r="I2278" s="10"/>
      <c r="J2278" s="10"/>
      <c r="K2278" s="10"/>
      <c r="L2278" s="10"/>
      <c r="M2278" s="10"/>
      <c r="N2278" s="10"/>
      <c r="O2278" s="10"/>
    </row>
    <row r="2279">
      <c r="A2279" s="157"/>
      <c r="B2279" s="9"/>
      <c r="C2279" s="10"/>
      <c r="D2279" s="10"/>
      <c r="E2279" s="10"/>
      <c r="F2279" s="10"/>
      <c r="G2279" s="10"/>
      <c r="H2279" s="10"/>
      <c r="I2279" s="10"/>
      <c r="J2279" s="10"/>
      <c r="K2279" s="10"/>
      <c r="L2279" s="10"/>
      <c r="M2279" s="10"/>
      <c r="N2279" s="10"/>
      <c r="O2279" s="10"/>
    </row>
    <row r="2280">
      <c r="A2280" s="157"/>
      <c r="B2280" s="9"/>
      <c r="C2280" s="10"/>
      <c r="D2280" s="10"/>
      <c r="E2280" s="10"/>
      <c r="F2280" s="10"/>
      <c r="G2280" s="10"/>
      <c r="H2280" s="10"/>
      <c r="I2280" s="10"/>
      <c r="J2280" s="10"/>
      <c r="K2280" s="10"/>
      <c r="L2280" s="10"/>
      <c r="M2280" s="10"/>
      <c r="N2280" s="10"/>
      <c r="O2280" s="10"/>
    </row>
    <row r="2281">
      <c r="A2281" s="157"/>
      <c r="B2281" s="9"/>
      <c r="C2281" s="10"/>
      <c r="D2281" s="10"/>
      <c r="E2281" s="10"/>
      <c r="F2281" s="10"/>
      <c r="G2281" s="10"/>
      <c r="H2281" s="10"/>
      <c r="I2281" s="10"/>
      <c r="J2281" s="10"/>
      <c r="K2281" s="10"/>
      <c r="L2281" s="10"/>
      <c r="M2281" s="10"/>
      <c r="N2281" s="10"/>
      <c r="O2281" s="10"/>
    </row>
    <row r="2282">
      <c r="A2282" s="157"/>
      <c r="B2282" s="9"/>
      <c r="C2282" s="10"/>
      <c r="D2282" s="10"/>
      <c r="E2282" s="10"/>
      <c r="F2282" s="10"/>
      <c r="G2282" s="10"/>
      <c r="H2282" s="10"/>
      <c r="I2282" s="10"/>
      <c r="J2282" s="10"/>
      <c r="K2282" s="10"/>
      <c r="L2282" s="10"/>
      <c r="M2282" s="10"/>
      <c r="N2282" s="10"/>
      <c r="O2282" s="10"/>
    </row>
    <row r="2283">
      <c r="A2283" s="157"/>
      <c r="B2283" s="9"/>
      <c r="C2283" s="10"/>
      <c r="D2283" s="10"/>
      <c r="E2283" s="10"/>
      <c r="F2283" s="10"/>
      <c r="G2283" s="10"/>
      <c r="H2283" s="10"/>
      <c r="I2283" s="10"/>
      <c r="J2283" s="10"/>
      <c r="K2283" s="10"/>
      <c r="L2283" s="10"/>
      <c r="M2283" s="10"/>
      <c r="N2283" s="10"/>
      <c r="O2283" s="10"/>
    </row>
    <row r="2284">
      <c r="A2284" s="157"/>
      <c r="B2284" s="9"/>
      <c r="C2284" s="10"/>
      <c r="D2284" s="10"/>
      <c r="E2284" s="10"/>
      <c r="F2284" s="10"/>
      <c r="G2284" s="10"/>
      <c r="H2284" s="10"/>
      <c r="I2284" s="10"/>
      <c r="J2284" s="10"/>
      <c r="K2284" s="10"/>
      <c r="L2284" s="10"/>
      <c r="M2284" s="10"/>
      <c r="N2284" s="10"/>
      <c r="O2284" s="10"/>
    </row>
    <row r="2285">
      <c r="A2285" s="157"/>
      <c r="B2285" s="9"/>
      <c r="C2285" s="10"/>
      <c r="D2285" s="10"/>
      <c r="E2285" s="10"/>
      <c r="F2285" s="10"/>
      <c r="G2285" s="10"/>
      <c r="H2285" s="10"/>
      <c r="I2285" s="10"/>
      <c r="J2285" s="10"/>
      <c r="K2285" s="10"/>
      <c r="L2285" s="10"/>
      <c r="M2285" s="10"/>
      <c r="N2285" s="10"/>
      <c r="O2285" s="10"/>
    </row>
    <row r="2286">
      <c r="A2286" s="157"/>
      <c r="B2286" s="9"/>
      <c r="C2286" s="10"/>
      <c r="D2286" s="10"/>
      <c r="E2286" s="10"/>
      <c r="F2286" s="10"/>
      <c r="G2286" s="10"/>
      <c r="H2286" s="10"/>
      <c r="I2286" s="10"/>
      <c r="J2286" s="10"/>
      <c r="K2286" s="10"/>
      <c r="L2286" s="10"/>
      <c r="M2286" s="10"/>
      <c r="N2286" s="10"/>
      <c r="O2286" s="10"/>
    </row>
    <row r="2287">
      <c r="A2287" s="157"/>
      <c r="B2287" s="9"/>
      <c r="C2287" s="10"/>
      <c r="D2287" s="10"/>
      <c r="E2287" s="10"/>
      <c r="F2287" s="10"/>
      <c r="G2287" s="10"/>
      <c r="H2287" s="10"/>
      <c r="I2287" s="10"/>
      <c r="J2287" s="10"/>
      <c r="K2287" s="10"/>
      <c r="L2287" s="10"/>
      <c r="M2287" s="10"/>
      <c r="N2287" s="10"/>
      <c r="O2287" s="10"/>
    </row>
    <row r="2288">
      <c r="A2288" s="157"/>
      <c r="B2288" s="9"/>
      <c r="C2288" s="10"/>
      <c r="D2288" s="10"/>
      <c r="E2288" s="10"/>
      <c r="F2288" s="10"/>
      <c r="G2288" s="10"/>
      <c r="H2288" s="10"/>
      <c r="I2288" s="10"/>
      <c r="J2288" s="10"/>
      <c r="K2288" s="10"/>
      <c r="L2288" s="10"/>
      <c r="M2288" s="10"/>
      <c r="N2288" s="10"/>
      <c r="O2288" s="10"/>
    </row>
    <row r="2289">
      <c r="A2289" s="157"/>
      <c r="B2289" s="9"/>
      <c r="C2289" s="10"/>
      <c r="D2289" s="10"/>
      <c r="E2289" s="10"/>
      <c r="F2289" s="10"/>
      <c r="G2289" s="10"/>
      <c r="H2289" s="10"/>
      <c r="I2289" s="10"/>
      <c r="J2289" s="10"/>
      <c r="K2289" s="10"/>
      <c r="L2289" s="10"/>
      <c r="M2289" s="10"/>
      <c r="N2289" s="10"/>
      <c r="O2289" s="10"/>
    </row>
    <row r="2290">
      <c r="A2290" s="157"/>
      <c r="B2290" s="9"/>
      <c r="C2290" s="10"/>
      <c r="D2290" s="10"/>
      <c r="E2290" s="10"/>
      <c r="F2290" s="10"/>
      <c r="G2290" s="10"/>
      <c r="H2290" s="10"/>
      <c r="I2290" s="10"/>
      <c r="J2290" s="10"/>
      <c r="K2290" s="10"/>
      <c r="L2290" s="10"/>
      <c r="M2290" s="10"/>
      <c r="N2290" s="10"/>
      <c r="O2290" s="10"/>
    </row>
    <row r="2291">
      <c r="A2291" s="157"/>
      <c r="B2291" s="9"/>
      <c r="C2291" s="10"/>
      <c r="D2291" s="10"/>
      <c r="E2291" s="10"/>
      <c r="F2291" s="10"/>
      <c r="G2291" s="10"/>
      <c r="H2291" s="10"/>
      <c r="I2291" s="10"/>
      <c r="J2291" s="10"/>
      <c r="K2291" s="10"/>
      <c r="L2291" s="10"/>
      <c r="M2291" s="10"/>
      <c r="N2291" s="10"/>
      <c r="O2291" s="10"/>
    </row>
    <row r="2292">
      <c r="A2292" s="157"/>
      <c r="B2292" s="9"/>
      <c r="C2292" s="10"/>
      <c r="D2292" s="10"/>
      <c r="E2292" s="10"/>
      <c r="F2292" s="10"/>
      <c r="G2292" s="10"/>
      <c r="H2292" s="10"/>
      <c r="I2292" s="10"/>
      <c r="J2292" s="10"/>
      <c r="K2292" s="10"/>
      <c r="L2292" s="10"/>
      <c r="M2292" s="10"/>
      <c r="N2292" s="10"/>
      <c r="O2292" s="10"/>
    </row>
    <row r="2293">
      <c r="A2293" s="157"/>
      <c r="B2293" s="9"/>
      <c r="C2293" s="10"/>
      <c r="D2293" s="10"/>
      <c r="E2293" s="10"/>
      <c r="F2293" s="10"/>
      <c r="G2293" s="10"/>
      <c r="H2293" s="10"/>
      <c r="I2293" s="10"/>
      <c r="J2293" s="10"/>
      <c r="K2293" s="10"/>
      <c r="L2293" s="10"/>
      <c r="M2293" s="10"/>
      <c r="N2293" s="10"/>
      <c r="O2293" s="10"/>
    </row>
    <row r="2294">
      <c r="A2294" s="157"/>
      <c r="B2294" s="9"/>
      <c r="C2294" s="10"/>
      <c r="D2294" s="10"/>
      <c r="E2294" s="10"/>
      <c r="F2294" s="10"/>
      <c r="G2294" s="10"/>
      <c r="H2294" s="10"/>
      <c r="I2294" s="10"/>
      <c r="J2294" s="10"/>
      <c r="K2294" s="10"/>
      <c r="L2294" s="10"/>
      <c r="M2294" s="10"/>
      <c r="N2294" s="10"/>
      <c r="O2294" s="10"/>
    </row>
    <row r="2295">
      <c r="A2295" s="157"/>
      <c r="B2295" s="9"/>
      <c r="C2295" s="10"/>
      <c r="D2295" s="10"/>
      <c r="E2295" s="10"/>
      <c r="F2295" s="10"/>
      <c r="G2295" s="10"/>
      <c r="H2295" s="10"/>
      <c r="I2295" s="10"/>
      <c r="J2295" s="10"/>
      <c r="K2295" s="10"/>
      <c r="L2295" s="10"/>
      <c r="M2295" s="10"/>
      <c r="N2295" s="10"/>
      <c r="O2295" s="10"/>
    </row>
    <row r="2296">
      <c r="A2296" s="157"/>
      <c r="B2296" s="9"/>
      <c r="C2296" s="10"/>
      <c r="D2296" s="10"/>
      <c r="E2296" s="10"/>
      <c r="F2296" s="10"/>
      <c r="G2296" s="10"/>
      <c r="H2296" s="10"/>
      <c r="I2296" s="10"/>
      <c r="J2296" s="10"/>
      <c r="K2296" s="10"/>
      <c r="L2296" s="10"/>
      <c r="M2296" s="10"/>
      <c r="N2296" s="10"/>
      <c r="O2296" s="10"/>
    </row>
    <row r="2297">
      <c r="A2297" s="157"/>
      <c r="B2297" s="9"/>
      <c r="C2297" s="10"/>
      <c r="D2297" s="10"/>
      <c r="E2297" s="10"/>
      <c r="F2297" s="10"/>
      <c r="G2297" s="10"/>
      <c r="H2297" s="10"/>
      <c r="I2297" s="10"/>
      <c r="J2297" s="10"/>
      <c r="K2297" s="10"/>
      <c r="L2297" s="10"/>
      <c r="M2297" s="10"/>
      <c r="N2297" s="10"/>
      <c r="O2297" s="10"/>
    </row>
    <row r="2298">
      <c r="A2298" s="157"/>
      <c r="B2298" s="9"/>
      <c r="C2298" s="10"/>
      <c r="D2298" s="10"/>
      <c r="E2298" s="10"/>
      <c r="F2298" s="10"/>
      <c r="G2298" s="10"/>
      <c r="H2298" s="10"/>
      <c r="I2298" s="10"/>
      <c r="J2298" s="10"/>
      <c r="K2298" s="10"/>
      <c r="L2298" s="10"/>
      <c r="M2298" s="10"/>
      <c r="N2298" s="10"/>
      <c r="O2298" s="10"/>
    </row>
    <row r="2299">
      <c r="A2299" s="157"/>
      <c r="B2299" s="9"/>
      <c r="C2299" s="10"/>
      <c r="D2299" s="10"/>
      <c r="E2299" s="10"/>
      <c r="F2299" s="10"/>
      <c r="G2299" s="10"/>
      <c r="H2299" s="10"/>
      <c r="I2299" s="10"/>
      <c r="J2299" s="10"/>
      <c r="K2299" s="10"/>
      <c r="L2299" s="10"/>
      <c r="M2299" s="10"/>
      <c r="N2299" s="10"/>
      <c r="O2299" s="10"/>
    </row>
    <row r="2300">
      <c r="A2300" s="157"/>
      <c r="B2300" s="9"/>
      <c r="C2300" s="10"/>
      <c r="D2300" s="10"/>
      <c r="E2300" s="10"/>
      <c r="F2300" s="10"/>
      <c r="G2300" s="10"/>
      <c r="H2300" s="10"/>
      <c r="I2300" s="10"/>
      <c r="J2300" s="10"/>
      <c r="K2300" s="10"/>
      <c r="L2300" s="10"/>
      <c r="M2300" s="10"/>
      <c r="N2300" s="10"/>
      <c r="O2300" s="10"/>
    </row>
    <row r="2301">
      <c r="A2301" s="157"/>
      <c r="B2301" s="9"/>
      <c r="C2301" s="10"/>
      <c r="D2301" s="10"/>
      <c r="E2301" s="10"/>
      <c r="F2301" s="10"/>
      <c r="G2301" s="10"/>
      <c r="H2301" s="10"/>
      <c r="I2301" s="10"/>
      <c r="J2301" s="10"/>
      <c r="K2301" s="10"/>
      <c r="L2301" s="10"/>
      <c r="M2301" s="10"/>
      <c r="N2301" s="10"/>
      <c r="O2301" s="10"/>
    </row>
    <row r="2302">
      <c r="A2302" s="157"/>
      <c r="B2302" s="9"/>
      <c r="C2302" s="10"/>
      <c r="D2302" s="10"/>
      <c r="E2302" s="10"/>
      <c r="F2302" s="10"/>
      <c r="G2302" s="10"/>
      <c r="H2302" s="10"/>
      <c r="I2302" s="10"/>
      <c r="J2302" s="10"/>
      <c r="K2302" s="10"/>
      <c r="L2302" s="10"/>
      <c r="M2302" s="10"/>
      <c r="N2302" s="10"/>
      <c r="O2302" s="10"/>
    </row>
    <row r="2303">
      <c r="A2303" s="157"/>
      <c r="B2303" s="9"/>
      <c r="C2303" s="10"/>
      <c r="D2303" s="10"/>
      <c r="E2303" s="10"/>
      <c r="F2303" s="10"/>
      <c r="G2303" s="10"/>
      <c r="H2303" s="10"/>
      <c r="I2303" s="10"/>
      <c r="J2303" s="10"/>
      <c r="K2303" s="10"/>
      <c r="L2303" s="10"/>
      <c r="M2303" s="10"/>
      <c r="N2303" s="10"/>
      <c r="O2303" s="10"/>
    </row>
    <row r="2304">
      <c r="A2304" s="157"/>
      <c r="B2304" s="9"/>
      <c r="C2304" s="10"/>
      <c r="D2304" s="10"/>
      <c r="E2304" s="10"/>
      <c r="F2304" s="10"/>
      <c r="G2304" s="10"/>
      <c r="H2304" s="10"/>
      <c r="I2304" s="10"/>
      <c r="J2304" s="10"/>
      <c r="K2304" s="10"/>
      <c r="L2304" s="10"/>
      <c r="M2304" s="10"/>
      <c r="N2304" s="10"/>
      <c r="O2304" s="10"/>
    </row>
    <row r="2305">
      <c r="A2305" s="157"/>
      <c r="B2305" s="9"/>
      <c r="C2305" s="10"/>
      <c r="D2305" s="10"/>
      <c r="E2305" s="10"/>
      <c r="F2305" s="10"/>
      <c r="G2305" s="10"/>
      <c r="H2305" s="10"/>
      <c r="I2305" s="10"/>
      <c r="J2305" s="10"/>
      <c r="K2305" s="10"/>
      <c r="L2305" s="10"/>
      <c r="M2305" s="10"/>
      <c r="N2305" s="10"/>
      <c r="O2305" s="10"/>
    </row>
    <row r="2306">
      <c r="A2306" s="157"/>
      <c r="B2306" s="9"/>
      <c r="C2306" s="10"/>
      <c r="D2306" s="10"/>
      <c r="E2306" s="10"/>
      <c r="F2306" s="10"/>
      <c r="G2306" s="10"/>
      <c r="H2306" s="10"/>
      <c r="I2306" s="10"/>
      <c r="J2306" s="10"/>
      <c r="K2306" s="10"/>
      <c r="L2306" s="10"/>
      <c r="M2306" s="10"/>
      <c r="N2306" s="10"/>
      <c r="O2306" s="10"/>
    </row>
    <row r="2307">
      <c r="A2307" s="157"/>
      <c r="B2307" s="9"/>
      <c r="C2307" s="10"/>
      <c r="D2307" s="10"/>
      <c r="E2307" s="10"/>
      <c r="F2307" s="10"/>
      <c r="G2307" s="10"/>
      <c r="H2307" s="10"/>
      <c r="I2307" s="10"/>
      <c r="J2307" s="10"/>
      <c r="K2307" s="10"/>
      <c r="L2307" s="10"/>
      <c r="M2307" s="10"/>
      <c r="N2307" s="10"/>
      <c r="O2307" s="10"/>
    </row>
    <row r="2308">
      <c r="A2308" s="157"/>
      <c r="B2308" s="9"/>
      <c r="C2308" s="10"/>
      <c r="D2308" s="10"/>
      <c r="E2308" s="10"/>
      <c r="F2308" s="10"/>
      <c r="G2308" s="10"/>
      <c r="H2308" s="10"/>
      <c r="I2308" s="10"/>
      <c r="J2308" s="10"/>
      <c r="K2308" s="10"/>
      <c r="L2308" s="10"/>
      <c r="M2308" s="10"/>
      <c r="N2308" s="10"/>
      <c r="O2308" s="10"/>
    </row>
    <row r="2309">
      <c r="A2309" s="157"/>
      <c r="B2309" s="9"/>
      <c r="C2309" s="10"/>
      <c r="D2309" s="10"/>
      <c r="E2309" s="10"/>
      <c r="F2309" s="10"/>
      <c r="G2309" s="10"/>
      <c r="H2309" s="10"/>
      <c r="I2309" s="10"/>
      <c r="J2309" s="10"/>
      <c r="K2309" s="10"/>
      <c r="L2309" s="10"/>
      <c r="M2309" s="10"/>
      <c r="N2309" s="10"/>
      <c r="O2309" s="10"/>
    </row>
    <row r="2310">
      <c r="A2310" s="157"/>
      <c r="B2310" s="9"/>
      <c r="C2310" s="10"/>
      <c r="D2310" s="10"/>
      <c r="E2310" s="10"/>
      <c r="F2310" s="10"/>
      <c r="G2310" s="10"/>
      <c r="H2310" s="10"/>
      <c r="I2310" s="10"/>
      <c r="J2310" s="10"/>
      <c r="K2310" s="10"/>
      <c r="L2310" s="10"/>
      <c r="M2310" s="10"/>
      <c r="N2310" s="10"/>
      <c r="O2310" s="10"/>
    </row>
    <row r="2311">
      <c r="A2311" s="157"/>
      <c r="B2311" s="9"/>
      <c r="C2311" s="10"/>
      <c r="D2311" s="10"/>
      <c r="E2311" s="10"/>
      <c r="F2311" s="10"/>
      <c r="G2311" s="10"/>
      <c r="H2311" s="10"/>
      <c r="I2311" s="10"/>
      <c r="J2311" s="10"/>
      <c r="K2311" s="10"/>
      <c r="L2311" s="10"/>
      <c r="M2311" s="10"/>
      <c r="N2311" s="10"/>
      <c r="O2311" s="10"/>
    </row>
    <row r="2312">
      <c r="A2312" s="157"/>
      <c r="B2312" s="9"/>
      <c r="C2312" s="10"/>
      <c r="D2312" s="10"/>
      <c r="E2312" s="10"/>
      <c r="F2312" s="10"/>
      <c r="G2312" s="10"/>
      <c r="H2312" s="10"/>
      <c r="I2312" s="10"/>
      <c r="J2312" s="10"/>
      <c r="K2312" s="10"/>
      <c r="L2312" s="10"/>
      <c r="M2312" s="10"/>
      <c r="N2312" s="10"/>
      <c r="O2312" s="10"/>
    </row>
    <row r="2313">
      <c r="A2313" s="157"/>
      <c r="B2313" s="9"/>
      <c r="C2313" s="10"/>
      <c r="D2313" s="10"/>
      <c r="E2313" s="10"/>
      <c r="F2313" s="10"/>
      <c r="G2313" s="10"/>
      <c r="H2313" s="10"/>
      <c r="I2313" s="10"/>
      <c r="J2313" s="10"/>
      <c r="K2313" s="10"/>
      <c r="L2313" s="10"/>
      <c r="M2313" s="10"/>
      <c r="N2313" s="10"/>
      <c r="O2313" s="10"/>
    </row>
    <row r="2314">
      <c r="A2314" s="157"/>
      <c r="B2314" s="9"/>
      <c r="C2314" s="10"/>
      <c r="D2314" s="10"/>
      <c r="E2314" s="10"/>
      <c r="F2314" s="10"/>
      <c r="G2314" s="10"/>
      <c r="H2314" s="10"/>
      <c r="I2314" s="10"/>
      <c r="J2314" s="10"/>
      <c r="K2314" s="10"/>
      <c r="L2314" s="10"/>
      <c r="M2314" s="10"/>
      <c r="N2314" s="10"/>
      <c r="O2314" s="10"/>
    </row>
    <row r="2315">
      <c r="A2315" s="157"/>
      <c r="B2315" s="9"/>
      <c r="C2315" s="10"/>
      <c r="D2315" s="10"/>
      <c r="E2315" s="10"/>
      <c r="F2315" s="10"/>
      <c r="G2315" s="10"/>
      <c r="H2315" s="10"/>
      <c r="I2315" s="10"/>
      <c r="J2315" s="10"/>
      <c r="K2315" s="10"/>
      <c r="L2315" s="10"/>
      <c r="M2315" s="10"/>
      <c r="N2315" s="10"/>
      <c r="O2315" s="10"/>
    </row>
    <row r="2316">
      <c r="A2316" s="157"/>
      <c r="B2316" s="9"/>
      <c r="C2316" s="10"/>
      <c r="D2316" s="10"/>
      <c r="E2316" s="10"/>
      <c r="F2316" s="10"/>
      <c r="G2316" s="10"/>
      <c r="H2316" s="10"/>
      <c r="I2316" s="10"/>
      <c r="J2316" s="10"/>
      <c r="K2316" s="10"/>
      <c r="L2316" s="10"/>
      <c r="M2316" s="10"/>
      <c r="N2316" s="10"/>
      <c r="O2316" s="10"/>
    </row>
    <row r="2317">
      <c r="A2317" s="157"/>
      <c r="B2317" s="9"/>
      <c r="C2317" s="10"/>
      <c r="D2317" s="10"/>
      <c r="E2317" s="10"/>
      <c r="F2317" s="10"/>
      <c r="G2317" s="10"/>
      <c r="H2317" s="10"/>
      <c r="I2317" s="10"/>
      <c r="J2317" s="10"/>
      <c r="K2317" s="10"/>
      <c r="L2317" s="10"/>
      <c r="M2317" s="10"/>
      <c r="N2317" s="10"/>
      <c r="O2317" s="10"/>
    </row>
    <row r="2318">
      <c r="A2318" s="157"/>
      <c r="B2318" s="9"/>
      <c r="C2318" s="10"/>
      <c r="D2318" s="10"/>
      <c r="E2318" s="10"/>
      <c r="F2318" s="10"/>
      <c r="G2318" s="10"/>
      <c r="H2318" s="10"/>
      <c r="I2318" s="10"/>
      <c r="J2318" s="10"/>
      <c r="K2318" s="10"/>
      <c r="L2318" s="10"/>
      <c r="M2318" s="10"/>
      <c r="N2318" s="10"/>
      <c r="O2318" s="10"/>
    </row>
    <row r="2319">
      <c r="A2319" s="157"/>
      <c r="B2319" s="9"/>
      <c r="C2319" s="10"/>
      <c r="D2319" s="10"/>
      <c r="E2319" s="10"/>
      <c r="F2319" s="10"/>
      <c r="G2319" s="10"/>
      <c r="H2319" s="10"/>
      <c r="I2319" s="10"/>
      <c r="J2319" s="10"/>
      <c r="K2319" s="10"/>
      <c r="L2319" s="10"/>
      <c r="M2319" s="10"/>
      <c r="N2319" s="10"/>
      <c r="O2319" s="10"/>
    </row>
    <row r="2320">
      <c r="A2320" s="157"/>
      <c r="B2320" s="9"/>
      <c r="C2320" s="10"/>
      <c r="D2320" s="10"/>
      <c r="E2320" s="10"/>
      <c r="F2320" s="10"/>
      <c r="G2320" s="10"/>
      <c r="H2320" s="10"/>
      <c r="I2320" s="10"/>
      <c r="J2320" s="10"/>
      <c r="K2320" s="10"/>
      <c r="L2320" s="10"/>
      <c r="M2320" s="10"/>
      <c r="N2320" s="10"/>
      <c r="O2320" s="10"/>
    </row>
    <row r="2321">
      <c r="A2321" s="157"/>
      <c r="B2321" s="9"/>
      <c r="C2321" s="10"/>
      <c r="D2321" s="10"/>
      <c r="E2321" s="10"/>
      <c r="F2321" s="10"/>
      <c r="G2321" s="10"/>
      <c r="H2321" s="10"/>
      <c r="I2321" s="10"/>
      <c r="J2321" s="10"/>
      <c r="K2321" s="10"/>
      <c r="L2321" s="10"/>
      <c r="M2321" s="10"/>
      <c r="N2321" s="10"/>
      <c r="O2321" s="10"/>
    </row>
    <row r="2322">
      <c r="A2322" s="157"/>
      <c r="B2322" s="9"/>
      <c r="C2322" s="10"/>
      <c r="D2322" s="10"/>
      <c r="E2322" s="10"/>
      <c r="F2322" s="10"/>
      <c r="G2322" s="10"/>
      <c r="H2322" s="10"/>
      <c r="I2322" s="10"/>
      <c r="J2322" s="10"/>
      <c r="K2322" s="10"/>
      <c r="L2322" s="10"/>
      <c r="M2322" s="10"/>
      <c r="N2322" s="10"/>
      <c r="O2322" s="10"/>
    </row>
    <row r="2323">
      <c r="A2323" s="157"/>
      <c r="B2323" s="9"/>
      <c r="C2323" s="10"/>
      <c r="D2323" s="10"/>
      <c r="E2323" s="10"/>
      <c r="F2323" s="10"/>
      <c r="G2323" s="10"/>
      <c r="H2323" s="10"/>
      <c r="I2323" s="10"/>
      <c r="J2323" s="10"/>
      <c r="K2323" s="10"/>
      <c r="L2323" s="10"/>
      <c r="M2323" s="10"/>
      <c r="N2323" s="10"/>
      <c r="O2323" s="10"/>
    </row>
    <row r="2324">
      <c r="A2324" s="157"/>
      <c r="B2324" s="9"/>
      <c r="C2324" s="10"/>
      <c r="D2324" s="10"/>
      <c r="E2324" s="10"/>
      <c r="F2324" s="10"/>
      <c r="G2324" s="10"/>
      <c r="H2324" s="10"/>
      <c r="I2324" s="10"/>
      <c r="J2324" s="10"/>
      <c r="K2324" s="10"/>
      <c r="L2324" s="10"/>
      <c r="M2324" s="10"/>
      <c r="N2324" s="10"/>
      <c r="O2324" s="10"/>
    </row>
    <row r="2325">
      <c r="A2325" s="157"/>
      <c r="B2325" s="9"/>
      <c r="C2325" s="10"/>
      <c r="D2325" s="10"/>
      <c r="E2325" s="10"/>
      <c r="F2325" s="10"/>
      <c r="G2325" s="10"/>
      <c r="H2325" s="10"/>
      <c r="I2325" s="10"/>
      <c r="J2325" s="10"/>
      <c r="K2325" s="10"/>
      <c r="L2325" s="10"/>
      <c r="M2325" s="10"/>
      <c r="N2325" s="10"/>
      <c r="O2325" s="10"/>
    </row>
    <row r="2326">
      <c r="A2326" s="157"/>
      <c r="B2326" s="9"/>
      <c r="C2326" s="10"/>
      <c r="D2326" s="10"/>
      <c r="E2326" s="10"/>
      <c r="F2326" s="10"/>
      <c r="G2326" s="10"/>
      <c r="H2326" s="10"/>
      <c r="I2326" s="10"/>
      <c r="J2326" s="10"/>
      <c r="K2326" s="10"/>
      <c r="L2326" s="10"/>
      <c r="M2326" s="10"/>
      <c r="N2326" s="10"/>
      <c r="O2326" s="10"/>
    </row>
    <row r="2327">
      <c r="A2327" s="157"/>
      <c r="B2327" s="9"/>
      <c r="C2327" s="10"/>
      <c r="D2327" s="10"/>
      <c r="E2327" s="10"/>
      <c r="F2327" s="10"/>
      <c r="G2327" s="10"/>
      <c r="H2327" s="10"/>
      <c r="I2327" s="10"/>
      <c r="J2327" s="10"/>
      <c r="K2327" s="10"/>
      <c r="L2327" s="10"/>
      <c r="M2327" s="10"/>
      <c r="N2327" s="10"/>
      <c r="O2327" s="10"/>
    </row>
    <row r="2328">
      <c r="A2328" s="157"/>
      <c r="B2328" s="9"/>
      <c r="C2328" s="10"/>
      <c r="D2328" s="10"/>
      <c r="E2328" s="10"/>
      <c r="F2328" s="10"/>
      <c r="G2328" s="10"/>
      <c r="H2328" s="10"/>
      <c r="I2328" s="10"/>
      <c r="J2328" s="10"/>
      <c r="K2328" s="10"/>
      <c r="L2328" s="10"/>
      <c r="M2328" s="10"/>
      <c r="N2328" s="10"/>
      <c r="O2328" s="10"/>
    </row>
    <row r="2329">
      <c r="A2329" s="157"/>
      <c r="B2329" s="9"/>
      <c r="C2329" s="10"/>
      <c r="D2329" s="10"/>
      <c r="E2329" s="10"/>
      <c r="F2329" s="10"/>
      <c r="G2329" s="10"/>
      <c r="H2329" s="10"/>
      <c r="I2329" s="10"/>
      <c r="J2329" s="10"/>
      <c r="K2329" s="10"/>
      <c r="L2329" s="10"/>
      <c r="M2329" s="10"/>
      <c r="N2329" s="10"/>
      <c r="O2329" s="10"/>
    </row>
    <row r="2330">
      <c r="A2330" s="157"/>
      <c r="B2330" s="9"/>
      <c r="C2330" s="10"/>
      <c r="D2330" s="10"/>
      <c r="E2330" s="10"/>
      <c r="F2330" s="10"/>
      <c r="G2330" s="10"/>
      <c r="H2330" s="10"/>
      <c r="I2330" s="10"/>
      <c r="J2330" s="10"/>
      <c r="K2330" s="10"/>
      <c r="L2330" s="10"/>
      <c r="M2330" s="10"/>
      <c r="N2330" s="10"/>
      <c r="O2330" s="10"/>
    </row>
    <row r="2331">
      <c r="A2331" s="157"/>
      <c r="B2331" s="9"/>
      <c r="C2331" s="10"/>
      <c r="D2331" s="10"/>
      <c r="E2331" s="10"/>
      <c r="F2331" s="10"/>
      <c r="G2331" s="10"/>
      <c r="H2331" s="10"/>
      <c r="I2331" s="10"/>
      <c r="J2331" s="10"/>
      <c r="K2331" s="10"/>
      <c r="L2331" s="10"/>
      <c r="M2331" s="10"/>
      <c r="N2331" s="10"/>
      <c r="O2331" s="10"/>
    </row>
    <row r="2332">
      <c r="A2332" s="157"/>
      <c r="B2332" s="9"/>
      <c r="C2332" s="10"/>
      <c r="D2332" s="10"/>
      <c r="E2332" s="10"/>
      <c r="F2332" s="10"/>
      <c r="G2332" s="10"/>
      <c r="H2332" s="10"/>
      <c r="I2332" s="10"/>
      <c r="J2332" s="10"/>
      <c r="K2332" s="10"/>
      <c r="L2332" s="10"/>
      <c r="M2332" s="10"/>
      <c r="N2332" s="10"/>
      <c r="O2332" s="10"/>
    </row>
    <row r="2333">
      <c r="A2333" s="157"/>
      <c r="B2333" s="9"/>
      <c r="C2333" s="10"/>
      <c r="D2333" s="10"/>
      <c r="E2333" s="10"/>
      <c r="F2333" s="10"/>
      <c r="G2333" s="10"/>
      <c r="H2333" s="10"/>
      <c r="I2333" s="10"/>
      <c r="J2333" s="10"/>
      <c r="K2333" s="10"/>
      <c r="L2333" s="10"/>
      <c r="M2333" s="10"/>
      <c r="N2333" s="10"/>
      <c r="O2333" s="10"/>
    </row>
    <row r="2334">
      <c r="A2334" s="157"/>
      <c r="B2334" s="9"/>
      <c r="C2334" s="10"/>
      <c r="D2334" s="10"/>
      <c r="E2334" s="10"/>
      <c r="F2334" s="10"/>
      <c r="G2334" s="10"/>
      <c r="H2334" s="10"/>
      <c r="I2334" s="10"/>
      <c r="J2334" s="10"/>
      <c r="K2334" s="10"/>
      <c r="L2334" s="10"/>
      <c r="M2334" s="10"/>
      <c r="N2334" s="10"/>
      <c r="O2334" s="10"/>
    </row>
    <row r="2335">
      <c r="A2335" s="157"/>
      <c r="B2335" s="9"/>
      <c r="C2335" s="10"/>
      <c r="D2335" s="10"/>
      <c r="E2335" s="10"/>
      <c r="F2335" s="10"/>
      <c r="G2335" s="10"/>
      <c r="H2335" s="10"/>
      <c r="I2335" s="10"/>
      <c r="J2335" s="10"/>
      <c r="K2335" s="10"/>
      <c r="L2335" s="10"/>
      <c r="M2335" s="10"/>
      <c r="N2335" s="10"/>
      <c r="O2335" s="10"/>
    </row>
    <row r="2336">
      <c r="A2336" s="157"/>
      <c r="B2336" s="9"/>
      <c r="C2336" s="10"/>
      <c r="D2336" s="10"/>
      <c r="E2336" s="10"/>
      <c r="F2336" s="10"/>
      <c r="G2336" s="10"/>
      <c r="H2336" s="10"/>
      <c r="I2336" s="10"/>
      <c r="J2336" s="10"/>
      <c r="K2336" s="10"/>
      <c r="L2336" s="10"/>
      <c r="M2336" s="10"/>
      <c r="N2336" s="10"/>
      <c r="O2336" s="10"/>
    </row>
    <row r="2337">
      <c r="A2337" s="157"/>
      <c r="B2337" s="9"/>
      <c r="C2337" s="10"/>
      <c r="D2337" s="10"/>
      <c r="E2337" s="10"/>
      <c r="F2337" s="10"/>
      <c r="G2337" s="10"/>
      <c r="H2337" s="10"/>
      <c r="I2337" s="10"/>
      <c r="J2337" s="10"/>
      <c r="K2337" s="10"/>
      <c r="L2337" s="10"/>
      <c r="M2337" s="10"/>
      <c r="N2337" s="10"/>
      <c r="O2337" s="10"/>
    </row>
    <row r="2338">
      <c r="A2338" s="157"/>
      <c r="B2338" s="9"/>
      <c r="C2338" s="10"/>
      <c r="D2338" s="10"/>
      <c r="E2338" s="10"/>
      <c r="F2338" s="10"/>
      <c r="G2338" s="10"/>
      <c r="H2338" s="10"/>
      <c r="I2338" s="10"/>
      <c r="J2338" s="10"/>
      <c r="K2338" s="10"/>
      <c r="L2338" s="10"/>
      <c r="M2338" s="10"/>
      <c r="N2338" s="10"/>
      <c r="O2338" s="10"/>
    </row>
    <row r="2339">
      <c r="A2339" s="157"/>
      <c r="B2339" s="9"/>
      <c r="C2339" s="10"/>
      <c r="D2339" s="10"/>
      <c r="E2339" s="10"/>
      <c r="F2339" s="10"/>
      <c r="G2339" s="10"/>
      <c r="H2339" s="10"/>
      <c r="I2339" s="10"/>
      <c r="J2339" s="10"/>
      <c r="K2339" s="10"/>
      <c r="L2339" s="10"/>
      <c r="M2339" s="10"/>
      <c r="N2339" s="10"/>
      <c r="O2339" s="10"/>
    </row>
    <row r="2340">
      <c r="A2340" s="157"/>
      <c r="B2340" s="9"/>
      <c r="C2340" s="10"/>
      <c r="D2340" s="10"/>
      <c r="E2340" s="10"/>
      <c r="F2340" s="10"/>
      <c r="G2340" s="10"/>
      <c r="H2340" s="10"/>
      <c r="I2340" s="10"/>
      <c r="J2340" s="10"/>
      <c r="K2340" s="10"/>
      <c r="L2340" s="10"/>
      <c r="M2340" s="10"/>
      <c r="N2340" s="10"/>
      <c r="O2340" s="10"/>
    </row>
    <row r="2341">
      <c r="A2341" s="157"/>
      <c r="B2341" s="9"/>
      <c r="C2341" s="10"/>
      <c r="D2341" s="10"/>
      <c r="E2341" s="10"/>
      <c r="F2341" s="10"/>
      <c r="G2341" s="10"/>
      <c r="H2341" s="10"/>
      <c r="I2341" s="10"/>
      <c r="J2341" s="10"/>
      <c r="K2341" s="10"/>
      <c r="L2341" s="10"/>
      <c r="M2341" s="10"/>
      <c r="N2341" s="10"/>
      <c r="O2341" s="10"/>
    </row>
    <row r="2342">
      <c r="A2342" s="157"/>
      <c r="B2342" s="9"/>
      <c r="C2342" s="10"/>
      <c r="D2342" s="10"/>
      <c r="E2342" s="10"/>
      <c r="F2342" s="10"/>
      <c r="G2342" s="10"/>
      <c r="H2342" s="10"/>
      <c r="I2342" s="10"/>
      <c r="J2342" s="10"/>
      <c r="K2342" s="10"/>
      <c r="L2342" s="10"/>
      <c r="M2342" s="10"/>
      <c r="N2342" s="10"/>
      <c r="O2342" s="10"/>
    </row>
    <row r="2343">
      <c r="A2343" s="157"/>
      <c r="B2343" s="9"/>
      <c r="C2343" s="10"/>
      <c r="D2343" s="10"/>
      <c r="E2343" s="10"/>
      <c r="F2343" s="10"/>
      <c r="G2343" s="10"/>
      <c r="H2343" s="10"/>
      <c r="I2343" s="10"/>
      <c r="J2343" s="10"/>
      <c r="K2343" s="10"/>
      <c r="L2343" s="10"/>
      <c r="M2343" s="10"/>
      <c r="N2343" s="10"/>
      <c r="O2343" s="10"/>
    </row>
    <row r="2344">
      <c r="A2344" s="157"/>
      <c r="B2344" s="9"/>
      <c r="C2344" s="10"/>
      <c r="D2344" s="10"/>
      <c r="E2344" s="10"/>
      <c r="F2344" s="10"/>
      <c r="G2344" s="10"/>
      <c r="H2344" s="10"/>
      <c r="I2344" s="10"/>
      <c r="J2344" s="10"/>
      <c r="K2344" s="10"/>
      <c r="L2344" s="10"/>
      <c r="M2344" s="10"/>
      <c r="N2344" s="10"/>
      <c r="O2344" s="10"/>
    </row>
    <row r="2345">
      <c r="A2345" s="157"/>
      <c r="B2345" s="9"/>
      <c r="C2345" s="10"/>
      <c r="D2345" s="10"/>
      <c r="E2345" s="10"/>
      <c r="F2345" s="10"/>
      <c r="G2345" s="10"/>
      <c r="H2345" s="10"/>
      <c r="I2345" s="10"/>
      <c r="J2345" s="10"/>
      <c r="K2345" s="10"/>
      <c r="L2345" s="10"/>
      <c r="M2345" s="10"/>
      <c r="N2345" s="10"/>
      <c r="O2345" s="10"/>
    </row>
    <row r="2346">
      <c r="A2346" s="157"/>
      <c r="B2346" s="9"/>
      <c r="C2346" s="10"/>
      <c r="D2346" s="10"/>
      <c r="E2346" s="10"/>
      <c r="F2346" s="10"/>
      <c r="G2346" s="10"/>
      <c r="H2346" s="10"/>
      <c r="I2346" s="10"/>
      <c r="J2346" s="10"/>
      <c r="K2346" s="10"/>
      <c r="L2346" s="10"/>
      <c r="M2346" s="10"/>
      <c r="N2346" s="10"/>
      <c r="O2346" s="10"/>
    </row>
    <row r="2347">
      <c r="A2347" s="157"/>
      <c r="B2347" s="9"/>
      <c r="C2347" s="10"/>
      <c r="D2347" s="10"/>
      <c r="E2347" s="10"/>
      <c r="F2347" s="10"/>
      <c r="G2347" s="10"/>
      <c r="H2347" s="10"/>
      <c r="I2347" s="10"/>
      <c r="J2347" s="10"/>
      <c r="K2347" s="10"/>
      <c r="L2347" s="10"/>
      <c r="M2347" s="10"/>
      <c r="N2347" s="10"/>
      <c r="O2347" s="10"/>
    </row>
    <row r="2348">
      <c r="A2348" s="157"/>
      <c r="B2348" s="9"/>
      <c r="C2348" s="10"/>
      <c r="D2348" s="10"/>
      <c r="E2348" s="10"/>
      <c r="F2348" s="10"/>
      <c r="G2348" s="10"/>
      <c r="H2348" s="10"/>
      <c r="I2348" s="10"/>
      <c r="J2348" s="10"/>
      <c r="K2348" s="10"/>
      <c r="L2348" s="10"/>
      <c r="M2348" s="10"/>
      <c r="N2348" s="10"/>
      <c r="O2348" s="10"/>
    </row>
    <row r="2349">
      <c r="A2349" s="157"/>
      <c r="B2349" s="9"/>
      <c r="C2349" s="10"/>
      <c r="D2349" s="10"/>
      <c r="E2349" s="10"/>
      <c r="F2349" s="10"/>
      <c r="G2349" s="10"/>
      <c r="H2349" s="10"/>
      <c r="I2349" s="10"/>
      <c r="J2349" s="10"/>
      <c r="K2349" s="10"/>
      <c r="L2349" s="10"/>
      <c r="M2349" s="10"/>
      <c r="N2349" s="10"/>
      <c r="O2349" s="10"/>
    </row>
    <row r="2350">
      <c r="A2350" s="157"/>
      <c r="B2350" s="9"/>
      <c r="C2350" s="10"/>
      <c r="D2350" s="10"/>
      <c r="E2350" s="10"/>
      <c r="F2350" s="10"/>
      <c r="G2350" s="10"/>
      <c r="H2350" s="10"/>
      <c r="I2350" s="10"/>
      <c r="J2350" s="10"/>
      <c r="K2350" s="10"/>
      <c r="L2350" s="10"/>
      <c r="M2350" s="10"/>
      <c r="N2350" s="10"/>
      <c r="O2350" s="10"/>
    </row>
    <row r="2351">
      <c r="A2351" s="157"/>
      <c r="B2351" s="9"/>
      <c r="C2351" s="10"/>
      <c r="D2351" s="10"/>
      <c r="E2351" s="10"/>
      <c r="F2351" s="10"/>
      <c r="G2351" s="10"/>
      <c r="H2351" s="10"/>
      <c r="I2351" s="10"/>
      <c r="J2351" s="10"/>
      <c r="K2351" s="10"/>
      <c r="L2351" s="10"/>
      <c r="M2351" s="10"/>
      <c r="N2351" s="10"/>
      <c r="O2351" s="10"/>
    </row>
    <row r="2352">
      <c r="A2352" s="157"/>
      <c r="B2352" s="9"/>
      <c r="C2352" s="10"/>
      <c r="D2352" s="10"/>
      <c r="E2352" s="10"/>
      <c r="F2352" s="10"/>
      <c r="G2352" s="10"/>
      <c r="H2352" s="10"/>
      <c r="I2352" s="10"/>
      <c r="J2352" s="10"/>
      <c r="K2352" s="10"/>
      <c r="L2352" s="10"/>
      <c r="M2352" s="10"/>
      <c r="N2352" s="10"/>
      <c r="O2352" s="10"/>
    </row>
    <row r="2353">
      <c r="A2353" s="157"/>
      <c r="B2353" s="9"/>
      <c r="C2353" s="10"/>
      <c r="D2353" s="10"/>
      <c r="E2353" s="10"/>
      <c r="F2353" s="10"/>
      <c r="G2353" s="10"/>
      <c r="H2353" s="10"/>
      <c r="I2353" s="10"/>
      <c r="J2353" s="10"/>
      <c r="K2353" s="10"/>
      <c r="L2353" s="10"/>
      <c r="M2353" s="10"/>
      <c r="N2353" s="10"/>
      <c r="O2353" s="10"/>
    </row>
    <row r="2354">
      <c r="A2354" s="157"/>
      <c r="B2354" s="9"/>
      <c r="C2354" s="10"/>
      <c r="D2354" s="10"/>
      <c r="E2354" s="10"/>
      <c r="F2354" s="10"/>
      <c r="G2354" s="10"/>
      <c r="H2354" s="10"/>
      <c r="I2354" s="10"/>
      <c r="J2354" s="10"/>
      <c r="K2354" s="10"/>
      <c r="L2354" s="10"/>
      <c r="M2354" s="10"/>
      <c r="N2354" s="10"/>
      <c r="O2354" s="10"/>
    </row>
    <row r="2355">
      <c r="A2355" s="157"/>
      <c r="B2355" s="9"/>
      <c r="C2355" s="10"/>
      <c r="D2355" s="10"/>
      <c r="E2355" s="10"/>
      <c r="F2355" s="10"/>
      <c r="G2355" s="10"/>
      <c r="H2355" s="10"/>
      <c r="I2355" s="10"/>
      <c r="J2355" s="10"/>
      <c r="K2355" s="10"/>
      <c r="L2355" s="10"/>
      <c r="M2355" s="10"/>
      <c r="N2355" s="10"/>
      <c r="O2355" s="10"/>
    </row>
    <row r="2356">
      <c r="A2356" s="157"/>
      <c r="B2356" s="9"/>
      <c r="C2356" s="10"/>
      <c r="D2356" s="10"/>
      <c r="E2356" s="10"/>
      <c r="F2356" s="10"/>
      <c r="G2356" s="10"/>
      <c r="H2356" s="10"/>
      <c r="I2356" s="10"/>
      <c r="J2356" s="10"/>
      <c r="K2356" s="10"/>
      <c r="L2356" s="10"/>
      <c r="M2356" s="10"/>
      <c r="N2356" s="10"/>
      <c r="O2356" s="10"/>
    </row>
    <row r="2357">
      <c r="A2357" s="157"/>
      <c r="B2357" s="9"/>
      <c r="C2357" s="10"/>
      <c r="D2357" s="10"/>
      <c r="E2357" s="10"/>
      <c r="F2357" s="10"/>
      <c r="G2357" s="10"/>
      <c r="H2357" s="10"/>
      <c r="I2357" s="10"/>
      <c r="J2357" s="10"/>
      <c r="K2357" s="10"/>
      <c r="L2357" s="10"/>
      <c r="M2357" s="10"/>
      <c r="N2357" s="10"/>
      <c r="O2357" s="10"/>
    </row>
    <row r="2358">
      <c r="A2358" s="157"/>
      <c r="B2358" s="9"/>
      <c r="C2358" s="10"/>
      <c r="D2358" s="10"/>
      <c r="E2358" s="10"/>
      <c r="F2358" s="10"/>
      <c r="G2358" s="10"/>
      <c r="H2358" s="10"/>
      <c r="I2358" s="10"/>
      <c r="J2358" s="10"/>
      <c r="K2358" s="10"/>
      <c r="L2358" s="10"/>
      <c r="M2358" s="10"/>
      <c r="N2358" s="10"/>
      <c r="O2358" s="10"/>
    </row>
    <row r="2359">
      <c r="A2359" s="157"/>
      <c r="B2359" s="9"/>
      <c r="C2359" s="10"/>
      <c r="D2359" s="10"/>
      <c r="E2359" s="10"/>
      <c r="F2359" s="10"/>
      <c r="G2359" s="10"/>
      <c r="H2359" s="10"/>
      <c r="I2359" s="10"/>
      <c r="J2359" s="10"/>
      <c r="K2359" s="10"/>
      <c r="L2359" s="10"/>
      <c r="M2359" s="10"/>
      <c r="N2359" s="10"/>
      <c r="O2359" s="10"/>
    </row>
    <row r="2360">
      <c r="A2360" s="157"/>
      <c r="B2360" s="9"/>
      <c r="C2360" s="10"/>
      <c r="D2360" s="10"/>
      <c r="E2360" s="10"/>
      <c r="F2360" s="10"/>
      <c r="G2360" s="10"/>
      <c r="H2360" s="10"/>
      <c r="I2360" s="10"/>
      <c r="J2360" s="10"/>
      <c r="K2360" s="10"/>
      <c r="L2360" s="10"/>
      <c r="M2360" s="10"/>
      <c r="N2360" s="10"/>
      <c r="O2360" s="10"/>
    </row>
    <row r="2361">
      <c r="A2361" s="157"/>
      <c r="B2361" s="9"/>
      <c r="C2361" s="10"/>
      <c r="D2361" s="10"/>
      <c r="E2361" s="10"/>
      <c r="F2361" s="10"/>
      <c r="G2361" s="10"/>
      <c r="H2361" s="10"/>
      <c r="I2361" s="10"/>
      <c r="J2361" s="10"/>
      <c r="K2361" s="10"/>
      <c r="L2361" s="10"/>
      <c r="M2361" s="10"/>
      <c r="N2361" s="10"/>
      <c r="O2361" s="10"/>
    </row>
    <row r="2362">
      <c r="A2362" s="157"/>
      <c r="B2362" s="9"/>
      <c r="C2362" s="10"/>
      <c r="D2362" s="10"/>
      <c r="E2362" s="10"/>
      <c r="F2362" s="10"/>
      <c r="G2362" s="10"/>
      <c r="H2362" s="10"/>
      <c r="I2362" s="10"/>
      <c r="J2362" s="10"/>
      <c r="K2362" s="10"/>
      <c r="L2362" s="10"/>
      <c r="M2362" s="10"/>
      <c r="N2362" s="10"/>
      <c r="O2362" s="10"/>
    </row>
    <row r="2363">
      <c r="A2363" s="157"/>
      <c r="B2363" s="9"/>
      <c r="C2363" s="10"/>
      <c r="D2363" s="10"/>
      <c r="E2363" s="10"/>
      <c r="F2363" s="10"/>
      <c r="G2363" s="10"/>
      <c r="H2363" s="10"/>
      <c r="I2363" s="10"/>
      <c r="J2363" s="10"/>
      <c r="K2363" s="10"/>
      <c r="L2363" s="10"/>
      <c r="M2363" s="10"/>
      <c r="N2363" s="10"/>
      <c r="O2363" s="10"/>
    </row>
    <row r="2364">
      <c r="A2364" s="157"/>
      <c r="B2364" s="9"/>
      <c r="C2364" s="10"/>
      <c r="D2364" s="10"/>
      <c r="E2364" s="10"/>
      <c r="F2364" s="10"/>
      <c r="G2364" s="10"/>
      <c r="H2364" s="10"/>
      <c r="I2364" s="10"/>
      <c r="J2364" s="10"/>
      <c r="K2364" s="10"/>
      <c r="L2364" s="10"/>
      <c r="M2364" s="10"/>
      <c r="N2364" s="10"/>
      <c r="O2364" s="10"/>
    </row>
    <row r="2365">
      <c r="A2365" s="157"/>
      <c r="B2365" s="9"/>
      <c r="C2365" s="10"/>
      <c r="D2365" s="10"/>
      <c r="E2365" s="10"/>
      <c r="F2365" s="10"/>
      <c r="G2365" s="10"/>
      <c r="H2365" s="10"/>
      <c r="I2365" s="10"/>
      <c r="J2365" s="10"/>
      <c r="K2365" s="10"/>
      <c r="L2365" s="10"/>
      <c r="M2365" s="10"/>
      <c r="N2365" s="10"/>
      <c r="O2365" s="10"/>
    </row>
    <row r="2366">
      <c r="A2366" s="157"/>
      <c r="B2366" s="9"/>
      <c r="C2366" s="10"/>
      <c r="D2366" s="10"/>
      <c r="E2366" s="10"/>
      <c r="F2366" s="10"/>
      <c r="G2366" s="10"/>
      <c r="H2366" s="10"/>
      <c r="I2366" s="10"/>
      <c r="J2366" s="10"/>
      <c r="K2366" s="10"/>
      <c r="L2366" s="10"/>
      <c r="M2366" s="10"/>
      <c r="N2366" s="10"/>
      <c r="O2366" s="10"/>
    </row>
    <row r="2367">
      <c r="A2367" s="157"/>
      <c r="B2367" s="9"/>
      <c r="C2367" s="10"/>
      <c r="D2367" s="10"/>
      <c r="E2367" s="10"/>
      <c r="F2367" s="10"/>
      <c r="G2367" s="10"/>
      <c r="H2367" s="10"/>
      <c r="I2367" s="10"/>
      <c r="J2367" s="10"/>
      <c r="K2367" s="10"/>
      <c r="L2367" s="10"/>
      <c r="M2367" s="10"/>
      <c r="N2367" s="10"/>
      <c r="O2367" s="10"/>
    </row>
    <row r="2368">
      <c r="A2368" s="157"/>
      <c r="B2368" s="9"/>
      <c r="C2368" s="10"/>
      <c r="D2368" s="10"/>
      <c r="E2368" s="10"/>
      <c r="F2368" s="10"/>
      <c r="G2368" s="10"/>
      <c r="H2368" s="10"/>
      <c r="I2368" s="10"/>
      <c r="J2368" s="10"/>
      <c r="K2368" s="10"/>
      <c r="L2368" s="10"/>
      <c r="M2368" s="10"/>
      <c r="N2368" s="10"/>
      <c r="O2368" s="10"/>
    </row>
    <row r="2369">
      <c r="A2369" s="157"/>
      <c r="B2369" s="9"/>
      <c r="C2369" s="10"/>
      <c r="D2369" s="10"/>
      <c r="E2369" s="10"/>
      <c r="F2369" s="10"/>
      <c r="G2369" s="10"/>
      <c r="H2369" s="10"/>
      <c r="I2369" s="10"/>
      <c r="J2369" s="10"/>
      <c r="K2369" s="10"/>
      <c r="L2369" s="10"/>
      <c r="M2369" s="10"/>
      <c r="N2369" s="10"/>
      <c r="O2369" s="10"/>
    </row>
    <row r="2370">
      <c r="A2370" s="157"/>
      <c r="B2370" s="9"/>
      <c r="C2370" s="10"/>
      <c r="D2370" s="10"/>
      <c r="E2370" s="10"/>
      <c r="F2370" s="10"/>
      <c r="G2370" s="10"/>
      <c r="H2370" s="10"/>
      <c r="I2370" s="10"/>
      <c r="J2370" s="10"/>
      <c r="K2370" s="10"/>
      <c r="L2370" s="10"/>
      <c r="M2370" s="10"/>
      <c r="N2370" s="10"/>
      <c r="O2370" s="10"/>
    </row>
    <row r="2371">
      <c r="A2371" s="157"/>
      <c r="B2371" s="9"/>
      <c r="C2371" s="10"/>
      <c r="D2371" s="10"/>
      <c r="E2371" s="10"/>
      <c r="F2371" s="10"/>
      <c r="G2371" s="10"/>
      <c r="H2371" s="10"/>
      <c r="I2371" s="10"/>
      <c r="J2371" s="10"/>
      <c r="K2371" s="10"/>
      <c r="L2371" s="10"/>
      <c r="M2371" s="10"/>
      <c r="N2371" s="10"/>
      <c r="O2371" s="10"/>
    </row>
    <row r="2372">
      <c r="A2372" s="157"/>
      <c r="B2372" s="9"/>
      <c r="C2372" s="10"/>
      <c r="D2372" s="10"/>
      <c r="E2372" s="10"/>
      <c r="F2372" s="10"/>
      <c r="G2372" s="10"/>
      <c r="H2372" s="10"/>
      <c r="I2372" s="10"/>
      <c r="J2372" s="10"/>
      <c r="K2372" s="10"/>
      <c r="L2372" s="10"/>
      <c r="M2372" s="10"/>
      <c r="N2372" s="10"/>
      <c r="O2372" s="10"/>
    </row>
    <row r="2373">
      <c r="A2373" s="157"/>
      <c r="B2373" s="9"/>
      <c r="C2373" s="10"/>
      <c r="D2373" s="10"/>
      <c r="E2373" s="10"/>
      <c r="F2373" s="10"/>
      <c r="G2373" s="10"/>
      <c r="H2373" s="10"/>
      <c r="I2373" s="10"/>
      <c r="J2373" s="10"/>
      <c r="K2373" s="10"/>
      <c r="L2373" s="10"/>
      <c r="M2373" s="10"/>
      <c r="N2373" s="10"/>
      <c r="O2373" s="10"/>
    </row>
    <row r="2374">
      <c r="A2374" s="157"/>
      <c r="B2374" s="9"/>
      <c r="C2374" s="10"/>
      <c r="D2374" s="10"/>
      <c r="E2374" s="10"/>
      <c r="F2374" s="10"/>
      <c r="G2374" s="10"/>
      <c r="H2374" s="10"/>
      <c r="I2374" s="10"/>
      <c r="J2374" s="10"/>
      <c r="K2374" s="10"/>
      <c r="L2374" s="10"/>
      <c r="M2374" s="10"/>
      <c r="N2374" s="10"/>
      <c r="O2374" s="10"/>
    </row>
    <row r="2375">
      <c r="A2375" s="157"/>
      <c r="B2375" s="9"/>
      <c r="C2375" s="10"/>
      <c r="D2375" s="10"/>
      <c r="E2375" s="10"/>
      <c r="F2375" s="10"/>
      <c r="G2375" s="10"/>
      <c r="H2375" s="10"/>
      <c r="I2375" s="10"/>
      <c r="J2375" s="10"/>
      <c r="K2375" s="10"/>
      <c r="L2375" s="10"/>
      <c r="M2375" s="10"/>
      <c r="N2375" s="10"/>
      <c r="O2375" s="10"/>
    </row>
    <row r="2376">
      <c r="A2376" s="157"/>
      <c r="B2376" s="9"/>
      <c r="C2376" s="10"/>
      <c r="D2376" s="10"/>
      <c r="E2376" s="10"/>
      <c r="F2376" s="10"/>
      <c r="G2376" s="10"/>
      <c r="H2376" s="10"/>
      <c r="I2376" s="10"/>
      <c r="J2376" s="10"/>
      <c r="K2376" s="10"/>
      <c r="L2376" s="10"/>
      <c r="M2376" s="10"/>
      <c r="N2376" s="10"/>
      <c r="O2376" s="10"/>
    </row>
    <row r="2377">
      <c r="A2377" s="157"/>
      <c r="B2377" s="9"/>
      <c r="C2377" s="10"/>
      <c r="D2377" s="10"/>
      <c r="E2377" s="10"/>
      <c r="F2377" s="10"/>
      <c r="G2377" s="10"/>
      <c r="H2377" s="10"/>
      <c r="I2377" s="10"/>
      <c r="J2377" s="10"/>
      <c r="K2377" s="10"/>
      <c r="L2377" s="10"/>
      <c r="M2377" s="10"/>
      <c r="N2377" s="10"/>
      <c r="O2377" s="10"/>
    </row>
    <row r="2378">
      <c r="A2378" s="157"/>
      <c r="B2378" s="9"/>
      <c r="C2378" s="10"/>
      <c r="D2378" s="10"/>
      <c r="E2378" s="10"/>
      <c r="F2378" s="10"/>
      <c r="G2378" s="10"/>
      <c r="H2378" s="10"/>
      <c r="I2378" s="10"/>
      <c r="J2378" s="10"/>
      <c r="K2378" s="10"/>
      <c r="L2378" s="10"/>
      <c r="M2378" s="10"/>
      <c r="N2378" s="10"/>
      <c r="O2378" s="10"/>
    </row>
    <row r="2379">
      <c r="A2379" s="157"/>
      <c r="B2379" s="9"/>
      <c r="C2379" s="10"/>
      <c r="D2379" s="10"/>
      <c r="E2379" s="10"/>
      <c r="F2379" s="10"/>
      <c r="G2379" s="10"/>
      <c r="H2379" s="10"/>
      <c r="I2379" s="10"/>
      <c r="J2379" s="10"/>
      <c r="K2379" s="10"/>
      <c r="L2379" s="10"/>
      <c r="M2379" s="10"/>
      <c r="N2379" s="10"/>
      <c r="O2379" s="10"/>
    </row>
    <row r="2380">
      <c r="A2380" s="157"/>
      <c r="B2380" s="9"/>
      <c r="C2380" s="10"/>
      <c r="D2380" s="10"/>
      <c r="E2380" s="10"/>
      <c r="F2380" s="10"/>
      <c r="G2380" s="10"/>
      <c r="H2380" s="10"/>
      <c r="I2380" s="10"/>
      <c r="J2380" s="10"/>
      <c r="K2380" s="10"/>
      <c r="L2380" s="10"/>
      <c r="M2380" s="10"/>
      <c r="N2380" s="10"/>
      <c r="O2380" s="10"/>
    </row>
    <row r="2381">
      <c r="A2381" s="157"/>
      <c r="B2381" s="9"/>
      <c r="C2381" s="10"/>
      <c r="D2381" s="10"/>
      <c r="E2381" s="10"/>
      <c r="F2381" s="10"/>
      <c r="G2381" s="10"/>
      <c r="H2381" s="10"/>
      <c r="I2381" s="10"/>
      <c r="J2381" s="10"/>
      <c r="K2381" s="10"/>
      <c r="L2381" s="10"/>
      <c r="M2381" s="10"/>
      <c r="N2381" s="10"/>
      <c r="O2381" s="10"/>
    </row>
    <row r="2382">
      <c r="A2382" s="157"/>
      <c r="B2382" s="9"/>
      <c r="C2382" s="10"/>
      <c r="D2382" s="10"/>
      <c r="E2382" s="10"/>
      <c r="F2382" s="10"/>
      <c r="G2382" s="10"/>
      <c r="H2382" s="10"/>
      <c r="I2382" s="10"/>
      <c r="J2382" s="10"/>
      <c r="K2382" s="10"/>
      <c r="L2382" s="10"/>
      <c r="M2382" s="10"/>
      <c r="N2382" s="10"/>
      <c r="O2382" s="10"/>
    </row>
    <row r="2383">
      <c r="A2383" s="157"/>
      <c r="B2383" s="9"/>
      <c r="C2383" s="10"/>
      <c r="D2383" s="10"/>
      <c r="E2383" s="10"/>
      <c r="F2383" s="10"/>
      <c r="G2383" s="10"/>
      <c r="H2383" s="10"/>
      <c r="I2383" s="10"/>
      <c r="J2383" s="10"/>
      <c r="K2383" s="10"/>
      <c r="L2383" s="10"/>
      <c r="M2383" s="10"/>
      <c r="N2383" s="10"/>
      <c r="O2383" s="10"/>
    </row>
    <row r="2384">
      <c r="A2384" s="157"/>
      <c r="B2384" s="9"/>
      <c r="C2384" s="10"/>
      <c r="D2384" s="10"/>
      <c r="E2384" s="10"/>
      <c r="F2384" s="10"/>
      <c r="G2384" s="10"/>
      <c r="H2384" s="10"/>
      <c r="I2384" s="10"/>
      <c r="J2384" s="10"/>
      <c r="K2384" s="10"/>
      <c r="L2384" s="10"/>
      <c r="M2384" s="10"/>
      <c r="N2384" s="10"/>
      <c r="O2384" s="10"/>
    </row>
    <row r="2385">
      <c r="A2385" s="157"/>
      <c r="B2385" s="9"/>
      <c r="C2385" s="10"/>
      <c r="D2385" s="10"/>
      <c r="E2385" s="10"/>
      <c r="F2385" s="10"/>
      <c r="G2385" s="10"/>
      <c r="H2385" s="10"/>
      <c r="I2385" s="10"/>
      <c r="J2385" s="10"/>
      <c r="K2385" s="10"/>
      <c r="L2385" s="10"/>
      <c r="M2385" s="10"/>
      <c r="N2385" s="10"/>
      <c r="O2385" s="10"/>
    </row>
    <row r="2386">
      <c r="A2386" s="157"/>
      <c r="B2386" s="9"/>
      <c r="C2386" s="10"/>
      <c r="D2386" s="10"/>
      <c r="E2386" s="10"/>
      <c r="F2386" s="10"/>
      <c r="G2386" s="10"/>
      <c r="H2386" s="10"/>
      <c r="I2386" s="10"/>
      <c r="J2386" s="10"/>
      <c r="K2386" s="10"/>
      <c r="L2386" s="10"/>
      <c r="M2386" s="10"/>
      <c r="N2386" s="10"/>
      <c r="O2386" s="10"/>
    </row>
    <row r="2387">
      <c r="A2387" s="157"/>
      <c r="B2387" s="9"/>
      <c r="C2387" s="10"/>
      <c r="D2387" s="10"/>
      <c r="E2387" s="10"/>
      <c r="F2387" s="10"/>
      <c r="G2387" s="10"/>
      <c r="H2387" s="10"/>
      <c r="I2387" s="10"/>
      <c r="J2387" s="10"/>
      <c r="K2387" s="10"/>
      <c r="L2387" s="10"/>
      <c r="M2387" s="10"/>
      <c r="N2387" s="10"/>
      <c r="O2387" s="10"/>
    </row>
    <row r="2388">
      <c r="A2388" s="157"/>
      <c r="B2388" s="9"/>
      <c r="C2388" s="10"/>
      <c r="D2388" s="10"/>
      <c r="E2388" s="10"/>
      <c r="F2388" s="10"/>
      <c r="G2388" s="10"/>
      <c r="H2388" s="10"/>
      <c r="I2388" s="10"/>
      <c r="J2388" s="10"/>
      <c r="K2388" s="10"/>
      <c r="L2388" s="10"/>
      <c r="M2388" s="10"/>
      <c r="N2388" s="10"/>
      <c r="O2388" s="10"/>
    </row>
    <row r="2389">
      <c r="A2389" s="157"/>
      <c r="B2389" s="9"/>
      <c r="C2389" s="10"/>
      <c r="D2389" s="10"/>
      <c r="E2389" s="10"/>
      <c r="F2389" s="10"/>
      <c r="G2389" s="10"/>
      <c r="H2389" s="10"/>
      <c r="I2389" s="10"/>
      <c r="J2389" s="10"/>
      <c r="K2389" s="10"/>
      <c r="L2389" s="10"/>
      <c r="M2389" s="10"/>
      <c r="N2389" s="10"/>
      <c r="O2389" s="10"/>
    </row>
    <row r="2390">
      <c r="A2390" s="157"/>
      <c r="B2390" s="9"/>
      <c r="C2390" s="10"/>
      <c r="D2390" s="10"/>
      <c r="E2390" s="10"/>
      <c r="F2390" s="10"/>
      <c r="G2390" s="10"/>
      <c r="H2390" s="10"/>
      <c r="I2390" s="10"/>
      <c r="J2390" s="10"/>
      <c r="K2390" s="10"/>
      <c r="L2390" s="10"/>
      <c r="M2390" s="10"/>
      <c r="N2390" s="10"/>
      <c r="O2390" s="10"/>
    </row>
    <row r="2391">
      <c r="A2391" s="157"/>
      <c r="B2391" s="9"/>
      <c r="C2391" s="10"/>
      <c r="D2391" s="10"/>
      <c r="E2391" s="10"/>
      <c r="F2391" s="10"/>
      <c r="G2391" s="10"/>
      <c r="H2391" s="10"/>
      <c r="I2391" s="10"/>
      <c r="J2391" s="10"/>
      <c r="K2391" s="10"/>
      <c r="L2391" s="10"/>
      <c r="M2391" s="10"/>
      <c r="N2391" s="10"/>
      <c r="O2391" s="10"/>
    </row>
    <row r="2392">
      <c r="A2392" s="157"/>
      <c r="B2392" s="9"/>
      <c r="C2392" s="10"/>
      <c r="D2392" s="10"/>
      <c r="E2392" s="10"/>
      <c r="F2392" s="10"/>
      <c r="G2392" s="10"/>
      <c r="H2392" s="10"/>
      <c r="I2392" s="10"/>
      <c r="J2392" s="10"/>
      <c r="K2392" s="10"/>
      <c r="L2392" s="10"/>
      <c r="M2392" s="10"/>
      <c r="N2392" s="10"/>
      <c r="O2392" s="10"/>
    </row>
    <row r="2393">
      <c r="A2393" s="157"/>
      <c r="B2393" s="9"/>
      <c r="C2393" s="10"/>
      <c r="D2393" s="10"/>
      <c r="E2393" s="10"/>
      <c r="F2393" s="10"/>
      <c r="G2393" s="10"/>
      <c r="H2393" s="10"/>
      <c r="I2393" s="10"/>
      <c r="J2393" s="10"/>
      <c r="K2393" s="10"/>
      <c r="L2393" s="10"/>
      <c r="M2393" s="10"/>
      <c r="N2393" s="10"/>
      <c r="O2393" s="10"/>
    </row>
    <row r="2394">
      <c r="A2394" s="157"/>
      <c r="B2394" s="9"/>
      <c r="C2394" s="10"/>
      <c r="D2394" s="10"/>
      <c r="E2394" s="10"/>
      <c r="F2394" s="10"/>
      <c r="G2394" s="10"/>
      <c r="H2394" s="10"/>
      <c r="I2394" s="10"/>
      <c r="J2394" s="10"/>
      <c r="K2394" s="10"/>
      <c r="L2394" s="10"/>
      <c r="M2394" s="10"/>
      <c r="N2394" s="10"/>
      <c r="O2394" s="10"/>
    </row>
    <row r="2395">
      <c r="A2395" s="157"/>
      <c r="B2395" s="9"/>
      <c r="C2395" s="10"/>
      <c r="D2395" s="10"/>
      <c r="E2395" s="10"/>
      <c r="F2395" s="10"/>
      <c r="G2395" s="10"/>
      <c r="H2395" s="10"/>
      <c r="I2395" s="10"/>
      <c r="J2395" s="10"/>
      <c r="K2395" s="10"/>
      <c r="L2395" s="10"/>
      <c r="M2395" s="10"/>
      <c r="N2395" s="10"/>
      <c r="O2395" s="10"/>
    </row>
    <row r="2396">
      <c r="A2396" s="157"/>
      <c r="B2396" s="9"/>
      <c r="C2396" s="10"/>
      <c r="D2396" s="10"/>
      <c r="E2396" s="10"/>
      <c r="F2396" s="10"/>
      <c r="G2396" s="10"/>
      <c r="H2396" s="10"/>
      <c r="I2396" s="10"/>
      <c r="J2396" s="10"/>
      <c r="K2396" s="10"/>
      <c r="L2396" s="10"/>
      <c r="M2396" s="10"/>
      <c r="N2396" s="10"/>
      <c r="O2396" s="10"/>
    </row>
    <row r="2397">
      <c r="A2397" s="157"/>
      <c r="B2397" s="9"/>
      <c r="C2397" s="10"/>
      <c r="D2397" s="10"/>
      <c r="E2397" s="10"/>
      <c r="F2397" s="10"/>
      <c r="G2397" s="10"/>
      <c r="H2397" s="10"/>
      <c r="I2397" s="10"/>
      <c r="J2397" s="10"/>
      <c r="K2397" s="10"/>
      <c r="L2397" s="10"/>
      <c r="M2397" s="10"/>
      <c r="N2397" s="10"/>
      <c r="O2397" s="10"/>
    </row>
    <row r="2398">
      <c r="A2398" s="157"/>
      <c r="B2398" s="9"/>
      <c r="C2398" s="10"/>
      <c r="D2398" s="10"/>
      <c r="E2398" s="10"/>
      <c r="F2398" s="10"/>
      <c r="G2398" s="10"/>
      <c r="H2398" s="10"/>
      <c r="I2398" s="10"/>
      <c r="J2398" s="10"/>
      <c r="K2398" s="10"/>
      <c r="L2398" s="10"/>
      <c r="M2398" s="10"/>
      <c r="N2398" s="10"/>
      <c r="O2398" s="10"/>
    </row>
    <row r="2399">
      <c r="A2399" s="157"/>
      <c r="B2399" s="9"/>
      <c r="C2399" s="10"/>
      <c r="D2399" s="10"/>
      <c r="E2399" s="10"/>
      <c r="F2399" s="10"/>
      <c r="G2399" s="10"/>
      <c r="H2399" s="10"/>
      <c r="I2399" s="10"/>
      <c r="J2399" s="10"/>
      <c r="K2399" s="10"/>
      <c r="L2399" s="10"/>
      <c r="M2399" s="10"/>
      <c r="N2399" s="10"/>
      <c r="O2399" s="10"/>
    </row>
    <row r="2400">
      <c r="A2400" s="157"/>
      <c r="B2400" s="9"/>
      <c r="C2400" s="10"/>
      <c r="D2400" s="10"/>
      <c r="E2400" s="10"/>
      <c r="F2400" s="10"/>
      <c r="G2400" s="10"/>
      <c r="H2400" s="10"/>
      <c r="I2400" s="10"/>
      <c r="J2400" s="10"/>
      <c r="K2400" s="10"/>
      <c r="L2400" s="10"/>
      <c r="M2400" s="10"/>
      <c r="N2400" s="10"/>
      <c r="O2400" s="10"/>
    </row>
    <row r="2401">
      <c r="A2401" s="157"/>
      <c r="B2401" s="9"/>
      <c r="C2401" s="10"/>
      <c r="D2401" s="10"/>
      <c r="E2401" s="10"/>
      <c r="F2401" s="10"/>
      <c r="G2401" s="10"/>
      <c r="H2401" s="10"/>
      <c r="I2401" s="10"/>
      <c r="J2401" s="10"/>
      <c r="K2401" s="10"/>
      <c r="L2401" s="10"/>
      <c r="M2401" s="10"/>
      <c r="N2401" s="10"/>
      <c r="O2401" s="10"/>
    </row>
    <row r="2402">
      <c r="A2402" s="157"/>
      <c r="B2402" s="9"/>
      <c r="C2402" s="10"/>
      <c r="D2402" s="10"/>
      <c r="E2402" s="10"/>
      <c r="F2402" s="10"/>
      <c r="G2402" s="10"/>
      <c r="H2402" s="10"/>
      <c r="I2402" s="10"/>
      <c r="J2402" s="10"/>
      <c r="K2402" s="10"/>
      <c r="L2402" s="10"/>
      <c r="M2402" s="10"/>
      <c r="N2402" s="10"/>
      <c r="O2402" s="10"/>
    </row>
    <row r="2403">
      <c r="A2403" s="157"/>
      <c r="B2403" s="9"/>
      <c r="C2403" s="10"/>
      <c r="D2403" s="10"/>
      <c r="E2403" s="10"/>
      <c r="F2403" s="10"/>
      <c r="G2403" s="10"/>
      <c r="H2403" s="10"/>
      <c r="I2403" s="10"/>
      <c r="J2403" s="10"/>
      <c r="K2403" s="10"/>
      <c r="L2403" s="10"/>
      <c r="M2403" s="10"/>
      <c r="N2403" s="10"/>
      <c r="O2403" s="10"/>
    </row>
    <row r="2404">
      <c r="A2404" s="157"/>
      <c r="B2404" s="9"/>
      <c r="C2404" s="10"/>
      <c r="D2404" s="10"/>
      <c r="E2404" s="10"/>
      <c r="F2404" s="10"/>
      <c r="G2404" s="10"/>
      <c r="H2404" s="10"/>
      <c r="I2404" s="10"/>
      <c r="J2404" s="10"/>
      <c r="K2404" s="10"/>
      <c r="L2404" s="10"/>
      <c r="M2404" s="10"/>
      <c r="N2404" s="10"/>
      <c r="O2404" s="10"/>
    </row>
    <row r="2405">
      <c r="A2405" s="157"/>
      <c r="B2405" s="9"/>
      <c r="C2405" s="10"/>
      <c r="D2405" s="10"/>
      <c r="E2405" s="10"/>
      <c r="F2405" s="10"/>
      <c r="G2405" s="10"/>
      <c r="H2405" s="10"/>
      <c r="I2405" s="10"/>
      <c r="J2405" s="10"/>
      <c r="K2405" s="10"/>
      <c r="L2405" s="10"/>
      <c r="M2405" s="10"/>
      <c r="N2405" s="10"/>
      <c r="O2405" s="10"/>
    </row>
    <row r="2406">
      <c r="A2406" s="157"/>
      <c r="B2406" s="9"/>
      <c r="C2406" s="10"/>
      <c r="D2406" s="10"/>
      <c r="E2406" s="10"/>
      <c r="F2406" s="10"/>
      <c r="G2406" s="10"/>
      <c r="H2406" s="10"/>
      <c r="I2406" s="10"/>
      <c r="J2406" s="10"/>
      <c r="K2406" s="10"/>
      <c r="L2406" s="10"/>
      <c r="M2406" s="10"/>
      <c r="N2406" s="10"/>
      <c r="O2406" s="10"/>
    </row>
    <row r="2407">
      <c r="A2407" s="157"/>
      <c r="B2407" s="9"/>
      <c r="C2407" s="10"/>
      <c r="D2407" s="10"/>
      <c r="E2407" s="10"/>
      <c r="F2407" s="10"/>
      <c r="G2407" s="10"/>
      <c r="H2407" s="10"/>
      <c r="I2407" s="10"/>
      <c r="J2407" s="10"/>
      <c r="K2407" s="10"/>
      <c r="L2407" s="10"/>
      <c r="M2407" s="10"/>
      <c r="N2407" s="10"/>
      <c r="O2407" s="10"/>
    </row>
    <row r="2408">
      <c r="A2408" s="157"/>
      <c r="B2408" s="9"/>
      <c r="C2408" s="10"/>
      <c r="D2408" s="10"/>
      <c r="E2408" s="10"/>
      <c r="F2408" s="10"/>
      <c r="G2408" s="10"/>
      <c r="H2408" s="10"/>
      <c r="I2408" s="10"/>
      <c r="J2408" s="10"/>
      <c r="K2408" s="10"/>
      <c r="L2408" s="10"/>
      <c r="M2408" s="10"/>
      <c r="N2408" s="10"/>
      <c r="O2408" s="10"/>
    </row>
    <row r="2409">
      <c r="A2409" s="157"/>
      <c r="B2409" s="9"/>
      <c r="C2409" s="10"/>
      <c r="D2409" s="10"/>
      <c r="E2409" s="10"/>
      <c r="F2409" s="10"/>
      <c r="G2409" s="10"/>
      <c r="H2409" s="10"/>
      <c r="I2409" s="10"/>
      <c r="J2409" s="10"/>
      <c r="K2409" s="10"/>
      <c r="L2409" s="10"/>
      <c r="M2409" s="10"/>
      <c r="N2409" s="10"/>
      <c r="O2409" s="10"/>
    </row>
    <row r="2410">
      <c r="A2410" s="157"/>
      <c r="B2410" s="9"/>
      <c r="C2410" s="10"/>
      <c r="D2410" s="10"/>
      <c r="E2410" s="10"/>
      <c r="F2410" s="10"/>
      <c r="G2410" s="10"/>
      <c r="H2410" s="10"/>
      <c r="I2410" s="10"/>
      <c r="J2410" s="10"/>
      <c r="K2410" s="10"/>
      <c r="L2410" s="10"/>
      <c r="M2410" s="10"/>
      <c r="N2410" s="10"/>
      <c r="O2410" s="10"/>
    </row>
    <row r="2411">
      <c r="A2411" s="157"/>
      <c r="B2411" s="9"/>
      <c r="C2411" s="10"/>
      <c r="D2411" s="10"/>
      <c r="E2411" s="10"/>
      <c r="F2411" s="10"/>
      <c r="G2411" s="10"/>
      <c r="H2411" s="10"/>
      <c r="I2411" s="10"/>
      <c r="J2411" s="10"/>
      <c r="K2411" s="10"/>
      <c r="L2411" s="10"/>
      <c r="M2411" s="10"/>
      <c r="N2411" s="10"/>
      <c r="O2411" s="10"/>
    </row>
    <row r="2412">
      <c r="A2412" s="157"/>
      <c r="B2412" s="9"/>
      <c r="C2412" s="10"/>
      <c r="D2412" s="10"/>
      <c r="E2412" s="10"/>
      <c r="F2412" s="10"/>
      <c r="G2412" s="10"/>
      <c r="H2412" s="10"/>
      <c r="I2412" s="10"/>
      <c r="J2412" s="10"/>
      <c r="K2412" s="10"/>
      <c r="L2412" s="10"/>
      <c r="M2412" s="10"/>
      <c r="N2412" s="10"/>
      <c r="O2412" s="10"/>
    </row>
    <row r="2413">
      <c r="A2413" s="157"/>
      <c r="B2413" s="9"/>
      <c r="C2413" s="10"/>
      <c r="D2413" s="10"/>
      <c r="E2413" s="10"/>
      <c r="F2413" s="10"/>
      <c r="G2413" s="10"/>
      <c r="H2413" s="10"/>
      <c r="I2413" s="10"/>
      <c r="J2413" s="10"/>
      <c r="K2413" s="10"/>
      <c r="L2413" s="10"/>
      <c r="M2413" s="10"/>
      <c r="N2413" s="10"/>
      <c r="O2413" s="10"/>
    </row>
    <row r="2414">
      <c r="A2414" s="157"/>
      <c r="B2414" s="9"/>
      <c r="C2414" s="10"/>
      <c r="D2414" s="10"/>
      <c r="E2414" s="10"/>
      <c r="F2414" s="10"/>
      <c r="G2414" s="10"/>
      <c r="H2414" s="10"/>
      <c r="I2414" s="10"/>
      <c r="J2414" s="10"/>
      <c r="K2414" s="10"/>
      <c r="L2414" s="10"/>
      <c r="M2414" s="10"/>
      <c r="N2414" s="10"/>
      <c r="O2414" s="10"/>
    </row>
    <row r="2415">
      <c r="A2415" s="157"/>
      <c r="B2415" s="9"/>
      <c r="C2415" s="10"/>
      <c r="D2415" s="10"/>
      <c r="E2415" s="10"/>
      <c r="F2415" s="10"/>
      <c r="G2415" s="10"/>
      <c r="H2415" s="10"/>
      <c r="I2415" s="10"/>
      <c r="J2415" s="10"/>
      <c r="K2415" s="10"/>
      <c r="L2415" s="10"/>
      <c r="M2415" s="10"/>
      <c r="N2415" s="10"/>
      <c r="O2415" s="10"/>
    </row>
    <row r="2416">
      <c r="A2416" s="157"/>
      <c r="B2416" s="9"/>
      <c r="C2416" s="10"/>
      <c r="D2416" s="10"/>
      <c r="E2416" s="10"/>
      <c r="F2416" s="10"/>
      <c r="G2416" s="10"/>
      <c r="H2416" s="10"/>
      <c r="I2416" s="10"/>
      <c r="J2416" s="10"/>
      <c r="K2416" s="10"/>
      <c r="L2416" s="10"/>
      <c r="M2416" s="10"/>
      <c r="N2416" s="10"/>
      <c r="O2416" s="10"/>
    </row>
    <row r="2417">
      <c r="A2417" s="157"/>
      <c r="B2417" s="9"/>
      <c r="C2417" s="10"/>
      <c r="D2417" s="10"/>
      <c r="E2417" s="10"/>
      <c r="F2417" s="10"/>
      <c r="G2417" s="10"/>
      <c r="H2417" s="10"/>
      <c r="I2417" s="10"/>
      <c r="J2417" s="10"/>
      <c r="K2417" s="10"/>
      <c r="L2417" s="10"/>
      <c r="M2417" s="10"/>
      <c r="N2417" s="10"/>
      <c r="O2417" s="10"/>
    </row>
    <row r="2418">
      <c r="A2418" s="157"/>
      <c r="B2418" s="9"/>
      <c r="C2418" s="10"/>
      <c r="D2418" s="10"/>
      <c r="E2418" s="10"/>
      <c r="F2418" s="10"/>
      <c r="G2418" s="10"/>
      <c r="H2418" s="10"/>
      <c r="I2418" s="10"/>
      <c r="J2418" s="10"/>
      <c r="K2418" s="10"/>
      <c r="L2418" s="10"/>
      <c r="M2418" s="10"/>
      <c r="N2418" s="10"/>
      <c r="O2418" s="10"/>
    </row>
    <row r="2419">
      <c r="A2419" s="157"/>
      <c r="B2419" s="9"/>
      <c r="C2419" s="10"/>
      <c r="D2419" s="10"/>
      <c r="E2419" s="10"/>
      <c r="F2419" s="10"/>
      <c r="G2419" s="10"/>
      <c r="H2419" s="10"/>
      <c r="I2419" s="10"/>
      <c r="J2419" s="10"/>
      <c r="K2419" s="10"/>
      <c r="L2419" s="10"/>
      <c r="M2419" s="10"/>
      <c r="N2419" s="10"/>
      <c r="O2419" s="10"/>
    </row>
    <row r="2420">
      <c r="A2420" s="157"/>
      <c r="B2420" s="9"/>
      <c r="C2420" s="10"/>
      <c r="D2420" s="10"/>
      <c r="E2420" s="10"/>
      <c r="F2420" s="10"/>
      <c r="G2420" s="10"/>
      <c r="H2420" s="10"/>
      <c r="I2420" s="10"/>
      <c r="J2420" s="10"/>
      <c r="K2420" s="10"/>
      <c r="L2420" s="10"/>
      <c r="M2420" s="10"/>
      <c r="N2420" s="10"/>
      <c r="O2420" s="10"/>
    </row>
    <row r="2421">
      <c r="A2421" s="157"/>
      <c r="B2421" s="9"/>
      <c r="C2421" s="10"/>
      <c r="D2421" s="10"/>
      <c r="E2421" s="10"/>
      <c r="F2421" s="10"/>
      <c r="G2421" s="10"/>
      <c r="H2421" s="10"/>
      <c r="I2421" s="10"/>
      <c r="J2421" s="10"/>
      <c r="K2421" s="10"/>
      <c r="L2421" s="10"/>
      <c r="M2421" s="10"/>
      <c r="N2421" s="10"/>
      <c r="O2421" s="10"/>
    </row>
    <row r="2422">
      <c r="A2422" s="157"/>
      <c r="B2422" s="9"/>
      <c r="C2422" s="10"/>
      <c r="D2422" s="10"/>
      <c r="E2422" s="10"/>
      <c r="F2422" s="10"/>
      <c r="G2422" s="10"/>
      <c r="H2422" s="10"/>
      <c r="I2422" s="10"/>
      <c r="J2422" s="10"/>
      <c r="K2422" s="10"/>
      <c r="L2422" s="10"/>
      <c r="M2422" s="10"/>
      <c r="N2422" s="10"/>
      <c r="O2422" s="10"/>
    </row>
    <row r="2423">
      <c r="A2423" s="157"/>
      <c r="B2423" s="9"/>
      <c r="C2423" s="10"/>
      <c r="D2423" s="10"/>
      <c r="E2423" s="10"/>
      <c r="F2423" s="10"/>
      <c r="G2423" s="10"/>
      <c r="H2423" s="10"/>
      <c r="I2423" s="10"/>
      <c r="J2423" s="10"/>
      <c r="K2423" s="10"/>
      <c r="L2423" s="10"/>
      <c r="M2423" s="10"/>
      <c r="N2423" s="10"/>
      <c r="O2423" s="10"/>
    </row>
    <row r="2424">
      <c r="A2424" s="157"/>
      <c r="B2424" s="9"/>
      <c r="C2424" s="10"/>
      <c r="D2424" s="10"/>
      <c r="E2424" s="10"/>
      <c r="F2424" s="10"/>
      <c r="G2424" s="10"/>
      <c r="H2424" s="10"/>
      <c r="I2424" s="10"/>
      <c r="J2424" s="10"/>
      <c r="K2424" s="10"/>
      <c r="L2424" s="10"/>
      <c r="M2424" s="10"/>
      <c r="N2424" s="10"/>
      <c r="O2424" s="10"/>
    </row>
    <row r="2425">
      <c r="A2425" s="157"/>
      <c r="B2425" s="9"/>
      <c r="C2425" s="10"/>
      <c r="D2425" s="10"/>
      <c r="E2425" s="10"/>
      <c r="F2425" s="10"/>
      <c r="G2425" s="10"/>
      <c r="H2425" s="10"/>
      <c r="I2425" s="10"/>
      <c r="J2425" s="10"/>
      <c r="K2425" s="10"/>
      <c r="L2425" s="10"/>
      <c r="M2425" s="10"/>
      <c r="N2425" s="10"/>
      <c r="O2425" s="10"/>
    </row>
    <row r="2426">
      <c r="A2426" s="157"/>
      <c r="B2426" s="9"/>
      <c r="C2426" s="10"/>
      <c r="D2426" s="10"/>
      <c r="E2426" s="10"/>
      <c r="F2426" s="10"/>
      <c r="G2426" s="10"/>
      <c r="H2426" s="10"/>
      <c r="I2426" s="10"/>
      <c r="J2426" s="10"/>
      <c r="K2426" s="10"/>
      <c r="L2426" s="10"/>
      <c r="M2426" s="10"/>
      <c r="N2426" s="10"/>
      <c r="O2426" s="10"/>
    </row>
    <row r="2427">
      <c r="A2427" s="157"/>
      <c r="B2427" s="9"/>
      <c r="C2427" s="10"/>
      <c r="D2427" s="10"/>
      <c r="E2427" s="10"/>
      <c r="F2427" s="10"/>
      <c r="G2427" s="10"/>
      <c r="H2427" s="10"/>
      <c r="I2427" s="10"/>
      <c r="J2427" s="10"/>
      <c r="K2427" s="10"/>
      <c r="L2427" s="10"/>
      <c r="M2427" s="10"/>
      <c r="N2427" s="10"/>
      <c r="O2427" s="10"/>
    </row>
    <row r="2428">
      <c r="A2428" s="157"/>
      <c r="B2428" s="9"/>
      <c r="C2428" s="10"/>
      <c r="D2428" s="10"/>
      <c r="E2428" s="10"/>
      <c r="F2428" s="10"/>
      <c r="G2428" s="10"/>
      <c r="H2428" s="10"/>
      <c r="I2428" s="10"/>
      <c r="J2428" s="10"/>
      <c r="K2428" s="10"/>
      <c r="L2428" s="10"/>
      <c r="M2428" s="10"/>
      <c r="N2428" s="10"/>
      <c r="O2428" s="10"/>
    </row>
    <row r="2429">
      <c r="A2429" s="157"/>
      <c r="B2429" s="9"/>
      <c r="C2429" s="10"/>
      <c r="D2429" s="10"/>
      <c r="E2429" s="10"/>
      <c r="F2429" s="10"/>
      <c r="G2429" s="10"/>
      <c r="H2429" s="10"/>
      <c r="I2429" s="10"/>
      <c r="J2429" s="10"/>
      <c r="K2429" s="10"/>
      <c r="L2429" s="10"/>
      <c r="M2429" s="10"/>
      <c r="N2429" s="10"/>
      <c r="O2429" s="10"/>
    </row>
    <row r="2430">
      <c r="A2430" s="157"/>
      <c r="B2430" s="9"/>
      <c r="C2430" s="10"/>
      <c r="D2430" s="10"/>
      <c r="E2430" s="10"/>
      <c r="F2430" s="10"/>
      <c r="G2430" s="10"/>
      <c r="H2430" s="10"/>
      <c r="I2430" s="10"/>
      <c r="J2430" s="10"/>
      <c r="K2430" s="10"/>
      <c r="L2430" s="10"/>
      <c r="M2430" s="10"/>
      <c r="N2430" s="10"/>
      <c r="O2430" s="10"/>
    </row>
    <row r="2431">
      <c r="A2431" s="157"/>
      <c r="B2431" s="9"/>
      <c r="C2431" s="10"/>
      <c r="D2431" s="10"/>
      <c r="E2431" s="10"/>
      <c r="F2431" s="10"/>
      <c r="G2431" s="10"/>
      <c r="H2431" s="10"/>
      <c r="I2431" s="10"/>
      <c r="J2431" s="10"/>
      <c r="K2431" s="10"/>
      <c r="L2431" s="10"/>
      <c r="M2431" s="10"/>
      <c r="N2431" s="10"/>
      <c r="O2431" s="10"/>
    </row>
    <row r="2432">
      <c r="A2432" s="157"/>
      <c r="B2432" s="9"/>
      <c r="C2432" s="10"/>
      <c r="D2432" s="10"/>
      <c r="E2432" s="10"/>
      <c r="F2432" s="10"/>
      <c r="G2432" s="10"/>
      <c r="H2432" s="10"/>
      <c r="I2432" s="10"/>
      <c r="J2432" s="10"/>
      <c r="K2432" s="10"/>
      <c r="L2432" s="10"/>
      <c r="M2432" s="10"/>
      <c r="N2432" s="10"/>
      <c r="O2432" s="10"/>
    </row>
    <row r="2433">
      <c r="A2433" s="157"/>
      <c r="B2433" s="9"/>
      <c r="C2433" s="10"/>
      <c r="D2433" s="10"/>
      <c r="E2433" s="10"/>
      <c r="F2433" s="10"/>
      <c r="G2433" s="10"/>
      <c r="H2433" s="10"/>
      <c r="I2433" s="10"/>
      <c r="J2433" s="10"/>
      <c r="K2433" s="10"/>
      <c r="L2433" s="10"/>
      <c r="M2433" s="10"/>
      <c r="N2433" s="10"/>
      <c r="O2433" s="10"/>
    </row>
    <row r="2434">
      <c r="A2434" s="157"/>
      <c r="B2434" s="9"/>
      <c r="C2434" s="10"/>
      <c r="D2434" s="10"/>
      <c r="E2434" s="10"/>
      <c r="F2434" s="10"/>
      <c r="G2434" s="10"/>
      <c r="H2434" s="10"/>
      <c r="I2434" s="10"/>
      <c r="J2434" s="10"/>
      <c r="K2434" s="10"/>
      <c r="L2434" s="10"/>
      <c r="M2434" s="10"/>
      <c r="N2434" s="10"/>
      <c r="O2434" s="10"/>
    </row>
    <row r="2435">
      <c r="A2435" s="157"/>
      <c r="B2435" s="9"/>
      <c r="C2435" s="10"/>
      <c r="D2435" s="10"/>
      <c r="E2435" s="10"/>
      <c r="F2435" s="10"/>
      <c r="G2435" s="10"/>
      <c r="H2435" s="10"/>
      <c r="I2435" s="10"/>
      <c r="J2435" s="10"/>
      <c r="K2435" s="10"/>
      <c r="L2435" s="10"/>
      <c r="M2435" s="10"/>
      <c r="N2435" s="10"/>
      <c r="O2435" s="10"/>
    </row>
    <row r="2436">
      <c r="A2436" s="157"/>
      <c r="B2436" s="9"/>
      <c r="C2436" s="10"/>
      <c r="D2436" s="10"/>
      <c r="E2436" s="10"/>
      <c r="F2436" s="10"/>
      <c r="G2436" s="10"/>
      <c r="H2436" s="10"/>
      <c r="I2436" s="10"/>
      <c r="J2436" s="10"/>
      <c r="K2436" s="10"/>
      <c r="L2436" s="10"/>
      <c r="M2436" s="10"/>
      <c r="N2436" s="10"/>
      <c r="O2436" s="10"/>
    </row>
    <row r="2437">
      <c r="A2437" s="157"/>
      <c r="B2437" s="9"/>
      <c r="C2437" s="10"/>
      <c r="D2437" s="10"/>
      <c r="E2437" s="10"/>
      <c r="F2437" s="10"/>
      <c r="G2437" s="10"/>
      <c r="H2437" s="10"/>
      <c r="I2437" s="10"/>
      <c r="J2437" s="10"/>
      <c r="K2437" s="10"/>
      <c r="L2437" s="10"/>
      <c r="M2437" s="10"/>
      <c r="N2437" s="10"/>
      <c r="O2437" s="10"/>
    </row>
    <row r="2438">
      <c r="A2438" s="157"/>
      <c r="B2438" s="9"/>
      <c r="C2438" s="10"/>
      <c r="D2438" s="10"/>
      <c r="E2438" s="10"/>
      <c r="F2438" s="10"/>
      <c r="G2438" s="10"/>
      <c r="H2438" s="10"/>
      <c r="I2438" s="10"/>
      <c r="J2438" s="10"/>
      <c r="K2438" s="10"/>
      <c r="L2438" s="10"/>
      <c r="M2438" s="10"/>
      <c r="N2438" s="10"/>
      <c r="O2438" s="10"/>
    </row>
    <row r="2439">
      <c r="A2439" s="157"/>
      <c r="B2439" s="9"/>
      <c r="C2439" s="10"/>
      <c r="D2439" s="10"/>
      <c r="E2439" s="10"/>
      <c r="F2439" s="10"/>
      <c r="G2439" s="10"/>
      <c r="H2439" s="10"/>
      <c r="I2439" s="10"/>
      <c r="J2439" s="10"/>
      <c r="K2439" s="10"/>
      <c r="L2439" s="10"/>
      <c r="M2439" s="10"/>
      <c r="N2439" s="10"/>
      <c r="O2439" s="10"/>
    </row>
    <row r="2440">
      <c r="A2440" s="157"/>
      <c r="B2440" s="9"/>
      <c r="C2440" s="10"/>
      <c r="D2440" s="10"/>
      <c r="E2440" s="10"/>
      <c r="F2440" s="10"/>
      <c r="G2440" s="10"/>
      <c r="H2440" s="10"/>
      <c r="I2440" s="10"/>
      <c r="J2440" s="10"/>
      <c r="K2440" s="10"/>
      <c r="L2440" s="10"/>
      <c r="M2440" s="10"/>
      <c r="N2440" s="10"/>
      <c r="O2440" s="10"/>
    </row>
    <row r="2441">
      <c r="A2441" s="157"/>
      <c r="B2441" s="9"/>
      <c r="C2441" s="10"/>
      <c r="D2441" s="10"/>
      <c r="E2441" s="10"/>
      <c r="F2441" s="10"/>
      <c r="G2441" s="10"/>
      <c r="H2441" s="10"/>
      <c r="I2441" s="10"/>
      <c r="J2441" s="10"/>
      <c r="K2441" s="10"/>
      <c r="L2441" s="10"/>
      <c r="M2441" s="10"/>
      <c r="N2441" s="10"/>
      <c r="O2441" s="10"/>
    </row>
    <row r="2442">
      <c r="A2442" s="157"/>
      <c r="B2442" s="9"/>
      <c r="C2442" s="10"/>
      <c r="D2442" s="10"/>
      <c r="E2442" s="10"/>
      <c r="F2442" s="10"/>
      <c r="G2442" s="10"/>
      <c r="H2442" s="10"/>
      <c r="I2442" s="10"/>
      <c r="J2442" s="10"/>
      <c r="K2442" s="10"/>
      <c r="L2442" s="10"/>
      <c r="M2442" s="10"/>
      <c r="N2442" s="10"/>
      <c r="O2442" s="10"/>
    </row>
    <row r="2443">
      <c r="A2443" s="157"/>
      <c r="B2443" s="9"/>
      <c r="C2443" s="10"/>
      <c r="D2443" s="10"/>
      <c r="E2443" s="10"/>
      <c r="F2443" s="10"/>
      <c r="G2443" s="10"/>
      <c r="H2443" s="10"/>
      <c r="I2443" s="10"/>
      <c r="J2443" s="10"/>
      <c r="K2443" s="10"/>
      <c r="L2443" s="10"/>
      <c r="M2443" s="10"/>
      <c r="N2443" s="10"/>
      <c r="O2443" s="10"/>
    </row>
    <row r="2444">
      <c r="A2444" s="157"/>
      <c r="B2444" s="9"/>
      <c r="C2444" s="10"/>
      <c r="D2444" s="10"/>
      <c r="E2444" s="10"/>
      <c r="F2444" s="10"/>
      <c r="G2444" s="10"/>
      <c r="H2444" s="10"/>
      <c r="I2444" s="10"/>
      <c r="J2444" s="10"/>
      <c r="K2444" s="10"/>
      <c r="L2444" s="10"/>
      <c r="M2444" s="10"/>
      <c r="N2444" s="10"/>
      <c r="O2444" s="10"/>
    </row>
    <row r="2445">
      <c r="A2445" s="157"/>
      <c r="B2445" s="9"/>
      <c r="C2445" s="10"/>
      <c r="D2445" s="10"/>
      <c r="E2445" s="10"/>
      <c r="F2445" s="10"/>
      <c r="G2445" s="10"/>
      <c r="H2445" s="10"/>
      <c r="I2445" s="10"/>
      <c r="J2445" s="10"/>
      <c r="K2445" s="10"/>
      <c r="L2445" s="10"/>
      <c r="M2445" s="10"/>
      <c r="N2445" s="10"/>
      <c r="O2445" s="10"/>
    </row>
    <row r="2446">
      <c r="A2446" s="157"/>
      <c r="B2446" s="9"/>
      <c r="C2446" s="10"/>
      <c r="D2446" s="10"/>
      <c r="E2446" s="10"/>
      <c r="F2446" s="10"/>
      <c r="G2446" s="10"/>
      <c r="H2446" s="10"/>
      <c r="I2446" s="10"/>
      <c r="J2446" s="10"/>
      <c r="K2446" s="10"/>
      <c r="L2446" s="10"/>
      <c r="M2446" s="10"/>
      <c r="N2446" s="10"/>
      <c r="O2446" s="10"/>
    </row>
    <row r="2447">
      <c r="A2447" s="157"/>
      <c r="B2447" s="9"/>
      <c r="C2447" s="10"/>
      <c r="D2447" s="10"/>
      <c r="E2447" s="10"/>
      <c r="F2447" s="10"/>
      <c r="G2447" s="10"/>
      <c r="H2447" s="10"/>
      <c r="I2447" s="10"/>
      <c r="J2447" s="10"/>
      <c r="K2447" s="10"/>
      <c r="L2447" s="10"/>
      <c r="M2447" s="10"/>
      <c r="N2447" s="10"/>
      <c r="O2447" s="10"/>
    </row>
    <row r="2448">
      <c r="A2448" s="157"/>
      <c r="B2448" s="9"/>
      <c r="C2448" s="10"/>
      <c r="D2448" s="10"/>
      <c r="E2448" s="10"/>
      <c r="F2448" s="10"/>
      <c r="G2448" s="10"/>
      <c r="H2448" s="10"/>
      <c r="I2448" s="10"/>
      <c r="J2448" s="10"/>
      <c r="K2448" s="10"/>
      <c r="L2448" s="10"/>
      <c r="M2448" s="10"/>
      <c r="N2448" s="10"/>
      <c r="O2448" s="10"/>
    </row>
    <row r="2449">
      <c r="A2449" s="157"/>
      <c r="B2449" s="9"/>
      <c r="C2449" s="10"/>
      <c r="D2449" s="10"/>
      <c r="E2449" s="10"/>
      <c r="F2449" s="10"/>
      <c r="G2449" s="10"/>
      <c r="H2449" s="10"/>
      <c r="I2449" s="10"/>
      <c r="J2449" s="10"/>
      <c r="K2449" s="10"/>
      <c r="L2449" s="10"/>
      <c r="M2449" s="10"/>
      <c r="N2449" s="10"/>
      <c r="O2449" s="10"/>
    </row>
    <row r="2450">
      <c r="A2450" s="157"/>
      <c r="B2450" s="9"/>
      <c r="C2450" s="10"/>
      <c r="D2450" s="10"/>
      <c r="E2450" s="10"/>
      <c r="F2450" s="10"/>
      <c r="G2450" s="10"/>
      <c r="H2450" s="10"/>
      <c r="I2450" s="10"/>
      <c r="J2450" s="10"/>
      <c r="K2450" s="10"/>
      <c r="L2450" s="10"/>
      <c r="M2450" s="10"/>
      <c r="N2450" s="10"/>
      <c r="O2450" s="10"/>
    </row>
    <row r="2451">
      <c r="A2451" s="157"/>
      <c r="B2451" s="9"/>
      <c r="C2451" s="10"/>
      <c r="D2451" s="10"/>
      <c r="E2451" s="10"/>
      <c r="F2451" s="10"/>
      <c r="G2451" s="10"/>
      <c r="H2451" s="10"/>
      <c r="I2451" s="10"/>
      <c r="J2451" s="10"/>
      <c r="K2451" s="10"/>
      <c r="L2451" s="10"/>
      <c r="M2451" s="10"/>
      <c r="N2451" s="10"/>
      <c r="O2451" s="10"/>
    </row>
    <row r="2452">
      <c r="A2452" s="157"/>
      <c r="B2452" s="9"/>
      <c r="C2452" s="10"/>
      <c r="D2452" s="10"/>
      <c r="E2452" s="10"/>
      <c r="F2452" s="10"/>
      <c r="G2452" s="10"/>
      <c r="H2452" s="10"/>
      <c r="I2452" s="10"/>
      <c r="J2452" s="10"/>
      <c r="K2452" s="10"/>
      <c r="L2452" s="10"/>
      <c r="M2452" s="10"/>
      <c r="N2452" s="10"/>
      <c r="O2452" s="10"/>
    </row>
    <row r="2453">
      <c r="A2453" s="157"/>
      <c r="B2453" s="9"/>
      <c r="C2453" s="10"/>
      <c r="D2453" s="10"/>
      <c r="E2453" s="10"/>
      <c r="F2453" s="10"/>
      <c r="G2453" s="10"/>
      <c r="H2453" s="10"/>
      <c r="I2453" s="10"/>
      <c r="J2453" s="10"/>
      <c r="K2453" s="10"/>
      <c r="L2453" s="10"/>
      <c r="M2453" s="10"/>
      <c r="N2453" s="10"/>
      <c r="O2453" s="10"/>
    </row>
    <row r="2454">
      <c r="A2454" s="157"/>
      <c r="B2454" s="9"/>
      <c r="C2454" s="10"/>
      <c r="D2454" s="10"/>
      <c r="E2454" s="10"/>
      <c r="F2454" s="10"/>
      <c r="G2454" s="10"/>
      <c r="H2454" s="10"/>
      <c r="I2454" s="10"/>
      <c r="J2454" s="10"/>
      <c r="K2454" s="10"/>
      <c r="L2454" s="10"/>
      <c r="M2454" s="10"/>
      <c r="N2454" s="10"/>
      <c r="O2454" s="10"/>
    </row>
    <row r="2455">
      <c r="A2455" s="157"/>
      <c r="B2455" s="9"/>
      <c r="C2455" s="10"/>
      <c r="D2455" s="10"/>
      <c r="E2455" s="10"/>
      <c r="F2455" s="10"/>
      <c r="G2455" s="10"/>
      <c r="H2455" s="10"/>
      <c r="I2455" s="10"/>
      <c r="J2455" s="10"/>
      <c r="K2455" s="10"/>
      <c r="L2455" s="10"/>
      <c r="M2455" s="10"/>
      <c r="N2455" s="10"/>
      <c r="O2455" s="10"/>
    </row>
    <row r="2456">
      <c r="A2456" s="157"/>
      <c r="B2456" s="9"/>
      <c r="C2456" s="10"/>
      <c r="D2456" s="10"/>
      <c r="E2456" s="10"/>
      <c r="F2456" s="10"/>
      <c r="G2456" s="10"/>
      <c r="H2456" s="10"/>
      <c r="I2456" s="10"/>
      <c r="J2456" s="10"/>
      <c r="K2456" s="10"/>
      <c r="L2456" s="10"/>
      <c r="M2456" s="10"/>
      <c r="N2456" s="10"/>
      <c r="O2456" s="10"/>
    </row>
    <row r="2457">
      <c r="A2457" s="157"/>
      <c r="B2457" s="9"/>
      <c r="C2457" s="10"/>
      <c r="D2457" s="10"/>
      <c r="E2457" s="10"/>
      <c r="F2457" s="10"/>
      <c r="G2457" s="10"/>
      <c r="H2457" s="10"/>
      <c r="I2457" s="10"/>
      <c r="J2457" s="10"/>
      <c r="K2457" s="10"/>
      <c r="L2457" s="10"/>
      <c r="M2457" s="10"/>
      <c r="N2457" s="10"/>
      <c r="O2457" s="10"/>
    </row>
    <row r="2458">
      <c r="A2458" s="157"/>
      <c r="B2458" s="9"/>
      <c r="C2458" s="10"/>
      <c r="D2458" s="10"/>
      <c r="E2458" s="10"/>
      <c r="F2458" s="10"/>
      <c r="G2458" s="10"/>
      <c r="H2458" s="10"/>
      <c r="I2458" s="10"/>
      <c r="J2458" s="10"/>
      <c r="K2458" s="10"/>
      <c r="L2458" s="10"/>
      <c r="M2458" s="10"/>
      <c r="N2458" s="10"/>
      <c r="O2458" s="10"/>
    </row>
    <row r="2459">
      <c r="A2459" s="157"/>
      <c r="B2459" s="9"/>
      <c r="C2459" s="10"/>
      <c r="D2459" s="10"/>
      <c r="E2459" s="10"/>
      <c r="F2459" s="10"/>
      <c r="G2459" s="10"/>
      <c r="H2459" s="10"/>
      <c r="I2459" s="10"/>
      <c r="J2459" s="10"/>
      <c r="K2459" s="10"/>
      <c r="L2459" s="10"/>
      <c r="M2459" s="10"/>
      <c r="N2459" s="10"/>
      <c r="O2459" s="10"/>
    </row>
    <row r="2460">
      <c r="A2460" s="157"/>
      <c r="B2460" s="9"/>
      <c r="C2460" s="10"/>
      <c r="D2460" s="10"/>
      <c r="E2460" s="10"/>
      <c r="F2460" s="10"/>
      <c r="G2460" s="10"/>
      <c r="H2460" s="10"/>
      <c r="I2460" s="10"/>
      <c r="J2460" s="10"/>
      <c r="K2460" s="10"/>
      <c r="L2460" s="10"/>
      <c r="M2460" s="10"/>
      <c r="N2460" s="10"/>
      <c r="O2460" s="10"/>
    </row>
    <row r="2461">
      <c r="A2461" s="157"/>
      <c r="B2461" s="9"/>
      <c r="C2461" s="10"/>
      <c r="D2461" s="10"/>
      <c r="E2461" s="10"/>
      <c r="F2461" s="10"/>
      <c r="G2461" s="10"/>
      <c r="H2461" s="10"/>
      <c r="I2461" s="10"/>
      <c r="J2461" s="10"/>
      <c r="K2461" s="10"/>
      <c r="L2461" s="10"/>
      <c r="M2461" s="10"/>
      <c r="N2461" s="10"/>
      <c r="O2461" s="10"/>
    </row>
    <row r="2462">
      <c r="A2462" s="157"/>
      <c r="B2462" s="9"/>
      <c r="C2462" s="10"/>
      <c r="D2462" s="10"/>
      <c r="E2462" s="10"/>
      <c r="F2462" s="10"/>
      <c r="G2462" s="10"/>
      <c r="H2462" s="10"/>
      <c r="I2462" s="10"/>
      <c r="J2462" s="10"/>
      <c r="K2462" s="10"/>
      <c r="L2462" s="10"/>
      <c r="M2462" s="10"/>
      <c r="N2462" s="10"/>
      <c r="O2462" s="10"/>
    </row>
    <row r="2463">
      <c r="A2463" s="157"/>
      <c r="B2463" s="9"/>
      <c r="C2463" s="10"/>
      <c r="D2463" s="10"/>
      <c r="E2463" s="10"/>
      <c r="F2463" s="10"/>
      <c r="G2463" s="10"/>
      <c r="H2463" s="10"/>
      <c r="I2463" s="10"/>
      <c r="J2463" s="10"/>
      <c r="K2463" s="10"/>
      <c r="L2463" s="10"/>
      <c r="M2463" s="10"/>
      <c r="N2463" s="10"/>
      <c r="O2463" s="10"/>
    </row>
    <row r="2464">
      <c r="A2464" s="157"/>
      <c r="B2464" s="9"/>
      <c r="C2464" s="10"/>
      <c r="D2464" s="10"/>
      <c r="E2464" s="10"/>
      <c r="F2464" s="10"/>
      <c r="G2464" s="10"/>
      <c r="H2464" s="10"/>
      <c r="I2464" s="10"/>
      <c r="J2464" s="10"/>
      <c r="K2464" s="10"/>
      <c r="L2464" s="10"/>
      <c r="M2464" s="10"/>
      <c r="N2464" s="10"/>
      <c r="O2464" s="10"/>
    </row>
    <row r="2465">
      <c r="A2465" s="157"/>
      <c r="B2465" s="9"/>
      <c r="C2465" s="10"/>
      <c r="D2465" s="10"/>
      <c r="E2465" s="10"/>
      <c r="F2465" s="10"/>
      <c r="G2465" s="10"/>
      <c r="H2465" s="10"/>
      <c r="I2465" s="10"/>
      <c r="J2465" s="10"/>
      <c r="K2465" s="10"/>
      <c r="L2465" s="10"/>
      <c r="M2465" s="10"/>
      <c r="N2465" s="10"/>
      <c r="O2465" s="10"/>
    </row>
  </sheetData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outlinePr summaryBelow="0" summaryRight="0"/>
  </sheetPr>
  <sheetViews>
    <sheetView workbookViewId="0"/>
  </sheetViews>
  <sheetFormatPr customHeight="1" defaultColWidth="12.63" defaultRowHeight="15.75"/>
  <cols>
    <col customWidth="1" min="5" max="5" width="14.63"/>
  </cols>
  <sheetData>
    <row r="1">
      <c r="A1" s="11" t="s">
        <v>2073</v>
      </c>
      <c r="B1" s="158" t="s">
        <v>1</v>
      </c>
    </row>
    <row r="2">
      <c r="A2" s="159" t="s">
        <v>3547</v>
      </c>
      <c r="B2" s="158">
        <v>986.0</v>
      </c>
    </row>
    <row r="3">
      <c r="A3" s="159" t="s">
        <v>3548</v>
      </c>
      <c r="B3" s="158">
        <v>986.0</v>
      </c>
    </row>
    <row r="4">
      <c r="A4" s="159" t="s">
        <v>3549</v>
      </c>
      <c r="B4" s="158">
        <v>3689.0</v>
      </c>
    </row>
    <row r="5">
      <c r="A5" s="159" t="s">
        <v>3550</v>
      </c>
      <c r="B5" s="158">
        <v>6728.0</v>
      </c>
    </row>
    <row r="6">
      <c r="A6" s="159" t="s">
        <v>3551</v>
      </c>
      <c r="B6" s="158">
        <v>6675.0</v>
      </c>
      <c r="C6" s="158"/>
    </row>
    <row r="7">
      <c r="A7" s="159" t="s">
        <v>3552</v>
      </c>
      <c r="B7" s="158">
        <v>2345.0</v>
      </c>
    </row>
    <row r="8">
      <c r="A8" s="159" t="s">
        <v>3553</v>
      </c>
      <c r="B8" s="158">
        <v>6729.0</v>
      </c>
    </row>
    <row r="9">
      <c r="A9" s="159" t="s">
        <v>74</v>
      </c>
      <c r="B9" s="158">
        <v>6132.0</v>
      </c>
      <c r="E9" s="33"/>
    </row>
    <row r="10">
      <c r="A10" s="159" t="s">
        <v>75</v>
      </c>
      <c r="B10" s="158">
        <v>7003.0</v>
      </c>
    </row>
    <row r="11">
      <c r="A11" s="159" t="s">
        <v>76</v>
      </c>
      <c r="B11" s="158">
        <v>12609.0</v>
      </c>
    </row>
    <row r="12">
      <c r="A12" s="159" t="s">
        <v>77</v>
      </c>
      <c r="B12" s="158">
        <v>6671.0</v>
      </c>
    </row>
    <row r="13">
      <c r="A13" s="159" t="s">
        <v>78</v>
      </c>
      <c r="B13" s="158">
        <v>7033.0</v>
      </c>
    </row>
    <row r="14">
      <c r="A14" s="159" t="s">
        <v>79</v>
      </c>
      <c r="B14" s="158">
        <v>6772.0</v>
      </c>
    </row>
    <row r="15">
      <c r="A15" s="159" t="s">
        <v>80</v>
      </c>
      <c r="B15" s="158">
        <v>7010.0</v>
      </c>
    </row>
    <row r="16">
      <c r="A16" s="159" t="s">
        <v>81</v>
      </c>
      <c r="B16" s="158">
        <v>6133.0</v>
      </c>
    </row>
    <row r="17">
      <c r="A17" s="159" t="s">
        <v>82</v>
      </c>
      <c r="B17" s="158">
        <v>11708.0</v>
      </c>
    </row>
    <row r="18">
      <c r="A18" s="159" t="s">
        <v>83</v>
      </c>
      <c r="B18" s="158">
        <v>14065.0</v>
      </c>
    </row>
    <row r="19">
      <c r="A19" s="159" t="s">
        <v>84</v>
      </c>
      <c r="B19" s="158">
        <v>6106.0</v>
      </c>
    </row>
    <row r="20">
      <c r="A20" s="159" t="s">
        <v>85</v>
      </c>
      <c r="B20" s="158">
        <v>11708.0</v>
      </c>
    </row>
    <row r="21">
      <c r="A21" s="159" t="s">
        <v>86</v>
      </c>
      <c r="B21" s="158">
        <v>13864.0</v>
      </c>
    </row>
    <row r="22">
      <c r="A22" s="159" t="s">
        <v>87</v>
      </c>
      <c r="B22" s="158">
        <v>663.0</v>
      </c>
    </row>
    <row r="23">
      <c r="A23" s="159" t="s">
        <v>88</v>
      </c>
      <c r="B23" s="158">
        <v>663.0</v>
      </c>
    </row>
    <row r="24">
      <c r="A24" s="159" t="s">
        <v>89</v>
      </c>
      <c r="B24" s="158">
        <v>3307.0</v>
      </c>
    </row>
    <row r="25">
      <c r="A25" s="159" t="s">
        <v>90</v>
      </c>
      <c r="B25" s="158">
        <v>6557.0</v>
      </c>
    </row>
    <row r="26">
      <c r="A26" s="159" t="s">
        <v>91</v>
      </c>
      <c r="B26" s="158">
        <v>14337.0</v>
      </c>
    </row>
    <row r="27">
      <c r="A27" s="159" t="s">
        <v>92</v>
      </c>
      <c r="B27" s="158">
        <v>8002.0</v>
      </c>
    </row>
    <row r="28">
      <c r="A28" s="159" t="s">
        <v>93</v>
      </c>
      <c r="B28" s="158">
        <v>7847.0</v>
      </c>
    </row>
    <row r="29">
      <c r="A29" s="159" t="s">
        <v>94</v>
      </c>
      <c r="B29" s="158"/>
    </row>
    <row r="30">
      <c r="A30" s="159" t="s">
        <v>95</v>
      </c>
      <c r="B30" s="158">
        <v>6927.0</v>
      </c>
    </row>
    <row r="31">
      <c r="A31" s="159" t="s">
        <v>96</v>
      </c>
      <c r="B31" s="160"/>
      <c r="C31" s="158"/>
    </row>
    <row r="32">
      <c r="A32" s="159" t="s">
        <v>97</v>
      </c>
      <c r="B32" s="158">
        <v>7040.0</v>
      </c>
      <c r="C32" s="158"/>
    </row>
    <row r="33">
      <c r="A33" s="159" t="s">
        <v>98</v>
      </c>
      <c r="B33" s="158">
        <v>13864.0</v>
      </c>
    </row>
    <row r="34">
      <c r="A34" s="159" t="s">
        <v>99</v>
      </c>
      <c r="B34" s="158">
        <v>6924.0</v>
      </c>
    </row>
    <row r="35">
      <c r="A35" s="159" t="s">
        <v>100</v>
      </c>
      <c r="B35" s="158">
        <v>6928.0</v>
      </c>
    </row>
    <row r="36">
      <c r="A36" s="159" t="s">
        <v>101</v>
      </c>
      <c r="B36" s="158">
        <v>13951.0</v>
      </c>
    </row>
    <row r="37">
      <c r="A37" s="159" t="s">
        <v>102</v>
      </c>
      <c r="B37" s="158">
        <v>6903.0</v>
      </c>
    </row>
    <row r="38">
      <c r="A38" s="159" t="s">
        <v>103</v>
      </c>
    </row>
    <row r="39">
      <c r="A39" s="159" t="s">
        <v>104</v>
      </c>
      <c r="B39" s="158"/>
    </row>
    <row r="40">
      <c r="A40" s="159" t="s">
        <v>105</v>
      </c>
      <c r="B40" s="158">
        <v>5389.0</v>
      </c>
    </row>
    <row r="41">
      <c r="A41" s="159" t="s">
        <v>3554</v>
      </c>
      <c r="B41" s="158"/>
    </row>
    <row r="42">
      <c r="A42" s="159" t="s">
        <v>3555</v>
      </c>
      <c r="B42" s="35">
        <v>6726.0</v>
      </c>
    </row>
    <row r="43">
      <c r="A43" s="159" t="s">
        <v>3556</v>
      </c>
      <c r="B43" s="35">
        <v>6726.0</v>
      </c>
    </row>
    <row r="44">
      <c r="A44" s="159" t="s">
        <v>3557</v>
      </c>
      <c r="B44" s="158"/>
    </row>
    <row r="45">
      <c r="A45" s="159" t="s">
        <v>3558</v>
      </c>
      <c r="B45" s="158">
        <v>6668.0</v>
      </c>
    </row>
    <row r="46">
      <c r="A46" s="159" t="s">
        <v>3559</v>
      </c>
      <c r="B46" s="11">
        <v>7747.0</v>
      </c>
    </row>
    <row r="47">
      <c r="A47" s="159" t="s">
        <v>3560</v>
      </c>
      <c r="B47" s="158"/>
    </row>
    <row r="48">
      <c r="A48" s="159" t="s">
        <v>3561</v>
      </c>
      <c r="B48" s="158"/>
    </row>
    <row r="49">
      <c r="A49" s="159" t="s">
        <v>3562</v>
      </c>
      <c r="B49" s="158">
        <v>9746.0</v>
      </c>
    </row>
    <row r="50">
      <c r="A50" s="159" t="s">
        <v>3563</v>
      </c>
      <c r="B50" s="158">
        <v>14482.0</v>
      </c>
    </row>
    <row r="51">
      <c r="A51" s="159" t="s">
        <v>3564</v>
      </c>
      <c r="B51" s="158">
        <v>14482.0</v>
      </c>
    </row>
    <row r="52">
      <c r="A52" s="159" t="s">
        <v>3565</v>
      </c>
      <c r="B52" s="158">
        <v>14482.0</v>
      </c>
    </row>
    <row r="53">
      <c r="A53" s="159" t="s">
        <v>3566</v>
      </c>
      <c r="B53" s="158"/>
    </row>
    <row r="54">
      <c r="A54" s="159" t="s">
        <v>3567</v>
      </c>
      <c r="B54" s="158"/>
    </row>
    <row r="55">
      <c r="A55" s="159" t="s">
        <v>3568</v>
      </c>
      <c r="B55" s="158">
        <v>6722.0</v>
      </c>
    </row>
    <row r="56">
      <c r="A56" s="159" t="s">
        <v>3569</v>
      </c>
      <c r="B56" s="158">
        <v>283.0</v>
      </c>
    </row>
    <row r="57">
      <c r="A57" s="159" t="s">
        <v>3570</v>
      </c>
      <c r="B57" s="158"/>
    </row>
    <row r="58">
      <c r="A58" s="159" t="s">
        <v>3571</v>
      </c>
      <c r="B58" s="158"/>
    </row>
    <row r="59">
      <c r="A59" s="159" t="s">
        <v>3572</v>
      </c>
      <c r="B59" s="158">
        <v>7137.0</v>
      </c>
    </row>
    <row r="60">
      <c r="A60" s="159" t="s">
        <v>3573</v>
      </c>
      <c r="B60" s="158">
        <v>7031.0</v>
      </c>
    </row>
    <row r="61">
      <c r="A61" s="159" t="s">
        <v>3574</v>
      </c>
      <c r="B61" s="158"/>
    </row>
    <row r="62">
      <c r="A62" s="159" t="s">
        <v>3575</v>
      </c>
      <c r="B62" s="158"/>
    </row>
    <row r="63">
      <c r="A63" s="159" t="s">
        <v>3576</v>
      </c>
      <c r="B63" s="158"/>
    </row>
    <row r="64">
      <c r="A64" s="159" t="s">
        <v>3577</v>
      </c>
      <c r="B64" s="158"/>
    </row>
    <row r="65">
      <c r="A65" s="159" t="s">
        <v>3578</v>
      </c>
      <c r="B65" s="158">
        <v>6875.0</v>
      </c>
    </row>
    <row r="66">
      <c r="A66" s="159" t="s">
        <v>3579</v>
      </c>
      <c r="B66" s="158"/>
    </row>
    <row r="67">
      <c r="A67" s="159" t="s">
        <v>3580</v>
      </c>
      <c r="B67" s="158">
        <v>9307.0</v>
      </c>
    </row>
    <row r="68">
      <c r="A68" s="159" t="s">
        <v>3581</v>
      </c>
      <c r="B68" s="158">
        <v>6827.0</v>
      </c>
    </row>
    <row r="69">
      <c r="A69" s="159" t="s">
        <v>3582</v>
      </c>
      <c r="B69" s="158"/>
    </row>
    <row r="70">
      <c r="A70" s="159" t="s">
        <v>3583</v>
      </c>
      <c r="B70" s="158">
        <v>14030.0</v>
      </c>
    </row>
    <row r="71">
      <c r="A71" s="159" t="s">
        <v>3584</v>
      </c>
      <c r="B71" s="158"/>
    </row>
    <row r="72">
      <c r="A72" s="159" t="s">
        <v>3585</v>
      </c>
      <c r="B72" s="158"/>
    </row>
    <row r="73">
      <c r="A73" s="159" t="s">
        <v>3586</v>
      </c>
      <c r="B73" s="158"/>
    </row>
    <row r="74">
      <c r="A74" s="159" t="s">
        <v>3587</v>
      </c>
      <c r="B74" s="158"/>
    </row>
    <row r="75">
      <c r="A75" s="159" t="s">
        <v>3588</v>
      </c>
      <c r="B75" s="158">
        <v>7023.0</v>
      </c>
    </row>
    <row r="76">
      <c r="A76" s="159" t="s">
        <v>3589</v>
      </c>
      <c r="B76" s="158"/>
    </row>
    <row r="77">
      <c r="A77" s="159" t="s">
        <v>3590</v>
      </c>
      <c r="B77" s="158">
        <v>6995.0</v>
      </c>
    </row>
    <row r="78">
      <c r="A78" s="159" t="s">
        <v>3591</v>
      </c>
      <c r="B78" s="158">
        <v>8199.0</v>
      </c>
    </row>
    <row r="79">
      <c r="A79" s="159" t="s">
        <v>3592</v>
      </c>
      <c r="B79" s="158">
        <v>8199.0</v>
      </c>
    </row>
    <row r="80">
      <c r="A80" s="159" t="s">
        <v>3593</v>
      </c>
      <c r="B80" s="158">
        <v>12932.0</v>
      </c>
    </row>
    <row r="81">
      <c r="A81" s="159" t="s">
        <v>3594</v>
      </c>
      <c r="B81" s="158"/>
    </row>
    <row r="82">
      <c r="A82" s="159" t="s">
        <v>3595</v>
      </c>
      <c r="B82" s="158"/>
    </row>
    <row r="83">
      <c r="A83" s="159" t="s">
        <v>3596</v>
      </c>
      <c r="B83" s="158"/>
    </row>
    <row r="84">
      <c r="A84" s="159" t="s">
        <v>3597</v>
      </c>
      <c r="B84" s="158"/>
    </row>
    <row r="85">
      <c r="A85" s="159" t="s">
        <v>3598</v>
      </c>
      <c r="B85" s="158">
        <v>3607.0</v>
      </c>
    </row>
    <row r="86">
      <c r="A86" s="159" t="s">
        <v>3599</v>
      </c>
      <c r="B86" s="158">
        <v>3607.0</v>
      </c>
    </row>
    <row r="87">
      <c r="A87" s="159" t="s">
        <v>3600</v>
      </c>
      <c r="B87" s="158">
        <v>3607.0</v>
      </c>
    </row>
    <row r="88">
      <c r="A88" s="159" t="s">
        <v>3601</v>
      </c>
      <c r="B88" s="158">
        <v>3607.0</v>
      </c>
    </row>
    <row r="89">
      <c r="A89" s="159" t="s">
        <v>3602</v>
      </c>
      <c r="B89" s="158">
        <v>3607.0</v>
      </c>
    </row>
    <row r="90">
      <c r="A90" s="159" t="s">
        <v>3603</v>
      </c>
      <c r="B90" s="158">
        <v>6668.0</v>
      </c>
    </row>
    <row r="91">
      <c r="A91" s="159" t="s">
        <v>3604</v>
      </c>
      <c r="B91" s="158">
        <v>6668.0</v>
      </c>
      <c r="D91" s="158"/>
    </row>
    <row r="92">
      <c r="A92" s="159" t="s">
        <v>3605</v>
      </c>
      <c r="B92" s="158">
        <v>6668.0</v>
      </c>
    </row>
    <row r="93">
      <c r="A93" s="159" t="s">
        <v>3606</v>
      </c>
      <c r="B93" s="158">
        <v>6668.0</v>
      </c>
    </row>
    <row r="94">
      <c r="A94" s="159" t="s">
        <v>3607</v>
      </c>
      <c r="B94" s="158">
        <v>6668.0</v>
      </c>
    </row>
    <row r="95">
      <c r="A95" s="159" t="s">
        <v>3608</v>
      </c>
      <c r="B95" s="158">
        <v>6668.0</v>
      </c>
    </row>
    <row r="96">
      <c r="A96" s="159" t="s">
        <v>3609</v>
      </c>
      <c r="B96" s="158"/>
    </row>
    <row r="97">
      <c r="A97" s="159" t="s">
        <v>3610</v>
      </c>
      <c r="B97" s="158"/>
    </row>
    <row r="98">
      <c r="A98" s="159" t="s">
        <v>3611</v>
      </c>
      <c r="B98" s="158"/>
    </row>
    <row r="99">
      <c r="A99" s="159" t="s">
        <v>3612</v>
      </c>
      <c r="B99" s="158"/>
    </row>
    <row r="100">
      <c r="A100" s="159" t="s">
        <v>3613</v>
      </c>
      <c r="B100" s="11">
        <v>14480.0</v>
      </c>
    </row>
    <row r="101">
      <c r="A101" s="159" t="s">
        <v>3614</v>
      </c>
      <c r="B101" s="158">
        <v>315.0</v>
      </c>
    </row>
    <row r="102">
      <c r="A102" s="159" t="s">
        <v>3615</v>
      </c>
      <c r="B102" s="25">
        <v>11049.0</v>
      </c>
    </row>
    <row r="103">
      <c r="A103" s="159" t="s">
        <v>3616</v>
      </c>
      <c r="B103" s="25">
        <v>11049.0</v>
      </c>
    </row>
    <row r="104">
      <c r="A104" s="159" t="s">
        <v>3617</v>
      </c>
      <c r="B104" s="25">
        <v>11049.0</v>
      </c>
    </row>
    <row r="105">
      <c r="A105" s="159" t="s">
        <v>3618</v>
      </c>
      <c r="B105" s="25">
        <v>11049.0</v>
      </c>
    </row>
    <row r="106">
      <c r="A106" s="159" t="s">
        <v>3619</v>
      </c>
      <c r="B106" s="25">
        <v>11049.0</v>
      </c>
    </row>
    <row r="107">
      <c r="A107" s="159" t="s">
        <v>3620</v>
      </c>
      <c r="B107" s="25">
        <v>11049.0</v>
      </c>
    </row>
    <row r="108">
      <c r="A108" s="159" t="s">
        <v>3621</v>
      </c>
      <c r="B108" s="25">
        <v>11049.0</v>
      </c>
    </row>
    <row r="109">
      <c r="A109" s="159" t="s">
        <v>3622</v>
      </c>
      <c r="B109" s="25">
        <v>11049.0</v>
      </c>
    </row>
    <row r="110">
      <c r="A110" s="159" t="s">
        <v>3623</v>
      </c>
      <c r="B110" s="25">
        <v>11049.0</v>
      </c>
    </row>
    <row r="111">
      <c r="A111" s="159" t="s">
        <v>3624</v>
      </c>
      <c r="B111" s="25">
        <v>11049.0</v>
      </c>
    </row>
    <row r="112">
      <c r="A112" s="159" t="s">
        <v>3625</v>
      </c>
      <c r="B112" s="25">
        <v>11049.0</v>
      </c>
    </row>
    <row r="113">
      <c r="A113" s="159" t="s">
        <v>3626</v>
      </c>
      <c r="B113" s="25">
        <v>11049.0</v>
      </c>
    </row>
    <row r="114">
      <c r="A114" s="159" t="s">
        <v>3627</v>
      </c>
      <c r="B114" s="25">
        <v>11049.0</v>
      </c>
    </row>
    <row r="115">
      <c r="A115" s="159" t="s">
        <v>3628</v>
      </c>
      <c r="B115" s="25">
        <v>11049.0</v>
      </c>
    </row>
    <row r="116">
      <c r="A116" s="159" t="s">
        <v>3629</v>
      </c>
      <c r="B116" s="25">
        <v>11049.0</v>
      </c>
    </row>
    <row r="117">
      <c r="A117" s="159" t="s">
        <v>3630</v>
      </c>
      <c r="B117" s="25">
        <v>11049.0</v>
      </c>
    </row>
    <row r="118">
      <c r="A118" s="159" t="s">
        <v>3631</v>
      </c>
      <c r="B118" s="25">
        <v>11049.0</v>
      </c>
    </row>
    <row r="119">
      <c r="A119" s="159" t="s">
        <v>3632</v>
      </c>
      <c r="B119" s="25">
        <v>11049.0</v>
      </c>
    </row>
    <row r="120">
      <c r="A120" s="159" t="s">
        <v>3633</v>
      </c>
      <c r="B120" s="25">
        <v>11049.0</v>
      </c>
    </row>
    <row r="121">
      <c r="A121" s="159" t="s">
        <v>3634</v>
      </c>
      <c r="B121" s="25">
        <v>11049.0</v>
      </c>
    </row>
    <row r="122">
      <c r="A122" s="159" t="s">
        <v>3635</v>
      </c>
      <c r="B122" s="25">
        <v>11049.0</v>
      </c>
    </row>
    <row r="123">
      <c r="A123" s="159" t="s">
        <v>3636</v>
      </c>
      <c r="B123" s="25">
        <v>11049.0</v>
      </c>
    </row>
    <row r="124">
      <c r="A124" s="159" t="s">
        <v>3637</v>
      </c>
      <c r="B124" s="25">
        <v>11049.0</v>
      </c>
    </row>
    <row r="125">
      <c r="A125" s="159" t="s">
        <v>3638</v>
      </c>
      <c r="B125" s="25">
        <v>11049.0</v>
      </c>
    </row>
    <row r="126">
      <c r="A126" s="159" t="s">
        <v>3639</v>
      </c>
      <c r="B126" s="25">
        <v>11049.0</v>
      </c>
    </row>
    <row r="127">
      <c r="A127" s="159" t="s">
        <v>3640</v>
      </c>
      <c r="B127" s="25">
        <v>11049.0</v>
      </c>
    </row>
    <row r="128">
      <c r="A128" s="159" t="s">
        <v>3641</v>
      </c>
      <c r="B128" s="25">
        <v>11049.0</v>
      </c>
    </row>
    <row r="129">
      <c r="A129" s="159" t="s">
        <v>3642</v>
      </c>
      <c r="B129" s="25">
        <v>11049.0</v>
      </c>
    </row>
    <row r="130">
      <c r="A130" s="159" t="s">
        <v>3643</v>
      </c>
      <c r="B130" s="25">
        <v>11049.0</v>
      </c>
    </row>
    <row r="131">
      <c r="A131" s="159" t="s">
        <v>3644</v>
      </c>
      <c r="B131" s="25">
        <v>11049.0</v>
      </c>
    </row>
    <row r="132">
      <c r="A132" s="159" t="s">
        <v>3645</v>
      </c>
      <c r="B132" s="158"/>
    </row>
    <row r="133">
      <c r="A133" s="159" t="s">
        <v>3646</v>
      </c>
      <c r="B133" s="158"/>
    </row>
    <row r="134">
      <c r="A134" s="159" t="s">
        <v>3647</v>
      </c>
      <c r="B134" s="158"/>
    </row>
    <row r="135">
      <c r="A135" s="159" t="s">
        <v>3648</v>
      </c>
      <c r="B135" s="158"/>
    </row>
    <row r="136">
      <c r="A136" s="159" t="s">
        <v>3649</v>
      </c>
      <c r="B136" s="158"/>
    </row>
    <row r="137">
      <c r="A137" s="159" t="s">
        <v>3650</v>
      </c>
      <c r="B137" s="158"/>
    </row>
    <row r="138">
      <c r="A138" s="159" t="s">
        <v>3651</v>
      </c>
      <c r="B138" s="158"/>
    </row>
    <row r="139">
      <c r="A139" s="159" t="s">
        <v>3652</v>
      </c>
      <c r="B139" s="158"/>
    </row>
    <row r="140">
      <c r="A140" s="159" t="s">
        <v>3653</v>
      </c>
      <c r="B140" s="158"/>
      <c r="D140" s="158"/>
    </row>
    <row r="141">
      <c r="A141" s="159" t="s">
        <v>3654</v>
      </c>
      <c r="B141" s="158"/>
    </row>
    <row r="142">
      <c r="A142" s="159" t="s">
        <v>3655</v>
      </c>
      <c r="B142" s="158"/>
    </row>
    <row r="143">
      <c r="A143" s="159" t="s">
        <v>3656</v>
      </c>
      <c r="B143" s="158"/>
    </row>
    <row r="144">
      <c r="A144" s="159" t="s">
        <v>3657</v>
      </c>
      <c r="B144" s="158"/>
    </row>
    <row r="145">
      <c r="A145" s="159" t="s">
        <v>3658</v>
      </c>
      <c r="B145" s="158"/>
    </row>
    <row r="146">
      <c r="A146" s="159" t="s">
        <v>3659</v>
      </c>
      <c r="B146" s="158"/>
    </row>
    <row r="147">
      <c r="A147" s="159" t="s">
        <v>3660</v>
      </c>
      <c r="B147" s="158"/>
    </row>
    <row r="148">
      <c r="A148" s="159" t="s">
        <v>3661</v>
      </c>
      <c r="B148" s="158"/>
    </row>
    <row r="149">
      <c r="A149" s="159" t="s">
        <v>3662</v>
      </c>
      <c r="B149" s="158"/>
    </row>
    <row r="150">
      <c r="A150" s="159" t="s">
        <v>3663</v>
      </c>
      <c r="B150" s="158"/>
    </row>
    <row r="151">
      <c r="A151" s="159" t="s">
        <v>3664</v>
      </c>
      <c r="B151" s="158"/>
    </row>
    <row r="152">
      <c r="A152" s="159" t="s">
        <v>3665</v>
      </c>
      <c r="B152" s="158"/>
    </row>
    <row r="153">
      <c r="A153" s="159" t="s">
        <v>3666</v>
      </c>
      <c r="B153" s="158"/>
    </row>
    <row r="154">
      <c r="A154" s="159" t="s">
        <v>3667</v>
      </c>
      <c r="B154" s="158"/>
    </row>
    <row r="155">
      <c r="A155" s="159" t="s">
        <v>3668</v>
      </c>
      <c r="B155" s="161"/>
    </row>
    <row r="156">
      <c r="A156" s="159" t="s">
        <v>3669</v>
      </c>
      <c r="B156" s="158"/>
    </row>
    <row r="157">
      <c r="A157" s="159" t="s">
        <v>3670</v>
      </c>
      <c r="B157" s="158"/>
      <c r="D157" s="158"/>
    </row>
    <row r="158">
      <c r="A158" s="159" t="s">
        <v>3671</v>
      </c>
      <c r="B158" s="158"/>
      <c r="D158" s="158"/>
    </row>
    <row r="159">
      <c r="A159" s="159" t="s">
        <v>3672</v>
      </c>
      <c r="B159" s="158"/>
    </row>
    <row r="160">
      <c r="A160" s="159" t="s">
        <v>3673</v>
      </c>
      <c r="B160" s="158"/>
    </row>
    <row r="161">
      <c r="A161" s="159" t="s">
        <v>3674</v>
      </c>
      <c r="B161" s="158"/>
    </row>
    <row r="162">
      <c r="A162" s="159" t="s">
        <v>3675</v>
      </c>
      <c r="B162" s="158"/>
    </row>
    <row r="163">
      <c r="A163" s="159" t="s">
        <v>3676</v>
      </c>
      <c r="B163" s="158"/>
    </row>
    <row r="164">
      <c r="A164" s="159" t="s">
        <v>3677</v>
      </c>
      <c r="B164" s="158"/>
    </row>
    <row r="165">
      <c r="A165" s="159" t="s">
        <v>3678</v>
      </c>
      <c r="B165" s="160"/>
    </row>
    <row r="166">
      <c r="A166" s="159" t="s">
        <v>3679</v>
      </c>
      <c r="B166" s="160"/>
    </row>
    <row r="167">
      <c r="A167" s="159" t="s">
        <v>3680</v>
      </c>
      <c r="B167" s="158"/>
    </row>
    <row r="168">
      <c r="A168" s="159" t="s">
        <v>3681</v>
      </c>
      <c r="B168" s="158"/>
    </row>
    <row r="169">
      <c r="A169" s="159" t="s">
        <v>3682</v>
      </c>
      <c r="B169" s="158"/>
    </row>
    <row r="170">
      <c r="A170" s="159" t="s">
        <v>3683</v>
      </c>
      <c r="B170" s="158"/>
    </row>
    <row r="171">
      <c r="A171" s="159" t="s">
        <v>3684</v>
      </c>
      <c r="B171" s="158"/>
    </row>
    <row r="172">
      <c r="A172" s="159" t="s">
        <v>3685</v>
      </c>
      <c r="B172" s="158"/>
    </row>
    <row r="173">
      <c r="A173" s="159" t="s">
        <v>3686</v>
      </c>
      <c r="B173" s="158"/>
    </row>
    <row r="174">
      <c r="A174" s="159" t="s">
        <v>3687</v>
      </c>
      <c r="B174" s="158"/>
    </row>
    <row r="175">
      <c r="A175" s="159" t="s">
        <v>3688</v>
      </c>
      <c r="B175" s="158"/>
    </row>
    <row r="176">
      <c r="A176" s="159" t="s">
        <v>3689</v>
      </c>
      <c r="B176" s="158"/>
    </row>
    <row r="177">
      <c r="A177" s="159" t="s">
        <v>3690</v>
      </c>
      <c r="B177" s="158"/>
    </row>
    <row r="178">
      <c r="A178" s="159" t="s">
        <v>3691</v>
      </c>
      <c r="B178" s="158"/>
    </row>
    <row r="179">
      <c r="A179" s="159" t="s">
        <v>3692</v>
      </c>
      <c r="B179" s="158"/>
    </row>
    <row r="180">
      <c r="A180" s="159" t="s">
        <v>3693</v>
      </c>
      <c r="B180" s="158"/>
    </row>
    <row r="181">
      <c r="A181" s="159" t="s">
        <v>3694</v>
      </c>
      <c r="B181" s="158"/>
    </row>
    <row r="182">
      <c r="A182" s="159" t="s">
        <v>3695</v>
      </c>
      <c r="B182" s="158"/>
    </row>
    <row r="183">
      <c r="A183" s="159" t="s">
        <v>3696</v>
      </c>
      <c r="B183" s="158"/>
    </row>
    <row r="184">
      <c r="A184" s="159" t="s">
        <v>3697</v>
      </c>
      <c r="B184" s="158"/>
    </row>
    <row r="185">
      <c r="A185" s="159" t="s">
        <v>3698</v>
      </c>
      <c r="B185" s="158"/>
      <c r="D185" s="158"/>
    </row>
    <row r="186">
      <c r="A186" s="159" t="s">
        <v>3699</v>
      </c>
      <c r="B186" s="158">
        <v>14465.0</v>
      </c>
    </row>
    <row r="187">
      <c r="A187" s="159" t="s">
        <v>3700</v>
      </c>
      <c r="B187" s="158"/>
    </row>
    <row r="188">
      <c r="A188" s="159" t="s">
        <v>3701</v>
      </c>
      <c r="B188" s="158"/>
    </row>
    <row r="189">
      <c r="A189" s="159" t="s">
        <v>3702</v>
      </c>
      <c r="B189" s="158">
        <v>13829.0</v>
      </c>
    </row>
    <row r="190">
      <c r="A190" s="159" t="s">
        <v>3703</v>
      </c>
      <c r="B190" s="158">
        <v>14516.0</v>
      </c>
    </row>
    <row r="191">
      <c r="A191" s="159" t="s">
        <v>3704</v>
      </c>
      <c r="B191" s="158">
        <v>12277.0</v>
      </c>
      <c r="C191" s="11" t="s">
        <v>207</v>
      </c>
    </row>
    <row r="192">
      <c r="A192" s="159" t="s">
        <v>3705</v>
      </c>
      <c r="B192" s="158"/>
      <c r="C192" s="11" t="s">
        <v>207</v>
      </c>
    </row>
    <row r="193">
      <c r="A193" s="159" t="s">
        <v>65</v>
      </c>
      <c r="B193" s="158">
        <v>8486.0</v>
      </c>
      <c r="C193" s="11" t="s">
        <v>207</v>
      </c>
    </row>
    <row r="194">
      <c r="A194" s="159" t="s">
        <v>66</v>
      </c>
      <c r="B194" s="158">
        <v>13988.0</v>
      </c>
      <c r="C194" s="11" t="s">
        <v>207</v>
      </c>
    </row>
    <row r="195">
      <c r="A195" s="159" t="s">
        <v>67</v>
      </c>
      <c r="B195" s="158"/>
      <c r="C195" s="11" t="s">
        <v>207</v>
      </c>
    </row>
    <row r="196">
      <c r="A196" s="159" t="s">
        <v>68</v>
      </c>
      <c r="B196" s="158"/>
      <c r="C196" s="11" t="s">
        <v>207</v>
      </c>
    </row>
    <row r="197">
      <c r="A197" s="159" t="s">
        <v>69</v>
      </c>
      <c r="B197" s="158">
        <v>7416.0</v>
      </c>
      <c r="C197" s="11" t="s">
        <v>207</v>
      </c>
    </row>
    <row r="198">
      <c r="A198" s="159" t="s">
        <v>70</v>
      </c>
      <c r="B198" s="158"/>
      <c r="C198" s="11" t="s">
        <v>207</v>
      </c>
    </row>
    <row r="199">
      <c r="A199" s="159" t="s">
        <v>71</v>
      </c>
      <c r="B199" s="158"/>
      <c r="C199" s="11" t="s">
        <v>207</v>
      </c>
    </row>
    <row r="200">
      <c r="A200" s="159" t="s">
        <v>72</v>
      </c>
      <c r="B200" s="158"/>
      <c r="C200" s="11" t="s">
        <v>207</v>
      </c>
    </row>
    <row r="201">
      <c r="A201" s="159" t="s">
        <v>73</v>
      </c>
      <c r="B201" s="158"/>
      <c r="C201" s="11" t="s">
        <v>207</v>
      </c>
    </row>
    <row r="202">
      <c r="A202" s="159"/>
      <c r="B202" s="158"/>
    </row>
    <row r="203">
      <c r="A203" s="159"/>
      <c r="B203" s="158"/>
    </row>
    <row r="204">
      <c r="A204" s="159"/>
      <c r="B204" s="158"/>
    </row>
    <row r="205">
      <c r="A205" s="159"/>
      <c r="B205" s="158"/>
    </row>
    <row r="206">
      <c r="A206" s="159"/>
      <c r="B206" s="158"/>
    </row>
    <row r="207">
      <c r="A207" s="159"/>
      <c r="B207" s="158"/>
    </row>
    <row r="208">
      <c r="A208" s="159"/>
      <c r="B208" s="158"/>
    </row>
    <row r="209">
      <c r="A209" s="159"/>
      <c r="B209" s="158"/>
    </row>
    <row r="210">
      <c r="A210" s="159"/>
      <c r="B210" s="158"/>
    </row>
    <row r="211">
      <c r="A211" s="159"/>
      <c r="B211" s="158"/>
    </row>
    <row r="212">
      <c r="A212" s="159"/>
      <c r="B212" s="158"/>
    </row>
    <row r="213">
      <c r="A213" s="159"/>
      <c r="B213" s="158"/>
    </row>
    <row r="214">
      <c r="A214" s="159"/>
      <c r="B214" s="158"/>
    </row>
    <row r="215">
      <c r="A215" s="159"/>
      <c r="B215" s="158"/>
    </row>
    <row r="216">
      <c r="A216" s="159"/>
      <c r="B216" s="158"/>
    </row>
    <row r="217">
      <c r="A217" s="159"/>
      <c r="B217" s="158"/>
    </row>
    <row r="218">
      <c r="A218" s="159"/>
      <c r="B218" s="158"/>
    </row>
    <row r="219">
      <c r="A219" s="159"/>
      <c r="B219" s="158"/>
    </row>
    <row r="220">
      <c r="A220" s="159"/>
      <c r="B220" s="158"/>
    </row>
    <row r="221">
      <c r="A221" s="159"/>
      <c r="B221" s="158"/>
    </row>
    <row r="222">
      <c r="A222" s="159"/>
      <c r="B222" s="158"/>
    </row>
    <row r="223">
      <c r="A223" s="159"/>
      <c r="B223" s="158"/>
    </row>
    <row r="224">
      <c r="A224" s="159"/>
      <c r="B224" s="158"/>
    </row>
    <row r="225">
      <c r="A225" s="159"/>
      <c r="B225" s="158"/>
    </row>
    <row r="226">
      <c r="A226" s="159"/>
      <c r="B226" s="158"/>
    </row>
    <row r="227">
      <c r="A227" s="159"/>
      <c r="B227" s="158"/>
    </row>
    <row r="228">
      <c r="A228" s="159"/>
      <c r="B228" s="158"/>
    </row>
    <row r="229">
      <c r="A229" s="159"/>
      <c r="B229" s="158"/>
    </row>
    <row r="230">
      <c r="A230" s="159"/>
      <c r="B230" s="158"/>
    </row>
    <row r="231">
      <c r="A231" s="159"/>
      <c r="B231" s="158"/>
    </row>
    <row r="232">
      <c r="A232" s="159"/>
      <c r="B232" s="160"/>
    </row>
    <row r="233">
      <c r="A233" s="159"/>
      <c r="B233" s="158"/>
    </row>
    <row r="234">
      <c r="A234" s="159"/>
      <c r="B234" s="158"/>
    </row>
    <row r="235">
      <c r="A235" s="159"/>
      <c r="B235" s="158"/>
    </row>
    <row r="236">
      <c r="A236" s="159"/>
      <c r="B236" s="160"/>
    </row>
    <row r="237">
      <c r="A237" s="159"/>
      <c r="B237" s="162"/>
    </row>
    <row r="238">
      <c r="A238" s="159"/>
      <c r="B238" s="158"/>
    </row>
    <row r="239">
      <c r="A239" s="159"/>
      <c r="B239" s="158"/>
    </row>
    <row r="240">
      <c r="A240" s="159"/>
      <c r="B240" s="158"/>
    </row>
    <row r="241">
      <c r="A241" s="159"/>
      <c r="B241" s="158"/>
    </row>
    <row r="242">
      <c r="A242" s="159"/>
      <c r="B242" s="158"/>
    </row>
    <row r="243">
      <c r="A243" s="159"/>
      <c r="B243" s="158"/>
    </row>
    <row r="244">
      <c r="A244" s="159"/>
      <c r="B244" s="158"/>
    </row>
    <row r="245">
      <c r="A245" s="159"/>
      <c r="B245" s="158"/>
    </row>
    <row r="246">
      <c r="A246" s="159"/>
      <c r="B246" s="158"/>
    </row>
    <row r="247">
      <c r="A247" s="159"/>
      <c r="B247" s="158"/>
    </row>
    <row r="248">
      <c r="A248" s="159"/>
      <c r="B248" s="160"/>
    </row>
    <row r="249">
      <c r="A249" s="159"/>
      <c r="B249" s="160"/>
    </row>
    <row r="250">
      <c r="A250" s="159"/>
      <c r="B250" s="160"/>
    </row>
    <row r="251">
      <c r="A251" s="159"/>
      <c r="B251" s="158"/>
    </row>
    <row r="252">
      <c r="A252" s="159"/>
      <c r="B252" s="160"/>
    </row>
    <row r="253">
      <c r="A253" s="159"/>
      <c r="B253" s="158"/>
    </row>
    <row r="254">
      <c r="A254" s="159"/>
      <c r="B254" s="158"/>
    </row>
    <row r="255">
      <c r="A255" s="159"/>
      <c r="B255" s="158"/>
    </row>
    <row r="256">
      <c r="A256" s="159"/>
      <c r="B256" s="158"/>
    </row>
    <row r="257">
      <c r="A257" s="159"/>
      <c r="B257" s="158"/>
    </row>
    <row r="258">
      <c r="A258" s="159"/>
      <c r="B258" s="160"/>
    </row>
    <row r="259">
      <c r="A259" s="159"/>
      <c r="B259" s="160"/>
    </row>
    <row r="260">
      <c r="A260" s="159"/>
      <c r="B260" s="158"/>
    </row>
    <row r="261">
      <c r="A261" s="159"/>
      <c r="B261" s="160"/>
    </row>
    <row r="262">
      <c r="A262" s="159"/>
      <c r="B262" s="160"/>
    </row>
    <row r="263">
      <c r="A263" s="159"/>
      <c r="B263" s="160"/>
    </row>
    <row r="264">
      <c r="A264" s="159"/>
      <c r="B264" s="160"/>
    </row>
    <row r="265">
      <c r="A265" s="159"/>
      <c r="B265" s="158"/>
    </row>
    <row r="266">
      <c r="A266" s="159"/>
      <c r="B266" s="160"/>
    </row>
    <row r="267">
      <c r="A267" s="159"/>
      <c r="B267" s="160"/>
    </row>
    <row r="268">
      <c r="A268" s="159"/>
      <c r="B268" s="158"/>
    </row>
    <row r="269">
      <c r="A269" s="159"/>
      <c r="B269" s="160"/>
    </row>
    <row r="270">
      <c r="A270" s="159"/>
      <c r="B270" s="160"/>
    </row>
    <row r="271">
      <c r="A271" s="159"/>
      <c r="B271" s="160"/>
    </row>
    <row r="272">
      <c r="A272" s="159"/>
      <c r="B272" s="160"/>
    </row>
    <row r="273">
      <c r="A273" s="159"/>
      <c r="B273" s="158"/>
    </row>
    <row r="274">
      <c r="A274" s="159"/>
      <c r="B274" s="160"/>
    </row>
    <row r="275">
      <c r="A275" s="159"/>
      <c r="B275" s="160"/>
    </row>
    <row r="276">
      <c r="A276" s="159"/>
      <c r="B276" s="160"/>
    </row>
    <row r="277">
      <c r="A277" s="159"/>
      <c r="B277" s="160"/>
    </row>
    <row r="278">
      <c r="A278" s="159"/>
      <c r="B278" s="158"/>
    </row>
    <row r="279">
      <c r="A279" s="159"/>
      <c r="B279" s="160"/>
    </row>
    <row r="280">
      <c r="A280" s="159"/>
      <c r="B280" s="160"/>
    </row>
    <row r="281">
      <c r="A281" s="159"/>
      <c r="B281" s="158"/>
    </row>
    <row r="282">
      <c r="A282" s="159"/>
      <c r="B282" s="160"/>
    </row>
    <row r="283">
      <c r="A283" s="159"/>
      <c r="B283" s="160"/>
    </row>
    <row r="284">
      <c r="A284" s="159"/>
      <c r="B284" s="160"/>
    </row>
    <row r="285">
      <c r="A285" s="159"/>
      <c r="B285" s="158"/>
    </row>
    <row r="286">
      <c r="A286" s="159"/>
      <c r="B286" s="160"/>
    </row>
    <row r="287">
      <c r="A287" s="159"/>
      <c r="B287" s="160"/>
    </row>
    <row r="288">
      <c r="A288" s="159"/>
      <c r="B288" s="160"/>
    </row>
    <row r="289">
      <c r="A289" s="159"/>
      <c r="B289" s="163"/>
      <c r="D289" s="16"/>
    </row>
    <row r="290">
      <c r="A290" s="159"/>
      <c r="B290" s="160"/>
    </row>
    <row r="291">
      <c r="A291" s="159"/>
      <c r="B291" s="160"/>
    </row>
    <row r="292">
      <c r="A292" s="159"/>
      <c r="B292" s="160"/>
    </row>
    <row r="293">
      <c r="A293" s="159"/>
      <c r="B293" s="160"/>
    </row>
    <row r="294">
      <c r="A294" s="159"/>
      <c r="B294" s="158"/>
    </row>
    <row r="295">
      <c r="A295" s="159"/>
      <c r="B295" s="160"/>
    </row>
    <row r="296">
      <c r="A296" s="159"/>
      <c r="B296" s="158"/>
    </row>
    <row r="297">
      <c r="A297" s="159"/>
      <c r="B297" s="160"/>
    </row>
    <row r="298">
      <c r="A298" s="159"/>
      <c r="B298" s="160"/>
    </row>
    <row r="299">
      <c r="A299" s="159"/>
      <c r="B299" s="160"/>
    </row>
    <row r="300">
      <c r="A300" s="159"/>
      <c r="B300" s="160"/>
    </row>
    <row r="301">
      <c r="A301" s="159"/>
      <c r="B301" s="160"/>
    </row>
    <row r="302">
      <c r="A302" s="159"/>
      <c r="B302" s="158"/>
    </row>
    <row r="303">
      <c r="A303" s="159"/>
      <c r="B303" s="160"/>
    </row>
    <row r="304">
      <c r="A304" s="159"/>
      <c r="B304" s="160"/>
    </row>
    <row r="305">
      <c r="A305" s="159"/>
      <c r="B305" s="160"/>
    </row>
    <row r="306">
      <c r="A306" s="159"/>
      <c r="B306" s="160"/>
    </row>
    <row r="307">
      <c r="A307" s="159"/>
      <c r="B307" s="160"/>
    </row>
    <row r="308">
      <c r="A308" s="159"/>
      <c r="B308" s="158"/>
    </row>
    <row r="309">
      <c r="A309" s="159"/>
      <c r="B309" s="160"/>
    </row>
    <row r="310">
      <c r="A310" s="159"/>
      <c r="B310" s="160"/>
    </row>
    <row r="311">
      <c r="A311" s="159"/>
      <c r="B311" s="160"/>
    </row>
    <row r="312">
      <c r="A312" s="159"/>
      <c r="B312" s="160"/>
    </row>
    <row r="313">
      <c r="A313" s="159"/>
      <c r="B313" s="160"/>
    </row>
    <row r="314">
      <c r="A314" s="159"/>
      <c r="B314" s="158"/>
    </row>
    <row r="315">
      <c r="A315" s="159"/>
      <c r="B315" s="160"/>
    </row>
    <row r="316">
      <c r="A316" s="159"/>
      <c r="B316" s="160"/>
    </row>
    <row r="317">
      <c r="A317" s="159"/>
      <c r="B317" s="160"/>
    </row>
    <row r="318">
      <c r="A318" s="159"/>
      <c r="B318" s="160"/>
    </row>
    <row r="319">
      <c r="A319" s="159"/>
      <c r="B319" s="160"/>
    </row>
    <row r="320">
      <c r="A320" s="159"/>
      <c r="B320" s="160"/>
    </row>
    <row r="321">
      <c r="A321" s="159"/>
      <c r="B321" s="160"/>
    </row>
    <row r="322">
      <c r="A322" s="159"/>
      <c r="B322" s="158"/>
      <c r="D322" s="158"/>
    </row>
    <row r="323">
      <c r="A323" s="159"/>
      <c r="B323" s="160"/>
    </row>
    <row r="324">
      <c r="A324" s="159"/>
      <c r="B324" s="160"/>
    </row>
    <row r="325">
      <c r="A325" s="159"/>
      <c r="B325" s="160"/>
    </row>
    <row r="326">
      <c r="A326" s="159"/>
      <c r="B326" s="160"/>
    </row>
    <row r="327">
      <c r="A327" s="159"/>
      <c r="B327" s="160"/>
    </row>
    <row r="328">
      <c r="A328" s="159"/>
      <c r="B328" s="160"/>
    </row>
    <row r="329">
      <c r="A329" s="159"/>
      <c r="B329" s="160"/>
    </row>
    <row r="330">
      <c r="A330" s="159"/>
      <c r="B330" s="160"/>
    </row>
    <row r="331">
      <c r="A331" s="159"/>
      <c r="B331" s="160"/>
    </row>
    <row r="332">
      <c r="A332" s="159"/>
      <c r="B332" s="158"/>
    </row>
    <row r="333">
      <c r="A333" s="159"/>
      <c r="B333" s="158"/>
      <c r="D333" s="158"/>
    </row>
    <row r="334">
      <c r="A334" s="159"/>
      <c r="B334" s="158"/>
    </row>
    <row r="335">
      <c r="A335" s="159"/>
      <c r="B335" s="160"/>
    </row>
    <row r="336">
      <c r="A336" s="159"/>
      <c r="B336" s="160"/>
    </row>
    <row r="337">
      <c r="A337" s="159"/>
      <c r="B337" s="160"/>
    </row>
    <row r="338">
      <c r="A338" s="159"/>
      <c r="B338" s="160"/>
    </row>
    <row r="339">
      <c r="A339" s="159"/>
      <c r="B339" s="160"/>
    </row>
    <row r="340">
      <c r="A340" s="159"/>
      <c r="B340" s="158"/>
    </row>
    <row r="341">
      <c r="A341" s="159"/>
      <c r="B341" s="160"/>
    </row>
    <row r="342">
      <c r="A342" s="159"/>
      <c r="B342" s="160"/>
    </row>
    <row r="343">
      <c r="A343" s="159"/>
      <c r="B343" s="160"/>
    </row>
    <row r="344">
      <c r="A344" s="159"/>
      <c r="B344" s="160"/>
    </row>
    <row r="345">
      <c r="A345" s="159"/>
      <c r="B345" s="160"/>
    </row>
    <row r="346">
      <c r="A346" s="159"/>
      <c r="B346" s="160"/>
    </row>
    <row r="347">
      <c r="A347" s="159"/>
      <c r="B347" s="160"/>
    </row>
    <row r="348">
      <c r="A348" s="159"/>
      <c r="B348" s="160"/>
    </row>
    <row r="349">
      <c r="A349" s="159"/>
      <c r="B349" s="160"/>
    </row>
    <row r="350">
      <c r="A350" s="159"/>
      <c r="B350" s="160"/>
    </row>
    <row r="351">
      <c r="A351" s="159"/>
      <c r="B351" s="158"/>
    </row>
    <row r="352">
      <c r="A352" s="159"/>
      <c r="B352" s="160"/>
    </row>
    <row r="353">
      <c r="A353" s="159"/>
      <c r="B353" s="160"/>
    </row>
    <row r="354">
      <c r="A354" s="159"/>
      <c r="B354" s="160"/>
    </row>
    <row r="355">
      <c r="A355" s="159"/>
      <c r="B355" s="160"/>
    </row>
    <row r="356">
      <c r="A356" s="159"/>
      <c r="B356" s="160"/>
    </row>
    <row r="357">
      <c r="A357" s="159"/>
      <c r="B357" s="160"/>
    </row>
    <row r="358">
      <c r="A358" s="159"/>
      <c r="B358" s="160"/>
    </row>
    <row r="359">
      <c r="A359" s="159"/>
      <c r="B359" s="160"/>
    </row>
    <row r="360">
      <c r="A360" s="159"/>
      <c r="B360" s="160"/>
    </row>
    <row r="361">
      <c r="A361" s="159"/>
      <c r="B361" s="160"/>
    </row>
    <row r="362">
      <c r="A362" s="159"/>
      <c r="B362" s="160"/>
    </row>
    <row r="363">
      <c r="A363" s="159"/>
      <c r="B363" s="160"/>
    </row>
    <row r="364">
      <c r="A364" s="159"/>
      <c r="B364" s="160"/>
    </row>
    <row r="365">
      <c r="A365" s="159"/>
      <c r="B365" s="160"/>
    </row>
    <row r="366">
      <c r="A366" s="159"/>
      <c r="B366" s="160"/>
    </row>
    <row r="367">
      <c r="A367" s="159"/>
      <c r="B367" s="160"/>
    </row>
    <row r="368">
      <c r="A368" s="159"/>
      <c r="B368" s="160"/>
    </row>
    <row r="369">
      <c r="A369" s="159"/>
      <c r="B369" s="160"/>
    </row>
    <row r="370">
      <c r="A370" s="159"/>
      <c r="B370" s="160"/>
    </row>
    <row r="371">
      <c r="A371" s="159"/>
      <c r="B371" s="160"/>
    </row>
    <row r="372">
      <c r="A372" s="159"/>
      <c r="B372" s="160"/>
    </row>
    <row r="373">
      <c r="A373" s="159"/>
      <c r="B373" s="160"/>
    </row>
    <row r="374">
      <c r="A374" s="159"/>
      <c r="B374" s="160"/>
    </row>
    <row r="375">
      <c r="A375" s="159"/>
      <c r="B375" s="160"/>
    </row>
    <row r="376">
      <c r="A376" s="159"/>
      <c r="B376" s="160"/>
    </row>
    <row r="377">
      <c r="A377" s="159"/>
      <c r="B377" s="160"/>
    </row>
    <row r="378">
      <c r="A378" s="159"/>
      <c r="B378" s="160"/>
    </row>
    <row r="379">
      <c r="A379" s="159"/>
      <c r="B379" s="160"/>
    </row>
    <row r="380">
      <c r="A380" s="159"/>
      <c r="B380" s="160"/>
    </row>
    <row r="381">
      <c r="A381" s="159"/>
      <c r="B381" s="160"/>
    </row>
    <row r="382">
      <c r="A382" s="159"/>
      <c r="B382" s="160"/>
    </row>
    <row r="383">
      <c r="A383" s="159"/>
      <c r="B383" s="160"/>
    </row>
    <row r="384">
      <c r="A384" s="159"/>
      <c r="B384" s="160"/>
    </row>
    <row r="385">
      <c r="A385" s="159"/>
      <c r="B385" s="160"/>
    </row>
    <row r="386">
      <c r="A386" s="159"/>
      <c r="B386" s="160"/>
    </row>
    <row r="387">
      <c r="A387" s="159"/>
      <c r="B387" s="160"/>
    </row>
    <row r="388">
      <c r="A388" s="159"/>
      <c r="B388" s="160"/>
    </row>
    <row r="389">
      <c r="A389" s="159"/>
      <c r="B389" s="160"/>
    </row>
    <row r="390">
      <c r="A390" s="159"/>
      <c r="B390" s="160"/>
    </row>
    <row r="391">
      <c r="A391" s="159"/>
      <c r="B391" s="160"/>
    </row>
    <row r="392">
      <c r="A392" s="159"/>
      <c r="B392" s="160"/>
    </row>
    <row r="393">
      <c r="A393" s="159"/>
      <c r="B393" s="160"/>
    </row>
    <row r="394">
      <c r="A394" s="159"/>
      <c r="B394" s="160"/>
    </row>
    <row r="395">
      <c r="A395" s="159"/>
      <c r="B395" s="160"/>
    </row>
    <row r="396">
      <c r="A396" s="159"/>
      <c r="B396" s="160"/>
    </row>
    <row r="397">
      <c r="A397" s="159"/>
      <c r="B397" s="160"/>
    </row>
    <row r="398">
      <c r="A398" s="159"/>
      <c r="B398" s="160"/>
    </row>
    <row r="399">
      <c r="A399" s="159"/>
      <c r="B399" s="160"/>
    </row>
    <row r="400">
      <c r="A400" s="159"/>
      <c r="B400" s="160"/>
    </row>
    <row r="401">
      <c r="A401" s="159"/>
      <c r="B401" s="160"/>
    </row>
    <row r="402">
      <c r="A402" s="159"/>
      <c r="B402" s="160"/>
    </row>
    <row r="403">
      <c r="A403" s="159"/>
      <c r="B403" s="160"/>
    </row>
    <row r="404">
      <c r="A404" s="159"/>
      <c r="B404" s="160"/>
    </row>
    <row r="405">
      <c r="A405" s="159"/>
      <c r="B405" s="160"/>
    </row>
    <row r="406">
      <c r="A406" s="159"/>
      <c r="B406" s="160"/>
    </row>
    <row r="407">
      <c r="A407" s="159"/>
      <c r="B407" s="160"/>
    </row>
    <row r="408">
      <c r="A408" s="159"/>
      <c r="B408" s="160"/>
    </row>
    <row r="409">
      <c r="A409" s="159"/>
      <c r="B409" s="160"/>
    </row>
    <row r="410">
      <c r="A410" s="159"/>
      <c r="B410" s="160"/>
    </row>
    <row r="411">
      <c r="A411" s="159"/>
      <c r="B411" s="160"/>
    </row>
    <row r="412">
      <c r="A412" s="159"/>
      <c r="B412" s="160"/>
    </row>
    <row r="413">
      <c r="A413" s="159"/>
      <c r="B413" s="160"/>
    </row>
    <row r="414">
      <c r="A414" s="159"/>
      <c r="B414" s="160"/>
    </row>
    <row r="415">
      <c r="A415" s="159"/>
      <c r="B415" s="160"/>
    </row>
    <row r="416">
      <c r="A416" s="159"/>
      <c r="B416" s="160"/>
    </row>
    <row r="417">
      <c r="A417" s="159"/>
      <c r="B417" s="160"/>
    </row>
    <row r="418">
      <c r="A418" s="159"/>
      <c r="B418" s="160"/>
    </row>
    <row r="419">
      <c r="A419" s="159"/>
      <c r="B419" s="160"/>
    </row>
    <row r="420">
      <c r="A420" s="159"/>
      <c r="B420" s="160"/>
    </row>
    <row r="421">
      <c r="A421" s="159"/>
      <c r="B421" s="160"/>
    </row>
    <row r="422">
      <c r="A422" s="159"/>
      <c r="B422" s="160"/>
    </row>
    <row r="423">
      <c r="A423" s="159"/>
      <c r="B423" s="160"/>
    </row>
    <row r="424">
      <c r="A424" s="159"/>
      <c r="B424" s="160"/>
    </row>
    <row r="425">
      <c r="A425" s="159"/>
      <c r="B425" s="160"/>
    </row>
    <row r="426">
      <c r="A426" s="159"/>
      <c r="B426" s="160"/>
    </row>
    <row r="427">
      <c r="A427" s="159"/>
      <c r="B427" s="160"/>
    </row>
    <row r="428">
      <c r="A428" s="159"/>
      <c r="B428" s="160"/>
    </row>
    <row r="429">
      <c r="A429" s="159"/>
      <c r="B429" s="160"/>
    </row>
    <row r="430">
      <c r="A430" s="159"/>
      <c r="B430" s="160"/>
    </row>
    <row r="431">
      <c r="A431" s="159"/>
      <c r="B431" s="160"/>
    </row>
    <row r="432">
      <c r="A432" s="159"/>
      <c r="B432" s="160"/>
    </row>
    <row r="433">
      <c r="A433" s="159"/>
      <c r="B433" s="160"/>
    </row>
    <row r="434">
      <c r="A434" s="159"/>
      <c r="B434" s="160"/>
    </row>
    <row r="435">
      <c r="A435" s="159"/>
      <c r="B435" s="160"/>
    </row>
    <row r="436">
      <c r="A436" s="159"/>
      <c r="B436" s="160"/>
    </row>
    <row r="437">
      <c r="A437" s="159"/>
      <c r="B437" s="160"/>
    </row>
    <row r="438">
      <c r="A438" s="159"/>
      <c r="B438" s="160"/>
    </row>
    <row r="439">
      <c r="A439" s="159"/>
      <c r="B439" s="160"/>
    </row>
    <row r="440">
      <c r="A440" s="159"/>
      <c r="B440" s="160"/>
    </row>
    <row r="441">
      <c r="A441" s="159"/>
      <c r="B441" s="160"/>
    </row>
    <row r="442">
      <c r="A442" s="159"/>
      <c r="B442" s="160"/>
    </row>
    <row r="443">
      <c r="A443" s="159"/>
      <c r="B443" s="160"/>
    </row>
    <row r="444">
      <c r="A444" s="159"/>
      <c r="B444" s="158"/>
    </row>
    <row r="445">
      <c r="A445" s="159"/>
      <c r="B445" s="160"/>
    </row>
    <row r="446">
      <c r="A446" s="159"/>
      <c r="B446" s="160"/>
    </row>
    <row r="447">
      <c r="A447" s="159"/>
      <c r="B447" s="160"/>
    </row>
    <row r="448">
      <c r="A448" s="159"/>
      <c r="B448" s="160"/>
    </row>
    <row r="449">
      <c r="A449" s="159"/>
      <c r="B449" s="160"/>
    </row>
    <row r="450">
      <c r="A450" s="159"/>
      <c r="B450" s="160"/>
    </row>
    <row r="451">
      <c r="A451" s="159"/>
      <c r="B451" s="160"/>
    </row>
    <row r="452">
      <c r="A452" s="159"/>
      <c r="B452" s="160"/>
    </row>
    <row r="453">
      <c r="A453" s="159"/>
      <c r="B453" s="160"/>
    </row>
    <row r="454">
      <c r="A454" s="159"/>
      <c r="B454" s="160"/>
    </row>
    <row r="455">
      <c r="A455" s="159"/>
      <c r="B455" s="160"/>
    </row>
    <row r="456">
      <c r="A456" s="159"/>
      <c r="B456" s="160"/>
    </row>
    <row r="457">
      <c r="A457" s="159"/>
      <c r="B457" s="160"/>
    </row>
    <row r="458">
      <c r="A458" s="159"/>
      <c r="B458" s="160"/>
    </row>
    <row r="459">
      <c r="A459" s="159"/>
      <c r="B459" s="160"/>
    </row>
    <row r="460">
      <c r="A460" s="159"/>
      <c r="B460" s="160"/>
    </row>
    <row r="461">
      <c r="A461" s="159"/>
      <c r="B461" s="160"/>
    </row>
    <row r="462">
      <c r="A462" s="159"/>
      <c r="B462" s="160"/>
    </row>
    <row r="463">
      <c r="A463" s="159"/>
      <c r="B463" s="160"/>
    </row>
    <row r="464">
      <c r="A464" s="159"/>
      <c r="B464" s="160"/>
    </row>
    <row r="465">
      <c r="A465" s="159"/>
      <c r="B465" s="160"/>
    </row>
    <row r="466">
      <c r="A466" s="159"/>
      <c r="B466" s="160"/>
    </row>
    <row r="467">
      <c r="A467" s="159"/>
      <c r="B467" s="160"/>
    </row>
    <row r="468">
      <c r="A468" s="159"/>
      <c r="B468" s="160"/>
    </row>
    <row r="469">
      <c r="A469" s="159"/>
      <c r="B469" s="160"/>
    </row>
    <row r="470">
      <c r="A470" s="159"/>
      <c r="B470" s="160"/>
    </row>
    <row r="471">
      <c r="A471" s="159"/>
      <c r="B471" s="160"/>
    </row>
    <row r="472">
      <c r="A472" s="159"/>
      <c r="B472" s="160"/>
    </row>
    <row r="473">
      <c r="A473" s="159"/>
      <c r="B473" s="160"/>
    </row>
    <row r="474">
      <c r="A474" s="159"/>
      <c r="B474" s="160"/>
    </row>
    <row r="475">
      <c r="A475" s="159"/>
      <c r="B475" s="160"/>
    </row>
    <row r="476">
      <c r="A476" s="159"/>
      <c r="B476" s="160"/>
    </row>
    <row r="477">
      <c r="A477" s="159"/>
      <c r="B477" s="160"/>
    </row>
    <row r="478">
      <c r="A478" s="159"/>
      <c r="B478" s="160"/>
    </row>
    <row r="479">
      <c r="A479" s="159"/>
      <c r="B479" s="160"/>
    </row>
    <row r="480">
      <c r="A480" s="159"/>
      <c r="B480" s="160"/>
    </row>
    <row r="481">
      <c r="A481" s="159"/>
      <c r="B481" s="160"/>
    </row>
    <row r="482">
      <c r="A482" s="159"/>
      <c r="B482" s="160"/>
    </row>
    <row r="483">
      <c r="A483" s="159"/>
      <c r="B483" s="160"/>
    </row>
    <row r="484">
      <c r="A484" s="159"/>
      <c r="B484" s="160"/>
    </row>
    <row r="485">
      <c r="A485" s="159"/>
      <c r="B485" s="160"/>
    </row>
    <row r="486">
      <c r="A486" s="159"/>
      <c r="B486" s="160"/>
    </row>
    <row r="487">
      <c r="A487" s="159"/>
      <c r="B487" s="160"/>
    </row>
    <row r="488">
      <c r="A488" s="159"/>
      <c r="B488" s="160"/>
    </row>
    <row r="489">
      <c r="A489" s="159"/>
      <c r="B489" s="160"/>
    </row>
    <row r="490">
      <c r="A490" s="159"/>
      <c r="B490" s="160"/>
    </row>
    <row r="491">
      <c r="A491" s="159"/>
      <c r="B491" s="160"/>
    </row>
    <row r="492">
      <c r="A492" s="159"/>
      <c r="B492" s="160"/>
    </row>
    <row r="493">
      <c r="A493" s="159"/>
      <c r="B493" s="160"/>
    </row>
    <row r="494">
      <c r="A494" s="159"/>
      <c r="B494" s="160"/>
    </row>
    <row r="495">
      <c r="A495" s="159"/>
      <c r="B495" s="160"/>
    </row>
    <row r="496">
      <c r="A496" s="159"/>
      <c r="B496" s="160"/>
    </row>
    <row r="497">
      <c r="A497" s="159"/>
      <c r="B497" s="160"/>
    </row>
    <row r="498">
      <c r="A498" s="159"/>
      <c r="B498" s="160"/>
    </row>
    <row r="499">
      <c r="A499" s="159"/>
      <c r="B499" s="160"/>
    </row>
    <row r="500">
      <c r="A500" s="159"/>
      <c r="B500" s="160"/>
    </row>
    <row r="501">
      <c r="A501" s="159"/>
      <c r="B501" s="160"/>
    </row>
    <row r="502">
      <c r="A502" s="159"/>
      <c r="B502" s="160"/>
    </row>
    <row r="503">
      <c r="A503" s="159"/>
      <c r="B503" s="160"/>
    </row>
    <row r="504">
      <c r="A504" s="159"/>
      <c r="B504" s="160"/>
    </row>
    <row r="505">
      <c r="A505" s="159"/>
      <c r="B505" s="158"/>
    </row>
    <row r="506">
      <c r="A506" s="159"/>
      <c r="B506" s="160"/>
    </row>
    <row r="507">
      <c r="A507" s="159"/>
      <c r="B507" s="160"/>
    </row>
    <row r="508">
      <c r="A508" s="159"/>
      <c r="B508" s="160"/>
    </row>
    <row r="509">
      <c r="A509" s="159"/>
      <c r="B509" s="160"/>
    </row>
    <row r="510">
      <c r="A510" s="159"/>
      <c r="B510" s="160"/>
    </row>
    <row r="511">
      <c r="A511" s="159"/>
      <c r="B511" s="160"/>
    </row>
    <row r="512">
      <c r="A512" s="159"/>
      <c r="B512" s="160"/>
    </row>
    <row r="513">
      <c r="A513" s="159"/>
      <c r="B513" s="160"/>
    </row>
    <row r="514">
      <c r="A514" s="159"/>
      <c r="B514" s="160"/>
    </row>
    <row r="515">
      <c r="A515" s="159"/>
      <c r="B515" s="160"/>
    </row>
    <row r="516">
      <c r="A516" s="159"/>
      <c r="B516" s="160"/>
    </row>
    <row r="517">
      <c r="A517" s="159"/>
      <c r="B517" s="160"/>
    </row>
    <row r="518">
      <c r="A518" s="159"/>
      <c r="B518" s="160"/>
    </row>
    <row r="519">
      <c r="A519" s="159"/>
      <c r="B519" s="160"/>
    </row>
    <row r="520">
      <c r="A520" s="159"/>
      <c r="B520" s="160"/>
    </row>
    <row r="521">
      <c r="A521" s="159"/>
      <c r="B521" s="160"/>
    </row>
    <row r="522">
      <c r="A522" s="159"/>
      <c r="B522" s="160"/>
    </row>
    <row r="523">
      <c r="A523" s="159"/>
      <c r="B523" s="160"/>
    </row>
    <row r="524">
      <c r="A524" s="159"/>
      <c r="B524" s="160"/>
    </row>
    <row r="525">
      <c r="A525" s="159"/>
      <c r="B525" s="160"/>
    </row>
    <row r="526">
      <c r="A526" s="159"/>
      <c r="B526" s="158"/>
    </row>
    <row r="527">
      <c r="A527" s="159"/>
      <c r="B527" s="160"/>
    </row>
    <row r="528">
      <c r="A528" s="159"/>
      <c r="B528" s="160"/>
    </row>
    <row r="529">
      <c r="A529" s="159"/>
      <c r="B529" s="160"/>
    </row>
    <row r="530">
      <c r="A530" s="159"/>
      <c r="B530" s="160"/>
    </row>
    <row r="531">
      <c r="A531" s="159"/>
      <c r="B531" s="160"/>
    </row>
    <row r="532">
      <c r="A532" s="159"/>
      <c r="B532" s="160"/>
    </row>
    <row r="533">
      <c r="A533" s="159"/>
      <c r="B533" s="160"/>
    </row>
    <row r="534">
      <c r="A534" s="159"/>
      <c r="B534" s="160"/>
    </row>
    <row r="535">
      <c r="A535" s="159"/>
      <c r="B535" s="160"/>
    </row>
    <row r="536">
      <c r="A536" s="159"/>
      <c r="B536" s="160"/>
    </row>
    <row r="537">
      <c r="A537" s="159"/>
      <c r="B537" s="160"/>
    </row>
    <row r="538">
      <c r="A538" s="159"/>
      <c r="B538" s="162"/>
    </row>
    <row r="539">
      <c r="A539" s="159"/>
      <c r="B539" s="160"/>
    </row>
    <row r="540">
      <c r="A540" s="159"/>
      <c r="B540" s="160"/>
    </row>
    <row r="541">
      <c r="A541" s="159"/>
      <c r="B541" s="160"/>
    </row>
    <row r="542">
      <c r="A542" s="159"/>
      <c r="B542" s="160"/>
    </row>
    <row r="543">
      <c r="A543" s="159"/>
      <c r="B543" s="160"/>
    </row>
    <row r="544">
      <c r="A544" s="159"/>
      <c r="B544" s="160"/>
    </row>
    <row r="545">
      <c r="A545" s="159"/>
      <c r="B545" s="160"/>
    </row>
    <row r="546">
      <c r="A546" s="159"/>
      <c r="B546" s="160"/>
    </row>
    <row r="547">
      <c r="A547" s="159"/>
      <c r="B547" s="160"/>
    </row>
    <row r="548">
      <c r="A548" s="159"/>
      <c r="B548" s="160"/>
    </row>
    <row r="549">
      <c r="A549" s="159"/>
      <c r="B549" s="160"/>
    </row>
    <row r="550">
      <c r="A550" s="159"/>
      <c r="B550" s="160"/>
    </row>
    <row r="551">
      <c r="A551" s="159"/>
      <c r="B551" s="160"/>
    </row>
    <row r="552">
      <c r="A552" s="159"/>
      <c r="B552" s="160"/>
    </row>
    <row r="553">
      <c r="A553" s="159"/>
      <c r="B553" s="160"/>
    </row>
    <row r="554">
      <c r="A554" s="159"/>
      <c r="B554" s="160"/>
    </row>
    <row r="555">
      <c r="A555" s="159"/>
      <c r="B555" s="160"/>
    </row>
    <row r="556">
      <c r="A556" s="159"/>
      <c r="B556" s="160"/>
    </row>
    <row r="557">
      <c r="A557" s="159"/>
      <c r="B557" s="160"/>
    </row>
    <row r="558">
      <c r="A558" s="159"/>
      <c r="B558" s="160"/>
    </row>
    <row r="559">
      <c r="A559" s="159"/>
      <c r="B559" s="160"/>
    </row>
    <row r="560">
      <c r="A560" s="159"/>
      <c r="B560" s="160"/>
    </row>
    <row r="561">
      <c r="A561" s="159"/>
      <c r="B561" s="160"/>
    </row>
    <row r="562">
      <c r="A562" s="159"/>
      <c r="B562" s="160"/>
    </row>
    <row r="563">
      <c r="A563" s="159"/>
      <c r="B563" s="160"/>
    </row>
    <row r="564">
      <c r="A564" s="159"/>
      <c r="B564" s="160"/>
    </row>
    <row r="565">
      <c r="A565" s="159"/>
      <c r="B565" s="160"/>
    </row>
    <row r="566">
      <c r="A566" s="159"/>
      <c r="B566" s="160"/>
    </row>
    <row r="567">
      <c r="A567" s="159"/>
      <c r="B567" s="160"/>
    </row>
    <row r="568">
      <c r="A568" s="159"/>
      <c r="B568" s="160"/>
    </row>
    <row r="569">
      <c r="A569" s="159"/>
      <c r="B569" s="160"/>
    </row>
    <row r="570">
      <c r="A570" s="159"/>
      <c r="B570" s="160"/>
    </row>
    <row r="571">
      <c r="A571" s="159"/>
      <c r="B571" s="160"/>
    </row>
    <row r="572">
      <c r="A572" s="159"/>
      <c r="B572" s="160"/>
    </row>
    <row r="573">
      <c r="A573" s="159"/>
      <c r="B573" s="160"/>
    </row>
    <row r="574">
      <c r="A574" s="159"/>
      <c r="B574" s="160"/>
    </row>
    <row r="575">
      <c r="A575" s="159"/>
      <c r="B575" s="160"/>
    </row>
    <row r="576">
      <c r="A576" s="159"/>
      <c r="B576" s="160"/>
    </row>
    <row r="577">
      <c r="A577" s="159"/>
      <c r="B577" s="160"/>
    </row>
    <row r="578">
      <c r="A578" s="159"/>
      <c r="B578" s="160"/>
    </row>
    <row r="579">
      <c r="A579" s="159"/>
      <c r="B579" s="160"/>
    </row>
    <row r="580">
      <c r="A580" s="159"/>
      <c r="B580" s="160"/>
    </row>
    <row r="581">
      <c r="A581" s="159"/>
      <c r="B581" s="160"/>
    </row>
    <row r="582">
      <c r="A582" s="159"/>
      <c r="B582" s="160"/>
    </row>
    <row r="583">
      <c r="A583" s="159"/>
      <c r="B583" s="160"/>
    </row>
    <row r="584">
      <c r="A584" s="159"/>
      <c r="B584" s="160"/>
    </row>
    <row r="585">
      <c r="A585" s="159"/>
      <c r="B585" s="160"/>
    </row>
    <row r="586">
      <c r="A586" s="159"/>
      <c r="B586" s="160"/>
    </row>
    <row r="587">
      <c r="A587" s="159"/>
      <c r="B587" s="160"/>
    </row>
    <row r="588">
      <c r="A588" s="159"/>
      <c r="B588" s="160"/>
    </row>
    <row r="589">
      <c r="A589" s="159"/>
      <c r="B589" s="160"/>
    </row>
    <row r="590">
      <c r="A590" s="159"/>
      <c r="B590" s="160"/>
    </row>
    <row r="591">
      <c r="A591" s="159"/>
      <c r="B591" s="160"/>
    </row>
    <row r="592">
      <c r="A592" s="159"/>
      <c r="B592" s="160"/>
    </row>
    <row r="593">
      <c r="A593" s="159"/>
      <c r="B593" s="160"/>
    </row>
    <row r="594">
      <c r="A594" s="159"/>
      <c r="B594" s="160"/>
    </row>
    <row r="595">
      <c r="A595" s="159"/>
      <c r="B595" s="160"/>
    </row>
    <row r="596">
      <c r="A596" s="159"/>
      <c r="B596" s="160"/>
    </row>
    <row r="597">
      <c r="A597" s="159"/>
      <c r="B597" s="160"/>
    </row>
    <row r="598">
      <c r="A598" s="159"/>
      <c r="B598" s="160"/>
    </row>
    <row r="599">
      <c r="A599" s="159"/>
      <c r="B599" s="160"/>
    </row>
    <row r="600">
      <c r="A600" s="159"/>
      <c r="B600" s="160"/>
    </row>
    <row r="601">
      <c r="A601" s="159"/>
      <c r="B601" s="160"/>
    </row>
    <row r="602">
      <c r="A602" s="159"/>
      <c r="B602" s="160"/>
    </row>
    <row r="603">
      <c r="A603" s="159"/>
      <c r="B603" s="160"/>
    </row>
    <row r="604">
      <c r="A604" s="159"/>
      <c r="B604" s="160"/>
    </row>
    <row r="605">
      <c r="A605" s="159"/>
      <c r="B605" s="160"/>
    </row>
    <row r="606">
      <c r="A606" s="159"/>
      <c r="B606" s="160"/>
    </row>
    <row r="607">
      <c r="A607" s="159"/>
      <c r="B607" s="160"/>
    </row>
    <row r="608">
      <c r="A608" s="159"/>
      <c r="B608" s="160"/>
    </row>
    <row r="609">
      <c r="A609" s="159"/>
      <c r="B609" s="160"/>
    </row>
    <row r="610">
      <c r="A610" s="159"/>
      <c r="B610" s="160"/>
    </row>
    <row r="611">
      <c r="A611" s="159"/>
      <c r="B611" s="160"/>
    </row>
    <row r="612">
      <c r="A612" s="159"/>
      <c r="B612" s="160"/>
    </row>
    <row r="613">
      <c r="A613" s="159"/>
      <c r="B613" s="160"/>
    </row>
    <row r="614">
      <c r="A614" s="159"/>
      <c r="B614" s="160"/>
    </row>
    <row r="615">
      <c r="A615" s="159"/>
      <c r="B615" s="160"/>
    </row>
    <row r="616">
      <c r="A616" s="159"/>
      <c r="B616" s="160"/>
    </row>
    <row r="617">
      <c r="A617" s="159"/>
      <c r="B617" s="160"/>
    </row>
    <row r="618">
      <c r="A618" s="159"/>
      <c r="B618" s="160"/>
    </row>
    <row r="619">
      <c r="A619" s="159"/>
      <c r="B619" s="160"/>
    </row>
    <row r="620">
      <c r="A620" s="159"/>
      <c r="B620" s="160"/>
    </row>
    <row r="621">
      <c r="A621" s="159"/>
      <c r="B621" s="160"/>
    </row>
    <row r="622">
      <c r="A622" s="159"/>
      <c r="B622" s="160"/>
    </row>
    <row r="623">
      <c r="A623" s="159"/>
      <c r="B623" s="160"/>
    </row>
    <row r="624">
      <c r="A624" s="159"/>
      <c r="B624" s="160"/>
    </row>
    <row r="625">
      <c r="A625" s="159"/>
      <c r="B625" s="160"/>
    </row>
    <row r="626">
      <c r="A626" s="159"/>
      <c r="B626" s="160"/>
    </row>
    <row r="627">
      <c r="A627" s="159"/>
      <c r="B627" s="160"/>
    </row>
    <row r="628">
      <c r="A628" s="159"/>
      <c r="B628" s="160"/>
    </row>
    <row r="629">
      <c r="A629" s="159"/>
      <c r="B629" s="160"/>
    </row>
    <row r="630">
      <c r="A630" s="159"/>
      <c r="B630" s="160"/>
    </row>
    <row r="631">
      <c r="A631" s="159"/>
      <c r="B631" s="160"/>
    </row>
    <row r="632">
      <c r="A632" s="159"/>
      <c r="B632" s="160"/>
    </row>
    <row r="633">
      <c r="A633" s="159"/>
      <c r="B633" s="160"/>
    </row>
    <row r="634">
      <c r="A634" s="159"/>
      <c r="B634" s="160"/>
    </row>
    <row r="635">
      <c r="A635" s="159"/>
      <c r="B635" s="160"/>
    </row>
    <row r="636">
      <c r="A636" s="159"/>
      <c r="B636" s="160"/>
    </row>
    <row r="637">
      <c r="A637" s="159"/>
      <c r="B637" s="160"/>
    </row>
    <row r="638">
      <c r="A638" s="159"/>
      <c r="B638" s="160"/>
    </row>
    <row r="639">
      <c r="A639" s="159"/>
      <c r="B639" s="160"/>
    </row>
    <row r="640">
      <c r="A640" s="159"/>
      <c r="B640" s="160"/>
    </row>
    <row r="641">
      <c r="A641" s="159"/>
      <c r="B641" s="160"/>
    </row>
    <row r="642">
      <c r="A642" s="159"/>
      <c r="B642" s="160"/>
    </row>
    <row r="643">
      <c r="A643" s="159"/>
      <c r="B643" s="160"/>
    </row>
    <row r="644">
      <c r="A644" s="159"/>
      <c r="B644" s="160"/>
    </row>
    <row r="645">
      <c r="A645" s="159"/>
      <c r="B645" s="160"/>
    </row>
    <row r="646">
      <c r="A646" s="159"/>
      <c r="B646" s="160"/>
    </row>
    <row r="647">
      <c r="A647" s="159"/>
      <c r="B647" s="160"/>
    </row>
    <row r="648">
      <c r="A648" s="159"/>
      <c r="B648" s="160"/>
    </row>
    <row r="649">
      <c r="A649" s="159"/>
      <c r="B649" s="160"/>
    </row>
    <row r="650">
      <c r="A650" s="159"/>
      <c r="B650" s="160"/>
    </row>
    <row r="651">
      <c r="A651" s="159"/>
      <c r="B651" s="160"/>
    </row>
    <row r="652">
      <c r="A652" s="159"/>
      <c r="B652" s="160"/>
    </row>
    <row r="653">
      <c r="A653" s="159"/>
      <c r="B653" s="160"/>
    </row>
    <row r="654">
      <c r="A654" s="159"/>
      <c r="B654" s="160"/>
    </row>
    <row r="655">
      <c r="A655" s="159"/>
      <c r="B655" s="160"/>
    </row>
    <row r="656">
      <c r="A656" s="159"/>
      <c r="B656" s="160"/>
    </row>
    <row r="657">
      <c r="A657" s="159"/>
      <c r="B657" s="160"/>
    </row>
    <row r="658">
      <c r="A658" s="159"/>
      <c r="B658" s="160"/>
    </row>
    <row r="659">
      <c r="A659" s="159"/>
      <c r="B659" s="160"/>
    </row>
    <row r="660">
      <c r="A660" s="159"/>
      <c r="B660" s="160"/>
    </row>
    <row r="661">
      <c r="A661" s="159"/>
      <c r="B661" s="160"/>
    </row>
    <row r="662">
      <c r="A662" s="159"/>
      <c r="B662" s="160"/>
    </row>
    <row r="663">
      <c r="A663" s="159"/>
      <c r="B663" s="160"/>
    </row>
    <row r="664">
      <c r="A664" s="159"/>
      <c r="B664" s="160"/>
    </row>
    <row r="665">
      <c r="A665" s="159"/>
      <c r="B665" s="160"/>
    </row>
    <row r="666">
      <c r="A666" s="159"/>
      <c r="B666" s="160"/>
    </row>
    <row r="667">
      <c r="A667" s="159"/>
      <c r="B667" s="160"/>
    </row>
    <row r="668">
      <c r="A668" s="159"/>
      <c r="B668" s="160"/>
    </row>
    <row r="669">
      <c r="A669" s="159"/>
      <c r="B669" s="160"/>
    </row>
    <row r="670">
      <c r="A670" s="159"/>
      <c r="B670" s="160"/>
    </row>
    <row r="671">
      <c r="A671" s="159"/>
      <c r="B671" s="160"/>
    </row>
    <row r="672">
      <c r="A672" s="159"/>
      <c r="B672" s="160"/>
    </row>
    <row r="673">
      <c r="A673" s="159"/>
      <c r="B673" s="160"/>
    </row>
    <row r="674">
      <c r="A674" s="159"/>
      <c r="B674" s="160"/>
    </row>
    <row r="675">
      <c r="A675" s="159"/>
      <c r="B675" s="160"/>
    </row>
    <row r="676">
      <c r="A676" s="159"/>
      <c r="B676" s="160"/>
    </row>
    <row r="677">
      <c r="A677" s="159"/>
      <c r="B677" s="160"/>
    </row>
    <row r="678">
      <c r="A678" s="159"/>
      <c r="B678" s="160"/>
    </row>
    <row r="679">
      <c r="A679" s="159"/>
      <c r="B679" s="160"/>
    </row>
    <row r="680">
      <c r="A680" s="159"/>
      <c r="B680" s="160"/>
    </row>
    <row r="681">
      <c r="A681" s="159"/>
      <c r="B681" s="160"/>
    </row>
    <row r="682">
      <c r="A682" s="159"/>
      <c r="B682" s="160"/>
    </row>
    <row r="683">
      <c r="A683" s="159"/>
      <c r="B683" s="160"/>
    </row>
    <row r="684">
      <c r="A684" s="159"/>
      <c r="B684" s="160"/>
    </row>
    <row r="685">
      <c r="A685" s="159"/>
      <c r="B685" s="160"/>
    </row>
    <row r="686">
      <c r="A686" s="159"/>
      <c r="B686" s="160"/>
    </row>
    <row r="687">
      <c r="A687" s="159"/>
      <c r="B687" s="160"/>
    </row>
    <row r="688">
      <c r="A688" s="159"/>
      <c r="B688" s="160"/>
    </row>
    <row r="689">
      <c r="A689" s="159"/>
      <c r="B689" s="160"/>
    </row>
    <row r="690">
      <c r="A690" s="159"/>
      <c r="B690" s="160"/>
    </row>
    <row r="691">
      <c r="A691" s="159"/>
      <c r="B691" s="160"/>
    </row>
    <row r="692">
      <c r="A692" s="159"/>
      <c r="B692" s="160"/>
    </row>
    <row r="693">
      <c r="A693" s="159"/>
      <c r="B693" s="160"/>
    </row>
    <row r="694">
      <c r="A694" s="159"/>
      <c r="B694" s="160"/>
    </row>
    <row r="695">
      <c r="A695" s="159"/>
      <c r="B695" s="160"/>
    </row>
    <row r="696">
      <c r="A696" s="159"/>
      <c r="B696" s="160"/>
    </row>
    <row r="697">
      <c r="A697" s="159"/>
      <c r="B697" s="160"/>
    </row>
    <row r="698">
      <c r="A698" s="159"/>
      <c r="B698" s="160"/>
    </row>
    <row r="699">
      <c r="A699" s="159"/>
      <c r="B699" s="160"/>
    </row>
    <row r="700">
      <c r="A700" s="159"/>
      <c r="B700" s="160"/>
    </row>
    <row r="701">
      <c r="A701" s="159"/>
      <c r="B701" s="160"/>
    </row>
    <row r="702">
      <c r="A702" s="159"/>
      <c r="B702" s="160"/>
    </row>
    <row r="703">
      <c r="A703" s="159"/>
      <c r="B703" s="160"/>
    </row>
    <row r="704">
      <c r="A704" s="159"/>
      <c r="B704" s="160"/>
    </row>
    <row r="705">
      <c r="A705" s="159"/>
      <c r="B705" s="160"/>
    </row>
    <row r="706">
      <c r="A706" s="159"/>
      <c r="B706" s="160"/>
    </row>
    <row r="707">
      <c r="A707" s="159"/>
      <c r="B707" s="160"/>
    </row>
    <row r="708">
      <c r="A708" s="159"/>
      <c r="B708" s="160"/>
    </row>
    <row r="709">
      <c r="A709" s="159"/>
      <c r="B709" s="160"/>
    </row>
    <row r="710">
      <c r="A710" s="159"/>
      <c r="B710" s="160"/>
    </row>
    <row r="711">
      <c r="A711" s="159"/>
      <c r="B711" s="160"/>
    </row>
    <row r="712">
      <c r="A712" s="159"/>
      <c r="B712" s="160"/>
    </row>
    <row r="713">
      <c r="A713" s="159"/>
      <c r="B713" s="160"/>
    </row>
    <row r="714">
      <c r="A714" s="159"/>
      <c r="B714" s="160"/>
    </row>
    <row r="715">
      <c r="A715" s="159"/>
      <c r="B715" s="160"/>
    </row>
    <row r="716">
      <c r="A716" s="159"/>
      <c r="B716" s="160"/>
    </row>
    <row r="717">
      <c r="A717" s="159"/>
      <c r="B717" s="160"/>
    </row>
    <row r="718">
      <c r="A718" s="159"/>
      <c r="B718" s="160"/>
    </row>
    <row r="719">
      <c r="A719" s="159"/>
      <c r="B719" s="160"/>
    </row>
    <row r="720">
      <c r="A720" s="159"/>
      <c r="B720" s="160"/>
    </row>
    <row r="721">
      <c r="A721" s="159"/>
      <c r="B721" s="160"/>
    </row>
    <row r="722">
      <c r="A722" s="159"/>
      <c r="B722" s="160"/>
    </row>
    <row r="723">
      <c r="A723" s="159"/>
      <c r="B723" s="160"/>
    </row>
    <row r="724">
      <c r="A724" s="159"/>
      <c r="B724" s="160"/>
    </row>
    <row r="725">
      <c r="A725" s="159"/>
      <c r="B725" s="160"/>
    </row>
    <row r="726">
      <c r="A726" s="159"/>
      <c r="B726" s="160"/>
    </row>
    <row r="727">
      <c r="A727" s="159"/>
      <c r="B727" s="160"/>
    </row>
    <row r="728">
      <c r="A728" s="159"/>
      <c r="B728" s="160"/>
    </row>
    <row r="729">
      <c r="A729" s="159"/>
      <c r="B729" s="160"/>
    </row>
    <row r="730">
      <c r="A730" s="159"/>
      <c r="B730" s="160"/>
    </row>
    <row r="731">
      <c r="A731" s="159"/>
      <c r="B731" s="160"/>
    </row>
    <row r="732">
      <c r="A732" s="159"/>
      <c r="B732" s="160"/>
    </row>
    <row r="733">
      <c r="A733" s="159"/>
      <c r="B733" s="160"/>
    </row>
    <row r="734">
      <c r="A734" s="159"/>
      <c r="B734" s="160"/>
    </row>
    <row r="735">
      <c r="A735" s="159"/>
      <c r="B735" s="160"/>
    </row>
    <row r="736">
      <c r="A736" s="159"/>
      <c r="B736" s="160"/>
    </row>
    <row r="737">
      <c r="A737" s="159"/>
      <c r="B737" s="160"/>
    </row>
    <row r="738">
      <c r="A738" s="159"/>
      <c r="B738" s="160"/>
    </row>
    <row r="739">
      <c r="A739" s="159"/>
      <c r="B739" s="160"/>
    </row>
    <row r="740">
      <c r="A740" s="159"/>
      <c r="B740" s="160"/>
    </row>
    <row r="741">
      <c r="A741" s="159"/>
      <c r="B741" s="160"/>
    </row>
    <row r="742">
      <c r="A742" s="159"/>
      <c r="B742" s="160"/>
    </row>
    <row r="743">
      <c r="A743" s="159"/>
      <c r="B743" s="160"/>
    </row>
    <row r="744">
      <c r="A744" s="159"/>
      <c r="B744" s="160"/>
    </row>
    <row r="745">
      <c r="A745" s="159"/>
      <c r="B745" s="160"/>
    </row>
    <row r="746">
      <c r="A746" s="159"/>
      <c r="B746" s="160"/>
    </row>
    <row r="747">
      <c r="A747" s="159"/>
      <c r="B747" s="160"/>
    </row>
    <row r="748">
      <c r="A748" s="159"/>
      <c r="B748" s="160"/>
    </row>
    <row r="749">
      <c r="A749" s="159"/>
      <c r="B749" s="160"/>
    </row>
    <row r="750">
      <c r="A750" s="159"/>
      <c r="B750" s="160"/>
    </row>
    <row r="751">
      <c r="A751" s="159"/>
      <c r="B751" s="160"/>
    </row>
    <row r="752">
      <c r="A752" s="159"/>
      <c r="B752" s="160"/>
    </row>
    <row r="753">
      <c r="A753" s="159"/>
      <c r="B753" s="160"/>
    </row>
    <row r="754">
      <c r="A754" s="159"/>
      <c r="B754" s="160"/>
    </row>
    <row r="755">
      <c r="A755" s="159"/>
      <c r="B755" s="160"/>
    </row>
    <row r="756">
      <c r="A756" s="159"/>
      <c r="B756" s="160"/>
    </row>
    <row r="757">
      <c r="A757" s="159"/>
      <c r="B757" s="160"/>
    </row>
    <row r="758">
      <c r="A758" s="159"/>
      <c r="B758" s="160"/>
    </row>
    <row r="759">
      <c r="A759" s="159"/>
      <c r="B759" s="160"/>
    </row>
    <row r="760">
      <c r="A760" s="159"/>
      <c r="B760" s="160"/>
    </row>
    <row r="761">
      <c r="A761" s="159"/>
      <c r="B761" s="160"/>
    </row>
    <row r="762">
      <c r="A762" s="159"/>
      <c r="B762" s="160"/>
    </row>
    <row r="763">
      <c r="A763" s="159"/>
      <c r="B763" s="160"/>
    </row>
    <row r="764">
      <c r="A764" s="159"/>
      <c r="B764" s="160"/>
    </row>
    <row r="765">
      <c r="A765" s="159"/>
      <c r="B765" s="160"/>
    </row>
    <row r="766">
      <c r="A766" s="159"/>
      <c r="B766" s="160"/>
    </row>
    <row r="767">
      <c r="A767" s="159"/>
      <c r="B767" s="160"/>
    </row>
    <row r="768">
      <c r="A768" s="159"/>
      <c r="B768" s="160"/>
    </row>
    <row r="769">
      <c r="A769" s="159"/>
      <c r="B769" s="160"/>
    </row>
    <row r="770">
      <c r="A770" s="159"/>
      <c r="B770" s="160"/>
    </row>
    <row r="771">
      <c r="A771" s="159"/>
      <c r="B771" s="160"/>
    </row>
    <row r="772">
      <c r="A772" s="159"/>
      <c r="B772" s="160"/>
    </row>
    <row r="773">
      <c r="A773" s="159"/>
      <c r="B773" s="160"/>
    </row>
    <row r="774">
      <c r="A774" s="159"/>
      <c r="B774" s="160"/>
    </row>
    <row r="775">
      <c r="A775" s="159"/>
      <c r="B775" s="160"/>
    </row>
    <row r="776">
      <c r="A776" s="159"/>
      <c r="B776" s="160"/>
    </row>
    <row r="777">
      <c r="A777" s="159"/>
      <c r="B777" s="160"/>
    </row>
    <row r="778">
      <c r="A778" s="159"/>
      <c r="B778" s="160"/>
    </row>
    <row r="779">
      <c r="A779" s="159"/>
      <c r="B779" s="160"/>
    </row>
    <row r="780">
      <c r="A780" s="159"/>
      <c r="B780" s="160"/>
    </row>
    <row r="781">
      <c r="A781" s="159"/>
      <c r="B781" s="160"/>
    </row>
    <row r="782">
      <c r="A782" s="159"/>
      <c r="B782" s="160"/>
    </row>
    <row r="783">
      <c r="A783" s="159"/>
      <c r="B783" s="160"/>
    </row>
    <row r="784">
      <c r="A784" s="159"/>
      <c r="B784" s="160"/>
    </row>
    <row r="785">
      <c r="A785" s="159"/>
      <c r="B785" s="160"/>
    </row>
    <row r="786">
      <c r="A786" s="159"/>
      <c r="B786" s="160"/>
    </row>
    <row r="787">
      <c r="A787" s="159"/>
      <c r="B787" s="160"/>
    </row>
    <row r="788">
      <c r="A788" s="159"/>
      <c r="B788" s="158"/>
    </row>
    <row r="789">
      <c r="A789" s="159"/>
      <c r="B789" s="158"/>
    </row>
    <row r="790">
      <c r="A790" s="159"/>
      <c r="B790" s="160"/>
    </row>
    <row r="791">
      <c r="A791" s="159"/>
      <c r="B791" s="160"/>
    </row>
    <row r="792">
      <c r="A792" s="159"/>
      <c r="B792" s="160"/>
    </row>
    <row r="793">
      <c r="A793" s="159"/>
      <c r="B793" s="158"/>
    </row>
    <row r="794">
      <c r="A794" s="159"/>
      <c r="B794" s="158"/>
    </row>
    <row r="795">
      <c r="A795" s="159"/>
      <c r="B795" s="160"/>
    </row>
    <row r="796">
      <c r="A796" s="159"/>
      <c r="B796" s="160"/>
    </row>
    <row r="797">
      <c r="A797" s="159"/>
      <c r="B797" s="160"/>
    </row>
    <row r="798">
      <c r="A798" s="159"/>
      <c r="B798" s="160"/>
    </row>
    <row r="799">
      <c r="A799" s="159"/>
      <c r="B799" s="160"/>
    </row>
    <row r="800">
      <c r="A800" s="159"/>
      <c r="B800" s="160"/>
    </row>
    <row r="801">
      <c r="A801" s="159"/>
      <c r="B801" s="160"/>
    </row>
    <row r="802">
      <c r="A802" s="159"/>
      <c r="B802" s="162"/>
    </row>
    <row r="803">
      <c r="A803" s="159"/>
      <c r="B803" s="160"/>
    </row>
    <row r="804">
      <c r="A804" s="159"/>
      <c r="B804" s="160"/>
    </row>
    <row r="805">
      <c r="A805" s="159"/>
      <c r="B805" s="160"/>
    </row>
    <row r="806">
      <c r="A806" s="159"/>
      <c r="B806" s="160"/>
    </row>
    <row r="807">
      <c r="A807" s="159"/>
      <c r="B807" s="160"/>
    </row>
    <row r="808">
      <c r="A808" s="159"/>
      <c r="B808" s="158"/>
      <c r="D808" s="158"/>
    </row>
    <row r="809">
      <c r="A809" s="159"/>
      <c r="B809" s="160"/>
    </row>
    <row r="810">
      <c r="A810" s="159"/>
      <c r="B810" s="160"/>
    </row>
    <row r="811">
      <c r="A811" s="159"/>
      <c r="B811" s="160"/>
    </row>
    <row r="812">
      <c r="A812" s="159"/>
      <c r="B812" s="160"/>
    </row>
    <row r="813">
      <c r="A813" s="159"/>
      <c r="B813" s="160"/>
    </row>
    <row r="814">
      <c r="A814" s="159"/>
      <c r="B814" s="160"/>
    </row>
    <row r="815">
      <c r="A815" s="159"/>
      <c r="B815" s="160"/>
    </row>
    <row r="816">
      <c r="A816" s="159"/>
      <c r="B816" s="160"/>
    </row>
    <row r="817">
      <c r="A817" s="159"/>
      <c r="B817" s="160"/>
    </row>
    <row r="818">
      <c r="A818" s="159"/>
      <c r="B818" s="160"/>
    </row>
    <row r="819">
      <c r="A819" s="159"/>
      <c r="B819" s="160"/>
    </row>
    <row r="820">
      <c r="A820" s="159"/>
      <c r="B820" s="160"/>
    </row>
    <row r="821">
      <c r="A821" s="159"/>
      <c r="B821" s="160"/>
    </row>
    <row r="822">
      <c r="A822" s="159"/>
      <c r="B822" s="160"/>
    </row>
    <row r="823">
      <c r="A823" s="159"/>
      <c r="B823" s="160"/>
    </row>
    <row r="824">
      <c r="A824" s="159"/>
      <c r="B824" s="160"/>
    </row>
    <row r="825">
      <c r="A825" s="159"/>
      <c r="B825" s="160"/>
    </row>
    <row r="826">
      <c r="A826" s="159"/>
      <c r="B826" s="160"/>
    </row>
    <row r="827">
      <c r="A827" s="159"/>
      <c r="B827" s="160"/>
    </row>
    <row r="828">
      <c r="A828" s="159"/>
      <c r="B828" s="160"/>
    </row>
    <row r="829">
      <c r="A829" s="159"/>
      <c r="B829" s="160"/>
    </row>
    <row r="830">
      <c r="A830" s="159"/>
      <c r="B830" s="160"/>
    </row>
    <row r="831">
      <c r="A831" s="159"/>
      <c r="B831" s="160"/>
    </row>
    <row r="832">
      <c r="A832" s="159"/>
      <c r="B832" s="160"/>
    </row>
    <row r="833">
      <c r="A833" s="159"/>
      <c r="B833" s="160"/>
    </row>
    <row r="834">
      <c r="A834" s="159"/>
      <c r="B834" s="160"/>
    </row>
    <row r="835">
      <c r="A835" s="159"/>
      <c r="B835" s="160"/>
    </row>
    <row r="836">
      <c r="A836" s="159"/>
      <c r="B836" s="160"/>
    </row>
    <row r="837">
      <c r="A837" s="159"/>
      <c r="B837" s="160"/>
    </row>
    <row r="838">
      <c r="A838" s="159"/>
      <c r="B838" s="160"/>
    </row>
    <row r="839">
      <c r="A839" s="159"/>
      <c r="B839" s="160"/>
    </row>
    <row r="840">
      <c r="A840" s="159"/>
      <c r="B840" s="160"/>
    </row>
    <row r="841">
      <c r="A841" s="159"/>
      <c r="B841" s="160"/>
    </row>
    <row r="842">
      <c r="A842" s="159"/>
      <c r="B842" s="160"/>
    </row>
    <row r="843">
      <c r="A843" s="159"/>
      <c r="B843" s="160"/>
    </row>
    <row r="844">
      <c r="A844" s="159"/>
      <c r="B844" s="160"/>
    </row>
    <row r="845">
      <c r="A845" s="159"/>
      <c r="B845" s="160"/>
    </row>
    <row r="846">
      <c r="A846" s="159"/>
      <c r="B846" s="160"/>
    </row>
    <row r="847">
      <c r="A847" s="159"/>
      <c r="B847" s="160"/>
    </row>
    <row r="848">
      <c r="A848" s="159"/>
      <c r="B848" s="160"/>
    </row>
    <row r="849">
      <c r="A849" s="159"/>
      <c r="B849" s="160"/>
    </row>
    <row r="850">
      <c r="A850" s="159"/>
      <c r="B850" s="160"/>
    </row>
    <row r="851">
      <c r="A851" s="159"/>
      <c r="B851" s="160"/>
    </row>
    <row r="852">
      <c r="A852" s="159"/>
      <c r="B852" s="160"/>
    </row>
    <row r="853">
      <c r="A853" s="159"/>
      <c r="B853" s="160"/>
    </row>
    <row r="854">
      <c r="A854" s="159"/>
      <c r="B854" s="160"/>
    </row>
    <row r="855">
      <c r="A855" s="159"/>
      <c r="B855" s="160"/>
    </row>
    <row r="856">
      <c r="A856" s="159"/>
      <c r="B856" s="160"/>
    </row>
    <row r="857">
      <c r="A857" s="159"/>
      <c r="B857" s="160"/>
    </row>
    <row r="858">
      <c r="A858" s="159"/>
      <c r="B858" s="160"/>
    </row>
    <row r="859">
      <c r="A859" s="159"/>
      <c r="B859" s="160"/>
    </row>
    <row r="860">
      <c r="A860" s="159"/>
      <c r="B860" s="160"/>
    </row>
    <row r="861">
      <c r="A861" s="159"/>
      <c r="B861" s="160"/>
    </row>
    <row r="862">
      <c r="A862" s="159"/>
      <c r="B862" s="160"/>
    </row>
    <row r="863">
      <c r="A863" s="159"/>
      <c r="B863" s="160"/>
    </row>
    <row r="864">
      <c r="A864" s="159"/>
      <c r="B864" s="160"/>
    </row>
    <row r="865">
      <c r="A865" s="159"/>
      <c r="B865" s="160"/>
    </row>
    <row r="866">
      <c r="A866" s="159"/>
      <c r="B866" s="160"/>
    </row>
    <row r="867">
      <c r="A867" s="159"/>
      <c r="B867" s="160"/>
    </row>
    <row r="868">
      <c r="A868" s="159"/>
      <c r="B868" s="160"/>
    </row>
    <row r="869">
      <c r="A869" s="159"/>
      <c r="B869" s="160"/>
    </row>
    <row r="870">
      <c r="A870" s="159"/>
      <c r="B870" s="160"/>
    </row>
    <row r="871">
      <c r="A871" s="159"/>
      <c r="B871" s="160"/>
    </row>
    <row r="872">
      <c r="A872" s="159"/>
      <c r="B872" s="160"/>
    </row>
    <row r="873">
      <c r="A873" s="159"/>
      <c r="B873" s="160"/>
    </row>
    <row r="874">
      <c r="A874" s="159"/>
      <c r="B874" s="160"/>
    </row>
    <row r="875">
      <c r="A875" s="159"/>
      <c r="B875" s="160"/>
    </row>
    <row r="876">
      <c r="A876" s="159"/>
      <c r="B876" s="160"/>
    </row>
    <row r="877">
      <c r="A877" s="159"/>
      <c r="B877" s="160"/>
    </row>
    <row r="878">
      <c r="A878" s="159"/>
      <c r="B878" s="160"/>
    </row>
    <row r="879">
      <c r="A879" s="159"/>
      <c r="B879" s="160"/>
    </row>
    <row r="880">
      <c r="A880" s="159"/>
      <c r="B880" s="160"/>
    </row>
    <row r="881">
      <c r="A881" s="159"/>
      <c r="B881" s="160"/>
    </row>
    <row r="882">
      <c r="A882" s="159"/>
      <c r="B882" s="160"/>
    </row>
    <row r="883">
      <c r="A883" s="159"/>
      <c r="B883" s="160"/>
    </row>
    <row r="884">
      <c r="A884" s="159"/>
      <c r="B884" s="160"/>
    </row>
    <row r="885">
      <c r="A885" s="159"/>
      <c r="B885" s="160"/>
    </row>
    <row r="886">
      <c r="A886" s="159"/>
      <c r="B886" s="160"/>
    </row>
    <row r="887">
      <c r="A887" s="159"/>
      <c r="B887" s="160"/>
    </row>
    <row r="888">
      <c r="A888" s="159"/>
      <c r="B888" s="160"/>
    </row>
    <row r="889">
      <c r="A889" s="159"/>
      <c r="B889" s="160"/>
    </row>
    <row r="890">
      <c r="A890" s="159"/>
      <c r="B890" s="160"/>
    </row>
    <row r="891">
      <c r="A891" s="159"/>
      <c r="B891" s="160"/>
    </row>
    <row r="892">
      <c r="A892" s="159"/>
      <c r="B892" s="160"/>
    </row>
    <row r="893">
      <c r="A893" s="159"/>
      <c r="B893" s="160"/>
    </row>
    <row r="894">
      <c r="A894" s="159"/>
      <c r="B894" s="160"/>
    </row>
    <row r="895">
      <c r="A895" s="159"/>
      <c r="B895" s="160"/>
    </row>
    <row r="896">
      <c r="A896" s="159"/>
      <c r="B896" s="160"/>
    </row>
    <row r="897">
      <c r="A897" s="159"/>
      <c r="B897" s="160"/>
    </row>
    <row r="898">
      <c r="A898" s="159"/>
      <c r="B898" s="160"/>
    </row>
    <row r="899">
      <c r="A899" s="159"/>
      <c r="B899" s="160"/>
    </row>
    <row r="900">
      <c r="A900" s="159"/>
      <c r="B900" s="160"/>
    </row>
    <row r="901">
      <c r="A901" s="159"/>
      <c r="B901" s="160"/>
    </row>
    <row r="902">
      <c r="A902" s="159"/>
      <c r="B902" s="160"/>
    </row>
    <row r="903">
      <c r="A903" s="159"/>
      <c r="B903" s="160"/>
    </row>
    <row r="904">
      <c r="A904" s="159"/>
      <c r="B904" s="160"/>
    </row>
    <row r="905">
      <c r="A905" s="159"/>
      <c r="B905" s="160"/>
    </row>
    <row r="906">
      <c r="A906" s="159"/>
      <c r="B906" s="160"/>
    </row>
    <row r="907">
      <c r="A907" s="159"/>
      <c r="B907" s="160"/>
    </row>
    <row r="908">
      <c r="A908" s="159"/>
      <c r="B908" s="160"/>
    </row>
    <row r="909">
      <c r="A909" s="159"/>
      <c r="B909" s="160"/>
    </row>
    <row r="910">
      <c r="A910" s="159"/>
      <c r="B910" s="160"/>
    </row>
    <row r="911">
      <c r="A911" s="159"/>
      <c r="B911" s="160"/>
    </row>
    <row r="912">
      <c r="A912" s="159"/>
      <c r="B912" s="160"/>
    </row>
    <row r="913">
      <c r="A913" s="159"/>
      <c r="B913" s="160"/>
    </row>
    <row r="914">
      <c r="A914" s="159"/>
      <c r="B914" s="160"/>
    </row>
    <row r="915">
      <c r="A915" s="159"/>
      <c r="B915" s="160"/>
    </row>
    <row r="916">
      <c r="A916" s="159"/>
      <c r="B916" s="160"/>
    </row>
    <row r="917">
      <c r="A917" s="159"/>
      <c r="B917" s="160"/>
    </row>
    <row r="918">
      <c r="A918" s="159"/>
      <c r="B918" s="160"/>
    </row>
    <row r="919">
      <c r="A919" s="159"/>
      <c r="B919" s="160"/>
    </row>
    <row r="920">
      <c r="A920" s="159"/>
      <c r="B920" s="160"/>
    </row>
    <row r="921">
      <c r="A921" s="159"/>
      <c r="B921" s="160"/>
    </row>
    <row r="922">
      <c r="A922" s="159"/>
      <c r="B922" s="160"/>
    </row>
    <row r="923">
      <c r="A923" s="159"/>
      <c r="B923" s="160"/>
    </row>
    <row r="924">
      <c r="A924" s="159"/>
      <c r="B924" s="160"/>
    </row>
    <row r="925">
      <c r="A925" s="159"/>
      <c r="B925" s="160"/>
    </row>
    <row r="926">
      <c r="A926" s="159"/>
      <c r="B926" s="160"/>
    </row>
    <row r="927">
      <c r="A927" s="159"/>
      <c r="B927" s="160"/>
    </row>
    <row r="928">
      <c r="A928" s="159"/>
      <c r="B928" s="160"/>
    </row>
    <row r="929">
      <c r="A929" s="159"/>
      <c r="B929" s="160"/>
    </row>
    <row r="930">
      <c r="A930" s="159"/>
      <c r="B930" s="160"/>
    </row>
    <row r="931">
      <c r="A931" s="159"/>
      <c r="B931" s="160"/>
    </row>
    <row r="932">
      <c r="A932" s="159"/>
      <c r="B932" s="160"/>
    </row>
    <row r="933">
      <c r="A933" s="159"/>
      <c r="B933" s="160"/>
    </row>
    <row r="934">
      <c r="A934" s="159"/>
      <c r="B934" s="160"/>
    </row>
    <row r="935">
      <c r="A935" s="159"/>
      <c r="B935" s="160"/>
    </row>
    <row r="936">
      <c r="A936" s="159"/>
      <c r="B936" s="160"/>
    </row>
    <row r="937">
      <c r="A937" s="159"/>
      <c r="B937" s="160"/>
    </row>
    <row r="938">
      <c r="A938" s="159"/>
      <c r="B938" s="160"/>
    </row>
    <row r="939">
      <c r="A939" s="159"/>
      <c r="B939" s="160"/>
    </row>
    <row r="940">
      <c r="A940" s="159"/>
      <c r="B940" s="160"/>
    </row>
    <row r="941">
      <c r="A941" s="159"/>
      <c r="B941" s="160"/>
    </row>
    <row r="942">
      <c r="A942" s="159"/>
      <c r="B942" s="160"/>
    </row>
    <row r="943">
      <c r="A943" s="159"/>
      <c r="B943" s="160"/>
    </row>
    <row r="944">
      <c r="A944" s="159"/>
      <c r="B944" s="160"/>
    </row>
    <row r="945">
      <c r="A945" s="159"/>
      <c r="B945" s="160"/>
    </row>
    <row r="946">
      <c r="A946" s="159"/>
      <c r="B946" s="160"/>
    </row>
    <row r="947">
      <c r="A947" s="159"/>
      <c r="B947" s="160"/>
    </row>
    <row r="948">
      <c r="A948" s="159"/>
      <c r="B948" s="160"/>
    </row>
    <row r="949">
      <c r="A949" s="159"/>
      <c r="B949" s="160"/>
    </row>
    <row r="950">
      <c r="A950" s="159"/>
      <c r="B950" s="160"/>
    </row>
    <row r="951">
      <c r="A951" s="159"/>
      <c r="B951" s="160"/>
    </row>
    <row r="952">
      <c r="A952" s="159"/>
      <c r="B952" s="160"/>
    </row>
    <row r="953">
      <c r="A953" s="159"/>
      <c r="B953" s="160"/>
    </row>
    <row r="954">
      <c r="A954" s="159"/>
      <c r="B954" s="160"/>
    </row>
    <row r="955">
      <c r="A955" s="159"/>
      <c r="B955" s="160"/>
    </row>
    <row r="956">
      <c r="A956" s="159"/>
      <c r="B956" s="160"/>
    </row>
    <row r="957">
      <c r="A957" s="159"/>
      <c r="B957" s="160"/>
    </row>
    <row r="958">
      <c r="A958" s="159"/>
      <c r="B958" s="160"/>
    </row>
    <row r="959">
      <c r="A959" s="159"/>
      <c r="B959" s="160"/>
    </row>
    <row r="960">
      <c r="A960" s="159"/>
      <c r="B960" s="160"/>
    </row>
    <row r="961">
      <c r="A961" s="159"/>
      <c r="B961" s="160"/>
    </row>
    <row r="962">
      <c r="A962" s="159"/>
      <c r="B962" s="160"/>
    </row>
    <row r="963">
      <c r="A963" s="159"/>
      <c r="B963" s="160"/>
    </row>
    <row r="964">
      <c r="A964" s="159"/>
      <c r="B964" s="160"/>
    </row>
    <row r="965">
      <c r="A965" s="159"/>
      <c r="B965" s="160"/>
    </row>
    <row r="966">
      <c r="A966" s="159"/>
      <c r="B966" s="160"/>
    </row>
    <row r="967">
      <c r="A967" s="159"/>
      <c r="B967" s="160"/>
    </row>
    <row r="968">
      <c r="A968" s="159"/>
      <c r="B968" s="160"/>
    </row>
    <row r="969">
      <c r="A969" s="159"/>
      <c r="B969" s="160"/>
    </row>
    <row r="970">
      <c r="A970" s="159"/>
      <c r="B970" s="160"/>
    </row>
    <row r="971">
      <c r="A971" s="159"/>
      <c r="B971" s="160"/>
    </row>
    <row r="972">
      <c r="A972" s="159"/>
      <c r="B972" s="160"/>
    </row>
    <row r="973">
      <c r="A973" s="159"/>
      <c r="B973" s="160"/>
    </row>
    <row r="974">
      <c r="A974" s="159"/>
      <c r="B974" s="160"/>
    </row>
    <row r="975">
      <c r="A975" s="159"/>
      <c r="B975" s="160"/>
    </row>
    <row r="976">
      <c r="A976" s="159"/>
      <c r="B976" s="160"/>
    </row>
    <row r="977">
      <c r="A977" s="159"/>
      <c r="B977" s="160"/>
    </row>
    <row r="978">
      <c r="A978" s="159"/>
      <c r="B978" s="160"/>
    </row>
    <row r="979">
      <c r="A979" s="159"/>
      <c r="B979" s="160"/>
    </row>
    <row r="980">
      <c r="A980" s="159"/>
      <c r="B980" s="160"/>
    </row>
    <row r="981">
      <c r="A981" s="159"/>
      <c r="B981" s="160"/>
    </row>
    <row r="982">
      <c r="A982" s="159"/>
      <c r="B982" s="160"/>
    </row>
    <row r="983">
      <c r="A983" s="159"/>
      <c r="B983" s="160"/>
    </row>
    <row r="984">
      <c r="A984" s="159"/>
      <c r="B984" s="160"/>
    </row>
    <row r="985">
      <c r="A985" s="159"/>
      <c r="B985" s="160"/>
    </row>
    <row r="986">
      <c r="A986" s="159"/>
      <c r="B986" s="160"/>
    </row>
    <row r="987">
      <c r="A987" s="159"/>
      <c r="B987" s="160"/>
    </row>
    <row r="988">
      <c r="A988" s="159"/>
      <c r="B988" s="160"/>
    </row>
    <row r="989">
      <c r="A989" s="159"/>
      <c r="B989" s="160"/>
    </row>
    <row r="990">
      <c r="A990" s="159"/>
      <c r="B990" s="160"/>
    </row>
    <row r="991">
      <c r="A991" s="159"/>
      <c r="B991" s="160"/>
    </row>
    <row r="992">
      <c r="A992" s="159"/>
      <c r="B992" s="160"/>
    </row>
    <row r="993">
      <c r="A993" s="159"/>
      <c r="B993" s="160"/>
    </row>
    <row r="994">
      <c r="A994" s="159"/>
      <c r="B994" s="160"/>
    </row>
    <row r="995">
      <c r="A995" s="159"/>
      <c r="B995" s="160"/>
    </row>
    <row r="996">
      <c r="A996" s="159"/>
      <c r="B996" s="160"/>
    </row>
    <row r="997">
      <c r="A997" s="159"/>
      <c r="B997" s="160"/>
    </row>
    <row r="998">
      <c r="A998" s="159"/>
      <c r="B998" s="160"/>
    </row>
    <row r="999">
      <c r="A999" s="159"/>
      <c r="B999" s="160"/>
    </row>
    <row r="1000">
      <c r="A1000" s="159"/>
      <c r="B1000" s="160"/>
    </row>
    <row r="1001">
      <c r="A1001" s="159"/>
      <c r="B1001" s="160"/>
    </row>
    <row r="1002">
      <c r="A1002" s="159"/>
      <c r="B1002" s="160"/>
    </row>
    <row r="1003">
      <c r="A1003" s="159"/>
      <c r="B1003" s="160"/>
    </row>
    <row r="1004">
      <c r="A1004" s="159"/>
      <c r="B1004" s="160"/>
    </row>
    <row r="1005">
      <c r="A1005" s="159"/>
      <c r="B1005" s="160"/>
    </row>
    <row r="1006">
      <c r="A1006" s="159"/>
      <c r="B1006" s="160"/>
    </row>
    <row r="1007">
      <c r="A1007" s="159"/>
      <c r="B1007" s="160"/>
    </row>
    <row r="1008">
      <c r="A1008" s="159"/>
      <c r="B1008" s="160"/>
    </row>
    <row r="1009">
      <c r="A1009" s="159"/>
      <c r="B1009" s="160"/>
    </row>
    <row r="1010">
      <c r="A1010" s="159"/>
      <c r="B1010" s="160"/>
    </row>
    <row r="1011">
      <c r="A1011" s="159"/>
      <c r="B1011" s="160"/>
    </row>
    <row r="1012">
      <c r="A1012" s="159"/>
      <c r="B1012" s="160"/>
    </row>
    <row r="1013">
      <c r="A1013" s="159"/>
      <c r="B1013" s="160"/>
    </row>
    <row r="1014">
      <c r="A1014" s="159"/>
      <c r="B1014" s="160"/>
    </row>
    <row r="1015">
      <c r="A1015" s="159"/>
      <c r="B1015" s="160"/>
    </row>
    <row r="1016">
      <c r="A1016" s="159"/>
      <c r="B1016" s="160"/>
    </row>
    <row r="1017">
      <c r="A1017" s="159"/>
      <c r="B1017" s="160"/>
    </row>
    <row r="1018">
      <c r="A1018" s="159"/>
      <c r="B1018" s="160"/>
    </row>
    <row r="1019">
      <c r="A1019" s="159"/>
      <c r="B1019" s="160"/>
    </row>
    <row r="1020">
      <c r="A1020" s="159"/>
      <c r="B1020" s="160"/>
    </row>
    <row r="1021">
      <c r="A1021" s="159"/>
      <c r="B1021" s="160"/>
    </row>
    <row r="1022">
      <c r="A1022" s="159"/>
      <c r="B1022" s="160"/>
    </row>
    <row r="1023">
      <c r="A1023" s="159"/>
      <c r="B1023" s="160"/>
    </row>
    <row r="1024">
      <c r="A1024" s="159"/>
      <c r="B1024" s="160"/>
    </row>
    <row r="1025">
      <c r="A1025" s="159"/>
      <c r="B1025" s="160"/>
    </row>
    <row r="1026">
      <c r="A1026" s="159"/>
      <c r="B1026" s="160"/>
    </row>
    <row r="1027">
      <c r="A1027" s="159"/>
      <c r="B1027" s="160"/>
    </row>
    <row r="1028">
      <c r="A1028" s="159"/>
      <c r="B1028" s="160"/>
    </row>
    <row r="1029">
      <c r="A1029" s="159"/>
      <c r="B1029" s="160"/>
    </row>
    <row r="1030">
      <c r="A1030" s="159"/>
      <c r="B1030" s="160"/>
    </row>
    <row r="1031">
      <c r="A1031" s="159"/>
      <c r="B1031" s="160"/>
    </row>
    <row r="1032">
      <c r="A1032" s="159"/>
      <c r="B1032" s="160"/>
    </row>
    <row r="1033">
      <c r="A1033" s="159"/>
      <c r="B1033" s="160"/>
    </row>
    <row r="1034">
      <c r="A1034" s="159"/>
      <c r="B1034" s="160"/>
    </row>
    <row r="1035">
      <c r="A1035" s="159"/>
      <c r="B1035" s="160"/>
    </row>
    <row r="1036">
      <c r="A1036" s="159"/>
      <c r="B1036" s="160"/>
    </row>
    <row r="1037">
      <c r="A1037" s="159"/>
      <c r="B1037" s="160"/>
    </row>
    <row r="1038">
      <c r="A1038" s="159"/>
      <c r="B1038" s="160"/>
    </row>
    <row r="1039">
      <c r="A1039" s="159"/>
      <c r="B1039" s="160"/>
    </row>
    <row r="1040">
      <c r="A1040" s="159"/>
      <c r="B1040" s="160"/>
    </row>
    <row r="1041">
      <c r="A1041" s="159"/>
      <c r="B1041" s="160"/>
    </row>
    <row r="1042">
      <c r="A1042" s="159"/>
      <c r="B1042" s="160"/>
    </row>
    <row r="1043">
      <c r="A1043" s="159"/>
      <c r="B1043" s="160"/>
    </row>
    <row r="1044">
      <c r="A1044" s="159"/>
      <c r="B1044" s="160"/>
    </row>
    <row r="1045">
      <c r="A1045" s="159"/>
      <c r="B1045" s="160"/>
    </row>
    <row r="1046">
      <c r="A1046" s="159"/>
      <c r="B1046" s="160"/>
    </row>
    <row r="1047">
      <c r="A1047" s="159"/>
      <c r="B1047" s="160"/>
    </row>
    <row r="1048">
      <c r="A1048" s="159"/>
      <c r="B1048" s="160"/>
    </row>
    <row r="1049">
      <c r="A1049" s="159"/>
      <c r="B1049" s="160"/>
    </row>
    <row r="1050">
      <c r="A1050" s="159"/>
      <c r="B1050" s="160"/>
    </row>
    <row r="1051">
      <c r="A1051" s="159"/>
      <c r="B1051" s="160"/>
    </row>
    <row r="1052">
      <c r="A1052" s="159"/>
      <c r="B1052" s="160"/>
    </row>
    <row r="1053">
      <c r="A1053" s="159"/>
      <c r="B1053" s="160"/>
    </row>
    <row r="1054">
      <c r="A1054" s="159"/>
      <c r="B1054" s="160"/>
    </row>
    <row r="1055">
      <c r="A1055" s="159"/>
      <c r="B1055" s="160"/>
    </row>
    <row r="1056">
      <c r="A1056" s="159"/>
      <c r="B1056" s="160"/>
    </row>
    <row r="1057">
      <c r="A1057" s="159"/>
      <c r="B1057" s="160"/>
    </row>
    <row r="1058">
      <c r="A1058" s="159"/>
      <c r="B1058" s="160"/>
    </row>
    <row r="1059">
      <c r="A1059" s="159"/>
      <c r="B1059" s="160"/>
    </row>
    <row r="1060">
      <c r="A1060" s="159"/>
      <c r="B1060" s="160"/>
    </row>
    <row r="1061">
      <c r="A1061" s="159"/>
      <c r="B1061" s="160"/>
    </row>
    <row r="1062">
      <c r="A1062" s="159"/>
      <c r="B1062" s="160"/>
    </row>
    <row r="1063">
      <c r="A1063" s="159"/>
      <c r="B1063" s="160"/>
    </row>
    <row r="1064">
      <c r="A1064" s="159"/>
      <c r="B1064" s="160"/>
    </row>
    <row r="1065">
      <c r="A1065" s="159"/>
      <c r="B1065" s="160"/>
    </row>
    <row r="1066">
      <c r="A1066" s="159"/>
      <c r="B1066" s="160"/>
    </row>
    <row r="1067">
      <c r="A1067" s="159"/>
      <c r="B1067" s="160"/>
    </row>
    <row r="1068">
      <c r="A1068" s="159"/>
      <c r="B1068" s="160"/>
    </row>
    <row r="1069">
      <c r="A1069" s="159"/>
      <c r="B1069" s="160"/>
    </row>
    <row r="1070">
      <c r="A1070" s="159"/>
      <c r="B1070" s="160"/>
    </row>
    <row r="1071">
      <c r="A1071" s="159"/>
      <c r="B1071" s="160"/>
    </row>
    <row r="1072">
      <c r="A1072" s="159"/>
      <c r="B1072" s="160"/>
    </row>
    <row r="1073">
      <c r="A1073" s="159"/>
      <c r="B1073" s="160"/>
    </row>
    <row r="1074">
      <c r="A1074" s="159"/>
      <c r="B1074" s="160"/>
    </row>
    <row r="1075">
      <c r="A1075" s="159"/>
      <c r="B1075" s="160"/>
    </row>
    <row r="1076">
      <c r="A1076" s="159"/>
      <c r="B1076" s="160"/>
    </row>
    <row r="1077">
      <c r="A1077" s="159"/>
      <c r="B1077" s="160"/>
    </row>
    <row r="1078">
      <c r="A1078" s="159"/>
      <c r="B1078" s="160"/>
    </row>
    <row r="1079">
      <c r="A1079" s="159"/>
      <c r="B1079" s="160"/>
    </row>
    <row r="1080">
      <c r="A1080" s="159"/>
      <c r="B1080" s="160"/>
    </row>
    <row r="1081">
      <c r="A1081" s="159"/>
      <c r="B1081" s="160"/>
    </row>
    <row r="1082">
      <c r="A1082" s="159"/>
      <c r="B1082" s="160"/>
    </row>
    <row r="1083">
      <c r="A1083" s="159"/>
      <c r="B1083" s="160"/>
    </row>
    <row r="1084">
      <c r="A1084" s="159"/>
      <c r="B1084" s="160"/>
    </row>
    <row r="1085">
      <c r="A1085" s="159"/>
      <c r="B1085" s="160"/>
    </row>
    <row r="1086">
      <c r="A1086" s="159"/>
      <c r="B1086" s="160"/>
    </row>
    <row r="1087">
      <c r="A1087" s="159"/>
      <c r="B1087" s="160"/>
    </row>
    <row r="1088">
      <c r="A1088" s="159"/>
      <c r="B1088" s="160"/>
    </row>
    <row r="1089">
      <c r="A1089" s="159"/>
      <c r="B1089" s="160"/>
    </row>
    <row r="1090">
      <c r="A1090" s="159"/>
      <c r="B1090" s="160"/>
    </row>
    <row r="1091">
      <c r="A1091" s="159"/>
      <c r="B1091" s="160"/>
    </row>
    <row r="1092">
      <c r="A1092" s="159"/>
      <c r="B1092" s="160"/>
    </row>
    <row r="1093">
      <c r="A1093" s="159"/>
      <c r="B1093" s="160"/>
    </row>
    <row r="1094">
      <c r="A1094" s="159"/>
      <c r="B1094" s="160"/>
    </row>
    <row r="1095">
      <c r="A1095" s="159"/>
      <c r="B1095" s="160"/>
    </row>
    <row r="1096">
      <c r="A1096" s="159"/>
      <c r="B1096" s="160"/>
    </row>
    <row r="1097">
      <c r="A1097" s="159"/>
      <c r="B1097" s="160"/>
    </row>
    <row r="1098">
      <c r="A1098" s="159"/>
      <c r="B1098" s="160"/>
    </row>
    <row r="1099">
      <c r="A1099" s="159"/>
      <c r="B1099" s="160"/>
    </row>
    <row r="1100">
      <c r="A1100" s="159"/>
      <c r="B1100" s="160"/>
    </row>
    <row r="1101">
      <c r="A1101" s="159"/>
      <c r="B1101" s="160"/>
    </row>
    <row r="1102">
      <c r="A1102" s="159"/>
      <c r="B1102" s="160"/>
    </row>
    <row r="1103">
      <c r="A1103" s="159"/>
      <c r="B1103" s="160"/>
    </row>
    <row r="1104">
      <c r="A1104" s="159"/>
      <c r="B1104" s="160"/>
    </row>
    <row r="1105">
      <c r="A1105" s="159"/>
      <c r="B1105" s="160"/>
    </row>
    <row r="1106">
      <c r="A1106" s="159"/>
      <c r="B1106" s="160"/>
    </row>
    <row r="1107">
      <c r="A1107" s="159"/>
      <c r="B1107" s="160"/>
    </row>
    <row r="1108">
      <c r="A1108" s="159"/>
      <c r="B1108" s="160"/>
    </row>
    <row r="1109">
      <c r="A1109" s="159"/>
      <c r="B1109" s="160"/>
    </row>
    <row r="1110">
      <c r="A1110" s="159"/>
      <c r="B1110" s="160"/>
    </row>
    <row r="1111">
      <c r="A1111" s="159"/>
      <c r="B1111" s="160"/>
    </row>
    <row r="1112">
      <c r="A1112" s="159"/>
      <c r="B1112" s="160"/>
    </row>
    <row r="1113">
      <c r="A1113" s="159"/>
      <c r="B1113" s="160"/>
    </row>
    <row r="1114">
      <c r="A1114" s="159"/>
      <c r="B1114" s="160"/>
    </row>
    <row r="1115">
      <c r="A1115" s="159"/>
      <c r="B1115" s="160"/>
    </row>
    <row r="1116">
      <c r="A1116" s="159"/>
      <c r="B1116" s="160"/>
    </row>
    <row r="1117">
      <c r="A1117" s="159"/>
      <c r="B1117" s="160"/>
    </row>
    <row r="1118">
      <c r="A1118" s="159"/>
      <c r="B1118" s="160"/>
    </row>
    <row r="1119">
      <c r="A1119" s="159"/>
      <c r="B1119" s="160"/>
    </row>
    <row r="1120">
      <c r="A1120" s="159"/>
      <c r="B1120" s="160"/>
    </row>
    <row r="1121">
      <c r="A1121" s="159"/>
      <c r="B1121" s="160"/>
    </row>
    <row r="1122">
      <c r="A1122" s="159"/>
      <c r="B1122" s="160"/>
    </row>
    <row r="1123">
      <c r="A1123" s="159"/>
      <c r="B1123" s="160"/>
    </row>
    <row r="1124">
      <c r="A1124" s="159"/>
      <c r="B1124" s="160"/>
    </row>
    <row r="1125">
      <c r="A1125" s="159"/>
      <c r="B1125" s="160"/>
    </row>
    <row r="1126">
      <c r="A1126" s="159"/>
      <c r="B1126" s="160"/>
    </row>
    <row r="1127">
      <c r="A1127" s="159"/>
      <c r="B1127" s="160"/>
    </row>
    <row r="1128">
      <c r="A1128" s="159"/>
      <c r="B1128" s="160"/>
    </row>
    <row r="1129">
      <c r="A1129" s="159"/>
      <c r="B1129" s="160"/>
    </row>
    <row r="1130">
      <c r="A1130" s="159"/>
      <c r="B1130" s="160"/>
    </row>
    <row r="1131">
      <c r="A1131" s="159"/>
      <c r="B1131" s="160"/>
    </row>
    <row r="1132">
      <c r="A1132" s="159"/>
      <c r="B1132" s="160"/>
    </row>
    <row r="1133">
      <c r="A1133" s="159"/>
      <c r="B1133" s="160"/>
    </row>
    <row r="1134">
      <c r="A1134" s="159"/>
      <c r="B1134" s="160"/>
    </row>
    <row r="1135">
      <c r="A1135" s="159"/>
      <c r="B1135" s="160"/>
    </row>
    <row r="1136">
      <c r="A1136" s="159"/>
      <c r="B1136" s="160"/>
    </row>
    <row r="1137">
      <c r="A1137" s="159"/>
      <c r="B1137" s="160"/>
    </row>
    <row r="1138">
      <c r="A1138" s="159"/>
      <c r="B1138" s="160"/>
    </row>
    <row r="1139">
      <c r="A1139" s="159"/>
      <c r="B1139" s="160"/>
    </row>
    <row r="1140">
      <c r="A1140" s="159"/>
      <c r="B1140" s="160"/>
    </row>
    <row r="1141">
      <c r="A1141" s="159"/>
      <c r="B1141" s="160"/>
    </row>
    <row r="1142">
      <c r="A1142" s="159"/>
      <c r="B1142" s="160"/>
    </row>
    <row r="1143">
      <c r="A1143" s="159"/>
      <c r="B1143" s="160"/>
    </row>
    <row r="1144">
      <c r="A1144" s="159"/>
      <c r="B1144" s="160"/>
    </row>
    <row r="1145">
      <c r="A1145" s="159"/>
      <c r="B1145" s="160"/>
    </row>
    <row r="1146">
      <c r="A1146" s="159"/>
      <c r="B1146" s="160"/>
    </row>
    <row r="1147">
      <c r="A1147" s="159"/>
      <c r="B1147" s="160"/>
    </row>
    <row r="1148">
      <c r="A1148" s="159"/>
      <c r="B1148" s="160"/>
    </row>
    <row r="1149">
      <c r="A1149" s="159"/>
      <c r="B1149" s="160"/>
    </row>
    <row r="1150">
      <c r="A1150" s="159"/>
      <c r="B1150" s="160"/>
    </row>
    <row r="1151">
      <c r="A1151" s="159"/>
      <c r="B1151" s="160"/>
    </row>
    <row r="1152">
      <c r="A1152" s="159"/>
      <c r="B1152" s="160"/>
    </row>
    <row r="1153">
      <c r="A1153" s="159"/>
      <c r="B1153" s="160"/>
    </row>
    <row r="1154">
      <c r="A1154" s="159"/>
      <c r="B1154" s="160"/>
    </row>
    <row r="1155">
      <c r="A1155" s="159"/>
      <c r="B1155" s="160"/>
    </row>
    <row r="1156">
      <c r="A1156" s="159"/>
      <c r="B1156" s="160"/>
    </row>
    <row r="1157">
      <c r="A1157" s="159"/>
      <c r="B1157" s="160"/>
    </row>
    <row r="1158">
      <c r="A1158" s="159"/>
      <c r="B1158" s="160"/>
    </row>
    <row r="1159">
      <c r="A1159" s="159"/>
      <c r="B1159" s="160"/>
    </row>
    <row r="1160">
      <c r="A1160" s="159"/>
      <c r="B1160" s="160"/>
    </row>
    <row r="1161">
      <c r="A1161" s="159"/>
      <c r="B1161" s="160"/>
    </row>
    <row r="1162">
      <c r="A1162" s="159"/>
      <c r="B1162" s="160"/>
    </row>
    <row r="1163">
      <c r="A1163" s="159"/>
      <c r="B1163" s="160"/>
    </row>
    <row r="1164">
      <c r="A1164" s="159"/>
      <c r="B1164" s="160"/>
    </row>
    <row r="1165">
      <c r="A1165" s="159"/>
      <c r="B1165" s="160"/>
    </row>
    <row r="1166">
      <c r="A1166" s="159"/>
      <c r="B1166" s="160"/>
    </row>
    <row r="1167">
      <c r="A1167" s="159"/>
      <c r="B1167" s="160"/>
    </row>
    <row r="1168">
      <c r="A1168" s="159"/>
      <c r="B1168" s="160"/>
    </row>
    <row r="1169">
      <c r="A1169" s="159"/>
      <c r="B1169" s="160"/>
    </row>
    <row r="1170">
      <c r="A1170" s="159"/>
      <c r="B1170" s="160"/>
    </row>
    <row r="1171">
      <c r="A1171" s="159"/>
      <c r="B1171" s="160"/>
    </row>
    <row r="1172">
      <c r="A1172" s="159"/>
      <c r="B1172" s="160"/>
    </row>
    <row r="1173">
      <c r="A1173" s="159"/>
      <c r="B1173" s="160"/>
    </row>
    <row r="1174">
      <c r="A1174" s="159"/>
      <c r="B1174" s="160"/>
    </row>
    <row r="1175">
      <c r="A1175" s="159"/>
      <c r="B1175" s="160"/>
    </row>
    <row r="1176">
      <c r="A1176" s="159"/>
      <c r="B1176" s="160"/>
    </row>
    <row r="1177">
      <c r="A1177" s="159"/>
      <c r="B1177" s="160"/>
    </row>
    <row r="1178">
      <c r="A1178" s="159"/>
      <c r="B1178" s="160"/>
    </row>
    <row r="1179">
      <c r="A1179" s="159"/>
      <c r="B1179" s="160"/>
    </row>
    <row r="1180">
      <c r="A1180" s="159"/>
      <c r="B1180" s="160"/>
    </row>
    <row r="1181">
      <c r="A1181" s="159"/>
      <c r="B1181" s="160"/>
    </row>
    <row r="1182">
      <c r="A1182" s="159"/>
      <c r="B1182" s="160"/>
    </row>
    <row r="1183">
      <c r="A1183" s="159"/>
      <c r="B1183" s="160"/>
    </row>
    <row r="1184">
      <c r="A1184" s="159"/>
      <c r="B1184" s="160"/>
    </row>
    <row r="1185">
      <c r="A1185" s="159"/>
      <c r="B1185" s="160"/>
    </row>
    <row r="1186">
      <c r="A1186" s="159"/>
      <c r="B1186" s="160"/>
    </row>
    <row r="1187">
      <c r="A1187" s="159"/>
      <c r="B1187" s="160"/>
    </row>
    <row r="1188">
      <c r="A1188" s="159"/>
      <c r="B1188" s="160"/>
    </row>
    <row r="1189">
      <c r="A1189" s="159"/>
      <c r="B1189" s="160"/>
    </row>
    <row r="1190">
      <c r="A1190" s="159"/>
      <c r="B1190" s="160"/>
    </row>
    <row r="1191">
      <c r="A1191" s="159"/>
      <c r="B1191" s="160"/>
    </row>
    <row r="1192">
      <c r="A1192" s="159"/>
      <c r="B1192" s="160"/>
    </row>
    <row r="1193">
      <c r="A1193" s="159"/>
      <c r="B1193" s="160"/>
    </row>
    <row r="1194">
      <c r="A1194" s="159"/>
      <c r="B1194" s="160"/>
    </row>
    <row r="1195">
      <c r="A1195" s="159"/>
      <c r="B1195" s="160"/>
    </row>
    <row r="1196">
      <c r="A1196" s="159"/>
      <c r="B1196" s="160"/>
    </row>
    <row r="1197">
      <c r="A1197" s="159"/>
      <c r="B1197" s="160"/>
    </row>
    <row r="1198">
      <c r="A1198" s="159"/>
      <c r="B1198" s="160"/>
    </row>
    <row r="1199">
      <c r="A1199" s="159"/>
      <c r="B1199" s="160"/>
    </row>
    <row r="1200">
      <c r="A1200" s="159"/>
      <c r="B1200" s="160"/>
    </row>
    <row r="1201">
      <c r="A1201" s="159"/>
      <c r="B1201" s="160"/>
    </row>
    <row r="1202">
      <c r="A1202" s="159"/>
      <c r="B1202" s="160"/>
    </row>
    <row r="1203">
      <c r="A1203" s="159"/>
      <c r="B1203" s="160"/>
    </row>
    <row r="1204">
      <c r="A1204" s="159"/>
      <c r="B1204" s="160"/>
    </row>
    <row r="1205">
      <c r="A1205" s="159"/>
      <c r="B1205" s="160"/>
    </row>
    <row r="1206">
      <c r="A1206" s="159"/>
      <c r="B1206" s="160"/>
    </row>
    <row r="1207">
      <c r="A1207" s="159"/>
      <c r="B1207" s="160"/>
    </row>
    <row r="1208">
      <c r="A1208" s="159"/>
      <c r="B1208" s="160"/>
    </row>
    <row r="1209">
      <c r="A1209" s="159"/>
      <c r="B1209" s="160"/>
    </row>
    <row r="1210">
      <c r="A1210" s="159"/>
      <c r="B1210" s="160"/>
    </row>
    <row r="1211">
      <c r="A1211" s="159"/>
      <c r="B1211" s="160"/>
    </row>
    <row r="1212">
      <c r="A1212" s="159"/>
      <c r="B1212" s="160"/>
    </row>
    <row r="1213">
      <c r="A1213" s="159"/>
      <c r="B1213" s="160"/>
    </row>
    <row r="1214">
      <c r="A1214" s="159"/>
      <c r="B1214" s="160"/>
    </row>
    <row r="1215">
      <c r="A1215" s="159"/>
      <c r="B1215" s="160"/>
    </row>
    <row r="1216">
      <c r="A1216" s="159"/>
      <c r="B1216" s="160"/>
    </row>
    <row r="1217">
      <c r="A1217" s="159"/>
      <c r="B1217" s="160"/>
    </row>
    <row r="1218">
      <c r="A1218" s="159"/>
      <c r="B1218" s="160"/>
    </row>
    <row r="1219">
      <c r="A1219" s="159"/>
      <c r="B1219" s="160"/>
    </row>
    <row r="1220">
      <c r="A1220" s="159"/>
      <c r="B1220" s="160"/>
    </row>
    <row r="1221">
      <c r="A1221" s="159"/>
      <c r="B1221" s="160"/>
    </row>
    <row r="1222">
      <c r="A1222" s="159"/>
      <c r="B1222" s="160"/>
    </row>
    <row r="1223">
      <c r="A1223" s="159"/>
      <c r="B1223" s="160"/>
    </row>
    <row r="1224">
      <c r="A1224" s="159"/>
      <c r="B1224" s="160"/>
    </row>
    <row r="1225">
      <c r="A1225" s="159"/>
      <c r="B1225" s="160"/>
    </row>
    <row r="1226">
      <c r="A1226" s="159"/>
      <c r="B1226" s="160"/>
    </row>
    <row r="1227">
      <c r="A1227" s="159"/>
      <c r="B1227" s="160"/>
    </row>
    <row r="1228">
      <c r="A1228" s="159"/>
      <c r="B1228" s="160"/>
    </row>
    <row r="1229">
      <c r="A1229" s="159"/>
      <c r="B1229" s="160"/>
    </row>
    <row r="1230">
      <c r="A1230" s="159"/>
      <c r="B1230" s="160"/>
    </row>
    <row r="1231">
      <c r="A1231" s="159"/>
      <c r="B1231" s="160"/>
    </row>
    <row r="1232">
      <c r="A1232" s="159"/>
      <c r="B1232" s="160"/>
    </row>
    <row r="1233">
      <c r="A1233" s="159"/>
      <c r="B1233" s="160"/>
    </row>
    <row r="1234">
      <c r="A1234" s="159"/>
      <c r="B1234" s="160"/>
    </row>
    <row r="1235">
      <c r="A1235" s="159"/>
      <c r="B1235" s="160"/>
    </row>
    <row r="1236">
      <c r="A1236" s="159"/>
      <c r="B1236" s="160"/>
    </row>
    <row r="1237">
      <c r="A1237" s="159"/>
      <c r="B1237" s="160"/>
    </row>
    <row r="1238">
      <c r="A1238" s="159"/>
      <c r="B1238" s="160"/>
    </row>
    <row r="1239">
      <c r="A1239" s="159"/>
      <c r="B1239" s="160"/>
    </row>
    <row r="1240">
      <c r="A1240" s="159"/>
      <c r="B1240" s="160"/>
    </row>
    <row r="1241">
      <c r="A1241" s="159"/>
      <c r="B1241" s="160"/>
    </row>
    <row r="1242">
      <c r="A1242" s="159"/>
      <c r="B1242" s="160"/>
    </row>
    <row r="1243">
      <c r="A1243" s="159"/>
      <c r="B1243" s="160"/>
    </row>
    <row r="1244">
      <c r="A1244" s="159"/>
      <c r="B1244" s="160"/>
    </row>
    <row r="1245">
      <c r="A1245" s="159"/>
      <c r="B1245" s="160"/>
    </row>
    <row r="1246">
      <c r="A1246" s="159"/>
      <c r="B1246" s="160"/>
    </row>
    <row r="1247">
      <c r="A1247" s="159"/>
      <c r="B1247" s="160"/>
    </row>
    <row r="1248">
      <c r="A1248" s="159"/>
      <c r="B1248" s="160"/>
    </row>
    <row r="1249">
      <c r="A1249" s="159"/>
      <c r="B1249" s="160"/>
    </row>
    <row r="1250">
      <c r="A1250" s="159"/>
      <c r="B1250" s="160"/>
    </row>
    <row r="1251">
      <c r="A1251" s="159"/>
      <c r="B1251" s="160"/>
    </row>
    <row r="1252">
      <c r="A1252" s="159"/>
      <c r="B1252" s="160"/>
    </row>
    <row r="1253">
      <c r="A1253" s="159"/>
      <c r="B1253" s="160"/>
    </row>
    <row r="1254">
      <c r="A1254" s="159"/>
      <c r="B1254" s="160"/>
    </row>
    <row r="1255">
      <c r="A1255" s="159"/>
      <c r="B1255" s="160"/>
    </row>
    <row r="1256">
      <c r="A1256" s="159"/>
      <c r="B1256" s="160"/>
    </row>
    <row r="1257">
      <c r="A1257" s="159"/>
      <c r="B1257" s="160"/>
    </row>
    <row r="1258">
      <c r="A1258" s="159"/>
      <c r="B1258" s="160"/>
    </row>
    <row r="1259">
      <c r="A1259" s="159"/>
      <c r="B1259" s="160"/>
    </row>
    <row r="1260">
      <c r="A1260" s="159"/>
      <c r="B1260" s="160"/>
    </row>
    <row r="1261">
      <c r="A1261" s="159"/>
      <c r="B1261" s="160"/>
    </row>
    <row r="1262">
      <c r="A1262" s="159"/>
      <c r="B1262" s="160"/>
    </row>
    <row r="1263">
      <c r="A1263" s="159"/>
      <c r="B1263" s="160"/>
    </row>
    <row r="1264">
      <c r="A1264" s="159"/>
      <c r="B1264" s="160"/>
    </row>
    <row r="1265">
      <c r="A1265" s="159"/>
      <c r="B1265" s="160"/>
    </row>
    <row r="1266">
      <c r="A1266" s="159"/>
      <c r="B1266" s="160"/>
    </row>
    <row r="1267">
      <c r="A1267" s="159"/>
      <c r="B1267" s="160"/>
    </row>
    <row r="1268">
      <c r="A1268" s="159"/>
      <c r="B1268" s="160"/>
    </row>
    <row r="1269">
      <c r="A1269" s="159"/>
      <c r="B1269" s="160"/>
    </row>
    <row r="1270">
      <c r="A1270" s="159"/>
      <c r="B1270" s="160"/>
    </row>
    <row r="1271">
      <c r="A1271" s="159"/>
      <c r="B1271" s="160"/>
    </row>
    <row r="1272">
      <c r="A1272" s="159"/>
      <c r="B1272" s="160"/>
    </row>
    <row r="1273">
      <c r="A1273" s="159"/>
      <c r="B1273" s="160"/>
    </row>
    <row r="1274">
      <c r="A1274" s="159"/>
      <c r="B1274" s="160"/>
    </row>
    <row r="1275">
      <c r="A1275" s="159"/>
      <c r="B1275" s="160"/>
    </row>
    <row r="1276">
      <c r="A1276" s="159"/>
      <c r="B1276" s="160"/>
    </row>
    <row r="1277">
      <c r="A1277" s="159"/>
      <c r="B1277" s="160"/>
    </row>
    <row r="1278">
      <c r="A1278" s="159"/>
      <c r="B1278" s="160"/>
    </row>
    <row r="1279">
      <c r="A1279" s="159"/>
      <c r="B1279" s="160"/>
    </row>
    <row r="1280">
      <c r="A1280" s="159"/>
      <c r="B1280" s="160"/>
    </row>
    <row r="1281">
      <c r="A1281" s="159"/>
      <c r="B1281" s="160"/>
    </row>
    <row r="1282">
      <c r="A1282" s="159"/>
      <c r="B1282" s="160"/>
    </row>
    <row r="1283">
      <c r="A1283" s="159"/>
      <c r="B1283" s="160"/>
    </row>
    <row r="1284">
      <c r="A1284" s="159"/>
      <c r="B1284" s="160"/>
    </row>
    <row r="1285">
      <c r="A1285" s="159"/>
      <c r="B1285" s="160"/>
    </row>
    <row r="1286">
      <c r="A1286" s="159"/>
      <c r="B1286" s="160"/>
    </row>
    <row r="1287">
      <c r="A1287" s="159"/>
      <c r="B1287" s="160"/>
    </row>
    <row r="1288">
      <c r="A1288" s="159"/>
      <c r="B1288" s="160"/>
    </row>
    <row r="1289">
      <c r="A1289" s="159"/>
      <c r="B1289" s="160"/>
    </row>
    <row r="1290">
      <c r="A1290" s="159"/>
      <c r="B1290" s="160"/>
    </row>
    <row r="1291">
      <c r="A1291" s="159"/>
      <c r="B1291" s="160"/>
    </row>
    <row r="1292">
      <c r="A1292" s="159"/>
      <c r="B1292" s="160"/>
    </row>
    <row r="1293">
      <c r="A1293" s="159"/>
      <c r="B1293" s="160"/>
    </row>
    <row r="1294">
      <c r="A1294" s="159"/>
      <c r="B1294" s="160"/>
    </row>
    <row r="1295">
      <c r="A1295" s="159"/>
      <c r="B1295" s="160"/>
    </row>
    <row r="1296">
      <c r="A1296" s="159"/>
      <c r="B1296" s="160"/>
    </row>
    <row r="1297">
      <c r="A1297" s="159"/>
      <c r="B1297" s="160"/>
    </row>
    <row r="1298">
      <c r="A1298" s="159"/>
      <c r="B1298" s="160"/>
    </row>
    <row r="1299">
      <c r="A1299" s="159"/>
      <c r="B1299" s="160"/>
    </row>
    <row r="1300">
      <c r="A1300" s="159"/>
      <c r="B1300" s="160"/>
    </row>
    <row r="1301">
      <c r="A1301" s="159"/>
      <c r="B1301" s="160"/>
    </row>
    <row r="1302">
      <c r="A1302" s="159"/>
      <c r="B1302" s="160"/>
    </row>
    <row r="1303">
      <c r="A1303" s="159"/>
      <c r="B1303" s="160"/>
    </row>
    <row r="1304">
      <c r="A1304" s="159"/>
      <c r="B1304" s="160"/>
    </row>
    <row r="1305">
      <c r="A1305" s="159"/>
      <c r="B1305" s="160"/>
    </row>
    <row r="1306">
      <c r="A1306" s="159"/>
      <c r="B1306" s="160"/>
    </row>
    <row r="1307">
      <c r="A1307" s="159"/>
      <c r="B1307" s="160"/>
    </row>
    <row r="1308">
      <c r="A1308" s="159"/>
      <c r="B1308" s="160"/>
    </row>
    <row r="1309">
      <c r="A1309" s="159"/>
      <c r="B1309" s="160"/>
    </row>
    <row r="1310">
      <c r="A1310" s="159"/>
      <c r="B1310" s="160"/>
    </row>
    <row r="1311">
      <c r="A1311" s="159"/>
      <c r="B1311" s="160"/>
    </row>
    <row r="1312">
      <c r="A1312" s="159"/>
      <c r="B1312" s="160"/>
    </row>
    <row r="1313">
      <c r="A1313" s="159"/>
      <c r="B1313" s="160"/>
    </row>
    <row r="1314">
      <c r="A1314" s="159"/>
      <c r="B1314" s="160"/>
    </row>
    <row r="1315">
      <c r="A1315" s="159"/>
      <c r="B1315" s="160"/>
    </row>
    <row r="1316">
      <c r="A1316" s="159"/>
      <c r="B1316" s="160"/>
    </row>
    <row r="1317">
      <c r="A1317" s="159"/>
      <c r="B1317" s="160"/>
    </row>
    <row r="1318">
      <c r="A1318" s="159"/>
      <c r="B1318" s="160"/>
    </row>
    <row r="1319">
      <c r="A1319" s="159"/>
      <c r="B1319" s="160"/>
    </row>
    <row r="1320">
      <c r="A1320" s="159"/>
      <c r="B1320" s="160"/>
    </row>
    <row r="1321">
      <c r="A1321" s="159"/>
      <c r="B1321" s="160"/>
    </row>
    <row r="1322">
      <c r="A1322" s="159"/>
      <c r="B1322" s="160"/>
    </row>
    <row r="1323">
      <c r="A1323" s="159"/>
      <c r="B1323" s="160"/>
    </row>
    <row r="1324">
      <c r="A1324" s="159"/>
      <c r="B1324" s="160"/>
    </row>
    <row r="1325">
      <c r="A1325" s="159"/>
      <c r="B1325" s="160"/>
    </row>
    <row r="1326">
      <c r="A1326" s="159"/>
      <c r="B1326" s="160"/>
    </row>
    <row r="1327">
      <c r="A1327" s="159"/>
      <c r="B1327" s="160"/>
    </row>
    <row r="1328">
      <c r="A1328" s="159"/>
      <c r="B1328" s="160"/>
    </row>
    <row r="1329">
      <c r="A1329" s="159"/>
      <c r="B1329" s="160"/>
    </row>
    <row r="1330">
      <c r="A1330" s="159"/>
      <c r="B1330" s="160"/>
    </row>
    <row r="1331">
      <c r="A1331" s="159"/>
      <c r="B1331" s="160"/>
    </row>
    <row r="1332">
      <c r="A1332" s="159"/>
      <c r="B1332" s="160"/>
    </row>
    <row r="1333">
      <c r="A1333" s="159"/>
      <c r="B1333" s="160"/>
    </row>
    <row r="1334">
      <c r="A1334" s="159"/>
      <c r="B1334" s="160"/>
    </row>
    <row r="1335">
      <c r="A1335" s="159"/>
      <c r="B1335" s="160"/>
    </row>
    <row r="1336">
      <c r="A1336" s="159"/>
      <c r="B1336" s="160"/>
    </row>
    <row r="1337">
      <c r="A1337" s="159"/>
      <c r="B1337" s="160"/>
    </row>
    <row r="1338">
      <c r="A1338" s="159"/>
      <c r="B1338" s="160"/>
    </row>
    <row r="1339">
      <c r="A1339" s="159"/>
      <c r="B1339" s="160"/>
    </row>
    <row r="1340">
      <c r="A1340" s="159"/>
      <c r="B1340" s="160"/>
    </row>
    <row r="1341">
      <c r="A1341" s="159"/>
      <c r="B1341" s="160"/>
    </row>
    <row r="1342">
      <c r="A1342" s="159"/>
      <c r="B1342" s="160"/>
    </row>
    <row r="1343">
      <c r="A1343" s="159"/>
      <c r="B1343" s="160"/>
    </row>
    <row r="1344">
      <c r="A1344" s="159"/>
      <c r="B1344" s="160"/>
    </row>
    <row r="1345">
      <c r="A1345" s="159"/>
      <c r="B1345" s="160"/>
    </row>
    <row r="1346">
      <c r="A1346" s="159"/>
      <c r="B1346" s="160"/>
    </row>
    <row r="1347">
      <c r="A1347" s="159"/>
      <c r="B1347" s="160"/>
    </row>
    <row r="1348">
      <c r="A1348" s="159"/>
      <c r="B1348" s="160"/>
    </row>
    <row r="1349">
      <c r="A1349" s="159"/>
      <c r="B1349" s="160"/>
    </row>
    <row r="1350">
      <c r="A1350" s="159"/>
      <c r="B1350" s="160"/>
    </row>
    <row r="1351">
      <c r="A1351" s="159"/>
      <c r="B1351" s="160"/>
    </row>
    <row r="1352">
      <c r="A1352" s="159"/>
      <c r="B1352" s="160"/>
    </row>
    <row r="1353">
      <c r="A1353" s="159"/>
      <c r="B1353" s="160"/>
    </row>
    <row r="1354">
      <c r="A1354" s="159"/>
      <c r="B1354" s="160"/>
    </row>
    <row r="1355">
      <c r="A1355" s="159"/>
      <c r="B1355" s="160"/>
    </row>
    <row r="1356">
      <c r="A1356" s="159"/>
      <c r="B1356" s="160"/>
    </row>
    <row r="1357">
      <c r="A1357" s="159"/>
      <c r="B1357" s="160"/>
    </row>
    <row r="1358">
      <c r="A1358" s="159"/>
      <c r="B1358" s="160"/>
    </row>
    <row r="1359">
      <c r="A1359" s="159"/>
      <c r="B1359" s="160"/>
    </row>
    <row r="1360">
      <c r="A1360" s="159"/>
      <c r="B1360" s="160"/>
    </row>
    <row r="1361">
      <c r="A1361" s="159"/>
      <c r="B1361" s="160"/>
    </row>
    <row r="1362">
      <c r="A1362" s="159"/>
      <c r="B1362" s="160"/>
    </row>
    <row r="1363">
      <c r="A1363" s="159"/>
      <c r="B1363" s="160"/>
    </row>
    <row r="1364">
      <c r="A1364" s="159"/>
      <c r="B1364" s="160"/>
    </row>
    <row r="1365">
      <c r="A1365" s="159"/>
      <c r="B1365" s="160"/>
    </row>
    <row r="1366">
      <c r="A1366" s="159"/>
      <c r="B1366" s="160"/>
    </row>
    <row r="1367">
      <c r="A1367" s="159"/>
      <c r="B1367" s="160"/>
    </row>
    <row r="1368">
      <c r="A1368" s="159"/>
      <c r="B1368" s="160"/>
    </row>
    <row r="1369">
      <c r="A1369" s="159"/>
      <c r="B1369" s="160"/>
    </row>
    <row r="1370">
      <c r="A1370" s="159"/>
      <c r="B1370" s="160"/>
    </row>
    <row r="1371">
      <c r="A1371" s="159"/>
      <c r="B1371" s="160"/>
    </row>
    <row r="1372">
      <c r="A1372" s="159"/>
      <c r="B1372" s="160"/>
    </row>
    <row r="1373">
      <c r="A1373" s="159"/>
      <c r="B1373" s="160"/>
    </row>
    <row r="1374">
      <c r="A1374" s="159"/>
      <c r="B1374" s="160"/>
    </row>
    <row r="1375">
      <c r="A1375" s="159"/>
      <c r="B1375" s="160"/>
    </row>
    <row r="1376">
      <c r="A1376" s="159"/>
      <c r="B1376" s="160"/>
    </row>
    <row r="1377">
      <c r="A1377" s="159"/>
      <c r="B1377" s="160"/>
    </row>
    <row r="1378">
      <c r="A1378" s="159"/>
      <c r="B1378" s="160"/>
    </row>
    <row r="1379">
      <c r="A1379" s="159"/>
      <c r="B1379" s="160"/>
    </row>
    <row r="1380">
      <c r="A1380" s="159"/>
      <c r="B1380" s="160"/>
    </row>
    <row r="1381">
      <c r="A1381" s="159"/>
      <c r="B1381" s="160"/>
    </row>
    <row r="1382">
      <c r="A1382" s="159"/>
      <c r="B1382" s="160"/>
    </row>
    <row r="1383">
      <c r="A1383" s="159"/>
      <c r="B1383" s="160"/>
    </row>
    <row r="1384">
      <c r="A1384" s="159"/>
      <c r="B1384" s="160"/>
    </row>
    <row r="1385">
      <c r="A1385" s="159"/>
      <c r="B1385" s="160"/>
    </row>
    <row r="1386">
      <c r="A1386" s="159"/>
      <c r="B1386" s="160"/>
    </row>
    <row r="1387">
      <c r="A1387" s="159"/>
      <c r="B1387" s="160"/>
    </row>
    <row r="1388">
      <c r="A1388" s="159"/>
      <c r="B1388" s="160"/>
    </row>
    <row r="1389">
      <c r="A1389" s="159"/>
      <c r="B1389" s="160"/>
    </row>
    <row r="1390">
      <c r="A1390" s="159"/>
      <c r="B1390" s="160"/>
    </row>
    <row r="1391">
      <c r="A1391" s="159"/>
      <c r="B1391" s="160"/>
    </row>
    <row r="1392">
      <c r="A1392" s="159"/>
      <c r="B1392" s="160"/>
    </row>
    <row r="1393">
      <c r="A1393" s="159"/>
      <c r="B1393" s="160"/>
    </row>
    <row r="1394">
      <c r="A1394" s="159"/>
      <c r="B1394" s="160"/>
    </row>
    <row r="1395">
      <c r="A1395" s="159"/>
      <c r="B1395" s="160"/>
    </row>
    <row r="1396">
      <c r="A1396" s="159"/>
      <c r="B1396" s="158"/>
    </row>
    <row r="1397">
      <c r="A1397" s="159"/>
      <c r="B1397" s="160"/>
    </row>
    <row r="1398">
      <c r="A1398" s="159"/>
      <c r="B1398" s="160"/>
    </row>
    <row r="1399">
      <c r="A1399" s="159"/>
      <c r="B1399" s="160"/>
    </row>
    <row r="1400">
      <c r="A1400" s="159"/>
      <c r="B1400" s="160"/>
    </row>
    <row r="1401">
      <c r="A1401" s="159"/>
      <c r="B1401" s="160"/>
    </row>
    <row r="1402">
      <c r="A1402" s="159"/>
      <c r="B1402" s="160"/>
    </row>
    <row r="1403">
      <c r="A1403" s="159"/>
      <c r="B1403" s="160"/>
    </row>
    <row r="1404">
      <c r="A1404" s="159"/>
      <c r="B1404" s="160"/>
    </row>
    <row r="1405">
      <c r="A1405" s="159"/>
      <c r="B1405" s="160"/>
    </row>
    <row r="1406">
      <c r="A1406" s="159"/>
      <c r="B1406" s="160"/>
    </row>
    <row r="1407">
      <c r="A1407" s="159"/>
      <c r="B1407" s="158"/>
    </row>
    <row r="1408">
      <c r="A1408" s="159"/>
      <c r="B1408" s="158"/>
    </row>
    <row r="1409">
      <c r="A1409" s="159"/>
      <c r="B1409" s="158"/>
    </row>
    <row r="1410">
      <c r="A1410" s="159"/>
      <c r="B1410" s="158"/>
    </row>
    <row r="1411">
      <c r="A1411" s="159"/>
      <c r="B1411" s="158"/>
    </row>
    <row r="1412">
      <c r="A1412" s="159"/>
      <c r="B1412" s="158"/>
    </row>
    <row r="1413">
      <c r="A1413" s="159"/>
      <c r="B1413" s="158"/>
    </row>
    <row r="1414">
      <c r="A1414" s="159"/>
      <c r="B1414" s="158"/>
    </row>
    <row r="1415">
      <c r="A1415" s="159"/>
      <c r="B1415" s="158"/>
    </row>
    <row r="1416">
      <c r="A1416" s="159"/>
      <c r="B1416" s="158"/>
    </row>
    <row r="1417">
      <c r="A1417" s="159"/>
      <c r="B1417" s="158"/>
    </row>
    <row r="1418">
      <c r="A1418" s="159"/>
      <c r="B1418" s="160"/>
    </row>
    <row r="1419">
      <c r="A1419" s="159"/>
      <c r="B1419" s="160"/>
    </row>
    <row r="1420">
      <c r="A1420" s="159"/>
      <c r="B1420" s="160"/>
    </row>
    <row r="1421">
      <c r="A1421" s="159"/>
      <c r="B1421" s="160"/>
    </row>
    <row r="1422">
      <c r="A1422" s="159"/>
      <c r="B1422" s="160"/>
    </row>
    <row r="1423">
      <c r="A1423" s="159"/>
      <c r="B1423" s="160"/>
    </row>
    <row r="1424">
      <c r="A1424" s="159"/>
      <c r="B1424" s="160"/>
    </row>
    <row r="1425">
      <c r="A1425" s="159"/>
      <c r="B1425" s="160"/>
    </row>
    <row r="1426">
      <c r="A1426" s="159"/>
      <c r="B1426" s="158"/>
    </row>
    <row r="1427">
      <c r="A1427" s="159"/>
      <c r="B1427" s="160"/>
    </row>
    <row r="1428">
      <c r="A1428" s="159"/>
      <c r="B1428" s="160"/>
    </row>
    <row r="1429">
      <c r="A1429" s="159"/>
      <c r="B1429" s="160"/>
    </row>
    <row r="1430">
      <c r="A1430" s="159"/>
      <c r="B1430" s="158"/>
      <c r="D1430" s="158"/>
    </row>
    <row r="1431">
      <c r="A1431" s="159"/>
      <c r="B1431" s="158"/>
    </row>
    <row r="1432">
      <c r="A1432" s="159"/>
      <c r="B1432" s="163"/>
    </row>
    <row r="1433">
      <c r="A1433" s="159"/>
      <c r="B1433" s="160"/>
    </row>
    <row r="1434">
      <c r="A1434" s="159"/>
      <c r="B1434" s="160"/>
    </row>
    <row r="1435">
      <c r="A1435" s="159"/>
      <c r="B1435" s="158"/>
    </row>
    <row r="1436">
      <c r="A1436" s="159"/>
      <c r="B1436" s="160"/>
    </row>
    <row r="1437">
      <c r="A1437" s="159"/>
      <c r="B1437" s="160"/>
    </row>
    <row r="1438">
      <c r="A1438" s="159"/>
      <c r="B1438" s="158"/>
    </row>
    <row r="1439">
      <c r="A1439" s="159"/>
      <c r="B1439" s="158"/>
    </row>
    <row r="1440">
      <c r="A1440" s="159"/>
      <c r="B1440" s="158"/>
    </row>
    <row r="1441">
      <c r="A1441" s="159"/>
      <c r="B1441" s="158"/>
    </row>
    <row r="1442">
      <c r="A1442" s="159"/>
      <c r="B1442" s="158"/>
    </row>
    <row r="1443">
      <c r="A1443" s="159"/>
      <c r="B1443" s="158"/>
    </row>
    <row r="1444">
      <c r="A1444" s="159"/>
      <c r="B1444" s="158"/>
    </row>
    <row r="1445">
      <c r="A1445" s="159"/>
      <c r="B1445" s="158"/>
    </row>
    <row r="1446">
      <c r="A1446" s="159"/>
      <c r="B1446" s="158"/>
    </row>
    <row r="1447">
      <c r="A1447" s="159"/>
      <c r="B1447" s="158"/>
    </row>
    <row r="1448">
      <c r="A1448" s="159"/>
      <c r="B1448" s="158"/>
    </row>
    <row r="1449">
      <c r="A1449" s="159"/>
      <c r="B1449" s="158"/>
    </row>
    <row r="1450">
      <c r="A1450" s="159"/>
      <c r="B1450" s="158"/>
    </row>
    <row r="1451">
      <c r="A1451" s="159"/>
      <c r="B1451" s="158"/>
    </row>
    <row r="1452">
      <c r="A1452" s="159"/>
      <c r="B1452" s="158"/>
    </row>
    <row r="1453">
      <c r="A1453" s="159"/>
      <c r="B1453" s="158"/>
    </row>
    <row r="1454">
      <c r="A1454" s="159"/>
      <c r="B1454" s="158"/>
    </row>
    <row r="1455">
      <c r="A1455" s="159"/>
      <c r="B1455" s="158"/>
    </row>
    <row r="1456">
      <c r="A1456" s="159"/>
      <c r="B1456" s="158"/>
    </row>
    <row r="1457">
      <c r="A1457" s="159"/>
      <c r="B1457" s="158"/>
    </row>
    <row r="1458">
      <c r="A1458" s="159"/>
      <c r="B1458" s="158"/>
    </row>
    <row r="1459">
      <c r="A1459" s="159"/>
      <c r="B1459" s="158"/>
    </row>
    <row r="1460">
      <c r="A1460" s="159"/>
      <c r="B1460" s="162"/>
    </row>
    <row r="1461">
      <c r="A1461" s="159"/>
      <c r="B1461" s="164"/>
      <c r="D1461" s="164"/>
    </row>
    <row r="1462">
      <c r="A1462" s="159"/>
      <c r="B1462" s="158"/>
    </row>
    <row r="1463">
      <c r="A1463" s="159"/>
      <c r="B1463" s="158"/>
    </row>
    <row r="1464">
      <c r="A1464" s="159"/>
      <c r="B1464" s="158"/>
    </row>
    <row r="1465">
      <c r="A1465" s="159"/>
      <c r="B1465" s="158"/>
    </row>
    <row r="1466">
      <c r="A1466" s="159"/>
      <c r="B1466" s="160"/>
      <c r="C1466" s="158"/>
    </row>
    <row r="1467">
      <c r="A1467" s="159"/>
      <c r="B1467" s="160"/>
      <c r="C1467" s="158"/>
    </row>
    <row r="1468">
      <c r="A1468" s="159"/>
      <c r="B1468" s="160"/>
      <c r="C1468" s="158"/>
    </row>
    <row r="1469">
      <c r="A1469" s="159"/>
      <c r="B1469" s="160"/>
      <c r="C1469" s="158"/>
    </row>
    <row r="1470">
      <c r="A1470" s="159"/>
      <c r="B1470" s="160"/>
      <c r="C1470" s="158"/>
    </row>
    <row r="1471">
      <c r="A1471" s="159"/>
      <c r="B1471" s="160"/>
      <c r="C1471" s="158"/>
    </row>
    <row r="1472">
      <c r="A1472" s="159"/>
      <c r="B1472" s="160"/>
      <c r="C1472" s="158"/>
    </row>
    <row r="1473">
      <c r="A1473" s="159"/>
      <c r="B1473" s="160"/>
      <c r="C1473" s="158"/>
    </row>
    <row r="1474">
      <c r="A1474" s="159"/>
      <c r="B1474" s="160"/>
      <c r="C1474" s="158"/>
    </row>
    <row r="1475">
      <c r="A1475" s="159"/>
      <c r="B1475" s="160"/>
      <c r="C1475" s="158"/>
    </row>
    <row r="1476">
      <c r="A1476" s="159"/>
      <c r="B1476" s="160"/>
      <c r="C1476" s="158"/>
    </row>
    <row r="1477">
      <c r="A1477" s="159"/>
      <c r="B1477" s="160"/>
      <c r="C1477" s="158"/>
    </row>
    <row r="1478">
      <c r="A1478" s="159"/>
      <c r="B1478" s="160"/>
      <c r="C1478" s="158"/>
    </row>
    <row r="1479">
      <c r="A1479" s="159"/>
      <c r="B1479" s="160"/>
      <c r="C1479" s="158"/>
    </row>
    <row r="1480">
      <c r="A1480" s="159"/>
      <c r="B1480" s="160"/>
      <c r="C1480" s="158"/>
    </row>
    <row r="1481">
      <c r="A1481" s="159"/>
      <c r="B1481" s="160"/>
      <c r="C1481" s="158"/>
    </row>
    <row r="1482">
      <c r="A1482" s="159"/>
      <c r="B1482" s="160"/>
      <c r="C1482" s="158"/>
    </row>
    <row r="1483">
      <c r="A1483" s="159"/>
      <c r="B1483" s="160"/>
      <c r="C1483" s="158"/>
    </row>
    <row r="1484">
      <c r="A1484" s="159"/>
      <c r="B1484" s="160"/>
      <c r="C1484" s="158"/>
    </row>
    <row r="1485">
      <c r="A1485" s="159"/>
      <c r="B1485" s="160"/>
      <c r="C1485" s="158"/>
    </row>
    <row r="1486">
      <c r="A1486" s="159"/>
      <c r="B1486" s="160"/>
      <c r="C1486" s="158"/>
    </row>
    <row r="1487">
      <c r="A1487" s="159"/>
      <c r="B1487" s="160"/>
      <c r="C1487" s="158"/>
    </row>
    <row r="1488">
      <c r="A1488" s="159"/>
      <c r="B1488" s="160"/>
      <c r="C1488" s="158"/>
    </row>
    <row r="1489">
      <c r="A1489" s="159"/>
      <c r="B1489" s="160"/>
      <c r="C1489" s="158"/>
    </row>
    <row r="1490">
      <c r="A1490" s="159"/>
      <c r="B1490" s="160"/>
      <c r="C1490" s="158"/>
    </row>
    <row r="1491">
      <c r="A1491" s="159"/>
      <c r="B1491" s="160"/>
      <c r="C1491" s="158"/>
    </row>
    <row r="1492">
      <c r="A1492" s="159"/>
      <c r="B1492" s="160"/>
      <c r="C1492" s="158"/>
    </row>
    <row r="1493">
      <c r="A1493" s="159"/>
      <c r="B1493" s="160"/>
      <c r="C1493" s="158"/>
    </row>
    <row r="1494">
      <c r="A1494" s="159"/>
      <c r="B1494" s="160"/>
      <c r="C1494" s="158"/>
    </row>
    <row r="1495">
      <c r="A1495" s="159"/>
      <c r="B1495" s="160"/>
      <c r="C1495" s="158"/>
    </row>
    <row r="1496">
      <c r="A1496" s="159"/>
      <c r="B1496" s="160"/>
      <c r="C1496" s="158"/>
    </row>
    <row r="1497">
      <c r="A1497" s="159"/>
      <c r="B1497" s="160"/>
      <c r="C1497" s="158"/>
    </row>
    <row r="1498">
      <c r="A1498" s="159"/>
      <c r="B1498" s="160"/>
      <c r="C1498" s="158"/>
    </row>
    <row r="1499">
      <c r="A1499" s="159"/>
      <c r="B1499" s="160"/>
      <c r="C1499" s="158"/>
    </row>
    <row r="1500">
      <c r="A1500" s="159"/>
      <c r="B1500" s="160"/>
      <c r="C1500" s="158"/>
    </row>
    <row r="1501">
      <c r="A1501" s="159"/>
      <c r="B1501" s="160"/>
      <c r="C1501" s="158"/>
    </row>
    <row r="1502">
      <c r="A1502" s="159"/>
      <c r="B1502" s="160"/>
      <c r="C1502" s="158"/>
    </row>
    <row r="1503">
      <c r="A1503" s="159"/>
      <c r="B1503" s="160"/>
      <c r="C1503" s="158"/>
    </row>
    <row r="1504">
      <c r="A1504" s="159"/>
      <c r="B1504" s="160"/>
      <c r="C1504" s="158"/>
    </row>
    <row r="1505">
      <c r="A1505" s="159"/>
      <c r="B1505" s="160"/>
      <c r="C1505" s="158"/>
    </row>
    <row r="1506">
      <c r="A1506" s="159"/>
      <c r="B1506" s="160"/>
      <c r="C1506" s="158"/>
    </row>
    <row r="1507">
      <c r="A1507" s="159"/>
      <c r="B1507" s="160"/>
      <c r="C1507" s="158"/>
    </row>
    <row r="1508">
      <c r="A1508" s="159"/>
      <c r="B1508" s="160"/>
      <c r="C1508" s="158"/>
    </row>
    <row r="1509">
      <c r="A1509" s="159"/>
      <c r="B1509" s="160"/>
      <c r="C1509" s="158"/>
    </row>
    <row r="1510">
      <c r="A1510" s="159"/>
      <c r="B1510" s="160"/>
      <c r="C1510" s="158"/>
    </row>
    <row r="1511">
      <c r="A1511" s="159"/>
      <c r="B1511" s="160"/>
      <c r="C1511" s="158"/>
    </row>
    <row r="1512">
      <c r="A1512" s="159"/>
      <c r="B1512" s="160"/>
      <c r="C1512" s="158"/>
    </row>
    <row r="1513">
      <c r="A1513" s="159"/>
      <c r="B1513" s="160"/>
      <c r="C1513" s="158"/>
    </row>
    <row r="1514">
      <c r="A1514" s="159"/>
      <c r="B1514" s="160"/>
      <c r="C1514" s="158"/>
    </row>
    <row r="1515">
      <c r="A1515" s="159"/>
      <c r="B1515" s="160"/>
      <c r="C1515" s="158"/>
    </row>
    <row r="1516">
      <c r="A1516" s="159"/>
      <c r="B1516" s="160"/>
      <c r="C1516" s="158"/>
    </row>
    <row r="1517">
      <c r="A1517" s="159"/>
      <c r="B1517" s="160"/>
      <c r="C1517" s="158"/>
    </row>
    <row r="1518">
      <c r="A1518" s="159"/>
      <c r="B1518" s="160"/>
      <c r="C1518" s="158"/>
    </row>
    <row r="1519">
      <c r="A1519" s="159"/>
      <c r="B1519" s="160"/>
      <c r="C1519" s="158"/>
    </row>
    <row r="1520">
      <c r="A1520" s="159"/>
      <c r="B1520" s="160"/>
      <c r="C1520" s="158"/>
    </row>
    <row r="1521">
      <c r="A1521" s="159"/>
      <c r="B1521" s="160"/>
      <c r="C1521" s="158"/>
    </row>
    <row r="1522">
      <c r="A1522" s="159"/>
      <c r="B1522" s="160"/>
      <c r="C1522" s="158"/>
    </row>
    <row r="1523">
      <c r="A1523" s="159"/>
      <c r="B1523" s="160"/>
      <c r="C1523" s="158"/>
    </row>
    <row r="1524">
      <c r="A1524" s="159"/>
      <c r="B1524" s="160"/>
      <c r="C1524" s="158"/>
    </row>
    <row r="1525">
      <c r="A1525" s="159"/>
      <c r="B1525" s="160"/>
      <c r="C1525" s="158"/>
    </row>
    <row r="1526">
      <c r="A1526" s="159"/>
      <c r="B1526" s="160"/>
      <c r="C1526" s="158"/>
    </row>
    <row r="1527">
      <c r="A1527" s="159"/>
      <c r="B1527" s="160"/>
      <c r="C1527" s="158"/>
    </row>
    <row r="1528">
      <c r="A1528" s="159"/>
      <c r="B1528" s="160"/>
      <c r="C1528" s="158"/>
    </row>
    <row r="1529">
      <c r="A1529" s="159"/>
      <c r="B1529" s="160"/>
      <c r="C1529" s="158"/>
    </row>
    <row r="1530">
      <c r="A1530" s="159"/>
      <c r="B1530" s="160"/>
      <c r="C1530" s="158"/>
    </row>
    <row r="1531">
      <c r="A1531" s="159"/>
      <c r="B1531" s="160"/>
      <c r="C1531" s="158"/>
    </row>
    <row r="1532">
      <c r="A1532" s="159"/>
      <c r="B1532" s="160"/>
      <c r="C1532" s="158"/>
    </row>
    <row r="1533">
      <c r="A1533" s="159"/>
      <c r="B1533" s="160"/>
      <c r="C1533" s="158"/>
    </row>
    <row r="1534">
      <c r="A1534" s="159"/>
      <c r="B1534" s="160"/>
      <c r="C1534" s="158"/>
    </row>
    <row r="1535">
      <c r="A1535" s="159"/>
      <c r="B1535" s="160"/>
      <c r="C1535" s="158"/>
    </row>
    <row r="1536">
      <c r="A1536" s="159"/>
      <c r="B1536" s="160"/>
      <c r="C1536" s="158"/>
    </row>
    <row r="1537">
      <c r="A1537" s="159"/>
      <c r="B1537" s="160"/>
      <c r="C1537" s="158"/>
    </row>
    <row r="1538">
      <c r="A1538" s="159"/>
      <c r="B1538" s="160"/>
      <c r="C1538" s="158"/>
    </row>
    <row r="1539">
      <c r="A1539" s="159"/>
      <c r="B1539" s="160"/>
      <c r="C1539" s="158"/>
    </row>
    <row r="1540">
      <c r="A1540" s="159"/>
      <c r="B1540" s="160"/>
      <c r="C1540" s="158"/>
    </row>
    <row r="1541">
      <c r="A1541" s="159"/>
      <c r="B1541" s="160"/>
      <c r="C1541" s="158"/>
    </row>
    <row r="1542">
      <c r="A1542" s="159"/>
      <c r="B1542" s="160"/>
      <c r="C1542" s="158"/>
    </row>
    <row r="1543">
      <c r="A1543" s="159"/>
      <c r="B1543" s="160"/>
      <c r="C1543" s="158"/>
    </row>
    <row r="1544">
      <c r="A1544" s="159"/>
      <c r="B1544" s="160"/>
      <c r="C1544" s="158"/>
    </row>
    <row r="1545">
      <c r="A1545" s="159"/>
      <c r="B1545" s="160"/>
      <c r="C1545" s="158"/>
    </row>
    <row r="1546">
      <c r="A1546" s="159"/>
      <c r="B1546" s="160"/>
      <c r="C1546" s="158"/>
    </row>
    <row r="1547">
      <c r="A1547" s="159"/>
      <c r="B1547" s="160"/>
      <c r="C1547" s="158"/>
    </row>
    <row r="1548">
      <c r="A1548" s="159"/>
      <c r="B1548" s="160"/>
      <c r="C1548" s="158"/>
    </row>
    <row r="1549">
      <c r="A1549" s="159"/>
      <c r="B1549" s="160"/>
      <c r="C1549" s="158"/>
    </row>
    <row r="1550">
      <c r="A1550" s="159"/>
      <c r="B1550" s="160"/>
      <c r="C1550" s="158"/>
    </row>
    <row r="1551">
      <c r="A1551" s="159"/>
      <c r="B1551" s="160"/>
      <c r="C1551" s="158"/>
    </row>
    <row r="1552">
      <c r="A1552" s="159"/>
      <c r="B1552" s="160"/>
      <c r="C1552" s="158"/>
    </row>
    <row r="1553">
      <c r="A1553" s="159"/>
      <c r="B1553" s="160"/>
      <c r="C1553" s="158"/>
    </row>
    <row r="1554">
      <c r="A1554" s="159"/>
      <c r="B1554" s="160"/>
      <c r="C1554" s="158"/>
    </row>
    <row r="1555">
      <c r="A1555" s="159"/>
      <c r="B1555" s="160"/>
      <c r="C1555" s="158"/>
    </row>
    <row r="1556">
      <c r="A1556" s="159"/>
      <c r="B1556" s="160"/>
      <c r="C1556" s="158"/>
    </row>
    <row r="1557">
      <c r="A1557" s="159"/>
      <c r="B1557" s="160"/>
      <c r="C1557" s="158"/>
    </row>
    <row r="1558">
      <c r="A1558" s="159"/>
      <c r="B1558" s="160"/>
      <c r="C1558" s="158"/>
    </row>
    <row r="1559">
      <c r="A1559" s="159"/>
      <c r="B1559" s="160"/>
      <c r="C1559" s="158"/>
    </row>
    <row r="1560">
      <c r="A1560" s="159"/>
      <c r="B1560" s="160"/>
      <c r="C1560" s="158"/>
    </row>
    <row r="1561">
      <c r="A1561" s="159"/>
      <c r="B1561" s="160"/>
      <c r="C1561" s="158"/>
    </row>
    <row r="1562">
      <c r="A1562" s="159"/>
      <c r="B1562" s="160"/>
      <c r="C1562" s="158"/>
    </row>
    <row r="1563">
      <c r="A1563" s="159"/>
      <c r="B1563" s="160"/>
      <c r="C1563" s="158"/>
    </row>
    <row r="1564">
      <c r="A1564" s="159"/>
      <c r="B1564" s="160"/>
      <c r="C1564" s="158"/>
    </row>
    <row r="1565">
      <c r="A1565" s="159"/>
      <c r="B1565" s="160"/>
      <c r="C1565" s="158"/>
    </row>
    <row r="1566">
      <c r="A1566" s="159"/>
      <c r="B1566" s="160"/>
      <c r="C1566" s="158"/>
    </row>
    <row r="1567">
      <c r="A1567" s="159"/>
      <c r="B1567" s="160"/>
      <c r="C1567" s="158"/>
    </row>
    <row r="1568">
      <c r="A1568" s="159"/>
      <c r="B1568" s="160"/>
      <c r="C1568" s="158"/>
    </row>
    <row r="1569">
      <c r="A1569" s="159"/>
      <c r="B1569" s="160"/>
      <c r="C1569" s="158"/>
    </row>
    <row r="1570">
      <c r="A1570" s="159"/>
      <c r="B1570" s="160"/>
      <c r="C1570" s="158"/>
    </row>
    <row r="1571">
      <c r="A1571" s="159"/>
      <c r="B1571" s="160"/>
      <c r="C1571" s="158"/>
    </row>
    <row r="1572">
      <c r="A1572" s="159"/>
      <c r="B1572" s="160"/>
      <c r="C1572" s="158"/>
    </row>
    <row r="1573">
      <c r="A1573" s="159"/>
      <c r="B1573" s="160"/>
      <c r="C1573" s="158"/>
    </row>
    <row r="1574">
      <c r="A1574" s="159"/>
      <c r="B1574" s="160"/>
      <c r="C1574" s="158"/>
    </row>
    <row r="1575">
      <c r="A1575" s="159"/>
      <c r="B1575" s="160"/>
      <c r="C1575" s="158"/>
    </row>
    <row r="1576">
      <c r="A1576" s="159"/>
      <c r="B1576" s="160"/>
      <c r="C1576" s="158"/>
    </row>
    <row r="1577">
      <c r="A1577" s="159"/>
      <c r="B1577" s="160"/>
      <c r="C1577" s="158"/>
    </row>
    <row r="1578">
      <c r="A1578" s="159"/>
      <c r="B1578" s="160"/>
      <c r="C1578" s="158"/>
    </row>
    <row r="1579">
      <c r="A1579" s="159"/>
      <c r="B1579" s="160"/>
      <c r="C1579" s="158"/>
    </row>
    <row r="1580">
      <c r="A1580" s="159"/>
      <c r="B1580" s="160"/>
      <c r="C1580" s="158"/>
    </row>
    <row r="1581">
      <c r="A1581" s="159"/>
      <c r="B1581" s="160"/>
      <c r="C1581" s="158"/>
    </row>
    <row r="1582">
      <c r="A1582" s="159"/>
      <c r="B1582" s="160"/>
      <c r="C1582" s="158"/>
    </row>
    <row r="1583">
      <c r="A1583" s="159"/>
      <c r="B1583" s="160"/>
      <c r="C1583" s="158"/>
    </row>
    <row r="1584">
      <c r="A1584" s="159"/>
      <c r="B1584" s="160"/>
      <c r="C1584" s="158"/>
    </row>
    <row r="1585">
      <c r="A1585" s="159"/>
      <c r="B1585" s="160"/>
      <c r="C1585" s="158"/>
    </row>
    <row r="1586">
      <c r="A1586" s="159"/>
      <c r="B1586" s="160"/>
      <c r="C1586" s="158"/>
    </row>
    <row r="1587">
      <c r="A1587" s="159"/>
      <c r="B1587" s="160"/>
      <c r="C1587" s="158"/>
    </row>
    <row r="1588">
      <c r="A1588" s="159"/>
      <c r="B1588" s="160"/>
      <c r="C1588" s="158"/>
    </row>
    <row r="1589">
      <c r="A1589" s="159"/>
      <c r="B1589" s="160"/>
      <c r="C1589" s="158"/>
    </row>
    <row r="1590">
      <c r="A1590" s="159"/>
      <c r="B1590" s="160"/>
      <c r="C1590" s="158"/>
    </row>
    <row r="1591">
      <c r="A1591" s="159"/>
      <c r="B1591" s="160"/>
      <c r="C1591" s="158"/>
    </row>
    <row r="1592">
      <c r="A1592" s="159"/>
      <c r="B1592" s="160"/>
      <c r="C1592" s="158"/>
    </row>
    <row r="1593">
      <c r="A1593" s="159"/>
      <c r="B1593" s="160"/>
      <c r="C1593" s="158"/>
    </row>
    <row r="1594">
      <c r="A1594" s="159"/>
      <c r="B1594" s="160"/>
      <c r="C1594" s="158"/>
    </row>
    <row r="1595">
      <c r="A1595" s="159"/>
      <c r="B1595" s="160"/>
      <c r="C1595" s="158"/>
    </row>
    <row r="1596">
      <c r="A1596" s="159"/>
      <c r="B1596" s="160"/>
      <c r="C1596" s="158"/>
    </row>
    <row r="1597">
      <c r="A1597" s="159"/>
      <c r="B1597" s="160"/>
      <c r="C1597" s="158"/>
    </row>
    <row r="1598">
      <c r="A1598" s="159"/>
      <c r="B1598" s="160"/>
      <c r="C1598" s="158"/>
    </row>
    <row r="1599">
      <c r="A1599" s="159"/>
      <c r="B1599" s="160"/>
      <c r="C1599" s="158"/>
    </row>
    <row r="1600">
      <c r="A1600" s="159"/>
      <c r="B1600" s="160"/>
      <c r="C1600" s="158"/>
    </row>
    <row r="1601">
      <c r="A1601" s="159"/>
      <c r="B1601" s="160"/>
      <c r="C1601" s="158"/>
    </row>
    <row r="1602">
      <c r="A1602" s="159"/>
      <c r="B1602" s="160"/>
      <c r="C1602" s="158"/>
    </row>
    <row r="1603">
      <c r="A1603" s="159"/>
      <c r="B1603" s="160"/>
      <c r="C1603" s="158"/>
    </row>
    <row r="1604">
      <c r="A1604" s="159"/>
      <c r="B1604" s="160"/>
      <c r="C1604" s="158"/>
    </row>
    <row r="1605">
      <c r="A1605" s="159"/>
      <c r="B1605" s="160"/>
      <c r="C1605" s="158"/>
    </row>
    <row r="1606">
      <c r="A1606" s="159"/>
      <c r="B1606" s="160"/>
      <c r="C1606" s="158"/>
    </row>
    <row r="1607">
      <c r="A1607" s="159"/>
      <c r="B1607" s="160"/>
      <c r="C1607" s="158"/>
    </row>
    <row r="1608">
      <c r="A1608" s="159"/>
      <c r="B1608" s="160"/>
      <c r="C1608" s="158"/>
    </row>
    <row r="1609">
      <c r="A1609" s="159"/>
      <c r="B1609" s="160"/>
      <c r="C1609" s="158"/>
    </row>
    <row r="1610">
      <c r="A1610" s="159"/>
      <c r="B1610" s="160"/>
      <c r="C1610" s="158"/>
    </row>
    <row r="1611">
      <c r="A1611" s="159"/>
      <c r="B1611" s="160"/>
      <c r="C1611" s="158"/>
    </row>
    <row r="1612">
      <c r="A1612" s="159"/>
      <c r="B1612" s="158"/>
    </row>
    <row r="1613">
      <c r="A1613" s="159"/>
      <c r="B1613" s="158"/>
    </row>
    <row r="1614">
      <c r="A1614" s="159"/>
      <c r="B1614" s="158"/>
    </row>
    <row r="1615">
      <c r="A1615" s="159"/>
      <c r="B1615" s="158"/>
    </row>
    <row r="1616">
      <c r="A1616" s="159"/>
      <c r="B1616" s="158"/>
    </row>
    <row r="1617">
      <c r="A1617" s="159"/>
      <c r="B1617" s="158"/>
    </row>
    <row r="1618">
      <c r="A1618" s="159"/>
      <c r="B1618" s="158"/>
    </row>
    <row r="1619">
      <c r="A1619" s="159"/>
      <c r="B1619" s="158"/>
    </row>
    <row r="1620">
      <c r="A1620" s="159"/>
      <c r="B1620" s="158"/>
    </row>
    <row r="1621">
      <c r="A1621" s="159"/>
      <c r="B1621" s="158"/>
    </row>
    <row r="1622">
      <c r="A1622" s="159"/>
      <c r="B1622" s="158"/>
    </row>
    <row r="1623">
      <c r="A1623" s="159"/>
      <c r="B1623" s="158"/>
    </row>
    <row r="1624">
      <c r="A1624" s="159"/>
      <c r="B1624" s="158"/>
    </row>
    <row r="1625">
      <c r="A1625" s="159"/>
      <c r="B1625" s="158"/>
    </row>
    <row r="1626">
      <c r="A1626" s="159"/>
      <c r="B1626" s="158"/>
    </row>
    <row r="1627">
      <c r="A1627" s="159"/>
      <c r="B1627" s="158"/>
    </row>
    <row r="1628">
      <c r="A1628" s="159"/>
      <c r="B1628" s="158"/>
    </row>
    <row r="1629">
      <c r="A1629" s="159"/>
      <c r="B1629" s="158"/>
    </row>
    <row r="1630">
      <c r="A1630" s="159"/>
      <c r="B1630" s="158"/>
    </row>
    <row r="1631">
      <c r="A1631" s="159"/>
      <c r="B1631" s="158"/>
    </row>
    <row r="1632">
      <c r="A1632" s="159"/>
      <c r="B1632" s="158"/>
    </row>
    <row r="1633">
      <c r="A1633" s="159"/>
      <c r="B1633" s="158"/>
    </row>
    <row r="1634">
      <c r="A1634" s="159"/>
      <c r="B1634" s="158"/>
    </row>
    <row r="1635">
      <c r="A1635" s="159"/>
      <c r="B1635" s="158"/>
    </row>
    <row r="1636">
      <c r="A1636" s="159"/>
      <c r="B1636" s="158"/>
    </row>
    <row r="1637">
      <c r="A1637" s="159"/>
      <c r="B1637" s="158"/>
    </row>
    <row r="1638">
      <c r="A1638" s="159"/>
      <c r="B1638" s="158"/>
    </row>
    <row r="1639">
      <c r="A1639" s="159"/>
      <c r="B1639" s="158"/>
    </row>
    <row r="1640">
      <c r="A1640" s="159"/>
      <c r="B1640" s="158"/>
    </row>
    <row r="1641">
      <c r="A1641" s="159"/>
      <c r="B1641" s="158"/>
    </row>
    <row r="1642">
      <c r="A1642" s="159"/>
      <c r="B1642" s="158"/>
    </row>
    <row r="1643">
      <c r="A1643" s="159"/>
      <c r="B1643" s="158"/>
    </row>
    <row r="1644">
      <c r="A1644" s="159"/>
      <c r="B1644" s="158"/>
    </row>
    <row r="1645">
      <c r="A1645" s="159"/>
      <c r="B1645" s="158"/>
    </row>
    <row r="1646">
      <c r="A1646" s="159"/>
      <c r="B1646" s="158"/>
    </row>
    <row r="1647">
      <c r="A1647" s="159"/>
      <c r="B1647" s="158"/>
    </row>
    <row r="1648">
      <c r="A1648" s="159"/>
      <c r="B1648" s="158"/>
    </row>
    <row r="1649">
      <c r="A1649" s="159"/>
      <c r="B1649" s="158"/>
    </row>
    <row r="1650">
      <c r="A1650" s="159"/>
      <c r="B1650" s="158"/>
    </row>
    <row r="1651">
      <c r="A1651" s="159"/>
      <c r="B1651" s="158"/>
    </row>
    <row r="1652">
      <c r="A1652" s="159"/>
      <c r="B1652" s="158"/>
    </row>
    <row r="1653">
      <c r="A1653" s="159"/>
      <c r="B1653" s="158"/>
    </row>
    <row r="1654">
      <c r="A1654" s="159"/>
      <c r="B1654" s="158"/>
    </row>
    <row r="1655">
      <c r="A1655" s="159"/>
      <c r="B1655" s="158"/>
    </row>
    <row r="1656">
      <c r="A1656" s="159"/>
      <c r="B1656" s="158"/>
    </row>
    <row r="1657">
      <c r="A1657" s="159"/>
      <c r="B1657" s="158"/>
    </row>
    <row r="1658">
      <c r="A1658" s="159"/>
      <c r="B1658" s="158"/>
    </row>
    <row r="1659">
      <c r="A1659" s="159"/>
      <c r="B1659" s="158"/>
    </row>
    <row r="1660">
      <c r="A1660" s="159"/>
      <c r="B1660" s="158"/>
    </row>
    <row r="1661">
      <c r="A1661" s="159"/>
      <c r="B1661" s="158"/>
    </row>
    <row r="1662">
      <c r="A1662" s="159"/>
      <c r="B1662" s="158"/>
    </row>
    <row r="1663">
      <c r="A1663" s="159"/>
      <c r="B1663" s="158"/>
    </row>
    <row r="1664">
      <c r="A1664" s="159"/>
      <c r="B1664" s="158"/>
    </row>
    <row r="1665">
      <c r="A1665" s="159"/>
      <c r="B1665" s="158"/>
    </row>
    <row r="1666">
      <c r="A1666" s="159"/>
      <c r="B1666" s="158"/>
    </row>
    <row r="1667">
      <c r="A1667" s="159"/>
      <c r="B1667" s="158"/>
    </row>
    <row r="1668">
      <c r="A1668" s="159"/>
      <c r="B1668" s="158"/>
    </row>
    <row r="1669">
      <c r="A1669" s="159"/>
      <c r="B1669" s="158"/>
    </row>
    <row r="1670">
      <c r="A1670" s="159"/>
      <c r="B1670" s="158"/>
    </row>
    <row r="1671">
      <c r="A1671" s="159"/>
      <c r="B1671" s="158"/>
    </row>
    <row r="1672">
      <c r="A1672" s="159"/>
      <c r="B1672" s="158"/>
    </row>
    <row r="1673">
      <c r="A1673" s="159"/>
      <c r="B1673" s="158"/>
    </row>
    <row r="1674">
      <c r="A1674" s="159"/>
      <c r="B1674" s="158"/>
    </row>
    <row r="1675">
      <c r="A1675" s="159"/>
      <c r="B1675" s="158"/>
    </row>
    <row r="1676">
      <c r="A1676" s="159"/>
      <c r="B1676" s="158"/>
    </row>
    <row r="1677">
      <c r="A1677" s="159"/>
      <c r="B1677" s="158"/>
    </row>
    <row r="1678">
      <c r="A1678" s="159"/>
      <c r="B1678" s="158"/>
    </row>
    <row r="1679">
      <c r="A1679" s="159"/>
      <c r="B1679" s="158"/>
    </row>
    <row r="1680">
      <c r="A1680" s="159"/>
      <c r="B1680" s="158"/>
    </row>
    <row r="1681">
      <c r="A1681" s="159"/>
      <c r="B1681" s="158"/>
    </row>
    <row r="1682">
      <c r="A1682" s="159"/>
      <c r="B1682" s="158"/>
    </row>
    <row r="1683">
      <c r="A1683" s="159"/>
      <c r="B1683" s="158"/>
    </row>
    <row r="1684">
      <c r="A1684" s="159"/>
      <c r="B1684" s="158"/>
    </row>
    <row r="1685">
      <c r="A1685" s="159"/>
      <c r="B1685" s="158"/>
    </row>
    <row r="1686">
      <c r="A1686" s="159"/>
      <c r="B1686" s="158"/>
    </row>
    <row r="1687">
      <c r="A1687" s="159"/>
      <c r="B1687" s="158"/>
    </row>
    <row r="1688">
      <c r="A1688" s="159"/>
      <c r="B1688" s="158"/>
    </row>
    <row r="1689">
      <c r="A1689" s="159"/>
      <c r="B1689" s="158"/>
    </row>
    <row r="1690">
      <c r="A1690" s="159"/>
      <c r="B1690" s="158"/>
    </row>
    <row r="1691">
      <c r="A1691" s="159"/>
      <c r="B1691" s="158"/>
    </row>
    <row r="1692">
      <c r="A1692" s="159"/>
      <c r="B1692" s="158"/>
    </row>
    <row r="1693">
      <c r="A1693" s="159"/>
      <c r="B1693" s="158"/>
    </row>
    <row r="1694">
      <c r="A1694" s="159"/>
      <c r="B1694" s="158"/>
    </row>
    <row r="1695">
      <c r="A1695" s="159"/>
      <c r="B1695" s="158"/>
    </row>
    <row r="1696">
      <c r="A1696" s="159"/>
      <c r="B1696" s="158"/>
    </row>
    <row r="1697">
      <c r="A1697" s="159"/>
      <c r="B1697" s="158"/>
    </row>
    <row r="1698">
      <c r="A1698" s="159"/>
      <c r="B1698" s="158"/>
    </row>
    <row r="1699">
      <c r="A1699" s="159"/>
      <c r="B1699" s="158"/>
    </row>
    <row r="1700">
      <c r="A1700" s="159"/>
      <c r="B1700" s="158"/>
    </row>
    <row r="1701">
      <c r="A1701" s="159"/>
      <c r="B1701" s="158"/>
    </row>
    <row r="1702">
      <c r="A1702" s="159"/>
      <c r="B1702" s="158"/>
    </row>
    <row r="1703">
      <c r="A1703" s="159"/>
      <c r="B1703" s="158"/>
    </row>
    <row r="1704">
      <c r="A1704" s="159"/>
      <c r="B1704" s="158"/>
    </row>
    <row r="1705">
      <c r="A1705" s="159"/>
      <c r="B1705" s="158"/>
    </row>
    <row r="1706">
      <c r="A1706" s="159"/>
      <c r="B1706" s="158"/>
    </row>
    <row r="1707">
      <c r="A1707" s="159"/>
      <c r="B1707" s="158"/>
    </row>
    <row r="1708">
      <c r="A1708" s="159"/>
      <c r="B1708" s="158"/>
    </row>
    <row r="1709">
      <c r="A1709" s="159"/>
      <c r="B1709" s="158"/>
    </row>
    <row r="1710">
      <c r="A1710" s="159"/>
      <c r="B1710" s="158"/>
    </row>
    <row r="1711">
      <c r="A1711" s="159"/>
      <c r="B1711" s="158"/>
    </row>
    <row r="1712">
      <c r="A1712" s="159"/>
      <c r="B1712" s="158"/>
    </row>
    <row r="1713">
      <c r="A1713" s="159"/>
      <c r="B1713" s="158"/>
    </row>
    <row r="1714">
      <c r="A1714" s="159"/>
      <c r="B1714" s="158"/>
    </row>
    <row r="1715">
      <c r="A1715" s="159"/>
      <c r="B1715" s="158"/>
    </row>
    <row r="1716">
      <c r="A1716" s="159"/>
      <c r="B1716" s="158"/>
    </row>
    <row r="1717">
      <c r="A1717" s="159"/>
      <c r="B1717" s="158"/>
    </row>
    <row r="1718">
      <c r="A1718" s="159"/>
      <c r="B1718" s="158"/>
    </row>
    <row r="1719">
      <c r="A1719" s="159"/>
      <c r="B1719" s="158"/>
    </row>
    <row r="1720">
      <c r="A1720" s="159"/>
      <c r="B1720" s="158"/>
    </row>
    <row r="1721">
      <c r="A1721" s="159"/>
      <c r="B1721" s="158"/>
    </row>
    <row r="1722">
      <c r="A1722" s="159"/>
      <c r="B1722" s="158"/>
    </row>
    <row r="1723">
      <c r="A1723" s="159"/>
      <c r="B1723" s="158"/>
    </row>
    <row r="1724">
      <c r="A1724" s="159"/>
      <c r="B1724" s="158"/>
    </row>
    <row r="1725">
      <c r="A1725" s="159"/>
      <c r="B1725" s="158"/>
    </row>
    <row r="1726">
      <c r="A1726" s="159"/>
      <c r="B1726" s="158"/>
    </row>
    <row r="1727">
      <c r="A1727" s="159"/>
      <c r="B1727" s="158"/>
    </row>
    <row r="1728">
      <c r="A1728" s="159"/>
      <c r="B1728" s="158"/>
    </row>
    <row r="1729">
      <c r="A1729" s="159"/>
      <c r="B1729" s="158"/>
    </row>
    <row r="1730">
      <c r="A1730" s="159"/>
      <c r="B1730" s="158"/>
    </row>
    <row r="1731">
      <c r="A1731" s="159"/>
      <c r="B1731" s="158"/>
    </row>
    <row r="1732">
      <c r="A1732" s="159"/>
      <c r="B1732" s="158"/>
    </row>
    <row r="1733">
      <c r="A1733" s="159"/>
      <c r="B1733" s="158"/>
    </row>
    <row r="1734">
      <c r="A1734" s="159"/>
      <c r="B1734" s="158"/>
    </row>
    <row r="1735">
      <c r="A1735" s="159"/>
      <c r="B1735" s="158"/>
    </row>
    <row r="1736">
      <c r="A1736" s="159"/>
      <c r="B1736" s="158"/>
    </row>
    <row r="1737">
      <c r="A1737" s="159"/>
      <c r="B1737" s="158"/>
    </row>
    <row r="1738">
      <c r="A1738" s="159"/>
      <c r="B1738" s="158"/>
    </row>
    <row r="1739">
      <c r="A1739" s="159"/>
      <c r="B1739" s="158"/>
    </row>
    <row r="1740">
      <c r="A1740" s="159"/>
      <c r="B1740" s="158"/>
    </row>
    <row r="1741">
      <c r="A1741" s="159"/>
      <c r="B1741" s="158"/>
    </row>
    <row r="1742">
      <c r="A1742" s="159"/>
      <c r="B1742" s="158"/>
    </row>
    <row r="1743">
      <c r="A1743" s="159"/>
      <c r="B1743" s="158"/>
    </row>
    <row r="1744">
      <c r="A1744" s="159"/>
      <c r="B1744" s="158"/>
    </row>
    <row r="1745">
      <c r="A1745" s="159"/>
      <c r="B1745" s="158"/>
    </row>
    <row r="1746">
      <c r="A1746" s="159"/>
      <c r="B1746" s="158"/>
    </row>
    <row r="1747">
      <c r="A1747" s="159"/>
      <c r="B1747" s="158"/>
    </row>
    <row r="1748">
      <c r="A1748" s="159"/>
      <c r="B1748" s="158"/>
    </row>
    <row r="1749">
      <c r="A1749" s="159"/>
      <c r="B1749" s="158"/>
    </row>
    <row r="1750">
      <c r="A1750" s="159"/>
      <c r="B1750" s="158"/>
    </row>
    <row r="1751">
      <c r="A1751" s="159"/>
      <c r="B1751" s="158"/>
    </row>
    <row r="1752">
      <c r="A1752" s="159"/>
      <c r="B1752" s="158"/>
    </row>
    <row r="1753">
      <c r="A1753" s="159"/>
      <c r="B1753" s="158"/>
    </row>
    <row r="1754">
      <c r="A1754" s="159"/>
      <c r="B1754" s="158"/>
    </row>
    <row r="1755">
      <c r="A1755" s="159"/>
      <c r="B1755" s="158"/>
    </row>
    <row r="1756">
      <c r="A1756" s="159"/>
      <c r="B1756" s="158"/>
    </row>
    <row r="1757">
      <c r="A1757" s="159"/>
      <c r="B1757" s="158"/>
    </row>
    <row r="1758">
      <c r="A1758" s="159"/>
      <c r="B1758" s="158"/>
    </row>
    <row r="1759">
      <c r="A1759" s="159"/>
      <c r="B1759" s="158"/>
    </row>
    <row r="1760">
      <c r="A1760" s="159"/>
      <c r="B1760" s="158"/>
    </row>
    <row r="1761">
      <c r="A1761" s="159"/>
      <c r="B1761" s="158"/>
    </row>
    <row r="1762">
      <c r="A1762" s="159"/>
      <c r="B1762" s="158"/>
    </row>
    <row r="1763">
      <c r="A1763" s="159"/>
      <c r="B1763" s="158"/>
    </row>
    <row r="1764">
      <c r="A1764" s="159"/>
      <c r="B1764" s="158"/>
    </row>
    <row r="1765">
      <c r="A1765" s="159"/>
      <c r="B1765" s="158"/>
    </row>
    <row r="1766">
      <c r="A1766" s="159"/>
      <c r="B1766" s="158"/>
    </row>
    <row r="1767">
      <c r="A1767" s="159"/>
      <c r="B1767" s="158"/>
    </row>
    <row r="1768">
      <c r="A1768" s="159"/>
      <c r="B1768" s="158"/>
    </row>
    <row r="1769">
      <c r="A1769" s="159"/>
      <c r="B1769" s="158"/>
    </row>
    <row r="1770">
      <c r="A1770" s="159"/>
      <c r="B1770" s="158"/>
    </row>
    <row r="1771">
      <c r="A1771" s="159"/>
      <c r="B1771" s="158"/>
    </row>
    <row r="1772">
      <c r="A1772" s="159"/>
      <c r="B1772" s="158"/>
    </row>
    <row r="1773">
      <c r="A1773" s="159"/>
      <c r="B1773" s="158"/>
    </row>
    <row r="1774">
      <c r="A1774" s="159"/>
      <c r="B1774" s="158"/>
    </row>
    <row r="1775">
      <c r="A1775" s="159"/>
      <c r="B1775" s="158"/>
    </row>
    <row r="1776">
      <c r="A1776" s="159"/>
      <c r="B1776" s="158"/>
    </row>
    <row r="1777">
      <c r="A1777" s="159"/>
      <c r="B1777" s="158"/>
    </row>
    <row r="1778">
      <c r="A1778" s="159"/>
      <c r="B1778" s="158"/>
    </row>
    <row r="1779">
      <c r="A1779" s="159"/>
      <c r="B1779" s="158"/>
    </row>
    <row r="1780">
      <c r="A1780" s="159"/>
      <c r="B1780" s="158"/>
    </row>
    <row r="1781">
      <c r="A1781" s="159"/>
      <c r="B1781" s="158"/>
    </row>
    <row r="1782">
      <c r="A1782" s="159"/>
      <c r="B1782" s="158"/>
    </row>
    <row r="1783">
      <c r="A1783" s="159"/>
      <c r="B1783" s="158"/>
    </row>
    <row r="1784">
      <c r="A1784" s="159"/>
      <c r="B1784" s="158"/>
    </row>
    <row r="1785">
      <c r="A1785" s="159"/>
      <c r="B1785" s="158"/>
    </row>
    <row r="1786">
      <c r="A1786" s="159"/>
      <c r="B1786" s="158"/>
    </row>
    <row r="1787">
      <c r="A1787" s="159"/>
      <c r="B1787" s="158"/>
    </row>
    <row r="1788">
      <c r="A1788" s="159"/>
      <c r="B1788" s="158"/>
    </row>
    <row r="1789">
      <c r="A1789" s="159"/>
      <c r="B1789" s="158"/>
    </row>
    <row r="1790">
      <c r="A1790" s="159"/>
      <c r="B1790" s="158"/>
    </row>
    <row r="1791">
      <c r="A1791" s="159"/>
      <c r="B1791" s="158"/>
    </row>
    <row r="1792">
      <c r="A1792" s="159"/>
      <c r="B1792" s="158"/>
    </row>
    <row r="1793">
      <c r="A1793" s="159"/>
      <c r="B1793" s="158"/>
    </row>
    <row r="1794">
      <c r="A1794" s="159"/>
      <c r="B1794" s="158"/>
    </row>
    <row r="1795">
      <c r="A1795" s="159"/>
      <c r="B1795" s="158"/>
    </row>
    <row r="1796">
      <c r="A1796" s="159"/>
      <c r="B1796" s="158"/>
    </row>
    <row r="1797">
      <c r="A1797" s="159"/>
      <c r="B1797" s="158"/>
    </row>
    <row r="1798">
      <c r="A1798" s="159"/>
      <c r="B1798" s="158"/>
    </row>
    <row r="1799">
      <c r="A1799" s="159"/>
      <c r="B1799" s="158"/>
    </row>
    <row r="1800">
      <c r="A1800" s="159"/>
      <c r="B1800" s="158"/>
    </row>
    <row r="1801">
      <c r="A1801" s="159"/>
      <c r="B1801" s="158"/>
    </row>
    <row r="1802">
      <c r="A1802" s="159"/>
      <c r="B1802" s="158"/>
    </row>
    <row r="1803">
      <c r="A1803" s="159"/>
      <c r="B1803" s="158"/>
    </row>
    <row r="1804">
      <c r="A1804" s="159"/>
      <c r="B1804" s="158"/>
    </row>
    <row r="1805">
      <c r="A1805" s="159"/>
      <c r="B1805" s="158"/>
    </row>
    <row r="1806">
      <c r="A1806" s="159"/>
      <c r="B1806" s="158"/>
    </row>
    <row r="1807">
      <c r="A1807" s="159"/>
      <c r="B1807" s="158"/>
    </row>
    <row r="1808">
      <c r="A1808" s="159"/>
      <c r="B1808" s="158"/>
    </row>
    <row r="1809">
      <c r="A1809" s="159"/>
      <c r="B1809" s="158"/>
    </row>
    <row r="1810">
      <c r="A1810" s="159"/>
      <c r="B1810" s="158"/>
    </row>
    <row r="1811">
      <c r="A1811" s="159"/>
      <c r="B1811" s="158"/>
    </row>
    <row r="1812">
      <c r="A1812" s="159"/>
      <c r="B1812" s="158"/>
    </row>
    <row r="1813">
      <c r="A1813" s="159"/>
      <c r="B1813" s="158"/>
    </row>
    <row r="1814">
      <c r="A1814" s="159"/>
      <c r="B1814" s="158"/>
    </row>
    <row r="1815">
      <c r="A1815" s="159"/>
      <c r="B1815" s="158"/>
    </row>
    <row r="1816">
      <c r="A1816" s="159"/>
      <c r="B1816" s="158"/>
    </row>
    <row r="1817">
      <c r="A1817" s="159"/>
      <c r="B1817" s="158"/>
    </row>
    <row r="1818">
      <c r="A1818" s="159"/>
      <c r="B1818" s="158"/>
    </row>
    <row r="1819">
      <c r="A1819" s="159"/>
      <c r="B1819" s="158"/>
    </row>
    <row r="1820">
      <c r="A1820" s="159"/>
      <c r="B1820" s="158"/>
    </row>
    <row r="1821">
      <c r="A1821" s="159"/>
      <c r="B1821" s="158"/>
    </row>
    <row r="1822">
      <c r="A1822" s="159"/>
      <c r="B1822" s="158"/>
    </row>
    <row r="1823">
      <c r="A1823" s="159"/>
      <c r="B1823" s="158"/>
    </row>
    <row r="1824">
      <c r="A1824" s="159"/>
      <c r="B1824" s="158"/>
    </row>
    <row r="1825">
      <c r="A1825" s="159"/>
      <c r="B1825" s="158"/>
    </row>
    <row r="1826">
      <c r="A1826" s="159"/>
      <c r="B1826" s="158"/>
    </row>
    <row r="1827">
      <c r="A1827" s="159"/>
      <c r="B1827" s="158"/>
    </row>
    <row r="1828">
      <c r="A1828" s="159"/>
      <c r="B1828" s="158"/>
    </row>
    <row r="1829">
      <c r="A1829" s="159"/>
      <c r="B1829" s="158"/>
    </row>
    <row r="1830">
      <c r="A1830" s="159"/>
      <c r="B1830" s="158"/>
    </row>
    <row r="1831">
      <c r="A1831" s="159"/>
      <c r="B1831" s="158"/>
    </row>
    <row r="1832">
      <c r="A1832" s="159"/>
      <c r="B1832" s="158"/>
    </row>
    <row r="1833">
      <c r="A1833" s="159"/>
      <c r="B1833" s="158"/>
    </row>
    <row r="1834">
      <c r="A1834" s="159"/>
      <c r="B1834" s="158"/>
    </row>
    <row r="1835">
      <c r="A1835" s="159"/>
      <c r="B1835" s="158"/>
    </row>
    <row r="1836">
      <c r="A1836" s="159"/>
      <c r="B1836" s="158"/>
    </row>
    <row r="1837">
      <c r="A1837" s="159"/>
      <c r="B1837" s="158"/>
    </row>
    <row r="1838">
      <c r="A1838" s="159"/>
      <c r="B1838" s="158"/>
    </row>
    <row r="1839">
      <c r="A1839" s="159"/>
      <c r="B1839" s="158"/>
    </row>
    <row r="1840">
      <c r="A1840" s="159"/>
      <c r="B1840" s="158"/>
    </row>
    <row r="1841">
      <c r="A1841" s="159"/>
      <c r="B1841" s="158"/>
    </row>
    <row r="1842">
      <c r="A1842" s="159"/>
      <c r="B1842" s="158"/>
    </row>
    <row r="1843">
      <c r="A1843" s="159"/>
      <c r="B1843" s="158"/>
    </row>
    <row r="1844">
      <c r="A1844" s="159"/>
      <c r="B1844" s="158"/>
    </row>
    <row r="1845">
      <c r="A1845" s="159"/>
      <c r="B1845" s="158"/>
    </row>
    <row r="1846">
      <c r="A1846" s="159"/>
      <c r="B1846" s="158"/>
    </row>
    <row r="1847">
      <c r="A1847" s="159"/>
      <c r="B1847" s="158"/>
    </row>
    <row r="1848">
      <c r="A1848" s="159"/>
      <c r="B1848" s="158"/>
    </row>
    <row r="1849">
      <c r="A1849" s="159"/>
      <c r="B1849" s="158"/>
    </row>
    <row r="1850">
      <c r="A1850" s="159"/>
      <c r="B1850" s="158"/>
    </row>
    <row r="1851">
      <c r="A1851" s="159"/>
      <c r="B1851" s="158"/>
    </row>
    <row r="1852">
      <c r="A1852" s="159"/>
      <c r="B1852" s="158"/>
    </row>
    <row r="1853">
      <c r="A1853" s="159"/>
      <c r="B1853" s="158"/>
    </row>
    <row r="1854">
      <c r="A1854" s="159"/>
      <c r="B1854" s="158"/>
    </row>
    <row r="1855">
      <c r="A1855" s="159"/>
      <c r="B1855" s="158"/>
    </row>
    <row r="1856">
      <c r="A1856" s="159"/>
      <c r="B1856" s="158"/>
    </row>
    <row r="1857">
      <c r="A1857" s="159"/>
      <c r="B1857" s="158"/>
    </row>
    <row r="1858">
      <c r="A1858" s="159"/>
      <c r="B1858" s="158"/>
    </row>
    <row r="1859">
      <c r="A1859" s="159"/>
      <c r="B1859" s="158"/>
    </row>
    <row r="1860">
      <c r="A1860" s="159"/>
      <c r="B1860" s="158"/>
    </row>
    <row r="1861">
      <c r="A1861" s="159"/>
      <c r="B1861" s="158"/>
    </row>
    <row r="1862">
      <c r="A1862" s="159"/>
      <c r="B1862" s="158"/>
    </row>
    <row r="1863">
      <c r="A1863" s="159"/>
      <c r="B1863" s="158"/>
    </row>
    <row r="1864">
      <c r="A1864" s="159"/>
      <c r="B1864" s="158"/>
    </row>
    <row r="1865">
      <c r="A1865" s="159"/>
      <c r="B1865" s="158"/>
    </row>
    <row r="1866">
      <c r="A1866" s="159"/>
      <c r="B1866" s="158"/>
    </row>
    <row r="1867">
      <c r="A1867" s="159"/>
      <c r="B1867" s="158"/>
    </row>
    <row r="1868">
      <c r="A1868" s="159"/>
      <c r="B1868" s="158"/>
    </row>
    <row r="1869">
      <c r="A1869" s="159"/>
      <c r="B1869" s="158"/>
    </row>
    <row r="1870">
      <c r="A1870" s="159"/>
      <c r="B1870" s="158"/>
    </row>
    <row r="1871">
      <c r="A1871" s="159"/>
      <c r="B1871" s="158"/>
    </row>
    <row r="1872">
      <c r="A1872" s="159"/>
      <c r="B1872" s="158"/>
    </row>
    <row r="1873">
      <c r="A1873" s="159"/>
      <c r="B1873" s="158"/>
    </row>
    <row r="1874">
      <c r="A1874" s="159"/>
      <c r="B1874" s="158"/>
    </row>
    <row r="1875">
      <c r="A1875" s="159"/>
      <c r="B1875" s="158"/>
    </row>
    <row r="1876">
      <c r="A1876" s="159"/>
      <c r="B1876" s="158"/>
    </row>
    <row r="1877">
      <c r="A1877" s="159"/>
      <c r="B1877" s="158"/>
    </row>
    <row r="1878">
      <c r="A1878" s="159"/>
      <c r="B1878" s="158"/>
    </row>
    <row r="1879">
      <c r="A1879" s="159"/>
      <c r="B1879" s="158"/>
    </row>
    <row r="1880">
      <c r="A1880" s="159"/>
      <c r="B1880" s="158"/>
    </row>
    <row r="1881">
      <c r="A1881" s="159"/>
      <c r="B1881" s="158"/>
    </row>
    <row r="1882">
      <c r="A1882" s="159"/>
      <c r="B1882" s="158"/>
    </row>
    <row r="1883">
      <c r="A1883" s="159"/>
      <c r="B1883" s="158"/>
    </row>
    <row r="1884">
      <c r="A1884" s="159"/>
      <c r="B1884" s="158"/>
    </row>
    <row r="1885">
      <c r="A1885" s="159"/>
      <c r="B1885" s="158"/>
    </row>
    <row r="1886">
      <c r="A1886" s="159"/>
      <c r="B1886" s="158"/>
    </row>
    <row r="1887">
      <c r="A1887" s="159"/>
      <c r="B1887" s="158"/>
    </row>
    <row r="1888">
      <c r="A1888" s="159"/>
      <c r="B1888" s="158"/>
    </row>
    <row r="1889">
      <c r="A1889" s="159"/>
      <c r="B1889" s="158"/>
    </row>
    <row r="1890">
      <c r="A1890" s="159"/>
      <c r="B1890" s="158"/>
    </row>
    <row r="1891">
      <c r="A1891" s="159"/>
      <c r="B1891" s="158"/>
    </row>
    <row r="1892">
      <c r="A1892" s="159"/>
      <c r="B1892" s="158"/>
    </row>
    <row r="1893">
      <c r="A1893" s="159"/>
      <c r="B1893" s="158"/>
    </row>
    <row r="1894">
      <c r="A1894" s="159"/>
      <c r="B1894" s="158"/>
    </row>
    <row r="1895">
      <c r="A1895" s="159"/>
      <c r="B1895" s="158"/>
    </row>
    <row r="1896">
      <c r="A1896" s="159"/>
      <c r="B1896" s="158"/>
    </row>
    <row r="1897">
      <c r="A1897" s="159"/>
      <c r="B1897" s="158"/>
    </row>
    <row r="1898">
      <c r="A1898" s="159"/>
      <c r="B1898" s="158"/>
    </row>
    <row r="1899">
      <c r="A1899" s="159"/>
      <c r="B1899" s="158"/>
    </row>
    <row r="1900">
      <c r="A1900" s="159"/>
      <c r="B1900" s="158"/>
    </row>
    <row r="1901">
      <c r="A1901" s="159"/>
      <c r="B1901" s="158"/>
    </row>
    <row r="1902">
      <c r="A1902" s="159"/>
      <c r="B1902" s="158"/>
    </row>
    <row r="1903">
      <c r="A1903" s="159"/>
      <c r="B1903" s="158"/>
    </row>
    <row r="1904">
      <c r="A1904" s="159"/>
      <c r="B1904" s="158"/>
    </row>
    <row r="1905">
      <c r="A1905" s="159"/>
      <c r="B1905" s="158"/>
    </row>
    <row r="1906">
      <c r="A1906" s="159"/>
      <c r="B1906" s="158"/>
    </row>
    <row r="1907">
      <c r="A1907" s="159"/>
      <c r="B1907" s="158"/>
    </row>
    <row r="1908">
      <c r="A1908" s="159"/>
      <c r="B1908" s="158"/>
    </row>
    <row r="1909">
      <c r="A1909" s="159"/>
      <c r="B1909" s="158"/>
    </row>
    <row r="1910">
      <c r="A1910" s="159"/>
      <c r="B1910" s="158"/>
    </row>
    <row r="1911">
      <c r="A1911" s="159"/>
      <c r="B1911" s="158"/>
    </row>
    <row r="1912">
      <c r="A1912" s="159"/>
      <c r="B1912" s="158"/>
    </row>
    <row r="1913">
      <c r="A1913" s="159"/>
      <c r="B1913" s="158"/>
    </row>
    <row r="1914">
      <c r="A1914" s="159"/>
      <c r="B1914" s="158"/>
    </row>
    <row r="1915">
      <c r="A1915" s="159"/>
      <c r="B1915" s="158"/>
    </row>
    <row r="1916">
      <c r="A1916" s="159"/>
      <c r="B1916" s="158"/>
    </row>
    <row r="1917">
      <c r="A1917" s="159"/>
      <c r="B1917" s="158"/>
    </row>
    <row r="1918">
      <c r="A1918" s="159"/>
      <c r="B1918" s="158"/>
    </row>
    <row r="1919">
      <c r="A1919" s="159"/>
      <c r="B1919" s="158"/>
    </row>
    <row r="1920">
      <c r="A1920" s="159"/>
      <c r="B1920" s="158"/>
    </row>
    <row r="1921">
      <c r="A1921" s="159"/>
      <c r="B1921" s="158"/>
    </row>
    <row r="1922">
      <c r="A1922" s="159"/>
      <c r="B1922" s="158"/>
    </row>
    <row r="1923">
      <c r="A1923" s="159"/>
      <c r="B1923" s="158"/>
    </row>
    <row r="1924">
      <c r="A1924" s="159"/>
      <c r="B1924" s="158"/>
    </row>
    <row r="1925">
      <c r="A1925" s="159"/>
      <c r="B1925" s="158"/>
    </row>
    <row r="1926">
      <c r="A1926" s="159"/>
      <c r="B1926" s="158"/>
    </row>
    <row r="1927">
      <c r="A1927" s="159"/>
      <c r="B1927" s="158"/>
    </row>
    <row r="1928">
      <c r="A1928" s="159"/>
      <c r="B1928" s="158"/>
    </row>
    <row r="1929">
      <c r="A1929" s="159"/>
      <c r="B1929" s="158"/>
    </row>
    <row r="1930">
      <c r="A1930" s="159"/>
      <c r="B1930" s="158"/>
    </row>
    <row r="1931">
      <c r="A1931" s="159"/>
      <c r="B1931" s="158"/>
    </row>
    <row r="1932">
      <c r="A1932" s="159"/>
      <c r="B1932" s="158"/>
    </row>
    <row r="1933">
      <c r="A1933" s="159"/>
      <c r="B1933" s="158"/>
    </row>
    <row r="1934">
      <c r="A1934" s="159"/>
      <c r="B1934" s="158"/>
    </row>
    <row r="1935">
      <c r="A1935" s="159"/>
      <c r="B1935" s="158"/>
    </row>
    <row r="1936">
      <c r="A1936" s="159"/>
      <c r="B1936" s="158"/>
    </row>
    <row r="1937">
      <c r="A1937" s="159"/>
      <c r="B1937" s="158"/>
    </row>
    <row r="1938">
      <c r="A1938" s="159"/>
      <c r="B1938" s="158"/>
    </row>
    <row r="1939">
      <c r="A1939" s="159"/>
      <c r="B1939" s="158"/>
    </row>
    <row r="1940">
      <c r="A1940" s="159"/>
      <c r="B1940" s="158"/>
    </row>
    <row r="1941">
      <c r="A1941" s="159"/>
      <c r="B1941" s="158"/>
    </row>
    <row r="1942">
      <c r="A1942" s="159"/>
      <c r="B1942" s="158"/>
    </row>
    <row r="1943">
      <c r="A1943" s="159"/>
      <c r="B1943" s="158"/>
    </row>
    <row r="1944">
      <c r="A1944" s="159"/>
      <c r="B1944" s="158"/>
    </row>
    <row r="1945">
      <c r="A1945" s="159"/>
      <c r="B1945" s="158"/>
    </row>
    <row r="1946">
      <c r="A1946" s="159"/>
      <c r="B1946" s="158"/>
    </row>
    <row r="1947">
      <c r="A1947" s="159"/>
      <c r="B1947" s="158"/>
    </row>
    <row r="1948">
      <c r="A1948" s="159"/>
      <c r="B1948" s="158"/>
    </row>
    <row r="1949">
      <c r="A1949" s="159"/>
      <c r="B1949" s="158"/>
    </row>
    <row r="1950">
      <c r="A1950" s="159"/>
      <c r="B1950" s="158"/>
    </row>
    <row r="1951">
      <c r="A1951" s="159"/>
      <c r="B1951" s="158"/>
    </row>
    <row r="1952">
      <c r="A1952" s="159"/>
      <c r="B1952" s="158"/>
    </row>
    <row r="1953">
      <c r="A1953" s="159"/>
      <c r="B1953" s="158"/>
    </row>
    <row r="1954">
      <c r="A1954" s="159"/>
      <c r="B1954" s="158"/>
    </row>
    <row r="1955">
      <c r="A1955" s="159"/>
      <c r="B1955" s="158"/>
    </row>
    <row r="1956">
      <c r="A1956" s="159"/>
      <c r="B1956" s="158"/>
    </row>
    <row r="1957">
      <c r="A1957" s="159"/>
      <c r="B1957" s="158"/>
    </row>
    <row r="1958">
      <c r="A1958" s="159"/>
      <c r="B1958" s="158"/>
    </row>
    <row r="1959">
      <c r="A1959" s="159"/>
      <c r="B1959" s="158"/>
    </row>
    <row r="1960">
      <c r="A1960" s="159"/>
      <c r="B1960" s="158"/>
    </row>
    <row r="1961">
      <c r="A1961" s="159"/>
      <c r="B1961" s="158"/>
    </row>
    <row r="1962">
      <c r="A1962" s="159"/>
      <c r="B1962" s="158"/>
    </row>
    <row r="1963">
      <c r="A1963" s="159"/>
      <c r="B1963" s="158"/>
    </row>
    <row r="1964">
      <c r="A1964" s="159"/>
      <c r="B1964" s="158"/>
    </row>
    <row r="1965">
      <c r="A1965" s="159"/>
      <c r="B1965" s="158"/>
    </row>
    <row r="1966">
      <c r="A1966" s="159"/>
      <c r="B1966" s="158"/>
    </row>
    <row r="1967">
      <c r="A1967" s="159"/>
      <c r="B1967" s="158"/>
    </row>
    <row r="1968">
      <c r="A1968" s="159"/>
      <c r="B1968" s="158"/>
    </row>
    <row r="1969">
      <c r="A1969" s="159"/>
      <c r="B1969" s="158"/>
    </row>
    <row r="1970">
      <c r="A1970" s="159"/>
      <c r="B1970" s="158"/>
    </row>
    <row r="1971">
      <c r="A1971" s="159"/>
      <c r="B1971" s="158"/>
    </row>
    <row r="1972">
      <c r="A1972" s="159"/>
      <c r="B1972" s="158"/>
    </row>
    <row r="1973">
      <c r="A1973" s="159"/>
      <c r="B1973" s="158"/>
    </row>
    <row r="1974">
      <c r="A1974" s="159"/>
      <c r="B1974" s="158"/>
    </row>
    <row r="1975">
      <c r="A1975" s="159"/>
      <c r="B1975" s="158"/>
    </row>
    <row r="1976">
      <c r="A1976" s="159"/>
      <c r="B1976" s="158"/>
    </row>
    <row r="1977">
      <c r="A1977" s="159"/>
      <c r="B1977" s="158"/>
    </row>
    <row r="1978">
      <c r="A1978" s="159"/>
      <c r="B1978" s="158"/>
    </row>
    <row r="1979">
      <c r="A1979" s="159"/>
      <c r="B1979" s="158"/>
    </row>
    <row r="1980">
      <c r="A1980" s="159"/>
      <c r="B1980" s="158"/>
    </row>
    <row r="1981">
      <c r="A1981" s="159"/>
      <c r="B1981" s="158"/>
    </row>
    <row r="1982">
      <c r="A1982" s="159"/>
      <c r="B1982" s="158"/>
    </row>
    <row r="1983">
      <c r="A1983" s="159"/>
      <c r="B1983" s="158"/>
    </row>
    <row r="1984">
      <c r="A1984" s="159"/>
      <c r="B1984" s="158"/>
    </row>
    <row r="1985">
      <c r="A1985" s="159"/>
      <c r="B1985" s="158"/>
    </row>
    <row r="1986">
      <c r="A1986" s="159"/>
      <c r="B1986" s="158"/>
    </row>
    <row r="1987">
      <c r="A1987" s="159"/>
      <c r="B1987" s="158"/>
    </row>
    <row r="1988">
      <c r="A1988" s="159"/>
      <c r="B1988" s="158"/>
    </row>
    <row r="1989">
      <c r="A1989" s="159"/>
      <c r="B1989" s="158"/>
    </row>
    <row r="1990">
      <c r="A1990" s="159"/>
      <c r="B1990" s="158"/>
    </row>
    <row r="1991">
      <c r="A1991" s="159"/>
      <c r="B1991" s="158"/>
    </row>
    <row r="1992">
      <c r="A1992" s="159"/>
      <c r="B1992" s="158"/>
    </row>
    <row r="1993">
      <c r="A1993" s="159"/>
      <c r="B1993" s="158"/>
    </row>
    <row r="1994">
      <c r="A1994" s="159"/>
      <c r="B1994" s="158"/>
    </row>
    <row r="1995">
      <c r="A1995" s="159"/>
      <c r="B1995" s="158"/>
    </row>
    <row r="1996">
      <c r="A1996" s="159"/>
      <c r="B1996" s="158"/>
    </row>
    <row r="1997">
      <c r="A1997" s="159"/>
      <c r="B1997" s="158"/>
    </row>
    <row r="1998">
      <c r="A1998" s="159"/>
      <c r="B1998" s="158"/>
    </row>
    <row r="1999">
      <c r="A1999" s="159"/>
      <c r="B1999" s="158"/>
    </row>
    <row r="2000">
      <c r="A2000" s="159"/>
      <c r="B2000" s="158"/>
    </row>
    <row r="2001">
      <c r="A2001" s="159"/>
      <c r="B2001" s="158"/>
    </row>
    <row r="2002">
      <c r="A2002" s="159"/>
      <c r="B2002" s="158"/>
    </row>
    <row r="2003">
      <c r="A2003" s="159"/>
      <c r="B2003" s="158"/>
    </row>
    <row r="2004">
      <c r="A2004" s="159"/>
      <c r="B2004" s="158"/>
    </row>
    <row r="2005">
      <c r="A2005" s="159"/>
      <c r="B2005" s="158"/>
    </row>
    <row r="2006">
      <c r="A2006" s="159"/>
      <c r="B2006" s="158"/>
    </row>
    <row r="2007">
      <c r="A2007" s="159"/>
      <c r="B2007" s="158"/>
    </row>
    <row r="2008">
      <c r="A2008" s="159"/>
      <c r="B2008" s="158"/>
    </row>
    <row r="2009">
      <c r="A2009" s="159"/>
      <c r="B2009" s="158"/>
    </row>
    <row r="2010">
      <c r="A2010" s="159"/>
      <c r="B2010" s="158"/>
    </row>
    <row r="2011">
      <c r="A2011" s="159"/>
      <c r="B2011" s="158"/>
    </row>
    <row r="2012">
      <c r="A2012" s="159"/>
      <c r="B2012" s="158"/>
    </row>
    <row r="2013">
      <c r="A2013" s="159"/>
      <c r="B2013" s="158"/>
    </row>
    <row r="2014">
      <c r="A2014" s="159"/>
      <c r="B2014" s="158"/>
    </row>
    <row r="2015">
      <c r="A2015" s="159"/>
      <c r="B2015" s="158"/>
    </row>
    <row r="2016">
      <c r="A2016" s="159"/>
      <c r="B2016" s="158"/>
    </row>
    <row r="2017">
      <c r="A2017" s="159"/>
      <c r="B2017" s="158"/>
    </row>
    <row r="2018">
      <c r="A2018" s="159"/>
      <c r="B2018" s="158"/>
    </row>
    <row r="2019">
      <c r="A2019" s="159"/>
      <c r="B2019" s="158"/>
    </row>
    <row r="2020">
      <c r="A2020" s="159"/>
      <c r="B2020" s="158"/>
    </row>
    <row r="2021">
      <c r="A2021" s="159"/>
      <c r="B2021" s="158"/>
    </row>
    <row r="2022">
      <c r="A2022" s="159"/>
      <c r="B2022" s="158"/>
    </row>
    <row r="2023">
      <c r="A2023" s="159"/>
      <c r="B2023" s="158"/>
    </row>
    <row r="2024">
      <c r="A2024" s="159"/>
      <c r="B2024" s="158"/>
    </row>
    <row r="2025">
      <c r="A2025" s="159"/>
      <c r="B2025" s="158"/>
    </row>
    <row r="2026">
      <c r="A2026" s="159"/>
      <c r="B2026" s="158"/>
    </row>
    <row r="2027">
      <c r="A2027" s="159"/>
      <c r="B2027" s="158"/>
    </row>
    <row r="2028">
      <c r="A2028" s="159"/>
      <c r="B2028" s="158"/>
    </row>
    <row r="2029">
      <c r="A2029" s="159"/>
      <c r="B2029" s="158"/>
    </row>
    <row r="2030">
      <c r="A2030" s="159"/>
      <c r="B2030" s="158"/>
    </row>
    <row r="2031">
      <c r="A2031" s="159"/>
      <c r="B2031" s="158"/>
    </row>
    <row r="2032">
      <c r="A2032" s="159"/>
      <c r="B2032" s="158"/>
    </row>
    <row r="2033">
      <c r="A2033" s="159"/>
      <c r="B2033" s="158"/>
    </row>
    <row r="2034">
      <c r="A2034" s="159"/>
      <c r="B2034" s="158"/>
    </row>
    <row r="2035">
      <c r="A2035" s="159"/>
      <c r="B2035" s="158"/>
    </row>
    <row r="2036">
      <c r="A2036" s="159"/>
      <c r="B2036" s="158"/>
    </row>
    <row r="2037">
      <c r="A2037" s="159"/>
      <c r="B2037" s="158"/>
    </row>
    <row r="2038">
      <c r="A2038" s="159"/>
      <c r="B2038" s="158"/>
    </row>
    <row r="2039">
      <c r="A2039" s="159"/>
      <c r="B2039" s="158"/>
    </row>
    <row r="2040">
      <c r="A2040" s="159"/>
      <c r="B2040" s="158"/>
    </row>
    <row r="2041">
      <c r="A2041" s="159"/>
      <c r="B2041" s="158"/>
    </row>
    <row r="2042">
      <c r="A2042" s="159"/>
      <c r="B2042" s="158"/>
    </row>
    <row r="2043">
      <c r="A2043" s="159"/>
      <c r="B2043" s="158"/>
    </row>
    <row r="2044">
      <c r="A2044" s="159"/>
      <c r="B2044" s="158"/>
    </row>
    <row r="2045">
      <c r="A2045" s="159"/>
      <c r="B2045" s="158"/>
    </row>
    <row r="2046">
      <c r="A2046" s="159"/>
      <c r="B2046" s="158"/>
    </row>
    <row r="2047">
      <c r="A2047" s="159"/>
      <c r="B2047" s="158"/>
    </row>
    <row r="2048">
      <c r="A2048" s="159"/>
      <c r="B2048" s="158"/>
    </row>
    <row r="2049">
      <c r="A2049" s="159"/>
      <c r="B2049" s="158"/>
    </row>
    <row r="2050">
      <c r="A2050" s="159"/>
      <c r="B2050" s="158"/>
    </row>
    <row r="2051">
      <c r="A2051" s="159"/>
      <c r="B2051" s="158"/>
    </row>
    <row r="2052">
      <c r="A2052" s="159"/>
      <c r="B2052" s="158"/>
    </row>
    <row r="2053">
      <c r="A2053" s="159"/>
      <c r="B2053" s="158"/>
    </row>
    <row r="2054">
      <c r="A2054" s="159"/>
      <c r="B2054" s="158"/>
    </row>
    <row r="2055">
      <c r="A2055" s="159"/>
      <c r="B2055" s="158"/>
    </row>
    <row r="2056">
      <c r="A2056" s="159"/>
      <c r="B2056" s="158"/>
    </row>
    <row r="2057">
      <c r="A2057" s="159"/>
      <c r="B2057" s="158"/>
    </row>
    <row r="2058">
      <c r="A2058" s="159"/>
      <c r="B2058" s="158"/>
    </row>
    <row r="2059">
      <c r="A2059" s="159"/>
      <c r="B2059" s="158"/>
    </row>
    <row r="2060">
      <c r="A2060" s="159"/>
      <c r="B2060" s="158"/>
    </row>
    <row r="2061">
      <c r="A2061" s="159"/>
      <c r="B2061" s="158"/>
    </row>
    <row r="2062">
      <c r="A2062" s="159"/>
      <c r="B2062" s="158"/>
    </row>
    <row r="2063">
      <c r="A2063" s="159"/>
      <c r="B2063" s="158"/>
    </row>
    <row r="2064">
      <c r="A2064" s="159"/>
      <c r="B2064" s="158"/>
    </row>
    <row r="2065">
      <c r="A2065" s="159"/>
      <c r="B2065" s="158"/>
    </row>
    <row r="2066">
      <c r="A2066" s="159"/>
      <c r="B2066" s="158"/>
    </row>
    <row r="2067">
      <c r="A2067" s="159"/>
      <c r="B2067" s="158"/>
    </row>
    <row r="2068">
      <c r="A2068" s="159"/>
      <c r="B2068" s="158"/>
    </row>
    <row r="2069">
      <c r="A2069" s="159"/>
      <c r="B2069" s="158"/>
    </row>
    <row r="2070">
      <c r="A2070" s="159"/>
      <c r="B2070" s="158"/>
    </row>
    <row r="2071">
      <c r="A2071" s="159"/>
      <c r="B2071" s="158"/>
    </row>
    <row r="2072">
      <c r="A2072" s="159"/>
      <c r="B2072" s="158"/>
    </row>
    <row r="2073">
      <c r="A2073" s="159"/>
      <c r="B2073" s="158"/>
    </row>
    <row r="2074">
      <c r="A2074" s="159"/>
      <c r="B2074" s="158"/>
    </row>
    <row r="2075">
      <c r="A2075" s="159"/>
      <c r="B2075" s="158"/>
    </row>
    <row r="2076">
      <c r="A2076" s="159"/>
      <c r="B2076" s="158"/>
    </row>
    <row r="2077">
      <c r="A2077" s="159"/>
      <c r="B2077" s="158"/>
    </row>
    <row r="2078">
      <c r="A2078" s="159"/>
      <c r="B2078" s="158"/>
    </row>
    <row r="2079">
      <c r="A2079" s="159"/>
      <c r="B2079" s="158"/>
    </row>
    <row r="2080">
      <c r="A2080" s="159"/>
      <c r="B2080" s="158"/>
    </row>
    <row r="2081">
      <c r="A2081" s="159"/>
      <c r="B2081" s="158"/>
    </row>
    <row r="2082">
      <c r="A2082" s="159"/>
      <c r="B2082" s="158"/>
    </row>
    <row r="2083">
      <c r="A2083" s="159"/>
      <c r="B2083" s="158"/>
    </row>
    <row r="2084">
      <c r="A2084" s="159"/>
      <c r="B2084" s="158"/>
    </row>
    <row r="2085">
      <c r="A2085" s="159"/>
      <c r="B2085" s="158"/>
    </row>
    <row r="2086">
      <c r="A2086" s="159"/>
      <c r="B2086" s="158"/>
    </row>
    <row r="2087">
      <c r="A2087" s="159"/>
      <c r="B2087" s="158"/>
    </row>
    <row r="2088">
      <c r="A2088" s="159"/>
      <c r="B2088" s="158"/>
    </row>
    <row r="2089">
      <c r="A2089" s="159"/>
      <c r="B2089" s="158"/>
    </row>
    <row r="2090">
      <c r="A2090" s="159"/>
      <c r="B2090" s="158"/>
    </row>
    <row r="2091">
      <c r="A2091" s="159"/>
      <c r="B2091" s="158"/>
    </row>
    <row r="2092">
      <c r="A2092" s="159"/>
      <c r="B2092" s="158"/>
    </row>
    <row r="2093">
      <c r="A2093" s="159"/>
      <c r="B2093" s="158"/>
    </row>
    <row r="2094">
      <c r="A2094" s="159"/>
      <c r="B2094" s="158"/>
    </row>
    <row r="2095">
      <c r="A2095" s="159"/>
      <c r="B2095" s="158"/>
    </row>
    <row r="2096">
      <c r="A2096" s="159"/>
      <c r="B2096" s="158"/>
    </row>
    <row r="2097">
      <c r="A2097" s="159"/>
      <c r="B2097" s="158"/>
    </row>
    <row r="2098">
      <c r="A2098" s="159"/>
      <c r="B2098" s="158"/>
    </row>
    <row r="2099">
      <c r="A2099" s="159"/>
      <c r="B2099" s="158"/>
    </row>
    <row r="2100">
      <c r="A2100" s="159"/>
      <c r="B2100" s="158"/>
    </row>
    <row r="2101">
      <c r="A2101" s="159"/>
      <c r="B2101" s="158"/>
    </row>
    <row r="2102">
      <c r="A2102" s="159"/>
      <c r="B2102" s="158"/>
    </row>
    <row r="2103">
      <c r="A2103" s="159"/>
      <c r="B2103" s="158"/>
    </row>
    <row r="2104">
      <c r="A2104" s="159"/>
      <c r="B2104" s="158"/>
    </row>
    <row r="2105">
      <c r="A2105" s="159"/>
      <c r="B2105" s="158"/>
    </row>
    <row r="2106">
      <c r="A2106" s="159"/>
      <c r="B2106" s="158"/>
    </row>
    <row r="2107">
      <c r="A2107" s="159"/>
      <c r="B2107" s="158"/>
    </row>
    <row r="2108">
      <c r="A2108" s="159"/>
      <c r="B2108" s="158"/>
    </row>
    <row r="2109">
      <c r="A2109" s="159"/>
      <c r="B2109" s="158"/>
    </row>
    <row r="2110">
      <c r="A2110" s="159"/>
      <c r="B2110" s="158"/>
    </row>
    <row r="2111">
      <c r="A2111" s="159"/>
      <c r="B2111" s="158"/>
    </row>
    <row r="2112">
      <c r="A2112" s="159"/>
      <c r="B2112" s="158"/>
    </row>
    <row r="2113">
      <c r="A2113" s="159"/>
      <c r="B2113" s="158"/>
    </row>
    <row r="2114">
      <c r="A2114" s="159"/>
      <c r="B2114" s="158"/>
    </row>
    <row r="2115">
      <c r="A2115" s="159"/>
      <c r="B2115" s="158"/>
    </row>
    <row r="2116">
      <c r="A2116" s="159"/>
      <c r="B2116" s="158"/>
    </row>
    <row r="2117">
      <c r="A2117" s="159"/>
      <c r="B2117" s="158"/>
    </row>
    <row r="2118">
      <c r="A2118" s="159"/>
      <c r="B2118" s="158"/>
    </row>
    <row r="2119">
      <c r="A2119" s="159"/>
      <c r="B2119" s="158"/>
    </row>
    <row r="2120">
      <c r="A2120" s="159"/>
      <c r="B2120" s="158"/>
    </row>
    <row r="2121">
      <c r="A2121" s="159"/>
      <c r="B2121" s="158"/>
    </row>
    <row r="2122">
      <c r="A2122" s="159"/>
      <c r="B2122" s="158"/>
    </row>
    <row r="2123">
      <c r="A2123" s="159"/>
      <c r="B2123" s="158"/>
    </row>
    <row r="2124">
      <c r="A2124" s="159"/>
      <c r="B2124" s="158"/>
    </row>
    <row r="2125">
      <c r="A2125" s="159"/>
      <c r="B2125" s="158"/>
    </row>
    <row r="2126">
      <c r="A2126" s="159"/>
      <c r="B2126" s="158"/>
    </row>
    <row r="2127">
      <c r="A2127" s="159"/>
      <c r="B2127" s="158"/>
    </row>
    <row r="2128">
      <c r="A2128" s="159"/>
      <c r="B2128" s="158"/>
    </row>
    <row r="2129">
      <c r="A2129" s="159"/>
      <c r="B2129" s="158"/>
    </row>
    <row r="2130">
      <c r="A2130" s="159"/>
      <c r="B2130" s="158"/>
    </row>
    <row r="2131">
      <c r="A2131" s="159"/>
      <c r="B2131" s="158"/>
    </row>
    <row r="2132">
      <c r="A2132" s="159"/>
      <c r="B2132" s="158"/>
    </row>
    <row r="2133">
      <c r="A2133" s="159"/>
      <c r="B2133" s="158"/>
    </row>
    <row r="2134">
      <c r="A2134" s="159"/>
      <c r="B2134" s="158"/>
    </row>
    <row r="2135">
      <c r="A2135" s="159"/>
      <c r="B2135" s="158"/>
    </row>
    <row r="2136">
      <c r="A2136" s="159"/>
      <c r="B2136" s="158"/>
    </row>
    <row r="2137">
      <c r="A2137" s="159"/>
      <c r="B2137" s="158"/>
    </row>
    <row r="2138">
      <c r="A2138" s="159"/>
      <c r="B2138" s="158"/>
    </row>
    <row r="2139">
      <c r="A2139" s="159"/>
      <c r="B2139" s="158"/>
    </row>
    <row r="2140">
      <c r="A2140" s="159"/>
      <c r="B2140" s="158"/>
    </row>
    <row r="2141">
      <c r="A2141" s="159"/>
      <c r="B2141" s="158"/>
    </row>
    <row r="2142">
      <c r="A2142" s="159"/>
      <c r="B2142" s="158"/>
    </row>
    <row r="2143">
      <c r="A2143" s="159"/>
      <c r="B2143" s="158"/>
    </row>
    <row r="2144">
      <c r="A2144" s="159"/>
      <c r="B2144" s="158"/>
    </row>
    <row r="2145">
      <c r="A2145" s="159"/>
      <c r="B2145" s="158"/>
    </row>
    <row r="2146">
      <c r="A2146" s="159"/>
      <c r="B2146" s="158"/>
    </row>
    <row r="2147">
      <c r="A2147" s="159"/>
      <c r="B2147" s="158"/>
    </row>
    <row r="2148">
      <c r="A2148" s="159"/>
      <c r="B2148" s="158"/>
    </row>
    <row r="2149">
      <c r="A2149" s="159"/>
      <c r="B2149" s="158"/>
    </row>
    <row r="2150">
      <c r="A2150" s="159"/>
      <c r="B2150" s="158"/>
    </row>
    <row r="2151">
      <c r="A2151" s="159"/>
      <c r="B2151" s="158"/>
    </row>
    <row r="2152">
      <c r="A2152" s="159"/>
      <c r="B2152" s="158"/>
    </row>
    <row r="2153">
      <c r="A2153" s="159"/>
      <c r="B2153" s="158"/>
    </row>
    <row r="2154">
      <c r="A2154" s="159"/>
      <c r="B2154" s="158"/>
    </row>
    <row r="2155">
      <c r="A2155" s="159"/>
      <c r="B2155" s="158"/>
    </row>
    <row r="2156">
      <c r="A2156" s="159"/>
      <c r="B2156" s="158"/>
    </row>
    <row r="2157">
      <c r="A2157" s="159"/>
      <c r="B2157" s="158"/>
    </row>
    <row r="2158">
      <c r="A2158" s="159"/>
      <c r="B2158" s="158"/>
    </row>
    <row r="2159">
      <c r="A2159" s="159"/>
      <c r="B2159" s="158"/>
    </row>
    <row r="2160">
      <c r="A2160" s="159"/>
      <c r="B2160" s="158"/>
    </row>
    <row r="2161">
      <c r="A2161" s="159"/>
      <c r="B2161" s="158"/>
    </row>
    <row r="2162">
      <c r="A2162" s="159"/>
      <c r="B2162" s="158"/>
    </row>
    <row r="2163">
      <c r="A2163" s="159"/>
      <c r="B2163" s="158"/>
    </row>
    <row r="2164">
      <c r="A2164" s="159"/>
      <c r="B2164" s="158"/>
    </row>
    <row r="2165">
      <c r="A2165" s="159"/>
      <c r="B2165" s="158"/>
    </row>
    <row r="2166">
      <c r="A2166" s="159"/>
      <c r="B2166" s="158"/>
    </row>
    <row r="2167">
      <c r="A2167" s="159"/>
      <c r="B2167" s="158"/>
    </row>
    <row r="2168">
      <c r="A2168" s="159"/>
      <c r="B2168" s="158"/>
    </row>
    <row r="2169">
      <c r="A2169" s="159"/>
      <c r="B2169" s="158"/>
    </row>
    <row r="2170">
      <c r="A2170" s="159"/>
      <c r="B2170" s="158"/>
    </row>
    <row r="2171">
      <c r="A2171" s="159"/>
      <c r="B2171" s="158"/>
    </row>
    <row r="2172">
      <c r="A2172" s="159"/>
      <c r="B2172" s="158"/>
    </row>
    <row r="2173">
      <c r="A2173" s="159"/>
      <c r="B2173" s="158"/>
    </row>
    <row r="2174">
      <c r="A2174" s="159"/>
      <c r="B2174" s="158"/>
    </row>
    <row r="2175">
      <c r="A2175" s="159"/>
      <c r="B2175" s="158"/>
    </row>
    <row r="2176">
      <c r="A2176" s="159"/>
      <c r="B2176" s="158"/>
    </row>
    <row r="2177">
      <c r="A2177" s="159"/>
      <c r="B2177" s="158"/>
    </row>
    <row r="2178">
      <c r="A2178" s="159"/>
      <c r="B2178" s="158"/>
    </row>
    <row r="2179">
      <c r="A2179" s="159"/>
      <c r="B2179" s="158"/>
    </row>
    <row r="2180">
      <c r="A2180" s="159"/>
      <c r="B2180" s="158"/>
    </row>
    <row r="2181">
      <c r="A2181" s="159"/>
      <c r="B2181" s="158"/>
    </row>
    <row r="2182">
      <c r="A2182" s="159"/>
      <c r="B2182" s="158"/>
    </row>
    <row r="2183">
      <c r="A2183" s="159"/>
      <c r="B2183" s="158"/>
    </row>
    <row r="2184">
      <c r="A2184" s="159"/>
      <c r="B2184" s="158"/>
    </row>
    <row r="2185">
      <c r="A2185" s="159"/>
      <c r="B2185" s="158"/>
    </row>
    <row r="2186">
      <c r="A2186" s="159"/>
      <c r="B2186" s="158"/>
    </row>
    <row r="2187">
      <c r="A2187" s="159"/>
      <c r="B2187" s="158"/>
    </row>
    <row r="2188">
      <c r="A2188" s="159"/>
      <c r="B2188" s="158"/>
    </row>
    <row r="2189">
      <c r="A2189" s="159"/>
      <c r="B2189" s="158"/>
    </row>
    <row r="2190">
      <c r="A2190" s="159"/>
      <c r="B2190" s="158"/>
    </row>
    <row r="2191">
      <c r="A2191" s="159"/>
      <c r="B2191" s="158"/>
    </row>
    <row r="2192">
      <c r="A2192" s="159"/>
      <c r="B2192" s="158"/>
    </row>
    <row r="2193">
      <c r="A2193" s="159"/>
      <c r="B2193" s="158"/>
    </row>
    <row r="2194">
      <c r="A2194" s="159"/>
      <c r="B2194" s="158"/>
    </row>
    <row r="2195">
      <c r="A2195" s="159"/>
      <c r="B2195" s="158"/>
    </row>
    <row r="2196">
      <c r="A2196" s="159"/>
      <c r="B2196" s="158"/>
    </row>
    <row r="2197">
      <c r="A2197" s="159"/>
      <c r="B2197" s="158"/>
    </row>
    <row r="2198">
      <c r="A2198" s="159"/>
      <c r="B2198" s="158"/>
    </row>
    <row r="2199">
      <c r="A2199" s="159"/>
      <c r="B2199" s="158"/>
    </row>
    <row r="2200">
      <c r="A2200" s="159"/>
      <c r="B2200" s="158"/>
    </row>
    <row r="2201">
      <c r="A2201" s="159"/>
      <c r="B2201" s="158"/>
    </row>
    <row r="2202">
      <c r="A2202" s="159"/>
      <c r="B2202" s="158"/>
    </row>
    <row r="2203">
      <c r="A2203" s="159"/>
      <c r="B2203" s="158"/>
    </row>
    <row r="2204">
      <c r="A2204" s="159"/>
      <c r="B2204" s="158"/>
    </row>
    <row r="2205">
      <c r="A2205" s="159"/>
      <c r="B2205" s="158"/>
    </row>
    <row r="2206">
      <c r="A2206" s="159"/>
      <c r="B2206" s="158"/>
    </row>
    <row r="2207">
      <c r="A2207" s="159"/>
      <c r="B2207" s="158"/>
    </row>
    <row r="2208">
      <c r="A2208" s="159"/>
      <c r="B2208" s="158"/>
    </row>
    <row r="2209">
      <c r="A2209" s="159"/>
      <c r="B2209" s="158"/>
    </row>
    <row r="2210">
      <c r="A2210" s="159"/>
      <c r="B2210" s="158"/>
    </row>
    <row r="2211">
      <c r="A2211" s="159"/>
      <c r="B2211" s="158"/>
    </row>
    <row r="2212">
      <c r="A2212" s="159"/>
      <c r="B2212" s="158"/>
    </row>
    <row r="2213">
      <c r="A2213" s="159"/>
      <c r="B2213" s="158"/>
    </row>
    <row r="2214">
      <c r="A2214" s="159"/>
      <c r="B2214" s="158"/>
    </row>
    <row r="2215">
      <c r="A2215" s="159"/>
      <c r="B2215" s="158"/>
    </row>
    <row r="2216">
      <c r="A2216" s="159"/>
      <c r="B2216" s="158"/>
    </row>
    <row r="2217">
      <c r="A2217" s="159"/>
      <c r="B2217" s="158"/>
    </row>
    <row r="2218">
      <c r="A2218" s="159"/>
      <c r="B2218" s="158"/>
    </row>
    <row r="2219">
      <c r="A2219" s="159"/>
      <c r="B2219" s="158"/>
    </row>
    <row r="2220">
      <c r="A2220" s="159"/>
      <c r="B2220" s="158"/>
    </row>
    <row r="2221">
      <c r="A2221" s="159"/>
      <c r="B2221" s="158"/>
    </row>
    <row r="2222">
      <c r="A2222" s="159"/>
      <c r="B2222" s="158"/>
    </row>
    <row r="2223">
      <c r="A2223" s="159"/>
      <c r="B2223" s="158"/>
    </row>
    <row r="2224">
      <c r="A2224" s="159"/>
      <c r="B2224" s="158"/>
    </row>
    <row r="2225">
      <c r="A2225" s="159"/>
      <c r="B2225" s="158"/>
    </row>
    <row r="2226">
      <c r="A2226" s="159"/>
      <c r="B2226" s="158"/>
    </row>
    <row r="2227">
      <c r="A2227" s="159"/>
      <c r="B2227" s="158"/>
    </row>
    <row r="2228">
      <c r="A2228" s="159"/>
      <c r="B2228" s="158"/>
    </row>
    <row r="2229">
      <c r="A2229" s="159"/>
      <c r="B2229" s="158"/>
    </row>
    <row r="2230">
      <c r="A2230" s="159"/>
      <c r="B2230" s="158"/>
    </row>
    <row r="2231">
      <c r="A2231" s="159"/>
      <c r="B2231" s="158"/>
    </row>
    <row r="2232">
      <c r="A2232" s="159"/>
      <c r="B2232" s="158"/>
    </row>
    <row r="2233">
      <c r="A2233" s="159"/>
      <c r="B2233" s="158"/>
    </row>
    <row r="2234">
      <c r="A2234" s="159"/>
      <c r="B2234" s="158"/>
    </row>
    <row r="2235">
      <c r="A2235" s="159"/>
      <c r="B2235" s="158"/>
    </row>
    <row r="2236">
      <c r="A2236" s="159"/>
      <c r="B2236" s="158"/>
    </row>
    <row r="2237">
      <c r="A2237" s="159"/>
      <c r="B2237" s="158"/>
    </row>
    <row r="2238">
      <c r="A2238" s="159"/>
      <c r="B2238" s="158"/>
    </row>
    <row r="2239">
      <c r="A2239" s="159"/>
      <c r="B2239" s="158"/>
    </row>
    <row r="2240">
      <c r="A2240" s="159"/>
      <c r="B2240" s="158"/>
    </row>
    <row r="2241">
      <c r="A2241" s="159"/>
      <c r="B2241" s="158"/>
    </row>
    <row r="2242">
      <c r="A2242" s="159"/>
      <c r="B2242" s="158"/>
    </row>
    <row r="2243">
      <c r="A2243" s="159"/>
      <c r="B2243" s="158"/>
    </row>
    <row r="2244">
      <c r="A2244" s="159"/>
      <c r="B2244" s="158"/>
    </row>
    <row r="2245">
      <c r="A2245" s="159"/>
      <c r="B2245" s="158"/>
    </row>
    <row r="2246">
      <c r="A2246" s="159"/>
      <c r="B2246" s="158"/>
    </row>
    <row r="2247">
      <c r="A2247" s="159"/>
      <c r="B2247" s="158"/>
    </row>
    <row r="2248">
      <c r="A2248" s="159"/>
      <c r="B2248" s="158"/>
    </row>
    <row r="2249">
      <c r="A2249" s="159"/>
      <c r="B2249" s="158"/>
    </row>
    <row r="2250">
      <c r="A2250" s="159"/>
      <c r="B2250" s="158"/>
    </row>
    <row r="2251">
      <c r="A2251" s="159"/>
      <c r="B2251" s="158"/>
    </row>
    <row r="2252">
      <c r="A2252" s="159"/>
      <c r="B2252" s="158"/>
    </row>
    <row r="2253">
      <c r="A2253" s="159"/>
      <c r="B2253" s="158"/>
    </row>
    <row r="2254">
      <c r="A2254" s="159"/>
      <c r="B2254" s="158"/>
    </row>
    <row r="2255">
      <c r="A2255" s="159"/>
      <c r="B2255" s="158"/>
    </row>
    <row r="2256">
      <c r="A2256" s="159"/>
      <c r="B2256" s="158"/>
    </row>
    <row r="2257">
      <c r="A2257" s="159"/>
      <c r="B2257" s="158"/>
    </row>
    <row r="2258">
      <c r="A2258" s="159"/>
      <c r="B2258" s="158"/>
    </row>
    <row r="2259">
      <c r="A2259" s="159"/>
      <c r="B2259" s="158"/>
    </row>
    <row r="2260">
      <c r="A2260" s="159"/>
      <c r="B2260" s="158"/>
    </row>
    <row r="2261">
      <c r="A2261" s="159"/>
      <c r="B2261" s="158"/>
    </row>
    <row r="2262">
      <c r="A2262" s="159"/>
      <c r="B2262" s="158"/>
    </row>
    <row r="2263">
      <c r="A2263" s="159"/>
      <c r="B2263" s="158"/>
    </row>
    <row r="2264">
      <c r="A2264" s="159"/>
      <c r="B2264" s="158"/>
    </row>
    <row r="2265">
      <c r="A2265" s="159"/>
      <c r="B2265" s="158"/>
    </row>
    <row r="2266">
      <c r="A2266" s="159"/>
      <c r="B2266" s="158"/>
    </row>
    <row r="2267">
      <c r="A2267" s="159"/>
      <c r="B2267" s="158"/>
    </row>
    <row r="2268">
      <c r="A2268" s="159"/>
      <c r="B2268" s="158"/>
    </row>
    <row r="2269">
      <c r="A2269" s="159"/>
      <c r="B2269" s="158"/>
    </row>
    <row r="2270">
      <c r="A2270" s="159"/>
      <c r="B2270" s="158"/>
    </row>
    <row r="2271">
      <c r="A2271" s="159"/>
      <c r="B2271" s="158"/>
    </row>
    <row r="2272">
      <c r="A2272" s="159"/>
      <c r="B2272" s="158"/>
    </row>
    <row r="2273">
      <c r="A2273" s="159"/>
      <c r="B2273" s="158"/>
    </row>
    <row r="2274">
      <c r="A2274" s="159"/>
      <c r="B2274" s="158"/>
    </row>
    <row r="2275">
      <c r="A2275" s="159"/>
      <c r="B2275" s="158"/>
    </row>
    <row r="2276">
      <c r="A2276" s="159"/>
      <c r="B2276" s="158"/>
    </row>
    <row r="2277">
      <c r="A2277" s="159"/>
      <c r="B2277" s="158"/>
    </row>
    <row r="2278">
      <c r="A2278" s="159"/>
      <c r="B2278" s="158"/>
    </row>
    <row r="2279">
      <c r="A2279" s="159"/>
      <c r="B2279" s="158"/>
    </row>
    <row r="2280">
      <c r="A2280" s="159"/>
      <c r="B2280" s="158"/>
    </row>
    <row r="2281">
      <c r="A2281" s="159"/>
      <c r="B2281" s="158"/>
    </row>
    <row r="2282">
      <c r="A2282" s="159"/>
      <c r="B2282" s="158"/>
    </row>
    <row r="2283">
      <c r="A2283" s="159"/>
      <c r="B2283" s="158"/>
    </row>
    <row r="2284">
      <c r="A2284" s="159"/>
      <c r="B2284" s="158"/>
    </row>
    <row r="2285">
      <c r="A2285" s="159"/>
      <c r="B2285" s="158"/>
    </row>
    <row r="2286">
      <c r="A2286" s="159"/>
      <c r="B2286" s="158"/>
    </row>
    <row r="2287">
      <c r="A2287" s="159"/>
      <c r="B2287" s="158"/>
    </row>
    <row r="2288">
      <c r="A2288" s="159"/>
      <c r="B2288" s="158"/>
    </row>
    <row r="2289">
      <c r="A2289" s="159"/>
      <c r="B2289" s="158"/>
    </row>
    <row r="2290">
      <c r="A2290" s="159"/>
      <c r="B2290" s="158"/>
    </row>
    <row r="2291">
      <c r="A2291" s="159"/>
      <c r="B2291" s="158"/>
    </row>
    <row r="2292">
      <c r="A2292" s="159"/>
      <c r="B2292" s="158"/>
    </row>
    <row r="2293">
      <c r="A2293" s="159"/>
      <c r="B2293" s="158"/>
    </row>
    <row r="2294">
      <c r="A2294" s="159"/>
      <c r="B2294" s="158"/>
    </row>
    <row r="2295">
      <c r="A2295" s="159"/>
      <c r="B2295" s="158"/>
    </row>
    <row r="2296">
      <c r="A2296" s="159"/>
      <c r="B2296" s="158"/>
    </row>
    <row r="2297">
      <c r="A2297" s="159"/>
      <c r="B2297" s="158"/>
    </row>
    <row r="2298">
      <c r="A2298" s="159"/>
      <c r="B2298" s="158"/>
    </row>
    <row r="2299">
      <c r="A2299" s="159"/>
      <c r="B2299" s="158"/>
    </row>
    <row r="2300">
      <c r="A2300" s="159"/>
      <c r="B2300" s="158"/>
    </row>
    <row r="2301">
      <c r="A2301" s="159"/>
      <c r="B2301" s="158"/>
    </row>
    <row r="2302">
      <c r="A2302" s="159"/>
      <c r="B2302" s="158"/>
    </row>
    <row r="2303">
      <c r="A2303" s="159"/>
      <c r="B2303" s="158"/>
    </row>
    <row r="2304">
      <c r="A2304" s="159"/>
      <c r="B2304" s="158"/>
    </row>
    <row r="2305">
      <c r="A2305" s="159"/>
      <c r="B2305" s="158"/>
    </row>
    <row r="2306">
      <c r="A2306" s="159"/>
      <c r="B2306" s="158"/>
    </row>
    <row r="2307">
      <c r="A2307" s="159"/>
      <c r="B2307" s="158"/>
    </row>
    <row r="2308">
      <c r="A2308" s="159"/>
      <c r="B2308" s="158"/>
    </row>
    <row r="2309">
      <c r="A2309" s="159"/>
      <c r="B2309" s="158"/>
    </row>
    <row r="2310">
      <c r="A2310" s="159"/>
      <c r="B2310" s="158"/>
    </row>
    <row r="2311">
      <c r="A2311" s="159"/>
      <c r="B2311" s="158"/>
    </row>
    <row r="2312">
      <c r="A2312" s="159"/>
      <c r="B2312" s="158"/>
    </row>
    <row r="2313">
      <c r="A2313" s="159"/>
      <c r="B2313" s="158"/>
    </row>
    <row r="2314">
      <c r="A2314" s="159"/>
      <c r="B2314" s="158"/>
    </row>
    <row r="2315">
      <c r="A2315" s="159"/>
      <c r="B2315" s="158"/>
    </row>
    <row r="2316">
      <c r="A2316" s="159"/>
      <c r="B2316" s="158"/>
    </row>
    <row r="2317">
      <c r="A2317" s="159"/>
      <c r="B2317" s="158"/>
    </row>
    <row r="2318">
      <c r="A2318" s="159"/>
      <c r="B2318" s="158"/>
    </row>
    <row r="2319">
      <c r="A2319" s="159"/>
      <c r="B2319" s="158"/>
    </row>
    <row r="2320">
      <c r="A2320" s="159"/>
      <c r="B2320" s="158"/>
    </row>
    <row r="2321">
      <c r="A2321" s="159"/>
      <c r="B2321" s="158"/>
    </row>
    <row r="2322">
      <c r="A2322" s="159"/>
      <c r="B2322" s="158"/>
    </row>
    <row r="2323">
      <c r="A2323" s="159"/>
      <c r="B2323" s="158"/>
    </row>
    <row r="2324">
      <c r="A2324" s="159"/>
      <c r="B2324" s="158"/>
    </row>
    <row r="2325">
      <c r="A2325" s="159"/>
      <c r="B2325" s="158"/>
    </row>
    <row r="2326">
      <c r="A2326" s="159"/>
      <c r="B2326" s="158"/>
    </row>
    <row r="2327">
      <c r="A2327" s="159"/>
      <c r="B2327" s="158"/>
    </row>
    <row r="2328">
      <c r="A2328" s="159"/>
      <c r="B2328" s="158"/>
    </row>
    <row r="2329">
      <c r="A2329" s="159"/>
      <c r="B2329" s="158"/>
    </row>
    <row r="2330">
      <c r="A2330" s="159"/>
      <c r="B2330" s="158"/>
    </row>
    <row r="2331">
      <c r="A2331" s="159"/>
      <c r="B2331" s="158"/>
    </row>
    <row r="2332">
      <c r="A2332" s="159"/>
      <c r="B2332" s="158"/>
    </row>
    <row r="2333">
      <c r="A2333" s="159"/>
      <c r="B2333" s="158"/>
    </row>
    <row r="2334">
      <c r="A2334" s="159"/>
      <c r="B2334" s="158"/>
    </row>
    <row r="2335">
      <c r="A2335" s="159"/>
      <c r="B2335" s="158"/>
    </row>
    <row r="2336">
      <c r="A2336" s="159"/>
      <c r="B2336" s="158"/>
    </row>
    <row r="2337">
      <c r="A2337" s="159"/>
      <c r="B2337" s="158"/>
    </row>
    <row r="2338">
      <c r="A2338" s="159"/>
      <c r="B2338" s="158"/>
    </row>
    <row r="2339">
      <c r="A2339" s="159"/>
      <c r="B2339" s="158"/>
    </row>
    <row r="2340">
      <c r="A2340" s="159"/>
      <c r="B2340" s="158"/>
    </row>
    <row r="2341">
      <c r="A2341" s="159"/>
      <c r="B2341" s="158"/>
    </row>
    <row r="2342">
      <c r="A2342" s="159"/>
      <c r="B2342" s="158"/>
    </row>
    <row r="2343">
      <c r="A2343" s="159"/>
      <c r="B2343" s="158"/>
    </row>
    <row r="2344">
      <c r="A2344" s="159"/>
      <c r="B2344" s="158"/>
    </row>
    <row r="2345">
      <c r="A2345" s="159"/>
      <c r="B2345" s="158"/>
    </row>
    <row r="2346">
      <c r="A2346" s="159"/>
      <c r="B2346" s="158"/>
    </row>
    <row r="2347">
      <c r="A2347" s="159"/>
      <c r="B2347" s="158"/>
    </row>
    <row r="2348">
      <c r="A2348" s="159"/>
      <c r="B2348" s="158"/>
    </row>
    <row r="2349">
      <c r="A2349" s="159"/>
      <c r="B2349" s="158"/>
    </row>
    <row r="2350">
      <c r="A2350" s="159"/>
      <c r="B2350" s="158"/>
    </row>
    <row r="2351">
      <c r="A2351" s="159"/>
      <c r="B2351" s="158"/>
    </row>
    <row r="2352">
      <c r="A2352" s="159"/>
      <c r="B2352" s="158"/>
    </row>
    <row r="2353">
      <c r="A2353" s="159"/>
      <c r="B2353" s="158"/>
    </row>
    <row r="2354">
      <c r="A2354" s="159"/>
      <c r="B2354" s="158"/>
    </row>
    <row r="2355">
      <c r="A2355" s="159"/>
      <c r="B2355" s="158"/>
    </row>
    <row r="2356">
      <c r="A2356" s="159"/>
      <c r="B2356" s="158"/>
    </row>
    <row r="2357">
      <c r="A2357" s="159"/>
      <c r="B2357" s="158"/>
    </row>
    <row r="2358">
      <c r="A2358" s="159"/>
      <c r="B2358" s="158"/>
    </row>
    <row r="2359">
      <c r="A2359" s="159"/>
      <c r="B2359" s="158"/>
    </row>
    <row r="2360">
      <c r="A2360" s="159"/>
      <c r="B2360" s="158"/>
    </row>
    <row r="2361">
      <c r="A2361" s="159"/>
      <c r="B2361" s="158"/>
    </row>
    <row r="2362">
      <c r="A2362" s="159"/>
      <c r="B2362" s="158"/>
    </row>
    <row r="2363">
      <c r="A2363" s="159"/>
      <c r="B2363" s="158"/>
    </row>
    <row r="2364">
      <c r="A2364" s="159"/>
      <c r="B2364" s="158"/>
    </row>
    <row r="2365">
      <c r="A2365" s="159"/>
      <c r="B2365" s="158"/>
    </row>
    <row r="2366">
      <c r="A2366" s="159"/>
      <c r="B2366" s="158"/>
    </row>
    <row r="2367">
      <c r="A2367" s="159"/>
      <c r="B2367" s="158"/>
    </row>
    <row r="2368">
      <c r="A2368" s="159"/>
      <c r="B2368" s="158"/>
    </row>
    <row r="2369">
      <c r="A2369" s="159"/>
      <c r="B2369" s="158"/>
    </row>
    <row r="2370">
      <c r="A2370" s="159"/>
      <c r="B2370" s="158"/>
    </row>
    <row r="2371">
      <c r="A2371" s="159"/>
      <c r="B2371" s="158"/>
    </row>
    <row r="2372">
      <c r="A2372" s="159"/>
      <c r="B2372" s="158"/>
    </row>
    <row r="2373">
      <c r="A2373" s="159"/>
      <c r="B2373" s="158"/>
    </row>
    <row r="2374">
      <c r="A2374" s="159"/>
      <c r="B2374" s="158"/>
    </row>
    <row r="2375">
      <c r="A2375" s="159"/>
      <c r="B2375" s="158"/>
    </row>
    <row r="2376">
      <c r="A2376" s="159"/>
      <c r="B2376" s="158"/>
    </row>
    <row r="2377">
      <c r="A2377" s="159"/>
      <c r="B2377" s="158"/>
    </row>
    <row r="2378">
      <c r="A2378" s="159"/>
      <c r="B2378" s="158"/>
    </row>
    <row r="2379">
      <c r="A2379" s="159"/>
      <c r="B2379" s="158"/>
    </row>
    <row r="2380">
      <c r="A2380" s="159"/>
      <c r="B2380" s="158"/>
    </row>
    <row r="2381">
      <c r="A2381" s="159"/>
      <c r="B2381" s="158"/>
    </row>
    <row r="2382">
      <c r="A2382" s="159"/>
      <c r="B2382" s="158"/>
    </row>
    <row r="2383">
      <c r="A2383" s="159"/>
      <c r="B2383" s="158"/>
    </row>
    <row r="2384">
      <c r="A2384" s="159"/>
      <c r="B2384" s="158"/>
    </row>
    <row r="2385">
      <c r="A2385" s="159"/>
      <c r="B2385" s="158"/>
    </row>
    <row r="2386">
      <c r="A2386" s="159"/>
      <c r="B2386" s="158"/>
    </row>
    <row r="2387">
      <c r="A2387" s="159"/>
      <c r="B2387" s="158"/>
    </row>
    <row r="2388">
      <c r="A2388" s="159"/>
      <c r="B2388" s="158"/>
    </row>
    <row r="2389">
      <c r="A2389" s="159"/>
      <c r="B2389" s="158"/>
    </row>
    <row r="2390">
      <c r="A2390" s="159"/>
      <c r="B2390" s="158"/>
    </row>
    <row r="2391">
      <c r="A2391" s="159"/>
      <c r="B2391" s="158"/>
    </row>
    <row r="2392">
      <c r="A2392" s="159"/>
      <c r="B2392" s="158"/>
    </row>
    <row r="2393">
      <c r="A2393" s="159"/>
      <c r="B2393" s="158"/>
    </row>
    <row r="2394">
      <c r="A2394" s="159"/>
      <c r="B2394" s="158"/>
    </row>
    <row r="2395">
      <c r="A2395" s="159"/>
      <c r="B2395" s="158"/>
    </row>
    <row r="2396">
      <c r="A2396" s="159"/>
      <c r="B2396" s="158"/>
    </row>
    <row r="2397">
      <c r="A2397" s="159"/>
      <c r="B2397" s="158"/>
    </row>
    <row r="2398">
      <c r="A2398" s="159"/>
      <c r="B2398" s="158"/>
    </row>
    <row r="2399">
      <c r="A2399" s="159"/>
      <c r="B2399" s="158"/>
    </row>
    <row r="2400">
      <c r="A2400" s="159"/>
      <c r="B2400" s="158"/>
    </row>
    <row r="2401">
      <c r="A2401" s="159"/>
      <c r="B2401" s="158"/>
    </row>
    <row r="2402">
      <c r="A2402" s="159"/>
      <c r="B2402" s="158"/>
    </row>
    <row r="2403">
      <c r="A2403" s="159"/>
      <c r="B2403" s="158"/>
    </row>
    <row r="2404">
      <c r="A2404" s="159"/>
      <c r="B2404" s="158"/>
    </row>
    <row r="2405">
      <c r="A2405" s="159"/>
      <c r="B2405" s="158"/>
    </row>
    <row r="2406">
      <c r="A2406" s="159"/>
      <c r="B2406" s="158"/>
    </row>
    <row r="2407">
      <c r="A2407" s="159"/>
      <c r="B2407" s="158"/>
    </row>
    <row r="2408">
      <c r="A2408" s="159"/>
      <c r="B2408" s="158"/>
    </row>
    <row r="2409">
      <c r="A2409" s="159"/>
      <c r="B2409" s="158"/>
    </row>
    <row r="2410">
      <c r="A2410" s="159"/>
      <c r="B2410" s="158"/>
    </row>
    <row r="2411">
      <c r="A2411" s="159"/>
      <c r="B2411" s="158"/>
    </row>
    <row r="2412">
      <c r="A2412" s="159"/>
      <c r="B2412" s="158"/>
    </row>
    <row r="2413">
      <c r="A2413" s="159"/>
      <c r="B2413" s="158"/>
    </row>
    <row r="2414">
      <c r="A2414" s="159"/>
      <c r="B2414" s="158"/>
    </row>
    <row r="2415">
      <c r="A2415" s="159"/>
      <c r="B2415" s="158"/>
    </row>
    <row r="2416">
      <c r="A2416" s="159"/>
      <c r="B2416" s="158"/>
    </row>
    <row r="2417">
      <c r="A2417" s="159"/>
      <c r="B2417" s="158"/>
    </row>
    <row r="2418">
      <c r="A2418" s="159"/>
      <c r="B2418" s="158"/>
    </row>
    <row r="2419">
      <c r="A2419" s="159"/>
      <c r="B2419" s="158"/>
    </row>
    <row r="2420">
      <c r="A2420" s="159"/>
      <c r="B2420" s="158"/>
    </row>
    <row r="2421">
      <c r="A2421" s="159"/>
      <c r="B2421" s="158"/>
    </row>
    <row r="2422">
      <c r="A2422" s="159"/>
      <c r="B2422" s="158"/>
    </row>
    <row r="2423">
      <c r="A2423" s="159"/>
      <c r="B2423" s="158"/>
    </row>
    <row r="2424">
      <c r="A2424" s="159"/>
      <c r="B2424" s="158"/>
    </row>
    <row r="2425">
      <c r="A2425" s="159"/>
      <c r="B2425" s="158"/>
    </row>
    <row r="2426">
      <c r="A2426" s="159"/>
      <c r="B2426" s="158"/>
    </row>
    <row r="2427">
      <c r="A2427" s="159"/>
      <c r="B2427" s="158"/>
    </row>
    <row r="2428">
      <c r="A2428" s="159"/>
      <c r="B2428" s="158"/>
    </row>
    <row r="2429">
      <c r="A2429" s="159"/>
      <c r="B2429" s="158"/>
    </row>
    <row r="2430">
      <c r="A2430" s="159"/>
      <c r="B2430" s="158"/>
    </row>
    <row r="2431">
      <c r="A2431" s="159"/>
      <c r="B2431" s="158"/>
    </row>
    <row r="2432">
      <c r="A2432" s="159"/>
      <c r="B2432" s="158"/>
    </row>
    <row r="2433">
      <c r="A2433" s="159"/>
      <c r="B2433" s="158"/>
    </row>
    <row r="2434">
      <c r="A2434" s="159"/>
      <c r="B2434" s="158"/>
    </row>
    <row r="2435">
      <c r="A2435" s="159"/>
      <c r="B2435" s="158"/>
    </row>
    <row r="2436">
      <c r="A2436" s="159"/>
      <c r="B2436" s="158"/>
    </row>
    <row r="2437">
      <c r="A2437" s="159"/>
      <c r="B2437" s="158"/>
    </row>
    <row r="2438">
      <c r="A2438" s="159"/>
      <c r="B2438" s="158"/>
    </row>
    <row r="2439">
      <c r="A2439" s="159"/>
      <c r="B2439" s="158"/>
    </row>
    <row r="2440">
      <c r="A2440" s="159"/>
      <c r="B2440" s="158"/>
    </row>
    <row r="2441">
      <c r="A2441" s="159"/>
      <c r="B2441" s="158"/>
    </row>
    <row r="2442">
      <c r="A2442" s="159"/>
      <c r="B2442" s="158"/>
    </row>
    <row r="2443">
      <c r="A2443" s="159"/>
      <c r="B2443" s="158"/>
    </row>
    <row r="2444">
      <c r="A2444" s="159"/>
      <c r="B2444" s="158"/>
    </row>
    <row r="2445">
      <c r="A2445" s="159"/>
      <c r="B2445" s="158"/>
    </row>
    <row r="2446">
      <c r="A2446" s="159"/>
      <c r="B2446" s="158"/>
    </row>
    <row r="2447">
      <c r="A2447" s="159"/>
      <c r="B2447" s="158"/>
    </row>
    <row r="2448">
      <c r="A2448" s="159"/>
      <c r="B2448" s="158"/>
    </row>
    <row r="2449">
      <c r="A2449" s="159"/>
      <c r="B2449" s="158"/>
    </row>
    <row r="2450">
      <c r="A2450" s="159"/>
      <c r="B2450" s="158"/>
    </row>
    <row r="2451">
      <c r="A2451" s="159"/>
      <c r="B2451" s="158"/>
    </row>
    <row r="2452">
      <c r="A2452" s="159"/>
      <c r="B2452" s="158"/>
    </row>
    <row r="2453">
      <c r="A2453" s="159"/>
      <c r="B2453" s="158"/>
    </row>
    <row r="2454">
      <c r="A2454" s="159"/>
      <c r="B2454" s="158"/>
    </row>
    <row r="2455">
      <c r="A2455" s="159"/>
      <c r="B2455" s="158"/>
    </row>
    <row r="2456">
      <c r="A2456" s="159"/>
      <c r="B2456" s="158"/>
    </row>
    <row r="2457">
      <c r="A2457" s="159"/>
      <c r="B2457" s="158"/>
    </row>
    <row r="2458">
      <c r="A2458" s="159"/>
      <c r="B2458" s="158"/>
    </row>
    <row r="2459">
      <c r="A2459" s="159"/>
      <c r="B2459" s="158"/>
    </row>
    <row r="2460">
      <c r="A2460" s="159"/>
      <c r="B2460" s="158"/>
    </row>
    <row r="2461">
      <c r="A2461" s="159"/>
      <c r="B2461" s="158"/>
    </row>
    <row r="2462">
      <c r="A2462" s="159"/>
      <c r="B2462" s="158"/>
    </row>
    <row r="2463">
      <c r="A2463" s="159"/>
      <c r="B2463" s="158"/>
    </row>
    <row r="2464">
      <c r="A2464" s="159"/>
      <c r="B2464" s="158"/>
    </row>
    <row r="2465">
      <c r="A2465" s="159"/>
      <c r="B2465" s="158"/>
    </row>
    <row r="2466">
      <c r="A2466" s="159"/>
      <c r="B2466" s="158"/>
    </row>
    <row r="2467">
      <c r="A2467" s="159"/>
      <c r="B2467" s="158"/>
    </row>
    <row r="2468">
      <c r="A2468" s="159"/>
      <c r="B2468" s="158"/>
    </row>
    <row r="2469">
      <c r="A2469" s="159"/>
      <c r="B2469" s="158"/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20.5"/>
    <col customWidth="1" min="5" max="5" width="26.13"/>
  </cols>
  <sheetData>
    <row r="1">
      <c r="A1" s="12" t="s">
        <v>1654</v>
      </c>
      <c r="B1" s="12" t="s">
        <v>1</v>
      </c>
      <c r="C1" s="19" t="s">
        <v>3706</v>
      </c>
      <c r="D1" s="114" t="s">
        <v>3707</v>
      </c>
      <c r="E1" s="165" t="s">
        <v>3708</v>
      </c>
      <c r="F1" s="166">
        <v>193.0</v>
      </c>
    </row>
    <row r="2">
      <c r="A2" s="12" t="s">
        <v>3547</v>
      </c>
      <c r="B2" s="12">
        <v>6706.0</v>
      </c>
      <c r="C2" s="167">
        <v>1.0</v>
      </c>
      <c r="D2" s="7"/>
      <c r="E2" s="168" t="s">
        <v>2008</v>
      </c>
      <c r="F2" s="169">
        <v>4.0</v>
      </c>
    </row>
    <row r="3">
      <c r="A3" s="170" t="s">
        <v>3548</v>
      </c>
      <c r="B3" s="170">
        <v>6729.0</v>
      </c>
      <c r="C3" s="167" t="e">
        <v>#N/A</v>
      </c>
      <c r="D3" s="7"/>
      <c r="E3" s="168" t="s">
        <v>3709</v>
      </c>
      <c r="F3" s="169">
        <v>133.0</v>
      </c>
    </row>
    <row r="4">
      <c r="A4" s="170" t="s">
        <v>3549</v>
      </c>
      <c r="B4" s="170">
        <v>7040.0</v>
      </c>
      <c r="C4" s="167" t="e">
        <v>#N/A</v>
      </c>
      <c r="D4" s="7"/>
      <c r="E4" s="168" t="s">
        <v>3710</v>
      </c>
      <c r="F4" s="171">
        <v>17.0</v>
      </c>
    </row>
    <row r="5">
      <c r="A5" s="170" t="s">
        <v>3550</v>
      </c>
      <c r="B5" s="170">
        <v>2345.0</v>
      </c>
      <c r="C5" s="167" t="e">
        <v>#N/A</v>
      </c>
      <c r="D5" s="7"/>
      <c r="E5" s="168" t="s">
        <v>3711</v>
      </c>
      <c r="F5" s="172">
        <v>39.0</v>
      </c>
    </row>
    <row r="6">
      <c r="A6" s="170" t="s">
        <v>3551</v>
      </c>
      <c r="B6" s="170">
        <v>6675.0</v>
      </c>
      <c r="C6" s="167" t="e">
        <v>#N/A</v>
      </c>
      <c r="D6" s="7"/>
      <c r="E6" s="168" t="s">
        <v>3712</v>
      </c>
      <c r="F6" s="173">
        <v>0.0</v>
      </c>
    </row>
    <row r="7">
      <c r="A7" s="170" t="s">
        <v>3552</v>
      </c>
      <c r="B7" s="170">
        <v>189.0</v>
      </c>
      <c r="C7" s="167" t="e">
        <v>#N/A</v>
      </c>
      <c r="E7" s="21"/>
      <c r="F7" s="39"/>
    </row>
    <row r="8">
      <c r="A8" s="170" t="s">
        <v>3553</v>
      </c>
      <c r="B8" s="170">
        <v>7083.0</v>
      </c>
      <c r="C8" s="167" t="e">
        <v>#N/A</v>
      </c>
      <c r="E8" s="21"/>
      <c r="F8" s="39"/>
    </row>
    <row r="9">
      <c r="A9" s="170" t="s">
        <v>3704</v>
      </c>
      <c r="B9" s="170">
        <v>6671.0</v>
      </c>
      <c r="C9" s="167" t="e">
        <v>#N/A</v>
      </c>
      <c r="E9" s="21"/>
      <c r="F9" s="39"/>
    </row>
    <row r="10">
      <c r="A10" s="170" t="s">
        <v>3705</v>
      </c>
      <c r="B10" s="170">
        <v>6706.0</v>
      </c>
      <c r="C10" s="167" t="e">
        <v>#N/A</v>
      </c>
      <c r="E10" s="174"/>
      <c r="F10" s="39"/>
    </row>
    <row r="11">
      <c r="A11" s="25" t="s">
        <v>65</v>
      </c>
      <c r="B11" s="25">
        <v>14298.0</v>
      </c>
      <c r="C11" s="167">
        <v>18.0</v>
      </c>
      <c r="E11" s="174"/>
      <c r="F11" s="39"/>
    </row>
    <row r="12">
      <c r="A12" s="25" t="s">
        <v>66</v>
      </c>
      <c r="B12" s="25">
        <v>6729.0</v>
      </c>
      <c r="C12" s="167">
        <v>105.0</v>
      </c>
      <c r="E12" s="174"/>
      <c r="F12" s="39"/>
    </row>
    <row r="13">
      <c r="A13" s="12" t="s">
        <v>67</v>
      </c>
      <c r="B13" s="12">
        <v>6729.0</v>
      </c>
      <c r="C13" s="167">
        <v>6.0</v>
      </c>
      <c r="E13" s="174"/>
      <c r="F13" s="39"/>
    </row>
    <row r="14">
      <c r="A14" s="12" t="s">
        <v>68</v>
      </c>
      <c r="B14" s="12">
        <v>6729.0</v>
      </c>
      <c r="C14" s="167">
        <v>5.0</v>
      </c>
      <c r="E14" s="174"/>
      <c r="F14" s="39"/>
    </row>
    <row r="15">
      <c r="A15" s="170" t="s">
        <v>69</v>
      </c>
      <c r="B15" s="170">
        <v>6772.0</v>
      </c>
      <c r="C15" s="167" t="e">
        <v>#N/A</v>
      </c>
      <c r="E15" s="174"/>
      <c r="F15" s="39"/>
    </row>
    <row r="16">
      <c r="A16" s="12" t="s">
        <v>70</v>
      </c>
      <c r="B16" s="12">
        <v>7083.0</v>
      </c>
      <c r="C16" s="167">
        <v>3.0</v>
      </c>
      <c r="E16" s="174"/>
      <c r="F16" s="39"/>
    </row>
    <row r="17">
      <c r="A17" s="12" t="s">
        <v>71</v>
      </c>
      <c r="B17" s="12">
        <v>13952.0</v>
      </c>
      <c r="C17" s="167">
        <v>1.0</v>
      </c>
      <c r="E17" s="174"/>
      <c r="F17" s="39"/>
    </row>
    <row r="18">
      <c r="A18" s="25" t="s">
        <v>72</v>
      </c>
      <c r="B18" s="25">
        <v>5458.0</v>
      </c>
      <c r="C18" s="167">
        <v>23.0</v>
      </c>
      <c r="E18" s="174"/>
      <c r="F18" s="39"/>
    </row>
    <row r="19">
      <c r="A19" s="25" t="s">
        <v>73</v>
      </c>
      <c r="B19" s="25">
        <v>5458.0</v>
      </c>
      <c r="C19" s="167">
        <v>25.0</v>
      </c>
      <c r="E19" s="174"/>
      <c r="F19" s="39"/>
    </row>
    <row r="20">
      <c r="A20" s="12" t="s">
        <v>74</v>
      </c>
      <c r="B20" s="12">
        <v>14337.0</v>
      </c>
      <c r="C20" s="167">
        <v>1.0</v>
      </c>
      <c r="E20" s="174"/>
      <c r="F20" s="39"/>
    </row>
    <row r="21">
      <c r="A21" s="12" t="s">
        <v>75</v>
      </c>
      <c r="B21" s="12">
        <v>986.0</v>
      </c>
      <c r="C21" s="167">
        <v>3.0</v>
      </c>
      <c r="E21" s="174"/>
      <c r="F21" s="39"/>
    </row>
    <row r="22">
      <c r="A22" s="170" t="s">
        <v>76</v>
      </c>
      <c r="B22" s="170">
        <v>986.0</v>
      </c>
      <c r="C22" s="167" t="e">
        <v>#N/A</v>
      </c>
      <c r="E22" s="174"/>
      <c r="F22" s="39"/>
    </row>
    <row r="23">
      <c r="A23" s="170" t="s">
        <v>77</v>
      </c>
      <c r="B23" s="170">
        <v>986.0</v>
      </c>
      <c r="C23" s="167" t="e">
        <v>#N/A</v>
      </c>
      <c r="E23" s="174"/>
      <c r="F23" s="39"/>
    </row>
    <row r="24">
      <c r="A24" s="12" t="s">
        <v>78</v>
      </c>
      <c r="B24" s="12">
        <v>12932.0</v>
      </c>
      <c r="C24" s="167">
        <v>1.0</v>
      </c>
      <c r="E24" s="174"/>
      <c r="F24" s="39"/>
    </row>
    <row r="25">
      <c r="A25" s="25" t="s">
        <v>79</v>
      </c>
      <c r="B25" s="25">
        <v>6779.0</v>
      </c>
      <c r="C25" s="167" t="e">
        <v>#N/A</v>
      </c>
      <c r="E25" s="174"/>
      <c r="F25" s="39"/>
    </row>
    <row r="26">
      <c r="A26" s="170" t="s">
        <v>80</v>
      </c>
      <c r="B26" s="170">
        <v>6675.0</v>
      </c>
      <c r="C26" s="167" t="e">
        <v>#N/A</v>
      </c>
      <c r="E26" s="174"/>
      <c r="F26" s="39"/>
    </row>
    <row r="27">
      <c r="A27" s="170" t="s">
        <v>81</v>
      </c>
      <c r="B27" s="170">
        <v>6675.0</v>
      </c>
      <c r="C27" s="167" t="e">
        <v>#N/A</v>
      </c>
      <c r="E27" s="174"/>
      <c r="F27" s="39"/>
    </row>
    <row r="28">
      <c r="A28" s="170" t="s">
        <v>82</v>
      </c>
      <c r="B28" s="170">
        <v>6675.0</v>
      </c>
      <c r="C28" s="167" t="e">
        <v>#N/A</v>
      </c>
      <c r="E28" s="174"/>
      <c r="F28" s="39"/>
    </row>
    <row r="29">
      <c r="A29" s="170" t="s">
        <v>83</v>
      </c>
      <c r="B29" s="170">
        <v>6675.0</v>
      </c>
      <c r="C29" s="167" t="e">
        <v>#N/A</v>
      </c>
      <c r="E29" s="174"/>
      <c r="F29" s="39"/>
    </row>
    <row r="30">
      <c r="A30" s="170" t="s">
        <v>84</v>
      </c>
      <c r="B30" s="170">
        <v>6675.0</v>
      </c>
      <c r="C30" s="167" t="e">
        <v>#N/A</v>
      </c>
      <c r="E30" s="174"/>
      <c r="F30" s="39"/>
    </row>
    <row r="31">
      <c r="A31" s="170" t="s">
        <v>85</v>
      </c>
      <c r="B31" s="170">
        <v>6675.0</v>
      </c>
      <c r="C31" s="167" t="e">
        <v>#N/A</v>
      </c>
      <c r="E31" s="174"/>
      <c r="F31" s="39"/>
    </row>
    <row r="32">
      <c r="A32" s="25" t="s">
        <v>86</v>
      </c>
      <c r="B32" s="78">
        <v>12262.0</v>
      </c>
      <c r="C32" s="167" t="e">
        <v>#N/A</v>
      </c>
      <c r="E32" s="174"/>
      <c r="F32" s="39"/>
    </row>
    <row r="33">
      <c r="A33" s="25" t="s">
        <v>87</v>
      </c>
      <c r="B33" s="25">
        <v>3307.0</v>
      </c>
      <c r="C33" s="167" t="e">
        <v>#N/A</v>
      </c>
    </row>
    <row r="34">
      <c r="A34" s="25" t="s">
        <v>88</v>
      </c>
      <c r="B34" s="11">
        <v>14480.0</v>
      </c>
      <c r="C34" s="167" t="e">
        <v>#N/A</v>
      </c>
    </row>
    <row r="35">
      <c r="A35" s="25" t="s">
        <v>89</v>
      </c>
      <c r="B35" s="25">
        <v>499.0</v>
      </c>
      <c r="C35" s="167" t="e">
        <v>#N/A</v>
      </c>
    </row>
    <row r="36">
      <c r="A36" s="170" t="s">
        <v>90</v>
      </c>
      <c r="B36" s="170">
        <v>6893.0</v>
      </c>
      <c r="C36" s="167" t="e">
        <v>#N/A</v>
      </c>
    </row>
    <row r="37">
      <c r="A37" s="25" t="s">
        <v>91</v>
      </c>
      <c r="B37" s="25">
        <v>12388.0</v>
      </c>
      <c r="C37" s="167" t="e">
        <v>#N/A</v>
      </c>
    </row>
    <row r="38">
      <c r="A38" s="25" t="s">
        <v>92</v>
      </c>
      <c r="B38" s="25">
        <v>6669.0</v>
      </c>
      <c r="C38" s="167" t="e">
        <v>#N/A</v>
      </c>
    </row>
    <row r="39">
      <c r="A39" s="25" t="s">
        <v>93</v>
      </c>
      <c r="B39" s="16">
        <v>14659.0</v>
      </c>
      <c r="C39" s="167" t="e">
        <v>#N/A</v>
      </c>
    </row>
    <row r="40">
      <c r="A40" s="25" t="s">
        <v>94</v>
      </c>
      <c r="B40" s="78"/>
      <c r="C40" s="167" t="e">
        <v>#N/A</v>
      </c>
    </row>
    <row r="41">
      <c r="A41" s="25" t="s">
        <v>95</v>
      </c>
      <c r="B41" s="25">
        <v>6722.0</v>
      </c>
      <c r="C41" s="167" t="e">
        <v>#N/A</v>
      </c>
    </row>
    <row r="42">
      <c r="A42" s="25" t="s">
        <v>96</v>
      </c>
      <c r="B42" s="78"/>
      <c r="C42" s="167" t="e">
        <v>#N/A</v>
      </c>
    </row>
    <row r="43">
      <c r="A43" s="25" t="s">
        <v>97</v>
      </c>
      <c r="B43" s="25">
        <v>14580.0</v>
      </c>
      <c r="C43" s="167" t="e">
        <v>#N/A</v>
      </c>
    </row>
    <row r="44">
      <c r="A44" s="175" t="s">
        <v>98</v>
      </c>
      <c r="B44" s="175">
        <v>7031.0</v>
      </c>
      <c r="C44" s="167">
        <v>8.0</v>
      </c>
    </row>
    <row r="45">
      <c r="A45" s="12" t="s">
        <v>99</v>
      </c>
      <c r="B45" s="12">
        <v>6829.0</v>
      </c>
      <c r="C45" s="167">
        <v>6.0</v>
      </c>
    </row>
    <row r="46">
      <c r="A46" s="12" t="s">
        <v>100</v>
      </c>
      <c r="B46" s="12">
        <v>11601.0</v>
      </c>
      <c r="C46" s="167">
        <v>7.0</v>
      </c>
    </row>
    <row r="47">
      <c r="A47" s="25" t="s">
        <v>101</v>
      </c>
      <c r="B47" s="78"/>
      <c r="C47" s="167" t="e">
        <v>#N/A</v>
      </c>
    </row>
    <row r="48">
      <c r="A48" s="25" t="s">
        <v>102</v>
      </c>
      <c r="B48" s="11">
        <v>7747.0</v>
      </c>
      <c r="C48" s="167" t="e">
        <v>#N/A</v>
      </c>
    </row>
    <row r="49">
      <c r="A49" s="170" t="s">
        <v>103</v>
      </c>
      <c r="B49" s="170">
        <v>7033.0</v>
      </c>
      <c r="C49" s="167" t="e">
        <v>#N/A</v>
      </c>
    </row>
    <row r="50">
      <c r="A50" s="25" t="s">
        <v>104</v>
      </c>
      <c r="B50" s="78"/>
      <c r="C50" s="167" t="e">
        <v>#N/A</v>
      </c>
    </row>
    <row r="51">
      <c r="A51" s="170" t="s">
        <v>105</v>
      </c>
      <c r="B51" s="170">
        <v>13952.0</v>
      </c>
      <c r="C51" s="167" t="e">
        <v>#N/A</v>
      </c>
    </row>
    <row r="52">
      <c r="A52" s="25" t="s">
        <v>3554</v>
      </c>
      <c r="B52" s="78"/>
      <c r="C52" s="167" t="e">
        <v>#N/A</v>
      </c>
    </row>
    <row r="53">
      <c r="A53" s="25" t="s">
        <v>3555</v>
      </c>
      <c r="B53" s="78"/>
      <c r="C53" s="167" t="e">
        <v>#N/A</v>
      </c>
    </row>
    <row r="54">
      <c r="A54" s="25" t="s">
        <v>3556</v>
      </c>
      <c r="B54" s="78"/>
      <c r="C54" s="167" t="e">
        <v>#N/A</v>
      </c>
    </row>
    <row r="55">
      <c r="A55" s="25" t="s">
        <v>3557</v>
      </c>
      <c r="B55" s="78"/>
      <c r="C55" s="167" t="e">
        <v>#N/A</v>
      </c>
    </row>
    <row r="56">
      <c r="A56" s="12" t="s">
        <v>3558</v>
      </c>
      <c r="B56" s="12">
        <v>12609.0</v>
      </c>
      <c r="C56" s="167">
        <v>4.0</v>
      </c>
    </row>
    <row r="57">
      <c r="A57" s="25" t="s">
        <v>3559</v>
      </c>
      <c r="B57" s="78"/>
      <c r="C57" s="167" t="e">
        <v>#N/A</v>
      </c>
    </row>
    <row r="58">
      <c r="A58" s="25" t="s">
        <v>3560</v>
      </c>
      <c r="B58" s="78"/>
      <c r="C58" s="167" t="e">
        <v>#N/A</v>
      </c>
    </row>
    <row r="59">
      <c r="A59" s="25" t="s">
        <v>3561</v>
      </c>
      <c r="B59" s="78"/>
      <c r="C59" s="167" t="e">
        <v>#N/A</v>
      </c>
    </row>
    <row r="60">
      <c r="A60" s="25" t="s">
        <v>3562</v>
      </c>
      <c r="B60" s="78"/>
      <c r="C60" s="167" t="e">
        <v>#N/A</v>
      </c>
    </row>
    <row r="61">
      <c r="A61" s="170" t="s">
        <v>3563</v>
      </c>
      <c r="B61" s="170">
        <v>6109.0</v>
      </c>
      <c r="C61" s="167" t="e">
        <v>#N/A</v>
      </c>
    </row>
    <row r="62">
      <c r="A62" s="25" t="s">
        <v>3564</v>
      </c>
      <c r="B62" s="78"/>
      <c r="C62" s="167" t="e">
        <v>#N/A</v>
      </c>
    </row>
    <row r="63">
      <c r="A63" s="25" t="s">
        <v>3565</v>
      </c>
      <c r="B63" s="78"/>
      <c r="C63" s="167" t="e">
        <v>#N/A</v>
      </c>
    </row>
    <row r="64">
      <c r="A64" s="25" t="s">
        <v>3566</v>
      </c>
      <c r="B64" s="78"/>
      <c r="C64" s="167" t="e">
        <v>#N/A</v>
      </c>
    </row>
    <row r="65">
      <c r="A65" s="25" t="s">
        <v>3567</v>
      </c>
      <c r="B65" s="78"/>
      <c r="C65" s="167" t="e">
        <v>#N/A</v>
      </c>
    </row>
    <row r="66">
      <c r="A66" s="25" t="s">
        <v>3568</v>
      </c>
      <c r="B66" s="25">
        <v>14594.0</v>
      </c>
      <c r="C66" s="167" t="e">
        <v>#N/A</v>
      </c>
    </row>
    <row r="67">
      <c r="A67" s="25" t="s">
        <v>3569</v>
      </c>
      <c r="B67" s="25">
        <v>6668.0</v>
      </c>
      <c r="C67" s="167" t="e">
        <v>#N/A</v>
      </c>
    </row>
    <row r="68">
      <c r="A68" s="25" t="s">
        <v>3570</v>
      </c>
      <c r="B68" s="25">
        <v>6668.0</v>
      </c>
      <c r="C68" s="167" t="e">
        <v>#N/A</v>
      </c>
    </row>
    <row r="69">
      <c r="A69" s="25" t="s">
        <v>3571</v>
      </c>
      <c r="B69" s="78"/>
      <c r="C69" s="167" t="e">
        <v>#N/A</v>
      </c>
    </row>
    <row r="70">
      <c r="A70" s="25" t="s">
        <v>3572</v>
      </c>
      <c r="B70" s="78"/>
      <c r="C70" s="167" t="e">
        <v>#N/A</v>
      </c>
    </row>
    <row r="71">
      <c r="A71" s="170" t="s">
        <v>3573</v>
      </c>
      <c r="B71" s="170">
        <v>7003.0</v>
      </c>
      <c r="C71" s="167" t="e">
        <v>#N/A</v>
      </c>
    </row>
    <row r="72">
      <c r="A72" s="25" t="s">
        <v>3574</v>
      </c>
      <c r="B72" s="78"/>
      <c r="C72" s="167" t="e">
        <v>#N/A</v>
      </c>
    </row>
    <row r="73">
      <c r="A73" s="25" t="s">
        <v>3575</v>
      </c>
      <c r="B73" s="78"/>
      <c r="C73" s="167" t="e">
        <v>#N/A</v>
      </c>
    </row>
    <row r="74">
      <c r="A74" s="25" t="s">
        <v>3576</v>
      </c>
      <c r="B74" s="78"/>
      <c r="C74" s="167" t="e">
        <v>#N/A</v>
      </c>
    </row>
    <row r="75">
      <c r="A75" s="25" t="s">
        <v>3577</v>
      </c>
      <c r="B75" s="78"/>
      <c r="C75" s="167" t="e">
        <v>#N/A</v>
      </c>
    </row>
    <row r="76">
      <c r="A76" s="170" t="s">
        <v>3578</v>
      </c>
      <c r="B76" s="170">
        <v>663.0</v>
      </c>
      <c r="C76" s="167" t="e">
        <v>#N/A</v>
      </c>
    </row>
    <row r="77">
      <c r="A77" s="170" t="s">
        <v>3579</v>
      </c>
      <c r="B77" s="170">
        <v>663.0</v>
      </c>
      <c r="C77" s="167" t="e">
        <v>#N/A</v>
      </c>
    </row>
    <row r="78">
      <c r="A78" s="170" t="s">
        <v>3580</v>
      </c>
      <c r="B78" s="170">
        <v>7100.0</v>
      </c>
      <c r="C78" s="167" t="e">
        <v>#N/A</v>
      </c>
    </row>
    <row r="79">
      <c r="A79" s="25" t="s">
        <v>3581</v>
      </c>
      <c r="B79" s="78"/>
      <c r="C79" s="167" t="e">
        <v>#N/A</v>
      </c>
    </row>
    <row r="80">
      <c r="A80" s="25" t="s">
        <v>3582</v>
      </c>
      <c r="B80" s="78"/>
      <c r="C80" s="167" t="e">
        <v>#N/A</v>
      </c>
    </row>
    <row r="81">
      <c r="A81" s="12" t="s">
        <v>3583</v>
      </c>
      <c r="B81" s="12">
        <v>6774.0</v>
      </c>
      <c r="C81" s="167">
        <v>1.0</v>
      </c>
    </row>
    <row r="82">
      <c r="A82" s="25" t="s">
        <v>3584</v>
      </c>
      <c r="B82" s="78"/>
      <c r="C82" s="167" t="e">
        <v>#N/A</v>
      </c>
    </row>
    <row r="83">
      <c r="A83" s="25" t="s">
        <v>3585</v>
      </c>
      <c r="B83" s="78"/>
      <c r="C83" s="167" t="e">
        <v>#N/A</v>
      </c>
    </row>
    <row r="84">
      <c r="A84" s="25" t="s">
        <v>3586</v>
      </c>
      <c r="B84" s="78"/>
      <c r="C84" s="167" t="e">
        <v>#N/A</v>
      </c>
    </row>
    <row r="85">
      <c r="A85" s="170" t="s">
        <v>3587</v>
      </c>
      <c r="B85" s="170">
        <v>6726.0</v>
      </c>
      <c r="C85" s="167" t="e">
        <v>#N/A</v>
      </c>
    </row>
    <row r="86">
      <c r="A86" s="170" t="s">
        <v>3588</v>
      </c>
      <c r="B86" s="170">
        <v>6726.0</v>
      </c>
      <c r="C86" s="167" t="e">
        <v>#N/A</v>
      </c>
    </row>
    <row r="87">
      <c r="A87" s="25" t="s">
        <v>3589</v>
      </c>
      <c r="B87" s="25">
        <v>3404.0</v>
      </c>
      <c r="C87" s="167" t="e">
        <v>#N/A</v>
      </c>
    </row>
    <row r="88">
      <c r="A88" s="25" t="s">
        <v>3590</v>
      </c>
      <c r="B88" s="78"/>
      <c r="C88" s="167" t="e">
        <v>#N/A</v>
      </c>
    </row>
    <row r="89">
      <c r="A89" s="12" t="s">
        <v>3591</v>
      </c>
      <c r="B89" s="12">
        <v>6924.0</v>
      </c>
      <c r="C89" s="167">
        <v>2.0</v>
      </c>
    </row>
    <row r="90">
      <c r="A90" s="25" t="s">
        <v>3592</v>
      </c>
      <c r="B90" s="78"/>
      <c r="C90" s="167" t="e">
        <v>#N/A</v>
      </c>
    </row>
    <row r="91">
      <c r="A91" s="25" t="s">
        <v>3593</v>
      </c>
      <c r="B91" s="25">
        <v>8002.0</v>
      </c>
      <c r="C91" s="167" t="e">
        <v>#N/A</v>
      </c>
    </row>
    <row r="92">
      <c r="A92" s="25" t="s">
        <v>3594</v>
      </c>
      <c r="B92" s="78"/>
      <c r="C92" s="167" t="e">
        <v>#N/A</v>
      </c>
    </row>
    <row r="93">
      <c r="A93" s="101" t="s">
        <v>3596</v>
      </c>
      <c r="B93" s="78"/>
      <c r="C93" s="167" t="e">
        <v>#N/A</v>
      </c>
    </row>
    <row r="94">
      <c r="A94" s="101" t="s">
        <v>3597</v>
      </c>
      <c r="B94" s="78"/>
      <c r="C94" s="167" t="e">
        <v>#N/A</v>
      </c>
    </row>
    <row r="95">
      <c r="A95" s="101" t="s">
        <v>3598</v>
      </c>
      <c r="B95" s="78"/>
      <c r="C95" s="167" t="e">
        <v>#N/A</v>
      </c>
    </row>
    <row r="96">
      <c r="A96" s="25" t="s">
        <v>3595</v>
      </c>
      <c r="B96" s="78"/>
      <c r="C96" s="167" t="e">
        <v>#N/A</v>
      </c>
    </row>
    <row r="97">
      <c r="A97" s="25" t="s">
        <v>3599</v>
      </c>
      <c r="B97" s="25">
        <v>14465.0</v>
      </c>
      <c r="C97" s="167" t="e">
        <v>#N/A</v>
      </c>
    </row>
    <row r="98">
      <c r="A98" s="25" t="s">
        <v>3600</v>
      </c>
      <c r="B98" s="78"/>
      <c r="C98" s="167" t="e">
        <v>#N/A</v>
      </c>
    </row>
    <row r="99">
      <c r="A99" s="25" t="s">
        <v>3601</v>
      </c>
      <c r="B99" s="78"/>
      <c r="C99" s="167" t="e">
        <v>#N/A</v>
      </c>
    </row>
    <row r="100">
      <c r="A100" s="170" t="s">
        <v>3602</v>
      </c>
      <c r="B100" s="170">
        <v>6924.0</v>
      </c>
      <c r="C100" s="167" t="e">
        <v>#N/A</v>
      </c>
    </row>
    <row r="101">
      <c r="A101" s="12" t="s">
        <v>3603</v>
      </c>
      <c r="B101" s="12">
        <v>7142.0</v>
      </c>
      <c r="C101" s="167">
        <v>8.0</v>
      </c>
    </row>
    <row r="102">
      <c r="A102" s="170" t="s">
        <v>1655</v>
      </c>
      <c r="B102" s="170">
        <v>3607.0</v>
      </c>
      <c r="C102" s="167" t="e">
        <v>#N/A</v>
      </c>
    </row>
    <row r="103">
      <c r="A103" s="170" t="s">
        <v>1657</v>
      </c>
      <c r="B103" s="170">
        <v>3607.0</v>
      </c>
      <c r="C103" s="167" t="e">
        <v>#N/A</v>
      </c>
    </row>
    <row r="104">
      <c r="A104" s="170" t="s">
        <v>1658</v>
      </c>
      <c r="B104" s="170">
        <v>3607.0</v>
      </c>
      <c r="C104" s="167" t="e">
        <v>#N/A</v>
      </c>
    </row>
    <row r="105">
      <c r="A105" s="170" t="s">
        <v>1659</v>
      </c>
      <c r="B105" s="170">
        <v>8199.0</v>
      </c>
      <c r="C105" s="167" t="e">
        <v>#N/A</v>
      </c>
    </row>
    <row r="106">
      <c r="A106" s="170" t="s">
        <v>1660</v>
      </c>
      <c r="B106" s="170">
        <v>8199.0</v>
      </c>
      <c r="C106" s="167" t="e">
        <v>#N/A</v>
      </c>
    </row>
    <row r="107">
      <c r="A107" s="170" t="s">
        <v>1661</v>
      </c>
      <c r="B107" s="170">
        <v>5389.0</v>
      </c>
      <c r="C107" s="167" t="e">
        <v>#N/A</v>
      </c>
    </row>
    <row r="108">
      <c r="A108" s="25" t="s">
        <v>1669</v>
      </c>
      <c r="B108" s="78"/>
      <c r="C108" s="167" t="e">
        <v>#N/A</v>
      </c>
    </row>
    <row r="109">
      <c r="A109" s="12" t="s">
        <v>1670</v>
      </c>
      <c r="B109" s="12">
        <v>7157.0</v>
      </c>
      <c r="C109" s="167">
        <v>5.0</v>
      </c>
    </row>
    <row r="110">
      <c r="A110" s="25" t="s">
        <v>1671</v>
      </c>
      <c r="B110" s="78"/>
      <c r="C110" s="167" t="e">
        <v>#N/A</v>
      </c>
    </row>
    <row r="111">
      <c r="A111" s="25" t="s">
        <v>1672</v>
      </c>
      <c r="B111" s="78"/>
      <c r="C111" s="167" t="e">
        <v>#N/A</v>
      </c>
    </row>
    <row r="112">
      <c r="A112" s="25" t="s">
        <v>1673</v>
      </c>
      <c r="B112" s="78"/>
      <c r="C112" s="167" t="e">
        <v>#N/A</v>
      </c>
    </row>
    <row r="113">
      <c r="A113" s="25" t="s">
        <v>1674</v>
      </c>
      <c r="B113" s="78"/>
      <c r="C113" s="167" t="e">
        <v>#N/A</v>
      </c>
    </row>
    <row r="114">
      <c r="A114" s="170" t="s">
        <v>1675</v>
      </c>
      <c r="B114" s="170">
        <v>189.0</v>
      </c>
      <c r="C114" s="167" t="e">
        <v>#N/A</v>
      </c>
    </row>
    <row r="115">
      <c r="A115" s="170" t="s">
        <v>1716</v>
      </c>
      <c r="B115" s="170">
        <v>189.0</v>
      </c>
      <c r="C115" s="167" t="e">
        <v>#N/A</v>
      </c>
    </row>
    <row r="116">
      <c r="A116" s="170" t="s">
        <v>1676</v>
      </c>
      <c r="B116" s="170">
        <v>189.0</v>
      </c>
      <c r="C116" s="167" t="e">
        <v>#N/A</v>
      </c>
    </row>
    <row r="117">
      <c r="A117" s="170" t="s">
        <v>1717</v>
      </c>
      <c r="B117" s="170">
        <v>189.0</v>
      </c>
      <c r="C117" s="167" t="e">
        <v>#N/A</v>
      </c>
    </row>
    <row r="118">
      <c r="A118" s="12" t="s">
        <v>1677</v>
      </c>
      <c r="B118" s="12">
        <v>189.0</v>
      </c>
      <c r="C118" s="167">
        <v>1.0</v>
      </c>
    </row>
    <row r="119">
      <c r="A119" s="170" t="s">
        <v>1678</v>
      </c>
      <c r="B119" s="170">
        <v>189.0</v>
      </c>
      <c r="C119" s="167" t="e">
        <v>#N/A</v>
      </c>
    </row>
    <row r="120">
      <c r="A120" s="25" t="s">
        <v>1679</v>
      </c>
      <c r="B120" s="78"/>
      <c r="C120" s="167" t="e">
        <v>#N/A</v>
      </c>
    </row>
    <row r="121">
      <c r="A121" s="25" t="s">
        <v>1680</v>
      </c>
      <c r="B121" s="78"/>
      <c r="C121" s="167" t="e">
        <v>#N/A</v>
      </c>
    </row>
    <row r="122">
      <c r="A122" s="25" t="s">
        <v>1681</v>
      </c>
      <c r="B122" s="78"/>
      <c r="C122" s="167" t="e">
        <v>#N/A</v>
      </c>
    </row>
    <row r="123">
      <c r="A123" s="25" t="s">
        <v>1682</v>
      </c>
      <c r="B123" s="78"/>
      <c r="C123" s="167" t="e">
        <v>#N/A</v>
      </c>
    </row>
    <row r="124">
      <c r="A124" s="25" t="s">
        <v>1683</v>
      </c>
      <c r="B124" s="78"/>
      <c r="C124" s="167" t="e">
        <v>#N/A</v>
      </c>
    </row>
    <row r="125">
      <c r="A125" s="25" t="s">
        <v>1684</v>
      </c>
      <c r="B125" s="78"/>
      <c r="C125" s="167" t="e">
        <v>#N/A</v>
      </c>
    </row>
    <row r="126">
      <c r="A126" s="25" t="s">
        <v>1685</v>
      </c>
      <c r="B126" s="78"/>
      <c r="C126" s="167" t="e">
        <v>#N/A</v>
      </c>
    </row>
    <row r="127">
      <c r="A127" s="25" t="s">
        <v>1686</v>
      </c>
      <c r="B127" s="78"/>
      <c r="C127" s="167" t="e">
        <v>#N/A</v>
      </c>
    </row>
    <row r="128">
      <c r="A128" s="25" t="s">
        <v>1687</v>
      </c>
      <c r="B128" s="78"/>
      <c r="C128" s="167" t="e">
        <v>#N/A</v>
      </c>
    </row>
    <row r="129">
      <c r="A129" s="25" t="s">
        <v>1688</v>
      </c>
      <c r="B129" s="78"/>
      <c r="C129" s="167" t="e">
        <v>#N/A</v>
      </c>
    </row>
    <row r="130">
      <c r="A130" s="25" t="s">
        <v>1689</v>
      </c>
      <c r="B130" s="78"/>
      <c r="C130" s="167" t="e">
        <v>#N/A</v>
      </c>
    </row>
    <row r="131">
      <c r="A131" s="25" t="s">
        <v>1690</v>
      </c>
      <c r="B131" s="78"/>
      <c r="C131" s="167" t="e">
        <v>#N/A</v>
      </c>
    </row>
    <row r="132">
      <c r="A132" s="25" t="s">
        <v>1692</v>
      </c>
      <c r="B132" s="78"/>
      <c r="C132" s="167" t="e">
        <v>#N/A</v>
      </c>
    </row>
    <row r="133">
      <c r="A133" s="25" t="s">
        <v>1693</v>
      </c>
      <c r="B133" s="78"/>
      <c r="C133" s="167" t="e">
        <v>#N/A</v>
      </c>
    </row>
    <row r="134">
      <c r="A134" s="25" t="s">
        <v>1694</v>
      </c>
      <c r="B134" s="78"/>
      <c r="C134" s="167" t="e">
        <v>#N/A</v>
      </c>
    </row>
    <row r="135">
      <c r="A135" s="25" t="s">
        <v>1695</v>
      </c>
      <c r="B135" s="78"/>
      <c r="C135" s="167" t="e">
        <v>#N/A</v>
      </c>
    </row>
    <row r="136">
      <c r="A136" s="25" t="s">
        <v>1696</v>
      </c>
      <c r="B136" s="78"/>
      <c r="C136" s="167" t="e">
        <v>#N/A</v>
      </c>
    </row>
    <row r="137">
      <c r="A137" s="25" t="s">
        <v>1697</v>
      </c>
      <c r="B137" s="78"/>
      <c r="C137" s="167" t="e">
        <v>#N/A</v>
      </c>
    </row>
    <row r="138">
      <c r="A138" s="25" t="s">
        <v>1719</v>
      </c>
      <c r="B138" s="25">
        <v>14516.0</v>
      </c>
      <c r="C138" s="167" t="e">
        <v>#N/A</v>
      </c>
    </row>
    <row r="139">
      <c r="A139" s="25" t="s">
        <v>1720</v>
      </c>
      <c r="B139" s="78"/>
      <c r="C139" s="167" t="e">
        <v>#N/A</v>
      </c>
    </row>
    <row r="140">
      <c r="A140" s="25" t="s">
        <v>1698</v>
      </c>
      <c r="B140" s="78"/>
      <c r="C140" s="167" t="e">
        <v>#N/A</v>
      </c>
    </row>
    <row r="141">
      <c r="A141" s="25" t="s">
        <v>1699</v>
      </c>
      <c r="B141" s="78"/>
      <c r="C141" s="167" t="e">
        <v>#N/A</v>
      </c>
    </row>
    <row r="142">
      <c r="A142" s="25" t="s">
        <v>1700</v>
      </c>
      <c r="B142" s="78"/>
      <c r="C142" s="167" t="e">
        <v>#N/A</v>
      </c>
    </row>
    <row r="143">
      <c r="A143" s="25" t="s">
        <v>1701</v>
      </c>
      <c r="B143" s="78"/>
      <c r="C143" s="167" t="e">
        <v>#N/A</v>
      </c>
    </row>
    <row r="144">
      <c r="A144" s="25" t="s">
        <v>1702</v>
      </c>
      <c r="B144" s="78"/>
      <c r="C144" s="167" t="e">
        <v>#N/A</v>
      </c>
    </row>
    <row r="145">
      <c r="A145" s="25" t="s">
        <v>1703</v>
      </c>
      <c r="B145" s="78"/>
      <c r="C145" s="167" t="e">
        <v>#N/A</v>
      </c>
    </row>
    <row r="146">
      <c r="A146" s="25" t="s">
        <v>1704</v>
      </c>
      <c r="B146" s="78"/>
      <c r="C146" s="167" t="e">
        <v>#N/A</v>
      </c>
    </row>
    <row r="147">
      <c r="A147" s="25" t="s">
        <v>1705</v>
      </c>
      <c r="B147" s="78"/>
      <c r="C147" s="167" t="e">
        <v>#N/A</v>
      </c>
    </row>
    <row r="148">
      <c r="A148" s="25" t="s">
        <v>1706</v>
      </c>
      <c r="B148" s="78"/>
      <c r="C148" s="167" t="e">
        <v>#N/A</v>
      </c>
    </row>
    <row r="149">
      <c r="A149" s="25" t="s">
        <v>1707</v>
      </c>
      <c r="B149" s="78"/>
      <c r="C149" s="167" t="e">
        <v>#N/A</v>
      </c>
    </row>
    <row r="150">
      <c r="A150" s="25" t="s">
        <v>1708</v>
      </c>
      <c r="B150" s="78"/>
      <c r="C150" s="167" t="e">
        <v>#N/A</v>
      </c>
    </row>
    <row r="151">
      <c r="A151" s="25" t="s">
        <v>1721</v>
      </c>
      <c r="B151" s="78"/>
      <c r="C151" s="167" t="e">
        <v>#N/A</v>
      </c>
    </row>
    <row r="152">
      <c r="A152" s="25" t="s">
        <v>1722</v>
      </c>
      <c r="B152" s="78"/>
      <c r="C152" s="167" t="e">
        <v>#N/A</v>
      </c>
    </row>
    <row r="153">
      <c r="A153" s="25" t="s">
        <v>1723</v>
      </c>
      <c r="B153" s="78"/>
      <c r="C153" s="167" t="e">
        <v>#N/A</v>
      </c>
    </row>
    <row r="154">
      <c r="A154" s="25" t="s">
        <v>1724</v>
      </c>
      <c r="B154" s="78"/>
      <c r="C154" s="167" t="e">
        <v>#N/A</v>
      </c>
    </row>
    <row r="155">
      <c r="A155" s="25" t="s">
        <v>3713</v>
      </c>
      <c r="B155" s="78"/>
      <c r="C155" s="167" t="e">
        <v>#N/A</v>
      </c>
    </row>
    <row r="156">
      <c r="A156" s="25" t="s">
        <v>1710</v>
      </c>
      <c r="B156" s="78"/>
      <c r="C156" s="167" t="e">
        <v>#N/A</v>
      </c>
    </row>
    <row r="157">
      <c r="A157" s="25" t="s">
        <v>1711</v>
      </c>
      <c r="B157" s="78"/>
      <c r="C157" s="167" t="e">
        <v>#N/A</v>
      </c>
    </row>
    <row r="158">
      <c r="A158" s="25" t="s">
        <v>3714</v>
      </c>
      <c r="B158" s="78"/>
      <c r="C158" s="167" t="e">
        <v>#N/A</v>
      </c>
    </row>
    <row r="159">
      <c r="A159" s="25" t="s">
        <v>1713</v>
      </c>
      <c r="B159" s="78"/>
      <c r="C159" s="167" t="e">
        <v>#N/A</v>
      </c>
    </row>
    <row r="160">
      <c r="A160" s="25" t="s">
        <v>3715</v>
      </c>
      <c r="B160" s="78"/>
      <c r="C160" s="167" t="e">
        <v>#N/A</v>
      </c>
    </row>
    <row r="161">
      <c r="A161" s="25" t="s">
        <v>3716</v>
      </c>
      <c r="B161" s="78"/>
      <c r="C161" s="167" t="e">
        <v>#N/A</v>
      </c>
    </row>
    <row r="162">
      <c r="A162" s="25" t="s">
        <v>3717</v>
      </c>
      <c r="B162" s="25">
        <v>12553.0</v>
      </c>
      <c r="C162" s="167" t="e">
        <v>#N/A</v>
      </c>
    </row>
    <row r="163">
      <c r="A163" s="25" t="s">
        <v>3718</v>
      </c>
      <c r="B163" s="25">
        <v>10856.0</v>
      </c>
      <c r="C163" s="167" t="e">
        <v>#N/A</v>
      </c>
    </row>
    <row r="164">
      <c r="A164" s="25" t="s">
        <v>3719</v>
      </c>
      <c r="B164" s="25">
        <v>11049.0</v>
      </c>
      <c r="C164" s="167" t="e">
        <v>#N/A</v>
      </c>
    </row>
    <row r="165">
      <c r="A165" s="25" t="s">
        <v>3720</v>
      </c>
      <c r="B165" s="25">
        <v>11049.0</v>
      </c>
      <c r="C165" s="167" t="e">
        <v>#N/A</v>
      </c>
    </row>
    <row r="166">
      <c r="A166" s="25" t="s">
        <v>3721</v>
      </c>
      <c r="B166" s="25">
        <v>11049.0</v>
      </c>
      <c r="C166" s="167" t="e">
        <v>#N/A</v>
      </c>
    </row>
    <row r="167">
      <c r="A167" s="25" t="s">
        <v>3722</v>
      </c>
      <c r="B167" s="25">
        <v>11049.0</v>
      </c>
      <c r="C167" s="167" t="e">
        <v>#N/A</v>
      </c>
    </row>
    <row r="168">
      <c r="A168" s="25" t="s">
        <v>3723</v>
      </c>
      <c r="B168" s="25">
        <v>11049.0</v>
      </c>
      <c r="C168" s="167" t="e">
        <v>#N/A</v>
      </c>
    </row>
    <row r="169">
      <c r="A169" s="25" t="s">
        <v>3724</v>
      </c>
      <c r="B169" s="25">
        <v>11049.0</v>
      </c>
      <c r="C169" s="167" t="e">
        <v>#N/A</v>
      </c>
    </row>
    <row r="170">
      <c r="A170" s="25" t="s">
        <v>3725</v>
      </c>
      <c r="B170" s="25">
        <v>11049.0</v>
      </c>
      <c r="C170" s="167" t="e">
        <v>#N/A</v>
      </c>
    </row>
    <row r="171">
      <c r="A171" s="25" t="s">
        <v>3726</v>
      </c>
      <c r="B171" s="25">
        <v>11049.0</v>
      </c>
      <c r="C171" s="167" t="e">
        <v>#N/A</v>
      </c>
    </row>
    <row r="172">
      <c r="A172" s="25" t="s">
        <v>3727</v>
      </c>
      <c r="B172" s="25">
        <v>11049.0</v>
      </c>
      <c r="C172" s="167" t="e">
        <v>#N/A</v>
      </c>
    </row>
    <row r="173">
      <c r="A173" s="25" t="s">
        <v>3728</v>
      </c>
      <c r="B173" s="25">
        <v>11049.0</v>
      </c>
      <c r="C173" s="167" t="e">
        <v>#N/A</v>
      </c>
    </row>
    <row r="174">
      <c r="A174" s="25" t="s">
        <v>3729</v>
      </c>
      <c r="B174" s="25">
        <v>11049.0</v>
      </c>
      <c r="C174" s="167" t="e">
        <v>#N/A</v>
      </c>
    </row>
    <row r="175">
      <c r="A175" s="25" t="s">
        <v>3730</v>
      </c>
      <c r="B175" s="25">
        <v>11049.0</v>
      </c>
      <c r="C175" s="167" t="e">
        <v>#N/A</v>
      </c>
    </row>
    <row r="176">
      <c r="A176" s="25" t="s">
        <v>3731</v>
      </c>
      <c r="B176" s="25">
        <v>11049.0</v>
      </c>
      <c r="C176" s="167" t="e">
        <v>#N/A</v>
      </c>
    </row>
    <row r="177">
      <c r="A177" s="25" t="s">
        <v>3732</v>
      </c>
      <c r="B177" s="25">
        <v>11049.0</v>
      </c>
      <c r="C177" s="167" t="e">
        <v>#N/A</v>
      </c>
    </row>
    <row r="178">
      <c r="A178" s="25" t="s">
        <v>3733</v>
      </c>
      <c r="B178" s="25">
        <v>11049.0</v>
      </c>
      <c r="C178" s="167" t="e">
        <v>#N/A</v>
      </c>
    </row>
    <row r="179">
      <c r="A179" s="25" t="s">
        <v>3734</v>
      </c>
      <c r="B179" s="25">
        <v>11049.0</v>
      </c>
      <c r="C179" s="167" t="e">
        <v>#N/A</v>
      </c>
    </row>
    <row r="180">
      <c r="A180" s="25" t="s">
        <v>3735</v>
      </c>
      <c r="B180" s="25">
        <v>11049.0</v>
      </c>
      <c r="C180" s="167" t="e">
        <v>#N/A</v>
      </c>
    </row>
    <row r="181">
      <c r="A181" s="25" t="s">
        <v>3736</v>
      </c>
      <c r="B181" s="25">
        <v>11049.0</v>
      </c>
      <c r="C181" s="167" t="e">
        <v>#N/A</v>
      </c>
    </row>
    <row r="182">
      <c r="A182" s="25" t="s">
        <v>3737</v>
      </c>
      <c r="B182" s="25">
        <v>11049.0</v>
      </c>
      <c r="C182" s="167" t="e">
        <v>#N/A</v>
      </c>
    </row>
    <row r="183">
      <c r="A183" s="25" t="s">
        <v>3738</v>
      </c>
      <c r="B183" s="25">
        <v>11049.0</v>
      </c>
      <c r="C183" s="167" t="e">
        <v>#N/A</v>
      </c>
    </row>
    <row r="184">
      <c r="A184" s="25" t="s">
        <v>3739</v>
      </c>
      <c r="B184" s="25">
        <v>11049.0</v>
      </c>
      <c r="C184" s="167" t="e">
        <v>#N/A</v>
      </c>
    </row>
    <row r="185">
      <c r="A185" s="25" t="s">
        <v>3740</v>
      </c>
      <c r="B185" s="25">
        <v>11049.0</v>
      </c>
      <c r="C185" s="167" t="e">
        <v>#N/A</v>
      </c>
    </row>
    <row r="186">
      <c r="A186" s="25" t="s">
        <v>3741</v>
      </c>
      <c r="B186" s="25">
        <v>11049.0</v>
      </c>
      <c r="C186" s="167" t="e">
        <v>#N/A</v>
      </c>
    </row>
    <row r="187">
      <c r="A187" s="25" t="s">
        <v>3742</v>
      </c>
      <c r="B187" s="25">
        <v>11049.0</v>
      </c>
      <c r="C187" s="167" t="e">
        <v>#N/A</v>
      </c>
    </row>
    <row r="188">
      <c r="A188" s="25" t="s">
        <v>3743</v>
      </c>
      <c r="B188" s="25">
        <v>11049.0</v>
      </c>
      <c r="C188" s="167" t="e">
        <v>#N/A</v>
      </c>
    </row>
    <row r="189">
      <c r="A189" s="25" t="s">
        <v>3744</v>
      </c>
      <c r="B189" s="25">
        <v>11049.0</v>
      </c>
      <c r="C189" s="167" t="e">
        <v>#N/A</v>
      </c>
    </row>
    <row r="190">
      <c r="A190" s="25" t="s">
        <v>3745</v>
      </c>
      <c r="B190" s="25">
        <v>11049.0</v>
      </c>
      <c r="C190" s="167" t="e">
        <v>#N/A</v>
      </c>
    </row>
    <row r="191">
      <c r="A191" s="25" t="s">
        <v>3746</v>
      </c>
      <c r="B191" s="25">
        <v>11049.0</v>
      </c>
      <c r="C191" s="167" t="e">
        <v>#N/A</v>
      </c>
    </row>
    <row r="192">
      <c r="A192" s="25" t="s">
        <v>3747</v>
      </c>
      <c r="B192" s="25">
        <v>11049.0</v>
      </c>
      <c r="C192" s="167" t="e">
        <v>#N/A</v>
      </c>
    </row>
    <row r="193">
      <c r="A193" s="12" t="s">
        <v>3748</v>
      </c>
      <c r="B193" s="12">
        <v>6829.0</v>
      </c>
      <c r="C193" s="167">
        <v>2.0</v>
      </c>
    </row>
    <row r="194">
      <c r="A194" s="25" t="s">
        <v>3749</v>
      </c>
      <c r="B194" s="25">
        <v>11049.0</v>
      </c>
      <c r="C194" s="167" t="e">
        <v>#N/A</v>
      </c>
    </row>
    <row r="195">
      <c r="A195" s="11" t="s">
        <v>1662</v>
      </c>
      <c r="B195" s="11">
        <v>14076.0</v>
      </c>
      <c r="C195" s="11" t="s">
        <v>207</v>
      </c>
    </row>
    <row r="196">
      <c r="A196" s="11" t="s">
        <v>1663</v>
      </c>
      <c r="B196" s="11">
        <v>14274.0</v>
      </c>
      <c r="C196" s="11" t="s">
        <v>207</v>
      </c>
    </row>
    <row r="197">
      <c r="A197" s="11" t="s">
        <v>1664</v>
      </c>
      <c r="B197" s="11">
        <v>14253.0</v>
      </c>
      <c r="C197" s="11" t="s">
        <v>207</v>
      </c>
    </row>
    <row r="198">
      <c r="A198" s="11" t="s">
        <v>1665</v>
      </c>
      <c r="B198" s="11">
        <v>7416.0</v>
      </c>
      <c r="C198" s="11" t="s">
        <v>207</v>
      </c>
    </row>
    <row r="199">
      <c r="A199" s="11" t="s">
        <v>1666</v>
      </c>
      <c r="B199" s="11">
        <v>14297.0</v>
      </c>
      <c r="C199" s="11" t="s">
        <v>207</v>
      </c>
    </row>
    <row r="200">
      <c r="A200" s="11" t="s">
        <v>1667</v>
      </c>
      <c r="B200" s="11">
        <v>10368.0</v>
      </c>
      <c r="C200" s="11" t="s">
        <v>207</v>
      </c>
    </row>
    <row r="201">
      <c r="A201" s="11" t="s">
        <v>1668</v>
      </c>
      <c r="B201" s="11">
        <v>14681.0</v>
      </c>
      <c r="C201" s="11" t="s">
        <v>207</v>
      </c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20.5"/>
    <col customWidth="1" min="4" max="4" width="14.63"/>
    <col customWidth="1" min="5" max="5" width="26.13"/>
  </cols>
  <sheetData>
    <row r="1">
      <c r="A1" s="25" t="s">
        <v>44</v>
      </c>
      <c r="B1" s="25" t="s">
        <v>1</v>
      </c>
      <c r="C1" s="57" t="s">
        <v>294</v>
      </c>
      <c r="D1" s="55" t="s">
        <v>248</v>
      </c>
      <c r="E1" s="58" t="s">
        <v>249</v>
      </c>
      <c r="F1" s="58" t="s">
        <v>250</v>
      </c>
      <c r="G1" s="11" t="s">
        <v>251</v>
      </c>
    </row>
    <row r="2">
      <c r="A2" s="176" t="s">
        <v>3750</v>
      </c>
      <c r="B2" s="25">
        <v>986.0</v>
      </c>
      <c r="C2" s="62">
        <v>0.05</v>
      </c>
      <c r="D2" s="99">
        <v>0.75</v>
      </c>
      <c r="E2" s="100">
        <v>0.75</v>
      </c>
      <c r="F2" s="64" t="s">
        <v>1656</v>
      </c>
    </row>
    <row r="3">
      <c r="A3" s="176" t="s">
        <v>3751</v>
      </c>
      <c r="B3" s="25">
        <v>986.0</v>
      </c>
      <c r="C3" s="62">
        <v>0.05</v>
      </c>
      <c r="D3" s="99">
        <v>0.75</v>
      </c>
      <c r="E3" s="100">
        <v>0.75</v>
      </c>
      <c r="F3" s="64" t="s">
        <v>1656</v>
      </c>
    </row>
    <row r="4">
      <c r="A4" s="176" t="s">
        <v>3752</v>
      </c>
      <c r="B4" s="25">
        <v>986.0</v>
      </c>
      <c r="C4" s="62">
        <v>0.05</v>
      </c>
      <c r="D4" s="99">
        <v>0.75</v>
      </c>
      <c r="E4" s="100">
        <v>0.75</v>
      </c>
      <c r="F4" s="64" t="s">
        <v>1656</v>
      </c>
    </row>
    <row r="5">
      <c r="A5" s="176" t="s">
        <v>3753</v>
      </c>
      <c r="B5" s="25">
        <v>6722.0</v>
      </c>
      <c r="C5" s="62">
        <v>0.05</v>
      </c>
      <c r="D5" s="74">
        <v>0.7</v>
      </c>
      <c r="E5" s="74">
        <v>0.7</v>
      </c>
      <c r="F5" s="64" t="s">
        <v>1656</v>
      </c>
    </row>
    <row r="6">
      <c r="A6" s="176" t="s">
        <v>3754</v>
      </c>
      <c r="B6" s="25">
        <v>6675.0</v>
      </c>
      <c r="C6" s="62">
        <v>0.05</v>
      </c>
      <c r="D6" s="99">
        <v>0.75</v>
      </c>
      <c r="E6" s="100">
        <v>0.75</v>
      </c>
      <c r="F6" s="64" t="s">
        <v>1656</v>
      </c>
    </row>
    <row r="7">
      <c r="A7" s="176" t="s">
        <v>3755</v>
      </c>
      <c r="B7" s="25">
        <v>2345.0</v>
      </c>
      <c r="C7" s="62">
        <v>0.05</v>
      </c>
      <c r="D7" s="99">
        <v>0.75</v>
      </c>
      <c r="E7" s="177">
        <v>0.75</v>
      </c>
      <c r="F7" s="64" t="s">
        <v>1656</v>
      </c>
    </row>
    <row r="8">
      <c r="A8" s="176" t="s">
        <v>3756</v>
      </c>
      <c r="B8" s="25">
        <v>5125.0</v>
      </c>
      <c r="C8" s="62">
        <v>0.05</v>
      </c>
      <c r="D8" s="74">
        <v>0.7</v>
      </c>
      <c r="E8" s="74">
        <v>0.7</v>
      </c>
      <c r="F8" s="64" t="s">
        <v>1656</v>
      </c>
    </row>
    <row r="9">
      <c r="A9" s="176" t="s">
        <v>3757</v>
      </c>
      <c r="B9" s="25">
        <v>11601.0</v>
      </c>
      <c r="C9" s="62">
        <v>0.05</v>
      </c>
      <c r="D9" s="74">
        <v>0.7</v>
      </c>
      <c r="E9" s="74">
        <v>0.7</v>
      </c>
      <c r="F9" s="64" t="s">
        <v>1656</v>
      </c>
    </row>
    <row r="10">
      <c r="A10" s="176" t="s">
        <v>3758</v>
      </c>
      <c r="B10" s="25">
        <v>7157.0</v>
      </c>
      <c r="C10" s="62">
        <v>0.05</v>
      </c>
      <c r="D10" s="74">
        <v>0.7</v>
      </c>
      <c r="E10" s="74">
        <v>0.7</v>
      </c>
      <c r="F10" s="64" t="s">
        <v>1656</v>
      </c>
    </row>
    <row r="11">
      <c r="A11" s="176" t="s">
        <v>3759</v>
      </c>
      <c r="B11" s="25">
        <v>9701.0</v>
      </c>
      <c r="C11" s="62">
        <v>0.05</v>
      </c>
      <c r="D11" s="74">
        <v>0.7</v>
      </c>
      <c r="E11" s="74">
        <v>0.7</v>
      </c>
      <c r="F11" s="64" t="s">
        <v>1656</v>
      </c>
    </row>
    <row r="12">
      <c r="A12" s="176" t="s">
        <v>3760</v>
      </c>
      <c r="B12" s="25">
        <v>5421.0</v>
      </c>
      <c r="C12" s="62">
        <v>0.05</v>
      </c>
      <c r="D12" s="74">
        <v>0.7</v>
      </c>
      <c r="E12" s="74">
        <v>0.7</v>
      </c>
      <c r="F12" s="64" t="s">
        <v>1656</v>
      </c>
    </row>
    <row r="13">
      <c r="A13" s="176" t="s">
        <v>3761</v>
      </c>
      <c r="B13" s="25">
        <v>5421.0</v>
      </c>
      <c r="C13" s="62">
        <v>0.05</v>
      </c>
      <c r="D13" s="74">
        <v>0.7</v>
      </c>
      <c r="E13" s="74">
        <v>0.7</v>
      </c>
      <c r="F13" s="64" t="s">
        <v>1656</v>
      </c>
    </row>
    <row r="14">
      <c r="A14" s="176" t="s">
        <v>3762</v>
      </c>
      <c r="B14" s="25">
        <v>5421.0</v>
      </c>
      <c r="C14" s="62">
        <v>0.05</v>
      </c>
      <c r="D14" s="74">
        <v>0.7</v>
      </c>
      <c r="E14" s="74">
        <v>0.7</v>
      </c>
      <c r="F14" s="64" t="s">
        <v>1656</v>
      </c>
    </row>
    <row r="15">
      <c r="A15" s="176" t="s">
        <v>3763</v>
      </c>
      <c r="B15" s="25">
        <v>5421.0</v>
      </c>
      <c r="C15" s="62">
        <v>0.05</v>
      </c>
      <c r="D15" s="74">
        <v>0.7</v>
      </c>
      <c r="E15" s="74">
        <v>0.7</v>
      </c>
      <c r="F15" s="64" t="s">
        <v>1656</v>
      </c>
    </row>
    <row r="16">
      <c r="A16" s="176" t="s">
        <v>3764</v>
      </c>
      <c r="B16" s="25">
        <v>6927.0</v>
      </c>
      <c r="C16" s="62">
        <v>0.05</v>
      </c>
      <c r="D16" s="74">
        <v>0.7</v>
      </c>
      <c r="E16" s="74">
        <v>0.7</v>
      </c>
      <c r="F16" s="64" t="s">
        <v>1656</v>
      </c>
    </row>
    <row r="17">
      <c r="A17" s="176" t="s">
        <v>3765</v>
      </c>
      <c r="B17" s="25">
        <v>189.0</v>
      </c>
      <c r="C17" s="62">
        <v>0.05</v>
      </c>
      <c r="D17" s="74">
        <v>0.7</v>
      </c>
      <c r="E17" s="74">
        <v>0.7</v>
      </c>
      <c r="F17" s="64" t="s">
        <v>1656</v>
      </c>
    </row>
    <row r="18">
      <c r="A18" s="176" t="s">
        <v>3766</v>
      </c>
      <c r="B18" s="25">
        <v>189.0</v>
      </c>
      <c r="C18" s="62">
        <v>0.05</v>
      </c>
      <c r="D18" s="74">
        <v>0.7</v>
      </c>
      <c r="E18" s="74">
        <v>0.7</v>
      </c>
      <c r="F18" s="64" t="s">
        <v>1656</v>
      </c>
    </row>
    <row r="19">
      <c r="A19" s="176" t="s">
        <v>3767</v>
      </c>
      <c r="B19" s="25">
        <v>189.0</v>
      </c>
      <c r="C19" s="62">
        <v>0.05</v>
      </c>
      <c r="D19" s="74">
        <v>0.7</v>
      </c>
      <c r="E19" s="74">
        <v>0.7</v>
      </c>
      <c r="F19" s="64" t="s">
        <v>1656</v>
      </c>
    </row>
    <row r="20">
      <c r="A20" s="176" t="s">
        <v>3768</v>
      </c>
      <c r="B20" s="25">
        <v>6970.0</v>
      </c>
      <c r="C20" s="62">
        <v>0.05</v>
      </c>
      <c r="D20" s="74">
        <v>0.7</v>
      </c>
      <c r="E20" s="74">
        <v>0.7</v>
      </c>
      <c r="F20" s="64" t="s">
        <v>1656</v>
      </c>
    </row>
    <row r="21">
      <c r="A21" s="176" t="s">
        <v>3769</v>
      </c>
      <c r="B21" s="25">
        <v>315.0</v>
      </c>
      <c r="C21" s="62">
        <v>0.05</v>
      </c>
      <c r="D21" s="74">
        <v>0.7</v>
      </c>
      <c r="E21" s="74">
        <v>0.7</v>
      </c>
      <c r="F21" s="64" t="s">
        <v>1656</v>
      </c>
    </row>
    <row r="22">
      <c r="A22" s="176" t="s">
        <v>3770</v>
      </c>
      <c r="B22" s="25">
        <v>189.0</v>
      </c>
      <c r="C22" s="62">
        <v>0.05</v>
      </c>
      <c r="D22" s="74">
        <v>0.7</v>
      </c>
      <c r="E22" s="74">
        <v>0.7</v>
      </c>
      <c r="F22" s="64" t="s">
        <v>1656</v>
      </c>
    </row>
    <row r="23">
      <c r="A23" s="176" t="s">
        <v>3771</v>
      </c>
      <c r="B23" s="25">
        <v>14065.0</v>
      </c>
      <c r="C23" s="62">
        <v>0.05</v>
      </c>
      <c r="D23" s="74">
        <v>0.7</v>
      </c>
      <c r="E23" s="74">
        <v>0.7</v>
      </c>
      <c r="F23" s="64" t="s">
        <v>1656</v>
      </c>
    </row>
    <row r="24">
      <c r="A24" s="176" t="s">
        <v>3772</v>
      </c>
      <c r="B24" s="25">
        <v>6924.0</v>
      </c>
      <c r="C24" s="62">
        <v>0.05</v>
      </c>
      <c r="D24" s="74">
        <v>0.7</v>
      </c>
      <c r="E24" s="74">
        <v>0.7</v>
      </c>
      <c r="F24" s="64" t="s">
        <v>1656</v>
      </c>
    </row>
    <row r="25">
      <c r="A25" s="176" t="s">
        <v>3773</v>
      </c>
      <c r="B25" s="25">
        <v>11708.0</v>
      </c>
      <c r="C25" s="62">
        <v>0.05</v>
      </c>
      <c r="D25" s="74">
        <v>0.7</v>
      </c>
      <c r="E25" s="74">
        <v>0.7</v>
      </c>
      <c r="F25" s="64" t="s">
        <v>1656</v>
      </c>
    </row>
    <row r="26">
      <c r="A26" s="176" t="s">
        <v>3774</v>
      </c>
      <c r="B26" s="25">
        <v>6133.0</v>
      </c>
      <c r="C26" s="62">
        <v>0.05</v>
      </c>
      <c r="D26" s="74">
        <v>0.7</v>
      </c>
      <c r="E26" s="74">
        <v>0.7</v>
      </c>
      <c r="F26" s="64" t="s">
        <v>1656</v>
      </c>
    </row>
    <row r="27">
      <c r="A27" s="176" t="s">
        <v>3775</v>
      </c>
      <c r="B27" s="25">
        <v>11773.0</v>
      </c>
      <c r="C27" s="62">
        <v>0.05</v>
      </c>
      <c r="D27" s="74">
        <v>0.7</v>
      </c>
      <c r="E27" s="74">
        <v>0.7</v>
      </c>
      <c r="F27" s="64" t="s">
        <v>1656</v>
      </c>
    </row>
    <row r="28">
      <c r="A28" s="176" t="s">
        <v>3776</v>
      </c>
      <c r="B28" s="25">
        <v>6772.0</v>
      </c>
      <c r="C28" s="62">
        <v>0.05</v>
      </c>
      <c r="D28" s="74">
        <v>0.7</v>
      </c>
      <c r="E28" s="74">
        <v>0.7</v>
      </c>
      <c r="F28" s="64" t="s">
        <v>1656</v>
      </c>
    </row>
    <row r="29">
      <c r="A29" s="176" t="s">
        <v>3777</v>
      </c>
      <c r="B29" s="25">
        <v>7033.0</v>
      </c>
      <c r="C29" s="62">
        <v>0.05</v>
      </c>
      <c r="D29" s="74">
        <v>0.7</v>
      </c>
      <c r="E29" s="74">
        <v>0.7</v>
      </c>
      <c r="F29" s="64" t="s">
        <v>1656</v>
      </c>
    </row>
    <row r="30">
      <c r="A30" s="176" t="s">
        <v>3778</v>
      </c>
      <c r="B30" s="25">
        <v>6887.0</v>
      </c>
      <c r="C30" s="62">
        <v>0.05</v>
      </c>
      <c r="D30" s="74">
        <v>0.7</v>
      </c>
      <c r="E30" s="74">
        <v>0.7</v>
      </c>
      <c r="F30" s="64" t="s">
        <v>1656</v>
      </c>
    </row>
    <row r="31">
      <c r="A31" s="176" t="s">
        <v>3779</v>
      </c>
      <c r="B31" s="25">
        <v>2345.0</v>
      </c>
      <c r="C31" s="62">
        <v>0.05</v>
      </c>
      <c r="D31" s="178">
        <v>0.75</v>
      </c>
      <c r="E31" s="77">
        <v>0.75</v>
      </c>
      <c r="F31" s="64" t="s">
        <v>1656</v>
      </c>
    </row>
    <row r="32">
      <c r="A32" s="176" t="s">
        <v>3780</v>
      </c>
      <c r="B32" s="25">
        <v>2345.0</v>
      </c>
      <c r="C32" s="62">
        <v>0.05</v>
      </c>
      <c r="D32" s="178">
        <v>0.75</v>
      </c>
      <c r="E32" s="77">
        <v>0.75</v>
      </c>
      <c r="F32" s="64" t="s">
        <v>1656</v>
      </c>
    </row>
    <row r="33">
      <c r="A33" s="176" t="s">
        <v>3781</v>
      </c>
      <c r="B33" s="25">
        <v>2345.0</v>
      </c>
      <c r="C33" s="62">
        <v>0.05</v>
      </c>
      <c r="D33" s="177">
        <v>0.75</v>
      </c>
      <c r="E33" s="77">
        <v>0.75</v>
      </c>
      <c r="F33" s="64" t="s">
        <v>1656</v>
      </c>
    </row>
    <row r="34">
      <c r="A34" s="176" t="s">
        <v>3782</v>
      </c>
      <c r="B34" s="25">
        <v>2345.0</v>
      </c>
      <c r="C34" s="62">
        <v>0.05</v>
      </c>
      <c r="D34" s="177">
        <v>0.75</v>
      </c>
      <c r="E34" s="77">
        <v>0.75</v>
      </c>
      <c r="F34" s="64" t="s">
        <v>1656</v>
      </c>
    </row>
    <row r="35">
      <c r="A35" s="176" t="s">
        <v>3783</v>
      </c>
      <c r="B35" s="25">
        <v>2345.0</v>
      </c>
      <c r="C35" s="62">
        <v>0.05</v>
      </c>
      <c r="D35" s="76">
        <v>0.75</v>
      </c>
      <c r="E35" s="77">
        <v>0.75</v>
      </c>
      <c r="F35" s="64" t="s">
        <v>1656</v>
      </c>
    </row>
    <row r="36">
      <c r="A36" s="176" t="s">
        <v>3784</v>
      </c>
      <c r="B36" s="25">
        <v>2345.0</v>
      </c>
      <c r="C36" s="62">
        <v>0.05</v>
      </c>
      <c r="D36" s="177">
        <v>0.75</v>
      </c>
      <c r="E36" s="77">
        <v>0.75</v>
      </c>
      <c r="F36" s="64" t="s">
        <v>1656</v>
      </c>
    </row>
    <row r="37">
      <c r="A37" s="176" t="s">
        <v>3785</v>
      </c>
      <c r="B37" s="25">
        <v>2345.0</v>
      </c>
      <c r="C37" s="62">
        <v>0.05</v>
      </c>
      <c r="D37" s="177">
        <v>0.75</v>
      </c>
      <c r="E37" s="77">
        <v>0.75</v>
      </c>
      <c r="F37" s="64" t="s">
        <v>1656</v>
      </c>
    </row>
    <row r="38">
      <c r="A38" s="176" t="s">
        <v>3786</v>
      </c>
      <c r="B38" s="25">
        <v>2345.0</v>
      </c>
      <c r="C38" s="62">
        <v>0.05</v>
      </c>
      <c r="D38" s="177">
        <v>0.75</v>
      </c>
      <c r="E38" s="77">
        <v>0.75</v>
      </c>
      <c r="F38" s="64" t="s">
        <v>1656</v>
      </c>
    </row>
    <row r="39">
      <c r="A39" s="176" t="s">
        <v>3787</v>
      </c>
      <c r="B39" s="42">
        <v>12553.0</v>
      </c>
      <c r="C39" s="62">
        <v>0.05</v>
      </c>
      <c r="D39" s="74">
        <v>0.7</v>
      </c>
      <c r="E39" s="74">
        <v>0.7</v>
      </c>
      <c r="F39" s="64" t="s">
        <v>1656</v>
      </c>
    </row>
    <row r="40">
      <c r="A40" s="176" t="s">
        <v>3788</v>
      </c>
      <c r="B40" s="25">
        <v>12609.0</v>
      </c>
      <c r="C40" s="62">
        <v>0.05</v>
      </c>
      <c r="D40" s="74">
        <v>0.7</v>
      </c>
      <c r="E40" s="74">
        <v>0.7</v>
      </c>
      <c r="F40" s="64" t="s">
        <v>1656</v>
      </c>
    </row>
    <row r="41">
      <c r="A41" s="176" t="s">
        <v>3789</v>
      </c>
      <c r="B41" s="25">
        <v>6675.0</v>
      </c>
      <c r="C41" s="62">
        <v>0.05</v>
      </c>
      <c r="D41" s="177">
        <v>0.75</v>
      </c>
      <c r="E41" s="77">
        <v>0.75</v>
      </c>
      <c r="F41" s="64" t="s">
        <v>1656</v>
      </c>
    </row>
    <row r="42">
      <c r="A42" s="176" t="s">
        <v>3790</v>
      </c>
      <c r="B42" s="25">
        <v>13864.0</v>
      </c>
      <c r="C42" s="62">
        <v>0.05</v>
      </c>
      <c r="D42" s="74">
        <v>0.7</v>
      </c>
      <c r="E42" s="74">
        <v>0.7</v>
      </c>
      <c r="F42" s="64" t="s">
        <v>1656</v>
      </c>
    </row>
    <row r="43">
      <c r="A43" s="176" t="s">
        <v>3791</v>
      </c>
      <c r="B43" s="25">
        <v>6106.0</v>
      </c>
      <c r="C43" s="62">
        <v>0.05</v>
      </c>
      <c r="D43" s="74">
        <v>0.7</v>
      </c>
      <c r="E43" s="74">
        <v>0.7</v>
      </c>
      <c r="F43" s="64" t="s">
        <v>1656</v>
      </c>
    </row>
    <row r="44">
      <c r="A44" s="176" t="s">
        <v>3792</v>
      </c>
      <c r="B44" s="25">
        <v>7010.0</v>
      </c>
      <c r="C44" s="62">
        <v>0.05</v>
      </c>
      <c r="D44" s="179">
        <v>0.75</v>
      </c>
      <c r="E44" s="179">
        <v>0.75</v>
      </c>
      <c r="F44" s="64" t="s">
        <v>1656</v>
      </c>
    </row>
    <row r="45">
      <c r="A45" s="176" t="s">
        <v>3793</v>
      </c>
      <c r="B45" s="25">
        <v>14033.0</v>
      </c>
      <c r="C45" s="62">
        <v>0.05</v>
      </c>
      <c r="D45" s="74">
        <v>0.7</v>
      </c>
      <c r="E45" s="74">
        <v>0.7</v>
      </c>
      <c r="F45" s="64" t="s">
        <v>1656</v>
      </c>
    </row>
    <row r="46">
      <c r="A46" s="176" t="s">
        <v>3794</v>
      </c>
      <c r="B46" s="25">
        <v>6675.0</v>
      </c>
      <c r="C46" s="62">
        <v>0.05</v>
      </c>
      <c r="D46" s="177">
        <v>0.75</v>
      </c>
      <c r="E46" s="177">
        <v>0.75</v>
      </c>
      <c r="F46" s="64" t="s">
        <v>1656</v>
      </c>
    </row>
    <row r="47">
      <c r="A47" s="176" t="s">
        <v>3795</v>
      </c>
      <c r="B47" s="25">
        <v>14337.0</v>
      </c>
      <c r="C47" s="62">
        <v>0.05</v>
      </c>
      <c r="D47" s="74">
        <v>0.7</v>
      </c>
      <c r="E47" s="74">
        <v>0.7</v>
      </c>
      <c r="F47" s="64" t="s">
        <v>1656</v>
      </c>
    </row>
    <row r="48">
      <c r="A48" s="176" t="s">
        <v>3796</v>
      </c>
      <c r="B48" s="25">
        <v>6727.0</v>
      </c>
      <c r="C48" s="62">
        <v>0.05</v>
      </c>
      <c r="D48" s="74">
        <v>0.7</v>
      </c>
      <c r="E48" s="74">
        <v>0.7</v>
      </c>
      <c r="F48" s="64" t="s">
        <v>1656</v>
      </c>
    </row>
    <row r="49">
      <c r="A49" s="176" t="s">
        <v>3797</v>
      </c>
      <c r="B49" s="25">
        <v>6779.0</v>
      </c>
      <c r="C49" s="62">
        <v>0.05</v>
      </c>
      <c r="D49" s="74">
        <v>0.7</v>
      </c>
      <c r="E49" s="74">
        <v>0.7</v>
      </c>
      <c r="F49" s="64" t="s">
        <v>1656</v>
      </c>
    </row>
    <row r="50">
      <c r="A50" s="176" t="s">
        <v>3798</v>
      </c>
      <c r="B50" s="37">
        <v>7747.0</v>
      </c>
      <c r="C50" s="62">
        <v>0.05</v>
      </c>
      <c r="D50" s="74">
        <v>0.7</v>
      </c>
      <c r="E50" s="74">
        <v>0.7</v>
      </c>
      <c r="F50" s="64" t="s">
        <v>1656</v>
      </c>
    </row>
    <row r="51">
      <c r="A51" s="176" t="s">
        <v>3799</v>
      </c>
      <c r="B51" s="25">
        <v>7031.0</v>
      </c>
      <c r="C51" s="62">
        <v>0.05</v>
      </c>
      <c r="D51" s="74">
        <v>0.7</v>
      </c>
      <c r="E51" s="74">
        <v>0.7</v>
      </c>
      <c r="F51" s="64" t="s">
        <v>1656</v>
      </c>
    </row>
    <row r="52">
      <c r="A52" s="176" t="s">
        <v>3800</v>
      </c>
      <c r="B52" s="25">
        <v>14659.0</v>
      </c>
      <c r="C52" s="62">
        <v>0.05</v>
      </c>
      <c r="D52" s="74">
        <v>0.7</v>
      </c>
      <c r="E52" s="74">
        <v>0.7</v>
      </c>
      <c r="F52" s="64" t="s">
        <v>1656</v>
      </c>
    </row>
    <row r="53">
      <c r="A53" s="176" t="s">
        <v>3801</v>
      </c>
      <c r="B53" s="25">
        <v>9746.0</v>
      </c>
      <c r="C53" s="62">
        <v>0.05</v>
      </c>
      <c r="D53" s="74">
        <v>0.7</v>
      </c>
      <c r="E53" s="74">
        <v>0.7</v>
      </c>
      <c r="F53" s="64" t="s">
        <v>1656</v>
      </c>
    </row>
    <row r="54">
      <c r="A54" s="176" t="s">
        <v>3802</v>
      </c>
      <c r="B54" s="25">
        <v>9701.0</v>
      </c>
      <c r="C54" s="62">
        <v>0.05</v>
      </c>
      <c r="D54" s="74">
        <v>0.7</v>
      </c>
      <c r="E54" s="74">
        <v>0.7</v>
      </c>
      <c r="F54" s="64" t="s">
        <v>1656</v>
      </c>
    </row>
    <row r="55">
      <c r="A55" s="176" t="s">
        <v>3803</v>
      </c>
      <c r="B55" s="25">
        <v>3307.0</v>
      </c>
      <c r="C55" s="62">
        <v>0.05</v>
      </c>
      <c r="D55" s="74">
        <v>0.7</v>
      </c>
      <c r="E55" s="74">
        <v>0.7</v>
      </c>
      <c r="F55" s="64" t="s">
        <v>1656</v>
      </c>
    </row>
    <row r="56">
      <c r="A56" s="176" t="s">
        <v>3804</v>
      </c>
      <c r="B56" s="25">
        <v>6143.0</v>
      </c>
      <c r="C56" s="62">
        <v>0.05</v>
      </c>
      <c r="D56" s="74">
        <v>0.7</v>
      </c>
      <c r="E56" s="74">
        <v>0.7</v>
      </c>
      <c r="F56" s="64" t="s">
        <v>1656</v>
      </c>
    </row>
    <row r="57">
      <c r="A57" s="176" t="s">
        <v>3805</v>
      </c>
      <c r="B57" s="25">
        <v>11708.0</v>
      </c>
      <c r="C57" s="62">
        <v>0.05</v>
      </c>
      <c r="D57" s="74">
        <v>0.7</v>
      </c>
      <c r="E57" s="74">
        <v>0.7</v>
      </c>
      <c r="F57" s="64" t="s">
        <v>1656</v>
      </c>
    </row>
    <row r="58">
      <c r="A58" s="176" t="s">
        <v>3806</v>
      </c>
      <c r="B58" s="25">
        <v>6133.0</v>
      </c>
      <c r="C58" s="62">
        <v>0.05</v>
      </c>
      <c r="D58" s="74">
        <v>0.7</v>
      </c>
      <c r="E58" s="74">
        <v>0.7</v>
      </c>
      <c r="F58" s="64" t="s">
        <v>1656</v>
      </c>
    </row>
    <row r="59">
      <c r="A59" s="176" t="s">
        <v>3807</v>
      </c>
      <c r="B59" s="25">
        <v>6133.0</v>
      </c>
      <c r="C59" s="62">
        <v>0.05</v>
      </c>
      <c r="D59" s="74">
        <v>0.7</v>
      </c>
      <c r="E59" s="74">
        <v>0.7</v>
      </c>
      <c r="F59" s="64" t="s">
        <v>1656</v>
      </c>
    </row>
    <row r="60">
      <c r="A60" s="176" t="s">
        <v>3808</v>
      </c>
      <c r="B60" s="25">
        <v>6133.0</v>
      </c>
      <c r="C60" s="62">
        <v>0.05</v>
      </c>
      <c r="D60" s="74">
        <v>0.7</v>
      </c>
      <c r="E60" s="74">
        <v>0.7</v>
      </c>
      <c r="F60" s="64" t="s">
        <v>1656</v>
      </c>
    </row>
    <row r="61">
      <c r="A61" s="176" t="s">
        <v>3809</v>
      </c>
      <c r="B61" s="25">
        <v>12278.0</v>
      </c>
      <c r="C61" s="62">
        <v>0.05</v>
      </c>
      <c r="D61" s="74">
        <v>0.7</v>
      </c>
      <c r="E61" s="74">
        <v>0.7</v>
      </c>
      <c r="F61" s="64" t="s">
        <v>1656</v>
      </c>
    </row>
    <row r="62">
      <c r="A62" s="176" t="s">
        <v>3810</v>
      </c>
      <c r="B62" s="25">
        <v>12278.0</v>
      </c>
      <c r="C62" s="62">
        <v>0.05</v>
      </c>
      <c r="D62" s="74">
        <v>0.7</v>
      </c>
      <c r="E62" s="74">
        <v>0.7</v>
      </c>
      <c r="F62" s="64" t="s">
        <v>1656</v>
      </c>
    </row>
    <row r="63">
      <c r="A63" s="176" t="s">
        <v>3811</v>
      </c>
      <c r="B63" s="25">
        <v>12932.0</v>
      </c>
      <c r="C63" s="62">
        <v>0.05</v>
      </c>
      <c r="D63" s="74">
        <v>0.7</v>
      </c>
      <c r="E63" s="74">
        <v>0.7</v>
      </c>
      <c r="F63" s="64" t="s">
        <v>1656</v>
      </c>
    </row>
    <row r="64">
      <c r="A64" s="176" t="s">
        <v>3812</v>
      </c>
      <c r="B64" s="25">
        <v>6133.0</v>
      </c>
      <c r="C64" s="62">
        <v>0.05</v>
      </c>
      <c r="D64" s="74">
        <v>0.7</v>
      </c>
      <c r="E64" s="74">
        <v>0.7</v>
      </c>
      <c r="F64" s="64" t="s">
        <v>1656</v>
      </c>
    </row>
    <row r="65">
      <c r="A65" s="176" t="s">
        <v>3813</v>
      </c>
      <c r="B65" s="25">
        <v>14646.0</v>
      </c>
      <c r="C65" s="62">
        <v>0.05</v>
      </c>
      <c r="D65" s="74">
        <v>0.7</v>
      </c>
      <c r="E65" s="74">
        <v>0.7</v>
      </c>
      <c r="F65" s="64" t="s">
        <v>1656</v>
      </c>
    </row>
    <row r="66">
      <c r="A66" s="176" t="s">
        <v>3814</v>
      </c>
      <c r="B66" s="25">
        <v>11601.0</v>
      </c>
      <c r="C66" s="62">
        <v>0.05</v>
      </c>
      <c r="D66" s="74">
        <v>0.7</v>
      </c>
      <c r="E66" s="74">
        <v>0.7</v>
      </c>
      <c r="F66" s="64" t="s">
        <v>1656</v>
      </c>
    </row>
    <row r="67">
      <c r="A67" s="176" t="s">
        <v>3815</v>
      </c>
      <c r="B67" s="25">
        <v>13951.0</v>
      </c>
      <c r="C67" s="62">
        <v>0.05</v>
      </c>
      <c r="D67" s="74">
        <v>0.7</v>
      </c>
      <c r="E67" s="74">
        <v>0.7</v>
      </c>
      <c r="F67" s="64" t="s">
        <v>1656</v>
      </c>
    </row>
    <row r="68">
      <c r="A68" s="176" t="s">
        <v>3816</v>
      </c>
      <c r="B68" s="25">
        <v>6875.0</v>
      </c>
      <c r="C68" s="62">
        <v>0.05</v>
      </c>
      <c r="D68" s="74">
        <v>0.7</v>
      </c>
      <c r="E68" s="74">
        <v>0.7</v>
      </c>
      <c r="F68" s="64" t="s">
        <v>1656</v>
      </c>
    </row>
    <row r="69">
      <c r="A69" s="176" t="s">
        <v>3817</v>
      </c>
      <c r="B69" s="25">
        <v>12553.0</v>
      </c>
      <c r="C69" s="62">
        <v>0.05</v>
      </c>
      <c r="D69" s="74">
        <v>0.7</v>
      </c>
      <c r="E69" s="74">
        <v>0.7</v>
      </c>
      <c r="F69" s="64" t="s">
        <v>1656</v>
      </c>
    </row>
    <row r="70">
      <c r="A70" s="176" t="s">
        <v>3818</v>
      </c>
      <c r="B70" s="25">
        <v>6903.0</v>
      </c>
      <c r="C70" s="62">
        <v>0.05</v>
      </c>
      <c r="D70" s="74">
        <v>0.7</v>
      </c>
      <c r="E70" s="74">
        <v>0.7</v>
      </c>
      <c r="F70" s="64" t="s">
        <v>1656</v>
      </c>
    </row>
    <row r="71">
      <c r="A71" s="176" t="s">
        <v>3819</v>
      </c>
      <c r="B71" s="25">
        <v>6132.0</v>
      </c>
      <c r="C71" s="62">
        <v>0.05</v>
      </c>
      <c r="D71" s="74">
        <v>0.7</v>
      </c>
      <c r="E71" s="74">
        <v>0.7</v>
      </c>
      <c r="F71" s="64" t="s">
        <v>1656</v>
      </c>
    </row>
    <row r="72">
      <c r="A72" s="176" t="s">
        <v>3820</v>
      </c>
      <c r="B72" s="25"/>
      <c r="C72" s="62">
        <v>0.05</v>
      </c>
      <c r="D72" s="74">
        <v>0.7</v>
      </c>
      <c r="E72" s="74">
        <v>0.7</v>
      </c>
      <c r="F72" s="64" t="s">
        <v>1656</v>
      </c>
    </row>
    <row r="73">
      <c r="A73" s="176" t="s">
        <v>3821</v>
      </c>
      <c r="B73" s="25">
        <v>6726.0</v>
      </c>
      <c r="C73" s="62">
        <v>0.05</v>
      </c>
      <c r="D73" s="74">
        <v>0.7</v>
      </c>
      <c r="E73" s="74">
        <v>0.7</v>
      </c>
      <c r="F73" s="64" t="s">
        <v>1656</v>
      </c>
    </row>
    <row r="74">
      <c r="A74" s="176" t="s">
        <v>3822</v>
      </c>
      <c r="B74" s="25">
        <v>6726.0</v>
      </c>
      <c r="C74" s="62">
        <v>0.05</v>
      </c>
      <c r="D74" s="74">
        <v>0.7</v>
      </c>
      <c r="E74" s="74">
        <v>0.7</v>
      </c>
      <c r="F74" s="64" t="s">
        <v>1656</v>
      </c>
    </row>
    <row r="75">
      <c r="A75" s="176" t="s">
        <v>3823</v>
      </c>
      <c r="B75" s="25"/>
      <c r="C75" s="62">
        <v>0.05</v>
      </c>
      <c r="D75" s="74">
        <v>0.7</v>
      </c>
      <c r="E75" s="74">
        <v>0.7</v>
      </c>
      <c r="F75" s="64" t="s">
        <v>1656</v>
      </c>
    </row>
    <row r="76">
      <c r="A76" s="176" t="s">
        <v>3824</v>
      </c>
      <c r="B76" s="25">
        <v>2095.0</v>
      </c>
      <c r="C76" s="62">
        <v>0.05</v>
      </c>
      <c r="D76" s="74">
        <v>0.7</v>
      </c>
      <c r="E76" s="74">
        <v>0.7</v>
      </c>
      <c r="F76" s="64" t="s">
        <v>1656</v>
      </c>
    </row>
    <row r="77">
      <c r="A77" s="176" t="s">
        <v>3825</v>
      </c>
      <c r="B77" s="25">
        <v>2095.0</v>
      </c>
      <c r="C77" s="62">
        <v>0.05</v>
      </c>
      <c r="D77" s="74">
        <v>0.7</v>
      </c>
      <c r="E77" s="74">
        <v>0.7</v>
      </c>
      <c r="F77" s="64" t="s">
        <v>1656</v>
      </c>
    </row>
    <row r="78">
      <c r="A78" s="176" t="s">
        <v>3826</v>
      </c>
      <c r="B78" s="25">
        <v>7023.0</v>
      </c>
      <c r="C78" s="62">
        <v>0.05</v>
      </c>
      <c r="D78" s="74">
        <v>0.7</v>
      </c>
      <c r="E78" s="74">
        <v>0.7</v>
      </c>
      <c r="F78" s="64" t="s">
        <v>1656</v>
      </c>
    </row>
    <row r="79">
      <c r="A79" s="176" t="s">
        <v>3827</v>
      </c>
      <c r="B79" s="25">
        <v>7100.0</v>
      </c>
      <c r="C79" s="62">
        <v>0.05</v>
      </c>
      <c r="D79" s="74">
        <v>0.7</v>
      </c>
      <c r="E79" s="74">
        <v>0.7</v>
      </c>
      <c r="F79" s="64" t="s">
        <v>1656</v>
      </c>
    </row>
    <row r="80">
      <c r="A80" s="176" t="s">
        <v>3828</v>
      </c>
      <c r="B80" s="25"/>
      <c r="C80" s="62">
        <v>0.05</v>
      </c>
      <c r="D80" s="74">
        <v>0.7</v>
      </c>
      <c r="E80" s="74">
        <v>0.7</v>
      </c>
      <c r="F80" s="64" t="s">
        <v>1656</v>
      </c>
    </row>
    <row r="81">
      <c r="A81" s="176" t="s">
        <v>3829</v>
      </c>
      <c r="B81" s="25">
        <v>7229.0</v>
      </c>
      <c r="C81" s="62">
        <v>0.05</v>
      </c>
      <c r="D81" s="74">
        <v>0.7</v>
      </c>
      <c r="E81" s="74">
        <v>0.7</v>
      </c>
      <c r="F81" s="64" t="s">
        <v>1656</v>
      </c>
    </row>
    <row r="82">
      <c r="A82" s="176" t="s">
        <v>3830</v>
      </c>
      <c r="B82" s="25"/>
      <c r="C82" s="62">
        <v>0.05</v>
      </c>
      <c r="D82" s="74">
        <v>0.7</v>
      </c>
      <c r="E82" s="74">
        <v>0.7</v>
      </c>
      <c r="F82" s="64" t="s">
        <v>1656</v>
      </c>
    </row>
    <row r="83">
      <c r="A83" s="176" t="s">
        <v>3831</v>
      </c>
      <c r="B83" s="25">
        <v>12941.0</v>
      </c>
      <c r="C83" s="62">
        <v>0.05</v>
      </c>
      <c r="D83" s="74">
        <v>0.7</v>
      </c>
      <c r="E83" s="74">
        <v>0.7</v>
      </c>
      <c r="F83" s="64" t="s">
        <v>1656</v>
      </c>
    </row>
    <row r="84">
      <c r="A84" s="176" t="s">
        <v>3832</v>
      </c>
      <c r="B84" s="25">
        <v>12941.0</v>
      </c>
      <c r="C84" s="62">
        <v>0.05</v>
      </c>
      <c r="D84" s="74">
        <v>0.7</v>
      </c>
      <c r="E84" s="74">
        <v>0.7</v>
      </c>
      <c r="F84" s="64" t="s">
        <v>1656</v>
      </c>
    </row>
    <row r="85">
      <c r="A85" s="176" t="s">
        <v>3833</v>
      </c>
      <c r="B85" s="25">
        <v>12941.0</v>
      </c>
      <c r="C85" s="62">
        <v>0.05</v>
      </c>
      <c r="D85" s="74">
        <v>0.7</v>
      </c>
      <c r="E85" s="74">
        <v>0.7</v>
      </c>
      <c r="F85" s="64" t="s">
        <v>1656</v>
      </c>
    </row>
    <row r="86">
      <c r="A86" s="176" t="s">
        <v>3834</v>
      </c>
      <c r="B86" s="25">
        <v>12941.0</v>
      </c>
      <c r="C86" s="62">
        <v>0.05</v>
      </c>
      <c r="D86" s="74">
        <v>0.7</v>
      </c>
      <c r="E86" s="74">
        <v>0.7</v>
      </c>
      <c r="F86" s="64" t="s">
        <v>1656</v>
      </c>
    </row>
    <row r="87">
      <c r="A87" s="176" t="s">
        <v>3835</v>
      </c>
      <c r="B87" s="25">
        <v>12941.0</v>
      </c>
      <c r="C87" s="62">
        <v>0.05</v>
      </c>
      <c r="D87" s="74">
        <v>0.7</v>
      </c>
      <c r="E87" s="74">
        <v>0.7</v>
      </c>
      <c r="F87" s="64" t="s">
        <v>1656</v>
      </c>
    </row>
    <row r="88">
      <c r="A88" s="176" t="s">
        <v>3836</v>
      </c>
      <c r="B88" s="25">
        <v>12941.0</v>
      </c>
      <c r="C88" s="62">
        <v>0.05</v>
      </c>
      <c r="D88" s="74">
        <v>0.7</v>
      </c>
      <c r="E88" s="74">
        <v>0.7</v>
      </c>
      <c r="F88" s="64" t="s">
        <v>1656</v>
      </c>
    </row>
    <row r="89">
      <c r="A89" s="176" t="s">
        <v>3837</v>
      </c>
      <c r="B89" s="25"/>
      <c r="C89" s="62">
        <v>0.05</v>
      </c>
      <c r="D89" s="74">
        <v>0.7</v>
      </c>
      <c r="E89" s="74">
        <v>0.7</v>
      </c>
      <c r="F89" s="64" t="s">
        <v>1656</v>
      </c>
    </row>
    <row r="90">
      <c r="A90" s="176" t="s">
        <v>3838</v>
      </c>
      <c r="B90" s="25">
        <v>6875.0</v>
      </c>
      <c r="C90" s="62">
        <v>0.05</v>
      </c>
      <c r="D90" s="74">
        <v>0.7</v>
      </c>
      <c r="E90" s="74">
        <v>0.7</v>
      </c>
      <c r="F90" s="64" t="s">
        <v>1656</v>
      </c>
    </row>
    <row r="91">
      <c r="A91" s="176" t="s">
        <v>3839</v>
      </c>
      <c r="B91" s="25">
        <v>189.0</v>
      </c>
      <c r="C91" s="62">
        <v>0.05</v>
      </c>
      <c r="D91" s="74">
        <v>0.7</v>
      </c>
      <c r="E91" s="74">
        <v>0.7</v>
      </c>
      <c r="F91" s="64" t="s">
        <v>1656</v>
      </c>
    </row>
    <row r="92">
      <c r="A92" s="176" t="s">
        <v>3840</v>
      </c>
      <c r="B92" s="25">
        <v>189.0</v>
      </c>
      <c r="C92" s="62">
        <v>0.05</v>
      </c>
      <c r="D92" s="74">
        <v>0.7</v>
      </c>
      <c r="E92" s="74">
        <v>0.7</v>
      </c>
      <c r="F92" s="64" t="s">
        <v>1656</v>
      </c>
    </row>
    <row r="93">
      <c r="A93" s="176" t="s">
        <v>3841</v>
      </c>
      <c r="B93" s="25">
        <v>189.0</v>
      </c>
      <c r="C93" s="62">
        <v>0.05</v>
      </c>
      <c r="D93" s="74">
        <v>0.7</v>
      </c>
      <c r="E93" s="74">
        <v>0.7</v>
      </c>
      <c r="F93" s="64" t="s">
        <v>1656</v>
      </c>
    </row>
    <row r="94">
      <c r="A94" s="176" t="s">
        <v>3842</v>
      </c>
      <c r="B94" s="25">
        <v>6729.0</v>
      </c>
      <c r="C94" s="62">
        <v>0.05</v>
      </c>
      <c r="D94" s="177">
        <v>0.75</v>
      </c>
      <c r="E94" s="177">
        <v>0.75</v>
      </c>
      <c r="F94" s="64" t="s">
        <v>1656</v>
      </c>
    </row>
    <row r="95">
      <c r="A95" s="176" t="s">
        <v>3843</v>
      </c>
      <c r="B95" s="25">
        <v>8486.0</v>
      </c>
      <c r="C95" s="62">
        <v>0.05</v>
      </c>
      <c r="D95" s="76">
        <v>0.8</v>
      </c>
      <c r="E95" s="177">
        <v>0.8</v>
      </c>
      <c r="F95" s="64" t="s">
        <v>1656</v>
      </c>
    </row>
    <row r="96">
      <c r="A96" s="176" t="s">
        <v>3844</v>
      </c>
      <c r="B96" s="25">
        <v>7003.0</v>
      </c>
      <c r="C96" s="62">
        <v>0.05</v>
      </c>
      <c r="D96" s="74">
        <v>0.7</v>
      </c>
      <c r="E96" s="74">
        <v>0.7</v>
      </c>
      <c r="F96" s="64" t="s">
        <v>1656</v>
      </c>
    </row>
    <row r="97">
      <c r="A97" s="176" t="s">
        <v>3845</v>
      </c>
      <c r="B97" s="25">
        <v>2644.0</v>
      </c>
      <c r="C97" s="62">
        <v>0.05</v>
      </c>
      <c r="D97" s="74">
        <v>0.7</v>
      </c>
      <c r="E97" s="74">
        <v>0.7</v>
      </c>
      <c r="F97" s="64" t="s">
        <v>1656</v>
      </c>
    </row>
    <row r="98">
      <c r="A98" s="176" t="s">
        <v>3846</v>
      </c>
      <c r="B98" s="25">
        <v>14516.0</v>
      </c>
      <c r="C98" s="62">
        <v>0.05</v>
      </c>
      <c r="D98" s="74">
        <v>0.7</v>
      </c>
      <c r="E98" s="74">
        <v>0.7</v>
      </c>
      <c r="F98" s="64" t="s">
        <v>1656</v>
      </c>
    </row>
    <row r="99">
      <c r="A99" s="176" t="s">
        <v>3847</v>
      </c>
      <c r="B99" s="25">
        <v>6728.0</v>
      </c>
      <c r="C99" s="62">
        <v>0.05</v>
      </c>
      <c r="D99" s="74">
        <v>0.7</v>
      </c>
      <c r="E99" s="74">
        <v>0.7</v>
      </c>
      <c r="F99" s="64" t="s">
        <v>1656</v>
      </c>
    </row>
    <row r="100">
      <c r="A100" s="176" t="s">
        <v>3848</v>
      </c>
      <c r="B100" s="25">
        <v>13829.0</v>
      </c>
      <c r="C100" s="62">
        <v>0.05</v>
      </c>
      <c r="D100" s="74">
        <v>0.7</v>
      </c>
      <c r="E100" s="74">
        <v>0.7</v>
      </c>
      <c r="F100" s="64" t="s">
        <v>1656</v>
      </c>
    </row>
    <row r="101">
      <c r="A101" s="176" t="s">
        <v>3849</v>
      </c>
      <c r="B101" s="25">
        <v>11875.0</v>
      </c>
      <c r="C101" s="62">
        <v>0.05</v>
      </c>
      <c r="D101" s="74">
        <v>0.7</v>
      </c>
      <c r="E101" s="74">
        <v>0.7</v>
      </c>
      <c r="F101" s="64" t="s">
        <v>1656</v>
      </c>
    </row>
    <row r="102">
      <c r="A102" s="176" t="s">
        <v>3850</v>
      </c>
      <c r="B102" s="25"/>
      <c r="C102" s="62">
        <v>0.05</v>
      </c>
      <c r="D102" s="74">
        <v>0.7</v>
      </c>
      <c r="E102" s="74">
        <v>0.7</v>
      </c>
      <c r="F102" s="64" t="s">
        <v>1656</v>
      </c>
    </row>
    <row r="103">
      <c r="A103" s="176" t="s">
        <v>3851</v>
      </c>
      <c r="B103" s="25"/>
      <c r="C103" s="62">
        <v>0.05</v>
      </c>
      <c r="D103" s="74">
        <v>0.7</v>
      </c>
      <c r="E103" s="74">
        <v>0.7</v>
      </c>
      <c r="F103" s="64" t="s">
        <v>1656</v>
      </c>
    </row>
    <row r="104">
      <c r="A104" s="176" t="s">
        <v>3852</v>
      </c>
      <c r="B104" s="25"/>
      <c r="C104" s="62">
        <v>0.05</v>
      </c>
      <c r="D104" s="74">
        <v>0.7</v>
      </c>
      <c r="E104" s="74">
        <v>0.7</v>
      </c>
      <c r="F104" s="64" t="s">
        <v>1656</v>
      </c>
    </row>
    <row r="105">
      <c r="A105" s="176" t="s">
        <v>3853</v>
      </c>
      <c r="B105" s="25">
        <v>6936.0</v>
      </c>
      <c r="C105" s="62">
        <v>0.05</v>
      </c>
      <c r="D105" s="74">
        <v>0.7</v>
      </c>
      <c r="E105" s="74">
        <v>0.7</v>
      </c>
      <c r="F105" s="64" t="s">
        <v>1656</v>
      </c>
    </row>
    <row r="106">
      <c r="A106" s="176" t="s">
        <v>3854</v>
      </c>
      <c r="B106" s="25"/>
      <c r="C106" s="62">
        <v>0.05</v>
      </c>
      <c r="D106" s="74">
        <v>0.7</v>
      </c>
      <c r="E106" s="74">
        <v>0.7</v>
      </c>
      <c r="F106" s="64" t="s">
        <v>1656</v>
      </c>
    </row>
    <row r="107">
      <c r="A107" s="176" t="s">
        <v>3855</v>
      </c>
      <c r="B107" s="25"/>
      <c r="C107" s="62">
        <v>0.05</v>
      </c>
      <c r="D107" s="74">
        <v>0.7</v>
      </c>
      <c r="E107" s="74">
        <v>0.7</v>
      </c>
      <c r="F107" s="64" t="s">
        <v>1656</v>
      </c>
    </row>
    <row r="108">
      <c r="A108" s="176" t="s">
        <v>3856</v>
      </c>
      <c r="B108" s="25"/>
      <c r="C108" s="62">
        <v>0.05</v>
      </c>
      <c r="D108" s="74">
        <v>0.7</v>
      </c>
      <c r="E108" s="74">
        <v>0.7</v>
      </c>
      <c r="F108" s="64" t="s">
        <v>1656</v>
      </c>
    </row>
    <row r="109">
      <c r="A109" s="176" t="s">
        <v>3857</v>
      </c>
      <c r="B109" s="25"/>
      <c r="C109" s="62">
        <v>0.05</v>
      </c>
      <c r="D109" s="74">
        <v>0.7</v>
      </c>
      <c r="E109" s="74">
        <v>0.7</v>
      </c>
      <c r="F109" s="64" t="s">
        <v>1656</v>
      </c>
    </row>
    <row r="110">
      <c r="A110" s="176" t="s">
        <v>3858</v>
      </c>
      <c r="B110" s="25">
        <v>13858.0</v>
      </c>
      <c r="C110" s="62">
        <v>0.05</v>
      </c>
      <c r="D110" s="74">
        <v>0.7</v>
      </c>
      <c r="E110" s="74">
        <v>0.7</v>
      </c>
      <c r="F110" s="64" t="s">
        <v>1656</v>
      </c>
    </row>
    <row r="111">
      <c r="A111" s="176" t="s">
        <v>3859</v>
      </c>
      <c r="B111" s="25"/>
      <c r="C111" s="62">
        <v>0.05</v>
      </c>
      <c r="D111" s="74">
        <v>0.7</v>
      </c>
      <c r="E111" s="74">
        <v>0.7</v>
      </c>
      <c r="F111" s="64" t="s">
        <v>1656</v>
      </c>
    </row>
    <row r="112">
      <c r="A112" s="176" t="s">
        <v>3860</v>
      </c>
      <c r="B112" s="25">
        <v>6668.0</v>
      </c>
      <c r="C112" s="62">
        <v>0.05</v>
      </c>
      <c r="D112" s="74">
        <v>0.7</v>
      </c>
      <c r="E112" s="74">
        <v>0.7</v>
      </c>
      <c r="F112" s="64" t="s">
        <v>1656</v>
      </c>
    </row>
    <row r="113">
      <c r="A113" s="176" t="s">
        <v>3861</v>
      </c>
      <c r="B113" s="25"/>
      <c r="C113" s="62">
        <v>0.05</v>
      </c>
      <c r="D113" s="74">
        <v>0.7</v>
      </c>
      <c r="E113" s="74">
        <v>0.7</v>
      </c>
      <c r="F113" s="64" t="s">
        <v>1656</v>
      </c>
    </row>
    <row r="114">
      <c r="A114" s="176" t="s">
        <v>3862</v>
      </c>
      <c r="B114" s="25"/>
      <c r="C114" s="62">
        <v>0.05</v>
      </c>
      <c r="D114" s="74">
        <v>0.7</v>
      </c>
      <c r="E114" s="74">
        <v>0.7</v>
      </c>
      <c r="F114" s="64" t="s">
        <v>1656</v>
      </c>
    </row>
    <row r="115">
      <c r="A115" s="176" t="s">
        <v>3863</v>
      </c>
      <c r="B115" s="25">
        <v>12932.0</v>
      </c>
      <c r="C115" s="62">
        <v>0.05</v>
      </c>
      <c r="D115" s="74">
        <v>0.7</v>
      </c>
      <c r="E115" s="74">
        <v>0.7</v>
      </c>
      <c r="F115" s="64" t="s">
        <v>1656</v>
      </c>
    </row>
    <row r="116">
      <c r="A116" s="176" t="s">
        <v>3864</v>
      </c>
      <c r="B116" s="25"/>
      <c r="C116" s="62">
        <v>0.05</v>
      </c>
      <c r="D116" s="74">
        <v>0.7</v>
      </c>
      <c r="E116" s="74">
        <v>0.7</v>
      </c>
      <c r="F116" s="64" t="s">
        <v>1656</v>
      </c>
    </row>
    <row r="117">
      <c r="A117" s="176" t="s">
        <v>3865</v>
      </c>
      <c r="B117" s="25"/>
      <c r="C117" s="62">
        <v>0.05</v>
      </c>
      <c r="D117" s="74">
        <v>0.7</v>
      </c>
      <c r="E117" s="74">
        <v>0.7</v>
      </c>
      <c r="F117" s="64" t="s">
        <v>1656</v>
      </c>
    </row>
    <row r="118">
      <c r="A118" s="176" t="s">
        <v>3866</v>
      </c>
      <c r="B118" s="25"/>
      <c r="C118" s="62">
        <v>0.05</v>
      </c>
      <c r="D118" s="74">
        <v>0.7</v>
      </c>
      <c r="E118" s="74">
        <v>0.7</v>
      </c>
      <c r="F118" s="64" t="s">
        <v>1656</v>
      </c>
    </row>
    <row r="119">
      <c r="A119" s="176" t="s">
        <v>3867</v>
      </c>
      <c r="B119" s="25"/>
      <c r="C119" s="62">
        <v>0.05</v>
      </c>
      <c r="D119" s="74">
        <v>0.7</v>
      </c>
      <c r="E119" s="74">
        <v>0.7</v>
      </c>
      <c r="F119" s="64" t="s">
        <v>1656</v>
      </c>
    </row>
    <row r="120">
      <c r="A120" s="176" t="s">
        <v>3868</v>
      </c>
      <c r="B120" s="25"/>
      <c r="C120" s="62">
        <v>0.05</v>
      </c>
      <c r="D120" s="74">
        <v>0.7</v>
      </c>
      <c r="E120" s="74">
        <v>0.7</v>
      </c>
      <c r="F120" s="64" t="s">
        <v>1656</v>
      </c>
    </row>
    <row r="121">
      <c r="A121" s="176" t="s">
        <v>3869</v>
      </c>
      <c r="B121" s="25"/>
      <c r="C121" s="62">
        <v>0.05</v>
      </c>
      <c r="D121" s="74">
        <v>0.7</v>
      </c>
      <c r="E121" s="74">
        <v>0.7</v>
      </c>
      <c r="F121" s="64" t="s">
        <v>1656</v>
      </c>
    </row>
    <row r="122">
      <c r="A122" s="176" t="s">
        <v>3870</v>
      </c>
      <c r="B122" s="25"/>
      <c r="C122" s="62">
        <v>0.05</v>
      </c>
      <c r="D122" s="74">
        <v>0.7</v>
      </c>
      <c r="E122" s="74">
        <v>0.7</v>
      </c>
      <c r="F122" s="64" t="s">
        <v>1656</v>
      </c>
    </row>
    <row r="123">
      <c r="A123" s="176" t="s">
        <v>3871</v>
      </c>
      <c r="B123" s="25"/>
      <c r="C123" s="62">
        <v>0.05</v>
      </c>
      <c r="D123" s="74">
        <v>0.7</v>
      </c>
      <c r="E123" s="74">
        <v>0.7</v>
      </c>
      <c r="F123" s="64" t="s">
        <v>1656</v>
      </c>
    </row>
    <row r="124">
      <c r="A124" s="176" t="s">
        <v>3872</v>
      </c>
      <c r="B124" s="25">
        <v>663.0</v>
      </c>
      <c r="C124" s="62">
        <v>0.05</v>
      </c>
      <c r="D124" s="74">
        <v>0.7</v>
      </c>
      <c r="E124" s="74">
        <v>0.7</v>
      </c>
      <c r="F124" s="64" t="s">
        <v>1656</v>
      </c>
    </row>
    <row r="125">
      <c r="A125" s="176" t="s">
        <v>3873</v>
      </c>
      <c r="B125" s="25">
        <v>14575.0</v>
      </c>
      <c r="C125" s="62">
        <v>0.05</v>
      </c>
      <c r="D125" s="179">
        <v>0.85</v>
      </c>
      <c r="E125" s="179">
        <v>0.85</v>
      </c>
      <c r="F125" s="64" t="s">
        <v>1656</v>
      </c>
    </row>
    <row r="126">
      <c r="A126" s="176" t="s">
        <v>3874</v>
      </c>
      <c r="B126" s="25"/>
      <c r="C126" s="62">
        <v>0.05</v>
      </c>
      <c r="D126" s="74">
        <v>0.7</v>
      </c>
      <c r="E126" s="74">
        <v>0.7</v>
      </c>
      <c r="F126" s="64" t="s">
        <v>1656</v>
      </c>
    </row>
    <row r="127">
      <c r="A127" s="176" t="s">
        <v>3875</v>
      </c>
      <c r="B127" s="25"/>
      <c r="C127" s="62">
        <v>0.05</v>
      </c>
      <c r="D127" s="74">
        <v>0.7</v>
      </c>
      <c r="E127" s="74">
        <v>0.7</v>
      </c>
      <c r="F127" s="64" t="s">
        <v>1656</v>
      </c>
    </row>
    <row r="128">
      <c r="A128" s="176" t="s">
        <v>3876</v>
      </c>
      <c r="B128" s="25"/>
      <c r="C128" s="62">
        <v>0.05</v>
      </c>
      <c r="D128" s="74">
        <v>0.7</v>
      </c>
      <c r="E128" s="74">
        <v>0.7</v>
      </c>
      <c r="F128" s="64" t="s">
        <v>1656</v>
      </c>
    </row>
    <row r="129">
      <c r="A129" s="176" t="s">
        <v>3877</v>
      </c>
      <c r="B129" s="25"/>
      <c r="C129" s="62">
        <v>0.05</v>
      </c>
      <c r="D129" s="74">
        <v>0.7</v>
      </c>
      <c r="E129" s="74">
        <v>0.7</v>
      </c>
      <c r="F129" s="64" t="s">
        <v>1656</v>
      </c>
    </row>
    <row r="130">
      <c r="A130" s="176" t="s">
        <v>3878</v>
      </c>
      <c r="B130" s="37">
        <v>14480.0</v>
      </c>
      <c r="C130" s="62">
        <v>0.05</v>
      </c>
      <c r="D130" s="74">
        <v>0.7</v>
      </c>
      <c r="E130" s="74">
        <v>0.7</v>
      </c>
      <c r="F130" s="64" t="s">
        <v>1656</v>
      </c>
    </row>
    <row r="131">
      <c r="A131" s="176" t="s">
        <v>3879</v>
      </c>
      <c r="B131" s="25"/>
      <c r="C131" s="62">
        <v>0.05</v>
      </c>
      <c r="D131" s="74">
        <v>0.7</v>
      </c>
      <c r="E131" s="74">
        <v>0.7</v>
      </c>
      <c r="F131" s="64" t="s">
        <v>1656</v>
      </c>
    </row>
    <row r="132">
      <c r="A132" s="176" t="s">
        <v>3880</v>
      </c>
      <c r="B132" s="25"/>
      <c r="C132" s="62">
        <v>0.05</v>
      </c>
      <c r="D132" s="74">
        <v>0.7</v>
      </c>
      <c r="E132" s="74">
        <v>0.7</v>
      </c>
      <c r="F132" s="64" t="s">
        <v>1656</v>
      </c>
    </row>
    <row r="133">
      <c r="A133" s="176" t="s">
        <v>3881</v>
      </c>
      <c r="B133" s="25"/>
      <c r="C133" s="62">
        <v>0.05</v>
      </c>
      <c r="D133" s="74">
        <v>0.7</v>
      </c>
      <c r="E133" s="74">
        <v>0.7</v>
      </c>
      <c r="F133" s="64" t="s">
        <v>1656</v>
      </c>
    </row>
    <row r="134">
      <c r="A134" s="176" t="s">
        <v>3882</v>
      </c>
      <c r="B134" s="25"/>
      <c r="C134" s="62">
        <v>0.05</v>
      </c>
      <c r="D134" s="74">
        <v>0.7</v>
      </c>
      <c r="E134" s="74">
        <v>0.7</v>
      </c>
      <c r="F134" s="64" t="s">
        <v>1656</v>
      </c>
    </row>
    <row r="135">
      <c r="A135" s="176" t="s">
        <v>3883</v>
      </c>
      <c r="B135" s="79">
        <v>663.0</v>
      </c>
      <c r="C135" s="62">
        <v>0.05</v>
      </c>
      <c r="D135" s="74">
        <v>0.7</v>
      </c>
      <c r="E135" s="74">
        <v>0.7</v>
      </c>
      <c r="F135" s="64" t="s">
        <v>1656</v>
      </c>
    </row>
    <row r="136">
      <c r="A136" s="176" t="s">
        <v>3884</v>
      </c>
      <c r="B136" s="25"/>
      <c r="C136" s="62">
        <v>0.05</v>
      </c>
      <c r="D136" s="74">
        <v>0.7</v>
      </c>
      <c r="E136" s="74">
        <v>0.7</v>
      </c>
      <c r="F136" s="64" t="s">
        <v>1656</v>
      </c>
    </row>
    <row r="137">
      <c r="A137" s="176" t="s">
        <v>3885</v>
      </c>
      <c r="B137" s="25"/>
      <c r="C137" s="62">
        <v>0.05</v>
      </c>
      <c r="D137" s="74">
        <v>0.7</v>
      </c>
      <c r="E137" s="74">
        <v>0.7</v>
      </c>
      <c r="F137" s="64" t="s">
        <v>1656</v>
      </c>
    </row>
    <row r="138">
      <c r="A138" s="176" t="s">
        <v>3886</v>
      </c>
      <c r="B138" s="25"/>
      <c r="C138" s="62">
        <v>0.05</v>
      </c>
      <c r="D138" s="74">
        <v>0.7</v>
      </c>
      <c r="E138" s="74">
        <v>0.7</v>
      </c>
      <c r="F138" s="64" t="s">
        <v>1656</v>
      </c>
    </row>
    <row r="139">
      <c r="A139" s="176" t="s">
        <v>3887</v>
      </c>
      <c r="B139" s="25"/>
      <c r="C139" s="62">
        <v>0.05</v>
      </c>
      <c r="D139" s="74">
        <v>0.7</v>
      </c>
      <c r="E139" s="74">
        <v>0.7</v>
      </c>
      <c r="F139" s="64" t="s">
        <v>1656</v>
      </c>
    </row>
    <row r="140">
      <c r="A140" s="176" t="s">
        <v>3888</v>
      </c>
      <c r="B140" s="25"/>
      <c r="C140" s="62">
        <v>0.05</v>
      </c>
      <c r="D140" s="74">
        <v>0.7</v>
      </c>
      <c r="E140" s="74">
        <v>0.7</v>
      </c>
      <c r="F140" s="64" t="s">
        <v>1656</v>
      </c>
    </row>
    <row r="141">
      <c r="A141" s="176" t="s">
        <v>3889</v>
      </c>
      <c r="B141" s="180">
        <v>14465.0</v>
      </c>
      <c r="C141" s="62">
        <v>0.05</v>
      </c>
      <c r="D141" s="179">
        <v>0.9</v>
      </c>
      <c r="E141" s="179">
        <v>0.9</v>
      </c>
      <c r="F141" s="64" t="s">
        <v>1656</v>
      </c>
    </row>
    <row r="142">
      <c r="A142" s="176" t="s">
        <v>3890</v>
      </c>
      <c r="B142" s="25"/>
      <c r="C142" s="62">
        <v>0.05</v>
      </c>
      <c r="D142" s="74">
        <v>0.7</v>
      </c>
      <c r="E142" s="74">
        <v>0.7</v>
      </c>
      <c r="F142" s="64" t="s">
        <v>1656</v>
      </c>
    </row>
    <row r="143">
      <c r="A143" s="176" t="s">
        <v>3891</v>
      </c>
      <c r="B143" s="25">
        <v>11049.0</v>
      </c>
      <c r="C143" s="62">
        <v>0.05</v>
      </c>
      <c r="D143" s="74">
        <v>0.7</v>
      </c>
      <c r="E143" s="74">
        <v>0.7</v>
      </c>
      <c r="F143" s="64" t="s">
        <v>1656</v>
      </c>
    </row>
    <row r="144">
      <c r="A144" s="176" t="s">
        <v>3892</v>
      </c>
      <c r="B144" s="25">
        <v>11049.0</v>
      </c>
      <c r="C144" s="62">
        <v>0.05</v>
      </c>
      <c r="D144" s="74">
        <v>0.7</v>
      </c>
      <c r="E144" s="74">
        <v>0.7</v>
      </c>
      <c r="F144" s="64" t="s">
        <v>1656</v>
      </c>
    </row>
    <row r="145">
      <c r="A145" s="176" t="s">
        <v>3893</v>
      </c>
      <c r="B145" s="25">
        <v>11049.0</v>
      </c>
      <c r="C145" s="62">
        <v>0.05</v>
      </c>
      <c r="D145" s="74">
        <v>0.7</v>
      </c>
      <c r="E145" s="74">
        <v>0.7</v>
      </c>
      <c r="F145" s="64" t="s">
        <v>1656</v>
      </c>
    </row>
    <row r="146">
      <c r="A146" s="176" t="s">
        <v>3894</v>
      </c>
      <c r="B146" s="25">
        <v>11049.0</v>
      </c>
      <c r="C146" s="62">
        <v>0.05</v>
      </c>
      <c r="D146" s="74">
        <v>0.7</v>
      </c>
      <c r="E146" s="74">
        <v>0.7</v>
      </c>
      <c r="F146" s="64" t="s">
        <v>1656</v>
      </c>
    </row>
    <row r="147">
      <c r="A147" s="176" t="s">
        <v>3895</v>
      </c>
      <c r="B147" s="25">
        <v>11049.0</v>
      </c>
      <c r="C147" s="62">
        <v>0.05</v>
      </c>
      <c r="D147" s="74">
        <v>0.7</v>
      </c>
      <c r="E147" s="74">
        <v>0.7</v>
      </c>
      <c r="F147" s="64" t="s">
        <v>1656</v>
      </c>
    </row>
    <row r="148">
      <c r="A148" s="176" t="s">
        <v>3896</v>
      </c>
      <c r="B148" s="25">
        <v>11049.0</v>
      </c>
      <c r="C148" s="62">
        <v>0.05</v>
      </c>
      <c r="D148" s="74">
        <v>0.7</v>
      </c>
      <c r="E148" s="74">
        <v>0.7</v>
      </c>
      <c r="F148" s="64" t="s">
        <v>1656</v>
      </c>
    </row>
    <row r="149">
      <c r="A149" s="176" t="s">
        <v>3897</v>
      </c>
      <c r="B149" s="25">
        <v>11049.0</v>
      </c>
      <c r="C149" s="62">
        <v>0.05</v>
      </c>
      <c r="D149" s="74">
        <v>0.7</v>
      </c>
      <c r="E149" s="74">
        <v>0.7</v>
      </c>
      <c r="F149" s="64" t="s">
        <v>1656</v>
      </c>
    </row>
    <row r="150">
      <c r="A150" s="176" t="s">
        <v>3898</v>
      </c>
      <c r="B150" s="25">
        <v>11049.0</v>
      </c>
      <c r="C150" s="62">
        <v>0.05</v>
      </c>
      <c r="D150" s="74">
        <v>0.7</v>
      </c>
      <c r="E150" s="74">
        <v>0.7</v>
      </c>
      <c r="F150" s="64" t="s">
        <v>1656</v>
      </c>
    </row>
    <row r="151">
      <c r="A151" s="176" t="s">
        <v>3899</v>
      </c>
      <c r="B151" s="25">
        <v>11049.0</v>
      </c>
      <c r="C151" s="62">
        <v>0.05</v>
      </c>
      <c r="D151" s="74">
        <v>0.7</v>
      </c>
      <c r="E151" s="74">
        <v>0.7</v>
      </c>
      <c r="F151" s="64" t="s">
        <v>1656</v>
      </c>
    </row>
    <row r="152">
      <c r="A152" s="176" t="s">
        <v>3900</v>
      </c>
      <c r="B152" s="25">
        <v>11049.0</v>
      </c>
      <c r="C152" s="62">
        <v>0.05</v>
      </c>
      <c r="D152" s="74">
        <v>0.7</v>
      </c>
      <c r="E152" s="74">
        <v>0.7</v>
      </c>
      <c r="F152" s="64" t="s">
        <v>1656</v>
      </c>
    </row>
    <row r="153">
      <c r="A153" s="176" t="s">
        <v>3901</v>
      </c>
      <c r="B153" s="25">
        <v>11049.0</v>
      </c>
      <c r="C153" s="62">
        <v>0.05</v>
      </c>
      <c r="D153" s="74">
        <v>0.7</v>
      </c>
      <c r="E153" s="74">
        <v>0.7</v>
      </c>
      <c r="F153" s="64" t="s">
        <v>1656</v>
      </c>
    </row>
    <row r="154">
      <c r="A154" s="176" t="s">
        <v>3902</v>
      </c>
      <c r="B154" s="25">
        <v>11049.0</v>
      </c>
      <c r="C154" s="62">
        <v>0.05</v>
      </c>
      <c r="D154" s="74">
        <v>0.7</v>
      </c>
      <c r="E154" s="74">
        <v>0.7</v>
      </c>
      <c r="F154" s="64" t="s">
        <v>1656</v>
      </c>
    </row>
    <row r="155">
      <c r="A155" s="176" t="s">
        <v>3903</v>
      </c>
      <c r="B155" s="25">
        <v>11049.0</v>
      </c>
      <c r="C155" s="62">
        <v>0.05</v>
      </c>
      <c r="D155" s="74">
        <v>0.7</v>
      </c>
      <c r="E155" s="74">
        <v>0.7</v>
      </c>
      <c r="F155" s="64" t="s">
        <v>1656</v>
      </c>
    </row>
    <row r="156">
      <c r="A156" s="176" t="s">
        <v>3904</v>
      </c>
      <c r="B156" s="25">
        <v>11049.0</v>
      </c>
      <c r="C156" s="62">
        <v>0.05</v>
      </c>
      <c r="D156" s="74">
        <v>0.7</v>
      </c>
      <c r="E156" s="74">
        <v>0.7</v>
      </c>
      <c r="F156" s="64" t="s">
        <v>1656</v>
      </c>
    </row>
    <row r="157">
      <c r="A157" s="176" t="s">
        <v>3905</v>
      </c>
      <c r="B157" s="25">
        <v>11049.0</v>
      </c>
      <c r="C157" s="62">
        <v>0.05</v>
      </c>
      <c r="D157" s="74">
        <v>0.7</v>
      </c>
      <c r="E157" s="74">
        <v>0.7</v>
      </c>
      <c r="F157" s="64" t="s">
        <v>1656</v>
      </c>
    </row>
    <row r="158">
      <c r="A158" s="176" t="s">
        <v>3906</v>
      </c>
      <c r="B158" s="25">
        <v>11049.0</v>
      </c>
      <c r="C158" s="62">
        <v>0.05</v>
      </c>
      <c r="D158" s="74">
        <v>0.7</v>
      </c>
      <c r="E158" s="74">
        <v>0.7</v>
      </c>
      <c r="F158" s="64" t="s">
        <v>1656</v>
      </c>
    </row>
    <row r="159">
      <c r="A159" s="176" t="s">
        <v>3907</v>
      </c>
      <c r="B159" s="25">
        <v>11049.0</v>
      </c>
      <c r="C159" s="62">
        <v>0.05</v>
      </c>
      <c r="D159" s="74">
        <v>0.7</v>
      </c>
      <c r="E159" s="74">
        <v>0.7</v>
      </c>
      <c r="F159" s="64" t="s">
        <v>1656</v>
      </c>
    </row>
    <row r="160">
      <c r="A160" s="176" t="s">
        <v>3908</v>
      </c>
      <c r="B160" s="25">
        <v>14292.0</v>
      </c>
      <c r="C160" s="62">
        <v>0.05</v>
      </c>
      <c r="D160" s="74">
        <v>0.7</v>
      </c>
      <c r="E160" s="74">
        <v>0.7</v>
      </c>
      <c r="F160" s="64" t="s">
        <v>1656</v>
      </c>
    </row>
    <row r="161">
      <c r="A161" s="176" t="s">
        <v>3909</v>
      </c>
      <c r="B161" s="25">
        <v>11049.0</v>
      </c>
      <c r="C161" s="62">
        <v>0.05</v>
      </c>
      <c r="D161" s="74">
        <v>0.7</v>
      </c>
      <c r="E161" s="74">
        <v>0.7</v>
      </c>
      <c r="F161" s="64" t="s">
        <v>1656</v>
      </c>
    </row>
    <row r="162">
      <c r="A162" s="176" t="s">
        <v>3910</v>
      </c>
      <c r="B162" s="25">
        <v>11049.0</v>
      </c>
      <c r="C162" s="62">
        <v>0.05</v>
      </c>
      <c r="D162" s="74">
        <v>0.7</v>
      </c>
      <c r="E162" s="74">
        <v>0.7</v>
      </c>
      <c r="F162" s="64" t="s">
        <v>1656</v>
      </c>
    </row>
    <row r="163">
      <c r="A163" s="176" t="s">
        <v>3911</v>
      </c>
      <c r="B163" s="25">
        <v>11049.0</v>
      </c>
      <c r="C163" s="62">
        <v>0.05</v>
      </c>
      <c r="D163" s="74">
        <v>0.7</v>
      </c>
      <c r="E163" s="74">
        <v>0.7</v>
      </c>
      <c r="F163" s="64" t="s">
        <v>1656</v>
      </c>
    </row>
    <row r="164">
      <c r="A164" s="176" t="s">
        <v>3912</v>
      </c>
      <c r="B164" s="25">
        <v>11049.0</v>
      </c>
      <c r="C164" s="62">
        <v>0.05</v>
      </c>
      <c r="D164" s="74">
        <v>0.7</v>
      </c>
      <c r="E164" s="74">
        <v>0.7</v>
      </c>
      <c r="F164" s="64" t="s">
        <v>1656</v>
      </c>
    </row>
    <row r="165">
      <c r="A165" s="176" t="s">
        <v>3913</v>
      </c>
      <c r="B165" s="25">
        <v>14292.0</v>
      </c>
      <c r="C165" s="62">
        <v>0.05</v>
      </c>
      <c r="D165" s="74">
        <v>0.7</v>
      </c>
      <c r="E165" s="74">
        <v>0.7</v>
      </c>
      <c r="F165" s="64" t="s">
        <v>1656</v>
      </c>
    </row>
    <row r="166">
      <c r="A166" s="176" t="s">
        <v>3914</v>
      </c>
      <c r="B166" s="25">
        <v>11049.0</v>
      </c>
      <c r="C166" s="62">
        <v>0.05</v>
      </c>
      <c r="D166" s="74">
        <v>0.7</v>
      </c>
      <c r="E166" s="74">
        <v>0.7</v>
      </c>
      <c r="F166" s="64" t="s">
        <v>1656</v>
      </c>
    </row>
    <row r="167">
      <c r="A167" s="176" t="s">
        <v>3915</v>
      </c>
      <c r="B167" s="25">
        <v>11049.0</v>
      </c>
      <c r="C167" s="62">
        <v>0.05</v>
      </c>
      <c r="D167" s="74">
        <v>0.7</v>
      </c>
      <c r="E167" s="74">
        <v>0.7</v>
      </c>
      <c r="F167" s="64" t="s">
        <v>1656</v>
      </c>
    </row>
    <row r="168">
      <c r="A168" s="176" t="s">
        <v>3916</v>
      </c>
      <c r="B168" s="25">
        <v>11049.0</v>
      </c>
      <c r="C168" s="62">
        <v>0.05</v>
      </c>
      <c r="D168" s="74">
        <v>0.7</v>
      </c>
      <c r="E168" s="74">
        <v>0.7</v>
      </c>
      <c r="F168" s="64" t="s">
        <v>1656</v>
      </c>
    </row>
    <row r="169">
      <c r="A169" s="176" t="s">
        <v>3917</v>
      </c>
      <c r="B169" s="25">
        <v>11049.0</v>
      </c>
      <c r="C169" s="62">
        <v>0.05</v>
      </c>
      <c r="D169" s="74">
        <v>0.7</v>
      </c>
      <c r="E169" s="74">
        <v>0.7</v>
      </c>
      <c r="F169" s="64" t="s">
        <v>1656</v>
      </c>
    </row>
    <row r="170">
      <c r="A170" s="176" t="s">
        <v>3918</v>
      </c>
      <c r="B170" s="25">
        <v>11049.0</v>
      </c>
      <c r="C170" s="62">
        <v>0.05</v>
      </c>
      <c r="D170" s="74">
        <v>0.7</v>
      </c>
      <c r="E170" s="74">
        <v>0.7</v>
      </c>
      <c r="F170" s="64" t="s">
        <v>1656</v>
      </c>
    </row>
    <row r="171">
      <c r="A171" s="176" t="s">
        <v>3919</v>
      </c>
      <c r="B171" s="25">
        <v>11049.0</v>
      </c>
      <c r="C171" s="62">
        <v>0.05</v>
      </c>
      <c r="D171" s="74">
        <v>0.7</v>
      </c>
      <c r="E171" s="74">
        <v>0.7</v>
      </c>
      <c r="F171" s="64" t="s">
        <v>1656</v>
      </c>
    </row>
    <row r="172">
      <c r="A172" s="176" t="s">
        <v>3920</v>
      </c>
      <c r="B172" s="25">
        <v>11049.0</v>
      </c>
      <c r="C172" s="62">
        <v>0.05</v>
      </c>
      <c r="D172" s="74">
        <v>0.7</v>
      </c>
      <c r="E172" s="74">
        <v>0.7</v>
      </c>
      <c r="F172" s="64" t="s">
        <v>1656</v>
      </c>
    </row>
    <row r="173">
      <c r="A173" s="176" t="s">
        <v>3921</v>
      </c>
      <c r="B173" s="25">
        <v>11049.0</v>
      </c>
      <c r="C173" s="62">
        <v>0.05</v>
      </c>
      <c r="D173" s="74">
        <v>0.7</v>
      </c>
      <c r="E173" s="74">
        <v>0.7</v>
      </c>
      <c r="F173" s="64" t="s">
        <v>1656</v>
      </c>
    </row>
    <row r="174">
      <c r="A174" s="176" t="s">
        <v>3922</v>
      </c>
      <c r="B174" s="25">
        <v>11049.0</v>
      </c>
      <c r="C174" s="62">
        <v>0.05</v>
      </c>
      <c r="D174" s="74">
        <v>0.7</v>
      </c>
      <c r="E174" s="74">
        <v>0.7</v>
      </c>
      <c r="F174" s="64" t="s">
        <v>1656</v>
      </c>
    </row>
    <row r="175">
      <c r="A175" s="176" t="s">
        <v>3923</v>
      </c>
      <c r="B175" s="25">
        <v>5458.0</v>
      </c>
      <c r="C175" s="62">
        <v>0.05</v>
      </c>
      <c r="D175" s="74">
        <v>0.7</v>
      </c>
      <c r="E175" s="74">
        <v>0.7</v>
      </c>
      <c r="F175" s="64" t="s">
        <v>1656</v>
      </c>
    </row>
    <row r="176">
      <c r="A176" s="176" t="s">
        <v>3924</v>
      </c>
      <c r="B176" s="25">
        <v>5458.0</v>
      </c>
      <c r="C176" s="62">
        <v>0.05</v>
      </c>
      <c r="D176" s="74">
        <v>0.7</v>
      </c>
      <c r="E176" s="74">
        <v>0.7</v>
      </c>
      <c r="F176" s="64" t="s">
        <v>1656</v>
      </c>
    </row>
    <row r="177">
      <c r="A177" s="176" t="s">
        <v>3925</v>
      </c>
      <c r="B177" s="25">
        <v>5458.0</v>
      </c>
      <c r="C177" s="62">
        <v>0.05</v>
      </c>
      <c r="D177" s="74">
        <v>0.7</v>
      </c>
      <c r="E177" s="74">
        <v>0.7</v>
      </c>
      <c r="F177" s="64" t="s">
        <v>1656</v>
      </c>
    </row>
    <row r="178">
      <c r="A178" s="176" t="s">
        <v>3926</v>
      </c>
      <c r="B178" s="25"/>
      <c r="C178" s="62">
        <v>0.05</v>
      </c>
      <c r="D178" s="74">
        <v>0.7</v>
      </c>
      <c r="E178" s="74">
        <v>0.7</v>
      </c>
      <c r="F178" s="64" t="s">
        <v>1656</v>
      </c>
    </row>
    <row r="179">
      <c r="A179" s="176" t="s">
        <v>3927</v>
      </c>
      <c r="B179" s="25">
        <v>7142.0</v>
      </c>
      <c r="C179" s="62">
        <v>0.05</v>
      </c>
      <c r="D179" s="74">
        <v>0.7</v>
      </c>
      <c r="E179" s="74">
        <v>0.7</v>
      </c>
      <c r="F179" s="64" t="s">
        <v>1656</v>
      </c>
    </row>
    <row r="180">
      <c r="A180" s="176" t="s">
        <v>3928</v>
      </c>
      <c r="B180" s="25">
        <v>8161.0</v>
      </c>
      <c r="C180" s="62">
        <v>0.05</v>
      </c>
      <c r="D180" s="74">
        <v>0.7</v>
      </c>
      <c r="E180" s="74">
        <v>0.7</v>
      </c>
      <c r="F180" s="64" t="s">
        <v>1656</v>
      </c>
    </row>
    <row r="181">
      <c r="A181" s="181" t="s">
        <v>3929</v>
      </c>
      <c r="B181" s="182">
        <v>12259.0</v>
      </c>
      <c r="C181" s="62">
        <v>0.05</v>
      </c>
      <c r="D181" s="74">
        <v>0.7</v>
      </c>
      <c r="E181" s="74">
        <v>0.7</v>
      </c>
      <c r="F181" s="64" t="s">
        <v>1656</v>
      </c>
    </row>
    <row r="182">
      <c r="A182" s="181" t="s">
        <v>3930</v>
      </c>
      <c r="B182" s="182">
        <v>12277.0</v>
      </c>
      <c r="C182" s="62">
        <v>0.05</v>
      </c>
      <c r="D182" s="74">
        <v>0.7</v>
      </c>
      <c r="E182" s="74">
        <v>0.7</v>
      </c>
      <c r="F182" s="64" t="s">
        <v>1656</v>
      </c>
    </row>
    <row r="183">
      <c r="A183" s="181" t="s">
        <v>3931</v>
      </c>
      <c r="B183" s="182">
        <v>8486.0</v>
      </c>
      <c r="C183" s="62">
        <v>0.05</v>
      </c>
      <c r="D183" s="76">
        <v>0.8</v>
      </c>
      <c r="E183" s="76">
        <v>0.8</v>
      </c>
      <c r="F183" s="64" t="s">
        <v>1656</v>
      </c>
    </row>
    <row r="184">
      <c r="A184" s="181" t="s">
        <v>3932</v>
      </c>
      <c r="B184" s="182">
        <v>9616.0</v>
      </c>
      <c r="C184" s="62">
        <v>0.05</v>
      </c>
      <c r="D184" s="74">
        <v>0.7</v>
      </c>
      <c r="E184" s="74">
        <v>0.7</v>
      </c>
      <c r="F184" s="64" t="s">
        <v>1656</v>
      </c>
    </row>
    <row r="185">
      <c r="A185" s="181" t="s">
        <v>3933</v>
      </c>
      <c r="B185" s="182">
        <v>7416.0</v>
      </c>
      <c r="C185" s="62">
        <v>0.05</v>
      </c>
      <c r="D185" s="74">
        <v>0.7</v>
      </c>
      <c r="E185" s="74">
        <v>0.7</v>
      </c>
      <c r="F185" s="64" t="s">
        <v>1656</v>
      </c>
    </row>
    <row r="186">
      <c r="A186" s="181" t="s">
        <v>3934</v>
      </c>
      <c r="B186" s="182">
        <v>14418.0</v>
      </c>
      <c r="C186" s="62">
        <v>0.05</v>
      </c>
      <c r="D186" s="74">
        <v>0.7</v>
      </c>
      <c r="E186" s="74">
        <v>0.7</v>
      </c>
      <c r="F186" s="64" t="s">
        <v>1656</v>
      </c>
    </row>
    <row r="187">
      <c r="A187" s="181" t="s">
        <v>3935</v>
      </c>
      <c r="B187" s="182"/>
      <c r="C187" s="62">
        <v>0.05</v>
      </c>
      <c r="D187" s="74">
        <v>0.7</v>
      </c>
      <c r="E187" s="74">
        <v>0.7</v>
      </c>
      <c r="F187" s="64" t="s">
        <v>1656</v>
      </c>
    </row>
    <row r="188">
      <c r="A188" s="181" t="s">
        <v>3936</v>
      </c>
      <c r="B188" s="182"/>
      <c r="C188" s="62">
        <v>0.05</v>
      </c>
      <c r="D188" s="74">
        <v>0.7</v>
      </c>
      <c r="E188" s="74">
        <v>0.7</v>
      </c>
      <c r="F188" s="64" t="s">
        <v>1656</v>
      </c>
    </row>
    <row r="189">
      <c r="A189" s="181" t="s">
        <v>3937</v>
      </c>
      <c r="B189" s="182"/>
      <c r="C189" s="62">
        <v>0.05</v>
      </c>
      <c r="D189" s="74">
        <v>0.7</v>
      </c>
      <c r="E189" s="74">
        <v>0.7</v>
      </c>
      <c r="F189" s="64" t="s">
        <v>1656</v>
      </c>
    </row>
    <row r="190">
      <c r="A190" s="181" t="s">
        <v>3938</v>
      </c>
      <c r="B190" s="182"/>
      <c r="C190" s="62">
        <v>0.05</v>
      </c>
      <c r="D190" s="74">
        <v>0.7</v>
      </c>
      <c r="E190" s="74">
        <v>0.7</v>
      </c>
      <c r="F190" s="64" t="s">
        <v>1656</v>
      </c>
    </row>
    <row r="191">
      <c r="A191" s="181" t="s">
        <v>3939</v>
      </c>
      <c r="B191" s="182"/>
      <c r="C191" s="62">
        <v>0.05</v>
      </c>
      <c r="D191" s="74">
        <v>0.7</v>
      </c>
      <c r="E191" s="74">
        <v>0.7</v>
      </c>
      <c r="F191" s="64" t="s">
        <v>1656</v>
      </c>
    </row>
    <row r="192">
      <c r="A192" s="181" t="s">
        <v>3940</v>
      </c>
      <c r="B192" s="182"/>
      <c r="C192" s="62">
        <v>0.05</v>
      </c>
      <c r="D192" s="74">
        <v>0.7</v>
      </c>
      <c r="E192" s="74">
        <v>0.7</v>
      </c>
      <c r="F192" s="64" t="s">
        <v>1656</v>
      </c>
    </row>
    <row r="193">
      <c r="A193" s="181" t="s">
        <v>3941</v>
      </c>
      <c r="B193" s="182"/>
      <c r="C193" s="62">
        <v>0.05</v>
      </c>
      <c r="D193" s="74">
        <v>0.7</v>
      </c>
      <c r="E193" s="74">
        <v>0.7</v>
      </c>
      <c r="F193" s="64" t="s">
        <v>1656</v>
      </c>
    </row>
    <row r="194">
      <c r="A194" s="181" t="s">
        <v>3942</v>
      </c>
      <c r="B194" s="182"/>
      <c r="C194" s="62">
        <v>0.05</v>
      </c>
      <c r="D194" s="74">
        <v>0.7</v>
      </c>
      <c r="E194" s="74">
        <v>0.7</v>
      </c>
      <c r="F194" s="64" t="s">
        <v>1656</v>
      </c>
    </row>
    <row r="195">
      <c r="A195" s="181" t="s">
        <v>3943</v>
      </c>
      <c r="B195" s="182"/>
      <c r="C195" s="62">
        <v>0.05</v>
      </c>
      <c r="D195" s="74">
        <v>0.7</v>
      </c>
      <c r="E195" s="74">
        <v>0.7</v>
      </c>
      <c r="F195" s="64" t="s">
        <v>1656</v>
      </c>
    </row>
    <row r="196">
      <c r="A196" s="181" t="s">
        <v>3944</v>
      </c>
      <c r="B196" s="182"/>
      <c r="C196" s="62">
        <v>0.05</v>
      </c>
      <c r="D196" s="74">
        <v>0.7</v>
      </c>
      <c r="E196" s="74">
        <v>0.7</v>
      </c>
      <c r="F196" s="64" t="s">
        <v>1656</v>
      </c>
    </row>
    <row r="197">
      <c r="A197" s="181" t="s">
        <v>3945</v>
      </c>
      <c r="B197" s="182"/>
      <c r="C197" s="62">
        <v>0.05</v>
      </c>
      <c r="D197" s="74">
        <v>0.7</v>
      </c>
      <c r="E197" s="74">
        <v>0.7</v>
      </c>
      <c r="F197" s="64" t="s">
        <v>1656</v>
      </c>
    </row>
    <row r="198">
      <c r="A198" s="181" t="s">
        <v>3946</v>
      </c>
      <c r="B198" s="182"/>
      <c r="C198" s="62">
        <v>0.05</v>
      </c>
      <c r="D198" s="74">
        <v>0.7</v>
      </c>
      <c r="E198" s="74">
        <v>0.7</v>
      </c>
      <c r="F198" s="64" t="s">
        <v>1656</v>
      </c>
    </row>
    <row r="199">
      <c r="A199" s="181" t="s">
        <v>3947</v>
      </c>
      <c r="B199" s="182"/>
      <c r="C199" s="62">
        <v>0.05</v>
      </c>
      <c r="D199" s="74">
        <v>0.7</v>
      </c>
      <c r="E199" s="74">
        <v>0.7</v>
      </c>
      <c r="F199" s="64" t="s">
        <v>1656</v>
      </c>
    </row>
    <row r="200">
      <c r="A200" s="181" t="s">
        <v>3948</v>
      </c>
      <c r="B200" s="182"/>
      <c r="C200" s="62">
        <v>0.05</v>
      </c>
      <c r="D200" s="74">
        <v>0.7</v>
      </c>
      <c r="E200" s="74">
        <v>0.7</v>
      </c>
      <c r="F200" s="64" t="s">
        <v>1656</v>
      </c>
    </row>
    <row r="201">
      <c r="A201" s="159"/>
      <c r="B201" s="158"/>
    </row>
    <row r="202">
      <c r="A202" s="159"/>
      <c r="B202" s="158"/>
    </row>
    <row r="203">
      <c r="A203" s="159"/>
      <c r="B203" s="158"/>
    </row>
    <row r="204">
      <c r="A204" s="159"/>
      <c r="B204" s="158"/>
    </row>
    <row r="205">
      <c r="A205" s="159"/>
      <c r="B205" s="158"/>
    </row>
    <row r="206">
      <c r="A206" s="159"/>
      <c r="B206" s="158"/>
    </row>
    <row r="207">
      <c r="A207" s="159"/>
      <c r="B207" s="158"/>
    </row>
    <row r="208">
      <c r="A208" s="159"/>
      <c r="B208" s="158"/>
    </row>
    <row r="209">
      <c r="A209" s="159"/>
      <c r="B209" s="158"/>
    </row>
    <row r="210">
      <c r="A210" s="159"/>
      <c r="B210" s="158"/>
    </row>
    <row r="211">
      <c r="A211" s="159"/>
      <c r="B211" s="158"/>
    </row>
    <row r="212">
      <c r="A212" s="159"/>
    </row>
    <row r="213">
      <c r="A213" s="159"/>
      <c r="B213" s="158"/>
    </row>
    <row r="214">
      <c r="A214" s="159"/>
      <c r="B214" s="158"/>
    </row>
    <row r="215">
      <c r="A215" s="159"/>
      <c r="B215" s="158"/>
    </row>
    <row r="216">
      <c r="A216" s="159"/>
      <c r="B216" s="160"/>
    </row>
    <row r="217">
      <c r="A217" s="159"/>
      <c r="B217" s="162"/>
    </row>
    <row r="218">
      <c r="A218" s="159"/>
      <c r="B218" s="158"/>
    </row>
    <row r="219">
      <c r="A219" s="159"/>
      <c r="B219" s="158"/>
    </row>
    <row r="220">
      <c r="A220" s="159"/>
      <c r="B220" s="158"/>
    </row>
    <row r="221">
      <c r="A221" s="159"/>
      <c r="B221" s="158"/>
    </row>
    <row r="222">
      <c r="A222" s="159"/>
      <c r="B222" s="158"/>
    </row>
    <row r="223">
      <c r="A223" s="159"/>
      <c r="B223" s="158"/>
    </row>
    <row r="224">
      <c r="A224" s="159"/>
      <c r="B224" s="158"/>
    </row>
    <row r="225">
      <c r="A225" s="159"/>
      <c r="B225" s="158"/>
    </row>
    <row r="226">
      <c r="A226" s="159"/>
      <c r="B226" s="158"/>
    </row>
    <row r="227">
      <c r="A227" s="159"/>
      <c r="B227" s="158"/>
    </row>
    <row r="228">
      <c r="A228" s="159"/>
      <c r="B228" s="160"/>
    </row>
    <row r="229">
      <c r="A229" s="159"/>
      <c r="B229" s="160"/>
    </row>
    <row r="230">
      <c r="A230" s="159"/>
      <c r="B230" s="160"/>
    </row>
    <row r="231">
      <c r="A231" s="159"/>
      <c r="B231" s="158"/>
    </row>
    <row r="232">
      <c r="A232" s="159"/>
      <c r="B232" s="160"/>
    </row>
    <row r="233">
      <c r="A233" s="159"/>
      <c r="B233" s="158"/>
    </row>
    <row r="234">
      <c r="A234" s="159"/>
      <c r="B234" s="158"/>
    </row>
    <row r="235">
      <c r="A235" s="159"/>
      <c r="B235" s="158"/>
    </row>
    <row r="236">
      <c r="A236" s="159"/>
      <c r="B236" s="158"/>
    </row>
    <row r="237">
      <c r="A237" s="159"/>
      <c r="B237" s="158"/>
    </row>
    <row r="238">
      <c r="A238" s="159"/>
      <c r="B238" s="160"/>
    </row>
    <row r="239">
      <c r="A239" s="159"/>
      <c r="B239" s="160"/>
    </row>
    <row r="240">
      <c r="A240" s="159"/>
      <c r="B240" s="158"/>
    </row>
    <row r="241">
      <c r="A241" s="159"/>
    </row>
    <row r="242">
      <c r="A242" s="159"/>
    </row>
    <row r="243">
      <c r="A243" s="159"/>
      <c r="B243" s="160"/>
    </row>
    <row r="244">
      <c r="A244" s="159"/>
      <c r="B244" s="160"/>
    </row>
    <row r="245">
      <c r="A245" s="159"/>
      <c r="B245" s="158"/>
    </row>
    <row r="246">
      <c r="A246" s="159"/>
      <c r="B246" s="160"/>
    </row>
    <row r="247">
      <c r="A247" s="159"/>
      <c r="B247" s="160"/>
    </row>
    <row r="248">
      <c r="A248" s="159"/>
      <c r="B248" s="158"/>
    </row>
    <row r="249">
      <c r="A249" s="159"/>
      <c r="B249" s="160"/>
    </row>
    <row r="250">
      <c r="A250" s="159"/>
      <c r="B250" s="160"/>
    </row>
    <row r="251">
      <c r="A251" s="159"/>
    </row>
    <row r="252">
      <c r="A252" s="159"/>
    </row>
    <row r="253">
      <c r="A253" s="159"/>
      <c r="B253" s="158"/>
    </row>
    <row r="254">
      <c r="A254" s="159"/>
    </row>
    <row r="255">
      <c r="A255" s="159"/>
      <c r="B255" s="160"/>
    </row>
    <row r="256">
      <c r="A256" s="159"/>
      <c r="B256" s="160"/>
    </row>
    <row r="257">
      <c r="A257" s="159"/>
      <c r="B257" s="160"/>
    </row>
    <row r="258">
      <c r="A258" s="159"/>
      <c r="B258" s="158"/>
    </row>
    <row r="259">
      <c r="A259" s="159"/>
      <c r="B259" s="160"/>
    </row>
    <row r="260">
      <c r="A260" s="159"/>
      <c r="B260" s="160"/>
    </row>
    <row r="261">
      <c r="A261" s="159"/>
      <c r="B261" s="158"/>
    </row>
    <row r="262">
      <c r="A262" s="159"/>
      <c r="B262" s="160"/>
    </row>
    <row r="263">
      <c r="A263" s="159"/>
    </row>
    <row r="264">
      <c r="A264" s="159"/>
      <c r="B264" s="160"/>
    </row>
    <row r="265">
      <c r="A265" s="159"/>
      <c r="B265" s="158"/>
    </row>
    <row r="266">
      <c r="A266" s="159"/>
      <c r="B266" s="160"/>
    </row>
    <row r="267">
      <c r="A267" s="159"/>
      <c r="B267" s="160"/>
    </row>
    <row r="268">
      <c r="A268" s="159"/>
      <c r="B268" s="160"/>
    </row>
    <row r="269">
      <c r="A269" s="159"/>
      <c r="B269" s="16"/>
    </row>
    <row r="270">
      <c r="A270" s="159"/>
      <c r="B270" s="160"/>
    </row>
    <row r="271">
      <c r="A271" s="159"/>
      <c r="B271" s="160"/>
    </row>
    <row r="272">
      <c r="A272" s="159"/>
      <c r="B272" s="160"/>
    </row>
    <row r="273">
      <c r="A273" s="159"/>
      <c r="B273" s="160"/>
    </row>
    <row r="274">
      <c r="A274" s="159"/>
      <c r="B274" s="158"/>
    </row>
    <row r="275">
      <c r="A275" s="159"/>
      <c r="B275" s="160"/>
    </row>
    <row r="276">
      <c r="A276" s="159"/>
      <c r="B276" s="158"/>
    </row>
    <row r="277">
      <c r="A277" s="159"/>
      <c r="B277" s="160"/>
    </row>
    <row r="278">
      <c r="A278" s="159"/>
      <c r="B278" s="160"/>
    </row>
    <row r="279">
      <c r="A279" s="159"/>
      <c r="B279" s="160"/>
    </row>
    <row r="280">
      <c r="A280" s="159"/>
      <c r="B280" s="160"/>
    </row>
    <row r="281">
      <c r="A281" s="159"/>
      <c r="B281" s="160"/>
    </row>
    <row r="282">
      <c r="A282" s="159"/>
      <c r="B282" s="158"/>
    </row>
    <row r="283">
      <c r="A283" s="159"/>
      <c r="B283" s="160"/>
    </row>
    <row r="284">
      <c r="A284" s="159"/>
      <c r="B284" s="160"/>
    </row>
    <row r="285">
      <c r="A285" s="159"/>
      <c r="B285" s="160"/>
    </row>
    <row r="286">
      <c r="A286" s="159"/>
      <c r="B286" s="160"/>
    </row>
    <row r="287">
      <c r="A287" s="159"/>
      <c r="B287" s="160"/>
    </row>
    <row r="288">
      <c r="A288" s="159"/>
      <c r="B288" s="158"/>
    </row>
    <row r="289">
      <c r="A289" s="159"/>
      <c r="B289" s="160"/>
    </row>
    <row r="290">
      <c r="A290" s="159"/>
      <c r="B290" s="160"/>
    </row>
    <row r="291">
      <c r="A291" s="159"/>
      <c r="B291" s="160"/>
    </row>
    <row r="292">
      <c r="A292" s="159"/>
      <c r="B292" s="160"/>
    </row>
    <row r="293">
      <c r="A293" s="159"/>
      <c r="B293" s="160"/>
    </row>
    <row r="294">
      <c r="A294" s="159"/>
      <c r="B294" s="158"/>
    </row>
    <row r="295">
      <c r="A295" s="159"/>
      <c r="B295" s="160"/>
    </row>
    <row r="296">
      <c r="A296" s="159"/>
      <c r="B296" s="160"/>
    </row>
    <row r="297">
      <c r="A297" s="159"/>
      <c r="B297" s="160"/>
    </row>
    <row r="298">
      <c r="A298" s="159"/>
      <c r="B298" s="160"/>
    </row>
    <row r="299">
      <c r="A299" s="159"/>
      <c r="B299" s="160"/>
    </row>
    <row r="300">
      <c r="A300" s="159"/>
      <c r="B300" s="160"/>
    </row>
    <row r="301">
      <c r="A301" s="159"/>
      <c r="B301" s="160"/>
    </row>
    <row r="302">
      <c r="A302" s="159"/>
      <c r="B302" s="158"/>
    </row>
    <row r="303">
      <c r="A303" s="159"/>
      <c r="B303" s="160"/>
    </row>
    <row r="304">
      <c r="A304" s="159"/>
      <c r="B304" s="160"/>
    </row>
    <row r="305">
      <c r="A305" s="159"/>
      <c r="B305" s="160"/>
    </row>
    <row r="306">
      <c r="A306" s="159"/>
      <c r="B306" s="160"/>
    </row>
    <row r="307">
      <c r="A307" s="159"/>
      <c r="B307" s="160"/>
    </row>
    <row r="308">
      <c r="A308" s="159"/>
      <c r="B308" s="160"/>
    </row>
    <row r="309">
      <c r="A309" s="159"/>
      <c r="B309" s="160"/>
    </row>
    <row r="310">
      <c r="A310" s="159"/>
    </row>
    <row r="311">
      <c r="A311" s="159"/>
      <c r="B311" s="160"/>
    </row>
    <row r="312">
      <c r="A312" s="159"/>
      <c r="B312" s="158"/>
    </row>
    <row r="313">
      <c r="A313" s="159"/>
      <c r="B313" s="158"/>
    </row>
    <row r="314">
      <c r="A314" s="159"/>
      <c r="B314" s="158"/>
    </row>
    <row r="315">
      <c r="A315" s="159"/>
      <c r="B315" s="160"/>
    </row>
    <row r="316">
      <c r="A316" s="159"/>
      <c r="B316" s="160"/>
    </row>
    <row r="317">
      <c r="A317" s="159"/>
      <c r="B317" s="160"/>
    </row>
    <row r="318">
      <c r="A318" s="159"/>
      <c r="B318" s="160"/>
    </row>
    <row r="319">
      <c r="A319" s="159"/>
      <c r="B319" s="160"/>
    </row>
    <row r="320">
      <c r="A320" s="159"/>
      <c r="B320" s="158"/>
    </row>
    <row r="321">
      <c r="A321" s="159"/>
      <c r="B321" s="160"/>
    </row>
    <row r="322">
      <c r="A322" s="159"/>
      <c r="B322" s="160"/>
    </row>
    <row r="323">
      <c r="A323" s="159"/>
      <c r="B323" s="160"/>
    </row>
    <row r="324">
      <c r="A324" s="159"/>
      <c r="B324" s="160"/>
    </row>
    <row r="325">
      <c r="A325" s="159"/>
      <c r="B325" s="160"/>
    </row>
    <row r="326">
      <c r="A326" s="159"/>
      <c r="B326" s="160"/>
    </row>
    <row r="327">
      <c r="A327" s="159"/>
      <c r="B327" s="160"/>
    </row>
    <row r="328">
      <c r="A328" s="159"/>
      <c r="B328" s="160"/>
    </row>
    <row r="329">
      <c r="A329" s="159"/>
      <c r="B329" s="160"/>
    </row>
    <row r="330">
      <c r="A330" s="159"/>
      <c r="B330" s="160"/>
    </row>
    <row r="331">
      <c r="A331" s="159"/>
      <c r="B331" s="158"/>
    </row>
    <row r="332">
      <c r="A332" s="159"/>
      <c r="B332" s="160"/>
    </row>
    <row r="333">
      <c r="A333" s="159"/>
      <c r="B333" s="160"/>
    </row>
    <row r="334">
      <c r="A334" s="159"/>
      <c r="B334" s="160"/>
    </row>
    <row r="335">
      <c r="A335" s="159"/>
      <c r="B335" s="160"/>
    </row>
    <row r="336">
      <c r="A336" s="159"/>
      <c r="B336" s="160"/>
    </row>
    <row r="337">
      <c r="A337" s="159"/>
      <c r="B337" s="160"/>
    </row>
    <row r="338">
      <c r="A338" s="159"/>
      <c r="B338" s="160"/>
    </row>
    <row r="339">
      <c r="A339" s="159"/>
      <c r="B339" s="160"/>
    </row>
    <row r="340">
      <c r="A340" s="159"/>
      <c r="B340" s="160"/>
    </row>
    <row r="341">
      <c r="A341" s="159"/>
      <c r="B341" s="160"/>
    </row>
    <row r="342">
      <c r="A342" s="159"/>
      <c r="B342" s="160"/>
    </row>
    <row r="343">
      <c r="A343" s="159"/>
      <c r="B343" s="160"/>
    </row>
    <row r="344">
      <c r="A344" s="159"/>
      <c r="B344" s="160"/>
    </row>
    <row r="345">
      <c r="A345" s="159"/>
      <c r="B345" s="160"/>
    </row>
    <row r="346">
      <c r="A346" s="159"/>
      <c r="B346" s="160"/>
    </row>
    <row r="347">
      <c r="A347" s="159"/>
      <c r="B347" s="160"/>
    </row>
    <row r="348">
      <c r="A348" s="159"/>
      <c r="B348" s="160"/>
    </row>
    <row r="349">
      <c r="A349" s="159"/>
      <c r="B349" s="160"/>
    </row>
    <row r="350">
      <c r="A350" s="159"/>
      <c r="B350" s="160"/>
    </row>
    <row r="351">
      <c r="A351" s="159"/>
      <c r="B351" s="160"/>
    </row>
    <row r="352">
      <c r="A352" s="159"/>
      <c r="B352" s="160"/>
    </row>
    <row r="353">
      <c r="A353" s="159"/>
      <c r="B353" s="160"/>
    </row>
    <row r="354">
      <c r="A354" s="159"/>
      <c r="B354" s="160"/>
    </row>
    <row r="355">
      <c r="A355" s="159"/>
      <c r="B355" s="160"/>
    </row>
    <row r="356">
      <c r="A356" s="159"/>
      <c r="B356" s="160"/>
    </row>
    <row r="357">
      <c r="A357" s="159"/>
      <c r="B357" s="160"/>
    </row>
    <row r="358">
      <c r="A358" s="159"/>
      <c r="B358" s="160"/>
    </row>
    <row r="359">
      <c r="A359" s="159"/>
      <c r="B359" s="160"/>
    </row>
    <row r="360">
      <c r="A360" s="159"/>
      <c r="B360" s="160"/>
    </row>
    <row r="361">
      <c r="A361" s="159"/>
      <c r="B361" s="160"/>
    </row>
    <row r="362">
      <c r="A362" s="159"/>
      <c r="B362" s="160"/>
    </row>
    <row r="363">
      <c r="A363" s="159"/>
      <c r="B363" s="160"/>
    </row>
    <row r="364">
      <c r="A364" s="159"/>
      <c r="B364" s="160"/>
    </row>
    <row r="365">
      <c r="A365" s="159"/>
      <c r="B365" s="160"/>
    </row>
    <row r="366">
      <c r="A366" s="159"/>
      <c r="B366" s="160"/>
    </row>
    <row r="367">
      <c r="A367" s="159"/>
      <c r="B367" s="160"/>
    </row>
    <row r="368">
      <c r="A368" s="159"/>
      <c r="B368" s="160"/>
    </row>
    <row r="369">
      <c r="A369" s="159"/>
      <c r="B369" s="160"/>
    </row>
    <row r="370">
      <c r="A370" s="159"/>
      <c r="B370" s="160"/>
    </row>
    <row r="371">
      <c r="A371" s="159"/>
      <c r="B371" s="160"/>
    </row>
    <row r="372">
      <c r="A372" s="159"/>
      <c r="B372" s="160"/>
    </row>
    <row r="373">
      <c r="A373" s="159"/>
      <c r="B373" s="160"/>
    </row>
    <row r="374">
      <c r="A374" s="159"/>
      <c r="B374" s="160"/>
    </row>
    <row r="375">
      <c r="A375" s="159"/>
    </row>
    <row r="376">
      <c r="A376" s="159"/>
      <c r="B376" s="160"/>
    </row>
    <row r="377">
      <c r="A377" s="159"/>
      <c r="B377" s="160"/>
    </row>
    <row r="378">
      <c r="A378" s="159"/>
      <c r="B378" s="160"/>
    </row>
    <row r="379">
      <c r="A379" s="159"/>
      <c r="B379" s="160"/>
    </row>
    <row r="380">
      <c r="A380" s="159"/>
      <c r="B380" s="160"/>
    </row>
    <row r="381">
      <c r="A381" s="159"/>
      <c r="B381" s="160"/>
    </row>
    <row r="382">
      <c r="A382" s="159"/>
      <c r="B382" s="160"/>
    </row>
    <row r="383">
      <c r="A383" s="159"/>
      <c r="B383" s="160"/>
    </row>
    <row r="384">
      <c r="A384" s="159"/>
      <c r="B384" s="160"/>
    </row>
    <row r="385">
      <c r="A385" s="159"/>
      <c r="B385" s="160"/>
    </row>
    <row r="386">
      <c r="A386" s="159"/>
      <c r="B386" s="160"/>
    </row>
    <row r="387">
      <c r="A387" s="159"/>
      <c r="B387" s="160"/>
    </row>
    <row r="388">
      <c r="A388" s="159"/>
      <c r="B388" s="160"/>
    </row>
    <row r="389">
      <c r="A389" s="159"/>
      <c r="B389" s="160"/>
    </row>
    <row r="390">
      <c r="A390" s="159"/>
      <c r="B390" s="160"/>
    </row>
    <row r="391">
      <c r="A391" s="159"/>
      <c r="B391" s="160"/>
    </row>
    <row r="392">
      <c r="A392" s="159"/>
      <c r="B392" s="160"/>
    </row>
    <row r="393">
      <c r="A393" s="159"/>
      <c r="B393" s="160"/>
    </row>
    <row r="394">
      <c r="A394" s="159"/>
      <c r="B394" s="160"/>
    </row>
    <row r="395">
      <c r="A395" s="159"/>
      <c r="B395" s="160"/>
    </row>
    <row r="396">
      <c r="A396" s="159"/>
      <c r="B396" s="160"/>
    </row>
    <row r="397">
      <c r="A397" s="159"/>
      <c r="B397" s="160"/>
    </row>
    <row r="398">
      <c r="A398" s="159"/>
      <c r="B398" s="160"/>
    </row>
    <row r="399">
      <c r="A399" s="159"/>
      <c r="B399" s="160"/>
    </row>
    <row r="400">
      <c r="A400" s="159"/>
      <c r="B400" s="160"/>
    </row>
    <row r="401">
      <c r="A401" s="159"/>
      <c r="B401" s="160"/>
    </row>
    <row r="402">
      <c r="A402" s="159"/>
      <c r="B402" s="160"/>
    </row>
    <row r="403">
      <c r="A403" s="159"/>
      <c r="B403" s="160"/>
    </row>
    <row r="404">
      <c r="A404" s="159"/>
      <c r="B404" s="160"/>
    </row>
    <row r="405">
      <c r="A405" s="159"/>
      <c r="B405" s="160"/>
    </row>
    <row r="406">
      <c r="A406" s="159"/>
      <c r="B406" s="160"/>
    </row>
    <row r="407">
      <c r="A407" s="159"/>
      <c r="B407" s="160"/>
    </row>
    <row r="408">
      <c r="A408" s="159"/>
      <c r="B408" s="160"/>
    </row>
    <row r="409">
      <c r="A409" s="159"/>
      <c r="B409" s="160"/>
    </row>
    <row r="410">
      <c r="A410" s="159"/>
      <c r="B410" s="160"/>
    </row>
    <row r="411">
      <c r="A411" s="159"/>
      <c r="B411" s="160"/>
    </row>
    <row r="412">
      <c r="A412" s="159"/>
      <c r="B412" s="160"/>
    </row>
    <row r="413">
      <c r="A413" s="159"/>
      <c r="B413" s="160"/>
    </row>
    <row r="414">
      <c r="A414" s="159"/>
      <c r="B414" s="160"/>
    </row>
    <row r="415">
      <c r="A415" s="159"/>
      <c r="B415" s="160"/>
    </row>
    <row r="416">
      <c r="A416" s="159"/>
      <c r="B416" s="160"/>
    </row>
    <row r="417">
      <c r="A417" s="159"/>
      <c r="B417" s="160"/>
    </row>
    <row r="418">
      <c r="A418" s="159"/>
      <c r="B418" s="160"/>
    </row>
    <row r="419">
      <c r="A419" s="159"/>
      <c r="B419" s="160"/>
    </row>
    <row r="420">
      <c r="A420" s="159"/>
      <c r="B420" s="160"/>
    </row>
    <row r="421">
      <c r="A421" s="159"/>
      <c r="B421" s="160"/>
    </row>
    <row r="422">
      <c r="A422" s="159"/>
      <c r="B422" s="160"/>
    </row>
    <row r="423">
      <c r="A423" s="159"/>
      <c r="B423" s="160"/>
    </row>
    <row r="424">
      <c r="A424" s="159"/>
      <c r="B424" s="158"/>
    </row>
    <row r="425">
      <c r="A425" s="159"/>
      <c r="B425" s="160"/>
    </row>
    <row r="426">
      <c r="A426" s="159"/>
      <c r="B426" s="160"/>
    </row>
    <row r="427">
      <c r="A427" s="159"/>
      <c r="B427" s="160"/>
    </row>
    <row r="428">
      <c r="A428" s="159"/>
      <c r="B428" s="160"/>
    </row>
    <row r="429">
      <c r="A429" s="159"/>
      <c r="B429" s="160"/>
    </row>
    <row r="430">
      <c r="A430" s="159"/>
      <c r="B430" s="160"/>
    </row>
    <row r="431">
      <c r="A431" s="159"/>
      <c r="B431" s="160"/>
    </row>
    <row r="432">
      <c r="A432" s="159"/>
      <c r="B432" s="160"/>
    </row>
    <row r="433">
      <c r="A433" s="159"/>
      <c r="B433" s="160"/>
    </row>
    <row r="434">
      <c r="A434" s="159"/>
      <c r="B434" s="160"/>
    </row>
    <row r="435">
      <c r="A435" s="159"/>
      <c r="B435" s="160"/>
    </row>
    <row r="436">
      <c r="A436" s="159"/>
      <c r="B436" s="160"/>
    </row>
    <row r="437">
      <c r="A437" s="159"/>
      <c r="B437" s="160"/>
    </row>
    <row r="438">
      <c r="A438" s="159"/>
      <c r="B438" s="160"/>
    </row>
    <row r="439">
      <c r="A439" s="159"/>
      <c r="B439" s="160"/>
    </row>
    <row r="440">
      <c r="A440" s="159"/>
      <c r="B440" s="160"/>
    </row>
    <row r="441">
      <c r="A441" s="159"/>
      <c r="B441" s="160"/>
    </row>
    <row r="442">
      <c r="A442" s="159"/>
      <c r="B442" s="160"/>
    </row>
    <row r="443">
      <c r="A443" s="159"/>
      <c r="B443" s="160"/>
    </row>
    <row r="444">
      <c r="A444" s="159"/>
      <c r="B444" s="160"/>
    </row>
    <row r="445">
      <c r="A445" s="159"/>
      <c r="B445" s="160"/>
    </row>
    <row r="446">
      <c r="A446" s="159"/>
      <c r="B446" s="160"/>
    </row>
    <row r="447">
      <c r="A447" s="159"/>
      <c r="B447" s="160"/>
    </row>
    <row r="448">
      <c r="A448" s="159"/>
      <c r="B448" s="160"/>
    </row>
    <row r="449">
      <c r="A449" s="159"/>
      <c r="B449" s="160"/>
    </row>
    <row r="450">
      <c r="A450" s="159"/>
      <c r="B450" s="160"/>
    </row>
    <row r="451">
      <c r="A451" s="159"/>
      <c r="B451" s="160"/>
    </row>
    <row r="452">
      <c r="A452" s="159"/>
      <c r="B452" s="160"/>
    </row>
    <row r="453">
      <c r="A453" s="159"/>
      <c r="B453" s="160"/>
    </row>
    <row r="454">
      <c r="A454" s="159"/>
      <c r="B454" s="160"/>
    </row>
    <row r="455">
      <c r="A455" s="159"/>
      <c r="B455" s="160"/>
    </row>
    <row r="456">
      <c r="A456" s="159"/>
      <c r="B456" s="160"/>
    </row>
    <row r="457">
      <c r="A457" s="159"/>
      <c r="B457" s="160"/>
    </row>
    <row r="458">
      <c r="A458" s="159"/>
      <c r="B458" s="160"/>
    </row>
    <row r="459">
      <c r="A459" s="159"/>
      <c r="B459" s="160"/>
    </row>
    <row r="460">
      <c r="A460" s="159"/>
      <c r="B460" s="160"/>
    </row>
    <row r="461">
      <c r="A461" s="159"/>
      <c r="B461" s="160"/>
    </row>
    <row r="462">
      <c r="A462" s="159"/>
      <c r="B462" s="160"/>
    </row>
    <row r="463">
      <c r="A463" s="159"/>
      <c r="B463" s="160"/>
    </row>
    <row r="464">
      <c r="A464" s="159"/>
      <c r="B464" s="160"/>
    </row>
    <row r="465">
      <c r="A465" s="159"/>
      <c r="B465" s="160"/>
    </row>
    <row r="466">
      <c r="A466" s="159"/>
      <c r="B466" s="160"/>
    </row>
    <row r="467">
      <c r="A467" s="159"/>
      <c r="B467" s="160"/>
    </row>
    <row r="468">
      <c r="A468" s="159"/>
      <c r="B468" s="160"/>
    </row>
    <row r="469">
      <c r="A469" s="159"/>
      <c r="B469" s="160"/>
    </row>
    <row r="470">
      <c r="A470" s="159"/>
      <c r="B470" s="160"/>
    </row>
    <row r="471">
      <c r="A471" s="159"/>
      <c r="B471" s="160"/>
    </row>
    <row r="472">
      <c r="A472" s="159"/>
      <c r="B472" s="160"/>
    </row>
    <row r="473">
      <c r="A473" s="159"/>
      <c r="B473" s="160"/>
    </row>
    <row r="474">
      <c r="A474" s="159"/>
      <c r="B474" s="160"/>
    </row>
    <row r="475">
      <c r="A475" s="159"/>
      <c r="B475" s="160"/>
    </row>
    <row r="476">
      <c r="A476" s="159"/>
      <c r="B476" s="160"/>
    </row>
    <row r="477">
      <c r="A477" s="159"/>
      <c r="B477" s="160"/>
    </row>
    <row r="478">
      <c r="A478" s="159"/>
      <c r="B478" s="160"/>
    </row>
    <row r="479">
      <c r="A479" s="159"/>
      <c r="B479" s="160"/>
    </row>
    <row r="480">
      <c r="A480" s="159"/>
      <c r="B480" s="160"/>
    </row>
    <row r="481">
      <c r="A481" s="159"/>
      <c r="B481" s="160"/>
    </row>
    <row r="482">
      <c r="A482" s="159"/>
      <c r="B482" s="160"/>
    </row>
    <row r="483">
      <c r="A483" s="159"/>
      <c r="B483" s="160"/>
    </row>
    <row r="484">
      <c r="A484" s="159"/>
      <c r="B484" s="160"/>
    </row>
    <row r="485">
      <c r="A485" s="159"/>
      <c r="B485" s="158"/>
    </row>
    <row r="486">
      <c r="A486" s="159"/>
      <c r="B486" s="160"/>
    </row>
    <row r="487">
      <c r="A487" s="159"/>
      <c r="B487" s="160"/>
    </row>
    <row r="488">
      <c r="A488" s="159"/>
      <c r="B488" s="160"/>
    </row>
    <row r="489">
      <c r="A489" s="159"/>
      <c r="B489" s="160"/>
    </row>
    <row r="490">
      <c r="A490" s="159"/>
      <c r="B490" s="160"/>
    </row>
    <row r="491">
      <c r="A491" s="159"/>
      <c r="B491" s="160"/>
    </row>
    <row r="492">
      <c r="A492" s="159"/>
      <c r="B492" s="160"/>
    </row>
    <row r="493">
      <c r="A493" s="159"/>
      <c r="B493" s="160"/>
    </row>
    <row r="494">
      <c r="A494" s="159"/>
      <c r="B494" s="160"/>
    </row>
    <row r="495">
      <c r="A495" s="159"/>
      <c r="B495" s="160"/>
    </row>
    <row r="496">
      <c r="A496" s="159"/>
      <c r="B496" s="160"/>
    </row>
    <row r="497">
      <c r="A497" s="159"/>
      <c r="B497" s="160"/>
    </row>
    <row r="498">
      <c r="A498" s="159"/>
      <c r="B498" s="160"/>
    </row>
    <row r="499">
      <c r="A499" s="159"/>
      <c r="B499" s="160"/>
    </row>
    <row r="500">
      <c r="A500" s="159"/>
      <c r="B500" s="160"/>
    </row>
    <row r="501">
      <c r="A501" s="159"/>
      <c r="B501" s="160"/>
    </row>
    <row r="502">
      <c r="A502" s="159"/>
      <c r="B502" s="160"/>
    </row>
    <row r="503">
      <c r="A503" s="159"/>
      <c r="B503" s="160"/>
    </row>
    <row r="504">
      <c r="A504" s="159"/>
      <c r="B504" s="160"/>
    </row>
    <row r="505">
      <c r="A505" s="159"/>
      <c r="B505" s="160"/>
    </row>
    <row r="506">
      <c r="A506" s="159"/>
      <c r="B506" s="158"/>
    </row>
    <row r="507">
      <c r="A507" s="159"/>
      <c r="B507" s="160"/>
    </row>
    <row r="508">
      <c r="A508" s="159"/>
      <c r="B508" s="160"/>
    </row>
    <row r="509">
      <c r="A509" s="159"/>
      <c r="B509" s="160"/>
    </row>
    <row r="510">
      <c r="A510" s="159"/>
      <c r="B510" s="160"/>
    </row>
    <row r="511">
      <c r="A511" s="159"/>
      <c r="B511" s="160"/>
    </row>
    <row r="512">
      <c r="A512" s="159"/>
      <c r="B512" s="160"/>
    </row>
    <row r="513">
      <c r="A513" s="159"/>
      <c r="B513" s="160"/>
    </row>
    <row r="514">
      <c r="A514" s="159"/>
      <c r="B514" s="160"/>
    </row>
    <row r="515">
      <c r="A515" s="159"/>
      <c r="B515" s="160"/>
    </row>
    <row r="516">
      <c r="A516" s="159"/>
      <c r="B516" s="160"/>
    </row>
    <row r="517">
      <c r="A517" s="159"/>
      <c r="B517" s="160"/>
    </row>
    <row r="518">
      <c r="A518" s="159"/>
      <c r="B518" s="162"/>
    </row>
    <row r="519">
      <c r="A519" s="159"/>
      <c r="B519" s="160"/>
    </row>
    <row r="520">
      <c r="A520" s="159"/>
      <c r="B520" s="160"/>
    </row>
    <row r="521">
      <c r="A521" s="159"/>
      <c r="B521" s="160"/>
    </row>
    <row r="522">
      <c r="A522" s="159"/>
      <c r="B522" s="160"/>
    </row>
    <row r="523">
      <c r="A523" s="159"/>
      <c r="B523" s="160"/>
    </row>
    <row r="524">
      <c r="A524" s="159"/>
      <c r="B524" s="160"/>
    </row>
    <row r="525">
      <c r="A525" s="159"/>
      <c r="B525" s="160"/>
    </row>
    <row r="526">
      <c r="A526" s="159"/>
      <c r="B526" s="160"/>
    </row>
    <row r="527">
      <c r="A527" s="159"/>
      <c r="B527" s="160"/>
    </row>
    <row r="528">
      <c r="A528" s="159"/>
      <c r="B528" s="160"/>
    </row>
    <row r="529">
      <c r="A529" s="159"/>
      <c r="B529" s="160"/>
    </row>
    <row r="530">
      <c r="A530" s="159"/>
      <c r="B530" s="160"/>
    </row>
    <row r="531">
      <c r="A531" s="159"/>
      <c r="B531" s="160"/>
    </row>
    <row r="532">
      <c r="A532" s="159"/>
      <c r="B532" s="160"/>
    </row>
    <row r="533">
      <c r="A533" s="159"/>
      <c r="B533" s="160"/>
    </row>
    <row r="534">
      <c r="A534" s="159"/>
      <c r="B534" s="160"/>
    </row>
    <row r="535">
      <c r="A535" s="159"/>
      <c r="B535" s="160"/>
    </row>
    <row r="536">
      <c r="A536" s="159"/>
      <c r="B536" s="160"/>
    </row>
    <row r="537">
      <c r="A537" s="159"/>
      <c r="B537" s="160"/>
    </row>
    <row r="538">
      <c r="A538" s="159"/>
      <c r="B538" s="160"/>
    </row>
    <row r="539">
      <c r="A539" s="159"/>
      <c r="B539" s="160"/>
    </row>
    <row r="540">
      <c r="A540" s="159"/>
      <c r="B540" s="160"/>
    </row>
    <row r="541">
      <c r="A541" s="159"/>
      <c r="B541" s="160"/>
    </row>
    <row r="542">
      <c r="A542" s="159"/>
      <c r="B542" s="160"/>
    </row>
    <row r="543">
      <c r="A543" s="159"/>
      <c r="B543" s="160"/>
    </row>
    <row r="544">
      <c r="A544" s="159"/>
      <c r="B544" s="160"/>
    </row>
    <row r="545">
      <c r="A545" s="159"/>
      <c r="B545" s="160"/>
    </row>
    <row r="546">
      <c r="A546" s="159"/>
      <c r="B546" s="160"/>
    </row>
    <row r="547">
      <c r="A547" s="159"/>
      <c r="B547" s="160"/>
    </row>
    <row r="548">
      <c r="A548" s="159"/>
      <c r="B548" s="160"/>
    </row>
    <row r="549">
      <c r="A549" s="159"/>
      <c r="B549" s="160"/>
    </row>
    <row r="550">
      <c r="A550" s="159"/>
      <c r="B550" s="160"/>
    </row>
    <row r="551">
      <c r="A551" s="159"/>
      <c r="B551" s="160"/>
    </row>
    <row r="552">
      <c r="A552" s="159"/>
      <c r="B552" s="160"/>
    </row>
    <row r="553">
      <c r="A553" s="159"/>
      <c r="B553" s="160"/>
    </row>
    <row r="554">
      <c r="A554" s="159"/>
      <c r="B554" s="160"/>
    </row>
    <row r="555">
      <c r="A555" s="159"/>
      <c r="B555" s="160"/>
    </row>
    <row r="556">
      <c r="A556" s="159"/>
      <c r="B556" s="160"/>
    </row>
    <row r="557">
      <c r="A557" s="159"/>
      <c r="B557" s="160"/>
    </row>
    <row r="558">
      <c r="A558" s="159"/>
      <c r="B558" s="160"/>
    </row>
    <row r="559">
      <c r="A559" s="159"/>
      <c r="B559" s="160"/>
    </row>
    <row r="560">
      <c r="A560" s="159"/>
      <c r="B560" s="160"/>
    </row>
    <row r="561">
      <c r="A561" s="159"/>
      <c r="B561" s="160"/>
    </row>
    <row r="562">
      <c r="A562" s="159"/>
      <c r="B562" s="160"/>
    </row>
    <row r="563">
      <c r="A563" s="159"/>
      <c r="B563" s="160"/>
    </row>
    <row r="564">
      <c r="A564" s="159"/>
      <c r="B564" s="160"/>
    </row>
    <row r="565">
      <c r="A565" s="159"/>
      <c r="B565" s="160"/>
    </row>
    <row r="566">
      <c r="A566" s="159"/>
      <c r="B566" s="160"/>
    </row>
    <row r="567">
      <c r="A567" s="159"/>
      <c r="B567" s="160"/>
    </row>
    <row r="568">
      <c r="A568" s="159"/>
      <c r="B568" s="160"/>
    </row>
    <row r="569">
      <c r="A569" s="159"/>
      <c r="B569" s="160"/>
    </row>
    <row r="570">
      <c r="A570" s="159"/>
      <c r="B570" s="160"/>
    </row>
    <row r="571">
      <c r="A571" s="159"/>
      <c r="B571" s="160"/>
    </row>
    <row r="572">
      <c r="A572" s="159"/>
      <c r="B572" s="160"/>
    </row>
    <row r="573">
      <c r="A573" s="159"/>
      <c r="B573" s="160"/>
    </row>
    <row r="574">
      <c r="A574" s="159"/>
      <c r="B574" s="160"/>
    </row>
    <row r="575">
      <c r="A575" s="159"/>
      <c r="B575" s="160"/>
    </row>
    <row r="576">
      <c r="A576" s="159"/>
      <c r="B576" s="160"/>
    </row>
    <row r="577">
      <c r="A577" s="159"/>
      <c r="B577" s="160"/>
    </row>
    <row r="578">
      <c r="A578" s="159"/>
      <c r="B578" s="160"/>
    </row>
    <row r="579">
      <c r="A579" s="159"/>
      <c r="B579" s="160"/>
    </row>
    <row r="580">
      <c r="A580" s="159"/>
      <c r="B580" s="160"/>
    </row>
    <row r="581">
      <c r="A581" s="159"/>
      <c r="B581" s="160"/>
    </row>
    <row r="582">
      <c r="A582" s="159"/>
      <c r="B582" s="160"/>
    </row>
    <row r="583">
      <c r="A583" s="159"/>
      <c r="B583" s="160"/>
    </row>
    <row r="584">
      <c r="A584" s="159"/>
      <c r="B584" s="160"/>
    </row>
    <row r="585">
      <c r="A585" s="159"/>
      <c r="B585" s="160"/>
    </row>
    <row r="586">
      <c r="A586" s="159"/>
      <c r="B586" s="160"/>
    </row>
    <row r="587">
      <c r="A587" s="159"/>
      <c r="B587" s="160"/>
    </row>
    <row r="588">
      <c r="A588" s="159"/>
      <c r="B588" s="160"/>
    </row>
    <row r="589">
      <c r="A589" s="159"/>
      <c r="B589" s="160"/>
    </row>
    <row r="590">
      <c r="A590" s="159"/>
      <c r="B590" s="160"/>
    </row>
    <row r="591">
      <c r="A591" s="159"/>
      <c r="B591" s="160"/>
    </row>
    <row r="592">
      <c r="A592" s="159"/>
      <c r="B592" s="160"/>
    </row>
    <row r="593">
      <c r="A593" s="159"/>
      <c r="B593" s="160"/>
    </row>
    <row r="594">
      <c r="A594" s="159"/>
      <c r="B594" s="160"/>
    </row>
    <row r="595">
      <c r="A595" s="159"/>
      <c r="B595" s="160"/>
    </row>
    <row r="596">
      <c r="A596" s="159"/>
      <c r="B596" s="160"/>
    </row>
    <row r="597">
      <c r="A597" s="159"/>
      <c r="B597" s="160"/>
    </row>
    <row r="598">
      <c r="A598" s="159"/>
      <c r="B598" s="160"/>
    </row>
    <row r="599">
      <c r="A599" s="159"/>
      <c r="B599" s="160"/>
    </row>
    <row r="600">
      <c r="A600" s="159"/>
      <c r="B600" s="160"/>
    </row>
    <row r="601">
      <c r="A601" s="159"/>
      <c r="B601" s="160"/>
    </row>
    <row r="602">
      <c r="A602" s="159"/>
      <c r="B602" s="160"/>
    </row>
    <row r="603">
      <c r="A603" s="159"/>
      <c r="B603" s="160"/>
    </row>
    <row r="604">
      <c r="A604" s="159"/>
      <c r="B604" s="160"/>
    </row>
    <row r="605">
      <c r="A605" s="159"/>
      <c r="B605" s="160"/>
    </row>
    <row r="606">
      <c r="A606" s="159"/>
      <c r="B606" s="160"/>
    </row>
    <row r="607">
      <c r="A607" s="159"/>
      <c r="B607" s="160"/>
    </row>
    <row r="608">
      <c r="A608" s="159"/>
      <c r="B608" s="160"/>
    </row>
    <row r="609">
      <c r="A609" s="159"/>
      <c r="B609" s="160"/>
    </row>
    <row r="610">
      <c r="A610" s="159"/>
      <c r="B610" s="160"/>
    </row>
    <row r="611">
      <c r="A611" s="159"/>
      <c r="B611" s="160"/>
    </row>
    <row r="612">
      <c r="A612" s="159"/>
      <c r="B612" s="160"/>
    </row>
    <row r="613">
      <c r="A613" s="159"/>
      <c r="B613" s="160"/>
    </row>
    <row r="614">
      <c r="A614" s="159"/>
      <c r="B614" s="160"/>
    </row>
    <row r="615">
      <c r="A615" s="159"/>
      <c r="B615" s="160"/>
    </row>
    <row r="616">
      <c r="A616" s="159"/>
      <c r="B616" s="160"/>
    </row>
    <row r="617">
      <c r="A617" s="159"/>
      <c r="B617" s="160"/>
    </row>
    <row r="618">
      <c r="A618" s="159"/>
      <c r="B618" s="160"/>
    </row>
    <row r="619">
      <c r="A619" s="159"/>
      <c r="B619" s="160"/>
    </row>
    <row r="620">
      <c r="A620" s="159"/>
      <c r="B620" s="160"/>
    </row>
    <row r="621">
      <c r="A621" s="159"/>
      <c r="B621" s="160"/>
    </row>
    <row r="622">
      <c r="A622" s="159"/>
      <c r="B622" s="160"/>
    </row>
    <row r="623">
      <c r="A623" s="159"/>
      <c r="B623" s="160"/>
    </row>
    <row r="624">
      <c r="A624" s="159"/>
      <c r="B624" s="160"/>
    </row>
    <row r="625">
      <c r="A625" s="159"/>
      <c r="B625" s="160"/>
    </row>
    <row r="626">
      <c r="A626" s="159"/>
      <c r="B626" s="160"/>
    </row>
    <row r="627">
      <c r="A627" s="159"/>
      <c r="B627" s="160"/>
    </row>
    <row r="628">
      <c r="A628" s="159"/>
      <c r="B628" s="160"/>
    </row>
    <row r="629">
      <c r="A629" s="159"/>
      <c r="B629" s="160"/>
    </row>
    <row r="630">
      <c r="A630" s="159"/>
      <c r="B630" s="160"/>
    </row>
    <row r="631">
      <c r="A631" s="159"/>
      <c r="B631" s="160"/>
    </row>
    <row r="632">
      <c r="A632" s="159"/>
      <c r="B632" s="160"/>
    </row>
    <row r="633">
      <c r="A633" s="159"/>
      <c r="B633" s="160"/>
    </row>
    <row r="634">
      <c r="A634" s="159"/>
      <c r="B634" s="160"/>
    </row>
    <row r="635">
      <c r="A635" s="159"/>
      <c r="B635" s="160"/>
    </row>
    <row r="636">
      <c r="A636" s="159"/>
      <c r="B636" s="160"/>
    </row>
    <row r="637">
      <c r="A637" s="159"/>
      <c r="B637" s="160"/>
    </row>
    <row r="638">
      <c r="A638" s="159"/>
      <c r="B638" s="160"/>
    </row>
    <row r="639">
      <c r="A639" s="159"/>
      <c r="B639" s="160"/>
    </row>
    <row r="640">
      <c r="A640" s="159"/>
      <c r="B640" s="160"/>
    </row>
    <row r="641">
      <c r="A641" s="159"/>
      <c r="B641" s="160"/>
    </row>
    <row r="642">
      <c r="A642" s="159"/>
      <c r="B642" s="160"/>
    </row>
    <row r="643">
      <c r="A643" s="159"/>
      <c r="B643" s="160"/>
    </row>
    <row r="644">
      <c r="A644" s="159"/>
      <c r="B644" s="160"/>
    </row>
    <row r="645">
      <c r="A645" s="159"/>
      <c r="B645" s="160"/>
    </row>
    <row r="646">
      <c r="A646" s="159"/>
      <c r="B646" s="160"/>
    </row>
    <row r="647">
      <c r="A647" s="159"/>
      <c r="B647" s="160"/>
    </row>
    <row r="648">
      <c r="A648" s="159"/>
      <c r="B648" s="160"/>
    </row>
    <row r="649">
      <c r="A649" s="159"/>
      <c r="B649" s="160"/>
    </row>
    <row r="650">
      <c r="A650" s="159"/>
      <c r="B650" s="160"/>
    </row>
    <row r="651">
      <c r="A651" s="159"/>
      <c r="B651" s="160"/>
    </row>
    <row r="652">
      <c r="A652" s="159"/>
      <c r="B652" s="160"/>
    </row>
    <row r="653">
      <c r="A653" s="159"/>
      <c r="B653" s="160"/>
    </row>
    <row r="654">
      <c r="A654" s="159"/>
      <c r="B654" s="160"/>
    </row>
    <row r="655">
      <c r="A655" s="159"/>
      <c r="B655" s="160"/>
    </row>
    <row r="656">
      <c r="A656" s="159"/>
      <c r="B656" s="160"/>
    </row>
    <row r="657">
      <c r="A657" s="159"/>
      <c r="B657" s="160"/>
    </row>
    <row r="658">
      <c r="A658" s="159"/>
      <c r="B658" s="160"/>
    </row>
    <row r="659">
      <c r="A659" s="159"/>
      <c r="B659" s="160"/>
    </row>
    <row r="660">
      <c r="A660" s="159"/>
      <c r="B660" s="160"/>
    </row>
    <row r="661">
      <c r="A661" s="159"/>
      <c r="B661" s="160"/>
    </row>
    <row r="662">
      <c r="A662" s="159"/>
      <c r="B662" s="160"/>
    </row>
    <row r="663">
      <c r="A663" s="159"/>
      <c r="B663" s="160"/>
    </row>
    <row r="664">
      <c r="A664" s="159"/>
      <c r="B664" s="160"/>
    </row>
    <row r="665">
      <c r="A665" s="159"/>
      <c r="B665" s="160"/>
    </row>
    <row r="666">
      <c r="A666" s="159"/>
      <c r="B666" s="160"/>
    </row>
    <row r="667">
      <c r="A667" s="159"/>
      <c r="B667" s="160"/>
    </row>
    <row r="668">
      <c r="A668" s="159"/>
      <c r="B668" s="160"/>
    </row>
    <row r="669">
      <c r="A669" s="159"/>
      <c r="B669" s="160"/>
    </row>
    <row r="670">
      <c r="A670" s="159"/>
      <c r="B670" s="160"/>
    </row>
    <row r="671">
      <c r="A671" s="159"/>
      <c r="B671" s="160"/>
    </row>
    <row r="672">
      <c r="A672" s="159"/>
      <c r="B672" s="160"/>
    </row>
    <row r="673">
      <c r="A673" s="159"/>
      <c r="B673" s="160"/>
    </row>
    <row r="674">
      <c r="A674" s="159"/>
      <c r="B674" s="160"/>
    </row>
    <row r="675">
      <c r="A675" s="159"/>
      <c r="B675" s="160"/>
    </row>
    <row r="676">
      <c r="A676" s="159"/>
      <c r="B676" s="160"/>
    </row>
    <row r="677">
      <c r="A677" s="159"/>
      <c r="B677" s="160"/>
    </row>
    <row r="678">
      <c r="A678" s="159"/>
      <c r="B678" s="160"/>
    </row>
    <row r="679">
      <c r="A679" s="159"/>
      <c r="B679" s="160"/>
    </row>
    <row r="680">
      <c r="A680" s="159"/>
      <c r="B680" s="160"/>
    </row>
    <row r="681">
      <c r="A681" s="159"/>
      <c r="B681" s="160"/>
    </row>
    <row r="682">
      <c r="A682" s="159"/>
      <c r="B682" s="160"/>
    </row>
    <row r="683">
      <c r="A683" s="159"/>
      <c r="B683" s="160"/>
    </row>
    <row r="684">
      <c r="A684" s="159"/>
      <c r="B684" s="160"/>
    </row>
    <row r="685">
      <c r="A685" s="159"/>
      <c r="B685" s="160"/>
    </row>
    <row r="686">
      <c r="A686" s="159"/>
      <c r="B686" s="160"/>
    </row>
    <row r="687">
      <c r="A687" s="159"/>
      <c r="B687" s="160"/>
    </row>
    <row r="688">
      <c r="A688" s="159"/>
      <c r="B688" s="160"/>
    </row>
    <row r="689">
      <c r="A689" s="159"/>
      <c r="B689" s="160"/>
    </row>
    <row r="690">
      <c r="A690" s="159"/>
      <c r="B690" s="160"/>
    </row>
    <row r="691">
      <c r="A691" s="159"/>
      <c r="B691" s="160"/>
    </row>
    <row r="692">
      <c r="A692" s="159"/>
      <c r="B692" s="160"/>
    </row>
    <row r="693">
      <c r="A693" s="159"/>
      <c r="B693" s="160"/>
    </row>
    <row r="694">
      <c r="A694" s="159"/>
      <c r="B694" s="160"/>
    </row>
    <row r="695">
      <c r="A695" s="159"/>
      <c r="B695" s="160"/>
    </row>
    <row r="696">
      <c r="A696" s="159"/>
      <c r="B696" s="160"/>
    </row>
    <row r="697">
      <c r="A697" s="159"/>
      <c r="B697" s="160"/>
    </row>
    <row r="698">
      <c r="A698" s="159"/>
      <c r="B698" s="160"/>
    </row>
    <row r="699">
      <c r="A699" s="159"/>
      <c r="B699" s="160"/>
    </row>
    <row r="700">
      <c r="A700" s="159"/>
      <c r="B700" s="160"/>
    </row>
    <row r="701">
      <c r="A701" s="159"/>
      <c r="B701" s="160"/>
    </row>
    <row r="702">
      <c r="A702" s="159"/>
      <c r="B702" s="160"/>
    </row>
    <row r="703">
      <c r="A703" s="159"/>
      <c r="B703" s="160"/>
    </row>
    <row r="704">
      <c r="A704" s="159"/>
      <c r="B704" s="160"/>
    </row>
    <row r="705">
      <c r="A705" s="159"/>
      <c r="B705" s="160"/>
    </row>
    <row r="706">
      <c r="A706" s="159"/>
      <c r="B706" s="160"/>
    </row>
    <row r="707">
      <c r="A707" s="159"/>
      <c r="B707" s="160"/>
    </row>
    <row r="708">
      <c r="A708" s="159"/>
      <c r="B708" s="160"/>
    </row>
    <row r="709">
      <c r="A709" s="159"/>
      <c r="B709" s="160"/>
    </row>
    <row r="710">
      <c r="A710" s="159"/>
      <c r="B710" s="160"/>
    </row>
    <row r="711">
      <c r="A711" s="159"/>
      <c r="B711" s="160"/>
    </row>
    <row r="712">
      <c r="A712" s="159"/>
      <c r="B712" s="160"/>
    </row>
    <row r="713">
      <c r="A713" s="159"/>
      <c r="B713" s="160"/>
    </row>
    <row r="714">
      <c r="A714" s="159"/>
      <c r="B714" s="160"/>
    </row>
    <row r="715">
      <c r="A715" s="159"/>
      <c r="B715" s="160"/>
    </row>
    <row r="716">
      <c r="A716" s="159"/>
      <c r="B716" s="160"/>
    </row>
    <row r="717">
      <c r="A717" s="159"/>
      <c r="B717" s="160"/>
    </row>
    <row r="718">
      <c r="A718" s="159"/>
      <c r="B718" s="160"/>
    </row>
    <row r="719">
      <c r="A719" s="159"/>
      <c r="B719" s="160"/>
    </row>
    <row r="720">
      <c r="A720" s="159"/>
      <c r="B720" s="160"/>
    </row>
    <row r="721">
      <c r="A721" s="159"/>
      <c r="B721" s="160"/>
    </row>
    <row r="722">
      <c r="A722" s="159"/>
      <c r="B722" s="160"/>
    </row>
    <row r="723">
      <c r="A723" s="159"/>
      <c r="B723" s="160"/>
    </row>
    <row r="724">
      <c r="A724" s="159"/>
      <c r="B724" s="160"/>
    </row>
    <row r="725">
      <c r="A725" s="159"/>
      <c r="B725" s="160"/>
    </row>
    <row r="726">
      <c r="A726" s="159"/>
      <c r="B726" s="160"/>
    </row>
    <row r="727">
      <c r="A727" s="159"/>
      <c r="B727" s="160"/>
    </row>
    <row r="728">
      <c r="A728" s="159"/>
      <c r="B728" s="160"/>
    </row>
    <row r="729">
      <c r="A729" s="159"/>
      <c r="B729" s="160"/>
    </row>
    <row r="730">
      <c r="A730" s="159"/>
      <c r="B730" s="160"/>
    </row>
    <row r="731">
      <c r="A731" s="159"/>
      <c r="B731" s="160"/>
    </row>
    <row r="732">
      <c r="A732" s="159"/>
      <c r="B732" s="160"/>
    </row>
    <row r="733">
      <c r="A733" s="159"/>
      <c r="B733" s="160"/>
    </row>
    <row r="734">
      <c r="A734" s="159"/>
      <c r="B734" s="160"/>
    </row>
    <row r="735">
      <c r="A735" s="159"/>
      <c r="B735" s="160"/>
    </row>
    <row r="736">
      <c r="A736" s="159"/>
      <c r="B736" s="160"/>
    </row>
    <row r="737">
      <c r="A737" s="159"/>
      <c r="B737" s="160"/>
    </row>
    <row r="738">
      <c r="A738" s="159"/>
      <c r="B738" s="160"/>
    </row>
    <row r="739">
      <c r="A739" s="159"/>
      <c r="B739" s="160"/>
    </row>
    <row r="740">
      <c r="A740" s="159"/>
      <c r="B740" s="160"/>
    </row>
    <row r="741">
      <c r="A741" s="159"/>
      <c r="B741" s="160"/>
    </row>
    <row r="742">
      <c r="A742" s="159"/>
      <c r="B742" s="160"/>
    </row>
    <row r="743">
      <c r="A743" s="159"/>
      <c r="B743" s="160"/>
    </row>
    <row r="744">
      <c r="A744" s="159"/>
      <c r="B744" s="160"/>
    </row>
    <row r="745">
      <c r="A745" s="159"/>
      <c r="B745" s="160"/>
    </row>
    <row r="746">
      <c r="A746" s="159"/>
      <c r="B746" s="160"/>
    </row>
    <row r="747">
      <c r="A747" s="159"/>
      <c r="B747" s="160"/>
    </row>
    <row r="748">
      <c r="A748" s="159"/>
      <c r="B748" s="160"/>
    </row>
    <row r="749">
      <c r="A749" s="159"/>
      <c r="B749" s="160"/>
    </row>
    <row r="750">
      <c r="A750" s="159"/>
      <c r="B750" s="160"/>
    </row>
    <row r="751">
      <c r="A751" s="159"/>
      <c r="B751" s="160"/>
    </row>
    <row r="752">
      <c r="A752" s="159"/>
      <c r="B752" s="160"/>
    </row>
    <row r="753">
      <c r="A753" s="159"/>
      <c r="B753" s="160"/>
    </row>
    <row r="754">
      <c r="A754" s="159"/>
      <c r="B754" s="160"/>
    </row>
    <row r="755">
      <c r="A755" s="159"/>
      <c r="B755" s="160"/>
    </row>
    <row r="756">
      <c r="A756" s="159"/>
      <c r="B756" s="160"/>
    </row>
    <row r="757">
      <c r="A757" s="159"/>
      <c r="B757" s="160"/>
    </row>
    <row r="758">
      <c r="A758" s="159"/>
      <c r="B758" s="160"/>
    </row>
    <row r="759">
      <c r="A759" s="159"/>
      <c r="B759" s="160"/>
    </row>
    <row r="760">
      <c r="A760" s="159"/>
      <c r="B760" s="160"/>
    </row>
    <row r="761">
      <c r="A761" s="159"/>
      <c r="B761" s="160"/>
    </row>
    <row r="762">
      <c r="A762" s="159"/>
      <c r="B762" s="160"/>
    </row>
    <row r="763">
      <c r="A763" s="159"/>
      <c r="B763" s="160"/>
    </row>
    <row r="764">
      <c r="A764" s="159"/>
      <c r="B764" s="160"/>
    </row>
    <row r="765">
      <c r="A765" s="159"/>
      <c r="B765" s="160"/>
    </row>
    <row r="766">
      <c r="A766" s="159"/>
      <c r="B766" s="160"/>
    </row>
    <row r="767">
      <c r="A767" s="159"/>
      <c r="B767" s="160"/>
    </row>
    <row r="768">
      <c r="A768" s="159"/>
      <c r="B768" s="158"/>
    </row>
    <row r="769">
      <c r="A769" s="159"/>
      <c r="B769" s="158"/>
    </row>
    <row r="770">
      <c r="A770" s="159"/>
      <c r="B770" s="160"/>
    </row>
    <row r="771">
      <c r="A771" s="159"/>
      <c r="B771" s="160"/>
    </row>
    <row r="772">
      <c r="A772" s="159"/>
      <c r="B772" s="160"/>
    </row>
    <row r="773">
      <c r="A773" s="159"/>
      <c r="B773" s="158"/>
    </row>
    <row r="774">
      <c r="A774" s="159"/>
      <c r="B774" s="158"/>
    </row>
    <row r="775">
      <c r="A775" s="159"/>
      <c r="B775" s="160"/>
    </row>
    <row r="776">
      <c r="A776" s="159"/>
      <c r="B776" s="160"/>
    </row>
    <row r="777">
      <c r="A777" s="159"/>
      <c r="B777" s="160"/>
    </row>
    <row r="778">
      <c r="A778" s="159"/>
      <c r="B778" s="160"/>
    </row>
    <row r="779">
      <c r="A779" s="159"/>
      <c r="B779" s="160"/>
    </row>
    <row r="780">
      <c r="A780" s="159"/>
      <c r="B780" s="160"/>
    </row>
    <row r="781">
      <c r="A781" s="159"/>
      <c r="B781" s="160"/>
    </row>
    <row r="782">
      <c r="A782" s="159"/>
      <c r="B782" s="122"/>
    </row>
    <row r="783">
      <c r="A783" s="159"/>
      <c r="B783" s="160"/>
    </row>
    <row r="784">
      <c r="A784" s="159"/>
      <c r="B784" s="160"/>
    </row>
    <row r="785">
      <c r="A785" s="159"/>
      <c r="B785" s="160"/>
    </row>
    <row r="786">
      <c r="A786" s="159"/>
      <c r="B786" s="160"/>
    </row>
    <row r="787">
      <c r="A787" s="159"/>
      <c r="B787" s="160"/>
    </row>
    <row r="788">
      <c r="A788" s="159"/>
      <c r="B788" s="158"/>
    </row>
    <row r="789">
      <c r="A789" s="159"/>
      <c r="B789" s="160"/>
    </row>
    <row r="790">
      <c r="A790" s="159"/>
    </row>
    <row r="791">
      <c r="A791" s="159"/>
    </row>
    <row r="792">
      <c r="A792" s="159"/>
      <c r="B792" s="160"/>
    </row>
    <row r="793">
      <c r="A793" s="159"/>
      <c r="B793" s="160"/>
    </row>
    <row r="794">
      <c r="A794" s="159"/>
      <c r="B794" s="160"/>
    </row>
    <row r="795">
      <c r="A795" s="159"/>
      <c r="B795" s="160"/>
    </row>
    <row r="796">
      <c r="A796" s="159"/>
      <c r="B796" s="160"/>
    </row>
    <row r="797">
      <c r="A797" s="159"/>
      <c r="B797" s="160"/>
    </row>
    <row r="798">
      <c r="A798" s="159"/>
      <c r="B798" s="160"/>
    </row>
    <row r="799">
      <c r="A799" s="159"/>
      <c r="B799" s="160"/>
    </row>
    <row r="800">
      <c r="A800" s="159"/>
      <c r="B800" s="160"/>
    </row>
    <row r="801">
      <c r="A801" s="159"/>
      <c r="B801" s="160"/>
    </row>
    <row r="802">
      <c r="A802" s="159"/>
    </row>
    <row r="803">
      <c r="A803" s="159"/>
      <c r="B803" s="160"/>
    </row>
    <row r="804">
      <c r="A804" s="159"/>
      <c r="B804" s="160"/>
    </row>
    <row r="805">
      <c r="A805" s="159"/>
      <c r="B805" s="160"/>
    </row>
    <row r="806">
      <c r="A806" s="159"/>
      <c r="B806" s="160"/>
    </row>
    <row r="807">
      <c r="A807" s="159"/>
      <c r="B807" s="160"/>
    </row>
    <row r="808">
      <c r="A808" s="159"/>
      <c r="B808" s="160"/>
    </row>
    <row r="809">
      <c r="A809" s="159"/>
      <c r="B809" s="160"/>
    </row>
    <row r="810">
      <c r="A810" s="159"/>
      <c r="B810" s="160"/>
    </row>
    <row r="811">
      <c r="A811" s="159"/>
      <c r="B811" s="160"/>
    </row>
    <row r="812">
      <c r="A812" s="159"/>
      <c r="B812" s="160"/>
    </row>
    <row r="813">
      <c r="A813" s="159"/>
      <c r="B813" s="160"/>
    </row>
    <row r="814">
      <c r="A814" s="159"/>
      <c r="B814" s="160"/>
    </row>
    <row r="815">
      <c r="A815" s="159"/>
      <c r="B815" s="160"/>
    </row>
    <row r="816">
      <c r="A816" s="159"/>
      <c r="B816" s="160"/>
    </row>
    <row r="817">
      <c r="A817" s="159"/>
      <c r="B817" s="160"/>
    </row>
    <row r="818">
      <c r="A818" s="159"/>
      <c r="B818" s="160"/>
    </row>
    <row r="819">
      <c r="A819" s="159"/>
      <c r="B819" s="160"/>
    </row>
    <row r="820">
      <c r="A820" s="159"/>
      <c r="B820" s="160"/>
    </row>
    <row r="821">
      <c r="A821" s="159"/>
      <c r="B821" s="160"/>
    </row>
    <row r="822">
      <c r="A822" s="159"/>
      <c r="B822" s="160"/>
    </row>
    <row r="823">
      <c r="A823" s="159"/>
      <c r="B823" s="160"/>
    </row>
    <row r="824">
      <c r="A824" s="159"/>
      <c r="B824" s="160"/>
    </row>
    <row r="825">
      <c r="A825" s="159"/>
      <c r="B825" s="160"/>
    </row>
    <row r="826">
      <c r="A826" s="159"/>
      <c r="B826" s="160"/>
    </row>
    <row r="827">
      <c r="A827" s="159"/>
      <c r="B827" s="160"/>
    </row>
    <row r="828">
      <c r="A828" s="159"/>
      <c r="B828" s="160"/>
    </row>
    <row r="829">
      <c r="A829" s="159"/>
      <c r="B829" s="160"/>
    </row>
    <row r="830">
      <c r="A830" s="159"/>
      <c r="B830" s="160"/>
    </row>
    <row r="831">
      <c r="A831" s="159"/>
      <c r="B831" s="160"/>
    </row>
    <row r="832">
      <c r="A832" s="159"/>
      <c r="B832" s="160"/>
    </row>
    <row r="833">
      <c r="A833" s="159"/>
      <c r="B833" s="160"/>
    </row>
    <row r="834">
      <c r="A834" s="159"/>
      <c r="B834" s="160"/>
    </row>
    <row r="835">
      <c r="A835" s="159"/>
      <c r="B835" s="160"/>
    </row>
    <row r="836">
      <c r="A836" s="159"/>
      <c r="B836" s="160"/>
    </row>
    <row r="837">
      <c r="A837" s="159"/>
      <c r="B837" s="160"/>
    </row>
    <row r="838">
      <c r="A838" s="159"/>
      <c r="B838" s="160"/>
    </row>
    <row r="839">
      <c r="A839" s="159"/>
      <c r="B839" s="160"/>
    </row>
    <row r="840">
      <c r="A840" s="159"/>
      <c r="B840" s="160"/>
    </row>
    <row r="841">
      <c r="A841" s="159"/>
      <c r="B841" s="160"/>
    </row>
    <row r="842">
      <c r="A842" s="159"/>
      <c r="B842" s="160"/>
    </row>
    <row r="843">
      <c r="A843" s="159"/>
      <c r="B843" s="160"/>
    </row>
    <row r="844">
      <c r="A844" s="159"/>
      <c r="B844" s="160"/>
    </row>
    <row r="845">
      <c r="A845" s="159"/>
      <c r="B845" s="160"/>
    </row>
    <row r="846">
      <c r="A846" s="159"/>
      <c r="B846" s="160"/>
    </row>
    <row r="847">
      <c r="A847" s="159"/>
      <c r="B847" s="160"/>
    </row>
    <row r="848">
      <c r="A848" s="159"/>
      <c r="B848" s="160"/>
    </row>
    <row r="849">
      <c r="A849" s="159"/>
      <c r="B849" s="160"/>
    </row>
    <row r="850">
      <c r="A850" s="159"/>
      <c r="B850" s="160"/>
    </row>
    <row r="851">
      <c r="A851" s="159"/>
      <c r="B851" s="160"/>
    </row>
    <row r="852">
      <c r="A852" s="159"/>
      <c r="B852" s="160"/>
    </row>
    <row r="853">
      <c r="A853" s="159"/>
      <c r="B853" s="160"/>
    </row>
    <row r="854">
      <c r="A854" s="159"/>
      <c r="B854" s="160"/>
    </row>
    <row r="855">
      <c r="A855" s="159"/>
      <c r="B855" s="160"/>
    </row>
    <row r="856">
      <c r="A856" s="159"/>
      <c r="B856" s="160"/>
    </row>
    <row r="857">
      <c r="A857" s="159"/>
      <c r="B857" s="160"/>
    </row>
    <row r="858">
      <c r="A858" s="159"/>
      <c r="B858" s="160"/>
    </row>
    <row r="859">
      <c r="A859" s="159"/>
      <c r="B859" s="160"/>
    </row>
    <row r="860">
      <c r="A860" s="159"/>
      <c r="B860" s="160"/>
    </row>
    <row r="861">
      <c r="A861" s="159"/>
      <c r="B861" s="160"/>
    </row>
    <row r="862">
      <c r="A862" s="159"/>
      <c r="B862" s="160"/>
    </row>
    <row r="863">
      <c r="A863" s="159"/>
      <c r="B863" s="160"/>
    </row>
    <row r="864">
      <c r="A864" s="159"/>
      <c r="B864" s="160"/>
    </row>
    <row r="865">
      <c r="A865" s="159"/>
      <c r="B865" s="160"/>
    </row>
    <row r="866">
      <c r="A866" s="159"/>
      <c r="B866" s="160"/>
    </row>
    <row r="867">
      <c r="A867" s="159"/>
      <c r="B867" s="160"/>
    </row>
    <row r="868">
      <c r="A868" s="159"/>
      <c r="B868" s="160"/>
    </row>
    <row r="869">
      <c r="A869" s="159"/>
      <c r="B869" s="160"/>
    </row>
    <row r="870">
      <c r="A870" s="159"/>
      <c r="B870" s="160"/>
    </row>
    <row r="871">
      <c r="A871" s="159"/>
      <c r="B871" s="160"/>
    </row>
    <row r="872">
      <c r="A872" s="159"/>
      <c r="B872" s="160"/>
    </row>
    <row r="873">
      <c r="A873" s="159"/>
      <c r="B873" s="160"/>
    </row>
    <row r="874">
      <c r="A874" s="159"/>
      <c r="B874" s="160"/>
    </row>
    <row r="875">
      <c r="A875" s="159"/>
      <c r="B875" s="160"/>
    </row>
    <row r="876">
      <c r="A876" s="159"/>
      <c r="B876" s="160"/>
    </row>
    <row r="877">
      <c r="A877" s="159"/>
      <c r="B877" s="160"/>
    </row>
    <row r="878">
      <c r="A878" s="159"/>
      <c r="B878" s="160"/>
    </row>
    <row r="879">
      <c r="A879" s="159"/>
      <c r="B879" s="160"/>
    </row>
    <row r="880">
      <c r="A880" s="159"/>
      <c r="B880" s="160"/>
    </row>
    <row r="881">
      <c r="A881" s="159"/>
      <c r="B881" s="160"/>
    </row>
    <row r="882">
      <c r="A882" s="159"/>
      <c r="B882" s="160"/>
    </row>
    <row r="883">
      <c r="A883" s="159"/>
      <c r="B883" s="160"/>
    </row>
    <row r="884">
      <c r="A884" s="159"/>
      <c r="B884" s="160"/>
    </row>
    <row r="885">
      <c r="A885" s="159"/>
      <c r="B885" s="160"/>
    </row>
    <row r="886">
      <c r="A886" s="159"/>
      <c r="B886" s="160"/>
    </row>
    <row r="887">
      <c r="A887" s="159"/>
      <c r="B887" s="160"/>
    </row>
    <row r="888">
      <c r="A888" s="159"/>
      <c r="B888" s="160"/>
    </row>
    <row r="889">
      <c r="A889" s="159"/>
      <c r="B889" s="160"/>
    </row>
    <row r="890">
      <c r="A890" s="159"/>
      <c r="B890" s="160"/>
    </row>
    <row r="891">
      <c r="A891" s="159"/>
      <c r="B891" s="160"/>
    </row>
    <row r="892">
      <c r="A892" s="159"/>
      <c r="B892" s="160"/>
    </row>
    <row r="893">
      <c r="A893" s="159"/>
      <c r="B893" s="160"/>
    </row>
    <row r="894">
      <c r="A894" s="159"/>
      <c r="B894" s="160"/>
    </row>
    <row r="895">
      <c r="A895" s="159"/>
      <c r="B895" s="160"/>
    </row>
    <row r="896">
      <c r="A896" s="159"/>
      <c r="B896" s="160"/>
    </row>
    <row r="897">
      <c r="A897" s="159"/>
      <c r="B897" s="160"/>
    </row>
    <row r="898">
      <c r="A898" s="159"/>
      <c r="B898" s="160"/>
    </row>
    <row r="899">
      <c r="A899" s="159"/>
      <c r="B899" s="160"/>
    </row>
    <row r="900">
      <c r="A900" s="159"/>
      <c r="B900" s="160"/>
    </row>
    <row r="901">
      <c r="A901" s="159"/>
      <c r="B901" s="160"/>
    </row>
    <row r="902">
      <c r="A902" s="159"/>
      <c r="B902" s="160"/>
    </row>
    <row r="903">
      <c r="A903" s="159"/>
      <c r="B903" s="160"/>
    </row>
    <row r="904">
      <c r="A904" s="159"/>
      <c r="B904" s="160"/>
    </row>
    <row r="905">
      <c r="A905" s="159"/>
      <c r="B905" s="160"/>
    </row>
    <row r="906">
      <c r="A906" s="159"/>
      <c r="B906" s="160"/>
    </row>
    <row r="907">
      <c r="A907" s="159"/>
      <c r="B907" s="160"/>
    </row>
    <row r="908">
      <c r="A908" s="159"/>
      <c r="B908" s="160"/>
    </row>
    <row r="909">
      <c r="A909" s="159"/>
      <c r="B909" s="160"/>
    </row>
    <row r="910">
      <c r="A910" s="159"/>
      <c r="B910" s="160"/>
    </row>
    <row r="911">
      <c r="A911" s="159"/>
      <c r="B911" s="160"/>
    </row>
    <row r="912">
      <c r="A912" s="159"/>
      <c r="B912" s="160"/>
    </row>
    <row r="913">
      <c r="A913" s="159"/>
      <c r="B913" s="160"/>
    </row>
    <row r="914">
      <c r="A914" s="159"/>
      <c r="B914" s="160"/>
    </row>
    <row r="915">
      <c r="A915" s="159"/>
      <c r="B915" s="160"/>
    </row>
    <row r="916">
      <c r="A916" s="159"/>
      <c r="B916" s="160"/>
    </row>
    <row r="917">
      <c r="A917" s="159"/>
      <c r="B917" s="160"/>
    </row>
    <row r="918">
      <c r="A918" s="159"/>
      <c r="B918" s="160"/>
    </row>
    <row r="919">
      <c r="A919" s="159"/>
      <c r="B919" s="160"/>
    </row>
    <row r="920">
      <c r="A920" s="159"/>
      <c r="B920" s="160"/>
    </row>
    <row r="921">
      <c r="A921" s="159"/>
      <c r="B921" s="160"/>
    </row>
    <row r="922">
      <c r="A922" s="159"/>
      <c r="B922" s="160"/>
    </row>
    <row r="923">
      <c r="A923" s="159"/>
      <c r="B923" s="160"/>
    </row>
    <row r="924">
      <c r="A924" s="159"/>
      <c r="B924" s="160"/>
    </row>
    <row r="925">
      <c r="A925" s="159"/>
      <c r="B925" s="160"/>
    </row>
    <row r="926">
      <c r="A926" s="159"/>
      <c r="B926" s="160"/>
    </row>
    <row r="927">
      <c r="A927" s="159"/>
      <c r="B927" s="160"/>
    </row>
    <row r="928">
      <c r="A928" s="159"/>
      <c r="B928" s="160"/>
    </row>
    <row r="929">
      <c r="A929" s="159"/>
      <c r="B929" s="160"/>
    </row>
    <row r="930">
      <c r="A930" s="159"/>
      <c r="B930" s="160"/>
    </row>
    <row r="931">
      <c r="A931" s="159"/>
      <c r="B931" s="160"/>
    </row>
    <row r="932">
      <c r="A932" s="159"/>
      <c r="B932" s="160"/>
    </row>
    <row r="933">
      <c r="A933" s="159"/>
      <c r="B933" s="160"/>
    </row>
    <row r="934">
      <c r="A934" s="159"/>
      <c r="B934" s="160"/>
    </row>
    <row r="935">
      <c r="A935" s="159"/>
      <c r="B935" s="160"/>
    </row>
    <row r="936">
      <c r="A936" s="159"/>
      <c r="B936" s="160"/>
    </row>
    <row r="937">
      <c r="A937" s="159"/>
      <c r="B937" s="160"/>
    </row>
    <row r="938">
      <c r="A938" s="159"/>
      <c r="B938" s="160"/>
    </row>
    <row r="939">
      <c r="A939" s="159"/>
      <c r="B939" s="160"/>
    </row>
    <row r="940">
      <c r="A940" s="159"/>
      <c r="B940" s="160"/>
    </row>
    <row r="941">
      <c r="A941" s="159"/>
      <c r="B941" s="160"/>
    </row>
    <row r="942">
      <c r="A942" s="159"/>
      <c r="B942" s="160"/>
    </row>
    <row r="943">
      <c r="A943" s="159"/>
      <c r="B943" s="160"/>
    </row>
    <row r="944">
      <c r="A944" s="159"/>
      <c r="B944" s="160"/>
    </row>
    <row r="945">
      <c r="A945" s="159"/>
      <c r="B945" s="160"/>
    </row>
    <row r="946">
      <c r="A946" s="159"/>
      <c r="B946" s="160"/>
    </row>
    <row r="947">
      <c r="A947" s="159"/>
      <c r="B947" s="160"/>
    </row>
    <row r="948">
      <c r="A948" s="159"/>
      <c r="B948" s="160"/>
    </row>
    <row r="949">
      <c r="A949" s="159"/>
      <c r="B949" s="160"/>
    </row>
    <row r="950">
      <c r="A950" s="159"/>
      <c r="B950" s="160"/>
    </row>
    <row r="951">
      <c r="A951" s="159"/>
      <c r="B951" s="160"/>
    </row>
    <row r="952">
      <c r="A952" s="159"/>
      <c r="B952" s="160"/>
    </row>
    <row r="953">
      <c r="A953" s="159"/>
      <c r="B953" s="160"/>
    </row>
    <row r="954">
      <c r="A954" s="159"/>
      <c r="B954" s="160"/>
    </row>
    <row r="955">
      <c r="A955" s="159"/>
      <c r="B955" s="160"/>
    </row>
    <row r="956">
      <c r="A956" s="159"/>
      <c r="B956" s="160"/>
    </row>
    <row r="957">
      <c r="A957" s="159"/>
      <c r="B957" s="160"/>
    </row>
    <row r="958">
      <c r="A958" s="159"/>
      <c r="B958" s="160"/>
    </row>
    <row r="959">
      <c r="A959" s="159"/>
      <c r="B959" s="160"/>
    </row>
    <row r="960">
      <c r="A960" s="159"/>
      <c r="B960" s="160"/>
    </row>
    <row r="961">
      <c r="A961" s="159"/>
      <c r="B961" s="160"/>
    </row>
    <row r="962">
      <c r="A962" s="159"/>
      <c r="B962" s="160"/>
    </row>
    <row r="963">
      <c r="A963" s="159"/>
      <c r="B963" s="160"/>
    </row>
    <row r="964">
      <c r="A964" s="159"/>
      <c r="B964" s="160"/>
    </row>
    <row r="965">
      <c r="A965" s="159"/>
      <c r="B965" s="160"/>
    </row>
    <row r="966">
      <c r="A966" s="159"/>
      <c r="B966" s="160"/>
    </row>
    <row r="967">
      <c r="A967" s="159"/>
      <c r="B967" s="160"/>
    </row>
    <row r="968">
      <c r="A968" s="159"/>
      <c r="B968" s="160"/>
    </row>
    <row r="969">
      <c r="A969" s="159"/>
      <c r="B969" s="160"/>
    </row>
    <row r="970">
      <c r="A970" s="159"/>
      <c r="B970" s="160"/>
    </row>
    <row r="971">
      <c r="A971" s="159"/>
      <c r="B971" s="160"/>
    </row>
    <row r="972">
      <c r="A972" s="159"/>
      <c r="B972" s="160"/>
    </row>
    <row r="973">
      <c r="A973" s="159"/>
      <c r="B973" s="160"/>
    </row>
    <row r="974">
      <c r="A974" s="159"/>
      <c r="B974" s="160"/>
    </row>
    <row r="975">
      <c r="A975" s="159"/>
      <c r="B975" s="160"/>
    </row>
    <row r="976">
      <c r="A976" s="159"/>
      <c r="B976" s="160"/>
    </row>
    <row r="977">
      <c r="A977" s="159"/>
      <c r="B977" s="160"/>
    </row>
    <row r="978">
      <c r="A978" s="159"/>
      <c r="B978" s="160"/>
    </row>
    <row r="979">
      <c r="A979" s="159"/>
      <c r="B979" s="160"/>
    </row>
    <row r="980">
      <c r="A980" s="159"/>
      <c r="B980" s="160"/>
    </row>
    <row r="981">
      <c r="A981" s="159"/>
      <c r="B981" s="160"/>
    </row>
    <row r="982">
      <c r="A982" s="159"/>
      <c r="B982" s="160"/>
    </row>
    <row r="983">
      <c r="A983" s="159"/>
      <c r="B983" s="160"/>
    </row>
    <row r="984">
      <c r="A984" s="159"/>
      <c r="B984" s="160"/>
    </row>
    <row r="985">
      <c r="A985" s="159"/>
      <c r="B985" s="160"/>
    </row>
    <row r="986">
      <c r="A986" s="159"/>
      <c r="B986" s="160"/>
    </row>
    <row r="987">
      <c r="A987" s="159"/>
      <c r="B987" s="160"/>
    </row>
    <row r="988">
      <c r="A988" s="159"/>
      <c r="B988" s="160"/>
    </row>
    <row r="989">
      <c r="A989" s="159"/>
      <c r="B989" s="160"/>
    </row>
    <row r="990">
      <c r="A990" s="159"/>
      <c r="B990" s="160"/>
    </row>
    <row r="991">
      <c r="A991" s="159"/>
      <c r="B991" s="160"/>
    </row>
    <row r="992">
      <c r="A992" s="159"/>
      <c r="B992" s="160"/>
    </row>
    <row r="993">
      <c r="A993" s="159"/>
      <c r="B993" s="160"/>
    </row>
    <row r="994">
      <c r="A994" s="159"/>
      <c r="B994" s="160"/>
    </row>
    <row r="995">
      <c r="A995" s="159"/>
      <c r="B995" s="160"/>
    </row>
    <row r="996">
      <c r="A996" s="159"/>
      <c r="B996" s="160"/>
    </row>
    <row r="997">
      <c r="A997" s="159"/>
      <c r="B997" s="160"/>
    </row>
    <row r="998">
      <c r="A998" s="159"/>
      <c r="B998" s="160"/>
    </row>
    <row r="999">
      <c r="A999" s="159"/>
      <c r="B999" s="160"/>
    </row>
    <row r="1000">
      <c r="A1000" s="159"/>
      <c r="B1000" s="160"/>
    </row>
    <row r="1001">
      <c r="A1001" s="159"/>
      <c r="B1001" s="160"/>
    </row>
    <row r="1002">
      <c r="A1002" s="159"/>
      <c r="B1002" s="160"/>
    </row>
    <row r="1003">
      <c r="A1003" s="159"/>
      <c r="B1003" s="160"/>
    </row>
    <row r="1004">
      <c r="A1004" s="159"/>
      <c r="B1004" s="160"/>
    </row>
    <row r="1005">
      <c r="A1005" s="159"/>
      <c r="B1005" s="160"/>
    </row>
    <row r="1006">
      <c r="A1006" s="159"/>
      <c r="B1006" s="160"/>
    </row>
    <row r="1007">
      <c r="A1007" s="159"/>
      <c r="B1007" s="160"/>
    </row>
    <row r="1008">
      <c r="A1008" s="159"/>
      <c r="B1008" s="160"/>
    </row>
    <row r="1009">
      <c r="A1009" s="159"/>
      <c r="B1009" s="160"/>
    </row>
    <row r="1010">
      <c r="A1010" s="159"/>
      <c r="B1010" s="160"/>
    </row>
    <row r="1011">
      <c r="A1011" s="159"/>
      <c r="B1011" s="160"/>
    </row>
    <row r="1012">
      <c r="A1012" s="159"/>
      <c r="B1012" s="160"/>
    </row>
    <row r="1013">
      <c r="A1013" s="159"/>
      <c r="B1013" s="160"/>
    </row>
    <row r="1014">
      <c r="A1014" s="159"/>
      <c r="B1014" s="160"/>
    </row>
    <row r="1015">
      <c r="A1015" s="159"/>
      <c r="B1015" s="160"/>
    </row>
    <row r="1016">
      <c r="A1016" s="159"/>
      <c r="B1016" s="160"/>
    </row>
    <row r="1017">
      <c r="A1017" s="159"/>
      <c r="B1017" s="160"/>
    </row>
    <row r="1018">
      <c r="A1018" s="159"/>
      <c r="B1018" s="160"/>
    </row>
    <row r="1019">
      <c r="A1019" s="159"/>
      <c r="B1019" s="160"/>
    </row>
    <row r="1020">
      <c r="A1020" s="159"/>
      <c r="B1020" s="160"/>
    </row>
    <row r="1021">
      <c r="A1021" s="159"/>
      <c r="B1021" s="160"/>
    </row>
    <row r="1022">
      <c r="A1022" s="159"/>
      <c r="B1022" s="160"/>
    </row>
    <row r="1023">
      <c r="A1023" s="159"/>
      <c r="B1023" s="160"/>
    </row>
    <row r="1024">
      <c r="A1024" s="159"/>
      <c r="B1024" s="160"/>
    </row>
    <row r="1025">
      <c r="A1025" s="159"/>
      <c r="B1025" s="160"/>
    </row>
    <row r="1026">
      <c r="A1026" s="159"/>
      <c r="B1026" s="160"/>
    </row>
    <row r="1027">
      <c r="A1027" s="159"/>
      <c r="B1027" s="160"/>
    </row>
    <row r="1028">
      <c r="A1028" s="159"/>
      <c r="B1028" s="160"/>
    </row>
    <row r="1029">
      <c r="A1029" s="159"/>
      <c r="B1029" s="160"/>
    </row>
    <row r="1030">
      <c r="A1030" s="159"/>
      <c r="B1030" s="160"/>
    </row>
    <row r="1031">
      <c r="A1031" s="159"/>
      <c r="B1031" s="160"/>
    </row>
    <row r="1032">
      <c r="A1032" s="159"/>
      <c r="B1032" s="160"/>
    </row>
    <row r="1033">
      <c r="A1033" s="159"/>
      <c r="B1033" s="160"/>
    </row>
    <row r="1034">
      <c r="A1034" s="159"/>
      <c r="B1034" s="160"/>
    </row>
    <row r="1035">
      <c r="A1035" s="159"/>
      <c r="B1035" s="160"/>
    </row>
    <row r="1036">
      <c r="A1036" s="159"/>
      <c r="B1036" s="160"/>
    </row>
    <row r="1037">
      <c r="A1037" s="159"/>
      <c r="B1037" s="160"/>
    </row>
    <row r="1038">
      <c r="A1038" s="159"/>
      <c r="B1038" s="160"/>
    </row>
    <row r="1039">
      <c r="A1039" s="159"/>
      <c r="B1039" s="160"/>
    </row>
    <row r="1040">
      <c r="A1040" s="159"/>
      <c r="B1040" s="160"/>
    </row>
    <row r="1041">
      <c r="A1041" s="159"/>
      <c r="B1041" s="160"/>
    </row>
    <row r="1042">
      <c r="A1042" s="159"/>
      <c r="B1042" s="160"/>
    </row>
    <row r="1043">
      <c r="A1043" s="159"/>
      <c r="B1043" s="160"/>
    </row>
    <row r="1044">
      <c r="A1044" s="159"/>
      <c r="B1044" s="160"/>
    </row>
    <row r="1045">
      <c r="A1045" s="159"/>
      <c r="B1045" s="160"/>
    </row>
    <row r="1046">
      <c r="A1046" s="159"/>
      <c r="B1046" s="160"/>
    </row>
    <row r="1047">
      <c r="A1047" s="159"/>
      <c r="B1047" s="160"/>
    </row>
    <row r="1048">
      <c r="A1048" s="159"/>
      <c r="B1048" s="160"/>
    </row>
    <row r="1049">
      <c r="A1049" s="159"/>
      <c r="B1049" s="160"/>
    </row>
    <row r="1050">
      <c r="A1050" s="159"/>
      <c r="B1050" s="160"/>
    </row>
    <row r="1051">
      <c r="A1051" s="159"/>
      <c r="B1051" s="160"/>
    </row>
    <row r="1052">
      <c r="A1052" s="159"/>
      <c r="B1052" s="160"/>
    </row>
    <row r="1053">
      <c r="A1053" s="159"/>
      <c r="B1053" s="160"/>
    </row>
    <row r="1054">
      <c r="A1054" s="159"/>
      <c r="B1054" s="160"/>
    </row>
    <row r="1055">
      <c r="A1055" s="159"/>
      <c r="B1055" s="160"/>
    </row>
    <row r="1056">
      <c r="A1056" s="159"/>
      <c r="B1056" s="160"/>
    </row>
    <row r="1057">
      <c r="A1057" s="159"/>
      <c r="B1057" s="160"/>
    </row>
    <row r="1058">
      <c r="A1058" s="159"/>
      <c r="B1058" s="160"/>
    </row>
    <row r="1059">
      <c r="A1059" s="159"/>
      <c r="B1059" s="160"/>
    </row>
    <row r="1060">
      <c r="A1060" s="159"/>
      <c r="B1060" s="160"/>
    </row>
    <row r="1061">
      <c r="A1061" s="159"/>
      <c r="B1061" s="160"/>
    </row>
    <row r="1062">
      <c r="A1062" s="159"/>
      <c r="B1062" s="160"/>
    </row>
    <row r="1063">
      <c r="A1063" s="159"/>
      <c r="B1063" s="160"/>
    </row>
    <row r="1064">
      <c r="A1064" s="159"/>
      <c r="B1064" s="160"/>
    </row>
    <row r="1065">
      <c r="A1065" s="159"/>
      <c r="B1065" s="160"/>
    </row>
    <row r="1066">
      <c r="A1066" s="159"/>
      <c r="B1066" s="160"/>
    </row>
    <row r="1067">
      <c r="A1067" s="159"/>
      <c r="B1067" s="160"/>
    </row>
    <row r="1068">
      <c r="A1068" s="159"/>
      <c r="B1068" s="160"/>
    </row>
    <row r="1069">
      <c r="A1069" s="159"/>
      <c r="B1069" s="160"/>
    </row>
    <row r="1070">
      <c r="A1070" s="159"/>
      <c r="B1070" s="160"/>
    </row>
    <row r="1071">
      <c r="A1071" s="159"/>
      <c r="B1071" s="160"/>
    </row>
    <row r="1072">
      <c r="A1072" s="159"/>
      <c r="B1072" s="160"/>
    </row>
    <row r="1073">
      <c r="A1073" s="159"/>
      <c r="B1073" s="160"/>
    </row>
    <row r="1074">
      <c r="A1074" s="159"/>
      <c r="B1074" s="160"/>
    </row>
    <row r="1075">
      <c r="A1075" s="159"/>
      <c r="B1075" s="160"/>
    </row>
    <row r="1076">
      <c r="A1076" s="159"/>
      <c r="B1076" s="160"/>
    </row>
    <row r="1077">
      <c r="A1077" s="159"/>
      <c r="B1077" s="160"/>
    </row>
    <row r="1078">
      <c r="A1078" s="159"/>
      <c r="B1078" s="160"/>
    </row>
    <row r="1079">
      <c r="A1079" s="159"/>
      <c r="B1079" s="160"/>
    </row>
    <row r="1080">
      <c r="A1080" s="159"/>
      <c r="B1080" s="160"/>
    </row>
    <row r="1081">
      <c r="A1081" s="159"/>
      <c r="B1081" s="160"/>
    </row>
    <row r="1082">
      <c r="A1082" s="159"/>
      <c r="B1082" s="160"/>
    </row>
    <row r="1083">
      <c r="A1083" s="159"/>
      <c r="B1083" s="160"/>
    </row>
    <row r="1084">
      <c r="A1084" s="159"/>
      <c r="B1084" s="160"/>
    </row>
    <row r="1085">
      <c r="A1085" s="159"/>
      <c r="B1085" s="160"/>
    </row>
    <row r="1086">
      <c r="A1086" s="159"/>
      <c r="B1086" s="160"/>
    </row>
    <row r="1087">
      <c r="A1087" s="159"/>
      <c r="B1087" s="160"/>
    </row>
    <row r="1088">
      <c r="A1088" s="159"/>
      <c r="B1088" s="160"/>
    </row>
    <row r="1089">
      <c r="A1089" s="159"/>
      <c r="B1089" s="160"/>
    </row>
    <row r="1090">
      <c r="A1090" s="159"/>
      <c r="B1090" s="160"/>
    </row>
    <row r="1091">
      <c r="A1091" s="159"/>
      <c r="B1091" s="160"/>
    </row>
    <row r="1092">
      <c r="A1092" s="159"/>
      <c r="B1092" s="160"/>
    </row>
    <row r="1093">
      <c r="A1093" s="159"/>
      <c r="B1093" s="160"/>
    </row>
    <row r="1094">
      <c r="A1094" s="159"/>
      <c r="B1094" s="160"/>
    </row>
    <row r="1095">
      <c r="A1095" s="159"/>
      <c r="B1095" s="160"/>
    </row>
    <row r="1096">
      <c r="A1096" s="159"/>
      <c r="B1096" s="160"/>
    </row>
    <row r="1097">
      <c r="A1097" s="159"/>
      <c r="B1097" s="160"/>
    </row>
    <row r="1098">
      <c r="A1098" s="159"/>
      <c r="B1098" s="160"/>
    </row>
    <row r="1099">
      <c r="A1099" s="159"/>
      <c r="B1099" s="160"/>
    </row>
    <row r="1100">
      <c r="A1100" s="159"/>
      <c r="B1100" s="160"/>
    </row>
    <row r="1101">
      <c r="A1101" s="159"/>
      <c r="B1101" s="160"/>
    </row>
    <row r="1102">
      <c r="A1102" s="159"/>
      <c r="B1102" s="160"/>
    </row>
    <row r="1103">
      <c r="A1103" s="159"/>
      <c r="B1103" s="160"/>
    </row>
    <row r="1104">
      <c r="A1104" s="159"/>
      <c r="B1104" s="160"/>
    </row>
    <row r="1105">
      <c r="A1105" s="159"/>
      <c r="B1105" s="160"/>
    </row>
    <row r="1106">
      <c r="A1106" s="159"/>
      <c r="B1106" s="160"/>
    </row>
    <row r="1107">
      <c r="A1107" s="159"/>
      <c r="B1107" s="160"/>
    </row>
    <row r="1108">
      <c r="A1108" s="159"/>
      <c r="B1108" s="160"/>
    </row>
    <row r="1109">
      <c r="A1109" s="159"/>
      <c r="B1109" s="160"/>
    </row>
    <row r="1110">
      <c r="A1110" s="159"/>
      <c r="B1110" s="160"/>
    </row>
    <row r="1111">
      <c r="A1111" s="159"/>
      <c r="B1111" s="160"/>
    </row>
    <row r="1112">
      <c r="A1112" s="159"/>
      <c r="B1112" s="160"/>
    </row>
    <row r="1113">
      <c r="A1113" s="159"/>
      <c r="B1113" s="160"/>
    </row>
    <row r="1114">
      <c r="A1114" s="159"/>
      <c r="B1114" s="160"/>
    </row>
    <row r="1115">
      <c r="A1115" s="159"/>
      <c r="B1115" s="160"/>
    </row>
    <row r="1116">
      <c r="A1116" s="159"/>
      <c r="B1116" s="160"/>
    </row>
    <row r="1117">
      <c r="A1117" s="159"/>
      <c r="B1117" s="160"/>
    </row>
    <row r="1118">
      <c r="A1118" s="159"/>
      <c r="B1118" s="160"/>
    </row>
    <row r="1119">
      <c r="A1119" s="159"/>
      <c r="B1119" s="160"/>
    </row>
    <row r="1120">
      <c r="A1120" s="159"/>
      <c r="B1120" s="160"/>
    </row>
    <row r="1121">
      <c r="A1121" s="159"/>
      <c r="B1121" s="160"/>
    </row>
    <row r="1122">
      <c r="A1122" s="159"/>
      <c r="B1122" s="160"/>
    </row>
    <row r="1123">
      <c r="A1123" s="159"/>
      <c r="B1123" s="160"/>
    </row>
    <row r="1124">
      <c r="A1124" s="159"/>
      <c r="B1124" s="160"/>
    </row>
    <row r="1125">
      <c r="A1125" s="159"/>
      <c r="B1125" s="160"/>
    </row>
    <row r="1126">
      <c r="A1126" s="159"/>
      <c r="B1126" s="160"/>
    </row>
    <row r="1127">
      <c r="A1127" s="159"/>
      <c r="B1127" s="160"/>
    </row>
    <row r="1128">
      <c r="A1128" s="159"/>
      <c r="B1128" s="160"/>
    </row>
    <row r="1129">
      <c r="A1129" s="159"/>
      <c r="B1129" s="160"/>
    </row>
    <row r="1130">
      <c r="A1130" s="159"/>
      <c r="B1130" s="160"/>
    </row>
    <row r="1131">
      <c r="A1131" s="159"/>
      <c r="B1131" s="160"/>
    </row>
    <row r="1132">
      <c r="A1132" s="159"/>
      <c r="B1132" s="160"/>
    </row>
    <row r="1133">
      <c r="A1133" s="159"/>
      <c r="B1133" s="160"/>
    </row>
    <row r="1134">
      <c r="A1134" s="159"/>
      <c r="B1134" s="160"/>
    </row>
    <row r="1135">
      <c r="A1135" s="159"/>
      <c r="B1135" s="160"/>
    </row>
    <row r="1136">
      <c r="A1136" s="159"/>
      <c r="B1136" s="160"/>
    </row>
    <row r="1137">
      <c r="A1137" s="159"/>
      <c r="B1137" s="160"/>
    </row>
    <row r="1138">
      <c r="A1138" s="159"/>
      <c r="B1138" s="160"/>
    </row>
    <row r="1139">
      <c r="A1139" s="159"/>
      <c r="B1139" s="160"/>
    </row>
    <row r="1140">
      <c r="A1140" s="159"/>
      <c r="B1140" s="160"/>
    </row>
    <row r="1141">
      <c r="A1141" s="159"/>
      <c r="B1141" s="160"/>
    </row>
    <row r="1142">
      <c r="A1142" s="159"/>
      <c r="B1142" s="160"/>
    </row>
    <row r="1143">
      <c r="A1143" s="159"/>
      <c r="B1143" s="160"/>
    </row>
    <row r="1144">
      <c r="A1144" s="159"/>
      <c r="B1144" s="160"/>
    </row>
    <row r="1145">
      <c r="A1145" s="159"/>
      <c r="B1145" s="160"/>
    </row>
    <row r="1146">
      <c r="A1146" s="159"/>
      <c r="B1146" s="160"/>
    </row>
    <row r="1147">
      <c r="A1147" s="159"/>
      <c r="B1147" s="160"/>
    </row>
    <row r="1148">
      <c r="A1148" s="159"/>
      <c r="B1148" s="160"/>
    </row>
    <row r="1149">
      <c r="A1149" s="159"/>
      <c r="B1149" s="160"/>
    </row>
    <row r="1150">
      <c r="A1150" s="159"/>
      <c r="B1150" s="160"/>
    </row>
    <row r="1151">
      <c r="A1151" s="159"/>
      <c r="B1151" s="160"/>
    </row>
    <row r="1152">
      <c r="A1152" s="159"/>
      <c r="B1152" s="160"/>
    </row>
    <row r="1153">
      <c r="A1153" s="159"/>
      <c r="B1153" s="160"/>
    </row>
    <row r="1154">
      <c r="A1154" s="159"/>
      <c r="B1154" s="160"/>
    </row>
    <row r="1155">
      <c r="A1155" s="159"/>
      <c r="B1155" s="160"/>
    </row>
    <row r="1156">
      <c r="A1156" s="159"/>
      <c r="B1156" s="160"/>
    </row>
    <row r="1157">
      <c r="A1157" s="159"/>
      <c r="B1157" s="160"/>
    </row>
    <row r="1158">
      <c r="A1158" s="159"/>
      <c r="B1158" s="160"/>
    </row>
    <row r="1159">
      <c r="A1159" s="159"/>
      <c r="B1159" s="160"/>
    </row>
    <row r="1160">
      <c r="A1160" s="159"/>
      <c r="B1160" s="160"/>
    </row>
    <row r="1161">
      <c r="A1161" s="159"/>
      <c r="B1161" s="160"/>
    </row>
    <row r="1162">
      <c r="A1162" s="159"/>
      <c r="B1162" s="160"/>
    </row>
    <row r="1163">
      <c r="A1163" s="159"/>
      <c r="B1163" s="160"/>
    </row>
    <row r="1164">
      <c r="A1164" s="159"/>
      <c r="B1164" s="160"/>
    </row>
    <row r="1165">
      <c r="A1165" s="159"/>
      <c r="B1165" s="160"/>
    </row>
    <row r="1166">
      <c r="A1166" s="159"/>
      <c r="B1166" s="160"/>
    </row>
    <row r="1167">
      <c r="A1167" s="159"/>
      <c r="B1167" s="160"/>
    </row>
    <row r="1168">
      <c r="A1168" s="159"/>
      <c r="B1168" s="160"/>
    </row>
    <row r="1169">
      <c r="A1169" s="159"/>
      <c r="B1169" s="160"/>
    </row>
    <row r="1170">
      <c r="A1170" s="159"/>
      <c r="B1170" s="160"/>
    </row>
    <row r="1171">
      <c r="A1171" s="159"/>
      <c r="B1171" s="160"/>
    </row>
    <row r="1172">
      <c r="A1172" s="159"/>
      <c r="B1172" s="160"/>
    </row>
    <row r="1173">
      <c r="A1173" s="159"/>
      <c r="B1173" s="160"/>
    </row>
    <row r="1174">
      <c r="A1174" s="159"/>
      <c r="B1174" s="160"/>
    </row>
    <row r="1175">
      <c r="A1175" s="159"/>
      <c r="B1175" s="160"/>
    </row>
    <row r="1176">
      <c r="A1176" s="159"/>
      <c r="B1176" s="160"/>
    </row>
    <row r="1177">
      <c r="A1177" s="159"/>
      <c r="B1177" s="160"/>
    </row>
    <row r="1178">
      <c r="A1178" s="159"/>
      <c r="B1178" s="160"/>
    </row>
    <row r="1179">
      <c r="A1179" s="159"/>
      <c r="B1179" s="160"/>
    </row>
    <row r="1180">
      <c r="A1180" s="159"/>
      <c r="B1180" s="160"/>
    </row>
    <row r="1181">
      <c r="A1181" s="159"/>
      <c r="B1181" s="160"/>
    </row>
    <row r="1182">
      <c r="A1182" s="159"/>
      <c r="B1182" s="160"/>
    </row>
    <row r="1183">
      <c r="A1183" s="159"/>
      <c r="B1183" s="160"/>
    </row>
    <row r="1184">
      <c r="A1184" s="159"/>
      <c r="B1184" s="160"/>
    </row>
    <row r="1185">
      <c r="A1185" s="159"/>
      <c r="B1185" s="160"/>
    </row>
    <row r="1186">
      <c r="A1186" s="159"/>
      <c r="B1186" s="160"/>
    </row>
    <row r="1187">
      <c r="A1187" s="159"/>
      <c r="B1187" s="160"/>
    </row>
    <row r="1188">
      <c r="A1188" s="159"/>
      <c r="B1188" s="160"/>
    </row>
    <row r="1189">
      <c r="A1189" s="159"/>
      <c r="B1189" s="160"/>
    </row>
    <row r="1190">
      <c r="A1190" s="159"/>
      <c r="B1190" s="160"/>
    </row>
    <row r="1191">
      <c r="A1191" s="159"/>
      <c r="B1191" s="160"/>
    </row>
    <row r="1192">
      <c r="A1192" s="159"/>
      <c r="B1192" s="160"/>
    </row>
    <row r="1193">
      <c r="A1193" s="159"/>
      <c r="B1193" s="160"/>
    </row>
    <row r="1194">
      <c r="A1194" s="159"/>
      <c r="B1194" s="160"/>
    </row>
    <row r="1195">
      <c r="A1195" s="159"/>
      <c r="B1195" s="160"/>
    </row>
    <row r="1196">
      <c r="A1196" s="159"/>
      <c r="B1196" s="160"/>
    </row>
    <row r="1197">
      <c r="A1197" s="159"/>
      <c r="B1197" s="160"/>
    </row>
    <row r="1198">
      <c r="A1198" s="159"/>
      <c r="B1198" s="160"/>
    </row>
    <row r="1199">
      <c r="A1199" s="159"/>
      <c r="B1199" s="160"/>
    </row>
    <row r="1200">
      <c r="A1200" s="159"/>
      <c r="B1200" s="160"/>
    </row>
    <row r="1201">
      <c r="A1201" s="159"/>
      <c r="B1201" s="160"/>
    </row>
    <row r="1202">
      <c r="A1202" s="159"/>
      <c r="B1202" s="160"/>
    </row>
    <row r="1203">
      <c r="A1203" s="159"/>
      <c r="B1203" s="160"/>
    </row>
    <row r="1204">
      <c r="A1204" s="159"/>
      <c r="B1204" s="160"/>
    </row>
    <row r="1205">
      <c r="A1205" s="159"/>
      <c r="B1205" s="160"/>
    </row>
    <row r="1206">
      <c r="A1206" s="159"/>
      <c r="B1206" s="160"/>
    </row>
    <row r="1207">
      <c r="A1207" s="159"/>
      <c r="B1207" s="160"/>
    </row>
    <row r="1208">
      <c r="A1208" s="159"/>
      <c r="B1208" s="160"/>
    </row>
    <row r="1209">
      <c r="A1209" s="159"/>
      <c r="B1209" s="160"/>
    </row>
    <row r="1210">
      <c r="A1210" s="159"/>
      <c r="B1210" s="160"/>
    </row>
    <row r="1211">
      <c r="A1211" s="159"/>
      <c r="B1211" s="160"/>
    </row>
    <row r="1212">
      <c r="A1212" s="159"/>
      <c r="B1212" s="160"/>
    </row>
    <row r="1213">
      <c r="A1213" s="159"/>
      <c r="B1213" s="160"/>
    </row>
    <row r="1214">
      <c r="A1214" s="159"/>
      <c r="B1214" s="160"/>
    </row>
    <row r="1215">
      <c r="A1215" s="159"/>
      <c r="B1215" s="160"/>
    </row>
    <row r="1216">
      <c r="A1216" s="159"/>
      <c r="B1216" s="160"/>
    </row>
    <row r="1217">
      <c r="A1217" s="159"/>
      <c r="B1217" s="160"/>
    </row>
    <row r="1218">
      <c r="A1218" s="159"/>
      <c r="B1218" s="160"/>
    </row>
    <row r="1219">
      <c r="A1219" s="159"/>
      <c r="B1219" s="160"/>
    </row>
    <row r="1220">
      <c r="A1220" s="159"/>
      <c r="B1220" s="160"/>
    </row>
    <row r="1221">
      <c r="A1221" s="159"/>
      <c r="B1221" s="160"/>
    </row>
    <row r="1222">
      <c r="A1222" s="159"/>
      <c r="B1222" s="160"/>
    </row>
    <row r="1223">
      <c r="A1223" s="159"/>
      <c r="B1223" s="160"/>
    </row>
    <row r="1224">
      <c r="A1224" s="159"/>
      <c r="B1224" s="160"/>
    </row>
    <row r="1225">
      <c r="A1225" s="159"/>
      <c r="B1225" s="160"/>
    </row>
    <row r="1226">
      <c r="A1226" s="159"/>
      <c r="B1226" s="160"/>
    </row>
    <row r="1227">
      <c r="A1227" s="159"/>
      <c r="B1227" s="160"/>
    </row>
    <row r="1228">
      <c r="A1228" s="159"/>
      <c r="B1228" s="160"/>
    </row>
    <row r="1229">
      <c r="A1229" s="159"/>
      <c r="B1229" s="160"/>
    </row>
    <row r="1230">
      <c r="A1230" s="159"/>
      <c r="B1230" s="160"/>
    </row>
    <row r="1231">
      <c r="A1231" s="159"/>
      <c r="B1231" s="160"/>
    </row>
    <row r="1232">
      <c r="A1232" s="159"/>
      <c r="B1232" s="160"/>
    </row>
    <row r="1233">
      <c r="A1233" s="159"/>
      <c r="B1233" s="160"/>
    </row>
    <row r="1234">
      <c r="A1234" s="159"/>
      <c r="B1234" s="160"/>
    </row>
    <row r="1235">
      <c r="A1235" s="159"/>
      <c r="B1235" s="160"/>
    </row>
    <row r="1236">
      <c r="A1236" s="159"/>
      <c r="B1236" s="160"/>
    </row>
    <row r="1237">
      <c r="A1237" s="159"/>
      <c r="B1237" s="160"/>
    </row>
    <row r="1238">
      <c r="A1238" s="159"/>
      <c r="B1238" s="160"/>
    </row>
    <row r="1239">
      <c r="A1239" s="159"/>
      <c r="B1239" s="160"/>
    </row>
    <row r="1240">
      <c r="A1240" s="159"/>
      <c r="B1240" s="160"/>
    </row>
    <row r="1241">
      <c r="A1241" s="159"/>
      <c r="B1241" s="160"/>
    </row>
    <row r="1242">
      <c r="A1242" s="159"/>
      <c r="B1242" s="160"/>
    </row>
    <row r="1243">
      <c r="A1243" s="159"/>
      <c r="B1243" s="160"/>
    </row>
    <row r="1244">
      <c r="A1244" s="159"/>
      <c r="B1244" s="160"/>
    </row>
    <row r="1245">
      <c r="A1245" s="159"/>
      <c r="B1245" s="160"/>
    </row>
    <row r="1246">
      <c r="A1246" s="159"/>
      <c r="B1246" s="160"/>
    </row>
    <row r="1247">
      <c r="A1247" s="159"/>
      <c r="B1247" s="160"/>
    </row>
    <row r="1248">
      <c r="A1248" s="159"/>
      <c r="B1248" s="160"/>
    </row>
    <row r="1249">
      <c r="A1249" s="159"/>
      <c r="B1249" s="160"/>
    </row>
    <row r="1250">
      <c r="A1250" s="159"/>
      <c r="B1250" s="160"/>
    </row>
    <row r="1251">
      <c r="A1251" s="159"/>
      <c r="B1251" s="160"/>
    </row>
    <row r="1252">
      <c r="A1252" s="159"/>
      <c r="B1252" s="160"/>
    </row>
    <row r="1253">
      <c r="A1253" s="159"/>
      <c r="B1253" s="160"/>
    </row>
    <row r="1254">
      <c r="A1254" s="159"/>
      <c r="B1254" s="160"/>
    </row>
    <row r="1255">
      <c r="A1255" s="159"/>
      <c r="B1255" s="160"/>
    </row>
    <row r="1256">
      <c r="A1256" s="159"/>
      <c r="B1256" s="160"/>
    </row>
    <row r="1257">
      <c r="A1257" s="159"/>
      <c r="B1257" s="160"/>
    </row>
    <row r="1258">
      <c r="A1258" s="159"/>
      <c r="B1258" s="160"/>
    </row>
    <row r="1259">
      <c r="A1259" s="159"/>
      <c r="B1259" s="160"/>
    </row>
    <row r="1260">
      <c r="A1260" s="159"/>
      <c r="B1260" s="160"/>
    </row>
    <row r="1261">
      <c r="A1261" s="159"/>
      <c r="B1261" s="160"/>
    </row>
    <row r="1262">
      <c r="A1262" s="159"/>
      <c r="B1262" s="160"/>
    </row>
    <row r="1263">
      <c r="A1263" s="159"/>
      <c r="B1263" s="160"/>
    </row>
    <row r="1264">
      <c r="A1264" s="159"/>
      <c r="B1264" s="160"/>
    </row>
    <row r="1265">
      <c r="A1265" s="159"/>
      <c r="B1265" s="160"/>
    </row>
    <row r="1266">
      <c r="A1266" s="159"/>
      <c r="B1266" s="160"/>
    </row>
    <row r="1267">
      <c r="A1267" s="159"/>
      <c r="B1267" s="160"/>
    </row>
    <row r="1268">
      <c r="A1268" s="159"/>
      <c r="B1268" s="160"/>
    </row>
    <row r="1269">
      <c r="A1269" s="159"/>
      <c r="B1269" s="160"/>
    </row>
    <row r="1270">
      <c r="A1270" s="159"/>
      <c r="B1270" s="160"/>
    </row>
    <row r="1271">
      <c r="A1271" s="159"/>
      <c r="B1271" s="160"/>
    </row>
    <row r="1272">
      <c r="A1272" s="159"/>
      <c r="B1272" s="160"/>
    </row>
    <row r="1273">
      <c r="A1273" s="159"/>
      <c r="B1273" s="160"/>
    </row>
    <row r="1274">
      <c r="A1274" s="159"/>
      <c r="B1274" s="160"/>
    </row>
    <row r="1275">
      <c r="A1275" s="159"/>
      <c r="B1275" s="160"/>
    </row>
    <row r="1276">
      <c r="A1276" s="159"/>
      <c r="B1276" s="160"/>
    </row>
    <row r="1277">
      <c r="A1277" s="159"/>
      <c r="B1277" s="160"/>
    </row>
    <row r="1278">
      <c r="A1278" s="159"/>
      <c r="B1278" s="160"/>
    </row>
    <row r="1279">
      <c r="A1279" s="159"/>
      <c r="B1279" s="160"/>
    </row>
    <row r="1280">
      <c r="A1280" s="159"/>
      <c r="B1280" s="160"/>
    </row>
    <row r="1281">
      <c r="A1281" s="159"/>
      <c r="B1281" s="160"/>
    </row>
    <row r="1282">
      <c r="A1282" s="159"/>
      <c r="B1282" s="160"/>
    </row>
    <row r="1283">
      <c r="A1283" s="159"/>
      <c r="B1283" s="160"/>
    </row>
    <row r="1284">
      <c r="A1284" s="159"/>
      <c r="B1284" s="160"/>
    </row>
    <row r="1285">
      <c r="A1285" s="159"/>
      <c r="B1285" s="160"/>
    </row>
    <row r="1286">
      <c r="A1286" s="159"/>
      <c r="B1286" s="160"/>
    </row>
    <row r="1287">
      <c r="A1287" s="159"/>
      <c r="B1287" s="160"/>
    </row>
    <row r="1288">
      <c r="A1288" s="159"/>
      <c r="B1288" s="160"/>
    </row>
    <row r="1289">
      <c r="A1289" s="159"/>
      <c r="B1289" s="160"/>
    </row>
    <row r="1290">
      <c r="A1290" s="159"/>
      <c r="B1290" s="160"/>
    </row>
    <row r="1291">
      <c r="A1291" s="159"/>
      <c r="B1291" s="160"/>
    </row>
    <row r="1292">
      <c r="A1292" s="159"/>
      <c r="B1292" s="160"/>
    </row>
    <row r="1293">
      <c r="A1293" s="159"/>
      <c r="B1293" s="160"/>
    </row>
    <row r="1294">
      <c r="A1294" s="159"/>
      <c r="B1294" s="160"/>
    </row>
    <row r="1295">
      <c r="A1295" s="159"/>
      <c r="B1295" s="160"/>
    </row>
    <row r="1296">
      <c r="A1296" s="159"/>
      <c r="B1296" s="160"/>
    </row>
    <row r="1297">
      <c r="A1297" s="159"/>
      <c r="B1297" s="160"/>
    </row>
    <row r="1298">
      <c r="A1298" s="159"/>
      <c r="B1298" s="160"/>
    </row>
    <row r="1299">
      <c r="A1299" s="159"/>
      <c r="B1299" s="160"/>
    </row>
    <row r="1300">
      <c r="A1300" s="159"/>
      <c r="B1300" s="160"/>
    </row>
    <row r="1301">
      <c r="A1301" s="159"/>
      <c r="B1301" s="160"/>
    </row>
    <row r="1302">
      <c r="A1302" s="159"/>
      <c r="B1302" s="160"/>
    </row>
    <row r="1303">
      <c r="A1303" s="159"/>
      <c r="B1303" s="160"/>
    </row>
    <row r="1304">
      <c r="A1304" s="159"/>
      <c r="B1304" s="160"/>
    </row>
    <row r="1305">
      <c r="A1305" s="159"/>
      <c r="B1305" s="160"/>
    </row>
    <row r="1306">
      <c r="A1306" s="159"/>
      <c r="B1306" s="160"/>
    </row>
    <row r="1307">
      <c r="A1307" s="159"/>
      <c r="B1307" s="160"/>
    </row>
    <row r="1308">
      <c r="A1308" s="159"/>
      <c r="B1308" s="160"/>
    </row>
    <row r="1309">
      <c r="A1309" s="159"/>
      <c r="B1309" s="160"/>
    </row>
    <row r="1310">
      <c r="A1310" s="159"/>
      <c r="B1310" s="160"/>
    </row>
    <row r="1311">
      <c r="A1311" s="159"/>
      <c r="B1311" s="160"/>
    </row>
    <row r="1312">
      <c r="A1312" s="159"/>
      <c r="B1312" s="160"/>
    </row>
    <row r="1313">
      <c r="A1313" s="159"/>
      <c r="B1313" s="160"/>
    </row>
    <row r="1314">
      <c r="A1314" s="159"/>
      <c r="B1314" s="160"/>
    </row>
    <row r="1315">
      <c r="A1315" s="159"/>
      <c r="B1315" s="160"/>
    </row>
    <row r="1316">
      <c r="A1316" s="159"/>
      <c r="B1316" s="160"/>
    </row>
    <row r="1317">
      <c r="A1317" s="159"/>
      <c r="B1317" s="160"/>
    </row>
    <row r="1318">
      <c r="A1318" s="159"/>
      <c r="B1318" s="160"/>
    </row>
    <row r="1319">
      <c r="A1319" s="159"/>
      <c r="B1319" s="160"/>
    </row>
    <row r="1320">
      <c r="A1320" s="159"/>
      <c r="B1320" s="160"/>
    </row>
    <row r="1321">
      <c r="A1321" s="159"/>
      <c r="B1321" s="160"/>
    </row>
    <row r="1322">
      <c r="A1322" s="159"/>
      <c r="B1322" s="160"/>
    </row>
    <row r="1323">
      <c r="A1323" s="159"/>
      <c r="B1323" s="160"/>
    </row>
    <row r="1324">
      <c r="A1324" s="159"/>
      <c r="B1324" s="160"/>
    </row>
    <row r="1325">
      <c r="A1325" s="159"/>
      <c r="B1325" s="160"/>
    </row>
    <row r="1326">
      <c r="A1326" s="159"/>
      <c r="B1326" s="160"/>
    </row>
    <row r="1327">
      <c r="A1327" s="159"/>
      <c r="B1327" s="160"/>
    </row>
    <row r="1328">
      <c r="A1328" s="159"/>
      <c r="B1328" s="160"/>
    </row>
    <row r="1329">
      <c r="A1329" s="159"/>
      <c r="B1329" s="160"/>
    </row>
    <row r="1330">
      <c r="A1330" s="159"/>
      <c r="B1330" s="160"/>
    </row>
    <row r="1331">
      <c r="A1331" s="159"/>
      <c r="B1331" s="160"/>
    </row>
    <row r="1332">
      <c r="A1332" s="159"/>
      <c r="B1332" s="160"/>
    </row>
    <row r="1333">
      <c r="A1333" s="159"/>
      <c r="B1333" s="160"/>
    </row>
    <row r="1334">
      <c r="A1334" s="159"/>
      <c r="B1334" s="160"/>
    </row>
    <row r="1335">
      <c r="A1335" s="159"/>
      <c r="B1335" s="160"/>
    </row>
    <row r="1336">
      <c r="A1336" s="159"/>
      <c r="B1336" s="160"/>
    </row>
    <row r="1337">
      <c r="A1337" s="159"/>
      <c r="B1337" s="160"/>
    </row>
    <row r="1338">
      <c r="A1338" s="159"/>
      <c r="B1338" s="160"/>
    </row>
    <row r="1339">
      <c r="A1339" s="159"/>
      <c r="B1339" s="160"/>
    </row>
    <row r="1340">
      <c r="A1340" s="159"/>
      <c r="B1340" s="160"/>
    </row>
    <row r="1341">
      <c r="A1341" s="159"/>
      <c r="B1341" s="160"/>
    </row>
    <row r="1342">
      <c r="A1342" s="159"/>
      <c r="B1342" s="160"/>
    </row>
    <row r="1343">
      <c r="A1343" s="159"/>
      <c r="B1343" s="160"/>
    </row>
    <row r="1344">
      <c r="A1344" s="159"/>
      <c r="B1344" s="160"/>
    </row>
    <row r="1345">
      <c r="A1345" s="159"/>
      <c r="B1345" s="160"/>
    </row>
    <row r="1346">
      <c r="A1346" s="159"/>
      <c r="B1346" s="160"/>
    </row>
    <row r="1347">
      <c r="A1347" s="159"/>
      <c r="B1347" s="160"/>
    </row>
    <row r="1348">
      <c r="A1348" s="159"/>
      <c r="B1348" s="160"/>
    </row>
    <row r="1349">
      <c r="A1349" s="159"/>
      <c r="B1349" s="160"/>
    </row>
    <row r="1350">
      <c r="A1350" s="159"/>
      <c r="B1350" s="160"/>
    </row>
    <row r="1351">
      <c r="A1351" s="159"/>
      <c r="B1351" s="160"/>
    </row>
    <row r="1352">
      <c r="A1352" s="159"/>
      <c r="B1352" s="160"/>
    </row>
    <row r="1353">
      <c r="A1353" s="159"/>
      <c r="B1353" s="160"/>
    </row>
    <row r="1354">
      <c r="A1354" s="159"/>
      <c r="B1354" s="160"/>
    </row>
    <row r="1355">
      <c r="A1355" s="159"/>
      <c r="B1355" s="160"/>
    </row>
    <row r="1356">
      <c r="A1356" s="159"/>
      <c r="B1356" s="160"/>
    </row>
    <row r="1357">
      <c r="A1357" s="159"/>
      <c r="B1357" s="160"/>
    </row>
    <row r="1358">
      <c r="A1358" s="159"/>
      <c r="B1358" s="160"/>
    </row>
    <row r="1359">
      <c r="A1359" s="159"/>
      <c r="B1359" s="160"/>
    </row>
    <row r="1360">
      <c r="A1360" s="159"/>
      <c r="B1360" s="160"/>
    </row>
    <row r="1361">
      <c r="A1361" s="159"/>
      <c r="B1361" s="160"/>
    </row>
    <row r="1362">
      <c r="A1362" s="159"/>
      <c r="B1362" s="160"/>
    </row>
    <row r="1363">
      <c r="A1363" s="159"/>
      <c r="B1363" s="160"/>
    </row>
    <row r="1364">
      <c r="A1364" s="159"/>
      <c r="B1364" s="160"/>
    </row>
    <row r="1365">
      <c r="A1365" s="159"/>
      <c r="B1365" s="160"/>
    </row>
    <row r="1366">
      <c r="A1366" s="159"/>
      <c r="B1366" s="160"/>
    </row>
    <row r="1367">
      <c r="A1367" s="159"/>
      <c r="B1367" s="160"/>
    </row>
    <row r="1368">
      <c r="A1368" s="159"/>
      <c r="B1368" s="160"/>
    </row>
    <row r="1369">
      <c r="A1369" s="159"/>
      <c r="B1369" s="160"/>
    </row>
    <row r="1370">
      <c r="A1370" s="159"/>
      <c r="B1370" s="160"/>
    </row>
    <row r="1371">
      <c r="A1371" s="159"/>
      <c r="B1371" s="160"/>
    </row>
    <row r="1372">
      <c r="A1372" s="159"/>
      <c r="B1372" s="160"/>
    </row>
    <row r="1373">
      <c r="A1373" s="159"/>
      <c r="B1373" s="160"/>
    </row>
    <row r="1374">
      <c r="A1374" s="159"/>
      <c r="B1374" s="160"/>
    </row>
    <row r="1375">
      <c r="A1375" s="159"/>
      <c r="B1375" s="160"/>
    </row>
    <row r="1376">
      <c r="A1376" s="159"/>
      <c r="B1376" s="158"/>
    </row>
    <row r="1377">
      <c r="A1377" s="159"/>
      <c r="B1377" s="160"/>
    </row>
    <row r="1378">
      <c r="A1378" s="159"/>
      <c r="B1378" s="160"/>
    </row>
    <row r="1379">
      <c r="A1379" s="159"/>
      <c r="B1379" s="160"/>
    </row>
    <row r="1380">
      <c r="A1380" s="159"/>
      <c r="B1380" s="160"/>
    </row>
    <row r="1381">
      <c r="A1381" s="159"/>
      <c r="B1381" s="160"/>
    </row>
    <row r="1382">
      <c r="A1382" s="159"/>
      <c r="B1382" s="160"/>
    </row>
    <row r="1383">
      <c r="A1383" s="159"/>
      <c r="B1383" s="160"/>
    </row>
    <row r="1384">
      <c r="A1384" s="159"/>
      <c r="B1384" s="160"/>
    </row>
    <row r="1385">
      <c r="A1385" s="159"/>
      <c r="B1385" s="160"/>
    </row>
    <row r="1386">
      <c r="A1386" s="159"/>
      <c r="B1386" s="160"/>
    </row>
    <row r="1387">
      <c r="A1387" s="159"/>
      <c r="B1387" s="158"/>
    </row>
    <row r="1388">
      <c r="A1388" s="159"/>
      <c r="B1388" s="158"/>
    </row>
    <row r="1389">
      <c r="A1389" s="159"/>
      <c r="B1389" s="158"/>
    </row>
    <row r="1390">
      <c r="A1390" s="159"/>
      <c r="B1390" s="158"/>
    </row>
    <row r="1391">
      <c r="A1391" s="159"/>
      <c r="B1391" s="158"/>
    </row>
    <row r="1392">
      <c r="A1392" s="159"/>
      <c r="B1392" s="158"/>
    </row>
    <row r="1393">
      <c r="A1393" s="159"/>
      <c r="B1393" s="158"/>
    </row>
    <row r="1394">
      <c r="A1394" s="159"/>
      <c r="B1394" s="158"/>
    </row>
    <row r="1395">
      <c r="A1395" s="159"/>
      <c r="B1395" s="158"/>
    </row>
    <row r="1396">
      <c r="A1396" s="159"/>
      <c r="B1396" s="158"/>
    </row>
    <row r="1397">
      <c r="A1397" s="159"/>
      <c r="B1397" s="158"/>
    </row>
    <row r="1398">
      <c r="A1398" s="159"/>
      <c r="B1398" s="160"/>
    </row>
    <row r="1399">
      <c r="A1399" s="159"/>
      <c r="B1399" s="160"/>
    </row>
    <row r="1400">
      <c r="A1400" s="159"/>
      <c r="B1400" s="160"/>
    </row>
    <row r="1401">
      <c r="A1401" s="159"/>
      <c r="B1401" s="160"/>
    </row>
    <row r="1402">
      <c r="A1402" s="159"/>
      <c r="B1402" s="160"/>
    </row>
    <row r="1403">
      <c r="A1403" s="159"/>
      <c r="B1403" s="160"/>
    </row>
    <row r="1404">
      <c r="A1404" s="159"/>
      <c r="B1404" s="160"/>
    </row>
    <row r="1405">
      <c r="A1405" s="159"/>
      <c r="B1405" s="160"/>
    </row>
    <row r="1406">
      <c r="A1406" s="159"/>
      <c r="B1406" s="158"/>
    </row>
    <row r="1407">
      <c r="A1407" s="159"/>
      <c r="B1407" s="160"/>
    </row>
    <row r="1408">
      <c r="A1408" s="159"/>
      <c r="B1408" s="160"/>
    </row>
    <row r="1409">
      <c r="A1409" s="159"/>
      <c r="B1409" s="160"/>
    </row>
    <row r="1410">
      <c r="A1410" s="159"/>
      <c r="B1410" s="158"/>
    </row>
    <row r="1411">
      <c r="A1411" s="159"/>
      <c r="B1411" s="158"/>
    </row>
    <row r="1412">
      <c r="A1412" s="159"/>
      <c r="B1412" s="16"/>
    </row>
    <row r="1413">
      <c r="A1413" s="159"/>
      <c r="B1413" s="160"/>
    </row>
    <row r="1414">
      <c r="A1414" s="159"/>
    </row>
    <row r="1415">
      <c r="A1415" s="159"/>
      <c r="B1415" s="158"/>
    </row>
    <row r="1416">
      <c r="A1416" s="159"/>
      <c r="B1416" s="160"/>
    </row>
    <row r="1417">
      <c r="A1417" s="159"/>
    </row>
    <row r="1418">
      <c r="A1418" s="159"/>
      <c r="B1418" s="158"/>
    </row>
    <row r="1419">
      <c r="A1419" s="159"/>
      <c r="B1419" s="158"/>
    </row>
    <row r="1420">
      <c r="A1420" s="159"/>
      <c r="B1420" s="158"/>
    </row>
    <row r="1421">
      <c r="A1421" s="159"/>
      <c r="B1421" s="158"/>
    </row>
    <row r="1422">
      <c r="A1422" s="159"/>
      <c r="B1422" s="158"/>
    </row>
    <row r="1423">
      <c r="A1423" s="159"/>
      <c r="B1423" s="158"/>
    </row>
    <row r="1424">
      <c r="A1424" s="159"/>
      <c r="B1424" s="158"/>
    </row>
    <row r="1425">
      <c r="A1425" s="159"/>
      <c r="B1425" s="158"/>
    </row>
    <row r="1426">
      <c r="A1426" s="159"/>
      <c r="B1426" s="158"/>
    </row>
    <row r="1427">
      <c r="A1427" s="159"/>
      <c r="B1427" s="158"/>
    </row>
    <row r="1428">
      <c r="A1428" s="159"/>
      <c r="B1428" s="158"/>
    </row>
    <row r="1429">
      <c r="A1429" s="159"/>
      <c r="B1429" s="158"/>
    </row>
    <row r="1430">
      <c r="A1430" s="159"/>
      <c r="B1430" s="158"/>
    </row>
    <row r="1431">
      <c r="A1431" s="159"/>
      <c r="B1431" s="158"/>
    </row>
    <row r="1432">
      <c r="A1432" s="159"/>
      <c r="B1432" s="158"/>
    </row>
    <row r="1433">
      <c r="A1433" s="159"/>
      <c r="B1433" s="158"/>
    </row>
    <row r="1434">
      <c r="A1434" s="159"/>
      <c r="B1434" s="158"/>
    </row>
    <row r="1435">
      <c r="A1435" s="159"/>
      <c r="B1435" s="158"/>
    </row>
    <row r="1436">
      <c r="A1436" s="159"/>
      <c r="B1436" s="158"/>
    </row>
    <row r="1437">
      <c r="A1437" s="159"/>
      <c r="B1437" s="158"/>
    </row>
    <row r="1438">
      <c r="A1438" s="159"/>
      <c r="B1438" s="158"/>
    </row>
    <row r="1439">
      <c r="A1439" s="159"/>
      <c r="B1439" s="158"/>
    </row>
    <row r="1440">
      <c r="A1440" s="159"/>
      <c r="B1440" s="162"/>
    </row>
    <row r="1441">
      <c r="A1441" s="159"/>
      <c r="B1441" s="164"/>
    </row>
    <row r="1442">
      <c r="A1442" s="159"/>
      <c r="B1442" s="158"/>
    </row>
    <row r="1443">
      <c r="A1443" s="159"/>
      <c r="B1443" s="158"/>
    </row>
    <row r="1444">
      <c r="A1444" s="159"/>
      <c r="B1444" s="158"/>
    </row>
    <row r="1445">
      <c r="A1445" s="159"/>
      <c r="B1445" s="158"/>
    </row>
    <row r="1446">
      <c r="A1446" s="159"/>
      <c r="C1446" s="158"/>
    </row>
    <row r="1447">
      <c r="A1447" s="159"/>
      <c r="C1447" s="158"/>
    </row>
    <row r="1448">
      <c r="A1448" s="159"/>
      <c r="C1448" s="158"/>
    </row>
    <row r="1449">
      <c r="A1449" s="159"/>
      <c r="C1449" s="158"/>
    </row>
    <row r="1450">
      <c r="A1450" s="159"/>
      <c r="C1450" s="158"/>
    </row>
    <row r="1451">
      <c r="A1451" s="159"/>
      <c r="C1451" s="158"/>
    </row>
    <row r="1452">
      <c r="A1452" s="159"/>
      <c r="C1452" s="158"/>
    </row>
    <row r="1453">
      <c r="A1453" s="159"/>
      <c r="C1453" s="158"/>
    </row>
    <row r="1454">
      <c r="A1454" s="159"/>
      <c r="C1454" s="158"/>
    </row>
    <row r="1455">
      <c r="A1455" s="159"/>
      <c r="C1455" s="158"/>
    </row>
    <row r="1456">
      <c r="A1456" s="159"/>
      <c r="C1456" s="158"/>
    </row>
    <row r="1457">
      <c r="A1457" s="159"/>
      <c r="C1457" s="158"/>
    </row>
    <row r="1458">
      <c r="A1458" s="159"/>
      <c r="C1458" s="158"/>
    </row>
    <row r="1459">
      <c r="A1459" s="159"/>
      <c r="C1459" s="158"/>
    </row>
    <row r="1460">
      <c r="A1460" s="159"/>
      <c r="C1460" s="158"/>
    </row>
    <row r="1461">
      <c r="A1461" s="159"/>
      <c r="C1461" s="158"/>
    </row>
    <row r="1462">
      <c r="A1462" s="159"/>
      <c r="C1462" s="158"/>
    </row>
    <row r="1463">
      <c r="A1463" s="159"/>
      <c r="C1463" s="158"/>
    </row>
    <row r="1464">
      <c r="A1464" s="159"/>
      <c r="C1464" s="158"/>
    </row>
    <row r="1465">
      <c r="A1465" s="159"/>
      <c r="C1465" s="158"/>
    </row>
    <row r="1466">
      <c r="A1466" s="159"/>
      <c r="C1466" s="158"/>
    </row>
    <row r="1467">
      <c r="A1467" s="159"/>
      <c r="C1467" s="158"/>
    </row>
    <row r="1468">
      <c r="A1468" s="159"/>
      <c r="C1468" s="158"/>
    </row>
    <row r="1469">
      <c r="A1469" s="159"/>
      <c r="C1469" s="158"/>
    </row>
    <row r="1470">
      <c r="A1470" s="159"/>
      <c r="C1470" s="158"/>
    </row>
    <row r="1471">
      <c r="A1471" s="159"/>
      <c r="C1471" s="158"/>
    </row>
    <row r="1472">
      <c r="A1472" s="159"/>
      <c r="C1472" s="158"/>
    </row>
    <row r="1473">
      <c r="A1473" s="159"/>
      <c r="C1473" s="158"/>
    </row>
    <row r="1474">
      <c r="A1474" s="159"/>
      <c r="C1474" s="158"/>
    </row>
    <row r="1475">
      <c r="A1475" s="159"/>
      <c r="C1475" s="158"/>
    </row>
    <row r="1476">
      <c r="A1476" s="159"/>
      <c r="C1476" s="158"/>
    </row>
    <row r="1477">
      <c r="A1477" s="159"/>
      <c r="C1477" s="158"/>
    </row>
    <row r="1478">
      <c r="A1478" s="159"/>
      <c r="C1478" s="158"/>
    </row>
    <row r="1479">
      <c r="A1479" s="159"/>
      <c r="C1479" s="158"/>
    </row>
    <row r="1480">
      <c r="A1480" s="159"/>
      <c r="C1480" s="158"/>
    </row>
    <row r="1481">
      <c r="A1481" s="159"/>
      <c r="C1481" s="158"/>
    </row>
    <row r="1482">
      <c r="A1482" s="159"/>
      <c r="C1482" s="158"/>
    </row>
    <row r="1483">
      <c r="A1483" s="159"/>
      <c r="C1483" s="158"/>
    </row>
    <row r="1484">
      <c r="A1484" s="159"/>
      <c r="C1484" s="158"/>
    </row>
    <row r="1485">
      <c r="A1485" s="159"/>
      <c r="C1485" s="158"/>
    </row>
    <row r="1486">
      <c r="A1486" s="159"/>
      <c r="C1486" s="158"/>
    </row>
    <row r="1487">
      <c r="A1487" s="159"/>
      <c r="C1487" s="158"/>
    </row>
    <row r="1488">
      <c r="A1488" s="159"/>
      <c r="C1488" s="158"/>
    </row>
    <row r="1489">
      <c r="A1489" s="159"/>
      <c r="C1489" s="158"/>
    </row>
    <row r="1490">
      <c r="A1490" s="159"/>
      <c r="C1490" s="158"/>
    </row>
    <row r="1491">
      <c r="A1491" s="159"/>
      <c r="C1491" s="158"/>
    </row>
    <row r="1492">
      <c r="A1492" s="159"/>
      <c r="C1492" s="158"/>
    </row>
    <row r="1493">
      <c r="A1493" s="159"/>
      <c r="C1493" s="158"/>
    </row>
    <row r="1494">
      <c r="A1494" s="159"/>
      <c r="C1494" s="158"/>
    </row>
    <row r="1495">
      <c r="A1495" s="159"/>
      <c r="C1495" s="158"/>
    </row>
    <row r="1496">
      <c r="A1496" s="159"/>
      <c r="C1496" s="158"/>
    </row>
    <row r="1497">
      <c r="A1497" s="159"/>
      <c r="C1497" s="158"/>
    </row>
    <row r="1498">
      <c r="A1498" s="159"/>
      <c r="C1498" s="158"/>
    </row>
    <row r="1499">
      <c r="A1499" s="159"/>
      <c r="C1499" s="158"/>
    </row>
    <row r="1500">
      <c r="A1500" s="159"/>
      <c r="C1500" s="158"/>
    </row>
    <row r="1501">
      <c r="A1501" s="159"/>
      <c r="C1501" s="158"/>
    </row>
    <row r="1502">
      <c r="A1502" s="159"/>
      <c r="C1502" s="158"/>
    </row>
    <row r="1503">
      <c r="A1503" s="159"/>
      <c r="C1503" s="158"/>
    </row>
    <row r="1504">
      <c r="A1504" s="159"/>
      <c r="C1504" s="158"/>
    </row>
    <row r="1505">
      <c r="A1505" s="159"/>
      <c r="C1505" s="158"/>
    </row>
    <row r="1506">
      <c r="A1506" s="159"/>
      <c r="C1506" s="158"/>
    </row>
    <row r="1507">
      <c r="A1507" s="159"/>
      <c r="C1507" s="158"/>
    </row>
    <row r="1508">
      <c r="A1508" s="159"/>
      <c r="C1508" s="158"/>
    </row>
    <row r="1509">
      <c r="A1509" s="159"/>
      <c r="C1509" s="158"/>
    </row>
    <row r="1510">
      <c r="A1510" s="159"/>
      <c r="C1510" s="158"/>
    </row>
    <row r="1511">
      <c r="A1511" s="159"/>
      <c r="C1511" s="158"/>
    </row>
    <row r="1512">
      <c r="A1512" s="159"/>
      <c r="C1512" s="158"/>
    </row>
    <row r="1513">
      <c r="A1513" s="159"/>
      <c r="C1513" s="158"/>
    </row>
    <row r="1514">
      <c r="A1514" s="159"/>
      <c r="C1514" s="158"/>
    </row>
    <row r="1515">
      <c r="A1515" s="159"/>
      <c r="C1515" s="158"/>
    </row>
    <row r="1516">
      <c r="A1516" s="159"/>
      <c r="C1516" s="158"/>
    </row>
    <row r="1517">
      <c r="A1517" s="159"/>
      <c r="C1517" s="158"/>
    </row>
    <row r="1518">
      <c r="A1518" s="159"/>
      <c r="C1518" s="158"/>
    </row>
    <row r="1519">
      <c r="A1519" s="159"/>
      <c r="C1519" s="158"/>
    </row>
    <row r="1520">
      <c r="A1520" s="159"/>
      <c r="C1520" s="158"/>
    </row>
    <row r="1521">
      <c r="A1521" s="159"/>
      <c r="C1521" s="158"/>
    </row>
    <row r="1522">
      <c r="A1522" s="159"/>
      <c r="C1522" s="158"/>
    </row>
    <row r="1523">
      <c r="A1523" s="159"/>
      <c r="C1523" s="158"/>
    </row>
    <row r="1524">
      <c r="A1524" s="159"/>
      <c r="C1524" s="158"/>
    </row>
    <row r="1525">
      <c r="A1525" s="159"/>
      <c r="C1525" s="158"/>
    </row>
    <row r="1526">
      <c r="A1526" s="159"/>
      <c r="C1526" s="158"/>
    </row>
    <row r="1527">
      <c r="A1527" s="159"/>
      <c r="C1527" s="158"/>
    </row>
    <row r="1528">
      <c r="A1528" s="159"/>
      <c r="C1528" s="158"/>
    </row>
    <row r="1529">
      <c r="A1529" s="159"/>
      <c r="C1529" s="158"/>
    </row>
    <row r="1530">
      <c r="A1530" s="159"/>
      <c r="C1530" s="158"/>
    </row>
    <row r="1531">
      <c r="A1531" s="159"/>
      <c r="C1531" s="158"/>
    </row>
    <row r="1532">
      <c r="A1532" s="159"/>
      <c r="C1532" s="158"/>
    </row>
    <row r="1533">
      <c r="A1533" s="159"/>
      <c r="C1533" s="158"/>
    </row>
    <row r="1534">
      <c r="A1534" s="159"/>
      <c r="C1534" s="158"/>
    </row>
    <row r="1535">
      <c r="A1535" s="159"/>
      <c r="C1535" s="158"/>
    </row>
    <row r="1536">
      <c r="A1536" s="159"/>
      <c r="C1536" s="158"/>
    </row>
    <row r="1537">
      <c r="A1537" s="159"/>
      <c r="C1537" s="158"/>
    </row>
    <row r="1538">
      <c r="A1538" s="159"/>
      <c r="C1538" s="158"/>
    </row>
    <row r="1539">
      <c r="A1539" s="159"/>
      <c r="C1539" s="158"/>
    </row>
    <row r="1540">
      <c r="A1540" s="159"/>
      <c r="C1540" s="158"/>
    </row>
    <row r="1541">
      <c r="A1541" s="159"/>
      <c r="C1541" s="158"/>
    </row>
    <row r="1542">
      <c r="A1542" s="159"/>
      <c r="C1542" s="158"/>
    </row>
    <row r="1543">
      <c r="A1543" s="159"/>
      <c r="C1543" s="158"/>
    </row>
    <row r="1544">
      <c r="A1544" s="159"/>
      <c r="C1544" s="158"/>
    </row>
    <row r="1545">
      <c r="A1545" s="159"/>
      <c r="C1545" s="158"/>
    </row>
    <row r="1546">
      <c r="A1546" s="159"/>
      <c r="C1546" s="158"/>
    </row>
    <row r="1547">
      <c r="A1547" s="159"/>
      <c r="C1547" s="158"/>
    </row>
    <row r="1548">
      <c r="A1548" s="159"/>
      <c r="C1548" s="158"/>
    </row>
    <row r="1549">
      <c r="A1549" s="159"/>
      <c r="C1549" s="158"/>
    </row>
    <row r="1550">
      <c r="A1550" s="159"/>
      <c r="C1550" s="158"/>
    </row>
    <row r="1551">
      <c r="A1551" s="159"/>
      <c r="C1551" s="158"/>
    </row>
    <row r="1552">
      <c r="A1552" s="159"/>
      <c r="C1552" s="158"/>
    </row>
    <row r="1553">
      <c r="A1553" s="159"/>
      <c r="C1553" s="158"/>
    </row>
    <row r="1554">
      <c r="A1554" s="159"/>
      <c r="C1554" s="158"/>
    </row>
    <row r="1555">
      <c r="A1555" s="159"/>
      <c r="C1555" s="158"/>
    </row>
    <row r="1556">
      <c r="A1556" s="159"/>
      <c r="C1556" s="158"/>
    </row>
    <row r="1557">
      <c r="A1557" s="159"/>
      <c r="C1557" s="158"/>
    </row>
    <row r="1558">
      <c r="A1558" s="159"/>
      <c r="C1558" s="158"/>
    </row>
    <row r="1559">
      <c r="A1559" s="159"/>
      <c r="C1559" s="158"/>
    </row>
    <row r="1560">
      <c r="A1560" s="159"/>
      <c r="C1560" s="158"/>
    </row>
    <row r="1561">
      <c r="A1561" s="159"/>
      <c r="C1561" s="158"/>
    </row>
    <row r="1562">
      <c r="A1562" s="159"/>
      <c r="C1562" s="158"/>
    </row>
    <row r="1563">
      <c r="A1563" s="159"/>
      <c r="C1563" s="158"/>
    </row>
    <row r="1564">
      <c r="A1564" s="159"/>
      <c r="C1564" s="158"/>
    </row>
    <row r="1565">
      <c r="A1565" s="159"/>
      <c r="C1565" s="158"/>
    </row>
    <row r="1566">
      <c r="A1566" s="159"/>
      <c r="C1566" s="158"/>
    </row>
    <row r="1567">
      <c r="A1567" s="159"/>
      <c r="C1567" s="158"/>
    </row>
    <row r="1568">
      <c r="A1568" s="159"/>
      <c r="C1568" s="158"/>
    </row>
    <row r="1569">
      <c r="A1569" s="159"/>
      <c r="C1569" s="158"/>
    </row>
    <row r="1570">
      <c r="A1570" s="159"/>
      <c r="C1570" s="158"/>
    </row>
    <row r="1571">
      <c r="A1571" s="159"/>
      <c r="C1571" s="158"/>
    </row>
    <row r="1572">
      <c r="A1572" s="159"/>
      <c r="C1572" s="158"/>
    </row>
    <row r="1573">
      <c r="A1573" s="159"/>
      <c r="C1573" s="158"/>
    </row>
    <row r="1574">
      <c r="A1574" s="159"/>
      <c r="C1574" s="158"/>
    </row>
    <row r="1575">
      <c r="A1575" s="159"/>
      <c r="C1575" s="158"/>
    </row>
    <row r="1576">
      <c r="A1576" s="159"/>
      <c r="C1576" s="158"/>
    </row>
    <row r="1577">
      <c r="A1577" s="159"/>
      <c r="C1577" s="158"/>
    </row>
    <row r="1578">
      <c r="A1578" s="159"/>
      <c r="C1578" s="158"/>
    </row>
    <row r="1579">
      <c r="A1579" s="159"/>
      <c r="C1579" s="158"/>
    </row>
    <row r="1580">
      <c r="A1580" s="159"/>
      <c r="C1580" s="158"/>
    </row>
    <row r="1581">
      <c r="A1581" s="159"/>
      <c r="C1581" s="158"/>
    </row>
    <row r="1582">
      <c r="A1582" s="159"/>
      <c r="C1582" s="158"/>
    </row>
    <row r="1583">
      <c r="A1583" s="159"/>
      <c r="C1583" s="158"/>
    </row>
    <row r="1584">
      <c r="A1584" s="159"/>
      <c r="C1584" s="158"/>
    </row>
    <row r="1585">
      <c r="A1585" s="159"/>
      <c r="C1585" s="158"/>
    </row>
    <row r="1586">
      <c r="A1586" s="159"/>
      <c r="C1586" s="158"/>
    </row>
    <row r="1587">
      <c r="A1587" s="159"/>
      <c r="C1587" s="158"/>
    </row>
    <row r="1588">
      <c r="A1588" s="159"/>
      <c r="C1588" s="158"/>
    </row>
    <row r="1589">
      <c r="A1589" s="159"/>
      <c r="C1589" s="158"/>
    </row>
    <row r="1590">
      <c r="A1590" s="159"/>
      <c r="C1590" s="158"/>
    </row>
    <row r="1591">
      <c r="A1591" s="159"/>
      <c r="C1591" s="158"/>
    </row>
    <row r="1592">
      <c r="A1592" s="159"/>
      <c r="B1592" s="158"/>
    </row>
    <row r="1593">
      <c r="A1593" s="159"/>
      <c r="B1593" s="158"/>
    </row>
    <row r="1594">
      <c r="A1594" s="159"/>
      <c r="B1594" s="158"/>
    </row>
    <row r="1595">
      <c r="A1595" s="159"/>
      <c r="B1595" s="158"/>
    </row>
    <row r="1596">
      <c r="A1596" s="159"/>
      <c r="B1596" s="158"/>
    </row>
    <row r="1597">
      <c r="A1597" s="159"/>
      <c r="B1597" s="158"/>
    </row>
    <row r="1598">
      <c r="A1598" s="159"/>
      <c r="B1598" s="158"/>
    </row>
    <row r="1599">
      <c r="A1599" s="159"/>
      <c r="B1599" s="158"/>
    </row>
    <row r="1600">
      <c r="A1600" s="159"/>
      <c r="B1600" s="158"/>
    </row>
    <row r="1601">
      <c r="A1601" s="159"/>
      <c r="B1601" s="158"/>
    </row>
    <row r="1602">
      <c r="A1602" s="159"/>
      <c r="B1602" s="158"/>
    </row>
    <row r="1603">
      <c r="A1603" s="159"/>
      <c r="B1603" s="158"/>
    </row>
    <row r="1604">
      <c r="A1604" s="159"/>
      <c r="B1604" s="158"/>
    </row>
    <row r="1605">
      <c r="A1605" s="159"/>
      <c r="B1605" s="158"/>
    </row>
    <row r="1606">
      <c r="A1606" s="159"/>
      <c r="B1606" s="158"/>
    </row>
    <row r="1607">
      <c r="A1607" s="159"/>
      <c r="B1607" s="158"/>
    </row>
    <row r="1608">
      <c r="A1608" s="159"/>
      <c r="B1608" s="158"/>
    </row>
    <row r="1609">
      <c r="A1609" s="159"/>
      <c r="B1609" s="158"/>
    </row>
    <row r="1610">
      <c r="A1610" s="159"/>
      <c r="B1610" s="158"/>
    </row>
    <row r="1611">
      <c r="A1611" s="159"/>
      <c r="B1611" s="158"/>
    </row>
    <row r="1612">
      <c r="A1612" s="159"/>
      <c r="B1612" s="158"/>
    </row>
    <row r="1613">
      <c r="A1613" s="159"/>
      <c r="B1613" s="158"/>
    </row>
    <row r="1614">
      <c r="A1614" s="159"/>
      <c r="B1614" s="158"/>
    </row>
    <row r="1615">
      <c r="A1615" s="159"/>
      <c r="B1615" s="158"/>
    </row>
    <row r="1616">
      <c r="A1616" s="159"/>
      <c r="B1616" s="158"/>
    </row>
    <row r="1617">
      <c r="A1617" s="159"/>
      <c r="B1617" s="158"/>
    </row>
    <row r="1618">
      <c r="A1618" s="159"/>
      <c r="B1618" s="158"/>
    </row>
    <row r="1619">
      <c r="A1619" s="159"/>
      <c r="B1619" s="158"/>
    </row>
    <row r="1620">
      <c r="A1620" s="159"/>
      <c r="B1620" s="158"/>
    </row>
    <row r="1621">
      <c r="A1621" s="159"/>
      <c r="B1621" s="158"/>
    </row>
    <row r="1622">
      <c r="A1622" s="159"/>
      <c r="B1622" s="158"/>
    </row>
    <row r="1623">
      <c r="A1623" s="159"/>
      <c r="B1623" s="158"/>
    </row>
    <row r="1624">
      <c r="A1624" s="159"/>
      <c r="B1624" s="158"/>
    </row>
    <row r="1625">
      <c r="A1625" s="159"/>
      <c r="B1625" s="158"/>
    </row>
    <row r="1626">
      <c r="A1626" s="159"/>
      <c r="B1626" s="158"/>
    </row>
    <row r="1627">
      <c r="A1627" s="159"/>
      <c r="B1627" s="158"/>
    </row>
    <row r="1628">
      <c r="A1628" s="159"/>
      <c r="B1628" s="158"/>
    </row>
    <row r="1629">
      <c r="A1629" s="159"/>
      <c r="B1629" s="158"/>
    </row>
    <row r="1630">
      <c r="A1630" s="159"/>
      <c r="B1630" s="158"/>
    </row>
    <row r="1631">
      <c r="A1631" s="159"/>
      <c r="B1631" s="158"/>
    </row>
    <row r="1632">
      <c r="A1632" s="159"/>
      <c r="B1632" s="158"/>
    </row>
    <row r="1633">
      <c r="A1633" s="159"/>
      <c r="B1633" s="158"/>
    </row>
    <row r="1634">
      <c r="A1634" s="159"/>
      <c r="B1634" s="158"/>
    </row>
    <row r="1635">
      <c r="A1635" s="159"/>
      <c r="B1635" s="158"/>
    </row>
    <row r="1636">
      <c r="A1636" s="159"/>
      <c r="B1636" s="158"/>
    </row>
    <row r="1637">
      <c r="A1637" s="159"/>
      <c r="B1637" s="158"/>
    </row>
    <row r="1638">
      <c r="A1638" s="159"/>
      <c r="B1638" s="158"/>
    </row>
    <row r="1639">
      <c r="A1639" s="159"/>
      <c r="B1639" s="158"/>
    </row>
    <row r="1640">
      <c r="A1640" s="159"/>
      <c r="B1640" s="158"/>
    </row>
    <row r="1641">
      <c r="A1641" s="159"/>
      <c r="B1641" s="158"/>
    </row>
    <row r="1642">
      <c r="A1642" s="159"/>
      <c r="B1642" s="158"/>
    </row>
    <row r="1643">
      <c r="A1643" s="159"/>
      <c r="B1643" s="158"/>
    </row>
    <row r="1644">
      <c r="A1644" s="159"/>
      <c r="B1644" s="158"/>
    </row>
    <row r="1645">
      <c r="A1645" s="159"/>
      <c r="B1645" s="158"/>
    </row>
    <row r="1646">
      <c r="A1646" s="159"/>
      <c r="B1646" s="158"/>
    </row>
    <row r="1647">
      <c r="A1647" s="159"/>
      <c r="B1647" s="158"/>
    </row>
    <row r="1648">
      <c r="A1648" s="159"/>
      <c r="B1648" s="158"/>
    </row>
    <row r="1649">
      <c r="A1649" s="159"/>
      <c r="B1649" s="158"/>
    </row>
    <row r="1650">
      <c r="A1650" s="159"/>
      <c r="B1650" s="158"/>
    </row>
    <row r="1651">
      <c r="A1651" s="159"/>
      <c r="B1651" s="158"/>
    </row>
    <row r="1652">
      <c r="A1652" s="159"/>
      <c r="B1652" s="158"/>
    </row>
    <row r="1653">
      <c r="A1653" s="159"/>
      <c r="B1653" s="158"/>
    </row>
    <row r="1654">
      <c r="A1654" s="159"/>
      <c r="B1654" s="158"/>
    </row>
    <row r="1655">
      <c r="A1655" s="159"/>
      <c r="B1655" s="158"/>
    </row>
    <row r="1656">
      <c r="A1656" s="159"/>
      <c r="B1656" s="158"/>
    </row>
    <row r="1657">
      <c r="A1657" s="159"/>
      <c r="B1657" s="158"/>
    </row>
    <row r="1658">
      <c r="A1658" s="159"/>
      <c r="B1658" s="158"/>
    </row>
    <row r="1659">
      <c r="A1659" s="159"/>
      <c r="B1659" s="158"/>
    </row>
    <row r="1660">
      <c r="A1660" s="159"/>
      <c r="B1660" s="158"/>
    </row>
    <row r="1661">
      <c r="A1661" s="159"/>
      <c r="B1661" s="158"/>
    </row>
    <row r="1662">
      <c r="A1662" s="159"/>
      <c r="B1662" s="158"/>
    </row>
    <row r="1663">
      <c r="A1663" s="159"/>
      <c r="B1663" s="158"/>
    </row>
    <row r="1664">
      <c r="A1664" s="159"/>
      <c r="B1664" s="158"/>
    </row>
    <row r="1665">
      <c r="A1665" s="159"/>
      <c r="B1665" s="158"/>
    </row>
    <row r="1666">
      <c r="A1666" s="159"/>
      <c r="B1666" s="158"/>
    </row>
    <row r="1667">
      <c r="A1667" s="159"/>
      <c r="B1667" s="158"/>
    </row>
    <row r="1668">
      <c r="A1668" s="159"/>
      <c r="B1668" s="158"/>
    </row>
    <row r="1669">
      <c r="A1669" s="159"/>
      <c r="B1669" s="158"/>
    </row>
    <row r="1670">
      <c r="A1670" s="159"/>
      <c r="B1670" s="158"/>
    </row>
    <row r="1671">
      <c r="A1671" s="159"/>
      <c r="B1671" s="158"/>
    </row>
    <row r="1672">
      <c r="A1672" s="159"/>
      <c r="B1672" s="158"/>
    </row>
    <row r="1673">
      <c r="A1673" s="159"/>
      <c r="B1673" s="158"/>
    </row>
    <row r="1674">
      <c r="A1674" s="159"/>
      <c r="B1674" s="158"/>
    </row>
    <row r="1675">
      <c r="A1675" s="159"/>
      <c r="B1675" s="158"/>
    </row>
    <row r="1676">
      <c r="A1676" s="159"/>
      <c r="B1676" s="158"/>
    </row>
    <row r="1677">
      <c r="A1677" s="159"/>
      <c r="B1677" s="158"/>
    </row>
    <row r="1678">
      <c r="A1678" s="159"/>
      <c r="B1678" s="158"/>
    </row>
    <row r="1679">
      <c r="A1679" s="159"/>
      <c r="B1679" s="158"/>
    </row>
    <row r="1680">
      <c r="A1680" s="159"/>
      <c r="B1680" s="158"/>
    </row>
    <row r="1681">
      <c r="A1681" s="159"/>
      <c r="B1681" s="158"/>
    </row>
    <row r="1682">
      <c r="A1682" s="159"/>
      <c r="B1682" s="158"/>
    </row>
    <row r="1683">
      <c r="A1683" s="159"/>
      <c r="B1683" s="158"/>
    </row>
    <row r="1684">
      <c r="A1684" s="159"/>
      <c r="B1684" s="158"/>
    </row>
    <row r="1685">
      <c r="A1685" s="159"/>
      <c r="B1685" s="158"/>
    </row>
    <row r="1686">
      <c r="A1686" s="159"/>
      <c r="B1686" s="158"/>
    </row>
    <row r="1687">
      <c r="A1687" s="159"/>
      <c r="B1687" s="158"/>
    </row>
    <row r="1688">
      <c r="A1688" s="159"/>
      <c r="B1688" s="158"/>
    </row>
    <row r="1689">
      <c r="A1689" s="159"/>
      <c r="B1689" s="158"/>
    </row>
    <row r="1690">
      <c r="A1690" s="159"/>
      <c r="B1690" s="158"/>
    </row>
    <row r="1691">
      <c r="A1691" s="159"/>
      <c r="B1691" s="158"/>
    </row>
    <row r="1692">
      <c r="A1692" s="159"/>
      <c r="B1692" s="158"/>
    </row>
    <row r="1693">
      <c r="A1693" s="159"/>
      <c r="B1693" s="158"/>
    </row>
    <row r="1694">
      <c r="A1694" s="159"/>
      <c r="B1694" s="158"/>
    </row>
    <row r="1695">
      <c r="A1695" s="159"/>
      <c r="B1695" s="158"/>
    </row>
    <row r="1696">
      <c r="A1696" s="159"/>
      <c r="B1696" s="158"/>
    </row>
    <row r="1697">
      <c r="A1697" s="159"/>
      <c r="B1697" s="158"/>
    </row>
    <row r="1698">
      <c r="A1698" s="159"/>
      <c r="B1698" s="158"/>
    </row>
    <row r="1699">
      <c r="A1699" s="159"/>
      <c r="B1699" s="158"/>
    </row>
    <row r="1700">
      <c r="A1700" s="159"/>
      <c r="B1700" s="158"/>
    </row>
    <row r="1701">
      <c r="A1701" s="159"/>
      <c r="B1701" s="158"/>
    </row>
    <row r="1702">
      <c r="A1702" s="159"/>
      <c r="B1702" s="158"/>
    </row>
    <row r="1703">
      <c r="A1703" s="159"/>
      <c r="B1703" s="158"/>
    </row>
    <row r="1704">
      <c r="A1704" s="159"/>
      <c r="B1704" s="158"/>
    </row>
    <row r="1705">
      <c r="A1705" s="159"/>
      <c r="B1705" s="158"/>
    </row>
    <row r="1706">
      <c r="A1706" s="159"/>
      <c r="B1706" s="158"/>
    </row>
    <row r="1707">
      <c r="A1707" s="159"/>
      <c r="B1707" s="158"/>
    </row>
    <row r="1708">
      <c r="A1708" s="159"/>
      <c r="B1708" s="158"/>
    </row>
    <row r="1709">
      <c r="A1709" s="159"/>
      <c r="B1709" s="158"/>
    </row>
    <row r="1710">
      <c r="A1710" s="159"/>
      <c r="B1710" s="158"/>
    </row>
    <row r="1711">
      <c r="A1711" s="159"/>
      <c r="B1711" s="158"/>
    </row>
    <row r="1712">
      <c r="A1712" s="159"/>
      <c r="B1712" s="158"/>
    </row>
    <row r="1713">
      <c r="A1713" s="159"/>
      <c r="B1713" s="158"/>
    </row>
    <row r="1714">
      <c r="A1714" s="159"/>
      <c r="B1714" s="158"/>
    </row>
    <row r="1715">
      <c r="A1715" s="159"/>
      <c r="B1715" s="158"/>
    </row>
    <row r="1716">
      <c r="A1716" s="159"/>
      <c r="B1716" s="158"/>
    </row>
    <row r="1717">
      <c r="A1717" s="159"/>
      <c r="B1717" s="158"/>
    </row>
    <row r="1718">
      <c r="A1718" s="159"/>
      <c r="B1718" s="158"/>
    </row>
    <row r="1719">
      <c r="A1719" s="159"/>
      <c r="B1719" s="158"/>
    </row>
    <row r="1720">
      <c r="A1720" s="159"/>
      <c r="B1720" s="158"/>
    </row>
    <row r="1721">
      <c r="A1721" s="159"/>
      <c r="B1721" s="158"/>
    </row>
    <row r="1722">
      <c r="A1722" s="159"/>
      <c r="B1722" s="158"/>
    </row>
    <row r="1723">
      <c r="A1723" s="159"/>
      <c r="B1723" s="158"/>
    </row>
    <row r="1724">
      <c r="A1724" s="159"/>
      <c r="B1724" s="158"/>
    </row>
    <row r="1725">
      <c r="A1725" s="159"/>
      <c r="B1725" s="158"/>
    </row>
    <row r="1726">
      <c r="A1726" s="159"/>
      <c r="B1726" s="158"/>
    </row>
    <row r="1727">
      <c r="A1727" s="159"/>
      <c r="B1727" s="158"/>
    </row>
    <row r="1728">
      <c r="A1728" s="159"/>
      <c r="B1728" s="158"/>
    </row>
    <row r="1729">
      <c r="A1729" s="159"/>
      <c r="B1729" s="158"/>
    </row>
    <row r="1730">
      <c r="A1730" s="159"/>
      <c r="B1730" s="158"/>
    </row>
    <row r="1731">
      <c r="A1731" s="159"/>
      <c r="B1731" s="158"/>
    </row>
    <row r="1732">
      <c r="A1732" s="159"/>
      <c r="B1732" s="158"/>
    </row>
    <row r="1733">
      <c r="A1733" s="159"/>
      <c r="B1733" s="158"/>
    </row>
    <row r="1734">
      <c r="A1734" s="159"/>
      <c r="B1734" s="158"/>
    </row>
    <row r="1735">
      <c r="A1735" s="159"/>
      <c r="B1735" s="158"/>
    </row>
    <row r="1736">
      <c r="A1736" s="159"/>
      <c r="B1736" s="158"/>
    </row>
    <row r="1737">
      <c r="A1737" s="159"/>
      <c r="B1737" s="158"/>
    </row>
    <row r="1738">
      <c r="A1738" s="159"/>
      <c r="B1738" s="158"/>
    </row>
    <row r="1739">
      <c r="A1739" s="159"/>
      <c r="B1739" s="158"/>
    </row>
    <row r="1740">
      <c r="A1740" s="159"/>
      <c r="B1740" s="158"/>
    </row>
    <row r="1741">
      <c r="A1741" s="159"/>
      <c r="B1741" s="158"/>
    </row>
    <row r="1742">
      <c r="A1742" s="159"/>
      <c r="B1742" s="158"/>
    </row>
    <row r="1743">
      <c r="A1743" s="159"/>
      <c r="B1743" s="158"/>
    </row>
    <row r="1744">
      <c r="A1744" s="159"/>
      <c r="B1744" s="158"/>
    </row>
    <row r="1745">
      <c r="A1745" s="159"/>
      <c r="B1745" s="158"/>
    </row>
    <row r="1746">
      <c r="A1746" s="159"/>
      <c r="B1746" s="158"/>
    </row>
    <row r="1747">
      <c r="A1747" s="159"/>
      <c r="B1747" s="158"/>
    </row>
    <row r="1748">
      <c r="A1748" s="159"/>
      <c r="B1748" s="158"/>
    </row>
    <row r="1749">
      <c r="A1749" s="159"/>
      <c r="B1749" s="158"/>
    </row>
    <row r="1750">
      <c r="A1750" s="159"/>
      <c r="B1750" s="158"/>
    </row>
    <row r="1751">
      <c r="A1751" s="159"/>
      <c r="B1751" s="158"/>
    </row>
    <row r="1752">
      <c r="A1752" s="159"/>
      <c r="B1752" s="158"/>
    </row>
    <row r="1753">
      <c r="A1753" s="159"/>
      <c r="B1753" s="158"/>
    </row>
    <row r="1754">
      <c r="A1754" s="159"/>
      <c r="B1754" s="158"/>
    </row>
    <row r="1755">
      <c r="A1755" s="159"/>
      <c r="B1755" s="158"/>
    </row>
    <row r="1756">
      <c r="A1756" s="159"/>
      <c r="B1756" s="158"/>
    </row>
    <row r="1757">
      <c r="A1757" s="159"/>
      <c r="B1757" s="158"/>
    </row>
    <row r="1758">
      <c r="A1758" s="159"/>
      <c r="B1758" s="158"/>
    </row>
    <row r="1759">
      <c r="A1759" s="159"/>
      <c r="B1759" s="158"/>
    </row>
    <row r="1760">
      <c r="A1760" s="159"/>
      <c r="B1760" s="158"/>
    </row>
    <row r="1761">
      <c r="A1761" s="159"/>
      <c r="B1761" s="158"/>
    </row>
    <row r="1762">
      <c r="A1762" s="159"/>
      <c r="B1762" s="158"/>
    </row>
    <row r="1763">
      <c r="A1763" s="159"/>
      <c r="B1763" s="158"/>
    </row>
    <row r="1764">
      <c r="A1764" s="159"/>
      <c r="B1764" s="158"/>
    </row>
    <row r="1765">
      <c r="A1765" s="159"/>
      <c r="B1765" s="158"/>
    </row>
    <row r="1766">
      <c r="A1766" s="159"/>
      <c r="B1766" s="158"/>
    </row>
    <row r="1767">
      <c r="A1767" s="159"/>
      <c r="B1767" s="158"/>
    </row>
    <row r="1768">
      <c r="A1768" s="159"/>
      <c r="B1768" s="158"/>
    </row>
    <row r="1769">
      <c r="A1769" s="159"/>
      <c r="B1769" s="158"/>
    </row>
    <row r="1770">
      <c r="A1770" s="159"/>
      <c r="B1770" s="158"/>
    </row>
    <row r="1771">
      <c r="A1771" s="159"/>
      <c r="B1771" s="158"/>
    </row>
    <row r="1772">
      <c r="A1772" s="159"/>
      <c r="B1772" s="158"/>
    </row>
    <row r="1773">
      <c r="A1773" s="159"/>
      <c r="B1773" s="158"/>
    </row>
    <row r="1774">
      <c r="A1774" s="159"/>
      <c r="B1774" s="158"/>
    </row>
    <row r="1775">
      <c r="A1775" s="159"/>
      <c r="B1775" s="158"/>
    </row>
    <row r="1776">
      <c r="A1776" s="159"/>
      <c r="B1776" s="158"/>
    </row>
    <row r="1777">
      <c r="A1777" s="159"/>
      <c r="B1777" s="158"/>
    </row>
    <row r="1778">
      <c r="A1778" s="159"/>
      <c r="B1778" s="158"/>
    </row>
    <row r="1779">
      <c r="A1779" s="159"/>
      <c r="B1779" s="158"/>
    </row>
    <row r="1780">
      <c r="A1780" s="159"/>
      <c r="B1780" s="158"/>
    </row>
    <row r="1781">
      <c r="A1781" s="159"/>
      <c r="B1781" s="158"/>
    </row>
    <row r="1782">
      <c r="A1782" s="159"/>
      <c r="B1782" s="158"/>
    </row>
    <row r="1783">
      <c r="A1783" s="159"/>
      <c r="B1783" s="158"/>
    </row>
    <row r="1784">
      <c r="A1784" s="159"/>
      <c r="B1784" s="158"/>
    </row>
    <row r="1785">
      <c r="A1785" s="159"/>
      <c r="B1785" s="158"/>
    </row>
    <row r="1786">
      <c r="A1786" s="159"/>
      <c r="B1786" s="158"/>
    </row>
    <row r="1787">
      <c r="A1787" s="159"/>
      <c r="B1787" s="158"/>
    </row>
    <row r="1788">
      <c r="A1788" s="159"/>
      <c r="B1788" s="158"/>
    </row>
    <row r="1789">
      <c r="A1789" s="159"/>
      <c r="B1789" s="158"/>
    </row>
    <row r="1790">
      <c r="A1790" s="159"/>
      <c r="B1790" s="158"/>
    </row>
    <row r="1791">
      <c r="A1791" s="159"/>
      <c r="B1791" s="158"/>
    </row>
    <row r="1792">
      <c r="A1792" s="159"/>
      <c r="B1792" s="158"/>
    </row>
    <row r="1793">
      <c r="A1793" s="159"/>
      <c r="B1793" s="158"/>
    </row>
    <row r="1794">
      <c r="A1794" s="159"/>
      <c r="B1794" s="158"/>
    </row>
    <row r="1795">
      <c r="A1795" s="159"/>
      <c r="B1795" s="158"/>
    </row>
    <row r="1796">
      <c r="A1796" s="159"/>
      <c r="B1796" s="158"/>
    </row>
    <row r="1797">
      <c r="A1797" s="159"/>
      <c r="B1797" s="158"/>
    </row>
    <row r="1798">
      <c r="A1798" s="159"/>
      <c r="B1798" s="158"/>
    </row>
    <row r="1799">
      <c r="A1799" s="159"/>
      <c r="B1799" s="158"/>
    </row>
    <row r="1800">
      <c r="A1800" s="159"/>
      <c r="B1800" s="158"/>
    </row>
    <row r="1801">
      <c r="A1801" s="159"/>
      <c r="B1801" s="158"/>
    </row>
    <row r="1802">
      <c r="A1802" s="159"/>
      <c r="B1802" s="158"/>
    </row>
    <row r="1803">
      <c r="A1803" s="159"/>
      <c r="B1803" s="158"/>
    </row>
    <row r="1804">
      <c r="A1804" s="159"/>
      <c r="B1804" s="158"/>
    </row>
    <row r="1805">
      <c r="A1805" s="159"/>
      <c r="B1805" s="158"/>
    </row>
    <row r="1806">
      <c r="A1806" s="159"/>
      <c r="B1806" s="158"/>
    </row>
    <row r="1807">
      <c r="A1807" s="159"/>
      <c r="B1807" s="158"/>
    </row>
    <row r="1808">
      <c r="A1808" s="159"/>
      <c r="B1808" s="158"/>
    </row>
    <row r="1809">
      <c r="A1809" s="159"/>
      <c r="B1809" s="158"/>
    </row>
    <row r="1810">
      <c r="A1810" s="159"/>
      <c r="B1810" s="158"/>
    </row>
    <row r="1811">
      <c r="A1811" s="159"/>
      <c r="B1811" s="158"/>
    </row>
    <row r="1812">
      <c r="A1812" s="159"/>
      <c r="B1812" s="158"/>
    </row>
    <row r="1813">
      <c r="A1813" s="159"/>
      <c r="B1813" s="158"/>
    </row>
    <row r="1814">
      <c r="A1814" s="159"/>
      <c r="B1814" s="158"/>
    </row>
    <row r="1815">
      <c r="A1815" s="159"/>
      <c r="B1815" s="158"/>
    </row>
    <row r="1816">
      <c r="A1816" s="159"/>
      <c r="B1816" s="158"/>
    </row>
    <row r="1817">
      <c r="A1817" s="159"/>
      <c r="B1817" s="158"/>
    </row>
    <row r="1818">
      <c r="A1818" s="159"/>
      <c r="B1818" s="158"/>
    </row>
    <row r="1819">
      <c r="A1819" s="159"/>
      <c r="B1819" s="158"/>
    </row>
    <row r="1820">
      <c r="A1820" s="159"/>
      <c r="B1820" s="158"/>
    </row>
    <row r="1821">
      <c r="A1821" s="159"/>
      <c r="B1821" s="158"/>
    </row>
    <row r="1822">
      <c r="A1822" s="159"/>
      <c r="B1822" s="158"/>
    </row>
    <row r="1823">
      <c r="A1823" s="159"/>
      <c r="B1823" s="158"/>
    </row>
    <row r="1824">
      <c r="A1824" s="159"/>
      <c r="B1824" s="158"/>
    </row>
    <row r="1825">
      <c r="A1825" s="159"/>
      <c r="B1825" s="158"/>
    </row>
    <row r="1826">
      <c r="A1826" s="159"/>
      <c r="B1826" s="158"/>
    </row>
    <row r="1827">
      <c r="A1827" s="159"/>
      <c r="B1827" s="158"/>
    </row>
    <row r="1828">
      <c r="A1828" s="159"/>
      <c r="B1828" s="158"/>
    </row>
    <row r="1829">
      <c r="A1829" s="159"/>
      <c r="B1829" s="158"/>
    </row>
    <row r="1830">
      <c r="A1830" s="159"/>
      <c r="B1830" s="158"/>
    </row>
    <row r="1831">
      <c r="A1831" s="159"/>
      <c r="B1831" s="158"/>
    </row>
    <row r="1832">
      <c r="A1832" s="159"/>
      <c r="B1832" s="158"/>
    </row>
    <row r="1833">
      <c r="A1833" s="159"/>
      <c r="B1833" s="158"/>
    </row>
    <row r="1834">
      <c r="A1834" s="159"/>
      <c r="B1834" s="158"/>
    </row>
    <row r="1835">
      <c r="A1835" s="159"/>
      <c r="B1835" s="158"/>
    </row>
    <row r="1836">
      <c r="A1836" s="159"/>
      <c r="B1836" s="158"/>
    </row>
    <row r="1837">
      <c r="A1837" s="159"/>
      <c r="B1837" s="158"/>
    </row>
    <row r="1838">
      <c r="A1838" s="159"/>
      <c r="B1838" s="158"/>
    </row>
    <row r="1839">
      <c r="A1839" s="159"/>
      <c r="B1839" s="158"/>
    </row>
    <row r="1840">
      <c r="A1840" s="159"/>
      <c r="B1840" s="158"/>
    </row>
    <row r="1841">
      <c r="A1841" s="159"/>
      <c r="B1841" s="158"/>
    </row>
    <row r="1842">
      <c r="A1842" s="159"/>
      <c r="B1842" s="158"/>
    </row>
    <row r="1843">
      <c r="A1843" s="159"/>
      <c r="B1843" s="158"/>
    </row>
    <row r="1844">
      <c r="A1844" s="159"/>
      <c r="B1844" s="158"/>
    </row>
    <row r="1845">
      <c r="A1845" s="159"/>
      <c r="B1845" s="158"/>
    </row>
    <row r="1846">
      <c r="A1846" s="159"/>
      <c r="B1846" s="158"/>
    </row>
    <row r="1847">
      <c r="A1847" s="159"/>
      <c r="B1847" s="158"/>
    </row>
    <row r="1848">
      <c r="A1848" s="159"/>
      <c r="B1848" s="158"/>
    </row>
    <row r="1849">
      <c r="A1849" s="159"/>
      <c r="B1849" s="158"/>
    </row>
    <row r="1850">
      <c r="A1850" s="159"/>
      <c r="B1850" s="158"/>
    </row>
    <row r="1851">
      <c r="A1851" s="159"/>
      <c r="B1851" s="158"/>
    </row>
    <row r="1852">
      <c r="A1852" s="159"/>
      <c r="B1852" s="158"/>
    </row>
    <row r="1853">
      <c r="A1853" s="159"/>
      <c r="B1853" s="158"/>
    </row>
    <row r="1854">
      <c r="A1854" s="159"/>
      <c r="B1854" s="158"/>
    </row>
    <row r="1855">
      <c r="A1855" s="159"/>
      <c r="B1855" s="158"/>
    </row>
    <row r="1856">
      <c r="A1856" s="159"/>
      <c r="B1856" s="158"/>
    </row>
    <row r="1857">
      <c r="A1857" s="159"/>
      <c r="B1857" s="158"/>
    </row>
    <row r="1858">
      <c r="A1858" s="159"/>
      <c r="B1858" s="158"/>
    </row>
    <row r="1859">
      <c r="A1859" s="159"/>
      <c r="B1859" s="158"/>
    </row>
    <row r="1860">
      <c r="A1860" s="159"/>
      <c r="B1860" s="158"/>
    </row>
    <row r="1861">
      <c r="A1861" s="159"/>
      <c r="B1861" s="158"/>
    </row>
    <row r="1862">
      <c r="A1862" s="159"/>
      <c r="B1862" s="158"/>
    </row>
    <row r="1863">
      <c r="A1863" s="159"/>
      <c r="B1863" s="158"/>
    </row>
    <row r="1864">
      <c r="A1864" s="159"/>
      <c r="B1864" s="158"/>
    </row>
    <row r="1865">
      <c r="A1865" s="159"/>
      <c r="B1865" s="158"/>
    </row>
    <row r="1866">
      <c r="A1866" s="159"/>
      <c r="B1866" s="158"/>
    </row>
    <row r="1867">
      <c r="A1867" s="159"/>
      <c r="B1867" s="158"/>
    </row>
    <row r="1868">
      <c r="A1868" s="159"/>
      <c r="B1868" s="158"/>
    </row>
    <row r="1869">
      <c r="A1869" s="159"/>
      <c r="B1869" s="158"/>
    </row>
    <row r="1870">
      <c r="A1870" s="159"/>
      <c r="B1870" s="158"/>
    </row>
    <row r="1871">
      <c r="A1871" s="159"/>
      <c r="B1871" s="158"/>
    </row>
    <row r="1872">
      <c r="A1872" s="159"/>
      <c r="B1872" s="158"/>
    </row>
    <row r="1873">
      <c r="A1873" s="159"/>
      <c r="B1873" s="158"/>
    </row>
    <row r="1874">
      <c r="A1874" s="159"/>
      <c r="B1874" s="158"/>
    </row>
    <row r="1875">
      <c r="A1875" s="159"/>
      <c r="B1875" s="158"/>
    </row>
    <row r="1876">
      <c r="A1876" s="159"/>
      <c r="B1876" s="158"/>
    </row>
    <row r="1877">
      <c r="A1877" s="159"/>
      <c r="B1877" s="158"/>
    </row>
    <row r="1878">
      <c r="A1878" s="159"/>
      <c r="B1878" s="158"/>
    </row>
    <row r="1879">
      <c r="A1879" s="159"/>
      <c r="B1879" s="158"/>
    </row>
    <row r="1880">
      <c r="A1880" s="159"/>
      <c r="B1880" s="158"/>
    </row>
    <row r="1881">
      <c r="A1881" s="159"/>
      <c r="B1881" s="158"/>
    </row>
    <row r="1882">
      <c r="A1882" s="159"/>
      <c r="B1882" s="158"/>
    </row>
    <row r="1883">
      <c r="A1883" s="159"/>
      <c r="B1883" s="158"/>
    </row>
    <row r="1884">
      <c r="A1884" s="159"/>
      <c r="B1884" s="158"/>
    </row>
    <row r="1885">
      <c r="A1885" s="159"/>
      <c r="B1885" s="158"/>
    </row>
    <row r="1886">
      <c r="A1886" s="159"/>
      <c r="B1886" s="158"/>
    </row>
    <row r="1887">
      <c r="A1887" s="159"/>
      <c r="B1887" s="158"/>
    </row>
    <row r="1888">
      <c r="A1888" s="159"/>
      <c r="B1888" s="158"/>
    </row>
    <row r="1889">
      <c r="A1889" s="159"/>
      <c r="B1889" s="158"/>
    </row>
    <row r="1890">
      <c r="A1890" s="159"/>
      <c r="B1890" s="158"/>
    </row>
    <row r="1891">
      <c r="A1891" s="159"/>
      <c r="B1891" s="158"/>
    </row>
    <row r="1892">
      <c r="A1892" s="159"/>
      <c r="B1892" s="158"/>
    </row>
    <row r="1893">
      <c r="A1893" s="159"/>
      <c r="B1893" s="158"/>
    </row>
    <row r="1894">
      <c r="A1894" s="159"/>
      <c r="B1894" s="158"/>
    </row>
    <row r="1895">
      <c r="A1895" s="159"/>
      <c r="B1895" s="158"/>
    </row>
    <row r="1896">
      <c r="A1896" s="159"/>
      <c r="B1896" s="158"/>
    </row>
    <row r="1897">
      <c r="A1897" s="159"/>
      <c r="B1897" s="158"/>
    </row>
    <row r="1898">
      <c r="A1898" s="159"/>
      <c r="B1898" s="158"/>
    </row>
    <row r="1899">
      <c r="A1899" s="159"/>
      <c r="B1899" s="158"/>
    </row>
    <row r="1900">
      <c r="A1900" s="159"/>
      <c r="B1900" s="158"/>
    </row>
    <row r="1901">
      <c r="A1901" s="159"/>
      <c r="B1901" s="158"/>
    </row>
    <row r="1902">
      <c r="A1902" s="159"/>
      <c r="B1902" s="158"/>
    </row>
    <row r="1903">
      <c r="A1903" s="159"/>
      <c r="B1903" s="158"/>
    </row>
    <row r="1904">
      <c r="A1904" s="159"/>
      <c r="B1904" s="158"/>
    </row>
    <row r="1905">
      <c r="A1905" s="159"/>
      <c r="B1905" s="158"/>
    </row>
    <row r="1906">
      <c r="A1906" s="159"/>
      <c r="B1906" s="158"/>
    </row>
    <row r="1907">
      <c r="A1907" s="159"/>
      <c r="B1907" s="158"/>
    </row>
    <row r="1908">
      <c r="A1908" s="159"/>
      <c r="B1908" s="158"/>
    </row>
    <row r="1909">
      <c r="A1909" s="159"/>
      <c r="B1909" s="158"/>
    </row>
    <row r="1910">
      <c r="A1910" s="159"/>
      <c r="B1910" s="158"/>
    </row>
    <row r="1911">
      <c r="A1911" s="159"/>
      <c r="B1911" s="158"/>
    </row>
    <row r="1912">
      <c r="A1912" s="159"/>
      <c r="B1912" s="158"/>
    </row>
    <row r="1913">
      <c r="A1913" s="159"/>
      <c r="B1913" s="158"/>
    </row>
    <row r="1914">
      <c r="A1914" s="159"/>
      <c r="B1914" s="158"/>
    </row>
    <row r="1915">
      <c r="A1915" s="159"/>
      <c r="B1915" s="158"/>
    </row>
    <row r="1916">
      <c r="A1916" s="159"/>
      <c r="B1916" s="158"/>
    </row>
    <row r="1917">
      <c r="A1917" s="159"/>
      <c r="B1917" s="158"/>
    </row>
    <row r="1918">
      <c r="A1918" s="159"/>
      <c r="B1918" s="158"/>
    </row>
    <row r="1919">
      <c r="A1919" s="159"/>
      <c r="B1919" s="158"/>
    </row>
    <row r="1920">
      <c r="A1920" s="159"/>
      <c r="B1920" s="158"/>
    </row>
    <row r="1921">
      <c r="A1921" s="159"/>
      <c r="B1921" s="158"/>
    </row>
    <row r="1922">
      <c r="A1922" s="159"/>
      <c r="B1922" s="158"/>
    </row>
    <row r="1923">
      <c r="A1923" s="159"/>
      <c r="B1923" s="158"/>
    </row>
    <row r="1924">
      <c r="A1924" s="159"/>
      <c r="B1924" s="158"/>
    </row>
    <row r="1925">
      <c r="A1925" s="159"/>
      <c r="B1925" s="158"/>
    </row>
    <row r="1926">
      <c r="A1926" s="159"/>
      <c r="B1926" s="158"/>
    </row>
    <row r="1927">
      <c r="A1927" s="159"/>
      <c r="B1927" s="158"/>
    </row>
    <row r="1928">
      <c r="A1928" s="159"/>
      <c r="B1928" s="158"/>
    </row>
    <row r="1929">
      <c r="A1929" s="159"/>
      <c r="B1929" s="158"/>
    </row>
    <row r="1930">
      <c r="A1930" s="159"/>
      <c r="B1930" s="158"/>
    </row>
    <row r="1931">
      <c r="A1931" s="159"/>
      <c r="B1931" s="158"/>
    </row>
    <row r="1932">
      <c r="A1932" s="159"/>
      <c r="B1932" s="158"/>
    </row>
    <row r="1933">
      <c r="A1933" s="159"/>
      <c r="B1933" s="158"/>
    </row>
    <row r="1934">
      <c r="A1934" s="159"/>
      <c r="B1934" s="158"/>
    </row>
    <row r="1935">
      <c r="A1935" s="159"/>
      <c r="B1935" s="158"/>
    </row>
    <row r="1936">
      <c r="A1936" s="159"/>
      <c r="B1936" s="158"/>
    </row>
    <row r="1937">
      <c r="A1937" s="159"/>
      <c r="B1937" s="158"/>
    </row>
    <row r="1938">
      <c r="A1938" s="159"/>
      <c r="B1938" s="158"/>
    </row>
    <row r="1939">
      <c r="A1939" s="159"/>
      <c r="B1939" s="158"/>
    </row>
    <row r="1940">
      <c r="A1940" s="159"/>
      <c r="B1940" s="158"/>
    </row>
    <row r="1941">
      <c r="A1941" s="159"/>
      <c r="B1941" s="158"/>
    </row>
    <row r="1942">
      <c r="A1942" s="159"/>
      <c r="B1942" s="158"/>
    </row>
    <row r="1943">
      <c r="A1943" s="159"/>
      <c r="B1943" s="158"/>
    </row>
    <row r="1944">
      <c r="A1944" s="159"/>
      <c r="B1944" s="158"/>
    </row>
    <row r="1945">
      <c r="A1945" s="159"/>
      <c r="B1945" s="158"/>
    </row>
    <row r="1946">
      <c r="A1946" s="159"/>
      <c r="B1946" s="158"/>
    </row>
    <row r="1947">
      <c r="A1947" s="159"/>
      <c r="B1947" s="158"/>
    </row>
    <row r="1948">
      <c r="A1948" s="159"/>
      <c r="B1948" s="158"/>
    </row>
    <row r="1949">
      <c r="A1949" s="159"/>
      <c r="B1949" s="158"/>
    </row>
    <row r="1950">
      <c r="A1950" s="159"/>
      <c r="B1950" s="158"/>
    </row>
    <row r="1951">
      <c r="A1951" s="159"/>
      <c r="B1951" s="158"/>
    </row>
    <row r="1952">
      <c r="A1952" s="159"/>
      <c r="B1952" s="158"/>
    </row>
    <row r="1953">
      <c r="A1953" s="159"/>
      <c r="B1953" s="158"/>
    </row>
    <row r="1954">
      <c r="A1954" s="159"/>
      <c r="B1954" s="158"/>
    </row>
    <row r="1955">
      <c r="A1955" s="159"/>
      <c r="B1955" s="158"/>
    </row>
    <row r="1956">
      <c r="A1956" s="159"/>
      <c r="B1956" s="158"/>
    </row>
    <row r="1957">
      <c r="A1957" s="159"/>
      <c r="B1957" s="158"/>
    </row>
    <row r="1958">
      <c r="A1958" s="159"/>
      <c r="B1958" s="158"/>
    </row>
    <row r="1959">
      <c r="A1959" s="159"/>
      <c r="B1959" s="158"/>
    </row>
    <row r="1960">
      <c r="A1960" s="159"/>
      <c r="B1960" s="158"/>
    </row>
    <row r="1961">
      <c r="A1961" s="159"/>
      <c r="B1961" s="158"/>
    </row>
    <row r="1962">
      <c r="A1962" s="159"/>
      <c r="B1962" s="158"/>
    </row>
    <row r="1963">
      <c r="A1963" s="159"/>
      <c r="B1963" s="158"/>
    </row>
    <row r="1964">
      <c r="A1964" s="159"/>
      <c r="B1964" s="158"/>
    </row>
    <row r="1965">
      <c r="A1965" s="159"/>
      <c r="B1965" s="158"/>
    </row>
    <row r="1966">
      <c r="A1966" s="159"/>
      <c r="B1966" s="158"/>
    </row>
    <row r="1967">
      <c r="A1967" s="159"/>
      <c r="B1967" s="158"/>
    </row>
    <row r="1968">
      <c r="A1968" s="159"/>
      <c r="B1968" s="158"/>
    </row>
    <row r="1969">
      <c r="A1969" s="159"/>
      <c r="B1969" s="158"/>
    </row>
    <row r="1970">
      <c r="A1970" s="159"/>
      <c r="B1970" s="158"/>
    </row>
    <row r="1971">
      <c r="A1971" s="159"/>
      <c r="B1971" s="158"/>
    </row>
    <row r="1972">
      <c r="A1972" s="159"/>
      <c r="B1972" s="158"/>
    </row>
    <row r="1973">
      <c r="A1973" s="159"/>
      <c r="B1973" s="158"/>
    </row>
    <row r="1974">
      <c r="A1974" s="159"/>
      <c r="B1974" s="158"/>
    </row>
    <row r="1975">
      <c r="A1975" s="159"/>
      <c r="B1975" s="158"/>
    </row>
    <row r="1976">
      <c r="A1976" s="159"/>
      <c r="B1976" s="158"/>
    </row>
    <row r="1977">
      <c r="A1977" s="159"/>
      <c r="B1977" s="158"/>
    </row>
    <row r="1978">
      <c r="A1978" s="159"/>
      <c r="B1978" s="158"/>
    </row>
    <row r="1979">
      <c r="A1979" s="159"/>
      <c r="B1979" s="158"/>
    </row>
    <row r="1980">
      <c r="A1980" s="159"/>
      <c r="B1980" s="158"/>
    </row>
    <row r="1981">
      <c r="A1981" s="159"/>
      <c r="B1981" s="158"/>
    </row>
    <row r="1982">
      <c r="A1982" s="159"/>
      <c r="B1982" s="158"/>
    </row>
    <row r="1983">
      <c r="A1983" s="159"/>
      <c r="B1983" s="158"/>
    </row>
    <row r="1984">
      <c r="A1984" s="159"/>
      <c r="B1984" s="158"/>
    </row>
    <row r="1985">
      <c r="A1985" s="159"/>
      <c r="B1985" s="158"/>
    </row>
    <row r="1986">
      <c r="A1986" s="159"/>
      <c r="B1986" s="158"/>
    </row>
    <row r="1987">
      <c r="A1987" s="159"/>
      <c r="B1987" s="158"/>
    </row>
    <row r="1988">
      <c r="A1988" s="159"/>
      <c r="B1988" s="158"/>
    </row>
    <row r="1989">
      <c r="A1989" s="159"/>
      <c r="B1989" s="158"/>
    </row>
    <row r="1990">
      <c r="A1990" s="159"/>
      <c r="B1990" s="158"/>
    </row>
    <row r="1991">
      <c r="A1991" s="159"/>
      <c r="B1991" s="158"/>
    </row>
    <row r="1992">
      <c r="A1992" s="159"/>
      <c r="B1992" s="158"/>
    </row>
    <row r="1993">
      <c r="A1993" s="159"/>
      <c r="B1993" s="158"/>
    </row>
    <row r="1994">
      <c r="A1994" s="159"/>
      <c r="B1994" s="158"/>
    </row>
    <row r="1995">
      <c r="A1995" s="159"/>
      <c r="B1995" s="158"/>
    </row>
    <row r="1996">
      <c r="A1996" s="159"/>
      <c r="B1996" s="158"/>
    </row>
    <row r="1997">
      <c r="A1997" s="159"/>
      <c r="B1997" s="158"/>
    </row>
    <row r="1998">
      <c r="A1998" s="159"/>
      <c r="B1998" s="158"/>
    </row>
    <row r="1999">
      <c r="A1999" s="159"/>
      <c r="B1999" s="158"/>
    </row>
    <row r="2000">
      <c r="A2000" s="159"/>
      <c r="B2000" s="158"/>
    </row>
    <row r="2001">
      <c r="A2001" s="159"/>
      <c r="B2001" s="158"/>
    </row>
    <row r="2002">
      <c r="A2002" s="159"/>
      <c r="B2002" s="158"/>
    </row>
    <row r="2003">
      <c r="A2003" s="159"/>
      <c r="B2003" s="158"/>
    </row>
    <row r="2004">
      <c r="A2004" s="159"/>
      <c r="B2004" s="158"/>
    </row>
    <row r="2005">
      <c r="A2005" s="159"/>
      <c r="B2005" s="158"/>
    </row>
    <row r="2006">
      <c r="A2006" s="159"/>
      <c r="B2006" s="158"/>
    </row>
    <row r="2007">
      <c r="A2007" s="159"/>
      <c r="B2007" s="158"/>
    </row>
    <row r="2008">
      <c r="A2008" s="159"/>
      <c r="B2008" s="158"/>
    </row>
    <row r="2009">
      <c r="A2009" s="159"/>
      <c r="B2009" s="158"/>
    </row>
    <row r="2010">
      <c r="A2010" s="159"/>
      <c r="B2010" s="158"/>
    </row>
    <row r="2011">
      <c r="A2011" s="159"/>
      <c r="B2011" s="158"/>
    </row>
    <row r="2012">
      <c r="A2012" s="159"/>
      <c r="B2012" s="158"/>
    </row>
    <row r="2013">
      <c r="A2013" s="159"/>
      <c r="B2013" s="158"/>
    </row>
    <row r="2014">
      <c r="A2014" s="159"/>
      <c r="B2014" s="158"/>
    </row>
    <row r="2015">
      <c r="A2015" s="159"/>
      <c r="B2015" s="158"/>
    </row>
    <row r="2016">
      <c r="A2016" s="159"/>
      <c r="B2016" s="158"/>
    </row>
    <row r="2017">
      <c r="A2017" s="159"/>
      <c r="B2017" s="158"/>
    </row>
    <row r="2018">
      <c r="A2018" s="159"/>
      <c r="B2018" s="158"/>
    </row>
    <row r="2019">
      <c r="A2019" s="159"/>
      <c r="B2019" s="158"/>
    </row>
    <row r="2020">
      <c r="A2020" s="159"/>
      <c r="B2020" s="158"/>
    </row>
    <row r="2021">
      <c r="A2021" s="159"/>
      <c r="B2021" s="158"/>
    </row>
    <row r="2022">
      <c r="A2022" s="159"/>
      <c r="B2022" s="158"/>
    </row>
    <row r="2023">
      <c r="A2023" s="159"/>
      <c r="B2023" s="158"/>
    </row>
    <row r="2024">
      <c r="A2024" s="159"/>
      <c r="B2024" s="158"/>
    </row>
    <row r="2025">
      <c r="A2025" s="159"/>
      <c r="B2025" s="158"/>
    </row>
    <row r="2026">
      <c r="A2026" s="159"/>
      <c r="B2026" s="158"/>
    </row>
    <row r="2027">
      <c r="A2027" s="159"/>
      <c r="B2027" s="158"/>
    </row>
    <row r="2028">
      <c r="A2028" s="159"/>
      <c r="B2028" s="158"/>
    </row>
    <row r="2029">
      <c r="A2029" s="159"/>
      <c r="B2029" s="158"/>
    </row>
    <row r="2030">
      <c r="A2030" s="159"/>
      <c r="B2030" s="158"/>
    </row>
    <row r="2031">
      <c r="A2031" s="159"/>
      <c r="B2031" s="158"/>
    </row>
    <row r="2032">
      <c r="A2032" s="159"/>
      <c r="B2032" s="158"/>
    </row>
    <row r="2033">
      <c r="A2033" s="159"/>
      <c r="B2033" s="158"/>
    </row>
    <row r="2034">
      <c r="A2034" s="159"/>
      <c r="B2034" s="158"/>
    </row>
    <row r="2035">
      <c r="A2035" s="159"/>
      <c r="B2035" s="158"/>
    </row>
    <row r="2036">
      <c r="A2036" s="159"/>
      <c r="B2036" s="158"/>
    </row>
    <row r="2037">
      <c r="A2037" s="159"/>
      <c r="B2037" s="158"/>
    </row>
    <row r="2038">
      <c r="A2038" s="159"/>
      <c r="B2038" s="158"/>
    </row>
    <row r="2039">
      <c r="A2039" s="159"/>
      <c r="B2039" s="158"/>
    </row>
    <row r="2040">
      <c r="A2040" s="159"/>
      <c r="B2040" s="158"/>
    </row>
    <row r="2041">
      <c r="A2041" s="159"/>
      <c r="B2041" s="158"/>
    </row>
    <row r="2042">
      <c r="A2042" s="159"/>
      <c r="B2042" s="158"/>
    </row>
    <row r="2043">
      <c r="A2043" s="159"/>
      <c r="B2043" s="158"/>
    </row>
    <row r="2044">
      <c r="A2044" s="159"/>
      <c r="B2044" s="158"/>
    </row>
    <row r="2045">
      <c r="A2045" s="159"/>
      <c r="B2045" s="158"/>
    </row>
    <row r="2046">
      <c r="A2046" s="159"/>
      <c r="B2046" s="158"/>
    </row>
    <row r="2047">
      <c r="A2047" s="159"/>
      <c r="B2047" s="158"/>
    </row>
    <row r="2048">
      <c r="A2048" s="159"/>
      <c r="B2048" s="158"/>
    </row>
    <row r="2049">
      <c r="A2049" s="159"/>
      <c r="B2049" s="158"/>
    </row>
    <row r="2050">
      <c r="A2050" s="159"/>
      <c r="B2050" s="158"/>
    </row>
    <row r="2051">
      <c r="A2051" s="159"/>
      <c r="B2051" s="158"/>
    </row>
    <row r="2052">
      <c r="A2052" s="159"/>
      <c r="B2052" s="158"/>
    </row>
    <row r="2053">
      <c r="A2053" s="159"/>
      <c r="B2053" s="158"/>
    </row>
    <row r="2054">
      <c r="A2054" s="159"/>
      <c r="B2054" s="158"/>
    </row>
    <row r="2055">
      <c r="A2055" s="159"/>
      <c r="B2055" s="158"/>
    </row>
    <row r="2056">
      <c r="A2056" s="159"/>
      <c r="B2056" s="158"/>
    </row>
    <row r="2057">
      <c r="A2057" s="159"/>
      <c r="B2057" s="158"/>
    </row>
    <row r="2058">
      <c r="A2058" s="159"/>
      <c r="B2058" s="158"/>
    </row>
    <row r="2059">
      <c r="A2059" s="159"/>
      <c r="B2059" s="158"/>
    </row>
    <row r="2060">
      <c r="A2060" s="159"/>
      <c r="B2060" s="158"/>
    </row>
    <row r="2061">
      <c r="A2061" s="159"/>
      <c r="B2061" s="158"/>
    </row>
    <row r="2062">
      <c r="A2062" s="159"/>
      <c r="B2062" s="158"/>
    </row>
    <row r="2063">
      <c r="A2063" s="159"/>
      <c r="B2063" s="158"/>
    </row>
    <row r="2064">
      <c r="A2064" s="159"/>
      <c r="B2064" s="158"/>
    </row>
    <row r="2065">
      <c r="A2065" s="159"/>
      <c r="B2065" s="158"/>
    </row>
    <row r="2066">
      <c r="A2066" s="159"/>
      <c r="B2066" s="158"/>
    </row>
    <row r="2067">
      <c r="A2067" s="159"/>
      <c r="B2067" s="158"/>
    </row>
    <row r="2068">
      <c r="A2068" s="159"/>
      <c r="B2068" s="158"/>
    </row>
    <row r="2069">
      <c r="A2069" s="159"/>
      <c r="B2069" s="158"/>
    </row>
    <row r="2070">
      <c r="A2070" s="159"/>
      <c r="B2070" s="158"/>
    </row>
    <row r="2071">
      <c r="A2071" s="159"/>
      <c r="B2071" s="158"/>
    </row>
    <row r="2072">
      <c r="A2072" s="159"/>
      <c r="B2072" s="158"/>
    </row>
    <row r="2073">
      <c r="A2073" s="159"/>
      <c r="B2073" s="158"/>
    </row>
    <row r="2074">
      <c r="A2074" s="159"/>
      <c r="B2074" s="158"/>
    </row>
    <row r="2075">
      <c r="A2075" s="159"/>
      <c r="B2075" s="158"/>
    </row>
    <row r="2076">
      <c r="A2076" s="159"/>
      <c r="B2076" s="158"/>
    </row>
    <row r="2077">
      <c r="A2077" s="159"/>
      <c r="B2077" s="158"/>
    </row>
    <row r="2078">
      <c r="A2078" s="159"/>
      <c r="B2078" s="158"/>
    </row>
    <row r="2079">
      <c r="A2079" s="159"/>
      <c r="B2079" s="158"/>
    </row>
    <row r="2080">
      <c r="A2080" s="159"/>
      <c r="B2080" s="158"/>
    </row>
    <row r="2081">
      <c r="A2081" s="159"/>
      <c r="B2081" s="158"/>
    </row>
    <row r="2082">
      <c r="A2082" s="159"/>
      <c r="B2082" s="158"/>
    </row>
    <row r="2083">
      <c r="A2083" s="159"/>
      <c r="B2083" s="158"/>
    </row>
    <row r="2084">
      <c r="A2084" s="159"/>
      <c r="B2084" s="158"/>
    </row>
    <row r="2085">
      <c r="A2085" s="159"/>
      <c r="B2085" s="158"/>
    </row>
    <row r="2086">
      <c r="A2086" s="159"/>
      <c r="B2086" s="158"/>
    </row>
    <row r="2087">
      <c r="A2087" s="159"/>
      <c r="B2087" s="158"/>
    </row>
    <row r="2088">
      <c r="A2088" s="159"/>
      <c r="B2088" s="158"/>
    </row>
    <row r="2089">
      <c r="A2089" s="159"/>
      <c r="B2089" s="158"/>
    </row>
    <row r="2090">
      <c r="A2090" s="159"/>
      <c r="B2090" s="158"/>
    </row>
    <row r="2091">
      <c r="A2091" s="159"/>
      <c r="B2091" s="158"/>
    </row>
    <row r="2092">
      <c r="A2092" s="159"/>
      <c r="B2092" s="158"/>
    </row>
    <row r="2093">
      <c r="A2093" s="159"/>
      <c r="B2093" s="158"/>
    </row>
    <row r="2094">
      <c r="A2094" s="159"/>
      <c r="B2094" s="158"/>
    </row>
    <row r="2095">
      <c r="A2095" s="159"/>
      <c r="B2095" s="158"/>
    </row>
    <row r="2096">
      <c r="A2096" s="159"/>
      <c r="B2096" s="158"/>
    </row>
    <row r="2097">
      <c r="A2097" s="159"/>
      <c r="B2097" s="158"/>
    </row>
    <row r="2098">
      <c r="A2098" s="159"/>
      <c r="B2098" s="158"/>
    </row>
    <row r="2099">
      <c r="A2099" s="159"/>
      <c r="B2099" s="158"/>
    </row>
    <row r="2100">
      <c r="A2100" s="159"/>
      <c r="B2100" s="158"/>
    </row>
    <row r="2101">
      <c r="A2101" s="159"/>
      <c r="B2101" s="158"/>
    </row>
    <row r="2102">
      <c r="A2102" s="159"/>
      <c r="B2102" s="158"/>
    </row>
    <row r="2103">
      <c r="A2103" s="159"/>
      <c r="B2103" s="158"/>
    </row>
    <row r="2104">
      <c r="A2104" s="159"/>
      <c r="B2104" s="158"/>
    </row>
    <row r="2105">
      <c r="A2105" s="159"/>
      <c r="B2105" s="158"/>
    </row>
    <row r="2106">
      <c r="A2106" s="159"/>
      <c r="B2106" s="158"/>
    </row>
    <row r="2107">
      <c r="A2107" s="159"/>
      <c r="B2107" s="158"/>
    </row>
    <row r="2108">
      <c r="A2108" s="159"/>
      <c r="B2108" s="158"/>
    </row>
    <row r="2109">
      <c r="A2109" s="159"/>
      <c r="B2109" s="158"/>
    </row>
    <row r="2110">
      <c r="A2110" s="159"/>
      <c r="B2110" s="158"/>
    </row>
    <row r="2111">
      <c r="A2111" s="159"/>
      <c r="B2111" s="158"/>
    </row>
    <row r="2112">
      <c r="A2112" s="159"/>
      <c r="B2112" s="158"/>
    </row>
    <row r="2113">
      <c r="A2113" s="159"/>
      <c r="B2113" s="158"/>
    </row>
    <row r="2114">
      <c r="A2114" s="159"/>
      <c r="B2114" s="158"/>
    </row>
    <row r="2115">
      <c r="A2115" s="159"/>
      <c r="B2115" s="158"/>
    </row>
    <row r="2116">
      <c r="A2116" s="159"/>
      <c r="B2116" s="158"/>
    </row>
    <row r="2117">
      <c r="A2117" s="159"/>
      <c r="B2117" s="158"/>
    </row>
    <row r="2118">
      <c r="A2118" s="159"/>
      <c r="B2118" s="158"/>
    </row>
    <row r="2119">
      <c r="A2119" s="159"/>
      <c r="B2119" s="158"/>
    </row>
    <row r="2120">
      <c r="A2120" s="159"/>
      <c r="B2120" s="158"/>
    </row>
    <row r="2121">
      <c r="A2121" s="159"/>
      <c r="B2121" s="158"/>
    </row>
    <row r="2122">
      <c r="A2122" s="159"/>
      <c r="B2122" s="158"/>
    </row>
    <row r="2123">
      <c r="A2123" s="159"/>
      <c r="B2123" s="158"/>
    </row>
    <row r="2124">
      <c r="A2124" s="159"/>
      <c r="B2124" s="158"/>
    </row>
    <row r="2125">
      <c r="A2125" s="159"/>
      <c r="B2125" s="158"/>
    </row>
    <row r="2126">
      <c r="A2126" s="159"/>
      <c r="B2126" s="158"/>
    </row>
    <row r="2127">
      <c r="A2127" s="159"/>
      <c r="B2127" s="158"/>
    </row>
    <row r="2128">
      <c r="A2128" s="159"/>
      <c r="B2128" s="158"/>
    </row>
    <row r="2129">
      <c r="A2129" s="159"/>
      <c r="B2129" s="158"/>
    </row>
    <row r="2130">
      <c r="A2130" s="159"/>
      <c r="B2130" s="158"/>
    </row>
    <row r="2131">
      <c r="A2131" s="159"/>
      <c r="B2131" s="158"/>
    </row>
    <row r="2132">
      <c r="A2132" s="159"/>
      <c r="B2132" s="158"/>
    </row>
    <row r="2133">
      <c r="A2133" s="159"/>
      <c r="B2133" s="158"/>
    </row>
    <row r="2134">
      <c r="A2134" s="159"/>
      <c r="B2134" s="158"/>
    </row>
    <row r="2135">
      <c r="A2135" s="159"/>
      <c r="B2135" s="158"/>
    </row>
    <row r="2136">
      <c r="A2136" s="159"/>
      <c r="B2136" s="158"/>
    </row>
    <row r="2137">
      <c r="A2137" s="159"/>
      <c r="B2137" s="158"/>
    </row>
    <row r="2138">
      <c r="A2138" s="159"/>
      <c r="B2138" s="158"/>
    </row>
    <row r="2139">
      <c r="A2139" s="159"/>
      <c r="B2139" s="158"/>
    </row>
    <row r="2140">
      <c r="A2140" s="159"/>
      <c r="B2140" s="158"/>
    </row>
    <row r="2141">
      <c r="A2141" s="159"/>
      <c r="B2141" s="158"/>
    </row>
    <row r="2142">
      <c r="A2142" s="159"/>
      <c r="B2142" s="158"/>
    </row>
    <row r="2143">
      <c r="A2143" s="159"/>
      <c r="B2143" s="158"/>
    </row>
    <row r="2144">
      <c r="A2144" s="159"/>
      <c r="B2144" s="158"/>
    </row>
    <row r="2145">
      <c r="A2145" s="159"/>
      <c r="B2145" s="158"/>
    </row>
    <row r="2146">
      <c r="A2146" s="159"/>
      <c r="B2146" s="158"/>
    </row>
    <row r="2147">
      <c r="A2147" s="159"/>
      <c r="B2147" s="158"/>
    </row>
    <row r="2148">
      <c r="A2148" s="159"/>
      <c r="B2148" s="158"/>
    </row>
    <row r="2149">
      <c r="A2149" s="159"/>
      <c r="B2149" s="158"/>
    </row>
    <row r="2150">
      <c r="A2150" s="159"/>
      <c r="B2150" s="158"/>
    </row>
    <row r="2151">
      <c r="A2151" s="159"/>
      <c r="B2151" s="158"/>
    </row>
    <row r="2152">
      <c r="A2152" s="159"/>
      <c r="B2152" s="158"/>
    </row>
    <row r="2153">
      <c r="A2153" s="159"/>
      <c r="B2153" s="158"/>
    </row>
    <row r="2154">
      <c r="A2154" s="159"/>
      <c r="B2154" s="158"/>
    </row>
    <row r="2155">
      <c r="A2155" s="159"/>
      <c r="B2155" s="158"/>
    </row>
    <row r="2156">
      <c r="A2156" s="159"/>
      <c r="B2156" s="158"/>
    </row>
    <row r="2157">
      <c r="A2157" s="159"/>
      <c r="B2157" s="158"/>
    </row>
    <row r="2158">
      <c r="A2158" s="159"/>
      <c r="B2158" s="158"/>
    </row>
    <row r="2159">
      <c r="A2159" s="159"/>
      <c r="B2159" s="158"/>
    </row>
    <row r="2160">
      <c r="A2160" s="159"/>
      <c r="B2160" s="158"/>
    </row>
    <row r="2161">
      <c r="A2161" s="159"/>
      <c r="B2161" s="158"/>
    </row>
    <row r="2162">
      <c r="A2162" s="159"/>
      <c r="B2162" s="158"/>
    </row>
    <row r="2163">
      <c r="A2163" s="159"/>
      <c r="B2163" s="158"/>
    </row>
    <row r="2164">
      <c r="A2164" s="159"/>
      <c r="B2164" s="158"/>
    </row>
    <row r="2165">
      <c r="A2165" s="159"/>
      <c r="B2165" s="158"/>
    </row>
    <row r="2166">
      <c r="A2166" s="159"/>
      <c r="B2166" s="158"/>
    </row>
    <row r="2167">
      <c r="A2167" s="159"/>
      <c r="B2167" s="158"/>
    </row>
    <row r="2168">
      <c r="A2168" s="159"/>
      <c r="B2168" s="158"/>
    </row>
    <row r="2169">
      <c r="A2169" s="159"/>
      <c r="B2169" s="158"/>
    </row>
    <row r="2170">
      <c r="A2170" s="159"/>
      <c r="B2170" s="158"/>
    </row>
    <row r="2171">
      <c r="A2171" s="159"/>
      <c r="B2171" s="158"/>
    </row>
    <row r="2172">
      <c r="A2172" s="159"/>
      <c r="B2172" s="158"/>
    </row>
    <row r="2173">
      <c r="A2173" s="159"/>
      <c r="B2173" s="158"/>
    </row>
    <row r="2174">
      <c r="A2174" s="159"/>
      <c r="B2174" s="158"/>
    </row>
    <row r="2175">
      <c r="A2175" s="159"/>
      <c r="B2175" s="158"/>
    </row>
    <row r="2176">
      <c r="A2176" s="159"/>
      <c r="B2176" s="158"/>
    </row>
    <row r="2177">
      <c r="A2177" s="159"/>
      <c r="B2177" s="158"/>
    </row>
    <row r="2178">
      <c r="A2178" s="159"/>
      <c r="B2178" s="158"/>
    </row>
    <row r="2179">
      <c r="A2179" s="159"/>
      <c r="B2179" s="158"/>
    </row>
    <row r="2180">
      <c r="A2180" s="159"/>
      <c r="B2180" s="158"/>
    </row>
    <row r="2181">
      <c r="A2181" s="159"/>
      <c r="B2181" s="158"/>
    </row>
    <row r="2182">
      <c r="A2182" s="159"/>
      <c r="B2182" s="158"/>
    </row>
    <row r="2183">
      <c r="A2183" s="159"/>
      <c r="B2183" s="158"/>
    </row>
    <row r="2184">
      <c r="A2184" s="159"/>
      <c r="B2184" s="158"/>
    </row>
    <row r="2185">
      <c r="A2185" s="159"/>
      <c r="B2185" s="158"/>
    </row>
    <row r="2186">
      <c r="A2186" s="159"/>
      <c r="B2186" s="158"/>
    </row>
    <row r="2187">
      <c r="A2187" s="159"/>
      <c r="B2187" s="158"/>
    </row>
    <row r="2188">
      <c r="A2188" s="159"/>
      <c r="B2188" s="158"/>
    </row>
    <row r="2189">
      <c r="A2189" s="159"/>
      <c r="B2189" s="158"/>
    </row>
    <row r="2190">
      <c r="A2190" s="159"/>
      <c r="B2190" s="158"/>
    </row>
    <row r="2191">
      <c r="A2191" s="159"/>
      <c r="B2191" s="158"/>
    </row>
    <row r="2192">
      <c r="A2192" s="159"/>
      <c r="B2192" s="158"/>
    </row>
    <row r="2193">
      <c r="A2193" s="159"/>
      <c r="B2193" s="158"/>
    </row>
    <row r="2194">
      <c r="A2194" s="159"/>
      <c r="B2194" s="158"/>
    </row>
    <row r="2195">
      <c r="A2195" s="159"/>
      <c r="B2195" s="158"/>
    </row>
    <row r="2196">
      <c r="A2196" s="159"/>
      <c r="B2196" s="158"/>
    </row>
    <row r="2197">
      <c r="A2197" s="159"/>
      <c r="B2197" s="158"/>
    </row>
    <row r="2198">
      <c r="A2198" s="159"/>
      <c r="B2198" s="158"/>
    </row>
    <row r="2199">
      <c r="A2199" s="159"/>
      <c r="B2199" s="158"/>
    </row>
    <row r="2200">
      <c r="A2200" s="159"/>
      <c r="B2200" s="158"/>
    </row>
    <row r="2201">
      <c r="A2201" s="159"/>
      <c r="B2201" s="158"/>
    </row>
    <row r="2202">
      <c r="A2202" s="159"/>
      <c r="B2202" s="158"/>
    </row>
    <row r="2203">
      <c r="A2203" s="159"/>
      <c r="B2203" s="158"/>
    </row>
    <row r="2204">
      <c r="A2204" s="159"/>
      <c r="B2204" s="158"/>
    </row>
    <row r="2205">
      <c r="A2205" s="159"/>
      <c r="B2205" s="158"/>
    </row>
    <row r="2206">
      <c r="A2206" s="159"/>
      <c r="B2206" s="158"/>
    </row>
    <row r="2207">
      <c r="A2207" s="159"/>
      <c r="B2207" s="158"/>
    </row>
    <row r="2208">
      <c r="A2208" s="159"/>
      <c r="B2208" s="158"/>
    </row>
    <row r="2209">
      <c r="A2209" s="159"/>
      <c r="B2209" s="158"/>
    </row>
    <row r="2210">
      <c r="A2210" s="159"/>
      <c r="B2210" s="158"/>
    </row>
    <row r="2211">
      <c r="A2211" s="159"/>
      <c r="B2211" s="158"/>
    </row>
    <row r="2212">
      <c r="A2212" s="159"/>
      <c r="B2212" s="158"/>
    </row>
    <row r="2213">
      <c r="A2213" s="159"/>
      <c r="B2213" s="158"/>
    </row>
    <row r="2214">
      <c r="A2214" s="159"/>
      <c r="B2214" s="158"/>
    </row>
    <row r="2215">
      <c r="A2215" s="159"/>
      <c r="B2215" s="158"/>
    </row>
    <row r="2216">
      <c r="A2216" s="159"/>
      <c r="B2216" s="158"/>
    </row>
    <row r="2217">
      <c r="A2217" s="159"/>
      <c r="B2217" s="158"/>
    </row>
    <row r="2218">
      <c r="A2218" s="159"/>
      <c r="B2218" s="158"/>
    </row>
    <row r="2219">
      <c r="A2219" s="159"/>
      <c r="B2219" s="158"/>
    </row>
    <row r="2220">
      <c r="A2220" s="159"/>
      <c r="B2220" s="158"/>
    </row>
    <row r="2221">
      <c r="A2221" s="159"/>
      <c r="B2221" s="158"/>
    </row>
    <row r="2222">
      <c r="A2222" s="159"/>
      <c r="B2222" s="158"/>
    </row>
    <row r="2223">
      <c r="A2223" s="159"/>
      <c r="B2223" s="158"/>
    </row>
    <row r="2224">
      <c r="A2224" s="159"/>
      <c r="B2224" s="158"/>
    </row>
    <row r="2225">
      <c r="A2225" s="159"/>
      <c r="B2225" s="158"/>
    </row>
    <row r="2226">
      <c r="A2226" s="159"/>
      <c r="B2226" s="158"/>
    </row>
    <row r="2227">
      <c r="A2227" s="159"/>
      <c r="B2227" s="158"/>
    </row>
    <row r="2228">
      <c r="A2228" s="159"/>
      <c r="B2228" s="158"/>
    </row>
    <row r="2229">
      <c r="A2229" s="159"/>
      <c r="B2229" s="158"/>
    </row>
    <row r="2230">
      <c r="A2230" s="159"/>
      <c r="B2230" s="158"/>
    </row>
    <row r="2231">
      <c r="A2231" s="159"/>
      <c r="B2231" s="158"/>
    </row>
    <row r="2232">
      <c r="A2232" s="159"/>
      <c r="B2232" s="158"/>
    </row>
    <row r="2233">
      <c r="A2233" s="159"/>
      <c r="B2233" s="158"/>
    </row>
    <row r="2234">
      <c r="A2234" s="159"/>
      <c r="B2234" s="158"/>
    </row>
    <row r="2235">
      <c r="A2235" s="159"/>
      <c r="B2235" s="158"/>
    </row>
    <row r="2236">
      <c r="A2236" s="159"/>
      <c r="B2236" s="158"/>
    </row>
    <row r="2237">
      <c r="A2237" s="159"/>
      <c r="B2237" s="158"/>
    </row>
    <row r="2238">
      <c r="A2238" s="159"/>
      <c r="B2238" s="158"/>
    </row>
    <row r="2239">
      <c r="A2239" s="159"/>
      <c r="B2239" s="158"/>
    </row>
    <row r="2240">
      <c r="A2240" s="159"/>
      <c r="B2240" s="158"/>
    </row>
    <row r="2241">
      <c r="A2241" s="159"/>
      <c r="B2241" s="158"/>
    </row>
    <row r="2242">
      <c r="A2242" s="159"/>
      <c r="B2242" s="158"/>
    </row>
    <row r="2243">
      <c r="A2243" s="159"/>
      <c r="B2243" s="158"/>
    </row>
    <row r="2244">
      <c r="A2244" s="159"/>
      <c r="B2244" s="158"/>
    </row>
    <row r="2245">
      <c r="A2245" s="159"/>
      <c r="B2245" s="158"/>
    </row>
    <row r="2246">
      <c r="A2246" s="159"/>
      <c r="B2246" s="158"/>
    </row>
    <row r="2247">
      <c r="A2247" s="159"/>
      <c r="B2247" s="158"/>
    </row>
    <row r="2248">
      <c r="A2248" s="159"/>
      <c r="B2248" s="158"/>
    </row>
    <row r="2249">
      <c r="A2249" s="159"/>
      <c r="B2249" s="158"/>
    </row>
    <row r="2250">
      <c r="A2250" s="159"/>
      <c r="B2250" s="158"/>
    </row>
    <row r="2251">
      <c r="A2251" s="159"/>
      <c r="B2251" s="158"/>
    </row>
    <row r="2252">
      <c r="A2252" s="159"/>
      <c r="B2252" s="158"/>
    </row>
    <row r="2253">
      <c r="A2253" s="159"/>
      <c r="B2253" s="158"/>
    </row>
    <row r="2254">
      <c r="A2254" s="159"/>
      <c r="B2254" s="158"/>
    </row>
    <row r="2255">
      <c r="A2255" s="159"/>
      <c r="B2255" s="158"/>
    </row>
    <row r="2256">
      <c r="A2256" s="159"/>
      <c r="B2256" s="158"/>
    </row>
    <row r="2257">
      <c r="A2257" s="159"/>
      <c r="B2257" s="158"/>
    </row>
    <row r="2258">
      <c r="A2258" s="159"/>
      <c r="B2258" s="158"/>
    </row>
    <row r="2259">
      <c r="A2259" s="159"/>
      <c r="B2259" s="158"/>
    </row>
    <row r="2260">
      <c r="A2260" s="159"/>
      <c r="B2260" s="158"/>
    </row>
    <row r="2261">
      <c r="A2261" s="159"/>
      <c r="B2261" s="158"/>
    </row>
    <row r="2262">
      <c r="A2262" s="159"/>
      <c r="B2262" s="158"/>
    </row>
    <row r="2263">
      <c r="A2263" s="159"/>
      <c r="B2263" s="158"/>
    </row>
    <row r="2264">
      <c r="A2264" s="159"/>
      <c r="B2264" s="158"/>
    </row>
    <row r="2265">
      <c r="A2265" s="159"/>
      <c r="B2265" s="158"/>
    </row>
    <row r="2266">
      <c r="A2266" s="159"/>
      <c r="B2266" s="158"/>
    </row>
    <row r="2267">
      <c r="A2267" s="159"/>
      <c r="B2267" s="158"/>
    </row>
    <row r="2268">
      <c r="A2268" s="159"/>
      <c r="B2268" s="158"/>
    </row>
    <row r="2269">
      <c r="A2269" s="159"/>
      <c r="B2269" s="158"/>
    </row>
    <row r="2270">
      <c r="A2270" s="159"/>
      <c r="B2270" s="158"/>
    </row>
    <row r="2271">
      <c r="A2271" s="159"/>
      <c r="B2271" s="158"/>
    </row>
    <row r="2272">
      <c r="A2272" s="159"/>
      <c r="B2272" s="158"/>
    </row>
    <row r="2273">
      <c r="A2273" s="159"/>
      <c r="B2273" s="158"/>
    </row>
    <row r="2274">
      <c r="A2274" s="159"/>
      <c r="B2274" s="158"/>
    </row>
    <row r="2275">
      <c r="A2275" s="159"/>
      <c r="B2275" s="158"/>
    </row>
    <row r="2276">
      <c r="A2276" s="159"/>
      <c r="B2276" s="158"/>
    </row>
    <row r="2277">
      <c r="A2277" s="159"/>
      <c r="B2277" s="158"/>
    </row>
    <row r="2278">
      <c r="A2278" s="159"/>
      <c r="B2278" s="158"/>
    </row>
    <row r="2279">
      <c r="A2279" s="159"/>
      <c r="B2279" s="158"/>
    </row>
    <row r="2280">
      <c r="A2280" s="159"/>
      <c r="B2280" s="158"/>
    </row>
    <row r="2281">
      <c r="A2281" s="159"/>
      <c r="B2281" s="158"/>
    </row>
    <row r="2282">
      <c r="A2282" s="159"/>
      <c r="B2282" s="158"/>
    </row>
    <row r="2283">
      <c r="A2283" s="159"/>
      <c r="B2283" s="158"/>
    </row>
    <row r="2284">
      <c r="A2284" s="159"/>
      <c r="B2284" s="158"/>
    </row>
    <row r="2285">
      <c r="A2285" s="159"/>
      <c r="B2285" s="158"/>
    </row>
    <row r="2286">
      <c r="A2286" s="159"/>
      <c r="B2286" s="158"/>
    </row>
    <row r="2287">
      <c r="A2287" s="159"/>
      <c r="B2287" s="158"/>
    </row>
    <row r="2288">
      <c r="A2288" s="159"/>
      <c r="B2288" s="158"/>
    </row>
    <row r="2289">
      <c r="A2289" s="159"/>
      <c r="B2289" s="158"/>
    </row>
    <row r="2290">
      <c r="A2290" s="159"/>
      <c r="B2290" s="158"/>
    </row>
    <row r="2291">
      <c r="A2291" s="159"/>
      <c r="B2291" s="158"/>
    </row>
    <row r="2292">
      <c r="A2292" s="159"/>
      <c r="B2292" s="158"/>
    </row>
    <row r="2293">
      <c r="A2293" s="159"/>
      <c r="B2293" s="158"/>
    </row>
    <row r="2294">
      <c r="A2294" s="159"/>
      <c r="B2294" s="158"/>
    </row>
    <row r="2295">
      <c r="A2295" s="159"/>
      <c r="B2295" s="158"/>
    </row>
    <row r="2296">
      <c r="A2296" s="159"/>
      <c r="B2296" s="158"/>
    </row>
    <row r="2297">
      <c r="A2297" s="159"/>
      <c r="B2297" s="158"/>
    </row>
    <row r="2298">
      <c r="A2298" s="159"/>
      <c r="B2298" s="158"/>
    </row>
    <row r="2299">
      <c r="A2299" s="159"/>
      <c r="B2299" s="158"/>
    </row>
    <row r="2300">
      <c r="A2300" s="159"/>
      <c r="B2300" s="158"/>
    </row>
    <row r="2301">
      <c r="A2301" s="159"/>
      <c r="B2301" s="158"/>
    </row>
    <row r="2302">
      <c r="A2302" s="159"/>
      <c r="B2302" s="158"/>
    </row>
    <row r="2303">
      <c r="A2303" s="159"/>
      <c r="B2303" s="158"/>
    </row>
    <row r="2304">
      <c r="A2304" s="159"/>
      <c r="B2304" s="158"/>
    </row>
    <row r="2305">
      <c r="A2305" s="159"/>
      <c r="B2305" s="158"/>
    </row>
    <row r="2306">
      <c r="A2306" s="159"/>
      <c r="B2306" s="158"/>
    </row>
    <row r="2307">
      <c r="A2307" s="159"/>
      <c r="B2307" s="158"/>
    </row>
    <row r="2308">
      <c r="A2308" s="159"/>
      <c r="B2308" s="158"/>
    </row>
    <row r="2309">
      <c r="A2309" s="159"/>
      <c r="B2309" s="158"/>
    </row>
    <row r="2310">
      <c r="A2310" s="159"/>
      <c r="B2310" s="158"/>
    </row>
    <row r="2311">
      <c r="A2311" s="159"/>
      <c r="B2311" s="158"/>
    </row>
    <row r="2312">
      <c r="A2312" s="159"/>
      <c r="B2312" s="158"/>
    </row>
    <row r="2313">
      <c r="A2313" s="159"/>
      <c r="B2313" s="158"/>
    </row>
    <row r="2314">
      <c r="A2314" s="159"/>
      <c r="B2314" s="158"/>
    </row>
    <row r="2315">
      <c r="A2315" s="159"/>
      <c r="B2315" s="158"/>
    </row>
    <row r="2316">
      <c r="A2316" s="159"/>
      <c r="B2316" s="158"/>
    </row>
    <row r="2317">
      <c r="A2317" s="159"/>
      <c r="B2317" s="158"/>
    </row>
    <row r="2318">
      <c r="A2318" s="159"/>
      <c r="B2318" s="158"/>
    </row>
    <row r="2319">
      <c r="A2319" s="159"/>
      <c r="B2319" s="158"/>
    </row>
    <row r="2320">
      <c r="A2320" s="159"/>
      <c r="B2320" s="158"/>
    </row>
    <row r="2321">
      <c r="A2321" s="159"/>
      <c r="B2321" s="158"/>
    </row>
    <row r="2322">
      <c r="A2322" s="159"/>
      <c r="B2322" s="158"/>
    </row>
    <row r="2323">
      <c r="A2323" s="159"/>
      <c r="B2323" s="158"/>
    </row>
    <row r="2324">
      <c r="A2324" s="159"/>
      <c r="B2324" s="158"/>
    </row>
    <row r="2325">
      <c r="A2325" s="159"/>
      <c r="B2325" s="158"/>
    </row>
    <row r="2326">
      <c r="A2326" s="159"/>
      <c r="B2326" s="158"/>
    </row>
    <row r="2327">
      <c r="A2327" s="159"/>
      <c r="B2327" s="158"/>
    </row>
    <row r="2328">
      <c r="A2328" s="159"/>
      <c r="B2328" s="158"/>
    </row>
    <row r="2329">
      <c r="A2329" s="159"/>
      <c r="B2329" s="158"/>
    </row>
    <row r="2330">
      <c r="A2330" s="159"/>
      <c r="B2330" s="158"/>
    </row>
    <row r="2331">
      <c r="A2331" s="159"/>
      <c r="B2331" s="158"/>
    </row>
    <row r="2332">
      <c r="A2332" s="159"/>
      <c r="B2332" s="158"/>
    </row>
    <row r="2333">
      <c r="A2333" s="159"/>
      <c r="B2333" s="158"/>
    </row>
    <row r="2334">
      <c r="A2334" s="159"/>
      <c r="B2334" s="158"/>
    </row>
    <row r="2335">
      <c r="A2335" s="159"/>
      <c r="B2335" s="158"/>
    </row>
    <row r="2336">
      <c r="A2336" s="159"/>
      <c r="B2336" s="158"/>
    </row>
    <row r="2337">
      <c r="A2337" s="159"/>
      <c r="B2337" s="158"/>
    </row>
    <row r="2338">
      <c r="A2338" s="159"/>
      <c r="B2338" s="158"/>
    </row>
    <row r="2339">
      <c r="A2339" s="159"/>
      <c r="B2339" s="158"/>
    </row>
    <row r="2340">
      <c r="A2340" s="159"/>
      <c r="B2340" s="158"/>
    </row>
    <row r="2341">
      <c r="A2341" s="159"/>
      <c r="B2341" s="158"/>
    </row>
    <row r="2342">
      <c r="A2342" s="159"/>
      <c r="B2342" s="158"/>
    </row>
    <row r="2343">
      <c r="A2343" s="159"/>
      <c r="B2343" s="158"/>
    </row>
    <row r="2344">
      <c r="A2344" s="159"/>
      <c r="B2344" s="158"/>
    </row>
    <row r="2345">
      <c r="A2345" s="159"/>
      <c r="B2345" s="158"/>
    </row>
    <row r="2346">
      <c r="A2346" s="159"/>
      <c r="B2346" s="158"/>
    </row>
    <row r="2347">
      <c r="A2347" s="159"/>
      <c r="B2347" s="158"/>
    </row>
    <row r="2348">
      <c r="A2348" s="159"/>
      <c r="B2348" s="158"/>
    </row>
    <row r="2349">
      <c r="A2349" s="159"/>
      <c r="B2349" s="158"/>
    </row>
    <row r="2350">
      <c r="A2350" s="159"/>
      <c r="B2350" s="158"/>
    </row>
    <row r="2351">
      <c r="A2351" s="159"/>
      <c r="B2351" s="158"/>
    </row>
    <row r="2352">
      <c r="A2352" s="159"/>
      <c r="B2352" s="158"/>
    </row>
    <row r="2353">
      <c r="A2353" s="159"/>
      <c r="B2353" s="158"/>
    </row>
    <row r="2354">
      <c r="A2354" s="159"/>
      <c r="B2354" s="158"/>
    </row>
    <row r="2355">
      <c r="A2355" s="159"/>
      <c r="B2355" s="158"/>
    </row>
    <row r="2356">
      <c r="A2356" s="159"/>
      <c r="B2356" s="158"/>
    </row>
    <row r="2357">
      <c r="A2357" s="159"/>
      <c r="B2357" s="158"/>
    </row>
    <row r="2358">
      <c r="A2358" s="159"/>
      <c r="B2358" s="158"/>
    </row>
    <row r="2359">
      <c r="A2359" s="159"/>
      <c r="B2359" s="158"/>
    </row>
    <row r="2360">
      <c r="A2360" s="159"/>
      <c r="B2360" s="158"/>
    </row>
    <row r="2361">
      <c r="A2361" s="159"/>
      <c r="B2361" s="158"/>
    </row>
    <row r="2362">
      <c r="A2362" s="159"/>
      <c r="B2362" s="158"/>
    </row>
    <row r="2363">
      <c r="A2363" s="159"/>
      <c r="B2363" s="158"/>
    </row>
    <row r="2364">
      <c r="A2364" s="159"/>
      <c r="B2364" s="158"/>
    </row>
    <row r="2365">
      <c r="A2365" s="159"/>
      <c r="B2365" s="158"/>
    </row>
    <row r="2366">
      <c r="A2366" s="159"/>
      <c r="B2366" s="158"/>
    </row>
    <row r="2367">
      <c r="A2367" s="159"/>
      <c r="B2367" s="158"/>
    </row>
    <row r="2368">
      <c r="A2368" s="159"/>
      <c r="B2368" s="158"/>
    </row>
    <row r="2369">
      <c r="A2369" s="159"/>
      <c r="B2369" s="158"/>
    </row>
    <row r="2370">
      <c r="A2370" s="159"/>
      <c r="B2370" s="158"/>
    </row>
    <row r="2371">
      <c r="A2371" s="159"/>
      <c r="B2371" s="158"/>
    </row>
    <row r="2372">
      <c r="A2372" s="159"/>
      <c r="B2372" s="158"/>
    </row>
    <row r="2373">
      <c r="A2373" s="159"/>
      <c r="B2373" s="158"/>
    </row>
    <row r="2374">
      <c r="A2374" s="159"/>
      <c r="B2374" s="158"/>
    </row>
    <row r="2375">
      <c r="A2375" s="159"/>
      <c r="B2375" s="158"/>
    </row>
    <row r="2376">
      <c r="A2376" s="159"/>
      <c r="B2376" s="158"/>
    </row>
    <row r="2377">
      <c r="A2377" s="159"/>
      <c r="B2377" s="158"/>
    </row>
    <row r="2378">
      <c r="A2378" s="159"/>
      <c r="B2378" s="158"/>
    </row>
    <row r="2379">
      <c r="A2379" s="159"/>
      <c r="B2379" s="158"/>
    </row>
    <row r="2380">
      <c r="A2380" s="159"/>
      <c r="B2380" s="158"/>
    </row>
    <row r="2381">
      <c r="A2381" s="159"/>
      <c r="B2381" s="158"/>
    </row>
    <row r="2382">
      <c r="A2382" s="159"/>
      <c r="B2382" s="158"/>
    </row>
    <row r="2383">
      <c r="A2383" s="159"/>
      <c r="B2383" s="158"/>
    </row>
    <row r="2384">
      <c r="A2384" s="159"/>
      <c r="B2384" s="158"/>
    </row>
    <row r="2385">
      <c r="A2385" s="159"/>
      <c r="B2385" s="158"/>
    </row>
    <row r="2386">
      <c r="A2386" s="159"/>
      <c r="B2386" s="158"/>
    </row>
    <row r="2387">
      <c r="A2387" s="159"/>
      <c r="B2387" s="158"/>
    </row>
    <row r="2388">
      <c r="A2388" s="159"/>
      <c r="B2388" s="158"/>
    </row>
    <row r="2389">
      <c r="A2389" s="159"/>
      <c r="B2389" s="158"/>
    </row>
    <row r="2390">
      <c r="A2390" s="159"/>
      <c r="B2390" s="158"/>
    </row>
    <row r="2391">
      <c r="A2391" s="159"/>
      <c r="B2391" s="158"/>
    </row>
    <row r="2392">
      <c r="A2392" s="159"/>
      <c r="B2392" s="158"/>
    </row>
    <row r="2393">
      <c r="A2393" s="159"/>
      <c r="B2393" s="158"/>
    </row>
    <row r="2394">
      <c r="A2394" s="159"/>
      <c r="B2394" s="158"/>
    </row>
    <row r="2395">
      <c r="A2395" s="159"/>
      <c r="B2395" s="158"/>
    </row>
    <row r="2396">
      <c r="A2396" s="159"/>
      <c r="B2396" s="158"/>
    </row>
    <row r="2397">
      <c r="A2397" s="159"/>
      <c r="B2397" s="158"/>
    </row>
    <row r="2398">
      <c r="A2398" s="159"/>
      <c r="B2398" s="158"/>
    </row>
    <row r="2399">
      <c r="A2399" s="159"/>
      <c r="B2399" s="158"/>
    </row>
    <row r="2400">
      <c r="A2400" s="159"/>
      <c r="B2400" s="158"/>
    </row>
    <row r="2401">
      <c r="A2401" s="159"/>
      <c r="B2401" s="158"/>
    </row>
    <row r="2402">
      <c r="A2402" s="159"/>
      <c r="B2402" s="158"/>
    </row>
    <row r="2403">
      <c r="A2403" s="159"/>
      <c r="B2403" s="158"/>
    </row>
    <row r="2404">
      <c r="A2404" s="159"/>
      <c r="B2404" s="158"/>
    </row>
    <row r="2405">
      <c r="A2405" s="159"/>
      <c r="B2405" s="158"/>
    </row>
    <row r="2406">
      <c r="A2406" s="159"/>
      <c r="B2406" s="158"/>
    </row>
    <row r="2407">
      <c r="A2407" s="159"/>
      <c r="B2407" s="158"/>
    </row>
    <row r="2408">
      <c r="A2408" s="159"/>
      <c r="B2408" s="158"/>
    </row>
    <row r="2409">
      <c r="A2409" s="159"/>
      <c r="B2409" s="158"/>
    </row>
    <row r="2410">
      <c r="A2410" s="159"/>
      <c r="B2410" s="158"/>
    </row>
    <row r="2411">
      <c r="A2411" s="159"/>
      <c r="B2411" s="158"/>
    </row>
    <row r="2412">
      <c r="A2412" s="159"/>
      <c r="B2412" s="158"/>
    </row>
    <row r="2413">
      <c r="A2413" s="159"/>
      <c r="B2413" s="158"/>
    </row>
    <row r="2414">
      <c r="A2414" s="159"/>
      <c r="B2414" s="158"/>
    </row>
    <row r="2415">
      <c r="A2415" s="159"/>
      <c r="B2415" s="158"/>
    </row>
    <row r="2416">
      <c r="A2416" s="159"/>
      <c r="B2416" s="158"/>
    </row>
    <row r="2417">
      <c r="A2417" s="159"/>
      <c r="B2417" s="158"/>
    </row>
    <row r="2418">
      <c r="A2418" s="159"/>
      <c r="B2418" s="158"/>
    </row>
    <row r="2419">
      <c r="A2419" s="159"/>
      <c r="B2419" s="158"/>
    </row>
    <row r="2420">
      <c r="A2420" s="159"/>
      <c r="B2420" s="158"/>
    </row>
    <row r="2421">
      <c r="A2421" s="159"/>
      <c r="B2421" s="158"/>
    </row>
    <row r="2422">
      <c r="A2422" s="159"/>
      <c r="B2422" s="158"/>
    </row>
    <row r="2423">
      <c r="A2423" s="159"/>
      <c r="B2423" s="158"/>
    </row>
    <row r="2424">
      <c r="A2424" s="159"/>
      <c r="B2424" s="158"/>
    </row>
    <row r="2425">
      <c r="A2425" s="159"/>
      <c r="B2425" s="158"/>
    </row>
    <row r="2426">
      <c r="A2426" s="159"/>
      <c r="B2426" s="158"/>
    </row>
    <row r="2427">
      <c r="A2427" s="159"/>
      <c r="B2427" s="158"/>
    </row>
    <row r="2428">
      <c r="A2428" s="159"/>
      <c r="B2428" s="158"/>
    </row>
    <row r="2429">
      <c r="A2429" s="159"/>
      <c r="B2429" s="158"/>
    </row>
    <row r="2430">
      <c r="A2430" s="159"/>
      <c r="B2430" s="158"/>
    </row>
    <row r="2431">
      <c r="A2431" s="159"/>
      <c r="B2431" s="158"/>
    </row>
    <row r="2432">
      <c r="A2432" s="159"/>
      <c r="B2432" s="158"/>
    </row>
    <row r="2433">
      <c r="A2433" s="159"/>
      <c r="B2433" s="158"/>
    </row>
    <row r="2434">
      <c r="A2434" s="159"/>
      <c r="B2434" s="158"/>
    </row>
    <row r="2435">
      <c r="A2435" s="159"/>
      <c r="B2435" s="158"/>
    </row>
    <row r="2436">
      <c r="A2436" s="159"/>
      <c r="B2436" s="158"/>
    </row>
    <row r="2437">
      <c r="A2437" s="159"/>
      <c r="B2437" s="158"/>
    </row>
    <row r="2438">
      <c r="A2438" s="159"/>
      <c r="B2438" s="158"/>
    </row>
    <row r="2439">
      <c r="A2439" s="159"/>
      <c r="B2439" s="158"/>
    </row>
    <row r="2440">
      <c r="A2440" s="159"/>
      <c r="B2440" s="158"/>
    </row>
    <row r="2441">
      <c r="A2441" s="159"/>
      <c r="B2441" s="158"/>
    </row>
    <row r="2442">
      <c r="A2442" s="159"/>
      <c r="B2442" s="158"/>
    </row>
    <row r="2443">
      <c r="A2443" s="159"/>
      <c r="B2443" s="158"/>
    </row>
    <row r="2444">
      <c r="A2444" s="159"/>
      <c r="B2444" s="158"/>
    </row>
    <row r="2445">
      <c r="A2445" s="159"/>
      <c r="B2445" s="158"/>
    </row>
    <row r="2446">
      <c r="A2446" s="159"/>
      <c r="B2446" s="158"/>
    </row>
    <row r="2447">
      <c r="A2447" s="159"/>
      <c r="B2447" s="158"/>
    </row>
    <row r="2448">
      <c r="A2448" s="159"/>
      <c r="B2448" s="158"/>
    </row>
    <row r="2449">
      <c r="A2449" s="159"/>
      <c r="B2449" s="158"/>
    </row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20.5"/>
    <col customWidth="1" min="4" max="4" width="29.13"/>
    <col customWidth="1" min="5" max="5" width="26.13"/>
    <col hidden="1" min="12" max="14" width="12.63"/>
    <col hidden="1" min="16" max="18" width="12.63"/>
  </cols>
  <sheetData>
    <row r="1">
      <c r="A1" s="183" t="s">
        <v>1654</v>
      </c>
      <c r="B1" s="183" t="s">
        <v>1</v>
      </c>
      <c r="C1" s="19" t="s">
        <v>246</v>
      </c>
      <c r="D1" s="55" t="s">
        <v>248</v>
      </c>
      <c r="E1" s="58" t="s">
        <v>249</v>
      </c>
      <c r="F1" s="58" t="s">
        <v>250</v>
      </c>
      <c r="G1" s="11" t="s">
        <v>251</v>
      </c>
      <c r="L1" s="184" t="s">
        <v>1654</v>
      </c>
      <c r="M1" s="184" t="s">
        <v>1</v>
      </c>
      <c r="P1" s="184" t="s">
        <v>1654</v>
      </c>
      <c r="Q1" s="184" t="s">
        <v>1</v>
      </c>
    </row>
    <row r="2">
      <c r="A2" s="101" t="s">
        <v>3949</v>
      </c>
      <c r="B2" s="25">
        <v>2345.0</v>
      </c>
      <c r="C2" s="179">
        <v>0.12</v>
      </c>
      <c r="D2" s="63">
        <v>0.9</v>
      </c>
      <c r="E2" s="63">
        <v>0.9</v>
      </c>
      <c r="F2" s="64"/>
      <c r="H2" s="29"/>
      <c r="L2" s="5" t="s">
        <v>3949</v>
      </c>
      <c r="M2" s="11">
        <v>2345.0</v>
      </c>
      <c r="P2" s="5" t="s">
        <v>3949</v>
      </c>
      <c r="Q2" s="11">
        <v>2345.0</v>
      </c>
    </row>
    <row r="3">
      <c r="A3" s="101" t="s">
        <v>3950</v>
      </c>
      <c r="B3" s="25">
        <v>6675.0</v>
      </c>
      <c r="C3" s="179">
        <v>0.12</v>
      </c>
      <c r="D3" s="63">
        <v>0.85</v>
      </c>
      <c r="E3" s="63">
        <v>0.85</v>
      </c>
      <c r="F3" s="64"/>
      <c r="H3" s="29"/>
      <c r="L3" s="5" t="s">
        <v>3950</v>
      </c>
      <c r="M3" s="11">
        <v>6675.0</v>
      </c>
      <c r="P3" s="5" t="s">
        <v>3950</v>
      </c>
      <c r="Q3" s="11">
        <v>6675.0</v>
      </c>
    </row>
    <row r="4">
      <c r="A4" s="101" t="s">
        <v>3951</v>
      </c>
      <c r="B4" s="25">
        <v>6893.0</v>
      </c>
      <c r="C4" s="179">
        <v>0.12</v>
      </c>
      <c r="D4" s="63">
        <v>0.65</v>
      </c>
      <c r="E4" s="63">
        <v>0.65</v>
      </c>
      <c r="F4" s="64"/>
      <c r="H4" s="29"/>
      <c r="L4" s="5" t="s">
        <v>3951</v>
      </c>
      <c r="M4" s="11">
        <v>7142.0</v>
      </c>
      <c r="P4" s="5" t="s">
        <v>3951</v>
      </c>
      <c r="Q4" s="11">
        <v>7142.0</v>
      </c>
    </row>
    <row r="5">
      <c r="A5" s="101" t="s">
        <v>3952</v>
      </c>
      <c r="B5" s="25">
        <v>12609.0</v>
      </c>
      <c r="C5" s="179">
        <v>0.12</v>
      </c>
      <c r="D5" s="63">
        <v>0.65</v>
      </c>
      <c r="E5" s="63">
        <v>0.65</v>
      </c>
      <c r="F5" s="112"/>
      <c r="H5" s="29"/>
      <c r="L5" s="5" t="s">
        <v>3952</v>
      </c>
      <c r="M5" s="11">
        <v>12609.0</v>
      </c>
      <c r="N5" s="11">
        <v>8486.0</v>
      </c>
      <c r="P5" s="5" t="s">
        <v>3952</v>
      </c>
      <c r="Q5" s="11">
        <v>12609.0</v>
      </c>
      <c r="R5" s="11">
        <v>8486.0</v>
      </c>
    </row>
    <row r="6">
      <c r="A6" s="101" t="s">
        <v>3953</v>
      </c>
      <c r="B6" s="25">
        <v>189.0</v>
      </c>
      <c r="C6" s="179">
        <v>0.12</v>
      </c>
      <c r="D6" s="63">
        <v>0.65</v>
      </c>
      <c r="E6" s="63">
        <v>0.65</v>
      </c>
      <c r="F6" s="64"/>
      <c r="H6" s="29"/>
      <c r="L6" s="5" t="s">
        <v>3953</v>
      </c>
      <c r="M6" s="11">
        <v>189.0</v>
      </c>
      <c r="P6" s="5" t="s">
        <v>3953</v>
      </c>
      <c r="Q6" s="11">
        <v>189.0</v>
      </c>
    </row>
    <row r="7">
      <c r="A7" s="101" t="s">
        <v>3954</v>
      </c>
      <c r="B7" s="25">
        <v>6706.0</v>
      </c>
      <c r="C7" s="179">
        <v>0.12</v>
      </c>
      <c r="D7" s="179">
        <v>0.77</v>
      </c>
      <c r="E7" s="179">
        <v>0.77</v>
      </c>
      <c r="F7" s="45"/>
      <c r="H7" s="29"/>
      <c r="L7" s="5" t="s">
        <v>3954</v>
      </c>
      <c r="M7" s="11">
        <v>6706.0</v>
      </c>
      <c r="P7" s="5" t="s">
        <v>3954</v>
      </c>
      <c r="Q7" s="11">
        <v>6706.0</v>
      </c>
    </row>
    <row r="8">
      <c r="A8" s="101" t="s">
        <v>3955</v>
      </c>
      <c r="B8" s="25">
        <v>6706.0</v>
      </c>
      <c r="C8" s="179">
        <v>0.12</v>
      </c>
      <c r="D8" s="179">
        <v>0.77</v>
      </c>
      <c r="E8" s="179">
        <v>0.77</v>
      </c>
      <c r="H8" s="29"/>
      <c r="L8" s="144" t="s">
        <v>3955</v>
      </c>
      <c r="M8" s="35">
        <v>6706.0</v>
      </c>
      <c r="N8" s="36"/>
      <c r="P8" s="144" t="s">
        <v>3955</v>
      </c>
      <c r="Q8" s="35">
        <v>6706.0</v>
      </c>
      <c r="R8" s="36"/>
    </row>
    <row r="9">
      <c r="A9" s="101" t="s">
        <v>3956</v>
      </c>
      <c r="B9" s="25">
        <v>7055.0</v>
      </c>
      <c r="C9" s="179">
        <v>0.12</v>
      </c>
      <c r="D9" s="63">
        <v>0.65</v>
      </c>
      <c r="E9" s="63">
        <v>0.65</v>
      </c>
      <c r="F9" s="39"/>
      <c r="H9" s="29"/>
      <c r="L9" s="144" t="s">
        <v>3956</v>
      </c>
      <c r="M9" s="35">
        <v>7055.0</v>
      </c>
      <c r="N9" s="36"/>
      <c r="P9" s="144" t="s">
        <v>3956</v>
      </c>
      <c r="Q9" s="35">
        <v>7055.0</v>
      </c>
      <c r="R9" s="36"/>
    </row>
    <row r="10">
      <c r="A10" s="101" t="s">
        <v>3957</v>
      </c>
      <c r="B10" s="25">
        <v>5125.0</v>
      </c>
      <c r="C10" s="179">
        <v>0.12</v>
      </c>
      <c r="D10" s="63">
        <v>0.65</v>
      </c>
      <c r="E10" s="63">
        <v>0.65</v>
      </c>
      <c r="F10" s="39"/>
      <c r="H10" s="29"/>
      <c r="L10" s="5" t="s">
        <v>3957</v>
      </c>
      <c r="M10" s="11">
        <v>5125.0</v>
      </c>
      <c r="P10" s="5" t="s">
        <v>3957</v>
      </c>
      <c r="Q10" s="11">
        <v>5125.0</v>
      </c>
    </row>
    <row r="11">
      <c r="A11" s="101" t="s">
        <v>3958</v>
      </c>
      <c r="B11" s="25">
        <v>6772.0</v>
      </c>
      <c r="C11" s="179">
        <v>0.12</v>
      </c>
      <c r="D11" s="63">
        <v>0.65</v>
      </c>
      <c r="E11" s="63">
        <v>0.65</v>
      </c>
      <c r="F11" s="39"/>
      <c r="H11" s="29"/>
      <c r="L11" s="5" t="s">
        <v>3958</v>
      </c>
      <c r="M11" s="11">
        <v>6772.0</v>
      </c>
      <c r="P11" s="5" t="s">
        <v>3958</v>
      </c>
      <c r="Q11" s="11">
        <v>6772.0</v>
      </c>
    </row>
    <row r="12">
      <c r="A12" s="101" t="s">
        <v>3959</v>
      </c>
      <c r="B12" s="25">
        <v>7033.0</v>
      </c>
      <c r="C12" s="179">
        <v>0.12</v>
      </c>
      <c r="D12" s="63">
        <v>0.65</v>
      </c>
      <c r="E12" s="63">
        <v>0.65</v>
      </c>
      <c r="F12" s="39"/>
      <c r="H12" s="29"/>
      <c r="L12" s="5" t="s">
        <v>3959</v>
      </c>
      <c r="M12" s="11">
        <v>7033.0</v>
      </c>
      <c r="P12" s="5" t="s">
        <v>3959</v>
      </c>
      <c r="Q12" s="11">
        <v>7033.0</v>
      </c>
    </row>
    <row r="13">
      <c r="A13" s="101" t="s">
        <v>3960</v>
      </c>
      <c r="B13" s="25">
        <v>6887.0</v>
      </c>
      <c r="C13" s="179">
        <v>0.12</v>
      </c>
      <c r="D13" s="63">
        <v>0.65</v>
      </c>
      <c r="E13" s="63">
        <v>0.65</v>
      </c>
      <c r="F13" s="39"/>
      <c r="H13" s="29"/>
      <c r="L13" s="144" t="s">
        <v>3960</v>
      </c>
      <c r="M13" s="35">
        <v>6887.0</v>
      </c>
      <c r="N13" s="36"/>
      <c r="P13" s="144" t="s">
        <v>3960</v>
      </c>
      <c r="Q13" s="35">
        <v>6887.0</v>
      </c>
      <c r="R13" s="36"/>
    </row>
    <row r="14">
      <c r="A14" s="101" t="s">
        <v>3961</v>
      </c>
      <c r="B14" s="25">
        <v>189.0</v>
      </c>
      <c r="C14" s="179">
        <v>0.12</v>
      </c>
      <c r="D14" s="63">
        <v>0.65</v>
      </c>
      <c r="E14" s="63">
        <v>0.65</v>
      </c>
      <c r="F14" s="39"/>
      <c r="H14" s="29"/>
      <c r="L14" s="144" t="s">
        <v>3961</v>
      </c>
      <c r="M14" s="35">
        <v>189.0</v>
      </c>
      <c r="N14" s="36"/>
      <c r="P14" s="144" t="s">
        <v>3961</v>
      </c>
      <c r="Q14" s="35">
        <v>189.0</v>
      </c>
      <c r="R14" s="36"/>
    </row>
    <row r="15">
      <c r="A15" s="101" t="s">
        <v>3962</v>
      </c>
      <c r="B15" s="25">
        <v>189.0</v>
      </c>
      <c r="C15" s="179">
        <v>0.12</v>
      </c>
      <c r="D15" s="63">
        <v>0.65</v>
      </c>
      <c r="E15" s="63">
        <v>0.65</v>
      </c>
      <c r="F15" s="39"/>
      <c r="H15" s="29"/>
      <c r="L15" s="144" t="s">
        <v>3962</v>
      </c>
      <c r="M15" s="35">
        <v>189.0</v>
      </c>
      <c r="N15" s="36"/>
      <c r="P15" s="144" t="s">
        <v>3962</v>
      </c>
      <c r="Q15" s="35">
        <v>189.0</v>
      </c>
      <c r="R15" s="36"/>
    </row>
    <row r="16">
      <c r="A16" s="101" t="s">
        <v>3963</v>
      </c>
      <c r="B16" s="25">
        <v>2345.0</v>
      </c>
      <c r="C16" s="179">
        <v>0.12</v>
      </c>
      <c r="D16" s="63">
        <v>0.9</v>
      </c>
      <c r="E16" s="63">
        <v>0.9</v>
      </c>
      <c r="F16" s="39"/>
      <c r="H16" s="29"/>
      <c r="L16" s="144" t="s">
        <v>3963</v>
      </c>
      <c r="M16" s="35">
        <v>2345.0</v>
      </c>
      <c r="N16" s="36"/>
      <c r="P16" s="144" t="s">
        <v>3963</v>
      </c>
      <c r="Q16" s="35">
        <v>2345.0</v>
      </c>
      <c r="R16" s="36"/>
    </row>
    <row r="17">
      <c r="A17" s="101" t="s">
        <v>3964</v>
      </c>
      <c r="B17" s="25">
        <v>6669.0</v>
      </c>
      <c r="C17" s="179">
        <v>0.12</v>
      </c>
      <c r="D17" s="63">
        <v>0.65</v>
      </c>
      <c r="E17" s="63">
        <v>0.65</v>
      </c>
      <c r="F17" s="39"/>
      <c r="H17" s="29"/>
      <c r="L17" s="144" t="s">
        <v>3964</v>
      </c>
      <c r="M17" s="35">
        <v>6669.0</v>
      </c>
      <c r="N17" s="36"/>
      <c r="P17" s="144" t="s">
        <v>3964</v>
      </c>
      <c r="Q17" s="35">
        <v>6669.0</v>
      </c>
      <c r="R17" s="36"/>
    </row>
    <row r="18">
      <c r="A18" s="101" t="s">
        <v>3965</v>
      </c>
      <c r="B18" s="25">
        <v>8199.0</v>
      </c>
      <c r="C18" s="179">
        <v>0.12</v>
      </c>
      <c r="D18" s="63">
        <v>0.65</v>
      </c>
      <c r="E18" s="63">
        <v>0.65</v>
      </c>
      <c r="F18" s="39"/>
      <c r="H18" s="29"/>
      <c r="L18" s="144" t="s">
        <v>3965</v>
      </c>
      <c r="M18" s="35">
        <v>8199.0</v>
      </c>
      <c r="N18" s="36"/>
      <c r="P18" s="144" t="s">
        <v>3965</v>
      </c>
      <c r="Q18" s="35">
        <v>8199.0</v>
      </c>
      <c r="R18" s="36"/>
    </row>
    <row r="19">
      <c r="A19" s="101" t="s">
        <v>3966</v>
      </c>
      <c r="B19" s="25">
        <v>2345.0</v>
      </c>
      <c r="C19" s="179">
        <v>0.12</v>
      </c>
      <c r="D19" s="63">
        <v>0.9</v>
      </c>
      <c r="E19" s="63">
        <v>0.9</v>
      </c>
      <c r="F19" s="39"/>
      <c r="H19" s="29"/>
      <c r="L19" s="5" t="s">
        <v>3966</v>
      </c>
      <c r="M19" s="11">
        <v>2345.0</v>
      </c>
      <c r="P19" s="5" t="s">
        <v>3966</v>
      </c>
      <c r="Q19" s="11">
        <v>2345.0</v>
      </c>
    </row>
    <row r="20">
      <c r="A20" s="101" t="s">
        <v>3967</v>
      </c>
      <c r="B20" s="25">
        <v>7023.0</v>
      </c>
      <c r="C20" s="179">
        <v>0.12</v>
      </c>
      <c r="D20" s="63">
        <v>0.65</v>
      </c>
      <c r="E20" s="63">
        <v>0.65</v>
      </c>
      <c r="F20" s="39"/>
      <c r="H20" s="29"/>
      <c r="L20" s="5" t="s">
        <v>3967</v>
      </c>
      <c r="M20" s="11">
        <v>7023.0</v>
      </c>
      <c r="P20" s="5" t="s">
        <v>3967</v>
      </c>
      <c r="Q20" s="11">
        <v>7023.0</v>
      </c>
    </row>
    <row r="21">
      <c r="A21" s="101" t="s">
        <v>3968</v>
      </c>
      <c r="B21" s="25">
        <v>7183.0</v>
      </c>
      <c r="C21" s="179">
        <v>0.12</v>
      </c>
      <c r="D21" s="63">
        <v>0.65</v>
      </c>
      <c r="E21" s="63">
        <v>0.65</v>
      </c>
      <c r="F21" s="39"/>
      <c r="H21" s="29"/>
      <c r="L21" s="144" t="s">
        <v>3968</v>
      </c>
      <c r="M21" s="35">
        <v>7183.0</v>
      </c>
      <c r="N21" s="36"/>
      <c r="P21" s="144" t="s">
        <v>3968</v>
      </c>
      <c r="Q21" s="35">
        <v>7183.0</v>
      </c>
      <c r="R21" s="36"/>
    </row>
    <row r="22">
      <c r="A22" s="101" t="s">
        <v>3969</v>
      </c>
      <c r="B22" s="25">
        <v>930.0</v>
      </c>
      <c r="C22" s="179">
        <v>0.12</v>
      </c>
      <c r="D22" s="63">
        <v>0.65</v>
      </c>
      <c r="E22" s="63">
        <v>0.65</v>
      </c>
      <c r="F22" s="39"/>
      <c r="H22" s="29"/>
      <c r="L22" s="144" t="s">
        <v>3969</v>
      </c>
      <c r="M22" s="35">
        <v>930.0</v>
      </c>
      <c r="N22" s="36"/>
      <c r="P22" s="144" t="s">
        <v>3969</v>
      </c>
      <c r="Q22" s="35">
        <v>930.0</v>
      </c>
      <c r="R22" s="36"/>
    </row>
    <row r="23">
      <c r="A23" s="101" t="s">
        <v>3970</v>
      </c>
      <c r="B23" s="25">
        <v>6887.0</v>
      </c>
      <c r="C23" s="179">
        <v>0.12</v>
      </c>
      <c r="D23" s="63">
        <v>0.65</v>
      </c>
      <c r="E23" s="63">
        <v>0.65</v>
      </c>
      <c r="F23" s="39"/>
      <c r="H23" s="29"/>
      <c r="L23" s="144" t="s">
        <v>3970</v>
      </c>
      <c r="M23" s="35">
        <v>6887.0</v>
      </c>
      <c r="N23" s="36"/>
      <c r="P23" s="144" t="s">
        <v>3970</v>
      </c>
      <c r="Q23" s="35">
        <v>6887.0</v>
      </c>
      <c r="R23" s="36"/>
    </row>
    <row r="24">
      <c r="A24" s="101" t="s">
        <v>3971</v>
      </c>
      <c r="B24" s="25">
        <v>6887.0</v>
      </c>
      <c r="C24" s="179">
        <v>0.12</v>
      </c>
      <c r="D24" s="63">
        <v>0.65</v>
      </c>
      <c r="E24" s="63">
        <v>0.65</v>
      </c>
      <c r="F24" s="39"/>
      <c r="H24" s="29"/>
      <c r="L24" s="144" t="s">
        <v>3971</v>
      </c>
      <c r="M24" s="35">
        <v>6887.0</v>
      </c>
      <c r="N24" s="36"/>
      <c r="P24" s="144" t="s">
        <v>3971</v>
      </c>
      <c r="Q24" s="35">
        <v>6887.0</v>
      </c>
      <c r="R24" s="36"/>
    </row>
    <row r="25">
      <c r="A25" s="101" t="s">
        <v>3972</v>
      </c>
      <c r="B25" s="25">
        <v>136.0</v>
      </c>
      <c r="C25" s="179">
        <v>0.12</v>
      </c>
      <c r="D25" s="63">
        <v>0.65</v>
      </c>
      <c r="E25" s="63">
        <v>0.65</v>
      </c>
      <c r="F25" s="39"/>
      <c r="H25" s="21"/>
      <c r="L25" s="144" t="s">
        <v>3972</v>
      </c>
      <c r="M25" s="35">
        <v>136.0</v>
      </c>
      <c r="N25" s="36"/>
      <c r="P25" s="144" t="s">
        <v>3972</v>
      </c>
      <c r="Q25" s="35">
        <v>136.0</v>
      </c>
      <c r="R25" s="36"/>
    </row>
    <row r="26">
      <c r="A26" s="101" t="s">
        <v>3973</v>
      </c>
      <c r="B26" s="25">
        <v>2345.0</v>
      </c>
      <c r="C26" s="179">
        <v>0.12</v>
      </c>
      <c r="D26" s="63">
        <v>0.9</v>
      </c>
      <c r="E26" s="63">
        <v>0.9</v>
      </c>
      <c r="F26" s="39"/>
      <c r="H26" s="21"/>
      <c r="L26" s="144" t="s">
        <v>3973</v>
      </c>
      <c r="M26" s="35">
        <v>2345.0</v>
      </c>
      <c r="N26" s="36"/>
      <c r="P26" s="144" t="s">
        <v>3973</v>
      </c>
      <c r="Q26" s="35">
        <v>2345.0</v>
      </c>
      <c r="R26" s="36"/>
    </row>
    <row r="27">
      <c r="A27" s="101" t="s">
        <v>3974</v>
      </c>
      <c r="B27" s="25">
        <v>10141.0</v>
      </c>
      <c r="C27" s="179">
        <v>0.12</v>
      </c>
      <c r="D27" s="63">
        <v>0.65</v>
      </c>
      <c r="E27" s="63">
        <v>0.65</v>
      </c>
      <c r="F27" s="39"/>
      <c r="H27" s="21"/>
      <c r="L27" s="5" t="s">
        <v>3974</v>
      </c>
      <c r="M27" s="11">
        <v>10141.0</v>
      </c>
      <c r="P27" s="5" t="s">
        <v>3974</v>
      </c>
      <c r="Q27" s="11">
        <v>10141.0</v>
      </c>
    </row>
    <row r="28">
      <c r="A28" s="101" t="s">
        <v>3975</v>
      </c>
      <c r="B28" s="25">
        <v>6669.0</v>
      </c>
      <c r="C28" s="179">
        <v>0.12</v>
      </c>
      <c r="D28" s="63">
        <v>0.65</v>
      </c>
      <c r="E28" s="63">
        <v>0.65</v>
      </c>
      <c r="F28" s="39"/>
      <c r="H28" s="21"/>
      <c r="L28" s="5" t="s">
        <v>3975</v>
      </c>
      <c r="M28" s="11">
        <v>6669.0</v>
      </c>
      <c r="P28" s="5" t="s">
        <v>3975</v>
      </c>
      <c r="Q28" s="11">
        <v>6669.0</v>
      </c>
    </row>
    <row r="29">
      <c r="A29" s="101" t="s">
        <v>3976</v>
      </c>
      <c r="B29" s="25">
        <v>6669.0</v>
      </c>
      <c r="C29" s="179">
        <v>0.12</v>
      </c>
      <c r="D29" s="63">
        <v>0.65</v>
      </c>
      <c r="E29" s="63">
        <v>0.65</v>
      </c>
      <c r="F29" s="39"/>
      <c r="H29" s="21"/>
      <c r="L29" s="144" t="s">
        <v>3976</v>
      </c>
      <c r="M29" s="35">
        <v>6669.0</v>
      </c>
      <c r="N29" s="36"/>
      <c r="P29" s="144" t="s">
        <v>3976</v>
      </c>
      <c r="Q29" s="35">
        <v>6669.0</v>
      </c>
      <c r="R29" s="36"/>
    </row>
    <row r="30">
      <c r="A30" s="101" t="s">
        <v>3977</v>
      </c>
      <c r="B30" s="25">
        <v>2345.0</v>
      </c>
      <c r="C30" s="179">
        <v>0.12</v>
      </c>
      <c r="D30" s="63">
        <v>0.9</v>
      </c>
      <c r="E30" s="63">
        <v>0.9</v>
      </c>
      <c r="F30" s="39"/>
      <c r="H30" s="21"/>
      <c r="L30" s="5" t="s">
        <v>3977</v>
      </c>
      <c r="M30" s="11">
        <v>2345.0</v>
      </c>
      <c r="P30" s="5" t="s">
        <v>3977</v>
      </c>
      <c r="Q30" s="11">
        <v>2345.0</v>
      </c>
    </row>
    <row r="31">
      <c r="A31" s="101" t="s">
        <v>3978</v>
      </c>
      <c r="B31" s="25">
        <v>3616.0</v>
      </c>
      <c r="C31" s="179">
        <v>0.12</v>
      </c>
      <c r="D31" s="63">
        <v>0.65</v>
      </c>
      <c r="E31" s="63">
        <v>0.65</v>
      </c>
      <c r="F31" s="39"/>
      <c r="H31" s="21"/>
      <c r="L31" s="144" t="s">
        <v>3978</v>
      </c>
      <c r="M31" s="35">
        <v>3616.0</v>
      </c>
      <c r="N31" s="36"/>
      <c r="P31" s="144" t="s">
        <v>3978</v>
      </c>
      <c r="Q31" s="35">
        <v>3616.0</v>
      </c>
      <c r="R31" s="36"/>
    </row>
    <row r="32">
      <c r="A32" s="101" t="s">
        <v>3979</v>
      </c>
      <c r="B32" s="25">
        <v>6675.0</v>
      </c>
      <c r="C32" s="179">
        <v>0.12</v>
      </c>
      <c r="D32" s="63">
        <v>0.85</v>
      </c>
      <c r="E32" s="63">
        <v>0.85</v>
      </c>
      <c r="H32" s="21"/>
      <c r="L32" s="144" t="s">
        <v>3979</v>
      </c>
      <c r="M32" s="35">
        <v>6675.0</v>
      </c>
      <c r="N32" s="36"/>
      <c r="P32" s="144" t="s">
        <v>3979</v>
      </c>
      <c r="Q32" s="35">
        <v>6675.0</v>
      </c>
      <c r="R32" s="36"/>
    </row>
    <row r="33">
      <c r="A33" s="101" t="s">
        <v>3980</v>
      </c>
      <c r="B33" s="25">
        <v>7031.0</v>
      </c>
      <c r="C33" s="179">
        <v>0.12</v>
      </c>
      <c r="D33" s="63">
        <v>0.65</v>
      </c>
      <c r="E33" s="63">
        <v>0.65</v>
      </c>
      <c r="H33" s="21"/>
      <c r="L33" s="5" t="s">
        <v>3980</v>
      </c>
      <c r="M33" s="11">
        <v>7031.0</v>
      </c>
      <c r="P33" s="5" t="s">
        <v>3980</v>
      </c>
      <c r="Q33" s="11">
        <v>7031.0</v>
      </c>
    </row>
    <row r="34">
      <c r="A34" s="101" t="s">
        <v>3981</v>
      </c>
      <c r="B34" s="25">
        <v>6936.0</v>
      </c>
      <c r="C34" s="179">
        <v>0.12</v>
      </c>
      <c r="D34" s="63">
        <v>0.65</v>
      </c>
      <c r="E34" s="63">
        <v>0.65</v>
      </c>
      <c r="H34" s="21"/>
      <c r="L34" s="144" t="s">
        <v>3981</v>
      </c>
      <c r="M34" s="35">
        <v>6936.0</v>
      </c>
      <c r="N34" s="36"/>
      <c r="P34" s="144" t="s">
        <v>3981</v>
      </c>
      <c r="Q34" s="35">
        <v>6936.0</v>
      </c>
      <c r="R34" s="36"/>
    </row>
    <row r="35">
      <c r="A35" s="101" t="s">
        <v>3982</v>
      </c>
      <c r="B35" s="25">
        <v>7142.0</v>
      </c>
      <c r="C35" s="179">
        <v>0.12</v>
      </c>
      <c r="D35" s="63">
        <v>0.65</v>
      </c>
      <c r="E35" s="63">
        <v>0.65</v>
      </c>
      <c r="H35" s="21"/>
      <c r="L35" s="144" t="s">
        <v>3982</v>
      </c>
      <c r="M35" s="35">
        <v>6893.0</v>
      </c>
      <c r="N35" s="36"/>
      <c r="P35" s="144" t="s">
        <v>3982</v>
      </c>
      <c r="Q35" s="35">
        <v>6893.0</v>
      </c>
      <c r="R35" s="36"/>
    </row>
    <row r="36">
      <c r="A36" s="101" t="s">
        <v>3983</v>
      </c>
      <c r="B36" s="25">
        <v>2345.0</v>
      </c>
      <c r="C36" s="179">
        <v>0.12</v>
      </c>
      <c r="D36" s="63">
        <v>0.9</v>
      </c>
      <c r="E36" s="63">
        <v>0.9</v>
      </c>
      <c r="H36" s="21"/>
      <c r="L36" s="144" t="s">
        <v>3983</v>
      </c>
      <c r="M36" s="35">
        <v>2345.0</v>
      </c>
      <c r="N36" s="36"/>
      <c r="P36" s="144" t="s">
        <v>3983</v>
      </c>
      <c r="Q36" s="35">
        <v>2345.0</v>
      </c>
      <c r="R36" s="36"/>
    </row>
    <row r="37">
      <c r="A37" s="101" t="s">
        <v>3984</v>
      </c>
      <c r="B37" s="25">
        <v>3307.0</v>
      </c>
      <c r="C37" s="179">
        <v>0.12</v>
      </c>
      <c r="D37" s="63">
        <v>0.65</v>
      </c>
      <c r="E37" s="63">
        <v>0.65</v>
      </c>
      <c r="H37" s="21"/>
      <c r="L37" s="5" t="s">
        <v>3984</v>
      </c>
      <c r="M37" s="11">
        <v>3307.0</v>
      </c>
      <c r="P37" s="5" t="s">
        <v>3984</v>
      </c>
      <c r="Q37" s="11">
        <v>3307.0</v>
      </c>
    </row>
    <row r="38">
      <c r="A38" s="101" t="s">
        <v>3985</v>
      </c>
      <c r="B38" s="25">
        <v>10856.0</v>
      </c>
      <c r="C38" s="179">
        <v>0.12</v>
      </c>
      <c r="D38" s="63">
        <v>0.65</v>
      </c>
      <c r="E38" s="63">
        <v>0.65</v>
      </c>
      <c r="L38" s="5" t="s">
        <v>3985</v>
      </c>
      <c r="M38" s="11">
        <v>10856.0</v>
      </c>
      <c r="P38" s="5" t="s">
        <v>3985</v>
      </c>
      <c r="Q38" s="11">
        <v>10856.0</v>
      </c>
    </row>
    <row r="39">
      <c r="A39" s="101" t="s">
        <v>3986</v>
      </c>
      <c r="B39" s="25">
        <v>7168.0</v>
      </c>
      <c r="C39" s="179">
        <v>0.12</v>
      </c>
      <c r="D39" s="63">
        <v>0.65</v>
      </c>
      <c r="E39" s="63">
        <v>0.65</v>
      </c>
      <c r="L39" s="144" t="s">
        <v>3986</v>
      </c>
      <c r="M39" s="35">
        <v>7168.0</v>
      </c>
      <c r="N39" s="36"/>
      <c r="P39" s="144" t="s">
        <v>3986</v>
      </c>
      <c r="Q39" s="35">
        <v>7168.0</v>
      </c>
      <c r="R39" s="36"/>
    </row>
    <row r="40">
      <c r="A40" s="101" t="s">
        <v>3987</v>
      </c>
      <c r="B40" s="25">
        <v>10923.0</v>
      </c>
      <c r="C40" s="179">
        <v>0.12</v>
      </c>
      <c r="D40" s="63">
        <v>0.65</v>
      </c>
      <c r="E40" s="63">
        <v>0.65</v>
      </c>
      <c r="L40" s="5" t="s">
        <v>3987</v>
      </c>
      <c r="M40" s="11">
        <v>10923.0</v>
      </c>
      <c r="P40" s="5" t="s">
        <v>3987</v>
      </c>
      <c r="Q40" s="11">
        <v>10923.0</v>
      </c>
    </row>
    <row r="41">
      <c r="A41" s="101" t="s">
        <v>3988</v>
      </c>
      <c r="B41" s="25">
        <v>2345.0</v>
      </c>
      <c r="C41" s="179">
        <v>0.12</v>
      </c>
      <c r="D41" s="63">
        <v>0.9</v>
      </c>
      <c r="E41" s="63">
        <v>0.9</v>
      </c>
      <c r="L41" s="5" t="s">
        <v>3988</v>
      </c>
      <c r="M41" s="11">
        <v>2345.0</v>
      </c>
      <c r="P41" s="5" t="s">
        <v>3988</v>
      </c>
      <c r="Q41" s="11">
        <v>2345.0</v>
      </c>
    </row>
    <row r="42">
      <c r="A42" s="101" t="s">
        <v>3989</v>
      </c>
      <c r="B42" s="25">
        <v>315.0</v>
      </c>
      <c r="C42" s="179">
        <v>0.12</v>
      </c>
      <c r="D42" s="63">
        <v>0.65</v>
      </c>
      <c r="E42" s="63">
        <v>0.65</v>
      </c>
      <c r="L42" s="144" t="s">
        <v>3989</v>
      </c>
      <c r="M42" s="35">
        <v>315.0</v>
      </c>
      <c r="N42" s="36"/>
      <c r="P42" s="144" t="s">
        <v>3989</v>
      </c>
      <c r="Q42" s="35">
        <v>315.0</v>
      </c>
      <c r="R42" s="36"/>
    </row>
    <row r="43">
      <c r="A43" s="101" t="s">
        <v>3990</v>
      </c>
      <c r="B43" s="25">
        <v>7747.0</v>
      </c>
      <c r="C43" s="179">
        <v>0.12</v>
      </c>
      <c r="D43" s="63">
        <v>0.65</v>
      </c>
      <c r="E43" s="63">
        <v>0.65</v>
      </c>
      <c r="L43" s="144" t="s">
        <v>3990</v>
      </c>
      <c r="M43" s="35">
        <v>7747.0</v>
      </c>
      <c r="N43" s="36"/>
      <c r="P43" s="144" t="s">
        <v>3990</v>
      </c>
      <c r="Q43" s="35">
        <v>7747.0</v>
      </c>
      <c r="R43" s="36"/>
    </row>
    <row r="44">
      <c r="A44" s="101" t="s">
        <v>3991</v>
      </c>
      <c r="B44" s="25">
        <v>11104.0</v>
      </c>
      <c r="C44" s="179">
        <v>0.12</v>
      </c>
      <c r="D44" s="63">
        <v>0.65</v>
      </c>
      <c r="E44" s="63">
        <v>0.65</v>
      </c>
      <c r="L44" s="144" t="s">
        <v>3991</v>
      </c>
      <c r="M44" s="35">
        <v>11104.0</v>
      </c>
      <c r="N44" s="36"/>
      <c r="P44" s="144" t="s">
        <v>3991</v>
      </c>
      <c r="Q44" s="35">
        <v>11104.0</v>
      </c>
      <c r="R44" s="36"/>
    </row>
    <row r="45">
      <c r="A45" s="101" t="s">
        <v>3992</v>
      </c>
      <c r="B45" s="25">
        <v>14055.0</v>
      </c>
      <c r="C45" s="179">
        <v>0.12</v>
      </c>
      <c r="D45" s="63">
        <v>0.65</v>
      </c>
      <c r="E45" s="63">
        <v>0.65</v>
      </c>
      <c r="L45" s="144" t="s">
        <v>3992</v>
      </c>
      <c r="M45" s="109">
        <v>14055.0</v>
      </c>
      <c r="N45" s="36"/>
      <c r="P45" s="144" t="s">
        <v>3992</v>
      </c>
      <c r="Q45" s="109">
        <v>14055.0</v>
      </c>
      <c r="R45" s="36"/>
    </row>
    <row r="46">
      <c r="A46" s="101" t="s">
        <v>3993</v>
      </c>
      <c r="B46" s="25">
        <v>6891.0</v>
      </c>
      <c r="C46" s="179">
        <v>0.12</v>
      </c>
      <c r="D46" s="63">
        <v>0.65</v>
      </c>
      <c r="E46" s="63">
        <v>0.65</v>
      </c>
      <c r="L46" s="144" t="s">
        <v>3993</v>
      </c>
      <c r="M46" s="35">
        <v>6891.0</v>
      </c>
      <c r="N46" s="36"/>
      <c r="P46" s="144" t="s">
        <v>3993</v>
      </c>
      <c r="Q46" s="35">
        <v>6891.0</v>
      </c>
      <c r="R46" s="36"/>
    </row>
    <row r="47">
      <c r="A47" s="101" t="s">
        <v>3994</v>
      </c>
      <c r="B47" s="25">
        <v>7010.0</v>
      </c>
      <c r="C47" s="179">
        <v>0.12</v>
      </c>
      <c r="D47" s="179">
        <v>0.77</v>
      </c>
      <c r="E47" s="179">
        <v>0.77</v>
      </c>
      <c r="L47" s="144" t="s">
        <v>3994</v>
      </c>
      <c r="M47" s="35">
        <v>7010.0</v>
      </c>
      <c r="N47" s="36"/>
      <c r="P47" s="144" t="s">
        <v>3994</v>
      </c>
      <c r="Q47" s="35">
        <v>7010.0</v>
      </c>
      <c r="R47" s="36"/>
    </row>
    <row r="48">
      <c r="A48" s="101" t="s">
        <v>3995</v>
      </c>
      <c r="B48" s="25">
        <v>7010.0</v>
      </c>
      <c r="C48" s="179">
        <v>0.12</v>
      </c>
      <c r="D48" s="179">
        <v>0.77</v>
      </c>
      <c r="E48" s="179">
        <v>0.77</v>
      </c>
      <c r="L48" s="5" t="s">
        <v>3995</v>
      </c>
      <c r="M48" s="11">
        <v>7010.0</v>
      </c>
      <c r="P48" s="5" t="s">
        <v>3995</v>
      </c>
      <c r="Q48" s="11">
        <v>7010.0</v>
      </c>
    </row>
    <row r="49">
      <c r="A49" s="101" t="s">
        <v>3996</v>
      </c>
      <c r="B49" s="25">
        <v>6970.0</v>
      </c>
      <c r="C49" s="179">
        <v>0.12</v>
      </c>
      <c r="D49" s="63">
        <v>0.65</v>
      </c>
      <c r="E49" s="63">
        <v>0.65</v>
      </c>
      <c r="L49" s="144" t="s">
        <v>3996</v>
      </c>
      <c r="M49" s="35">
        <v>6970.0</v>
      </c>
      <c r="N49" s="36"/>
      <c r="P49" s="144" t="s">
        <v>3996</v>
      </c>
      <c r="Q49" s="35">
        <v>6970.0</v>
      </c>
      <c r="R49" s="36"/>
    </row>
    <row r="50">
      <c r="A50" s="101" t="s">
        <v>3997</v>
      </c>
      <c r="B50" s="25">
        <v>6132.0</v>
      </c>
      <c r="C50" s="179">
        <v>0.12</v>
      </c>
      <c r="D50" s="63">
        <v>0.65</v>
      </c>
      <c r="E50" s="63">
        <v>0.65</v>
      </c>
      <c r="L50" s="5" t="s">
        <v>3997</v>
      </c>
      <c r="M50" s="11">
        <v>6132.0</v>
      </c>
      <c r="P50" s="5" t="s">
        <v>3997</v>
      </c>
      <c r="Q50" s="11">
        <v>6132.0</v>
      </c>
    </row>
    <row r="51">
      <c r="A51" s="101" t="s">
        <v>3998</v>
      </c>
      <c r="B51" s="25">
        <v>5458.0</v>
      </c>
      <c r="C51" s="179">
        <v>0.12</v>
      </c>
      <c r="D51" s="63">
        <v>0.65</v>
      </c>
      <c r="E51" s="63">
        <v>0.65</v>
      </c>
      <c r="L51" s="5" t="s">
        <v>3998</v>
      </c>
      <c r="M51" s="11">
        <v>5458.0</v>
      </c>
      <c r="P51" s="5" t="s">
        <v>3998</v>
      </c>
      <c r="Q51" s="11">
        <v>5458.0</v>
      </c>
    </row>
    <row r="52">
      <c r="A52" s="101" t="s">
        <v>3999</v>
      </c>
      <c r="B52" s="25">
        <v>663.0</v>
      </c>
      <c r="C52" s="179">
        <v>0.12</v>
      </c>
      <c r="D52" s="63">
        <v>0.65</v>
      </c>
      <c r="E52" s="63">
        <v>0.65</v>
      </c>
      <c r="L52" s="5" t="s">
        <v>3999</v>
      </c>
      <c r="M52" s="11">
        <v>663.0</v>
      </c>
      <c r="P52" s="5" t="s">
        <v>3999</v>
      </c>
      <c r="Q52" s="11">
        <v>663.0</v>
      </c>
    </row>
    <row r="53">
      <c r="A53" s="101" t="s">
        <v>4000</v>
      </c>
      <c r="B53" s="25">
        <v>6732.0</v>
      </c>
      <c r="C53" s="179">
        <v>0.12</v>
      </c>
      <c r="D53" s="179">
        <v>0.77</v>
      </c>
      <c r="E53" s="179">
        <v>0.77</v>
      </c>
      <c r="L53" s="144" t="s">
        <v>4000</v>
      </c>
      <c r="M53" s="35">
        <v>6732.0</v>
      </c>
      <c r="N53" s="36"/>
      <c r="P53" s="144" t="s">
        <v>4000</v>
      </c>
      <c r="Q53" s="35">
        <v>6732.0</v>
      </c>
      <c r="R53" s="36"/>
    </row>
    <row r="54">
      <c r="A54" s="101" t="s">
        <v>4001</v>
      </c>
      <c r="B54" s="25">
        <v>12550.0</v>
      </c>
      <c r="C54" s="179">
        <v>0.12</v>
      </c>
      <c r="D54" s="63">
        <v>0.65</v>
      </c>
      <c r="E54" s="63">
        <v>0.65</v>
      </c>
      <c r="L54" s="144" t="s">
        <v>4001</v>
      </c>
      <c r="M54" s="35">
        <v>12550.0</v>
      </c>
      <c r="N54" s="35">
        <v>6732.0</v>
      </c>
      <c r="P54" s="144" t="s">
        <v>4001</v>
      </c>
      <c r="Q54" s="35">
        <v>12550.0</v>
      </c>
      <c r="R54" s="35">
        <v>6732.0</v>
      </c>
    </row>
    <row r="55">
      <c r="A55" s="101" t="s">
        <v>4002</v>
      </c>
      <c r="B55" s="25">
        <v>6732.0</v>
      </c>
      <c r="C55" s="179">
        <v>0.12</v>
      </c>
      <c r="D55" s="179">
        <v>0.77</v>
      </c>
      <c r="E55" s="179">
        <v>0.77</v>
      </c>
      <c r="L55" s="144" t="s">
        <v>4002</v>
      </c>
      <c r="M55" s="35">
        <v>6732.0</v>
      </c>
      <c r="N55" s="36"/>
      <c r="P55" s="144" t="s">
        <v>4002</v>
      </c>
      <c r="Q55" s="35">
        <v>6732.0</v>
      </c>
      <c r="R55" s="36"/>
    </row>
    <row r="56">
      <c r="A56" s="101" t="s">
        <v>4003</v>
      </c>
      <c r="B56" s="25">
        <v>6875.0</v>
      </c>
      <c r="C56" s="179">
        <v>0.12</v>
      </c>
      <c r="D56" s="63">
        <v>0.65</v>
      </c>
      <c r="E56" s="63">
        <v>0.65</v>
      </c>
      <c r="L56" s="144" t="s">
        <v>4003</v>
      </c>
      <c r="M56" s="35">
        <v>6875.0</v>
      </c>
      <c r="N56" s="36"/>
      <c r="P56" s="144" t="s">
        <v>4003</v>
      </c>
      <c r="Q56" s="35">
        <v>6875.0</v>
      </c>
      <c r="R56" s="36"/>
    </row>
    <row r="57">
      <c r="A57" s="101" t="s">
        <v>4004</v>
      </c>
      <c r="B57" s="25">
        <v>13829.0</v>
      </c>
      <c r="C57" s="179">
        <v>0.12</v>
      </c>
      <c r="D57" s="63">
        <v>0.65</v>
      </c>
      <c r="E57" s="63">
        <v>0.65</v>
      </c>
      <c r="L57" s="144" t="s">
        <v>4004</v>
      </c>
      <c r="M57" s="109">
        <v>13829.0</v>
      </c>
      <c r="N57" s="36"/>
      <c r="P57" s="144" t="s">
        <v>4004</v>
      </c>
      <c r="Q57" s="109">
        <v>13829.0</v>
      </c>
      <c r="R57" s="36"/>
    </row>
    <row r="58">
      <c r="A58" s="101" t="s">
        <v>4005</v>
      </c>
      <c r="B58" s="25">
        <v>7492.0</v>
      </c>
      <c r="C58" s="179">
        <v>0.12</v>
      </c>
      <c r="D58" s="179">
        <v>0.7</v>
      </c>
      <c r="E58" s="179">
        <v>0.7</v>
      </c>
      <c r="L58" s="144" t="s">
        <v>4005</v>
      </c>
      <c r="M58" s="35">
        <v>7492.0</v>
      </c>
      <c r="N58" s="36"/>
      <c r="P58" s="144" t="s">
        <v>4005</v>
      </c>
      <c r="Q58" s="35">
        <v>7492.0</v>
      </c>
      <c r="R58" s="36"/>
    </row>
    <row r="59">
      <c r="A59" s="101" t="s">
        <v>4006</v>
      </c>
      <c r="B59" s="25">
        <v>6729.0</v>
      </c>
      <c r="C59" s="179">
        <v>0.12</v>
      </c>
      <c r="D59" s="179">
        <v>0.77</v>
      </c>
      <c r="E59" s="179">
        <v>0.77</v>
      </c>
      <c r="L59" s="144" t="s">
        <v>4006</v>
      </c>
      <c r="M59" s="111">
        <v>6729.0</v>
      </c>
      <c r="N59" s="36"/>
      <c r="P59" s="144" t="s">
        <v>4006</v>
      </c>
      <c r="Q59" s="111">
        <v>6729.0</v>
      </c>
      <c r="R59" s="36"/>
    </row>
    <row r="60">
      <c r="A60" s="101" t="s">
        <v>4007</v>
      </c>
      <c r="B60" s="25">
        <v>7492.0</v>
      </c>
      <c r="C60" s="179">
        <v>0.12</v>
      </c>
      <c r="D60" s="179">
        <v>0.7</v>
      </c>
      <c r="E60" s="179">
        <v>0.7</v>
      </c>
      <c r="L60" s="144" t="s">
        <v>4007</v>
      </c>
      <c r="M60" s="35">
        <v>7492.0</v>
      </c>
      <c r="N60" s="36"/>
      <c r="P60" s="144" t="s">
        <v>4007</v>
      </c>
      <c r="Q60" s="35">
        <v>7492.0</v>
      </c>
      <c r="R60" s="36"/>
    </row>
    <row r="61">
      <c r="A61" s="101" t="s">
        <v>4008</v>
      </c>
      <c r="B61" s="25">
        <v>7229.0</v>
      </c>
      <c r="C61" s="179">
        <v>0.12</v>
      </c>
      <c r="D61" s="63">
        <v>0.65</v>
      </c>
      <c r="E61" s="63">
        <v>0.65</v>
      </c>
      <c r="L61" s="144" t="s">
        <v>4008</v>
      </c>
      <c r="M61" s="35">
        <v>7229.0</v>
      </c>
      <c r="N61" s="36"/>
      <c r="P61" s="144" t="s">
        <v>4008</v>
      </c>
      <c r="Q61" s="35">
        <v>7229.0</v>
      </c>
      <c r="R61" s="36"/>
    </row>
    <row r="62">
      <c r="A62" s="101" t="s">
        <v>4009</v>
      </c>
      <c r="B62" s="25">
        <v>7492.0</v>
      </c>
      <c r="C62" s="179">
        <v>0.12</v>
      </c>
      <c r="D62" s="179">
        <v>0.7</v>
      </c>
      <c r="E62" s="179">
        <v>0.7</v>
      </c>
      <c r="L62" s="144" t="s">
        <v>4009</v>
      </c>
      <c r="M62" s="35">
        <v>7492.0</v>
      </c>
      <c r="N62" s="36"/>
      <c r="P62" s="144" t="s">
        <v>4009</v>
      </c>
      <c r="Q62" s="35">
        <v>7492.0</v>
      </c>
      <c r="R62" s="36"/>
    </row>
    <row r="63">
      <c r="A63" s="101" t="s">
        <v>4010</v>
      </c>
      <c r="B63" s="25">
        <v>7100.0</v>
      </c>
      <c r="C63" s="179">
        <v>0.12</v>
      </c>
      <c r="D63" s="63">
        <v>0.65</v>
      </c>
      <c r="E63" s="63">
        <v>0.65</v>
      </c>
      <c r="L63" s="5" t="s">
        <v>4010</v>
      </c>
      <c r="M63" s="11">
        <v>7100.0</v>
      </c>
      <c r="P63" s="5" t="s">
        <v>4010</v>
      </c>
      <c r="Q63" s="11">
        <v>7100.0</v>
      </c>
    </row>
    <row r="64">
      <c r="A64" s="101" t="s">
        <v>4011</v>
      </c>
      <c r="B64" s="25">
        <v>7157.0</v>
      </c>
      <c r="C64" s="179">
        <v>0.12</v>
      </c>
      <c r="D64" s="63">
        <v>0.65</v>
      </c>
      <c r="E64" s="63">
        <v>0.65</v>
      </c>
      <c r="L64" s="5" t="s">
        <v>4011</v>
      </c>
      <c r="M64" s="11">
        <v>7157.0</v>
      </c>
      <c r="P64" s="5" t="s">
        <v>4011</v>
      </c>
      <c r="Q64" s="11">
        <v>7157.0</v>
      </c>
    </row>
    <row r="65">
      <c r="A65" s="101" t="s">
        <v>4012</v>
      </c>
      <c r="B65" s="25">
        <v>7040.0</v>
      </c>
      <c r="C65" s="179">
        <v>0.12</v>
      </c>
      <c r="D65" s="63">
        <v>0.65</v>
      </c>
      <c r="E65" s="63">
        <v>0.65</v>
      </c>
      <c r="L65" s="144" t="s">
        <v>4012</v>
      </c>
      <c r="M65" s="35">
        <v>7040.0</v>
      </c>
      <c r="N65" s="36"/>
      <c r="P65" s="144" t="s">
        <v>4012</v>
      </c>
      <c r="Q65" s="35">
        <v>7040.0</v>
      </c>
      <c r="R65" s="36"/>
    </row>
    <row r="66">
      <c r="A66" s="101" t="s">
        <v>4013</v>
      </c>
      <c r="B66" s="25">
        <v>1130.0</v>
      </c>
      <c r="C66" s="179">
        <v>0.12</v>
      </c>
      <c r="D66" s="63">
        <v>0.65</v>
      </c>
      <c r="E66" s="63">
        <v>0.65</v>
      </c>
      <c r="L66" s="144" t="s">
        <v>4013</v>
      </c>
      <c r="M66" s="35">
        <v>1130.0</v>
      </c>
      <c r="N66" s="36"/>
      <c r="P66" s="144" t="s">
        <v>4013</v>
      </c>
      <c r="Q66" s="35">
        <v>1130.0</v>
      </c>
      <c r="R66" s="36"/>
    </row>
    <row r="67">
      <c r="A67" s="101" t="s">
        <v>4014</v>
      </c>
      <c r="B67" s="25">
        <v>283.0</v>
      </c>
      <c r="C67" s="179">
        <v>0.12</v>
      </c>
      <c r="D67" s="63">
        <v>0.65</v>
      </c>
      <c r="E67" s="63">
        <v>0.65</v>
      </c>
      <c r="L67" s="144" t="s">
        <v>4014</v>
      </c>
      <c r="M67" s="35">
        <v>283.0</v>
      </c>
      <c r="N67" s="36"/>
      <c r="P67" s="144" t="s">
        <v>4014</v>
      </c>
      <c r="Q67" s="35">
        <v>283.0</v>
      </c>
      <c r="R67" s="36"/>
    </row>
    <row r="68">
      <c r="A68" s="101" t="s">
        <v>4015</v>
      </c>
      <c r="B68" s="25">
        <v>6133.0</v>
      </c>
      <c r="C68" s="179">
        <v>0.12</v>
      </c>
      <c r="D68" s="63">
        <v>0.65</v>
      </c>
      <c r="E68" s="63">
        <v>0.65</v>
      </c>
      <c r="L68" s="144" t="s">
        <v>4015</v>
      </c>
      <c r="M68" s="35">
        <v>6133.0</v>
      </c>
      <c r="N68" s="35">
        <v>6732.0</v>
      </c>
      <c r="P68" s="144" t="s">
        <v>4015</v>
      </c>
      <c r="Q68" s="35">
        <v>6133.0</v>
      </c>
      <c r="R68" s="35">
        <v>6732.0</v>
      </c>
    </row>
    <row r="69">
      <c r="A69" s="101" t="s">
        <v>4016</v>
      </c>
      <c r="B69" s="25">
        <v>14065.0</v>
      </c>
      <c r="C69" s="179">
        <v>0.12</v>
      </c>
      <c r="D69" s="63">
        <v>0.65</v>
      </c>
      <c r="E69" s="63">
        <v>0.65</v>
      </c>
      <c r="L69" s="144" t="s">
        <v>4016</v>
      </c>
      <c r="M69" s="35">
        <v>14065.0</v>
      </c>
      <c r="N69" s="35">
        <v>6732.0</v>
      </c>
      <c r="P69" s="144" t="s">
        <v>4016</v>
      </c>
      <c r="Q69" s="35">
        <v>14065.0</v>
      </c>
      <c r="R69" s="35">
        <v>6732.0</v>
      </c>
    </row>
    <row r="70">
      <c r="A70" s="101" t="s">
        <v>4017</v>
      </c>
      <c r="B70" s="25">
        <v>6557.0</v>
      </c>
      <c r="C70" s="179">
        <v>0.12</v>
      </c>
      <c r="D70" s="179">
        <v>0.77</v>
      </c>
      <c r="E70" s="179">
        <v>0.77</v>
      </c>
      <c r="L70" s="144" t="s">
        <v>4017</v>
      </c>
      <c r="M70" s="35">
        <v>6557.0</v>
      </c>
      <c r="N70" s="36"/>
      <c r="P70" s="144" t="s">
        <v>4017</v>
      </c>
      <c r="Q70" s="35">
        <v>6557.0</v>
      </c>
      <c r="R70" s="36"/>
    </row>
    <row r="71">
      <c r="A71" s="101" t="s">
        <v>4018</v>
      </c>
      <c r="B71" s="25">
        <v>6706.0</v>
      </c>
      <c r="C71" s="179">
        <v>0.12</v>
      </c>
      <c r="D71" s="179">
        <v>0.77</v>
      </c>
      <c r="E71" s="179">
        <v>0.77</v>
      </c>
      <c r="L71" s="144" t="s">
        <v>4018</v>
      </c>
      <c r="M71" s="35">
        <v>6706.0</v>
      </c>
      <c r="N71" s="36"/>
      <c r="P71" s="144" t="s">
        <v>4018</v>
      </c>
      <c r="Q71" s="35">
        <v>6706.0</v>
      </c>
      <c r="R71" s="36"/>
    </row>
    <row r="72">
      <c r="A72" s="101" t="s">
        <v>4019</v>
      </c>
      <c r="B72" s="25">
        <v>6802.0</v>
      </c>
      <c r="C72" s="179">
        <v>0.12</v>
      </c>
      <c r="D72" s="63">
        <v>0.65</v>
      </c>
      <c r="E72" s="63">
        <v>0.65</v>
      </c>
      <c r="L72" s="144" t="s">
        <v>4019</v>
      </c>
      <c r="M72" s="35">
        <v>6802.0</v>
      </c>
      <c r="N72" s="36"/>
      <c r="P72" s="144" t="s">
        <v>4019</v>
      </c>
      <c r="Q72" s="35">
        <v>6802.0</v>
      </c>
      <c r="R72" s="36"/>
    </row>
    <row r="73">
      <c r="A73" s="101" t="s">
        <v>4020</v>
      </c>
      <c r="B73" s="25">
        <v>7283.0</v>
      </c>
      <c r="C73" s="179">
        <v>0.12</v>
      </c>
      <c r="D73" s="63">
        <v>0.65</v>
      </c>
      <c r="E73" s="63">
        <v>0.65</v>
      </c>
      <c r="L73" s="144" t="s">
        <v>4020</v>
      </c>
      <c r="M73" s="35">
        <v>7283.0</v>
      </c>
      <c r="N73" s="36"/>
      <c r="P73" s="144" t="s">
        <v>4020</v>
      </c>
      <c r="Q73" s="35">
        <v>7283.0</v>
      </c>
      <c r="R73" s="36"/>
    </row>
    <row r="74">
      <c r="A74" s="101" t="s">
        <v>4021</v>
      </c>
      <c r="B74" s="25">
        <v>7010.0</v>
      </c>
      <c r="C74" s="179">
        <v>0.12</v>
      </c>
      <c r="D74" s="179">
        <v>0.77</v>
      </c>
      <c r="E74" s="179">
        <v>0.77</v>
      </c>
      <c r="L74" s="5" t="s">
        <v>4021</v>
      </c>
      <c r="M74" s="11">
        <v>7010.0</v>
      </c>
      <c r="P74" s="5" t="s">
        <v>4021</v>
      </c>
      <c r="Q74" s="11">
        <v>7010.0</v>
      </c>
    </row>
    <row r="75">
      <c r="A75" s="101" t="s">
        <v>4022</v>
      </c>
      <c r="B75" s="25">
        <v>6924.0</v>
      </c>
      <c r="C75" s="179">
        <v>0.12</v>
      </c>
      <c r="D75" s="63">
        <v>0.65</v>
      </c>
      <c r="E75" s="63">
        <v>0.65</v>
      </c>
      <c r="L75" s="144" t="s">
        <v>4022</v>
      </c>
      <c r="M75" s="35">
        <v>6924.0</v>
      </c>
      <c r="N75" s="36"/>
      <c r="P75" s="144" t="s">
        <v>4022</v>
      </c>
      <c r="Q75" s="35">
        <v>6924.0</v>
      </c>
      <c r="R75" s="36"/>
    </row>
    <row r="76">
      <c r="A76" s="101" t="s">
        <v>4023</v>
      </c>
      <c r="B76" s="25">
        <v>14575.0</v>
      </c>
      <c r="C76" s="179">
        <v>0.12</v>
      </c>
      <c r="D76" s="179">
        <v>0.85</v>
      </c>
      <c r="E76" s="179">
        <v>0.85</v>
      </c>
      <c r="L76" s="144" t="s">
        <v>4023</v>
      </c>
      <c r="M76" s="35">
        <v>8199.0</v>
      </c>
      <c r="N76" s="36"/>
      <c r="P76" s="144" t="s">
        <v>4023</v>
      </c>
      <c r="Q76" s="35">
        <v>8199.0</v>
      </c>
      <c r="R76" s="36"/>
    </row>
    <row r="77">
      <c r="A77" s="101" t="s">
        <v>4024</v>
      </c>
      <c r="B77" s="25">
        <v>6785.0</v>
      </c>
      <c r="C77" s="179">
        <v>0.12</v>
      </c>
      <c r="D77" s="63">
        <v>0.65</v>
      </c>
      <c r="E77" s="63">
        <v>0.65</v>
      </c>
      <c r="L77" s="5" t="s">
        <v>4024</v>
      </c>
      <c r="M77" s="11">
        <v>6785.0</v>
      </c>
      <c r="P77" s="5" t="s">
        <v>4024</v>
      </c>
      <c r="Q77" s="11">
        <v>6785.0</v>
      </c>
    </row>
    <row r="78">
      <c r="A78" s="101" t="s">
        <v>4025</v>
      </c>
      <c r="B78" s="25">
        <v>6671.0</v>
      </c>
      <c r="C78" s="179">
        <v>0.12</v>
      </c>
      <c r="D78" s="63">
        <v>0.65</v>
      </c>
      <c r="E78" s="63">
        <v>0.65</v>
      </c>
      <c r="L78" s="144" t="s">
        <v>4025</v>
      </c>
      <c r="M78" s="35">
        <v>6671.0</v>
      </c>
      <c r="N78" s="36"/>
      <c r="P78" s="144" t="s">
        <v>4025</v>
      </c>
      <c r="Q78" s="35">
        <v>6671.0</v>
      </c>
      <c r="R78" s="36"/>
    </row>
    <row r="79">
      <c r="A79" s="101" t="s">
        <v>4026</v>
      </c>
      <c r="B79" s="25">
        <v>7003.0</v>
      </c>
      <c r="C79" s="179">
        <v>0.12</v>
      </c>
      <c r="D79" s="63">
        <v>0.65</v>
      </c>
      <c r="E79" s="63">
        <v>0.65</v>
      </c>
      <c r="L79" s="144" t="s">
        <v>4026</v>
      </c>
      <c r="M79" s="35">
        <v>7003.0</v>
      </c>
      <c r="N79" s="36"/>
      <c r="P79" s="144" t="s">
        <v>4026</v>
      </c>
      <c r="Q79" s="35">
        <v>7003.0</v>
      </c>
      <c r="R79" s="36"/>
    </row>
    <row r="80">
      <c r="A80" s="101" t="s">
        <v>4027</v>
      </c>
      <c r="B80" s="25">
        <v>11708.0</v>
      </c>
      <c r="C80" s="179">
        <v>0.12</v>
      </c>
      <c r="D80" s="63">
        <v>0.65</v>
      </c>
      <c r="E80" s="63">
        <v>0.65</v>
      </c>
      <c r="L80" s="5" t="s">
        <v>4027</v>
      </c>
      <c r="M80" s="11">
        <v>11708.0</v>
      </c>
      <c r="P80" s="5" t="s">
        <v>4027</v>
      </c>
      <c r="Q80" s="11">
        <v>11708.0</v>
      </c>
    </row>
    <row r="81">
      <c r="A81" s="101" t="s">
        <v>4028</v>
      </c>
      <c r="B81" s="25">
        <v>8491.0</v>
      </c>
      <c r="C81" s="179">
        <v>0.12</v>
      </c>
      <c r="D81" s="63">
        <v>0.65</v>
      </c>
      <c r="E81" s="63">
        <v>0.65</v>
      </c>
      <c r="L81" s="144" t="s">
        <v>4028</v>
      </c>
      <c r="M81" s="35">
        <v>8491.0</v>
      </c>
      <c r="N81" s="36"/>
      <c r="P81" s="144" t="s">
        <v>4028</v>
      </c>
      <c r="Q81" s="35">
        <v>8491.0</v>
      </c>
      <c r="R81" s="36"/>
    </row>
    <row r="82">
      <c r="A82" s="101" t="s">
        <v>4029</v>
      </c>
      <c r="B82" s="25">
        <v>7186.0</v>
      </c>
      <c r="C82" s="179">
        <v>0.12</v>
      </c>
      <c r="D82" s="63">
        <v>0.65</v>
      </c>
      <c r="E82" s="63">
        <v>0.65</v>
      </c>
      <c r="L82" s="144" t="s">
        <v>4029</v>
      </c>
      <c r="M82" s="35">
        <v>7186.0</v>
      </c>
      <c r="N82" s="36"/>
      <c r="P82" s="144" t="s">
        <v>4029</v>
      </c>
      <c r="Q82" s="35">
        <v>7186.0</v>
      </c>
      <c r="R82" s="36"/>
    </row>
    <row r="83">
      <c r="A83" s="101" t="s">
        <v>4030</v>
      </c>
      <c r="B83" s="25">
        <v>9307.0</v>
      </c>
      <c r="C83" s="179">
        <v>0.12</v>
      </c>
      <c r="D83" s="63">
        <v>0.65</v>
      </c>
      <c r="E83" s="63">
        <v>0.65</v>
      </c>
      <c r="L83" s="144" t="s">
        <v>4030</v>
      </c>
      <c r="M83" s="35">
        <v>9307.0</v>
      </c>
      <c r="N83" s="36"/>
      <c r="P83" s="144" t="s">
        <v>4030</v>
      </c>
      <c r="Q83" s="35">
        <v>9307.0</v>
      </c>
      <c r="R83" s="36"/>
    </row>
    <row r="84">
      <c r="A84" s="101" t="s">
        <v>4031</v>
      </c>
      <c r="B84" s="25">
        <v>6924.0</v>
      </c>
      <c r="C84" s="179">
        <v>0.12</v>
      </c>
      <c r="D84" s="63">
        <v>0.65</v>
      </c>
      <c r="E84" s="63">
        <v>0.65</v>
      </c>
      <c r="L84" s="144" t="s">
        <v>4031</v>
      </c>
      <c r="M84" s="35">
        <v>6924.0</v>
      </c>
      <c r="N84" s="36"/>
      <c r="P84" s="144" t="s">
        <v>4031</v>
      </c>
      <c r="Q84" s="35">
        <v>6924.0</v>
      </c>
      <c r="R84" s="36"/>
    </row>
    <row r="85">
      <c r="A85" s="101" t="s">
        <v>4032</v>
      </c>
      <c r="B85" s="25">
        <v>7083.0</v>
      </c>
      <c r="C85" s="179">
        <v>0.12</v>
      </c>
      <c r="D85" s="63">
        <v>0.65</v>
      </c>
      <c r="E85" s="63">
        <v>0.65</v>
      </c>
      <c r="L85" s="5" t="s">
        <v>4032</v>
      </c>
      <c r="M85" s="11">
        <v>7083.0</v>
      </c>
      <c r="P85" s="5" t="s">
        <v>4032</v>
      </c>
      <c r="Q85" s="11">
        <v>7083.0</v>
      </c>
    </row>
    <row r="86">
      <c r="A86" s="101" t="s">
        <v>4033</v>
      </c>
      <c r="B86" s="25">
        <v>6829.0</v>
      </c>
      <c r="C86" s="179">
        <v>0.12</v>
      </c>
      <c r="D86" s="63">
        <v>0.65</v>
      </c>
      <c r="E86" s="63">
        <v>0.65</v>
      </c>
      <c r="L86" s="5" t="s">
        <v>4033</v>
      </c>
      <c r="M86" s="11">
        <v>6829.0</v>
      </c>
      <c r="P86" s="5" t="s">
        <v>4033</v>
      </c>
      <c r="Q86" s="11">
        <v>6829.0</v>
      </c>
    </row>
    <row r="87">
      <c r="A87" s="25" t="s">
        <v>4034</v>
      </c>
      <c r="B87" s="25">
        <v>7149.0</v>
      </c>
      <c r="C87" s="179">
        <v>0.12</v>
      </c>
      <c r="D87" s="63">
        <v>0.65</v>
      </c>
      <c r="E87" s="63">
        <v>0.65</v>
      </c>
      <c r="L87" s="35" t="s">
        <v>4034</v>
      </c>
      <c r="M87" s="35">
        <v>7149.0</v>
      </c>
      <c r="N87" s="36"/>
      <c r="P87" s="35" t="s">
        <v>4034</v>
      </c>
      <c r="Q87" s="35">
        <v>7149.0</v>
      </c>
      <c r="R87" s="36"/>
    </row>
    <row r="88">
      <c r="A88" s="25" t="s">
        <v>4035</v>
      </c>
      <c r="B88" s="25">
        <v>7149.0</v>
      </c>
      <c r="C88" s="179">
        <v>0.12</v>
      </c>
      <c r="D88" s="63">
        <v>0.65</v>
      </c>
      <c r="E88" s="63">
        <v>0.65</v>
      </c>
      <c r="L88" s="35" t="s">
        <v>4035</v>
      </c>
      <c r="M88" s="35">
        <v>7149.0</v>
      </c>
      <c r="N88" s="36"/>
      <c r="P88" s="35" t="s">
        <v>4035</v>
      </c>
      <c r="Q88" s="35">
        <v>7149.0</v>
      </c>
      <c r="R88" s="36"/>
    </row>
    <row r="89">
      <c r="A89" s="25" t="s">
        <v>4036</v>
      </c>
      <c r="B89" s="25">
        <v>7149.0</v>
      </c>
      <c r="C89" s="179">
        <v>0.12</v>
      </c>
      <c r="D89" s="63">
        <v>0.65</v>
      </c>
      <c r="E89" s="63">
        <v>0.65</v>
      </c>
      <c r="L89" s="35" t="s">
        <v>4036</v>
      </c>
      <c r="M89" s="35">
        <v>7149.0</v>
      </c>
      <c r="N89" s="36"/>
      <c r="P89" s="35" t="s">
        <v>4036</v>
      </c>
      <c r="Q89" s="35">
        <v>7149.0</v>
      </c>
      <c r="R89" s="36"/>
    </row>
    <row r="90">
      <c r="A90" s="25" t="s">
        <v>4037</v>
      </c>
      <c r="B90" s="25">
        <v>14337.0</v>
      </c>
      <c r="C90" s="179">
        <v>0.12</v>
      </c>
      <c r="D90" s="63">
        <v>0.65</v>
      </c>
      <c r="E90" s="63">
        <v>0.65</v>
      </c>
      <c r="L90" s="35" t="s">
        <v>4037</v>
      </c>
      <c r="M90" s="35">
        <v>14337.0</v>
      </c>
      <c r="N90" s="36"/>
      <c r="P90" s="35" t="s">
        <v>4037</v>
      </c>
      <c r="Q90" s="35">
        <v>14337.0</v>
      </c>
      <c r="R90" s="36"/>
    </row>
    <row r="91">
      <c r="A91" s="25" t="s">
        <v>4038</v>
      </c>
      <c r="B91" s="25">
        <v>14298.0</v>
      </c>
      <c r="C91" s="179">
        <v>0.12</v>
      </c>
      <c r="D91" s="179">
        <v>0.8</v>
      </c>
      <c r="E91" s="179">
        <v>0.8</v>
      </c>
      <c r="L91" s="35" t="s">
        <v>4038</v>
      </c>
      <c r="M91" s="35">
        <v>14298.0</v>
      </c>
      <c r="N91" s="36"/>
      <c r="P91" s="35" t="s">
        <v>4038</v>
      </c>
      <c r="Q91" s="35">
        <v>14298.0</v>
      </c>
      <c r="R91" s="36"/>
    </row>
    <row r="92">
      <c r="A92" s="25" t="s">
        <v>4039</v>
      </c>
      <c r="B92" s="25">
        <v>14516.0</v>
      </c>
      <c r="C92" s="179">
        <v>0.12</v>
      </c>
      <c r="D92" s="63">
        <v>0.65</v>
      </c>
      <c r="E92" s="63">
        <v>0.65</v>
      </c>
      <c r="L92" s="35" t="s">
        <v>4039</v>
      </c>
      <c r="M92" s="36"/>
      <c r="N92" s="36"/>
      <c r="P92" s="35" t="s">
        <v>4039</v>
      </c>
      <c r="Q92" s="36"/>
      <c r="R92" s="36"/>
    </row>
    <row r="93">
      <c r="A93" s="25" t="s">
        <v>4040</v>
      </c>
      <c r="B93" s="25">
        <v>3307.0</v>
      </c>
      <c r="C93" s="179">
        <v>0.12</v>
      </c>
      <c r="D93" s="63">
        <v>0.65</v>
      </c>
      <c r="E93" s="63">
        <v>0.65</v>
      </c>
      <c r="L93" s="35" t="s">
        <v>4040</v>
      </c>
      <c r="M93" s="36"/>
      <c r="N93" s="36"/>
      <c r="P93" s="35" t="s">
        <v>4040</v>
      </c>
      <c r="Q93" s="36"/>
      <c r="R93" s="36"/>
    </row>
    <row r="94">
      <c r="A94" s="25" t="s">
        <v>4041</v>
      </c>
      <c r="B94" s="25">
        <v>11875.0</v>
      </c>
      <c r="C94" s="179">
        <v>0.12</v>
      </c>
      <c r="D94" s="63">
        <v>0.65</v>
      </c>
      <c r="E94" s="63">
        <v>0.65</v>
      </c>
      <c r="L94" s="35" t="s">
        <v>4041</v>
      </c>
      <c r="M94" s="36"/>
      <c r="N94" s="36"/>
      <c r="P94" s="35" t="s">
        <v>4041</v>
      </c>
      <c r="Q94" s="36"/>
      <c r="R94" s="36"/>
    </row>
    <row r="95">
      <c r="A95" s="25" t="s">
        <v>4042</v>
      </c>
      <c r="B95" s="25">
        <v>14440.0</v>
      </c>
      <c r="C95" s="179">
        <v>0.12</v>
      </c>
      <c r="D95" s="63">
        <v>0.65</v>
      </c>
      <c r="E95" s="63">
        <v>0.65</v>
      </c>
      <c r="L95" s="35" t="s">
        <v>4042</v>
      </c>
      <c r="M95" s="35">
        <v>14440.0</v>
      </c>
      <c r="N95" s="36"/>
      <c r="P95" s="35" t="s">
        <v>4042</v>
      </c>
      <c r="Q95" s="35">
        <v>14440.0</v>
      </c>
      <c r="R95" s="36"/>
    </row>
    <row r="96">
      <c r="A96" s="25" t="s">
        <v>4043</v>
      </c>
      <c r="B96" s="25">
        <v>6779.0</v>
      </c>
      <c r="C96" s="179">
        <v>0.12</v>
      </c>
      <c r="D96" s="63">
        <v>0.65</v>
      </c>
      <c r="E96" s="63">
        <v>0.65</v>
      </c>
      <c r="L96" s="35" t="s">
        <v>4043</v>
      </c>
      <c r="M96" s="36"/>
      <c r="N96" s="36"/>
      <c r="P96" s="35" t="s">
        <v>4043</v>
      </c>
      <c r="Q96" s="36"/>
      <c r="R96" s="36"/>
    </row>
    <row r="97">
      <c r="A97" s="25" t="s">
        <v>4044</v>
      </c>
      <c r="B97" s="25">
        <v>6831.0</v>
      </c>
      <c r="C97" s="179">
        <v>0.12</v>
      </c>
      <c r="D97" s="63">
        <v>0.65</v>
      </c>
      <c r="E97" s="63">
        <v>0.65</v>
      </c>
      <c r="L97" s="35" t="s">
        <v>4044</v>
      </c>
      <c r="M97" s="36"/>
      <c r="N97" s="36"/>
      <c r="P97" s="35" t="s">
        <v>4044</v>
      </c>
      <c r="Q97" s="36"/>
      <c r="R97" s="36"/>
    </row>
    <row r="98">
      <c r="A98" s="25" t="s">
        <v>4045</v>
      </c>
      <c r="B98" s="25">
        <v>14248.0</v>
      </c>
      <c r="C98" s="179">
        <v>0.12</v>
      </c>
      <c r="D98" s="63">
        <v>0.65</v>
      </c>
      <c r="E98" s="63">
        <v>0.65</v>
      </c>
      <c r="L98" s="35" t="s">
        <v>4045</v>
      </c>
      <c r="M98" s="35">
        <v>14248.0</v>
      </c>
      <c r="N98" s="36"/>
      <c r="P98" s="35" t="s">
        <v>4045</v>
      </c>
      <c r="Q98" s="35">
        <v>14248.0</v>
      </c>
      <c r="R98" s="36"/>
    </row>
    <row r="99">
      <c r="A99" s="25" t="s">
        <v>4046</v>
      </c>
      <c r="B99" s="25">
        <v>14507.0</v>
      </c>
      <c r="C99" s="179">
        <v>0.12</v>
      </c>
      <c r="D99" s="63">
        <v>0.65</v>
      </c>
      <c r="E99" s="63">
        <v>0.65</v>
      </c>
      <c r="L99" s="35" t="s">
        <v>4046</v>
      </c>
      <c r="M99" s="36"/>
      <c r="N99" s="36"/>
      <c r="P99" s="35" t="s">
        <v>4046</v>
      </c>
      <c r="Q99" s="36"/>
      <c r="R99" s="36"/>
    </row>
    <row r="100">
      <c r="A100" s="25" t="s">
        <v>4047</v>
      </c>
      <c r="B100" s="25">
        <v>12553.0</v>
      </c>
      <c r="C100" s="179">
        <v>0.12</v>
      </c>
      <c r="D100" s="63">
        <v>0.65</v>
      </c>
      <c r="E100" s="63">
        <v>0.65</v>
      </c>
      <c r="L100" s="35" t="s">
        <v>4047</v>
      </c>
      <c r="M100" s="36"/>
      <c r="N100" s="36"/>
      <c r="P100" s="35" t="s">
        <v>4047</v>
      </c>
      <c r="Q100" s="36"/>
      <c r="R100" s="36"/>
    </row>
    <row r="101">
      <c r="A101" s="25" t="s">
        <v>4048</v>
      </c>
      <c r="B101" s="37">
        <v>7747.0</v>
      </c>
      <c r="C101" s="179">
        <v>0.12</v>
      </c>
      <c r="D101" s="63">
        <v>0.65</v>
      </c>
      <c r="E101" s="63">
        <v>0.65</v>
      </c>
      <c r="L101" s="35" t="s">
        <v>4048</v>
      </c>
      <c r="M101" s="36"/>
      <c r="N101" s="36"/>
      <c r="P101" s="35" t="s">
        <v>4048</v>
      </c>
      <c r="Q101" s="36"/>
      <c r="R101" s="36"/>
    </row>
    <row r="102">
      <c r="A102" s="25" t="s">
        <v>4049</v>
      </c>
      <c r="B102" s="25">
        <v>14659.0</v>
      </c>
      <c r="C102" s="179">
        <v>0.12</v>
      </c>
      <c r="D102" s="63">
        <v>0.65</v>
      </c>
      <c r="E102" s="63">
        <v>0.65</v>
      </c>
      <c r="L102" s="35" t="s">
        <v>4049</v>
      </c>
      <c r="M102" s="36"/>
      <c r="N102" s="36"/>
      <c r="P102" s="35" t="s">
        <v>4049</v>
      </c>
      <c r="Q102" s="36"/>
      <c r="R102" s="36"/>
    </row>
    <row r="103">
      <c r="A103" s="25" t="s">
        <v>4050</v>
      </c>
      <c r="B103" s="25">
        <v>7137.0</v>
      </c>
      <c r="C103" s="179">
        <v>0.12</v>
      </c>
      <c r="D103" s="63">
        <v>0.65</v>
      </c>
      <c r="E103" s="63">
        <v>0.65</v>
      </c>
      <c r="L103" s="35" t="s">
        <v>4050</v>
      </c>
      <c r="M103" s="35">
        <v>7137.0</v>
      </c>
      <c r="N103" s="36"/>
      <c r="P103" s="35" t="s">
        <v>4050</v>
      </c>
      <c r="Q103" s="35">
        <v>7137.0</v>
      </c>
      <c r="R103" s="36"/>
    </row>
    <row r="104">
      <c r="A104" s="25" t="s">
        <v>4051</v>
      </c>
      <c r="B104" s="25">
        <v>3404.0</v>
      </c>
      <c r="C104" s="179">
        <v>0.12</v>
      </c>
      <c r="D104" s="63">
        <v>0.65</v>
      </c>
      <c r="E104" s="63">
        <v>0.65</v>
      </c>
      <c r="L104" s="35" t="s">
        <v>4051</v>
      </c>
      <c r="M104" s="36"/>
      <c r="N104" s="36"/>
      <c r="P104" s="35" t="s">
        <v>4051</v>
      </c>
      <c r="Q104" s="36"/>
      <c r="R104" s="36"/>
    </row>
    <row r="105">
      <c r="A105" s="25" t="s">
        <v>4052</v>
      </c>
      <c r="B105" s="25">
        <v>14646.0</v>
      </c>
      <c r="C105" s="179">
        <v>0.12</v>
      </c>
      <c r="D105" s="63">
        <v>0.65</v>
      </c>
      <c r="E105" s="63">
        <v>0.65</v>
      </c>
      <c r="L105" s="35" t="s">
        <v>4052</v>
      </c>
      <c r="M105" s="36"/>
      <c r="N105" s="36"/>
      <c r="P105" s="35" t="s">
        <v>4052</v>
      </c>
      <c r="Q105" s="36"/>
      <c r="R105" s="36"/>
    </row>
    <row r="106">
      <c r="A106" s="25" t="s">
        <v>4053</v>
      </c>
      <c r="B106" s="25">
        <v>7073.0</v>
      </c>
      <c r="C106" s="179">
        <v>0.12</v>
      </c>
      <c r="D106" s="63">
        <v>0.65</v>
      </c>
      <c r="E106" s="63">
        <v>0.65</v>
      </c>
      <c r="L106" s="35" t="s">
        <v>4053</v>
      </c>
      <c r="M106" s="35">
        <v>7073.0</v>
      </c>
      <c r="N106" s="36"/>
      <c r="P106" s="35" t="s">
        <v>4053</v>
      </c>
      <c r="Q106" s="35">
        <v>7073.0</v>
      </c>
      <c r="R106" s="36"/>
    </row>
    <row r="107">
      <c r="A107" s="25" t="s">
        <v>4054</v>
      </c>
      <c r="B107" s="78"/>
      <c r="C107" s="179">
        <v>0.12</v>
      </c>
      <c r="D107" s="63">
        <v>0.65</v>
      </c>
      <c r="E107" s="63">
        <v>0.65</v>
      </c>
      <c r="L107" s="35" t="s">
        <v>4054</v>
      </c>
      <c r="M107" s="36"/>
      <c r="N107" s="36"/>
      <c r="P107" s="35" t="s">
        <v>4054</v>
      </c>
      <c r="Q107" s="36"/>
      <c r="R107" s="36"/>
    </row>
    <row r="108">
      <c r="A108" s="25" t="s">
        <v>4055</v>
      </c>
      <c r="B108" s="25">
        <v>8486.0</v>
      </c>
      <c r="C108" s="179">
        <v>0.12</v>
      </c>
      <c r="D108" s="74">
        <v>0.87</v>
      </c>
      <c r="E108" s="74">
        <v>0.87</v>
      </c>
      <c r="L108" s="11" t="s">
        <v>4055</v>
      </c>
      <c r="M108" s="11">
        <v>8486.0</v>
      </c>
      <c r="P108" s="11" t="s">
        <v>4055</v>
      </c>
      <c r="Q108" s="11">
        <v>8486.0</v>
      </c>
    </row>
    <row r="109">
      <c r="A109" s="25" t="s">
        <v>4056</v>
      </c>
      <c r="B109" s="25">
        <v>6668.0</v>
      </c>
      <c r="C109" s="179">
        <v>0.12</v>
      </c>
      <c r="D109" s="63">
        <v>0.65</v>
      </c>
      <c r="E109" s="63">
        <v>0.65</v>
      </c>
      <c r="L109" s="35" t="s">
        <v>4056</v>
      </c>
      <c r="M109" s="36"/>
      <c r="N109" s="36"/>
      <c r="P109" s="35" t="s">
        <v>4056</v>
      </c>
      <c r="Q109" s="36"/>
      <c r="R109" s="36"/>
    </row>
    <row r="110">
      <c r="A110" s="25" t="s">
        <v>4057</v>
      </c>
      <c r="B110" s="25">
        <v>6668.0</v>
      </c>
      <c r="C110" s="179">
        <v>0.12</v>
      </c>
      <c r="D110" s="63">
        <v>0.65</v>
      </c>
      <c r="E110" s="63">
        <v>0.65</v>
      </c>
      <c r="L110" s="35" t="s">
        <v>4057</v>
      </c>
      <c r="M110" s="36"/>
      <c r="N110" s="36"/>
      <c r="P110" s="35" t="s">
        <v>4057</v>
      </c>
      <c r="Q110" s="36"/>
      <c r="R110" s="36"/>
    </row>
    <row r="111">
      <c r="A111" s="25" t="s">
        <v>4058</v>
      </c>
      <c r="B111" s="25">
        <v>6722.0</v>
      </c>
      <c r="C111" s="179">
        <v>0.12</v>
      </c>
      <c r="D111" s="63">
        <v>0.65</v>
      </c>
      <c r="E111" s="63">
        <v>0.65</v>
      </c>
      <c r="L111" s="35" t="s">
        <v>4058</v>
      </c>
      <c r="M111" s="36"/>
      <c r="N111" s="36"/>
      <c r="P111" s="35" t="s">
        <v>4058</v>
      </c>
      <c r="Q111" s="36"/>
      <c r="R111" s="36"/>
    </row>
    <row r="112">
      <c r="A112" s="25" t="s">
        <v>4059</v>
      </c>
      <c r="B112" s="78"/>
      <c r="C112" s="179">
        <v>0.12</v>
      </c>
      <c r="D112" s="63">
        <v>0.65</v>
      </c>
      <c r="E112" s="63">
        <v>0.65</v>
      </c>
      <c r="L112" s="35" t="s">
        <v>4059</v>
      </c>
      <c r="M112" s="36"/>
      <c r="N112" s="36"/>
      <c r="P112" s="35" t="s">
        <v>4059</v>
      </c>
      <c r="Q112" s="36"/>
      <c r="R112" s="36"/>
    </row>
    <row r="113">
      <c r="A113" s="25" t="s">
        <v>4060</v>
      </c>
      <c r="B113" s="25">
        <v>14580.0</v>
      </c>
      <c r="C113" s="179">
        <v>0.12</v>
      </c>
      <c r="D113" s="63">
        <v>0.65</v>
      </c>
      <c r="E113" s="63">
        <v>0.65</v>
      </c>
      <c r="L113" s="35" t="s">
        <v>4060</v>
      </c>
      <c r="M113" s="36"/>
      <c r="N113" s="36"/>
      <c r="P113" s="35" t="s">
        <v>4060</v>
      </c>
      <c r="Q113" s="36"/>
      <c r="R113" s="36"/>
    </row>
    <row r="114">
      <c r="A114" s="25" t="s">
        <v>4061</v>
      </c>
      <c r="B114" s="25">
        <v>6947.0</v>
      </c>
      <c r="C114" s="179">
        <v>0.12</v>
      </c>
      <c r="D114" s="63">
        <v>0.65</v>
      </c>
      <c r="E114" s="63">
        <v>0.65</v>
      </c>
      <c r="L114" s="11" t="s">
        <v>4061</v>
      </c>
      <c r="M114" s="11">
        <v>6947.0</v>
      </c>
      <c r="P114" s="11" t="s">
        <v>4061</v>
      </c>
      <c r="Q114" s="11">
        <v>6947.0</v>
      </c>
    </row>
    <row r="115">
      <c r="A115" s="25" t="s">
        <v>4062</v>
      </c>
      <c r="B115" s="78"/>
      <c r="C115" s="179">
        <v>0.12</v>
      </c>
      <c r="D115" s="63">
        <v>0.65</v>
      </c>
      <c r="E115" s="63">
        <v>0.65</v>
      </c>
      <c r="L115" s="35" t="s">
        <v>4062</v>
      </c>
      <c r="M115" s="36"/>
      <c r="N115" s="36"/>
      <c r="P115" s="35" t="s">
        <v>4062</v>
      </c>
      <c r="Q115" s="36"/>
      <c r="R115" s="36"/>
    </row>
    <row r="116">
      <c r="A116" s="25" t="s">
        <v>4063</v>
      </c>
      <c r="B116" s="37">
        <v>14480.0</v>
      </c>
      <c r="C116" s="179">
        <v>0.12</v>
      </c>
      <c r="D116" s="63">
        <v>0.65</v>
      </c>
      <c r="E116" s="63">
        <v>0.65</v>
      </c>
      <c r="L116" s="35" t="s">
        <v>4063</v>
      </c>
      <c r="M116" s="36"/>
      <c r="N116" s="36"/>
      <c r="P116" s="35" t="s">
        <v>4063</v>
      </c>
      <c r="Q116" s="36"/>
      <c r="R116" s="36"/>
    </row>
    <row r="117">
      <c r="A117" s="25" t="s">
        <v>4064</v>
      </c>
      <c r="B117" s="78"/>
      <c r="C117" s="179">
        <v>0.12</v>
      </c>
      <c r="D117" s="63">
        <v>0.65</v>
      </c>
      <c r="E117" s="63">
        <v>0.65</v>
      </c>
      <c r="L117" s="35" t="s">
        <v>4064</v>
      </c>
      <c r="M117" s="36"/>
      <c r="N117" s="36"/>
      <c r="P117" s="35" t="s">
        <v>4064</v>
      </c>
      <c r="Q117" s="36"/>
      <c r="R117" s="36"/>
    </row>
    <row r="118">
      <c r="A118" s="25" t="s">
        <v>4065</v>
      </c>
      <c r="B118" s="78"/>
      <c r="C118" s="179">
        <v>0.12</v>
      </c>
      <c r="D118" s="63">
        <v>0.65</v>
      </c>
      <c r="E118" s="63">
        <v>0.65</v>
      </c>
      <c r="L118" s="35" t="s">
        <v>4065</v>
      </c>
      <c r="M118" s="36"/>
      <c r="N118" s="36"/>
      <c r="P118" s="35" t="s">
        <v>4065</v>
      </c>
      <c r="Q118" s="36"/>
      <c r="R118" s="36"/>
    </row>
    <row r="119">
      <c r="A119" s="25" t="s">
        <v>4066</v>
      </c>
      <c r="B119" s="25">
        <v>889.0</v>
      </c>
      <c r="C119" s="179">
        <v>0.12</v>
      </c>
      <c r="D119" s="63">
        <v>0.65</v>
      </c>
      <c r="E119" s="63">
        <v>0.65</v>
      </c>
      <c r="L119" s="35" t="s">
        <v>4066</v>
      </c>
      <c r="M119" s="36"/>
      <c r="N119" s="36"/>
      <c r="P119" s="35" t="s">
        <v>4066</v>
      </c>
      <c r="Q119" s="36"/>
      <c r="R119" s="36"/>
    </row>
    <row r="120">
      <c r="A120" s="25" t="s">
        <v>4067</v>
      </c>
      <c r="B120" s="78"/>
      <c r="C120" s="179">
        <v>0.12</v>
      </c>
      <c r="D120" s="63">
        <v>0.65</v>
      </c>
      <c r="E120" s="63">
        <v>0.65</v>
      </c>
      <c r="L120" s="35" t="s">
        <v>4067</v>
      </c>
      <c r="M120" s="36"/>
      <c r="N120" s="36"/>
      <c r="P120" s="35" t="s">
        <v>4067</v>
      </c>
      <c r="Q120" s="36"/>
      <c r="R120" s="36"/>
    </row>
    <row r="121">
      <c r="A121" s="25" t="s">
        <v>4068</v>
      </c>
      <c r="B121" s="25">
        <v>12388.0</v>
      </c>
      <c r="C121" s="179">
        <v>0.12</v>
      </c>
      <c r="D121" s="63">
        <v>0.65</v>
      </c>
      <c r="E121" s="63">
        <v>0.65</v>
      </c>
      <c r="L121" s="35" t="s">
        <v>4068</v>
      </c>
      <c r="M121" s="36"/>
      <c r="N121" s="36"/>
      <c r="P121" s="35" t="s">
        <v>4068</v>
      </c>
      <c r="Q121" s="36"/>
      <c r="R121" s="36"/>
    </row>
    <row r="122">
      <c r="A122" s="25" t="s">
        <v>4069</v>
      </c>
      <c r="B122" s="78"/>
      <c r="C122" s="179">
        <v>0.12</v>
      </c>
      <c r="D122" s="63">
        <v>0.65</v>
      </c>
      <c r="E122" s="63">
        <v>0.65</v>
      </c>
      <c r="L122" s="35" t="s">
        <v>4069</v>
      </c>
      <c r="M122" s="36"/>
      <c r="N122" s="36"/>
      <c r="P122" s="35" t="s">
        <v>4069</v>
      </c>
      <c r="Q122" s="36"/>
      <c r="R122" s="36"/>
    </row>
    <row r="123">
      <c r="A123" s="25" t="s">
        <v>4070</v>
      </c>
      <c r="B123" s="78"/>
      <c r="C123" s="179">
        <v>0.12</v>
      </c>
      <c r="D123" s="63">
        <v>0.65</v>
      </c>
      <c r="E123" s="63">
        <v>0.65</v>
      </c>
      <c r="L123" s="35" t="s">
        <v>4070</v>
      </c>
      <c r="M123" s="36"/>
      <c r="N123" s="36"/>
      <c r="P123" s="35" t="s">
        <v>4070</v>
      </c>
      <c r="Q123" s="36"/>
      <c r="R123" s="36"/>
    </row>
    <row r="124">
      <c r="A124" s="25" t="s">
        <v>4071</v>
      </c>
      <c r="B124" s="78"/>
      <c r="C124" s="179">
        <v>0.12</v>
      </c>
      <c r="D124" s="63">
        <v>0.65</v>
      </c>
      <c r="E124" s="63">
        <v>0.65</v>
      </c>
      <c r="L124" s="35" t="s">
        <v>4071</v>
      </c>
      <c r="M124" s="36"/>
      <c r="N124" s="36"/>
      <c r="P124" s="35" t="s">
        <v>4071</v>
      </c>
      <c r="Q124" s="36"/>
      <c r="R124" s="36"/>
    </row>
    <row r="125">
      <c r="A125" s="25" t="s">
        <v>4072</v>
      </c>
      <c r="B125" s="78"/>
      <c r="C125" s="179">
        <v>0.12</v>
      </c>
      <c r="D125" s="63">
        <v>0.65</v>
      </c>
      <c r="E125" s="63">
        <v>0.65</v>
      </c>
      <c r="L125" s="35" t="s">
        <v>4072</v>
      </c>
      <c r="M125" s="36"/>
      <c r="N125" s="36"/>
      <c r="P125" s="35" t="s">
        <v>4072</v>
      </c>
      <c r="Q125" s="36"/>
      <c r="R125" s="36"/>
    </row>
    <row r="126">
      <c r="A126" s="25" t="s">
        <v>4073</v>
      </c>
      <c r="B126" s="25">
        <v>13951.0</v>
      </c>
      <c r="C126" s="179">
        <v>0.12</v>
      </c>
      <c r="D126" s="63">
        <v>0.65</v>
      </c>
      <c r="E126" s="63">
        <v>0.65</v>
      </c>
      <c r="L126" s="35" t="s">
        <v>4073</v>
      </c>
      <c r="M126" s="35">
        <v>13951.0</v>
      </c>
      <c r="N126" s="36"/>
      <c r="P126" s="35" t="s">
        <v>4073</v>
      </c>
      <c r="Q126" s="35">
        <v>13951.0</v>
      </c>
      <c r="R126" s="36"/>
    </row>
    <row r="127">
      <c r="A127" s="25" t="s">
        <v>4074</v>
      </c>
      <c r="B127" s="78"/>
      <c r="C127" s="179">
        <v>0.12</v>
      </c>
      <c r="D127" s="63">
        <v>0.65</v>
      </c>
      <c r="E127" s="63">
        <v>0.65</v>
      </c>
      <c r="L127" s="35" t="s">
        <v>4074</v>
      </c>
      <c r="M127" s="36"/>
      <c r="N127" s="36"/>
      <c r="P127" s="35" t="s">
        <v>4074</v>
      </c>
      <c r="Q127" s="36"/>
      <c r="R127" s="36"/>
    </row>
    <row r="128">
      <c r="A128" s="25" t="s">
        <v>4075</v>
      </c>
      <c r="B128" s="78"/>
      <c r="C128" s="179">
        <v>0.12</v>
      </c>
      <c r="D128" s="63">
        <v>0.65</v>
      </c>
      <c r="E128" s="63">
        <v>0.65</v>
      </c>
      <c r="L128" s="35" t="s">
        <v>4075</v>
      </c>
      <c r="M128" s="36"/>
      <c r="N128" s="36"/>
      <c r="P128" s="35" t="s">
        <v>4075</v>
      </c>
      <c r="Q128" s="36"/>
      <c r="R128" s="36"/>
    </row>
    <row r="129">
      <c r="A129" s="25" t="s">
        <v>4076</v>
      </c>
      <c r="B129" s="78"/>
      <c r="C129" s="179">
        <v>0.12</v>
      </c>
      <c r="D129" s="63">
        <v>0.65</v>
      </c>
      <c r="E129" s="63">
        <v>0.65</v>
      </c>
      <c r="L129" s="35" t="s">
        <v>4076</v>
      </c>
      <c r="M129" s="36"/>
      <c r="N129" s="36"/>
      <c r="P129" s="35" t="s">
        <v>4076</v>
      </c>
      <c r="Q129" s="36"/>
      <c r="R129" s="36"/>
    </row>
    <row r="130">
      <c r="A130" s="25" t="s">
        <v>4077</v>
      </c>
      <c r="B130" s="185">
        <v>10861.0</v>
      </c>
      <c r="C130" s="179">
        <v>0.12</v>
      </c>
      <c r="D130" s="63">
        <v>0.65</v>
      </c>
      <c r="E130" s="63">
        <v>0.65</v>
      </c>
      <c r="L130" s="35" t="s">
        <v>4077</v>
      </c>
      <c r="M130" s="36"/>
      <c r="N130" s="36"/>
      <c r="P130" s="35" t="s">
        <v>4077</v>
      </c>
      <c r="Q130" s="36"/>
      <c r="R130" s="36"/>
    </row>
    <row r="131">
      <c r="A131" s="25" t="s">
        <v>4078</v>
      </c>
      <c r="B131" s="25">
        <v>14030.0</v>
      </c>
      <c r="C131" s="179">
        <v>0.12</v>
      </c>
      <c r="D131" s="63">
        <v>0.65</v>
      </c>
      <c r="E131" s="63">
        <v>0.65</v>
      </c>
      <c r="L131" s="35" t="s">
        <v>4078</v>
      </c>
      <c r="M131" s="35">
        <v>14030.0</v>
      </c>
      <c r="N131" s="36"/>
      <c r="P131" s="35" t="s">
        <v>4078</v>
      </c>
      <c r="Q131" s="35">
        <v>14030.0</v>
      </c>
      <c r="R131" s="36"/>
    </row>
    <row r="132">
      <c r="A132" s="25" t="s">
        <v>4079</v>
      </c>
      <c r="B132" s="78"/>
      <c r="C132" s="179">
        <v>0.12</v>
      </c>
      <c r="D132" s="63">
        <v>0.65</v>
      </c>
      <c r="E132" s="63">
        <v>0.65</v>
      </c>
      <c r="L132" s="35" t="s">
        <v>4079</v>
      </c>
      <c r="M132" s="36"/>
      <c r="N132" s="36"/>
      <c r="P132" s="35" t="s">
        <v>4079</v>
      </c>
      <c r="Q132" s="36"/>
      <c r="R132" s="36"/>
    </row>
    <row r="133">
      <c r="A133" s="25" t="s">
        <v>4080</v>
      </c>
      <c r="B133" s="78"/>
      <c r="C133" s="179">
        <v>0.12</v>
      </c>
      <c r="D133" s="63">
        <v>0.65</v>
      </c>
      <c r="E133" s="63">
        <v>0.65</v>
      </c>
      <c r="L133" s="35" t="s">
        <v>4080</v>
      </c>
      <c r="M133" s="36"/>
      <c r="N133" s="36"/>
      <c r="P133" s="35" t="s">
        <v>4080</v>
      </c>
      <c r="Q133" s="36"/>
      <c r="R133" s="36"/>
    </row>
    <row r="134">
      <c r="A134" s="25" t="s">
        <v>4081</v>
      </c>
      <c r="B134" s="78"/>
      <c r="C134" s="179">
        <v>0.12</v>
      </c>
      <c r="D134" s="63">
        <v>0.65</v>
      </c>
      <c r="E134" s="63">
        <v>0.65</v>
      </c>
      <c r="L134" s="35" t="s">
        <v>4081</v>
      </c>
      <c r="M134" s="36"/>
      <c r="N134" s="36"/>
      <c r="P134" s="35" t="s">
        <v>4081</v>
      </c>
      <c r="Q134" s="36"/>
      <c r="R134" s="36"/>
    </row>
    <row r="135">
      <c r="A135" s="25" t="s">
        <v>4082</v>
      </c>
      <c r="B135" s="78"/>
      <c r="C135" s="179">
        <v>0.12</v>
      </c>
      <c r="D135" s="63">
        <v>0.65</v>
      </c>
      <c r="E135" s="63">
        <v>0.65</v>
      </c>
      <c r="L135" s="35" t="s">
        <v>4082</v>
      </c>
      <c r="M135" s="36"/>
      <c r="N135" s="36"/>
      <c r="P135" s="35" t="s">
        <v>4082</v>
      </c>
      <c r="Q135" s="36"/>
      <c r="R135" s="36"/>
    </row>
    <row r="136">
      <c r="A136" s="25" t="s">
        <v>4083</v>
      </c>
      <c r="B136" s="25">
        <v>2205.0</v>
      </c>
      <c r="C136" s="179">
        <v>0.12</v>
      </c>
      <c r="D136" s="63">
        <v>0.65</v>
      </c>
      <c r="E136" s="63">
        <v>0.65</v>
      </c>
      <c r="L136" s="35" t="s">
        <v>4083</v>
      </c>
      <c r="M136" s="36"/>
      <c r="N136" s="36"/>
      <c r="P136" s="35" t="s">
        <v>4083</v>
      </c>
      <c r="Q136" s="36"/>
      <c r="R136" s="36"/>
    </row>
    <row r="137">
      <c r="A137" s="25" t="s">
        <v>4084</v>
      </c>
      <c r="B137" s="78"/>
      <c r="C137" s="179">
        <v>0.12</v>
      </c>
      <c r="D137" s="63">
        <v>0.65</v>
      </c>
      <c r="E137" s="63">
        <v>0.65</v>
      </c>
      <c r="L137" s="35" t="s">
        <v>4084</v>
      </c>
      <c r="M137" s="36"/>
      <c r="N137" s="36"/>
      <c r="P137" s="35" t="s">
        <v>4084</v>
      </c>
      <c r="Q137" s="36"/>
      <c r="R137" s="36"/>
    </row>
    <row r="138">
      <c r="A138" s="25" t="s">
        <v>4085</v>
      </c>
      <c r="B138" s="78"/>
      <c r="C138" s="179">
        <v>0.12</v>
      </c>
      <c r="D138" s="63">
        <v>0.65</v>
      </c>
      <c r="E138" s="63">
        <v>0.65</v>
      </c>
      <c r="L138" s="35" t="s">
        <v>4085</v>
      </c>
      <c r="M138" s="36"/>
      <c r="N138" s="36"/>
      <c r="P138" s="35" t="s">
        <v>4085</v>
      </c>
      <c r="Q138" s="36"/>
      <c r="R138" s="36"/>
    </row>
    <row r="139">
      <c r="A139" s="25" t="s">
        <v>4086</v>
      </c>
      <c r="B139" s="78"/>
      <c r="C139" s="179">
        <v>0.12</v>
      </c>
      <c r="D139" s="63">
        <v>0.65</v>
      </c>
      <c r="E139" s="63">
        <v>0.65</v>
      </c>
      <c r="L139" s="35" t="s">
        <v>4086</v>
      </c>
      <c r="M139" s="36"/>
      <c r="N139" s="36"/>
      <c r="P139" s="35" t="s">
        <v>4086</v>
      </c>
      <c r="Q139" s="36"/>
      <c r="R139" s="36"/>
    </row>
    <row r="140">
      <c r="A140" s="25" t="s">
        <v>4087</v>
      </c>
      <c r="B140" s="78"/>
      <c r="C140" s="179">
        <v>0.12</v>
      </c>
      <c r="D140" s="63">
        <v>0.65</v>
      </c>
      <c r="E140" s="63">
        <v>0.65</v>
      </c>
      <c r="L140" s="35" t="s">
        <v>4087</v>
      </c>
      <c r="M140" s="36"/>
      <c r="N140" s="36"/>
      <c r="P140" s="35" t="s">
        <v>4087</v>
      </c>
      <c r="Q140" s="36"/>
      <c r="R140" s="36"/>
    </row>
    <row r="141">
      <c r="A141" s="25" t="s">
        <v>4088</v>
      </c>
      <c r="B141" s="25">
        <v>14298.0</v>
      </c>
      <c r="C141" s="179">
        <v>0.12</v>
      </c>
      <c r="D141" s="179">
        <v>0.8</v>
      </c>
      <c r="E141" s="179">
        <v>0.8</v>
      </c>
      <c r="L141" s="35" t="s">
        <v>4088</v>
      </c>
      <c r="M141" s="36"/>
      <c r="N141" s="36"/>
      <c r="P141" s="35" t="s">
        <v>4088</v>
      </c>
      <c r="Q141" s="36"/>
      <c r="R141" s="36"/>
    </row>
    <row r="142">
      <c r="A142" s="25" t="s">
        <v>4089</v>
      </c>
      <c r="B142" s="78"/>
      <c r="C142" s="179">
        <v>0.12</v>
      </c>
      <c r="D142" s="63">
        <v>0.65</v>
      </c>
      <c r="E142" s="63">
        <v>0.65</v>
      </c>
      <c r="L142" s="35" t="s">
        <v>4089</v>
      </c>
      <c r="M142" s="36"/>
      <c r="N142" s="36"/>
      <c r="P142" s="35" t="s">
        <v>4089</v>
      </c>
      <c r="Q142" s="36"/>
      <c r="R142" s="36"/>
    </row>
    <row r="143">
      <c r="A143" s="25" t="s">
        <v>4090</v>
      </c>
      <c r="B143" s="78"/>
      <c r="C143" s="179">
        <v>0.12</v>
      </c>
      <c r="D143" s="63">
        <v>0.65</v>
      </c>
      <c r="E143" s="63">
        <v>0.65</v>
      </c>
      <c r="L143" s="35" t="s">
        <v>4090</v>
      </c>
      <c r="M143" s="36"/>
      <c r="N143" s="36"/>
      <c r="P143" s="35" t="s">
        <v>4090</v>
      </c>
      <c r="Q143" s="36"/>
      <c r="R143" s="36"/>
    </row>
    <row r="144">
      <c r="A144" s="25" t="s">
        <v>4091</v>
      </c>
      <c r="B144" s="78"/>
      <c r="C144" s="179">
        <v>0.12</v>
      </c>
      <c r="D144" s="63">
        <v>0.65</v>
      </c>
      <c r="E144" s="63">
        <v>0.65</v>
      </c>
      <c r="L144" s="35" t="s">
        <v>4091</v>
      </c>
      <c r="M144" s="36"/>
      <c r="N144" s="36"/>
      <c r="P144" s="35" t="s">
        <v>4091</v>
      </c>
      <c r="Q144" s="36"/>
      <c r="R144" s="36"/>
    </row>
    <row r="145">
      <c r="A145" s="25" t="s">
        <v>4092</v>
      </c>
      <c r="B145" s="78"/>
      <c r="C145" s="179">
        <v>0.12</v>
      </c>
      <c r="D145" s="63">
        <v>0.65</v>
      </c>
      <c r="E145" s="63">
        <v>0.65</v>
      </c>
      <c r="L145" s="35" t="s">
        <v>4092</v>
      </c>
      <c r="M145" s="36"/>
      <c r="N145" s="36"/>
      <c r="P145" s="35" t="s">
        <v>4092</v>
      </c>
      <c r="Q145" s="36"/>
      <c r="R145" s="36"/>
    </row>
    <row r="146">
      <c r="A146" s="25" t="s">
        <v>4093</v>
      </c>
      <c r="B146" s="25">
        <v>6675.0</v>
      </c>
      <c r="C146" s="179">
        <v>0.12</v>
      </c>
      <c r="D146" s="63">
        <v>0.85</v>
      </c>
      <c r="E146" s="63">
        <v>0.85</v>
      </c>
      <c r="L146" s="35" t="s">
        <v>4093</v>
      </c>
      <c r="M146" s="36"/>
      <c r="N146" s="36"/>
      <c r="P146" s="35" t="s">
        <v>4093</v>
      </c>
      <c r="Q146" s="36"/>
      <c r="R146" s="36"/>
    </row>
    <row r="147">
      <c r="A147" s="25" t="s">
        <v>4094</v>
      </c>
      <c r="B147" s="78"/>
      <c r="C147" s="179">
        <v>0.12</v>
      </c>
      <c r="D147" s="63">
        <v>0.65</v>
      </c>
      <c r="E147" s="63">
        <v>0.65</v>
      </c>
      <c r="L147" s="35" t="s">
        <v>4094</v>
      </c>
      <c r="M147" s="36"/>
      <c r="N147" s="36"/>
      <c r="P147" s="35" t="s">
        <v>4094</v>
      </c>
      <c r="Q147" s="36"/>
      <c r="R147" s="36"/>
    </row>
    <row r="148">
      <c r="A148" s="25" t="s">
        <v>4095</v>
      </c>
      <c r="B148" s="78"/>
      <c r="C148" s="179">
        <v>0.12</v>
      </c>
      <c r="D148" s="63">
        <v>0.65</v>
      </c>
      <c r="E148" s="63">
        <v>0.65</v>
      </c>
      <c r="L148" s="35" t="s">
        <v>4095</v>
      </c>
      <c r="M148" s="36"/>
      <c r="N148" s="36"/>
      <c r="P148" s="35" t="s">
        <v>4095</v>
      </c>
      <c r="Q148" s="36"/>
      <c r="R148" s="36"/>
    </row>
    <row r="149">
      <c r="A149" s="25" t="s">
        <v>4096</v>
      </c>
      <c r="B149" s="78"/>
      <c r="C149" s="179">
        <v>0.12</v>
      </c>
      <c r="D149" s="63">
        <v>0.65</v>
      </c>
      <c r="E149" s="63">
        <v>0.65</v>
      </c>
      <c r="L149" s="35" t="s">
        <v>4096</v>
      </c>
      <c r="M149" s="36"/>
      <c r="N149" s="36"/>
      <c r="P149" s="35" t="s">
        <v>4096</v>
      </c>
      <c r="Q149" s="36"/>
      <c r="R149" s="36"/>
    </row>
    <row r="150">
      <c r="A150" s="25" t="s">
        <v>4097</v>
      </c>
      <c r="B150" s="78"/>
      <c r="C150" s="179">
        <v>0.12</v>
      </c>
      <c r="D150" s="63">
        <v>0.65</v>
      </c>
      <c r="E150" s="63">
        <v>0.65</v>
      </c>
      <c r="L150" s="35" t="s">
        <v>4097</v>
      </c>
      <c r="M150" s="36"/>
      <c r="N150" s="36"/>
      <c r="P150" s="35" t="s">
        <v>4097</v>
      </c>
      <c r="Q150" s="36"/>
      <c r="R150" s="36"/>
    </row>
    <row r="151">
      <c r="A151" s="25" t="s">
        <v>4098</v>
      </c>
      <c r="B151" s="25">
        <v>6675.0</v>
      </c>
      <c r="C151" s="179">
        <v>0.12</v>
      </c>
      <c r="D151" s="63">
        <v>0.85</v>
      </c>
      <c r="E151" s="63">
        <v>0.85</v>
      </c>
      <c r="L151" s="35" t="s">
        <v>4098</v>
      </c>
      <c r="M151" s="36"/>
      <c r="N151" s="36"/>
      <c r="P151" s="35" t="s">
        <v>4098</v>
      </c>
      <c r="Q151" s="36"/>
      <c r="R151" s="36"/>
    </row>
    <row r="152">
      <c r="A152" s="25" t="s">
        <v>4099</v>
      </c>
      <c r="B152" s="25">
        <v>14638.0</v>
      </c>
      <c r="C152" s="179">
        <v>0.12</v>
      </c>
      <c r="D152" s="63">
        <v>0.65</v>
      </c>
      <c r="E152" s="63">
        <v>0.65</v>
      </c>
      <c r="L152" s="35" t="s">
        <v>4099</v>
      </c>
      <c r="M152" s="36"/>
      <c r="N152" s="36"/>
      <c r="P152" s="35" t="s">
        <v>4099</v>
      </c>
      <c r="Q152" s="36"/>
      <c r="R152" s="36"/>
    </row>
    <row r="153">
      <c r="A153" s="25" t="s">
        <v>4100</v>
      </c>
      <c r="B153" s="16">
        <v>14465.0</v>
      </c>
      <c r="C153" s="179">
        <v>0.12</v>
      </c>
      <c r="D153" s="63">
        <v>0.9</v>
      </c>
      <c r="E153" s="63">
        <v>0.9</v>
      </c>
      <c r="L153" s="35" t="s">
        <v>4100</v>
      </c>
      <c r="M153" s="36"/>
      <c r="N153" s="36"/>
      <c r="P153" s="35" t="s">
        <v>4100</v>
      </c>
      <c r="Q153" s="36"/>
      <c r="R153" s="36"/>
    </row>
    <row r="154">
      <c r="A154" s="25" t="s">
        <v>4101</v>
      </c>
      <c r="B154" s="78"/>
      <c r="C154" s="179">
        <v>0.12</v>
      </c>
      <c r="D154" s="63">
        <v>0.65</v>
      </c>
      <c r="E154" s="63">
        <v>0.65</v>
      </c>
      <c r="L154" s="35" t="s">
        <v>4101</v>
      </c>
      <c r="M154" s="36"/>
      <c r="N154" s="36"/>
      <c r="P154" s="35" t="s">
        <v>4101</v>
      </c>
      <c r="Q154" s="36"/>
      <c r="R154" s="36"/>
    </row>
    <row r="155">
      <c r="A155" s="25" t="s">
        <v>4102</v>
      </c>
      <c r="B155" s="25">
        <v>5365.0</v>
      </c>
      <c r="C155" s="179">
        <v>0.12</v>
      </c>
      <c r="D155" s="63">
        <v>0.65</v>
      </c>
      <c r="E155" s="63">
        <v>0.65</v>
      </c>
      <c r="L155" s="35" t="s">
        <v>4102</v>
      </c>
      <c r="M155" s="36"/>
      <c r="N155" s="36"/>
      <c r="P155" s="35" t="s">
        <v>4102</v>
      </c>
      <c r="Q155" s="36"/>
      <c r="R155" s="36"/>
    </row>
    <row r="156">
      <c r="A156" s="25" t="s">
        <v>4103</v>
      </c>
      <c r="B156" s="25">
        <v>11049.0</v>
      </c>
      <c r="C156" s="179">
        <v>0.12</v>
      </c>
      <c r="D156" s="63">
        <v>0.65</v>
      </c>
      <c r="E156" s="63">
        <v>0.65</v>
      </c>
      <c r="L156" s="35" t="s">
        <v>4103</v>
      </c>
      <c r="M156" s="36"/>
      <c r="N156" s="36"/>
      <c r="P156" s="35" t="s">
        <v>4103</v>
      </c>
      <c r="Q156" s="36"/>
      <c r="R156" s="36"/>
    </row>
    <row r="157">
      <c r="A157" s="25" t="s">
        <v>4104</v>
      </c>
      <c r="B157" s="25">
        <v>11049.0</v>
      </c>
      <c r="C157" s="179">
        <v>0.12</v>
      </c>
      <c r="D157" s="63">
        <v>0.65</v>
      </c>
      <c r="E157" s="63">
        <v>0.65</v>
      </c>
      <c r="L157" s="35" t="s">
        <v>4104</v>
      </c>
      <c r="M157" s="36"/>
      <c r="N157" s="36"/>
      <c r="P157" s="35" t="s">
        <v>4104</v>
      </c>
      <c r="Q157" s="36"/>
      <c r="R157" s="36"/>
    </row>
    <row r="158">
      <c r="A158" s="25" t="s">
        <v>4105</v>
      </c>
      <c r="B158" s="25">
        <v>11049.0</v>
      </c>
      <c r="C158" s="179">
        <v>0.12</v>
      </c>
      <c r="D158" s="63">
        <v>0.65</v>
      </c>
      <c r="E158" s="63">
        <v>0.65</v>
      </c>
      <c r="L158" s="35" t="s">
        <v>4105</v>
      </c>
      <c r="M158" s="36"/>
      <c r="N158" s="36"/>
      <c r="P158" s="35" t="s">
        <v>4105</v>
      </c>
      <c r="Q158" s="36"/>
      <c r="R158" s="36"/>
    </row>
    <row r="159">
      <c r="A159" s="25" t="s">
        <v>4106</v>
      </c>
      <c r="B159" s="25">
        <v>11049.0</v>
      </c>
      <c r="C159" s="179">
        <v>0.12</v>
      </c>
      <c r="D159" s="63">
        <v>0.65</v>
      </c>
      <c r="E159" s="63">
        <v>0.65</v>
      </c>
      <c r="L159" s="35" t="s">
        <v>4106</v>
      </c>
      <c r="M159" s="36"/>
      <c r="N159" s="36"/>
      <c r="P159" s="35" t="s">
        <v>4106</v>
      </c>
      <c r="Q159" s="36"/>
      <c r="R159" s="36"/>
    </row>
    <row r="160">
      <c r="A160" s="25" t="s">
        <v>4107</v>
      </c>
      <c r="B160" s="25">
        <v>11049.0</v>
      </c>
      <c r="C160" s="179">
        <v>0.12</v>
      </c>
      <c r="D160" s="63">
        <v>0.65</v>
      </c>
      <c r="E160" s="63">
        <v>0.65</v>
      </c>
      <c r="L160" s="35" t="s">
        <v>4107</v>
      </c>
      <c r="M160" s="36"/>
      <c r="N160" s="36"/>
      <c r="P160" s="35" t="s">
        <v>4107</v>
      </c>
      <c r="Q160" s="36"/>
      <c r="R160" s="36"/>
    </row>
    <row r="161">
      <c r="A161" s="25" t="s">
        <v>4108</v>
      </c>
      <c r="B161" s="25">
        <v>11049.0</v>
      </c>
      <c r="C161" s="179">
        <v>0.12</v>
      </c>
      <c r="D161" s="63">
        <v>0.65</v>
      </c>
      <c r="E161" s="63">
        <v>0.65</v>
      </c>
      <c r="L161" s="35" t="s">
        <v>4108</v>
      </c>
      <c r="M161" s="36"/>
      <c r="N161" s="36"/>
      <c r="P161" s="35" t="s">
        <v>4108</v>
      </c>
      <c r="Q161" s="36"/>
      <c r="R161" s="36"/>
    </row>
    <row r="162">
      <c r="A162" s="25" t="s">
        <v>4109</v>
      </c>
      <c r="B162" s="25">
        <v>11049.0</v>
      </c>
      <c r="C162" s="179">
        <v>0.12</v>
      </c>
      <c r="D162" s="63">
        <v>0.65</v>
      </c>
      <c r="E162" s="63">
        <v>0.65</v>
      </c>
      <c r="L162" s="35" t="s">
        <v>4109</v>
      </c>
      <c r="M162" s="36"/>
      <c r="N162" s="36"/>
      <c r="P162" s="35" t="s">
        <v>4109</v>
      </c>
      <c r="Q162" s="36"/>
      <c r="R162" s="36"/>
    </row>
    <row r="163">
      <c r="A163" s="25" t="s">
        <v>4110</v>
      </c>
      <c r="B163" s="25">
        <v>11049.0</v>
      </c>
      <c r="C163" s="179">
        <v>0.12</v>
      </c>
      <c r="D163" s="63">
        <v>0.65</v>
      </c>
      <c r="E163" s="63">
        <v>0.65</v>
      </c>
      <c r="L163" s="35" t="s">
        <v>4110</v>
      </c>
      <c r="M163" s="36"/>
      <c r="N163" s="36"/>
      <c r="P163" s="35" t="s">
        <v>4110</v>
      </c>
      <c r="Q163" s="36"/>
      <c r="R163" s="36"/>
    </row>
    <row r="164">
      <c r="A164" s="25" t="s">
        <v>4111</v>
      </c>
      <c r="B164" s="25">
        <v>11049.0</v>
      </c>
      <c r="C164" s="179">
        <v>0.12</v>
      </c>
      <c r="D164" s="63">
        <v>0.65</v>
      </c>
      <c r="E164" s="63">
        <v>0.65</v>
      </c>
      <c r="L164" s="35" t="s">
        <v>4111</v>
      </c>
      <c r="M164" s="36"/>
      <c r="N164" s="36"/>
      <c r="P164" s="35" t="s">
        <v>4111</v>
      </c>
      <c r="Q164" s="36"/>
      <c r="R164" s="36"/>
    </row>
    <row r="165">
      <c r="A165" s="25" t="s">
        <v>4112</v>
      </c>
      <c r="B165" s="25">
        <v>11049.0</v>
      </c>
      <c r="C165" s="179">
        <v>0.12</v>
      </c>
      <c r="D165" s="63">
        <v>0.65</v>
      </c>
      <c r="E165" s="63">
        <v>0.65</v>
      </c>
      <c r="L165" s="35" t="s">
        <v>4112</v>
      </c>
      <c r="M165" s="36"/>
      <c r="N165" s="36"/>
      <c r="P165" s="35" t="s">
        <v>4112</v>
      </c>
      <c r="Q165" s="36"/>
      <c r="R165" s="36"/>
    </row>
    <row r="166">
      <c r="A166" s="25" t="s">
        <v>4113</v>
      </c>
      <c r="B166" s="25">
        <v>11049.0</v>
      </c>
      <c r="C166" s="179">
        <v>0.12</v>
      </c>
      <c r="D166" s="63">
        <v>0.65</v>
      </c>
      <c r="E166" s="63">
        <v>0.65</v>
      </c>
      <c r="L166" s="35" t="s">
        <v>4113</v>
      </c>
      <c r="M166" s="36"/>
      <c r="N166" s="36"/>
      <c r="P166" s="35" t="s">
        <v>4113</v>
      </c>
      <c r="Q166" s="36"/>
      <c r="R166" s="36"/>
    </row>
    <row r="167">
      <c r="A167" s="25" t="s">
        <v>4114</v>
      </c>
      <c r="B167" s="25">
        <v>11049.0</v>
      </c>
      <c r="C167" s="179">
        <v>0.12</v>
      </c>
      <c r="D167" s="63">
        <v>0.65</v>
      </c>
      <c r="E167" s="63">
        <v>0.65</v>
      </c>
      <c r="L167" s="35" t="s">
        <v>4114</v>
      </c>
      <c r="M167" s="36"/>
      <c r="N167" s="36"/>
      <c r="P167" s="35" t="s">
        <v>4114</v>
      </c>
      <c r="Q167" s="36"/>
      <c r="R167" s="36"/>
    </row>
    <row r="168">
      <c r="A168" s="25" t="s">
        <v>4115</v>
      </c>
      <c r="B168" s="25">
        <v>11049.0</v>
      </c>
      <c r="C168" s="179">
        <v>0.12</v>
      </c>
      <c r="D168" s="63">
        <v>0.65</v>
      </c>
      <c r="E168" s="63">
        <v>0.65</v>
      </c>
      <c r="L168" s="35" t="s">
        <v>4115</v>
      </c>
      <c r="M168" s="36"/>
      <c r="N168" s="36"/>
      <c r="P168" s="35" t="s">
        <v>4115</v>
      </c>
      <c r="Q168" s="36"/>
      <c r="R168" s="36"/>
    </row>
    <row r="169">
      <c r="A169" s="25" t="s">
        <v>4116</v>
      </c>
      <c r="B169" s="25">
        <v>11049.0</v>
      </c>
      <c r="C169" s="179">
        <v>0.12</v>
      </c>
      <c r="D169" s="63">
        <v>0.65</v>
      </c>
      <c r="E169" s="63">
        <v>0.65</v>
      </c>
      <c r="L169" s="35" t="s">
        <v>4116</v>
      </c>
      <c r="M169" s="36"/>
      <c r="N169" s="36"/>
      <c r="P169" s="35" t="s">
        <v>4116</v>
      </c>
      <c r="Q169" s="36"/>
      <c r="R169" s="36"/>
    </row>
    <row r="170">
      <c r="A170" s="25" t="s">
        <v>4117</v>
      </c>
      <c r="B170" s="25">
        <v>11049.0</v>
      </c>
      <c r="C170" s="179">
        <v>0.12</v>
      </c>
      <c r="D170" s="63">
        <v>0.65</v>
      </c>
      <c r="E170" s="63">
        <v>0.65</v>
      </c>
      <c r="L170" s="35" t="s">
        <v>4117</v>
      </c>
      <c r="M170" s="36"/>
      <c r="N170" s="36"/>
      <c r="P170" s="35" t="s">
        <v>4117</v>
      </c>
      <c r="Q170" s="36"/>
      <c r="R170" s="36"/>
    </row>
    <row r="171">
      <c r="A171" s="25" t="s">
        <v>4118</v>
      </c>
      <c r="B171" s="25">
        <v>11049.0</v>
      </c>
      <c r="C171" s="179">
        <v>0.12</v>
      </c>
      <c r="D171" s="63">
        <v>0.65</v>
      </c>
      <c r="E171" s="63">
        <v>0.65</v>
      </c>
      <c r="L171" s="35" t="s">
        <v>4118</v>
      </c>
      <c r="M171" s="36"/>
      <c r="N171" s="36"/>
      <c r="P171" s="35" t="s">
        <v>4118</v>
      </c>
      <c r="Q171" s="36"/>
      <c r="R171" s="36"/>
    </row>
    <row r="172">
      <c r="A172" s="25" t="s">
        <v>4119</v>
      </c>
      <c r="B172" s="25">
        <v>11049.0</v>
      </c>
      <c r="C172" s="179">
        <v>0.12</v>
      </c>
      <c r="D172" s="63">
        <v>0.65</v>
      </c>
      <c r="E172" s="63">
        <v>0.65</v>
      </c>
      <c r="L172" s="35" t="s">
        <v>4119</v>
      </c>
      <c r="M172" s="36"/>
      <c r="N172" s="36"/>
      <c r="P172" s="35" t="s">
        <v>4119</v>
      </c>
      <c r="Q172" s="36"/>
      <c r="R172" s="36"/>
    </row>
    <row r="173">
      <c r="A173" s="25" t="s">
        <v>4120</v>
      </c>
      <c r="B173" s="25">
        <v>11049.0</v>
      </c>
      <c r="C173" s="179">
        <v>0.12</v>
      </c>
      <c r="D173" s="63">
        <v>0.65</v>
      </c>
      <c r="E173" s="63">
        <v>0.65</v>
      </c>
      <c r="L173" s="35" t="s">
        <v>4120</v>
      </c>
      <c r="M173" s="36"/>
      <c r="N173" s="36"/>
      <c r="P173" s="35" t="s">
        <v>4120</v>
      </c>
      <c r="Q173" s="36"/>
      <c r="R173" s="36"/>
    </row>
    <row r="174">
      <c r="A174" s="25" t="s">
        <v>4121</v>
      </c>
      <c r="B174" s="25">
        <v>11049.0</v>
      </c>
      <c r="C174" s="179">
        <v>0.12</v>
      </c>
      <c r="D174" s="63">
        <v>0.65</v>
      </c>
      <c r="E174" s="63">
        <v>0.65</v>
      </c>
      <c r="L174" s="35" t="s">
        <v>4121</v>
      </c>
      <c r="M174" s="36"/>
      <c r="N174" s="36"/>
      <c r="P174" s="35" t="s">
        <v>4121</v>
      </c>
      <c r="Q174" s="36"/>
      <c r="R174" s="36"/>
    </row>
    <row r="175">
      <c r="A175" s="25" t="s">
        <v>4122</v>
      </c>
      <c r="B175" s="25">
        <v>11049.0</v>
      </c>
      <c r="C175" s="179">
        <v>0.12</v>
      </c>
      <c r="D175" s="63">
        <v>0.65</v>
      </c>
      <c r="E175" s="63">
        <v>0.65</v>
      </c>
      <c r="L175" s="35" t="s">
        <v>4122</v>
      </c>
      <c r="M175" s="36"/>
      <c r="N175" s="36"/>
      <c r="P175" s="35" t="s">
        <v>4122</v>
      </c>
      <c r="Q175" s="36"/>
      <c r="R175" s="36"/>
    </row>
    <row r="176">
      <c r="A176" s="25" t="s">
        <v>4123</v>
      </c>
      <c r="B176" s="25">
        <v>11049.0</v>
      </c>
      <c r="C176" s="179">
        <v>0.12</v>
      </c>
      <c r="D176" s="63">
        <v>0.65</v>
      </c>
      <c r="E176" s="63">
        <v>0.65</v>
      </c>
      <c r="L176" s="35" t="s">
        <v>4123</v>
      </c>
      <c r="M176" s="36"/>
      <c r="N176" s="36"/>
      <c r="P176" s="35" t="s">
        <v>4123</v>
      </c>
      <c r="Q176" s="36"/>
      <c r="R176" s="36"/>
    </row>
    <row r="177">
      <c r="A177" s="25" t="s">
        <v>4124</v>
      </c>
      <c r="B177" s="25">
        <v>11049.0</v>
      </c>
      <c r="C177" s="179">
        <v>0.12</v>
      </c>
      <c r="D177" s="63">
        <v>0.65</v>
      </c>
      <c r="E177" s="63">
        <v>0.65</v>
      </c>
      <c r="L177" s="35" t="s">
        <v>4124</v>
      </c>
      <c r="M177" s="36"/>
      <c r="N177" s="36"/>
      <c r="P177" s="35" t="s">
        <v>4124</v>
      </c>
      <c r="Q177" s="36"/>
      <c r="R177" s="36"/>
    </row>
    <row r="178">
      <c r="A178" s="25" t="s">
        <v>4125</v>
      </c>
      <c r="B178" s="25">
        <v>11049.0</v>
      </c>
      <c r="C178" s="179">
        <v>0.12</v>
      </c>
      <c r="D178" s="63">
        <v>0.65</v>
      </c>
      <c r="E178" s="63">
        <v>0.65</v>
      </c>
      <c r="L178" s="35" t="s">
        <v>4125</v>
      </c>
      <c r="M178" s="36"/>
      <c r="N178" s="36"/>
      <c r="P178" s="35" t="s">
        <v>4125</v>
      </c>
      <c r="Q178" s="36"/>
      <c r="R178" s="36"/>
    </row>
    <row r="179">
      <c r="A179" s="25" t="s">
        <v>4126</v>
      </c>
      <c r="B179" s="25">
        <v>11049.0</v>
      </c>
      <c r="C179" s="179">
        <v>0.12</v>
      </c>
      <c r="D179" s="63">
        <v>0.65</v>
      </c>
      <c r="E179" s="63">
        <v>0.65</v>
      </c>
      <c r="L179" s="35" t="s">
        <v>4126</v>
      </c>
      <c r="M179" s="36"/>
      <c r="N179" s="36"/>
      <c r="P179" s="35" t="s">
        <v>4126</v>
      </c>
      <c r="Q179" s="36"/>
      <c r="R179" s="36"/>
    </row>
    <row r="180">
      <c r="A180" s="25" t="s">
        <v>4127</v>
      </c>
      <c r="B180" s="25">
        <v>11049.0</v>
      </c>
      <c r="C180" s="179">
        <v>0.12</v>
      </c>
      <c r="D180" s="63">
        <v>0.65</v>
      </c>
      <c r="E180" s="63">
        <v>0.65</v>
      </c>
      <c r="L180" s="35" t="s">
        <v>4127</v>
      </c>
      <c r="M180" s="36"/>
      <c r="N180" s="36"/>
      <c r="P180" s="35" t="s">
        <v>4127</v>
      </c>
      <c r="Q180" s="36"/>
      <c r="R180" s="36"/>
    </row>
    <row r="181">
      <c r="A181" s="25" t="s">
        <v>4128</v>
      </c>
      <c r="B181" s="25">
        <v>11049.0</v>
      </c>
      <c r="C181" s="179">
        <v>0.12</v>
      </c>
      <c r="D181" s="63">
        <v>0.65</v>
      </c>
      <c r="E181" s="63">
        <v>0.65</v>
      </c>
      <c r="L181" s="35" t="s">
        <v>4128</v>
      </c>
      <c r="M181" s="36"/>
      <c r="N181" s="36"/>
      <c r="P181" s="35" t="s">
        <v>4128</v>
      </c>
      <c r="Q181" s="36"/>
      <c r="R181" s="36"/>
    </row>
    <row r="182">
      <c r="A182" s="25" t="s">
        <v>4129</v>
      </c>
      <c r="B182" s="25">
        <v>11049.0</v>
      </c>
      <c r="C182" s="179">
        <v>0.12</v>
      </c>
      <c r="D182" s="63">
        <v>0.65</v>
      </c>
      <c r="E182" s="63">
        <v>0.65</v>
      </c>
      <c r="L182" s="35" t="s">
        <v>4129</v>
      </c>
      <c r="M182" s="36"/>
      <c r="N182" s="36"/>
      <c r="P182" s="35" t="s">
        <v>4129</v>
      </c>
      <c r="Q182" s="36"/>
      <c r="R182" s="36"/>
    </row>
    <row r="183">
      <c r="A183" s="25" t="s">
        <v>4130</v>
      </c>
      <c r="B183" s="25">
        <v>11049.0</v>
      </c>
      <c r="C183" s="179">
        <v>0.12</v>
      </c>
      <c r="D183" s="63">
        <v>0.65</v>
      </c>
      <c r="E183" s="63">
        <v>0.65</v>
      </c>
      <c r="L183" s="35" t="s">
        <v>4130</v>
      </c>
      <c r="M183" s="36"/>
      <c r="N183" s="36"/>
      <c r="P183" s="35" t="s">
        <v>4130</v>
      </c>
      <c r="Q183" s="36"/>
      <c r="R183" s="36"/>
    </row>
    <row r="184">
      <c r="A184" s="25" t="s">
        <v>4131</v>
      </c>
      <c r="B184" s="25">
        <v>11049.0</v>
      </c>
      <c r="C184" s="179">
        <v>0.12</v>
      </c>
      <c r="D184" s="63">
        <v>0.65</v>
      </c>
      <c r="E184" s="63">
        <v>0.65</v>
      </c>
      <c r="L184" s="35" t="s">
        <v>4131</v>
      </c>
      <c r="M184" s="36"/>
      <c r="N184" s="36"/>
      <c r="P184" s="35" t="s">
        <v>4131</v>
      </c>
      <c r="Q184" s="36"/>
      <c r="R184" s="36"/>
    </row>
    <row r="185">
      <c r="A185" s="25" t="s">
        <v>4132</v>
      </c>
      <c r="B185" s="25">
        <v>7031.0</v>
      </c>
      <c r="C185" s="179">
        <v>0.12</v>
      </c>
      <c r="D185" s="63">
        <v>0.65</v>
      </c>
      <c r="E185" s="63">
        <v>0.65</v>
      </c>
      <c r="L185" s="35" t="s">
        <v>4132</v>
      </c>
      <c r="M185" s="36"/>
      <c r="N185" s="36"/>
      <c r="P185" s="35" t="s">
        <v>4132</v>
      </c>
      <c r="Q185" s="36"/>
      <c r="R185" s="36"/>
    </row>
    <row r="186">
      <c r="A186" s="51" t="s">
        <v>4133</v>
      </c>
      <c r="B186" s="186">
        <v>8274.0</v>
      </c>
      <c r="C186" s="179">
        <v>0.12</v>
      </c>
      <c r="D186" s="95">
        <v>0.77</v>
      </c>
      <c r="E186" s="95">
        <v>0.77</v>
      </c>
    </row>
    <row r="187">
      <c r="A187" s="51" t="s">
        <v>4134</v>
      </c>
      <c r="B187" s="51">
        <v>9030.0</v>
      </c>
      <c r="C187" s="179">
        <v>0.12</v>
      </c>
      <c r="D187" s="63">
        <v>0.65</v>
      </c>
      <c r="E187" s="63">
        <v>0.65</v>
      </c>
    </row>
    <row r="188">
      <c r="A188" s="51" t="s">
        <v>4135</v>
      </c>
      <c r="B188" s="187"/>
      <c r="C188" s="179">
        <v>0.12</v>
      </c>
      <c r="D188" s="63">
        <v>0.65</v>
      </c>
      <c r="E188" s="63">
        <v>0.65</v>
      </c>
    </row>
    <row r="189">
      <c r="A189" s="51" t="s">
        <v>4136</v>
      </c>
      <c r="B189" s="187"/>
      <c r="C189" s="179">
        <v>0.12</v>
      </c>
      <c r="D189" s="63">
        <v>0.65</v>
      </c>
      <c r="E189" s="63">
        <v>0.65</v>
      </c>
    </row>
    <row r="190">
      <c r="A190" s="51" t="s">
        <v>4137</v>
      </c>
      <c r="B190" s="188">
        <v>12277.0</v>
      </c>
      <c r="C190" s="179">
        <v>0.12</v>
      </c>
      <c r="D190" s="63">
        <v>0.65</v>
      </c>
      <c r="E190" s="63">
        <v>0.65</v>
      </c>
    </row>
    <row r="191">
      <c r="A191" s="51" t="s">
        <v>4138</v>
      </c>
      <c r="B191" s="189">
        <v>12268.0</v>
      </c>
      <c r="C191" s="179">
        <v>0.12</v>
      </c>
      <c r="D191" s="63">
        <v>0.65</v>
      </c>
      <c r="E191" s="63">
        <v>0.65</v>
      </c>
    </row>
    <row r="192">
      <c r="A192" s="51" t="s">
        <v>4139</v>
      </c>
      <c r="B192" s="187"/>
      <c r="C192" s="179">
        <v>0.12</v>
      </c>
      <c r="D192" s="63">
        <v>0.65</v>
      </c>
      <c r="E192" s="63">
        <v>0.65</v>
      </c>
    </row>
    <row r="193">
      <c r="A193" s="51" t="s">
        <v>4140</v>
      </c>
      <c r="B193" s="187"/>
      <c r="C193" s="179">
        <v>0.12</v>
      </c>
      <c r="D193" s="63">
        <v>0.65</v>
      </c>
      <c r="E193" s="63">
        <v>0.65</v>
      </c>
    </row>
    <row r="194">
      <c r="A194" s="51" t="s">
        <v>4141</v>
      </c>
      <c r="B194" s="187"/>
      <c r="C194" s="179">
        <v>0.12</v>
      </c>
      <c r="D194" s="63">
        <v>0.65</v>
      </c>
      <c r="E194" s="63">
        <v>0.65</v>
      </c>
    </row>
    <row r="195">
      <c r="A195" s="51" t="s">
        <v>4142</v>
      </c>
      <c r="B195" s="187"/>
      <c r="C195" s="179">
        <v>0.12</v>
      </c>
      <c r="D195" s="63">
        <v>0.65</v>
      </c>
      <c r="E195" s="63">
        <v>0.65</v>
      </c>
    </row>
    <row r="196">
      <c r="A196" s="51" t="s">
        <v>4143</v>
      </c>
      <c r="B196" s="187"/>
      <c r="C196" s="179">
        <v>0.12</v>
      </c>
      <c r="D196" s="63">
        <v>0.65</v>
      </c>
      <c r="E196" s="63">
        <v>0.65</v>
      </c>
      <c r="J196" s="190" t="s">
        <v>4144</v>
      </c>
    </row>
    <row r="197">
      <c r="A197" s="51" t="s">
        <v>4145</v>
      </c>
      <c r="B197" s="72">
        <v>8486.0</v>
      </c>
      <c r="C197" s="179">
        <v>0.12</v>
      </c>
      <c r="D197" s="74">
        <v>0.87</v>
      </c>
      <c r="E197" s="74">
        <v>0.87</v>
      </c>
    </row>
    <row r="198">
      <c r="A198" s="51" t="s">
        <v>4146</v>
      </c>
      <c r="B198" s="188">
        <v>9814.0</v>
      </c>
      <c r="C198" s="179">
        <v>0.12</v>
      </c>
      <c r="D198" s="63">
        <v>0.65</v>
      </c>
      <c r="E198" s="63">
        <v>0.65</v>
      </c>
    </row>
    <row r="199">
      <c r="A199" s="51" t="s">
        <v>4147</v>
      </c>
      <c r="B199" s="186">
        <v>8254.0</v>
      </c>
      <c r="C199" s="179">
        <v>0.12</v>
      </c>
      <c r="D199" s="63">
        <v>0.65</v>
      </c>
      <c r="E199" s="63">
        <v>0.65</v>
      </c>
    </row>
    <row r="200">
      <c r="A200" s="51" t="s">
        <v>4148</v>
      </c>
      <c r="B200" s="191">
        <v>14086.0</v>
      </c>
      <c r="C200" s="179">
        <v>0.12</v>
      </c>
      <c r="D200" s="63">
        <v>0.65</v>
      </c>
      <c r="E200" s="63">
        <v>0.65</v>
      </c>
    </row>
    <row r="201">
      <c r="A201" s="51" t="s">
        <v>4149</v>
      </c>
      <c r="B201" s="186">
        <v>7873.0</v>
      </c>
      <c r="C201" s="179">
        <v>0.12</v>
      </c>
      <c r="D201" s="63">
        <v>0.65</v>
      </c>
      <c r="E201" s="63">
        <v>0.65</v>
      </c>
    </row>
    <row r="202">
      <c r="A202" s="51" t="s">
        <v>4150</v>
      </c>
      <c r="B202" s="186">
        <v>8252.0</v>
      </c>
      <c r="C202" s="179">
        <v>0.12</v>
      </c>
      <c r="D202" s="63">
        <v>0.65</v>
      </c>
      <c r="E202" s="63">
        <v>0.65</v>
      </c>
    </row>
    <row r="203">
      <c r="A203" s="51" t="s">
        <v>4151</v>
      </c>
      <c r="B203" s="186">
        <v>8271.0</v>
      </c>
      <c r="C203" s="179">
        <v>0.12</v>
      </c>
      <c r="D203" s="63">
        <v>0.65</v>
      </c>
      <c r="E203" s="63">
        <v>0.65</v>
      </c>
    </row>
    <row r="204">
      <c r="A204" s="51" t="s">
        <v>4152</v>
      </c>
      <c r="B204" s="186">
        <v>9591.0</v>
      </c>
      <c r="C204" s="179">
        <v>0.12</v>
      </c>
      <c r="D204" s="63">
        <v>0.65</v>
      </c>
      <c r="E204" s="63">
        <v>0.65</v>
      </c>
    </row>
    <row r="205">
      <c r="A205" s="51" t="s">
        <v>4153</v>
      </c>
      <c r="B205" s="186">
        <v>9596.0</v>
      </c>
      <c r="C205" s="179">
        <v>0.12</v>
      </c>
      <c r="D205" s="63">
        <v>0.65</v>
      </c>
      <c r="E205" s="63">
        <v>0.65</v>
      </c>
    </row>
    <row r="206">
      <c r="A206" s="51" t="s">
        <v>4154</v>
      </c>
      <c r="B206" s="72">
        <v>9602.0</v>
      </c>
      <c r="C206" s="179">
        <v>0.12</v>
      </c>
      <c r="D206" s="63">
        <v>0.65</v>
      </c>
      <c r="E206" s="63">
        <v>0.65</v>
      </c>
    </row>
    <row r="207">
      <c r="A207" s="51" t="s">
        <v>4155</v>
      </c>
      <c r="B207" s="188">
        <v>10368.0</v>
      </c>
      <c r="C207" s="179">
        <v>0.12</v>
      </c>
      <c r="D207" s="63">
        <v>0.65</v>
      </c>
      <c r="E207" s="63">
        <v>0.65</v>
      </c>
    </row>
    <row r="208">
      <c r="A208" s="51" t="s">
        <v>4156</v>
      </c>
      <c r="B208" s="188">
        <v>10861.0</v>
      </c>
      <c r="C208" s="179">
        <v>0.12</v>
      </c>
      <c r="D208" s="63">
        <v>0.65</v>
      </c>
      <c r="E208" s="63">
        <v>0.65</v>
      </c>
    </row>
    <row r="209">
      <c r="A209" s="51" t="s">
        <v>4157</v>
      </c>
      <c r="B209" s="186">
        <v>8255.0</v>
      </c>
      <c r="C209" s="179">
        <v>0.12</v>
      </c>
      <c r="D209" s="63">
        <v>0.65</v>
      </c>
      <c r="E209" s="63">
        <v>0.65</v>
      </c>
    </row>
    <row r="210">
      <c r="A210" s="51" t="s">
        <v>4158</v>
      </c>
      <c r="B210" s="188">
        <v>11105.0</v>
      </c>
      <c r="C210" s="179">
        <v>0.12</v>
      </c>
      <c r="D210" s="63">
        <v>0.65</v>
      </c>
      <c r="E210" s="63">
        <v>0.65</v>
      </c>
    </row>
    <row r="211">
      <c r="A211" s="51" t="s">
        <v>4159</v>
      </c>
      <c r="B211" s="72">
        <v>11768.0</v>
      </c>
      <c r="C211" s="179">
        <v>0.12</v>
      </c>
      <c r="D211" s="63">
        <v>0.65</v>
      </c>
      <c r="E211" s="63">
        <v>0.65</v>
      </c>
    </row>
    <row r="212">
      <c r="A212" s="37" t="s">
        <v>4160</v>
      </c>
      <c r="B212" s="37">
        <v>14594.0</v>
      </c>
      <c r="C212" s="179">
        <v>0.12</v>
      </c>
      <c r="D212" s="63">
        <v>0.65</v>
      </c>
      <c r="E212" s="63">
        <v>0.65</v>
      </c>
    </row>
    <row r="213">
      <c r="A213" s="37" t="s">
        <v>220</v>
      </c>
      <c r="B213" s="37">
        <v>14663.0</v>
      </c>
      <c r="C213" s="179">
        <v>0.12</v>
      </c>
      <c r="D213" s="63">
        <v>0.65</v>
      </c>
      <c r="E213" s="63">
        <v>0.65</v>
      </c>
    </row>
    <row r="214">
      <c r="A214" s="37" t="s">
        <v>43</v>
      </c>
      <c r="B214" s="37">
        <v>14727.0</v>
      </c>
      <c r="C214" s="179">
        <v>0.12</v>
      </c>
      <c r="D214" s="63">
        <v>0.65</v>
      </c>
      <c r="E214" s="63">
        <v>0.65</v>
      </c>
    </row>
    <row r="215">
      <c r="A215" s="11" t="s">
        <v>1729</v>
      </c>
      <c r="B215" s="37">
        <v>14727.0</v>
      </c>
      <c r="C215" s="179">
        <v>0.12</v>
      </c>
      <c r="D215" s="63">
        <v>0.65</v>
      </c>
      <c r="E215" s="63">
        <v>0.65</v>
      </c>
    </row>
    <row r="216">
      <c r="A216" s="11" t="s">
        <v>1730</v>
      </c>
      <c r="B216" s="37">
        <v>14727.0</v>
      </c>
      <c r="C216" s="179">
        <v>0.12</v>
      </c>
      <c r="D216" s="63">
        <v>0.65</v>
      </c>
      <c r="E216" s="63">
        <v>0.65</v>
      </c>
    </row>
  </sheetData>
  <mergeCells count="1">
    <mergeCell ref="J196:J209"/>
  </mergeCells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1" t="s">
        <v>44</v>
      </c>
      <c r="B1" s="192" t="s">
        <v>4161</v>
      </c>
      <c r="C1" s="11" t="s">
        <v>1</v>
      </c>
      <c r="F1" s="11" t="str">
        <f>"Empty codes:"&amp; COUNTBLANK(C3:C98)</f>
        <v>Empty codes:1</v>
      </c>
      <c r="N1" s="11" t="s">
        <v>4162</v>
      </c>
    </row>
    <row r="2">
      <c r="A2" s="21" t="s">
        <v>4163</v>
      </c>
      <c r="C2" s="11">
        <v>7414.0</v>
      </c>
      <c r="D2" s="18" t="str">
        <f t="shared" ref="D2:D86" si="1">VLOOKUP(A2,$H$2:$I$12,2,FALSE)</f>
        <v>#N/A</v>
      </c>
      <c r="H2" s="21" t="s">
        <v>4164</v>
      </c>
      <c r="I2" s="81"/>
      <c r="N2" s="21" t="s">
        <v>4165</v>
      </c>
      <c r="O2" s="11">
        <v>6557.0</v>
      </c>
    </row>
    <row r="3">
      <c r="A3" s="21" t="s">
        <v>4166</v>
      </c>
      <c r="C3" s="11">
        <v>6950.0</v>
      </c>
      <c r="D3" s="18" t="str">
        <f t="shared" si="1"/>
        <v>#N/A</v>
      </c>
      <c r="H3" s="21" t="s">
        <v>4167</v>
      </c>
      <c r="I3" s="81">
        <v>1.0</v>
      </c>
      <c r="N3" s="21" t="s">
        <v>4168</v>
      </c>
      <c r="O3" s="11">
        <v>6557.0</v>
      </c>
    </row>
    <row r="4">
      <c r="A4" s="21" t="s">
        <v>4169</v>
      </c>
      <c r="C4" s="11">
        <v>6671.0</v>
      </c>
      <c r="D4" s="18" t="str">
        <f t="shared" si="1"/>
        <v>#N/A</v>
      </c>
      <c r="H4" s="21" t="s">
        <v>4170</v>
      </c>
      <c r="I4" s="81">
        <v>1.0</v>
      </c>
      <c r="N4" s="21" t="s">
        <v>4171</v>
      </c>
      <c r="O4" s="11">
        <v>6557.0</v>
      </c>
    </row>
    <row r="5">
      <c r="A5" s="21" t="s">
        <v>4172</v>
      </c>
      <c r="C5" s="11">
        <v>6671.0</v>
      </c>
      <c r="D5" s="18" t="str">
        <f t="shared" si="1"/>
        <v>#N/A</v>
      </c>
      <c r="H5" s="21" t="s">
        <v>4173</v>
      </c>
      <c r="I5" s="81">
        <v>1.0</v>
      </c>
    </row>
    <row r="6">
      <c r="A6" s="21" t="s">
        <v>4174</v>
      </c>
      <c r="C6" s="11">
        <v>663.0</v>
      </c>
      <c r="D6" s="18" t="str">
        <f t="shared" si="1"/>
        <v>#N/A</v>
      </c>
      <c r="H6" s="21" t="s">
        <v>4175</v>
      </c>
      <c r="I6" s="81">
        <v>1.0</v>
      </c>
    </row>
    <row r="7">
      <c r="A7" s="21" t="s">
        <v>4176</v>
      </c>
      <c r="C7" s="11">
        <v>6675.0</v>
      </c>
      <c r="D7" s="18" t="str">
        <f t="shared" si="1"/>
        <v>#N/A</v>
      </c>
      <c r="H7" s="21" t="s">
        <v>4177</v>
      </c>
      <c r="I7" s="81">
        <v>1.0</v>
      </c>
    </row>
    <row r="8">
      <c r="A8" s="21" t="s">
        <v>4178</v>
      </c>
      <c r="C8" s="11">
        <v>6133.0</v>
      </c>
      <c r="D8" s="18" t="str">
        <f t="shared" si="1"/>
        <v>#N/A</v>
      </c>
      <c r="H8" s="21" t="s">
        <v>4179</v>
      </c>
      <c r="I8" s="81">
        <v>1.0</v>
      </c>
    </row>
    <row r="9">
      <c r="A9" s="21" t="s">
        <v>4180</v>
      </c>
      <c r="C9" s="11">
        <v>6772.0</v>
      </c>
      <c r="D9" s="18">
        <f t="shared" si="1"/>
        <v>1</v>
      </c>
      <c r="H9" s="21" t="s">
        <v>4181</v>
      </c>
      <c r="I9" s="81">
        <v>1.0</v>
      </c>
    </row>
    <row r="10">
      <c r="A10" s="21" t="s">
        <v>4182</v>
      </c>
      <c r="C10" s="11">
        <v>6732.0</v>
      </c>
      <c r="D10" s="18" t="str">
        <f t="shared" si="1"/>
        <v>#N/A</v>
      </c>
      <c r="H10" s="21" t="s">
        <v>4183</v>
      </c>
      <c r="I10" s="81">
        <v>1.0</v>
      </c>
    </row>
    <row r="11">
      <c r="A11" s="21" t="s">
        <v>4184</v>
      </c>
      <c r="C11" s="11">
        <v>6732.0</v>
      </c>
      <c r="D11" s="18" t="str">
        <f t="shared" si="1"/>
        <v>#N/A</v>
      </c>
      <c r="H11" s="21" t="s">
        <v>4185</v>
      </c>
      <c r="I11" s="81">
        <v>1.0</v>
      </c>
    </row>
    <row r="12">
      <c r="A12" s="193" t="s">
        <v>4186</v>
      </c>
      <c r="C12" s="194">
        <v>6732.0</v>
      </c>
      <c r="D12" s="18">
        <f t="shared" si="1"/>
        <v>1</v>
      </c>
      <c r="F12" s="194" t="s">
        <v>4187</v>
      </c>
      <c r="H12" s="21" t="s">
        <v>4188</v>
      </c>
      <c r="I12" s="81">
        <v>1.0</v>
      </c>
    </row>
    <row r="13">
      <c r="A13" s="21" t="s">
        <v>4189</v>
      </c>
      <c r="C13" s="11">
        <v>6732.0</v>
      </c>
      <c r="D13" s="18" t="str">
        <f t="shared" si="1"/>
        <v>#N/A</v>
      </c>
    </row>
    <row r="14">
      <c r="A14" s="21" t="s">
        <v>4190</v>
      </c>
      <c r="C14" s="11">
        <v>6732.0</v>
      </c>
      <c r="D14" s="18" t="str">
        <f t="shared" si="1"/>
        <v>#N/A</v>
      </c>
    </row>
    <row r="15">
      <c r="A15" s="21" t="s">
        <v>4191</v>
      </c>
      <c r="B15" s="11"/>
      <c r="C15" s="11">
        <v>6732.0</v>
      </c>
      <c r="D15" s="18" t="str">
        <f t="shared" si="1"/>
        <v>#N/A</v>
      </c>
    </row>
    <row r="16">
      <c r="A16" s="21" t="s">
        <v>4192</v>
      </c>
      <c r="B16" s="195"/>
      <c r="C16" s="195">
        <v>6909.0</v>
      </c>
      <c r="D16" s="18" t="str">
        <f t="shared" si="1"/>
        <v>#N/A</v>
      </c>
    </row>
    <row r="17">
      <c r="A17" s="21" t="s">
        <v>4193</v>
      </c>
      <c r="B17" s="11"/>
      <c r="C17" s="11">
        <v>986.0</v>
      </c>
      <c r="D17" s="18" t="str">
        <f t="shared" si="1"/>
        <v>#N/A</v>
      </c>
    </row>
    <row r="18">
      <c r="A18" s="21" t="s">
        <v>4194</v>
      </c>
      <c r="B18" s="11"/>
      <c r="C18" s="11">
        <v>986.0</v>
      </c>
      <c r="D18" s="18" t="str">
        <f t="shared" si="1"/>
        <v>#N/A</v>
      </c>
    </row>
    <row r="19">
      <c r="A19" s="21" t="s">
        <v>4195</v>
      </c>
      <c r="B19" s="11"/>
      <c r="C19" s="11">
        <v>986.0</v>
      </c>
      <c r="D19" s="18" t="str">
        <f t="shared" si="1"/>
        <v>#N/A</v>
      </c>
    </row>
    <row r="20">
      <c r="A20" s="21" t="s">
        <v>4196</v>
      </c>
      <c r="B20" s="11"/>
      <c r="C20" s="11">
        <v>986.0</v>
      </c>
      <c r="D20" s="18" t="str">
        <f t="shared" si="1"/>
        <v>#N/A</v>
      </c>
    </row>
    <row r="21">
      <c r="A21" s="21" t="s">
        <v>4197</v>
      </c>
      <c r="B21" s="11"/>
      <c r="C21" s="11">
        <v>986.0</v>
      </c>
      <c r="D21" s="18" t="str">
        <f t="shared" si="1"/>
        <v>#N/A</v>
      </c>
    </row>
    <row r="22">
      <c r="A22" s="21" t="s">
        <v>4198</v>
      </c>
      <c r="B22" s="11"/>
      <c r="C22" s="11">
        <v>986.0</v>
      </c>
      <c r="D22" s="18" t="str">
        <f t="shared" si="1"/>
        <v>#N/A</v>
      </c>
    </row>
    <row r="23">
      <c r="A23" s="21" t="s">
        <v>4199</v>
      </c>
      <c r="B23" s="11"/>
      <c r="C23" s="11">
        <v>986.0</v>
      </c>
      <c r="D23" s="18" t="str">
        <f t="shared" si="1"/>
        <v>#N/A</v>
      </c>
    </row>
    <row r="24">
      <c r="A24" s="21" t="s">
        <v>4200</v>
      </c>
      <c r="B24" s="11"/>
      <c r="C24" s="11">
        <v>986.0</v>
      </c>
      <c r="D24" s="18" t="str">
        <f t="shared" si="1"/>
        <v>#N/A</v>
      </c>
    </row>
    <row r="25">
      <c r="A25" s="21" t="s">
        <v>4201</v>
      </c>
      <c r="B25" s="11"/>
      <c r="C25" s="11">
        <v>986.0</v>
      </c>
      <c r="D25" s="18" t="str">
        <f t="shared" si="1"/>
        <v>#N/A</v>
      </c>
    </row>
    <row r="26">
      <c r="A26" s="21" t="s">
        <v>4202</v>
      </c>
      <c r="B26" s="11"/>
      <c r="C26" s="11">
        <v>986.0</v>
      </c>
      <c r="D26" s="18" t="str">
        <f t="shared" si="1"/>
        <v>#N/A</v>
      </c>
    </row>
    <row r="27">
      <c r="A27" s="21" t="s">
        <v>4203</v>
      </c>
      <c r="B27" s="11"/>
      <c r="C27" s="11">
        <v>930.0</v>
      </c>
      <c r="D27" s="18" t="str">
        <f t="shared" si="1"/>
        <v>#N/A</v>
      </c>
    </row>
    <row r="28">
      <c r="A28" s="21" t="s">
        <v>4204</v>
      </c>
      <c r="B28" s="11"/>
      <c r="C28" s="11">
        <v>6750.0</v>
      </c>
      <c r="D28" s="18" t="str">
        <f t="shared" si="1"/>
        <v>#N/A</v>
      </c>
    </row>
    <row r="29">
      <c r="A29" s="21" t="s">
        <v>4205</v>
      </c>
      <c r="B29" s="11"/>
      <c r="C29" s="11">
        <v>6727.0</v>
      </c>
      <c r="D29" s="18" t="str">
        <f t="shared" si="1"/>
        <v>#N/A</v>
      </c>
    </row>
    <row r="30">
      <c r="A30" s="21" t="s">
        <v>4206</v>
      </c>
      <c r="B30" s="11"/>
      <c r="C30" s="11">
        <v>136.0</v>
      </c>
      <c r="D30" s="18" t="str">
        <f t="shared" si="1"/>
        <v>#N/A</v>
      </c>
    </row>
    <row r="31">
      <c r="A31" s="21" t="s">
        <v>4207</v>
      </c>
      <c r="B31" s="11"/>
      <c r="C31" s="11">
        <v>663.0</v>
      </c>
      <c r="D31" s="18" t="str">
        <f t="shared" si="1"/>
        <v>#N/A</v>
      </c>
    </row>
    <row r="32">
      <c r="A32" s="21" t="s">
        <v>4208</v>
      </c>
      <c r="B32" s="11"/>
      <c r="C32" s="11">
        <v>6557.0</v>
      </c>
      <c r="D32" s="18" t="str">
        <f t="shared" si="1"/>
        <v>#N/A</v>
      </c>
    </row>
    <row r="33">
      <c r="A33" s="21" t="s">
        <v>4209</v>
      </c>
      <c r="B33" s="11"/>
      <c r="C33" s="11">
        <v>6998.0</v>
      </c>
      <c r="D33" s="18" t="str">
        <f t="shared" si="1"/>
        <v>#N/A</v>
      </c>
    </row>
    <row r="34">
      <c r="A34" s="21" t="s">
        <v>4210</v>
      </c>
      <c r="B34" s="11"/>
      <c r="C34" s="11">
        <v>1360.0</v>
      </c>
      <c r="D34" s="18" t="str">
        <f t="shared" si="1"/>
        <v>#N/A</v>
      </c>
    </row>
    <row r="35">
      <c r="A35" s="21" t="s">
        <v>4211</v>
      </c>
      <c r="B35" s="11"/>
      <c r="C35" s="11">
        <v>3142.0</v>
      </c>
      <c r="D35" s="18" t="str">
        <f t="shared" si="1"/>
        <v>#N/A</v>
      </c>
    </row>
    <row r="36">
      <c r="A36" s="21" t="s">
        <v>4212</v>
      </c>
      <c r="B36" s="11"/>
      <c r="C36" s="11">
        <v>7046.0</v>
      </c>
      <c r="D36" s="18" t="str">
        <f t="shared" si="1"/>
        <v>#N/A</v>
      </c>
    </row>
    <row r="37">
      <c r="A37" s="21" t="s">
        <v>4213</v>
      </c>
      <c r="B37" s="11"/>
      <c r="C37" s="11">
        <v>6947.0</v>
      </c>
      <c r="D37" s="18" t="str">
        <f t="shared" si="1"/>
        <v>#N/A</v>
      </c>
    </row>
    <row r="38">
      <c r="A38" s="21" t="s">
        <v>4214</v>
      </c>
      <c r="B38" s="11"/>
      <c r="C38" s="11">
        <v>7051.0</v>
      </c>
      <c r="D38" s="18" t="str">
        <f t="shared" si="1"/>
        <v>#N/A</v>
      </c>
    </row>
    <row r="39">
      <c r="A39" s="21" t="s">
        <v>4215</v>
      </c>
      <c r="B39" s="11"/>
      <c r="C39" s="11">
        <v>6750.0</v>
      </c>
      <c r="D39" s="18" t="str">
        <f t="shared" si="1"/>
        <v>#N/A</v>
      </c>
    </row>
    <row r="40">
      <c r="A40" s="21" t="s">
        <v>4216</v>
      </c>
      <c r="D40" s="18" t="str">
        <f t="shared" si="1"/>
        <v>#N/A</v>
      </c>
    </row>
    <row r="41">
      <c r="A41" s="21" t="s">
        <v>4217</v>
      </c>
      <c r="B41" s="11"/>
      <c r="C41" s="11">
        <v>9307.0</v>
      </c>
      <c r="D41" s="18" t="str">
        <f t="shared" si="1"/>
        <v>#N/A</v>
      </c>
      <c r="E41" s="11">
        <v>7020.0</v>
      </c>
    </row>
    <row r="42">
      <c r="A42" s="21" t="s">
        <v>4218</v>
      </c>
      <c r="B42" s="11"/>
      <c r="C42" s="11">
        <v>5125.0</v>
      </c>
      <c r="D42" s="18" t="str">
        <f t="shared" si="1"/>
        <v>#N/A</v>
      </c>
    </row>
    <row r="43">
      <c r="A43" s="21" t="s">
        <v>4219</v>
      </c>
      <c r="B43" s="11"/>
      <c r="C43" s="11">
        <v>6998.0</v>
      </c>
      <c r="D43" s="18" t="str">
        <f t="shared" si="1"/>
        <v>#N/A</v>
      </c>
    </row>
    <row r="44">
      <c r="A44" s="21" t="s">
        <v>4220</v>
      </c>
      <c r="B44" s="11"/>
      <c r="C44" s="11">
        <v>1360.0</v>
      </c>
      <c r="D44" s="18" t="str">
        <f t="shared" si="1"/>
        <v>#N/A</v>
      </c>
    </row>
    <row r="45">
      <c r="A45" s="21" t="s">
        <v>4221</v>
      </c>
      <c r="B45" s="11"/>
      <c r="C45" s="11">
        <v>6887.0</v>
      </c>
      <c r="D45" s="18">
        <f t="shared" si="1"/>
        <v>1</v>
      </c>
    </row>
    <row r="46">
      <c r="A46" s="21" t="s">
        <v>4222</v>
      </c>
      <c r="B46" s="11"/>
      <c r="C46" s="11">
        <v>2345.0</v>
      </c>
      <c r="D46" s="18" t="str">
        <f t="shared" si="1"/>
        <v>#N/A</v>
      </c>
    </row>
    <row r="47">
      <c r="A47" s="21" t="s">
        <v>4223</v>
      </c>
      <c r="B47" s="11"/>
      <c r="C47" s="11">
        <v>10856.0</v>
      </c>
      <c r="D47" s="18" t="str">
        <f t="shared" si="1"/>
        <v>#N/A</v>
      </c>
    </row>
    <row r="48">
      <c r="A48" s="21" t="s">
        <v>4224</v>
      </c>
      <c r="B48" s="11"/>
      <c r="C48" s="11">
        <v>6727.0</v>
      </c>
      <c r="D48" s="18" t="str">
        <f t="shared" si="1"/>
        <v>#N/A</v>
      </c>
    </row>
    <row r="49">
      <c r="A49" s="21" t="s">
        <v>4225</v>
      </c>
      <c r="B49" s="11"/>
      <c r="C49" s="11">
        <v>6727.0</v>
      </c>
      <c r="D49" s="18" t="str">
        <f t="shared" si="1"/>
        <v>#N/A</v>
      </c>
    </row>
    <row r="50">
      <c r="A50" s="21" t="s">
        <v>4226</v>
      </c>
      <c r="B50" s="11"/>
      <c r="C50" s="11">
        <v>6727.0</v>
      </c>
      <c r="D50" s="18" t="str">
        <f t="shared" si="1"/>
        <v>#N/A</v>
      </c>
    </row>
    <row r="51">
      <c r="A51" s="21" t="s">
        <v>4227</v>
      </c>
      <c r="B51" s="11"/>
      <c r="C51" s="11">
        <v>6924.0</v>
      </c>
      <c r="D51" s="18" t="str">
        <f t="shared" si="1"/>
        <v>#N/A</v>
      </c>
    </row>
    <row r="52">
      <c r="A52" s="21" t="s">
        <v>4228</v>
      </c>
      <c r="B52" s="11"/>
      <c r="C52" s="11">
        <v>6893.0</v>
      </c>
      <c r="D52" s="18" t="str">
        <f t="shared" si="1"/>
        <v>#N/A</v>
      </c>
    </row>
    <row r="53">
      <c r="A53" s="21" t="s">
        <v>4229</v>
      </c>
      <c r="B53" s="11"/>
      <c r="C53" s="11">
        <v>7246.0</v>
      </c>
      <c r="D53" s="18" t="str">
        <f t="shared" si="1"/>
        <v>#N/A</v>
      </c>
    </row>
    <row r="54">
      <c r="A54" s="21" t="s">
        <v>4230</v>
      </c>
      <c r="B54" s="11"/>
      <c r="C54" s="11">
        <v>6824.0</v>
      </c>
      <c r="D54" s="18" t="str">
        <f t="shared" si="1"/>
        <v>#N/A</v>
      </c>
    </row>
    <row r="55">
      <c r="A55" s="21" t="s">
        <v>4231</v>
      </c>
      <c r="B55" s="11"/>
      <c r="C55" s="11">
        <v>6824.0</v>
      </c>
      <c r="D55" s="18" t="str">
        <f t="shared" si="1"/>
        <v>#N/A</v>
      </c>
    </row>
    <row r="56">
      <c r="A56" s="21" t="s">
        <v>4232</v>
      </c>
      <c r="B56" s="11"/>
      <c r="C56" s="11">
        <v>7124.0</v>
      </c>
      <c r="D56" s="18">
        <f t="shared" si="1"/>
        <v>1</v>
      </c>
    </row>
    <row r="57">
      <c r="A57" s="21" t="s">
        <v>4233</v>
      </c>
      <c r="B57" s="11"/>
      <c r="C57" s="11">
        <v>3307.0</v>
      </c>
      <c r="D57" s="18" t="str">
        <f t="shared" si="1"/>
        <v>#N/A</v>
      </c>
    </row>
    <row r="58">
      <c r="A58" s="21" t="s">
        <v>4234</v>
      </c>
      <c r="B58" s="11"/>
      <c r="C58" s="11">
        <v>7098.0</v>
      </c>
      <c r="D58" s="18" t="str">
        <f t="shared" si="1"/>
        <v>#N/A</v>
      </c>
    </row>
    <row r="59">
      <c r="A59" s="21" t="s">
        <v>4235</v>
      </c>
      <c r="B59" s="11"/>
      <c r="C59" s="11">
        <v>7098.0</v>
      </c>
      <c r="D59" s="18" t="str">
        <f t="shared" si="1"/>
        <v>#N/A</v>
      </c>
    </row>
    <row r="60">
      <c r="A60" s="21" t="s">
        <v>1166</v>
      </c>
      <c r="B60" s="11"/>
      <c r="C60" s="11">
        <v>7010.0</v>
      </c>
      <c r="D60" s="18" t="str">
        <f t="shared" si="1"/>
        <v>#N/A</v>
      </c>
    </row>
    <row r="61">
      <c r="A61" s="21" t="s">
        <v>4236</v>
      </c>
      <c r="B61" s="11"/>
      <c r="C61" s="11">
        <v>7100.0</v>
      </c>
      <c r="D61" s="18" t="str">
        <f t="shared" si="1"/>
        <v>#N/A</v>
      </c>
    </row>
    <row r="62">
      <c r="A62" s="21" t="s">
        <v>4237</v>
      </c>
      <c r="B62" s="11"/>
      <c r="C62" s="11">
        <v>6530.0</v>
      </c>
      <c r="D62" s="18" t="str">
        <f t="shared" si="1"/>
        <v>#N/A</v>
      </c>
    </row>
    <row r="63">
      <c r="A63" s="21" t="s">
        <v>4238</v>
      </c>
      <c r="B63" s="11"/>
      <c r="C63" s="11">
        <v>6530.0</v>
      </c>
      <c r="D63" s="18" t="str">
        <f t="shared" si="1"/>
        <v>#N/A</v>
      </c>
    </row>
    <row r="64">
      <c r="A64" s="21" t="s">
        <v>4239</v>
      </c>
      <c r="B64" s="122"/>
      <c r="C64" s="122">
        <v>6780.0</v>
      </c>
      <c r="D64" s="18" t="str">
        <f t="shared" si="1"/>
        <v>#N/A</v>
      </c>
    </row>
    <row r="65">
      <c r="A65" s="21" t="s">
        <v>4240</v>
      </c>
      <c r="B65" s="16"/>
      <c r="C65" s="196">
        <v>7847.0</v>
      </c>
      <c r="D65" s="18" t="str">
        <f t="shared" si="1"/>
        <v>#N/A</v>
      </c>
    </row>
    <row r="66">
      <c r="A66" s="21" t="s">
        <v>4241</v>
      </c>
      <c r="B66" s="11"/>
      <c r="C66" s="11">
        <v>7181.0</v>
      </c>
      <c r="D66" s="18" t="str">
        <f t="shared" si="1"/>
        <v>#N/A</v>
      </c>
    </row>
    <row r="67">
      <c r="A67" s="21" t="s">
        <v>793</v>
      </c>
      <c r="B67" s="11"/>
      <c r="C67" s="11">
        <v>986.0</v>
      </c>
      <c r="D67" s="18" t="str">
        <f t="shared" si="1"/>
        <v>#N/A</v>
      </c>
    </row>
    <row r="68">
      <c r="A68" s="21" t="s">
        <v>4242</v>
      </c>
      <c r="B68" s="11"/>
      <c r="C68" s="11">
        <v>2345.0</v>
      </c>
      <c r="D68" s="18">
        <f t="shared" si="1"/>
        <v>1</v>
      </c>
    </row>
    <row r="69">
      <c r="A69" s="21" t="s">
        <v>4243</v>
      </c>
      <c r="B69" s="11"/>
      <c r="C69" s="11">
        <v>2345.0</v>
      </c>
      <c r="D69" s="18">
        <f t="shared" si="1"/>
        <v>1</v>
      </c>
    </row>
    <row r="70">
      <c r="A70" s="21" t="s">
        <v>4244</v>
      </c>
      <c r="B70" s="11"/>
      <c r="C70" s="11">
        <v>6827.0</v>
      </c>
      <c r="D70" s="18" t="str">
        <f t="shared" si="1"/>
        <v>#N/A</v>
      </c>
    </row>
    <row r="71">
      <c r="A71" s="21" t="s">
        <v>4245</v>
      </c>
      <c r="B71" s="11"/>
      <c r="C71" s="11">
        <v>6827.0</v>
      </c>
      <c r="D71" s="18" t="str">
        <f t="shared" si="1"/>
        <v>#N/A</v>
      </c>
    </row>
    <row r="72">
      <c r="A72" s="21" t="s">
        <v>4246</v>
      </c>
      <c r="B72" s="11"/>
      <c r="C72" s="11">
        <v>6557.0</v>
      </c>
      <c r="D72" s="18" t="str">
        <f t="shared" si="1"/>
        <v>#N/A</v>
      </c>
    </row>
    <row r="73">
      <c r="A73" s="21" t="s">
        <v>4247</v>
      </c>
      <c r="B73" s="11"/>
      <c r="C73" s="11">
        <v>3689.0</v>
      </c>
      <c r="D73" s="18" t="str">
        <f t="shared" si="1"/>
        <v>#N/A</v>
      </c>
    </row>
    <row r="74">
      <c r="A74" s="21" t="s">
        <v>4248</v>
      </c>
      <c r="B74" s="11"/>
      <c r="C74" s="11">
        <v>6669.0</v>
      </c>
      <c r="D74" s="18" t="str">
        <f t="shared" si="1"/>
        <v>#N/A</v>
      </c>
    </row>
    <row r="75">
      <c r="A75" s="21" t="s">
        <v>4249</v>
      </c>
      <c r="B75" s="11"/>
      <c r="C75" s="11">
        <v>7132.0</v>
      </c>
      <c r="D75" s="18" t="str">
        <f t="shared" si="1"/>
        <v>#N/A</v>
      </c>
    </row>
    <row r="76">
      <c r="A76" s="21" t="s">
        <v>4250</v>
      </c>
      <c r="B76" s="11"/>
      <c r="C76" s="11">
        <v>2345.0</v>
      </c>
      <c r="D76" s="18">
        <f t="shared" si="1"/>
        <v>1</v>
      </c>
    </row>
    <row r="77">
      <c r="A77" s="21" t="s">
        <v>4251</v>
      </c>
      <c r="B77" s="11"/>
      <c r="C77" s="11">
        <v>6726.0</v>
      </c>
      <c r="D77" s="18" t="str">
        <f t="shared" si="1"/>
        <v>#N/A</v>
      </c>
    </row>
    <row r="78">
      <c r="A78" s="21" t="s">
        <v>4252</v>
      </c>
      <c r="B78" s="11"/>
      <c r="C78" s="11">
        <v>6726.0</v>
      </c>
      <c r="D78" s="18" t="str">
        <f t="shared" si="1"/>
        <v>#N/A</v>
      </c>
    </row>
    <row r="79">
      <c r="A79" s="21" t="s">
        <v>4253</v>
      </c>
      <c r="B79" s="11"/>
      <c r="C79" s="11">
        <v>7055.0</v>
      </c>
      <c r="D79" s="18" t="str">
        <f t="shared" si="1"/>
        <v>#N/A</v>
      </c>
    </row>
    <row r="80">
      <c r="A80" s="21" t="s">
        <v>4254</v>
      </c>
      <c r="B80" s="11"/>
      <c r="C80" s="11">
        <v>7083.0</v>
      </c>
      <c r="D80" s="18">
        <f t="shared" si="1"/>
        <v>1</v>
      </c>
    </row>
    <row r="81">
      <c r="A81" s="21" t="s">
        <v>4255</v>
      </c>
      <c r="B81" s="11"/>
      <c r="C81" s="11">
        <v>7129.0</v>
      </c>
      <c r="D81" s="18" t="str">
        <f t="shared" si="1"/>
        <v>#N/A</v>
      </c>
    </row>
    <row r="82">
      <c r="A82" s="21" t="s">
        <v>881</v>
      </c>
      <c r="B82" s="11"/>
      <c r="C82" s="11">
        <v>2345.0</v>
      </c>
      <c r="D82" s="18" t="str">
        <f t="shared" si="1"/>
        <v>#N/A</v>
      </c>
    </row>
    <row r="83">
      <c r="A83" s="21" t="s">
        <v>4256</v>
      </c>
      <c r="B83" s="11"/>
      <c r="C83" s="11">
        <v>7229.0</v>
      </c>
      <c r="D83" s="18" t="str">
        <f t="shared" si="1"/>
        <v>#N/A</v>
      </c>
    </row>
    <row r="84">
      <c r="A84" s="21" t="s">
        <v>2151</v>
      </c>
      <c r="B84" s="11"/>
      <c r="C84" s="11">
        <v>6530.0</v>
      </c>
      <c r="D84" s="18" t="str">
        <f t="shared" si="1"/>
        <v>#N/A</v>
      </c>
    </row>
    <row r="85">
      <c r="A85" s="21" t="s">
        <v>4257</v>
      </c>
      <c r="B85" s="11"/>
      <c r="C85" s="11">
        <v>6875.0</v>
      </c>
      <c r="D85" s="18" t="str">
        <f t="shared" si="1"/>
        <v>#N/A</v>
      </c>
    </row>
    <row r="86">
      <c r="A86" s="21" t="s">
        <v>4258</v>
      </c>
      <c r="B86" s="122"/>
      <c r="C86" s="122">
        <v>6697.0</v>
      </c>
      <c r="D86" s="18" t="str">
        <f t="shared" si="1"/>
        <v>#N/A</v>
      </c>
    </row>
    <row r="87">
      <c r="A87" s="21" t="s">
        <v>4259</v>
      </c>
      <c r="B87" s="11"/>
      <c r="C87" s="11">
        <v>7023.0</v>
      </c>
    </row>
    <row r="88">
      <c r="A88" s="21" t="s">
        <v>4260</v>
      </c>
      <c r="B88" s="11"/>
      <c r="C88" s="11">
        <v>189.0</v>
      </c>
      <c r="D88" s="18" t="str">
        <f t="shared" ref="D88:D98" si="2">VLOOKUP(A88,$H$2:$I$12,2,FALSE)</f>
        <v>#N/A</v>
      </c>
    </row>
    <row r="89">
      <c r="A89" s="21" t="s">
        <v>4261</v>
      </c>
      <c r="B89" s="122"/>
      <c r="C89" s="122">
        <v>6802.0</v>
      </c>
      <c r="D89" s="18" t="str">
        <f t="shared" si="2"/>
        <v>#N/A</v>
      </c>
    </row>
    <row r="90">
      <c r="A90" s="21" t="s">
        <v>4262</v>
      </c>
      <c r="B90" s="11"/>
      <c r="C90" s="11">
        <v>4933.0</v>
      </c>
      <c r="D90" s="18">
        <f t="shared" si="2"/>
        <v>1</v>
      </c>
    </row>
    <row r="91">
      <c r="A91" s="21" t="s">
        <v>4263</v>
      </c>
      <c r="B91" s="11"/>
      <c r="C91" s="11">
        <v>4933.0</v>
      </c>
      <c r="D91" s="18" t="str">
        <f t="shared" si="2"/>
        <v>#N/A</v>
      </c>
    </row>
    <row r="92">
      <c r="A92" s="21" t="s">
        <v>4264</v>
      </c>
      <c r="B92" s="11"/>
      <c r="C92" s="11">
        <v>4933.0</v>
      </c>
      <c r="D92" s="18" t="str">
        <f t="shared" si="2"/>
        <v>#N/A</v>
      </c>
    </row>
    <row r="93">
      <c r="A93" s="21" t="s">
        <v>4265</v>
      </c>
      <c r="B93" s="11"/>
      <c r="C93" s="11">
        <v>2345.0</v>
      </c>
      <c r="D93" s="18" t="str">
        <f t="shared" si="2"/>
        <v>#N/A</v>
      </c>
    </row>
    <row r="94">
      <c r="A94" s="21" t="s">
        <v>4266</v>
      </c>
      <c r="B94" s="11"/>
      <c r="C94" s="11">
        <v>189.0</v>
      </c>
      <c r="D94" s="18" t="str">
        <f t="shared" si="2"/>
        <v>#N/A</v>
      </c>
    </row>
    <row r="95">
      <c r="A95" s="21" t="s">
        <v>4267</v>
      </c>
      <c r="B95" s="11"/>
      <c r="C95" s="11">
        <v>189.0</v>
      </c>
      <c r="D95" s="18" t="str">
        <f t="shared" si="2"/>
        <v>#N/A</v>
      </c>
    </row>
    <row r="96">
      <c r="A96" s="21" t="s">
        <v>4268</v>
      </c>
      <c r="B96" s="11"/>
      <c r="C96" s="11">
        <v>189.0</v>
      </c>
      <c r="D96" s="18" t="str">
        <f t="shared" si="2"/>
        <v>#N/A</v>
      </c>
    </row>
    <row r="97">
      <c r="A97" s="21" t="s">
        <v>4269</v>
      </c>
      <c r="B97" s="11"/>
      <c r="C97" s="11">
        <v>189.0</v>
      </c>
      <c r="D97" s="18" t="str">
        <f t="shared" si="2"/>
        <v>#N/A</v>
      </c>
    </row>
    <row r="98">
      <c r="A98" s="21" t="s">
        <v>4270</v>
      </c>
      <c r="B98" s="11"/>
      <c r="C98" s="11">
        <v>189.0</v>
      </c>
      <c r="D98" s="18" t="str">
        <f t="shared" si="2"/>
        <v>#N/A</v>
      </c>
    </row>
    <row r="99">
      <c r="A99" s="197" t="s">
        <v>4165</v>
      </c>
      <c r="B99" s="7"/>
      <c r="C99" s="66">
        <v>9602.0</v>
      </c>
      <c r="D99" s="11" t="s">
        <v>207</v>
      </c>
    </row>
    <row r="100">
      <c r="A100" s="197" t="s">
        <v>4168</v>
      </c>
      <c r="B100" s="198"/>
      <c r="C100" s="199">
        <v>7670.0</v>
      </c>
      <c r="D100" s="11" t="s">
        <v>207</v>
      </c>
    </row>
    <row r="101">
      <c r="A101" s="197" t="s">
        <v>4171</v>
      </c>
      <c r="B101" s="198"/>
      <c r="C101" s="199">
        <v>9768.0</v>
      </c>
      <c r="D101" s="11" t="s">
        <v>207</v>
      </c>
    </row>
  </sheetData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5" max="5" width="19.25"/>
  </cols>
  <sheetData>
    <row r="1">
      <c r="A1" s="11" t="s">
        <v>44</v>
      </c>
      <c r="B1" s="158" t="s">
        <v>1</v>
      </c>
    </row>
    <row r="2">
      <c r="A2" s="37" t="s">
        <v>3547</v>
      </c>
      <c r="B2" s="182">
        <v>663.0</v>
      </c>
      <c r="C2" s="45"/>
      <c r="F2" s="21"/>
      <c r="J2" s="200"/>
    </row>
    <row r="3">
      <c r="A3" s="37" t="s">
        <v>3548</v>
      </c>
      <c r="B3" s="182">
        <v>663.0</v>
      </c>
      <c r="C3" s="45"/>
      <c r="F3" s="29"/>
      <c r="G3" s="130"/>
      <c r="H3" s="39"/>
      <c r="J3" s="200"/>
    </row>
    <row r="4">
      <c r="A4" s="37" t="s">
        <v>3549</v>
      </c>
      <c r="B4" s="182">
        <v>6722.0</v>
      </c>
      <c r="C4" s="45"/>
      <c r="F4" s="29"/>
      <c r="G4" s="130"/>
      <c r="H4" s="39"/>
      <c r="J4" s="200"/>
    </row>
    <row r="5">
      <c r="A5" s="37" t="s">
        <v>3550</v>
      </c>
      <c r="B5" s="182">
        <v>663.0</v>
      </c>
      <c r="C5" s="45"/>
      <c r="F5" s="29"/>
      <c r="G5" s="130"/>
      <c r="H5" s="39"/>
      <c r="J5" s="200"/>
    </row>
    <row r="6">
      <c r="A6" s="37" t="s">
        <v>3551</v>
      </c>
      <c r="B6" s="182">
        <v>6675.0</v>
      </c>
      <c r="C6" s="45"/>
      <c r="G6" s="201"/>
      <c r="J6" s="200"/>
    </row>
    <row r="7">
      <c r="A7" s="37" t="s">
        <v>3552</v>
      </c>
      <c r="B7" s="182">
        <v>189.0</v>
      </c>
      <c r="C7" s="45"/>
      <c r="G7" s="201"/>
      <c r="J7" s="200"/>
    </row>
    <row r="8">
      <c r="A8" s="37" t="s">
        <v>3553</v>
      </c>
      <c r="B8" s="182">
        <v>7157.0</v>
      </c>
      <c r="C8" s="45"/>
      <c r="G8" s="201"/>
      <c r="J8" s="200"/>
    </row>
    <row r="9">
      <c r="A9" s="37" t="s">
        <v>3704</v>
      </c>
      <c r="B9" s="182">
        <v>7157.0</v>
      </c>
      <c r="C9" s="45"/>
      <c r="G9" s="201"/>
      <c r="J9" s="200"/>
    </row>
    <row r="10">
      <c r="A10" s="37" t="s">
        <v>3705</v>
      </c>
      <c r="B10" s="37">
        <v>7747.0</v>
      </c>
      <c r="C10" s="45"/>
      <c r="G10" s="201"/>
      <c r="J10" s="200"/>
    </row>
    <row r="11">
      <c r="A11" s="37" t="s">
        <v>65</v>
      </c>
      <c r="B11" s="182">
        <v>3307.0</v>
      </c>
      <c r="C11" s="45"/>
      <c r="G11" s="201"/>
      <c r="J11" s="200"/>
    </row>
    <row r="12">
      <c r="A12" s="37" t="s">
        <v>66</v>
      </c>
      <c r="B12" s="182">
        <v>7100.0</v>
      </c>
      <c r="C12" s="45"/>
      <c r="G12" s="201"/>
      <c r="J12" s="200"/>
    </row>
    <row r="13">
      <c r="A13" s="37" t="s">
        <v>67</v>
      </c>
      <c r="B13" s="163">
        <v>14337.0</v>
      </c>
      <c r="C13" s="45"/>
      <c r="G13" s="201"/>
      <c r="J13" s="200"/>
    </row>
    <row r="14">
      <c r="A14" s="37" t="s">
        <v>68</v>
      </c>
      <c r="B14" s="182">
        <v>6779.0</v>
      </c>
      <c r="C14" s="45"/>
      <c r="G14" s="201"/>
      <c r="J14" s="200"/>
    </row>
    <row r="15">
      <c r="A15" s="37" t="s">
        <v>69</v>
      </c>
      <c r="B15" s="182">
        <v>12553.0</v>
      </c>
      <c r="C15" s="45"/>
      <c r="G15" s="201"/>
      <c r="J15" s="200"/>
    </row>
    <row r="16">
      <c r="A16" s="37" t="s">
        <v>70</v>
      </c>
      <c r="B16" s="182">
        <v>7023.0</v>
      </c>
      <c r="C16" s="45"/>
      <c r="G16" s="201"/>
      <c r="J16" s="200"/>
    </row>
    <row r="17">
      <c r="A17" s="37" t="s">
        <v>71</v>
      </c>
      <c r="B17" s="182">
        <v>6132.0</v>
      </c>
      <c r="C17" s="45"/>
      <c r="G17" s="201"/>
      <c r="J17" s="200"/>
    </row>
    <row r="18">
      <c r="A18" s="37" t="s">
        <v>72</v>
      </c>
      <c r="B18" s="182"/>
      <c r="C18" s="45"/>
      <c r="G18" s="201"/>
      <c r="J18" s="200"/>
    </row>
    <row r="19">
      <c r="A19" s="37" t="s">
        <v>73</v>
      </c>
      <c r="B19" s="182"/>
      <c r="C19" s="45"/>
      <c r="G19" s="201"/>
      <c r="J19" s="200"/>
    </row>
    <row r="20">
      <c r="A20" s="37" t="s">
        <v>74</v>
      </c>
      <c r="B20" s="182"/>
      <c r="C20" s="45"/>
      <c r="G20" s="201"/>
      <c r="J20" s="200"/>
    </row>
    <row r="21">
      <c r="A21" s="37" t="s">
        <v>75</v>
      </c>
      <c r="B21" s="182">
        <v>12609.0</v>
      </c>
      <c r="C21" s="45"/>
      <c r="G21" s="201"/>
      <c r="J21" s="200"/>
    </row>
    <row r="22">
      <c r="A22" s="37" t="s">
        <v>76</v>
      </c>
      <c r="B22" s="182"/>
      <c r="C22" s="45"/>
      <c r="G22" s="201"/>
      <c r="J22" s="200"/>
    </row>
    <row r="23">
      <c r="A23" s="37" t="s">
        <v>77</v>
      </c>
      <c r="B23" s="182">
        <v>12932.0</v>
      </c>
      <c r="C23" s="45"/>
      <c r="G23" s="201"/>
      <c r="J23" s="200"/>
    </row>
    <row r="24">
      <c r="A24" s="37" t="s">
        <v>78</v>
      </c>
      <c r="B24" s="182"/>
      <c r="C24" s="45"/>
      <c r="G24" s="201"/>
      <c r="J24" s="200"/>
    </row>
    <row r="25">
      <c r="A25" s="37" t="s">
        <v>79</v>
      </c>
      <c r="B25" s="182">
        <v>6772.0</v>
      </c>
      <c r="C25" s="45"/>
      <c r="G25" s="201"/>
      <c r="J25" s="200"/>
    </row>
    <row r="26">
      <c r="A26" s="37" t="s">
        <v>80</v>
      </c>
      <c r="B26" s="182">
        <v>7033.0</v>
      </c>
      <c r="C26" s="45"/>
      <c r="G26" s="201"/>
      <c r="J26" s="200"/>
    </row>
    <row r="27">
      <c r="A27" s="37" t="s">
        <v>81</v>
      </c>
      <c r="B27" s="182"/>
      <c r="C27" s="45"/>
      <c r="G27" s="201"/>
      <c r="J27" s="200"/>
    </row>
    <row r="28">
      <c r="A28" s="37" t="s">
        <v>82</v>
      </c>
      <c r="B28" s="182"/>
      <c r="C28" s="45"/>
      <c r="G28" s="201"/>
      <c r="J28" s="200"/>
    </row>
    <row r="29">
      <c r="A29" s="37" t="s">
        <v>83</v>
      </c>
      <c r="B29" s="163">
        <v>5365.0</v>
      </c>
      <c r="C29" s="45"/>
      <c r="G29" s="201"/>
      <c r="J29" s="200"/>
    </row>
    <row r="30">
      <c r="A30" s="37" t="s">
        <v>84</v>
      </c>
      <c r="B30" s="182"/>
      <c r="C30" s="45"/>
      <c r="G30" s="201"/>
      <c r="J30" s="200"/>
    </row>
    <row r="31">
      <c r="A31" s="37" t="s">
        <v>85</v>
      </c>
      <c r="B31" s="182">
        <v>11049.0</v>
      </c>
      <c r="C31" s="45"/>
      <c r="G31" s="201"/>
      <c r="J31" s="200"/>
    </row>
    <row r="32">
      <c r="A32" s="37" t="s">
        <v>86</v>
      </c>
      <c r="B32" s="182">
        <v>11049.0</v>
      </c>
      <c r="C32" s="45"/>
      <c r="G32" s="201"/>
      <c r="J32" s="200"/>
    </row>
    <row r="33">
      <c r="A33" s="37" t="s">
        <v>87</v>
      </c>
      <c r="B33" s="182">
        <v>11049.0</v>
      </c>
      <c r="C33" s="45"/>
      <c r="G33" s="201"/>
      <c r="J33" s="200"/>
    </row>
    <row r="34">
      <c r="A34" s="37" t="s">
        <v>88</v>
      </c>
      <c r="B34" s="182">
        <v>11049.0</v>
      </c>
      <c r="C34" s="45"/>
      <c r="G34" s="201"/>
      <c r="J34" s="200"/>
    </row>
    <row r="35">
      <c r="A35" s="37" t="s">
        <v>89</v>
      </c>
      <c r="B35" s="182">
        <v>11049.0</v>
      </c>
      <c r="C35" s="45"/>
      <c r="G35" s="201"/>
      <c r="J35" s="200"/>
    </row>
    <row r="36">
      <c r="A36" s="37" t="s">
        <v>90</v>
      </c>
      <c r="B36" s="182">
        <v>11049.0</v>
      </c>
      <c r="C36" s="45"/>
      <c r="G36" s="201"/>
      <c r="J36" s="200"/>
    </row>
    <row r="37">
      <c r="A37" s="37" t="s">
        <v>91</v>
      </c>
      <c r="B37" s="182">
        <v>11049.0</v>
      </c>
      <c r="C37" s="45"/>
      <c r="G37" s="201"/>
      <c r="J37" s="200"/>
    </row>
    <row r="38">
      <c r="A38" s="37" t="s">
        <v>92</v>
      </c>
      <c r="B38" s="182">
        <v>11049.0</v>
      </c>
      <c r="C38" s="45"/>
      <c r="G38" s="201"/>
      <c r="J38" s="200"/>
    </row>
    <row r="39">
      <c r="A39" s="37" t="s">
        <v>93</v>
      </c>
      <c r="B39" s="182">
        <v>11049.0</v>
      </c>
      <c r="C39" s="45"/>
      <c r="G39" s="201"/>
      <c r="J39" s="200"/>
    </row>
    <row r="40">
      <c r="A40" s="37" t="s">
        <v>94</v>
      </c>
      <c r="B40" s="182">
        <v>11049.0</v>
      </c>
      <c r="C40" s="45"/>
      <c r="G40" s="201"/>
      <c r="J40" s="200"/>
    </row>
    <row r="41">
      <c r="A41" s="37" t="s">
        <v>95</v>
      </c>
      <c r="B41" s="182">
        <v>11049.0</v>
      </c>
      <c r="C41" s="45"/>
      <c r="G41" s="201"/>
      <c r="J41" s="200"/>
    </row>
    <row r="42">
      <c r="A42" s="37" t="s">
        <v>96</v>
      </c>
      <c r="B42" s="182">
        <v>11049.0</v>
      </c>
      <c r="C42" s="45"/>
      <c r="G42" s="201"/>
      <c r="J42" s="200"/>
    </row>
    <row r="43">
      <c r="A43" s="37" t="s">
        <v>97</v>
      </c>
      <c r="B43" s="182">
        <v>11049.0</v>
      </c>
      <c r="C43" s="45"/>
      <c r="G43" s="201"/>
      <c r="J43" s="200"/>
    </row>
    <row r="44">
      <c r="A44" s="37" t="s">
        <v>98</v>
      </c>
      <c r="B44" s="182">
        <v>11049.0</v>
      </c>
      <c r="C44" s="45"/>
      <c r="G44" s="201"/>
      <c r="J44" s="200"/>
    </row>
    <row r="45">
      <c r="A45" s="37" t="s">
        <v>99</v>
      </c>
      <c r="B45" s="182">
        <v>11049.0</v>
      </c>
      <c r="C45" s="45"/>
      <c r="G45" s="201"/>
      <c r="J45" s="200"/>
    </row>
    <row r="46">
      <c r="A46" s="37" t="s">
        <v>100</v>
      </c>
      <c r="B46" s="182">
        <v>11049.0</v>
      </c>
      <c r="C46" s="45"/>
      <c r="G46" s="201"/>
      <c r="J46" s="200"/>
    </row>
    <row r="47">
      <c r="A47" s="37" t="s">
        <v>101</v>
      </c>
      <c r="B47" s="182">
        <v>11049.0</v>
      </c>
      <c r="C47" s="45"/>
      <c r="G47" s="201"/>
      <c r="J47" s="200"/>
    </row>
    <row r="48">
      <c r="A48" s="37" t="s">
        <v>102</v>
      </c>
      <c r="B48" s="182">
        <v>11049.0</v>
      </c>
      <c r="C48" s="45"/>
      <c r="G48" s="201"/>
      <c r="J48" s="200"/>
    </row>
    <row r="49">
      <c r="A49" s="37" t="s">
        <v>103</v>
      </c>
      <c r="B49" s="182">
        <v>11049.0</v>
      </c>
      <c r="C49" s="45"/>
      <c r="G49" s="201"/>
      <c r="J49" s="200"/>
    </row>
    <row r="50">
      <c r="A50" s="37" t="s">
        <v>104</v>
      </c>
      <c r="B50" s="182">
        <v>11049.0</v>
      </c>
      <c r="C50" s="45"/>
      <c r="G50" s="201"/>
      <c r="J50" s="200"/>
    </row>
    <row r="51">
      <c r="A51" s="37" t="s">
        <v>105</v>
      </c>
      <c r="B51" s="182">
        <v>11049.0</v>
      </c>
      <c r="C51" s="45"/>
      <c r="G51" s="201"/>
      <c r="J51" s="200"/>
    </row>
    <row r="52">
      <c r="A52" s="37" t="s">
        <v>3554</v>
      </c>
      <c r="B52" s="182">
        <v>11049.0</v>
      </c>
      <c r="C52" s="45"/>
      <c r="G52" s="201"/>
      <c r="J52" s="200"/>
    </row>
    <row r="53">
      <c r="A53" s="37" t="s">
        <v>3555</v>
      </c>
      <c r="B53" s="182">
        <v>11049.0</v>
      </c>
      <c r="C53" s="45"/>
      <c r="G53" s="201"/>
      <c r="J53" s="200"/>
    </row>
    <row r="54">
      <c r="A54" s="37" t="s">
        <v>3556</v>
      </c>
      <c r="B54" s="182">
        <v>11049.0</v>
      </c>
      <c r="C54" s="45"/>
      <c r="G54" s="201"/>
      <c r="J54" s="200"/>
    </row>
    <row r="55">
      <c r="A55" s="37" t="s">
        <v>3557</v>
      </c>
      <c r="B55" s="182">
        <v>11049.0</v>
      </c>
      <c r="C55" s="45"/>
      <c r="G55" s="201"/>
      <c r="J55" s="200"/>
    </row>
    <row r="56">
      <c r="A56" s="37" t="s">
        <v>3558</v>
      </c>
      <c r="B56" s="182">
        <v>11049.0</v>
      </c>
      <c r="C56" s="45"/>
      <c r="G56" s="201"/>
      <c r="J56" s="200"/>
    </row>
    <row r="57">
      <c r="A57" s="37" t="s">
        <v>3559</v>
      </c>
      <c r="B57" s="182">
        <v>11049.0</v>
      </c>
      <c r="C57" s="45"/>
      <c r="G57" s="201"/>
      <c r="J57" s="200"/>
    </row>
    <row r="58">
      <c r="A58" s="37" t="s">
        <v>3560</v>
      </c>
      <c r="B58" s="182">
        <v>11049.0</v>
      </c>
      <c r="C58" s="45"/>
      <c r="G58" s="201"/>
      <c r="J58" s="200"/>
    </row>
    <row r="59">
      <c r="A59" s="37" t="s">
        <v>3561</v>
      </c>
      <c r="B59" s="182">
        <v>11049.0</v>
      </c>
      <c r="C59" s="45"/>
      <c r="G59" s="201"/>
      <c r="J59" s="200"/>
    </row>
    <row r="60">
      <c r="A60" s="37" t="s">
        <v>3562</v>
      </c>
      <c r="B60" s="182">
        <v>11049.0</v>
      </c>
      <c r="C60" s="45"/>
      <c r="G60" s="201"/>
      <c r="J60" s="200"/>
    </row>
    <row r="61">
      <c r="A61" s="37" t="s">
        <v>3563</v>
      </c>
      <c r="B61" s="182">
        <v>11049.0</v>
      </c>
      <c r="C61" s="45"/>
      <c r="G61" s="201"/>
      <c r="J61" s="200"/>
    </row>
    <row r="62">
      <c r="A62" s="37" t="s">
        <v>3564</v>
      </c>
      <c r="B62" s="182"/>
      <c r="C62" s="45"/>
      <c r="G62" s="201"/>
      <c r="J62" s="200"/>
    </row>
    <row r="63">
      <c r="A63" s="37" t="s">
        <v>3565</v>
      </c>
      <c r="B63" s="182"/>
      <c r="C63" s="45"/>
      <c r="G63" s="201"/>
      <c r="J63" s="200"/>
    </row>
    <row r="64">
      <c r="A64" s="37" t="s">
        <v>3566</v>
      </c>
      <c r="B64" s="182"/>
      <c r="C64" s="45"/>
      <c r="G64" s="201"/>
      <c r="J64" s="200"/>
    </row>
    <row r="65">
      <c r="A65" s="37" t="s">
        <v>3567</v>
      </c>
      <c r="B65" s="182"/>
      <c r="C65" s="45"/>
      <c r="G65" s="201"/>
      <c r="J65" s="200"/>
    </row>
    <row r="66">
      <c r="A66" s="37" t="s">
        <v>3568</v>
      </c>
      <c r="B66" s="182"/>
      <c r="C66" s="45"/>
      <c r="G66" s="41"/>
      <c r="J66" s="200"/>
    </row>
    <row r="67">
      <c r="A67" s="37" t="s">
        <v>3569</v>
      </c>
      <c r="B67" s="182">
        <v>14575.0</v>
      </c>
      <c r="C67" s="45"/>
      <c r="G67" s="41"/>
      <c r="J67" s="200"/>
    </row>
    <row r="68">
      <c r="A68" s="37" t="s">
        <v>3570</v>
      </c>
      <c r="B68" s="182"/>
      <c r="C68" s="45"/>
      <c r="G68" s="41"/>
      <c r="J68" s="200"/>
    </row>
    <row r="69">
      <c r="A69" s="37" t="s">
        <v>3571</v>
      </c>
      <c r="B69" s="182"/>
      <c r="C69" s="45"/>
      <c r="G69" s="41"/>
      <c r="J69" s="200"/>
    </row>
    <row r="70">
      <c r="A70" s="37" t="s">
        <v>3572</v>
      </c>
      <c r="B70" s="182"/>
      <c r="C70" s="45"/>
      <c r="G70" s="41"/>
      <c r="J70" s="200"/>
    </row>
    <row r="71">
      <c r="A71" s="37" t="s">
        <v>3573</v>
      </c>
      <c r="B71" s="182"/>
      <c r="C71" s="45"/>
      <c r="G71" s="41"/>
      <c r="J71" s="200"/>
    </row>
    <row r="72">
      <c r="A72" s="37" t="s">
        <v>3574</v>
      </c>
      <c r="B72" s="182"/>
      <c r="C72" s="45"/>
      <c r="G72" s="41"/>
      <c r="J72" s="200"/>
    </row>
    <row r="73">
      <c r="A73" s="37" t="s">
        <v>3575</v>
      </c>
      <c r="B73" s="182"/>
      <c r="C73" s="45"/>
      <c r="G73" s="41"/>
      <c r="J73" s="200"/>
    </row>
    <row r="74">
      <c r="A74" s="37" t="s">
        <v>3576</v>
      </c>
      <c r="B74" s="182"/>
      <c r="C74" s="45"/>
      <c r="G74" s="41"/>
      <c r="J74" s="200"/>
    </row>
    <row r="75">
      <c r="A75" s="37" t="s">
        <v>3577</v>
      </c>
      <c r="B75" s="182"/>
      <c r="C75" s="45"/>
      <c r="G75" s="41"/>
      <c r="J75" s="200"/>
    </row>
    <row r="76">
      <c r="A76" s="37" t="s">
        <v>3578</v>
      </c>
      <c r="B76" s="182"/>
      <c r="C76" s="45"/>
      <c r="G76" s="41"/>
      <c r="J76" s="200"/>
    </row>
    <row r="77">
      <c r="A77" s="37" t="s">
        <v>3579</v>
      </c>
      <c r="B77" s="182"/>
      <c r="C77" s="45"/>
      <c r="G77" s="41"/>
      <c r="J77" s="200"/>
    </row>
    <row r="78">
      <c r="A78" s="37" t="s">
        <v>3580</v>
      </c>
      <c r="B78" s="182">
        <v>12932.0</v>
      </c>
      <c r="C78" s="45"/>
      <c r="G78" s="41"/>
      <c r="J78" s="200"/>
    </row>
    <row r="79">
      <c r="A79" s="37" t="s">
        <v>3581</v>
      </c>
      <c r="B79" s="182"/>
      <c r="C79" s="45"/>
      <c r="G79" s="41"/>
      <c r="J79" s="200"/>
    </row>
    <row r="80">
      <c r="A80" s="37" t="s">
        <v>3582</v>
      </c>
      <c r="B80" s="182"/>
      <c r="C80" s="45"/>
      <c r="G80" s="41"/>
      <c r="J80" s="200"/>
    </row>
    <row r="81">
      <c r="A81" s="37" t="s">
        <v>3583</v>
      </c>
      <c r="B81" s="182"/>
      <c r="C81" s="45"/>
      <c r="G81" s="41"/>
      <c r="J81" s="200"/>
    </row>
    <row r="82">
      <c r="A82" s="37" t="s">
        <v>3584</v>
      </c>
      <c r="B82" s="182"/>
      <c r="C82" s="45"/>
      <c r="G82" s="41"/>
      <c r="J82" s="200"/>
    </row>
    <row r="83">
      <c r="A83" s="37" t="s">
        <v>3585</v>
      </c>
      <c r="B83" s="182"/>
      <c r="C83" s="45"/>
      <c r="G83" s="41"/>
      <c r="J83" s="200"/>
    </row>
    <row r="84">
      <c r="A84" s="37" t="s">
        <v>3586</v>
      </c>
      <c r="B84" s="182"/>
      <c r="C84" s="45"/>
      <c r="G84" s="41"/>
      <c r="J84" s="200"/>
    </row>
    <row r="85">
      <c r="A85" s="37" t="s">
        <v>3587</v>
      </c>
      <c r="B85" s="182"/>
      <c r="C85" s="45"/>
      <c r="G85" s="41"/>
      <c r="J85" s="200"/>
    </row>
    <row r="86">
      <c r="A86" s="37" t="s">
        <v>3588</v>
      </c>
      <c r="B86" s="182"/>
      <c r="C86" s="45"/>
      <c r="G86" s="41"/>
      <c r="J86" s="200"/>
    </row>
    <row r="87">
      <c r="A87" s="37" t="s">
        <v>3589</v>
      </c>
      <c r="B87" s="182"/>
      <c r="C87" s="45"/>
      <c r="G87" s="41"/>
      <c r="J87" s="200"/>
    </row>
    <row r="88">
      <c r="A88" s="37" t="s">
        <v>3590</v>
      </c>
      <c r="B88" s="182"/>
      <c r="C88" s="45"/>
      <c r="G88" s="41"/>
      <c r="J88" s="200"/>
    </row>
    <row r="89">
      <c r="A89" s="37" t="s">
        <v>3591</v>
      </c>
      <c r="B89" s="182"/>
      <c r="C89" s="45"/>
      <c r="G89" s="41"/>
      <c r="J89" s="200"/>
    </row>
    <row r="90">
      <c r="A90" s="37" t="s">
        <v>3592</v>
      </c>
      <c r="B90" s="182"/>
      <c r="C90" s="45"/>
      <c r="G90" s="41"/>
      <c r="J90" s="200"/>
    </row>
    <row r="91">
      <c r="A91" s="37" t="s">
        <v>3593</v>
      </c>
      <c r="B91" s="37">
        <v>14480.0</v>
      </c>
      <c r="C91" s="45"/>
      <c r="G91" s="41"/>
      <c r="J91" s="200"/>
    </row>
    <row r="92">
      <c r="A92" s="37" t="s">
        <v>3594</v>
      </c>
      <c r="B92" s="182"/>
      <c r="C92" s="45"/>
      <c r="G92" s="41"/>
      <c r="J92" s="200"/>
    </row>
    <row r="93">
      <c r="A93" s="37" t="s">
        <v>3595</v>
      </c>
      <c r="B93" s="182">
        <v>7033.0</v>
      </c>
      <c r="C93" s="45"/>
      <c r="G93" s="41"/>
      <c r="J93" s="200"/>
    </row>
    <row r="94">
      <c r="A94" s="37" t="s">
        <v>3596</v>
      </c>
      <c r="B94" s="182"/>
      <c r="C94" s="45"/>
      <c r="G94" s="41"/>
      <c r="J94" s="200"/>
    </row>
    <row r="95">
      <c r="A95" s="37" t="s">
        <v>3597</v>
      </c>
      <c r="B95" s="182"/>
      <c r="C95" s="45"/>
      <c r="G95" s="41"/>
      <c r="J95" s="200"/>
    </row>
    <row r="96">
      <c r="A96" s="37" t="s">
        <v>3598</v>
      </c>
      <c r="B96" s="182"/>
      <c r="C96" s="45"/>
      <c r="G96" s="41"/>
      <c r="J96" s="200"/>
    </row>
    <row r="97">
      <c r="A97" s="37" t="s">
        <v>3599</v>
      </c>
      <c r="B97" s="182"/>
      <c r="C97" s="45"/>
      <c r="G97" s="41"/>
      <c r="J97" s="200"/>
    </row>
    <row r="98">
      <c r="A98" s="37" t="s">
        <v>3600</v>
      </c>
      <c r="B98" s="182"/>
      <c r="C98" s="45"/>
      <c r="G98" s="41"/>
      <c r="J98" s="200"/>
    </row>
    <row r="99">
      <c r="A99" s="37" t="s">
        <v>3601</v>
      </c>
      <c r="B99" s="182"/>
      <c r="C99" s="45"/>
      <c r="G99" s="41"/>
      <c r="J99" s="200"/>
    </row>
    <row r="100">
      <c r="A100" s="37" t="s">
        <v>3602</v>
      </c>
      <c r="B100" s="182">
        <v>14465.0</v>
      </c>
      <c r="C100" s="45"/>
      <c r="G100" s="41"/>
      <c r="J100" s="200"/>
    </row>
    <row r="101">
      <c r="A101" s="37" t="s">
        <v>3603</v>
      </c>
      <c r="B101" s="182">
        <v>7142.0</v>
      </c>
      <c r="C101" s="45"/>
      <c r="G101" s="41"/>
      <c r="J101" s="200"/>
    </row>
    <row r="102">
      <c r="A102" s="202" t="s">
        <v>1655</v>
      </c>
      <c r="B102" s="187"/>
      <c r="C102" s="37" t="s">
        <v>207</v>
      </c>
      <c r="G102" s="41"/>
      <c r="J102" s="200"/>
    </row>
    <row r="103">
      <c r="A103" s="202" t="s">
        <v>1657</v>
      </c>
      <c r="B103" s="187"/>
      <c r="C103" s="37" t="s">
        <v>207</v>
      </c>
      <c r="G103" s="41"/>
      <c r="J103" s="200"/>
    </row>
    <row r="104">
      <c r="A104" s="202" t="s">
        <v>1658</v>
      </c>
      <c r="B104" s="187"/>
      <c r="C104" s="37" t="s">
        <v>207</v>
      </c>
      <c r="G104" s="41"/>
      <c r="J104" s="200"/>
    </row>
    <row r="105">
      <c r="A105" s="202" t="s">
        <v>1659</v>
      </c>
      <c r="B105" s="187"/>
      <c r="C105" s="37" t="s">
        <v>207</v>
      </c>
      <c r="G105" s="41"/>
      <c r="J105" s="200"/>
    </row>
    <row r="106">
      <c r="A106" s="202" t="s">
        <v>1660</v>
      </c>
      <c r="B106" s="187"/>
      <c r="C106" s="37" t="s">
        <v>207</v>
      </c>
      <c r="G106" s="41"/>
      <c r="J106" s="200"/>
    </row>
    <row r="107">
      <c r="A107" s="202" t="s">
        <v>1661</v>
      </c>
      <c r="B107" s="187"/>
      <c r="C107" s="37" t="s">
        <v>207</v>
      </c>
      <c r="G107" s="41"/>
      <c r="J107" s="200"/>
    </row>
    <row r="108">
      <c r="A108" s="202" t="s">
        <v>1662</v>
      </c>
      <c r="B108" s="187"/>
      <c r="C108" s="37" t="s">
        <v>207</v>
      </c>
      <c r="G108" s="41"/>
      <c r="J108" s="200"/>
    </row>
    <row r="109">
      <c r="A109" s="202" t="s">
        <v>1663</v>
      </c>
      <c r="B109" s="187"/>
      <c r="C109" s="37" t="s">
        <v>207</v>
      </c>
      <c r="G109" s="41"/>
      <c r="J109" s="200"/>
    </row>
    <row r="110">
      <c r="A110" s="202" t="s">
        <v>1664</v>
      </c>
      <c r="B110" s="187"/>
      <c r="C110" s="37" t="s">
        <v>207</v>
      </c>
      <c r="G110" s="41"/>
      <c r="J110" s="200"/>
    </row>
    <row r="111">
      <c r="A111" s="202" t="s">
        <v>1665</v>
      </c>
      <c r="B111" s="187"/>
      <c r="C111" s="37" t="s">
        <v>207</v>
      </c>
      <c r="G111" s="41"/>
      <c r="J111" s="200"/>
    </row>
    <row r="112">
      <c r="A112" s="202" t="s">
        <v>1666</v>
      </c>
      <c r="B112" s="187"/>
      <c r="C112" s="37" t="s">
        <v>207</v>
      </c>
      <c r="G112" s="41"/>
      <c r="J112" s="200"/>
    </row>
    <row r="113">
      <c r="A113" s="202" t="s">
        <v>1667</v>
      </c>
      <c r="B113" s="202"/>
      <c r="C113" s="37" t="s">
        <v>207</v>
      </c>
      <c r="G113" s="41"/>
      <c r="J113" s="200"/>
    </row>
    <row r="114">
      <c r="A114" s="202" t="s">
        <v>1668</v>
      </c>
      <c r="B114" s="202"/>
      <c r="C114" s="37" t="s">
        <v>207</v>
      </c>
      <c r="G114" s="41"/>
      <c r="J114" s="200"/>
    </row>
    <row r="115">
      <c r="A115" s="202" t="s">
        <v>1669</v>
      </c>
      <c r="B115" s="202"/>
      <c r="C115" s="37" t="s">
        <v>207</v>
      </c>
      <c r="G115" s="41"/>
      <c r="J115" s="200"/>
    </row>
    <row r="116">
      <c r="A116" s="202" t="s">
        <v>1670</v>
      </c>
      <c r="B116" s="202"/>
      <c r="C116" s="37" t="s">
        <v>207</v>
      </c>
      <c r="G116" s="41"/>
      <c r="J116" s="200"/>
    </row>
    <row r="117">
      <c r="A117" s="202" t="s">
        <v>1671</v>
      </c>
      <c r="B117" s="202"/>
      <c r="C117" s="37" t="s">
        <v>207</v>
      </c>
      <c r="G117" s="41"/>
      <c r="J117" s="200"/>
    </row>
    <row r="118">
      <c r="A118" s="202" t="s">
        <v>1672</v>
      </c>
      <c r="B118" s="202"/>
      <c r="C118" s="37" t="s">
        <v>207</v>
      </c>
      <c r="G118" s="41"/>
      <c r="J118" s="200"/>
    </row>
    <row r="119">
      <c r="A119" s="202" t="s">
        <v>1673</v>
      </c>
      <c r="B119" s="203"/>
      <c r="C119" s="37" t="s">
        <v>207</v>
      </c>
      <c r="G119" s="41"/>
      <c r="J119" s="200"/>
    </row>
    <row r="120">
      <c r="A120" s="202" t="s">
        <v>1674</v>
      </c>
      <c r="B120" s="202"/>
      <c r="C120" s="37" t="s">
        <v>207</v>
      </c>
      <c r="G120" s="41"/>
      <c r="J120" s="200"/>
    </row>
    <row r="121">
      <c r="A121" s="202" t="s">
        <v>1675</v>
      </c>
      <c r="B121" s="202"/>
      <c r="C121" s="37" t="s">
        <v>207</v>
      </c>
      <c r="G121" s="41"/>
      <c r="J121" s="200"/>
    </row>
    <row r="122">
      <c r="A122" s="202" t="s">
        <v>1716</v>
      </c>
      <c r="B122" s="202"/>
      <c r="C122" s="37" t="s">
        <v>207</v>
      </c>
      <c r="G122" s="41"/>
      <c r="J122" s="200"/>
    </row>
    <row r="123">
      <c r="A123" s="202" t="s">
        <v>1676</v>
      </c>
      <c r="B123" s="202"/>
      <c r="C123" s="37" t="s">
        <v>207</v>
      </c>
      <c r="G123" s="41"/>
      <c r="J123" s="200"/>
    </row>
    <row r="124">
      <c r="A124" s="202" t="s">
        <v>1717</v>
      </c>
      <c r="B124" s="202"/>
      <c r="C124" s="37" t="s">
        <v>207</v>
      </c>
      <c r="G124" s="41"/>
      <c r="J124" s="200"/>
    </row>
    <row r="125">
      <c r="A125" s="202" t="s">
        <v>1677</v>
      </c>
      <c r="B125" s="202"/>
      <c r="C125" s="37" t="s">
        <v>207</v>
      </c>
      <c r="G125" s="41"/>
      <c r="J125" s="200"/>
    </row>
    <row r="126">
      <c r="A126" s="202" t="s">
        <v>1678</v>
      </c>
      <c r="B126" s="202"/>
      <c r="C126" s="37" t="s">
        <v>207</v>
      </c>
      <c r="G126" s="41"/>
      <c r="J126" s="200"/>
    </row>
    <row r="127">
      <c r="A127" s="202" t="s">
        <v>1679</v>
      </c>
      <c r="B127" s="202"/>
      <c r="C127" s="37" t="s">
        <v>207</v>
      </c>
      <c r="G127" s="41"/>
      <c r="J127" s="200"/>
    </row>
    <row r="128">
      <c r="A128" s="202" t="s">
        <v>1680</v>
      </c>
      <c r="B128" s="202"/>
      <c r="C128" s="37" t="s">
        <v>207</v>
      </c>
      <c r="G128" s="41"/>
      <c r="J128" s="200"/>
    </row>
    <row r="129">
      <c r="A129" s="202" t="s">
        <v>1681</v>
      </c>
      <c r="B129" s="202"/>
      <c r="C129" s="37" t="s">
        <v>207</v>
      </c>
      <c r="G129" s="41"/>
      <c r="J129" s="200"/>
    </row>
    <row r="130">
      <c r="A130" s="202" t="s">
        <v>1682</v>
      </c>
      <c r="B130" s="203"/>
      <c r="C130" s="37" t="s">
        <v>207</v>
      </c>
      <c r="G130" s="41"/>
      <c r="J130" s="200"/>
    </row>
    <row r="131">
      <c r="A131" s="202" t="s">
        <v>1683</v>
      </c>
      <c r="B131" s="202"/>
      <c r="C131" s="37" t="s">
        <v>207</v>
      </c>
      <c r="G131" s="41"/>
      <c r="J131" s="200"/>
    </row>
    <row r="132">
      <c r="A132" s="202" t="s">
        <v>1684</v>
      </c>
      <c r="B132" s="202"/>
      <c r="C132" s="37" t="s">
        <v>207</v>
      </c>
      <c r="G132" s="41"/>
      <c r="J132" s="200"/>
    </row>
    <row r="133">
      <c r="A133" s="202" t="s">
        <v>1685</v>
      </c>
      <c r="B133" s="203"/>
      <c r="C133" s="37" t="s">
        <v>207</v>
      </c>
      <c r="G133" s="41"/>
      <c r="J133" s="200"/>
    </row>
    <row r="134">
      <c r="A134" s="202" t="s">
        <v>1686</v>
      </c>
      <c r="B134" s="203"/>
      <c r="C134" s="37" t="s">
        <v>207</v>
      </c>
      <c r="G134" s="41"/>
      <c r="J134" s="200"/>
    </row>
    <row r="135">
      <c r="A135" s="202" t="s">
        <v>1687</v>
      </c>
      <c r="B135" s="203"/>
      <c r="C135" s="37" t="s">
        <v>207</v>
      </c>
      <c r="G135" s="41"/>
      <c r="J135" s="200"/>
    </row>
    <row r="136">
      <c r="A136" s="202" t="s">
        <v>1688</v>
      </c>
      <c r="B136" s="203"/>
      <c r="C136" s="37" t="s">
        <v>207</v>
      </c>
      <c r="G136" s="41"/>
      <c r="J136" s="200"/>
    </row>
    <row r="137">
      <c r="A137" s="202" t="s">
        <v>1689</v>
      </c>
      <c r="B137" s="202"/>
      <c r="C137" s="37" t="s">
        <v>207</v>
      </c>
      <c r="G137" s="41"/>
      <c r="J137" s="200"/>
    </row>
    <row r="138">
      <c r="A138" s="202" t="s">
        <v>1690</v>
      </c>
      <c r="B138" s="202"/>
      <c r="C138" s="37" t="s">
        <v>207</v>
      </c>
      <c r="G138" s="41"/>
      <c r="J138" s="200"/>
    </row>
    <row r="139">
      <c r="A139" s="202" t="s">
        <v>1692</v>
      </c>
      <c r="B139" s="202"/>
      <c r="C139" s="37" t="s">
        <v>207</v>
      </c>
      <c r="G139" s="41"/>
      <c r="J139" s="200"/>
    </row>
    <row r="140">
      <c r="A140" s="202" t="s">
        <v>1693</v>
      </c>
      <c r="B140" s="202"/>
      <c r="C140" s="37" t="s">
        <v>207</v>
      </c>
      <c r="G140" s="41"/>
      <c r="J140" s="200"/>
    </row>
    <row r="141">
      <c r="A141" s="202" t="s">
        <v>1694</v>
      </c>
      <c r="B141" s="202"/>
      <c r="C141" s="37" t="s">
        <v>207</v>
      </c>
      <c r="G141" s="41"/>
      <c r="J141" s="200"/>
    </row>
    <row r="142">
      <c r="A142" s="202" t="s">
        <v>1695</v>
      </c>
      <c r="B142" s="202"/>
      <c r="C142" s="37" t="s">
        <v>207</v>
      </c>
      <c r="G142" s="41"/>
      <c r="J142" s="200"/>
    </row>
    <row r="143">
      <c r="A143" s="202" t="s">
        <v>1696</v>
      </c>
      <c r="B143" s="202"/>
      <c r="C143" s="37" t="s">
        <v>207</v>
      </c>
      <c r="G143" s="41"/>
      <c r="J143" s="200"/>
    </row>
    <row r="144">
      <c r="A144" s="202" t="s">
        <v>1697</v>
      </c>
      <c r="B144" s="202"/>
      <c r="C144" s="37" t="s">
        <v>207</v>
      </c>
      <c r="G144" s="41"/>
      <c r="J144" s="200"/>
    </row>
    <row r="145">
      <c r="A145" s="202" t="s">
        <v>1719</v>
      </c>
      <c r="B145" s="202"/>
      <c r="C145" s="37" t="s">
        <v>207</v>
      </c>
      <c r="G145" s="41"/>
      <c r="J145" s="200"/>
    </row>
    <row r="146">
      <c r="A146" s="202" t="s">
        <v>1720</v>
      </c>
      <c r="B146" s="202"/>
      <c r="C146" s="37" t="s">
        <v>207</v>
      </c>
      <c r="G146" s="41"/>
      <c r="J146" s="200"/>
    </row>
    <row r="147">
      <c r="A147" s="202" t="s">
        <v>1698</v>
      </c>
      <c r="B147" s="202"/>
      <c r="C147" s="37" t="s">
        <v>207</v>
      </c>
      <c r="G147" s="41"/>
      <c r="J147" s="200"/>
    </row>
    <row r="148">
      <c r="A148" s="202" t="s">
        <v>1699</v>
      </c>
      <c r="B148" s="202"/>
      <c r="C148" s="37" t="s">
        <v>207</v>
      </c>
      <c r="G148" s="41"/>
      <c r="J148" s="200"/>
    </row>
    <row r="149">
      <c r="A149" s="202" t="s">
        <v>1700</v>
      </c>
      <c r="B149" s="202"/>
      <c r="C149" s="37" t="s">
        <v>207</v>
      </c>
      <c r="G149" s="41"/>
      <c r="J149" s="200"/>
    </row>
    <row r="150">
      <c r="A150" s="202" t="s">
        <v>1701</v>
      </c>
      <c r="B150" s="202"/>
      <c r="C150" s="37" t="s">
        <v>207</v>
      </c>
      <c r="G150" s="41"/>
      <c r="J150" s="200"/>
    </row>
    <row r="151">
      <c r="A151" s="202" t="s">
        <v>1702</v>
      </c>
      <c r="B151" s="202"/>
      <c r="C151" s="37" t="s">
        <v>207</v>
      </c>
      <c r="G151" s="41"/>
      <c r="J151" s="200"/>
    </row>
    <row r="152">
      <c r="B152" s="160"/>
      <c r="G152" s="41"/>
      <c r="J152" s="200"/>
    </row>
    <row r="153">
      <c r="B153" s="160"/>
      <c r="G153" s="41"/>
      <c r="J153" s="200"/>
    </row>
    <row r="154">
      <c r="B154" s="160"/>
      <c r="G154" s="41"/>
      <c r="J154" s="200"/>
    </row>
    <row r="155">
      <c r="B155" s="160"/>
      <c r="G155" s="41"/>
      <c r="J155" s="200"/>
    </row>
    <row r="156">
      <c r="B156" s="160"/>
      <c r="G156" s="41"/>
      <c r="J156" s="200"/>
    </row>
    <row r="157">
      <c r="B157" s="160"/>
      <c r="G157" s="41"/>
      <c r="J157" s="200"/>
    </row>
    <row r="158">
      <c r="B158" s="160"/>
      <c r="G158" s="41"/>
      <c r="J158" s="200"/>
    </row>
    <row r="159">
      <c r="B159" s="160"/>
      <c r="G159" s="41"/>
      <c r="J159" s="200"/>
    </row>
    <row r="160">
      <c r="B160" s="160"/>
      <c r="G160" s="41"/>
      <c r="J160" s="200"/>
    </row>
    <row r="161">
      <c r="B161" s="160"/>
      <c r="G161" s="41"/>
      <c r="J161" s="200"/>
    </row>
    <row r="162">
      <c r="B162" s="160"/>
      <c r="G162" s="41"/>
      <c r="J162" s="200"/>
    </row>
    <row r="163">
      <c r="B163" s="160"/>
      <c r="G163" s="41"/>
      <c r="J163" s="200"/>
    </row>
    <row r="164">
      <c r="B164" s="160"/>
      <c r="G164" s="41"/>
      <c r="J164" s="200"/>
    </row>
    <row r="165">
      <c r="B165" s="160"/>
      <c r="G165" s="41"/>
      <c r="J165" s="200"/>
    </row>
    <row r="166">
      <c r="B166" s="160"/>
      <c r="G166" s="41"/>
      <c r="J166" s="200"/>
    </row>
    <row r="167">
      <c r="B167" s="160"/>
      <c r="G167" s="41"/>
      <c r="J167" s="200"/>
    </row>
    <row r="168">
      <c r="B168" s="160"/>
      <c r="G168" s="41"/>
      <c r="J168" s="200"/>
    </row>
    <row r="169">
      <c r="B169" s="160"/>
      <c r="G169" s="41"/>
      <c r="J169" s="200"/>
    </row>
    <row r="170">
      <c r="B170" s="160"/>
      <c r="G170" s="41"/>
      <c r="J170" s="200"/>
    </row>
    <row r="171">
      <c r="B171" s="160"/>
      <c r="G171" s="41"/>
      <c r="J171" s="200"/>
    </row>
    <row r="172">
      <c r="B172" s="160"/>
      <c r="G172" s="41"/>
      <c r="J172" s="200"/>
    </row>
    <row r="173">
      <c r="B173" s="160"/>
      <c r="G173" s="41"/>
      <c r="J173" s="200"/>
    </row>
    <row r="174">
      <c r="B174" s="160"/>
      <c r="G174" s="41"/>
      <c r="J174" s="200"/>
    </row>
    <row r="175">
      <c r="B175" s="160"/>
      <c r="G175" s="41"/>
      <c r="J175" s="200"/>
    </row>
    <row r="176">
      <c r="B176" s="160"/>
      <c r="G176" s="41"/>
      <c r="J176" s="200"/>
    </row>
    <row r="177">
      <c r="B177" s="160"/>
      <c r="G177" s="41"/>
      <c r="J177" s="200"/>
    </row>
    <row r="178">
      <c r="B178" s="160"/>
      <c r="G178" s="41"/>
      <c r="J178" s="200"/>
    </row>
    <row r="179">
      <c r="B179" s="160"/>
      <c r="G179" s="41"/>
      <c r="J179" s="200"/>
    </row>
    <row r="180">
      <c r="B180" s="160"/>
      <c r="G180" s="41"/>
      <c r="J180" s="200"/>
    </row>
    <row r="181">
      <c r="B181" s="160"/>
      <c r="G181" s="41"/>
      <c r="J181" s="200"/>
    </row>
    <row r="182">
      <c r="B182" s="160"/>
      <c r="G182" s="41"/>
      <c r="J182" s="200"/>
    </row>
    <row r="183">
      <c r="B183" s="160"/>
      <c r="G183" s="41"/>
      <c r="J183" s="200"/>
    </row>
    <row r="184">
      <c r="B184" s="160"/>
      <c r="G184" s="41"/>
      <c r="J184" s="200"/>
    </row>
    <row r="185">
      <c r="B185" s="160"/>
      <c r="G185" s="41"/>
      <c r="J185" s="200"/>
    </row>
    <row r="186">
      <c r="B186" s="160"/>
      <c r="G186" s="41"/>
      <c r="J186" s="200"/>
    </row>
    <row r="187">
      <c r="B187" s="160"/>
      <c r="G187" s="41"/>
      <c r="J187" s="200"/>
    </row>
    <row r="188">
      <c r="B188" s="160"/>
      <c r="G188" s="41"/>
      <c r="J188" s="200"/>
    </row>
    <row r="189">
      <c r="B189" s="160"/>
      <c r="G189" s="41"/>
      <c r="J189" s="200"/>
    </row>
    <row r="190">
      <c r="B190" s="160"/>
      <c r="G190" s="41"/>
      <c r="J190" s="200"/>
    </row>
    <row r="191">
      <c r="B191" s="160"/>
      <c r="G191" s="41"/>
      <c r="J191" s="200"/>
    </row>
    <row r="192">
      <c r="B192" s="160"/>
      <c r="G192" s="41"/>
      <c r="J192" s="200"/>
    </row>
    <row r="193">
      <c r="B193" s="160"/>
      <c r="G193" s="41"/>
      <c r="J193" s="200"/>
    </row>
    <row r="194">
      <c r="B194" s="160"/>
      <c r="G194" s="41"/>
      <c r="J194" s="200"/>
    </row>
    <row r="195">
      <c r="B195" s="160"/>
      <c r="G195" s="41"/>
      <c r="J195" s="200"/>
    </row>
    <row r="196">
      <c r="B196" s="160"/>
      <c r="G196" s="41"/>
      <c r="J196" s="200"/>
    </row>
    <row r="197">
      <c r="B197" s="160"/>
      <c r="G197" s="41"/>
      <c r="J197" s="200"/>
    </row>
    <row r="198">
      <c r="B198" s="160"/>
      <c r="G198" s="41"/>
      <c r="J198" s="200"/>
    </row>
    <row r="199">
      <c r="B199" s="160"/>
      <c r="G199" s="41"/>
      <c r="J199" s="200"/>
    </row>
    <row r="200">
      <c r="B200" s="160"/>
      <c r="G200" s="41"/>
      <c r="J200" s="200"/>
    </row>
    <row r="201">
      <c r="B201" s="160"/>
      <c r="G201" s="41"/>
      <c r="J201" s="200"/>
    </row>
    <row r="202">
      <c r="B202" s="160"/>
      <c r="G202" s="41"/>
      <c r="J202" s="200"/>
    </row>
    <row r="203">
      <c r="B203" s="160"/>
      <c r="G203" s="41"/>
      <c r="J203" s="200"/>
    </row>
    <row r="204">
      <c r="B204" s="160"/>
      <c r="G204" s="41"/>
      <c r="J204" s="200"/>
    </row>
    <row r="205">
      <c r="B205" s="160"/>
      <c r="G205" s="41"/>
      <c r="J205" s="200"/>
    </row>
    <row r="206">
      <c r="B206" s="160"/>
      <c r="G206" s="41"/>
      <c r="J206" s="200"/>
    </row>
    <row r="207">
      <c r="B207" s="160"/>
      <c r="G207" s="41"/>
      <c r="J207" s="200"/>
    </row>
    <row r="208">
      <c r="B208" s="160"/>
      <c r="G208" s="41"/>
      <c r="J208" s="200"/>
    </row>
    <row r="209">
      <c r="B209" s="160"/>
      <c r="G209" s="41"/>
      <c r="J209" s="200"/>
    </row>
    <row r="210">
      <c r="B210" s="160"/>
      <c r="G210" s="41"/>
      <c r="J210" s="200"/>
    </row>
    <row r="211">
      <c r="B211" s="160"/>
      <c r="G211" s="41"/>
      <c r="J211" s="200"/>
    </row>
    <row r="212">
      <c r="B212" s="160"/>
      <c r="G212" s="41"/>
      <c r="J212" s="200"/>
    </row>
    <row r="213">
      <c r="B213" s="160"/>
      <c r="G213" s="41"/>
      <c r="J213" s="200"/>
    </row>
    <row r="214">
      <c r="B214" s="160"/>
      <c r="G214" s="41"/>
      <c r="J214" s="200"/>
    </row>
    <row r="215">
      <c r="B215" s="160"/>
      <c r="G215" s="41"/>
      <c r="J215" s="200"/>
    </row>
    <row r="216">
      <c r="B216" s="160"/>
      <c r="G216" s="41"/>
      <c r="J216" s="200"/>
    </row>
    <row r="217">
      <c r="B217" s="160"/>
      <c r="G217" s="41"/>
      <c r="J217" s="200"/>
    </row>
    <row r="218">
      <c r="B218" s="160"/>
      <c r="G218" s="41"/>
      <c r="J218" s="200"/>
    </row>
    <row r="219">
      <c r="B219" s="160"/>
      <c r="G219" s="41"/>
      <c r="J219" s="200"/>
    </row>
    <row r="220">
      <c r="B220" s="160"/>
      <c r="G220" s="41"/>
      <c r="J220" s="200"/>
    </row>
    <row r="221">
      <c r="B221" s="160"/>
      <c r="G221" s="41"/>
      <c r="J221" s="200"/>
    </row>
    <row r="222">
      <c r="B222" s="160"/>
      <c r="G222" s="41"/>
      <c r="J222" s="200"/>
    </row>
    <row r="223">
      <c r="B223" s="160"/>
      <c r="G223" s="41"/>
      <c r="J223" s="200"/>
    </row>
    <row r="224">
      <c r="B224" s="160"/>
      <c r="G224" s="41"/>
      <c r="J224" s="200"/>
    </row>
    <row r="225">
      <c r="B225" s="160"/>
      <c r="G225" s="41"/>
      <c r="J225" s="200"/>
    </row>
    <row r="226">
      <c r="B226" s="160"/>
      <c r="G226" s="41"/>
      <c r="J226" s="200"/>
    </row>
    <row r="227">
      <c r="B227" s="160"/>
      <c r="G227" s="41"/>
      <c r="J227" s="200"/>
    </row>
    <row r="228">
      <c r="B228" s="160"/>
      <c r="G228" s="41"/>
      <c r="J228" s="200"/>
    </row>
    <row r="229">
      <c r="B229" s="160"/>
      <c r="G229" s="41"/>
      <c r="J229" s="200"/>
    </row>
    <row r="230">
      <c r="B230" s="160"/>
      <c r="G230" s="41"/>
      <c r="J230" s="200"/>
    </row>
    <row r="231">
      <c r="B231" s="160"/>
      <c r="G231" s="41"/>
      <c r="J231" s="200"/>
    </row>
    <row r="232">
      <c r="B232" s="160"/>
      <c r="G232" s="41"/>
      <c r="J232" s="200"/>
    </row>
    <row r="233">
      <c r="B233" s="160"/>
      <c r="G233" s="41"/>
      <c r="J233" s="200"/>
    </row>
    <row r="234">
      <c r="B234" s="160"/>
      <c r="G234" s="41"/>
      <c r="J234" s="200"/>
    </row>
    <row r="235">
      <c r="B235" s="160"/>
      <c r="G235" s="41"/>
      <c r="J235" s="200"/>
    </row>
    <row r="236">
      <c r="B236" s="160"/>
      <c r="G236" s="41"/>
      <c r="J236" s="200"/>
    </row>
    <row r="237">
      <c r="B237" s="160"/>
      <c r="G237" s="41"/>
      <c r="J237" s="200"/>
    </row>
    <row r="238">
      <c r="B238" s="160"/>
      <c r="G238" s="41"/>
      <c r="J238" s="200"/>
    </row>
    <row r="239">
      <c r="B239" s="160"/>
      <c r="G239" s="41"/>
      <c r="J239" s="200"/>
    </row>
    <row r="240">
      <c r="B240" s="160"/>
      <c r="G240" s="41"/>
      <c r="J240" s="200"/>
    </row>
    <row r="241">
      <c r="B241" s="160"/>
      <c r="G241" s="41"/>
      <c r="J241" s="200"/>
    </row>
    <row r="242">
      <c r="B242" s="160"/>
      <c r="G242" s="41"/>
      <c r="J242" s="200"/>
    </row>
    <row r="243">
      <c r="B243" s="160"/>
      <c r="G243" s="41"/>
      <c r="J243" s="200"/>
    </row>
    <row r="244">
      <c r="B244" s="160"/>
      <c r="G244" s="41"/>
      <c r="J244" s="200"/>
    </row>
    <row r="245">
      <c r="B245" s="160"/>
      <c r="G245" s="41"/>
      <c r="J245" s="200"/>
    </row>
    <row r="246">
      <c r="B246" s="160"/>
      <c r="G246" s="41"/>
      <c r="J246" s="200"/>
    </row>
    <row r="247">
      <c r="B247" s="160"/>
      <c r="G247" s="41"/>
      <c r="J247" s="200"/>
    </row>
    <row r="248">
      <c r="B248" s="160"/>
      <c r="G248" s="41"/>
      <c r="J248" s="200"/>
    </row>
    <row r="249">
      <c r="B249" s="160"/>
      <c r="G249" s="41"/>
      <c r="J249" s="200"/>
    </row>
    <row r="250">
      <c r="B250" s="160"/>
      <c r="G250" s="41"/>
      <c r="J250" s="200"/>
    </row>
    <row r="251">
      <c r="B251" s="160"/>
      <c r="G251" s="41"/>
      <c r="J251" s="200"/>
    </row>
    <row r="252">
      <c r="B252" s="160"/>
      <c r="G252" s="41"/>
      <c r="J252" s="200"/>
    </row>
    <row r="253">
      <c r="B253" s="160"/>
      <c r="G253" s="41"/>
      <c r="J253" s="200"/>
    </row>
    <row r="254">
      <c r="B254" s="160"/>
      <c r="G254" s="41"/>
      <c r="J254" s="200"/>
    </row>
    <row r="255">
      <c r="B255" s="160"/>
      <c r="G255" s="41"/>
      <c r="J255" s="200"/>
    </row>
    <row r="256">
      <c r="B256" s="160"/>
      <c r="G256" s="41"/>
      <c r="J256" s="200"/>
    </row>
    <row r="257">
      <c r="B257" s="160"/>
      <c r="G257" s="41"/>
      <c r="J257" s="200"/>
    </row>
    <row r="258">
      <c r="B258" s="160"/>
      <c r="G258" s="41"/>
      <c r="J258" s="200"/>
    </row>
    <row r="259">
      <c r="B259" s="160"/>
      <c r="G259" s="41"/>
      <c r="J259" s="200"/>
    </row>
    <row r="260">
      <c r="B260" s="160"/>
      <c r="G260" s="41"/>
      <c r="J260" s="200"/>
    </row>
    <row r="261">
      <c r="B261" s="160"/>
      <c r="G261" s="41"/>
      <c r="J261" s="200"/>
    </row>
    <row r="262">
      <c r="B262" s="160"/>
      <c r="G262" s="41"/>
      <c r="J262" s="200"/>
    </row>
    <row r="263">
      <c r="B263" s="160"/>
      <c r="G263" s="41"/>
      <c r="J263" s="200"/>
    </row>
    <row r="264">
      <c r="B264" s="160"/>
      <c r="G264" s="41"/>
      <c r="J264" s="200"/>
    </row>
    <row r="265">
      <c r="B265" s="160"/>
      <c r="G265" s="41"/>
      <c r="J265" s="200"/>
    </row>
    <row r="266">
      <c r="B266" s="160"/>
      <c r="G266" s="41"/>
      <c r="J266" s="200"/>
    </row>
    <row r="267">
      <c r="B267" s="160"/>
      <c r="G267" s="41"/>
      <c r="J267" s="200"/>
    </row>
    <row r="268">
      <c r="B268" s="160"/>
      <c r="G268" s="41"/>
      <c r="J268" s="200"/>
    </row>
    <row r="269">
      <c r="B269" s="160"/>
      <c r="G269" s="41"/>
      <c r="J269" s="200"/>
    </row>
    <row r="270">
      <c r="B270" s="160"/>
      <c r="G270" s="41"/>
      <c r="J270" s="200"/>
    </row>
    <row r="271">
      <c r="B271" s="160"/>
      <c r="G271" s="41"/>
      <c r="J271" s="200"/>
    </row>
    <row r="272">
      <c r="B272" s="160"/>
      <c r="G272" s="41"/>
      <c r="J272" s="200"/>
    </row>
    <row r="273">
      <c r="B273" s="160"/>
      <c r="G273" s="41"/>
      <c r="J273" s="200"/>
    </row>
    <row r="274">
      <c r="B274" s="160"/>
      <c r="G274" s="41"/>
      <c r="J274" s="200"/>
    </row>
    <row r="275">
      <c r="B275" s="160"/>
      <c r="G275" s="41"/>
      <c r="J275" s="200"/>
    </row>
    <row r="276">
      <c r="B276" s="160"/>
      <c r="G276" s="41"/>
      <c r="J276" s="200"/>
    </row>
    <row r="277">
      <c r="B277" s="160"/>
      <c r="G277" s="41"/>
      <c r="J277" s="200"/>
    </row>
    <row r="278">
      <c r="B278" s="160"/>
      <c r="G278" s="41"/>
      <c r="J278" s="200"/>
    </row>
    <row r="279">
      <c r="B279" s="160"/>
      <c r="G279" s="41"/>
      <c r="J279" s="200"/>
    </row>
    <row r="280">
      <c r="B280" s="160"/>
      <c r="G280" s="41"/>
      <c r="J280" s="200"/>
    </row>
    <row r="281">
      <c r="B281" s="160"/>
      <c r="G281" s="41"/>
      <c r="J281" s="200"/>
    </row>
    <row r="282">
      <c r="B282" s="160"/>
      <c r="G282" s="41"/>
      <c r="J282" s="200"/>
    </row>
    <row r="283">
      <c r="B283" s="160"/>
      <c r="G283" s="41"/>
      <c r="J283" s="200"/>
    </row>
    <row r="284">
      <c r="B284" s="160"/>
      <c r="G284" s="41"/>
      <c r="J284" s="200"/>
    </row>
    <row r="285">
      <c r="B285" s="160"/>
      <c r="G285" s="41"/>
      <c r="J285" s="200"/>
    </row>
    <row r="286">
      <c r="B286" s="160"/>
      <c r="G286" s="41"/>
      <c r="J286" s="200"/>
    </row>
    <row r="287">
      <c r="B287" s="160"/>
      <c r="G287" s="41"/>
      <c r="J287" s="200"/>
    </row>
    <row r="288">
      <c r="B288" s="160"/>
      <c r="G288" s="41"/>
      <c r="J288" s="200"/>
    </row>
    <row r="289">
      <c r="B289" s="160"/>
      <c r="G289" s="41"/>
      <c r="J289" s="200"/>
    </row>
    <row r="290">
      <c r="B290" s="160"/>
      <c r="G290" s="41"/>
      <c r="J290" s="200"/>
    </row>
    <row r="291">
      <c r="B291" s="160"/>
      <c r="G291" s="41"/>
      <c r="J291" s="200"/>
    </row>
    <row r="292">
      <c r="B292" s="160"/>
      <c r="G292" s="41"/>
      <c r="J292" s="200"/>
    </row>
    <row r="293">
      <c r="B293" s="160"/>
      <c r="G293" s="41"/>
      <c r="J293" s="200"/>
    </row>
    <row r="294">
      <c r="B294" s="160"/>
      <c r="G294" s="41"/>
      <c r="J294" s="200"/>
    </row>
    <row r="295">
      <c r="B295" s="160"/>
      <c r="G295" s="41"/>
      <c r="J295" s="200"/>
    </row>
    <row r="296">
      <c r="B296" s="160"/>
      <c r="G296" s="41"/>
      <c r="J296" s="200"/>
    </row>
    <row r="297">
      <c r="B297" s="160"/>
      <c r="G297" s="41"/>
      <c r="J297" s="200"/>
    </row>
    <row r="298">
      <c r="B298" s="160"/>
      <c r="G298" s="41"/>
      <c r="J298" s="200"/>
    </row>
    <row r="299">
      <c r="B299" s="160"/>
      <c r="G299" s="41"/>
      <c r="J299" s="200"/>
    </row>
    <row r="300">
      <c r="B300" s="160"/>
      <c r="G300" s="41"/>
      <c r="J300" s="200"/>
    </row>
    <row r="301">
      <c r="B301" s="160"/>
      <c r="G301" s="41"/>
      <c r="J301" s="200"/>
    </row>
    <row r="302">
      <c r="B302" s="160"/>
      <c r="G302" s="41"/>
      <c r="J302" s="200"/>
    </row>
    <row r="303">
      <c r="B303" s="160"/>
      <c r="G303" s="41"/>
      <c r="J303" s="200"/>
    </row>
    <row r="304">
      <c r="B304" s="160"/>
      <c r="G304" s="41"/>
      <c r="J304" s="200"/>
    </row>
    <row r="305">
      <c r="B305" s="160"/>
      <c r="G305" s="41"/>
      <c r="J305" s="200"/>
    </row>
    <row r="306">
      <c r="B306" s="160"/>
      <c r="G306" s="41"/>
      <c r="J306" s="200"/>
    </row>
    <row r="307">
      <c r="B307" s="160"/>
      <c r="G307" s="41"/>
      <c r="J307" s="200"/>
    </row>
    <row r="308">
      <c r="B308" s="160"/>
      <c r="G308" s="41"/>
      <c r="J308" s="200"/>
    </row>
    <row r="309">
      <c r="B309" s="160"/>
      <c r="G309" s="41"/>
      <c r="J309" s="200"/>
    </row>
    <row r="310">
      <c r="B310" s="160"/>
      <c r="G310" s="41"/>
      <c r="J310" s="200"/>
    </row>
    <row r="311">
      <c r="B311" s="160"/>
      <c r="G311" s="41"/>
      <c r="J311" s="200"/>
    </row>
    <row r="312">
      <c r="B312" s="160"/>
      <c r="G312" s="41"/>
      <c r="J312" s="200"/>
    </row>
    <row r="313">
      <c r="B313" s="160"/>
      <c r="G313" s="41"/>
      <c r="J313" s="200"/>
    </row>
    <row r="314">
      <c r="B314" s="160"/>
      <c r="G314" s="41"/>
      <c r="J314" s="200"/>
    </row>
    <row r="315">
      <c r="B315" s="160"/>
      <c r="G315" s="41"/>
      <c r="J315" s="200"/>
    </row>
    <row r="316">
      <c r="B316" s="160"/>
      <c r="G316" s="41"/>
      <c r="J316" s="200"/>
    </row>
    <row r="317">
      <c r="B317" s="160"/>
      <c r="G317" s="41"/>
      <c r="J317" s="200"/>
    </row>
    <row r="318">
      <c r="B318" s="160"/>
      <c r="G318" s="41"/>
      <c r="J318" s="200"/>
    </row>
    <row r="319">
      <c r="B319" s="160"/>
      <c r="G319" s="41"/>
      <c r="J319" s="200"/>
    </row>
    <row r="320">
      <c r="B320" s="160"/>
      <c r="G320" s="41"/>
      <c r="J320" s="200"/>
    </row>
    <row r="321">
      <c r="B321" s="160"/>
      <c r="G321" s="41"/>
      <c r="J321" s="200"/>
    </row>
    <row r="322">
      <c r="B322" s="160"/>
      <c r="G322" s="41"/>
      <c r="J322" s="200"/>
    </row>
    <row r="323">
      <c r="B323" s="160"/>
      <c r="G323" s="41"/>
      <c r="J323" s="200"/>
    </row>
    <row r="324">
      <c r="B324" s="160"/>
      <c r="G324" s="41"/>
      <c r="J324" s="200"/>
    </row>
    <row r="325">
      <c r="B325" s="160"/>
      <c r="G325" s="41"/>
      <c r="J325" s="200"/>
    </row>
    <row r="326">
      <c r="B326" s="160"/>
      <c r="G326" s="41"/>
      <c r="J326" s="200"/>
    </row>
    <row r="327">
      <c r="B327" s="160"/>
      <c r="G327" s="41"/>
      <c r="J327" s="200"/>
    </row>
    <row r="328">
      <c r="B328" s="160"/>
      <c r="G328" s="41"/>
      <c r="J328" s="200"/>
    </row>
    <row r="329">
      <c r="B329" s="160"/>
      <c r="G329" s="41"/>
      <c r="J329" s="200"/>
    </row>
    <row r="330">
      <c r="B330" s="160"/>
      <c r="G330" s="41"/>
      <c r="J330" s="200"/>
    </row>
    <row r="331">
      <c r="B331" s="160"/>
      <c r="G331" s="41"/>
      <c r="J331" s="200"/>
    </row>
    <row r="332">
      <c r="B332" s="160"/>
      <c r="G332" s="41"/>
      <c r="J332" s="200"/>
    </row>
    <row r="333">
      <c r="B333" s="160"/>
      <c r="G333" s="41"/>
      <c r="J333" s="200"/>
    </row>
    <row r="334">
      <c r="B334" s="160"/>
      <c r="G334" s="41"/>
      <c r="J334" s="200"/>
    </row>
    <row r="335">
      <c r="B335" s="160"/>
      <c r="G335" s="41"/>
      <c r="J335" s="200"/>
    </row>
    <row r="336">
      <c r="B336" s="160"/>
      <c r="G336" s="41"/>
      <c r="J336" s="200"/>
    </row>
    <row r="337">
      <c r="B337" s="160"/>
      <c r="G337" s="41"/>
      <c r="J337" s="200"/>
    </row>
    <row r="338">
      <c r="B338" s="160"/>
      <c r="G338" s="41"/>
      <c r="J338" s="200"/>
    </row>
    <row r="339">
      <c r="B339" s="160"/>
      <c r="G339" s="41"/>
      <c r="J339" s="200"/>
    </row>
    <row r="340">
      <c r="B340" s="160"/>
      <c r="G340" s="41"/>
      <c r="J340" s="200"/>
    </row>
    <row r="341">
      <c r="B341" s="160"/>
      <c r="G341" s="41"/>
      <c r="J341" s="200"/>
    </row>
    <row r="342">
      <c r="B342" s="160"/>
      <c r="G342" s="41"/>
      <c r="J342" s="200"/>
    </row>
    <row r="343">
      <c r="B343" s="160"/>
      <c r="G343" s="41"/>
      <c r="J343" s="200"/>
    </row>
    <row r="344">
      <c r="B344" s="160"/>
      <c r="G344" s="41"/>
      <c r="J344" s="200"/>
    </row>
    <row r="345">
      <c r="B345" s="160"/>
      <c r="G345" s="41"/>
      <c r="J345" s="200"/>
    </row>
    <row r="346">
      <c r="B346" s="160"/>
      <c r="G346" s="41"/>
      <c r="J346" s="200"/>
    </row>
    <row r="347">
      <c r="B347" s="160"/>
      <c r="G347" s="41"/>
      <c r="J347" s="200"/>
    </row>
    <row r="348">
      <c r="B348" s="160"/>
      <c r="G348" s="41"/>
      <c r="J348" s="200"/>
    </row>
    <row r="349">
      <c r="B349" s="160"/>
      <c r="G349" s="41"/>
      <c r="J349" s="200"/>
    </row>
    <row r="350">
      <c r="B350" s="160"/>
      <c r="G350" s="41"/>
      <c r="J350" s="200"/>
    </row>
    <row r="351">
      <c r="B351" s="160"/>
      <c r="G351" s="41"/>
      <c r="J351" s="200"/>
    </row>
    <row r="352">
      <c r="B352" s="160"/>
      <c r="G352" s="41"/>
      <c r="J352" s="200"/>
    </row>
    <row r="353">
      <c r="B353" s="160"/>
      <c r="G353" s="41"/>
      <c r="J353" s="200"/>
    </row>
    <row r="354">
      <c r="B354" s="160"/>
      <c r="G354" s="41"/>
      <c r="J354" s="200"/>
    </row>
    <row r="355">
      <c r="B355" s="160"/>
      <c r="G355" s="41"/>
      <c r="J355" s="200"/>
    </row>
    <row r="356">
      <c r="B356" s="160"/>
      <c r="G356" s="41"/>
      <c r="J356" s="200"/>
    </row>
    <row r="357">
      <c r="B357" s="160"/>
      <c r="G357" s="41"/>
      <c r="J357" s="200"/>
    </row>
    <row r="358">
      <c r="B358" s="160"/>
      <c r="G358" s="41"/>
      <c r="J358" s="200"/>
    </row>
    <row r="359">
      <c r="B359" s="160"/>
      <c r="G359" s="41"/>
      <c r="J359" s="200"/>
    </row>
    <row r="360">
      <c r="B360" s="160"/>
      <c r="G360" s="41"/>
      <c r="J360" s="200"/>
    </row>
    <row r="361">
      <c r="B361" s="160"/>
      <c r="G361" s="41"/>
      <c r="J361" s="200"/>
    </row>
    <row r="362">
      <c r="B362" s="160"/>
      <c r="G362" s="41"/>
      <c r="J362" s="200"/>
    </row>
    <row r="363">
      <c r="B363" s="160"/>
      <c r="G363" s="41"/>
      <c r="J363" s="200"/>
    </row>
    <row r="364">
      <c r="B364" s="160"/>
      <c r="G364" s="41"/>
      <c r="J364" s="200"/>
    </row>
    <row r="365">
      <c r="B365" s="160"/>
      <c r="G365" s="41"/>
      <c r="J365" s="200"/>
    </row>
    <row r="366">
      <c r="B366" s="160"/>
      <c r="G366" s="41"/>
      <c r="J366" s="200"/>
    </row>
    <row r="367">
      <c r="B367" s="160"/>
      <c r="G367" s="41"/>
      <c r="J367" s="200"/>
    </row>
    <row r="368">
      <c r="B368" s="160"/>
      <c r="G368" s="41"/>
      <c r="J368" s="200"/>
    </row>
    <row r="369">
      <c r="B369" s="160"/>
      <c r="G369" s="41"/>
      <c r="J369" s="200"/>
    </row>
    <row r="370">
      <c r="B370" s="160"/>
      <c r="G370" s="41"/>
      <c r="J370" s="200"/>
    </row>
    <row r="371">
      <c r="B371" s="160"/>
      <c r="G371" s="41"/>
      <c r="J371" s="200"/>
    </row>
    <row r="372">
      <c r="B372" s="160"/>
      <c r="G372" s="41"/>
      <c r="J372" s="200"/>
    </row>
    <row r="373">
      <c r="B373" s="160"/>
      <c r="G373" s="41"/>
      <c r="J373" s="200"/>
    </row>
    <row r="374">
      <c r="B374" s="160"/>
      <c r="G374" s="41"/>
      <c r="J374" s="200"/>
    </row>
    <row r="375">
      <c r="B375" s="160"/>
      <c r="G375" s="41"/>
      <c r="J375" s="200"/>
    </row>
    <row r="376">
      <c r="B376" s="160"/>
      <c r="G376" s="41"/>
      <c r="J376" s="200"/>
    </row>
    <row r="377">
      <c r="B377" s="160"/>
      <c r="G377" s="41"/>
      <c r="J377" s="200"/>
    </row>
    <row r="378">
      <c r="B378" s="160"/>
      <c r="G378" s="41"/>
      <c r="J378" s="200"/>
    </row>
    <row r="379">
      <c r="B379" s="160"/>
      <c r="G379" s="41"/>
      <c r="J379" s="200"/>
    </row>
    <row r="380">
      <c r="B380" s="160"/>
      <c r="G380" s="41"/>
      <c r="J380" s="200"/>
    </row>
    <row r="381">
      <c r="B381" s="160"/>
      <c r="G381" s="41"/>
      <c r="J381" s="200"/>
    </row>
    <row r="382">
      <c r="B382" s="160"/>
      <c r="G382" s="41"/>
      <c r="J382" s="200"/>
    </row>
    <row r="383">
      <c r="B383" s="160"/>
      <c r="G383" s="41"/>
      <c r="J383" s="200"/>
    </row>
    <row r="384">
      <c r="B384" s="160"/>
      <c r="G384" s="41"/>
      <c r="J384" s="200"/>
    </row>
    <row r="385">
      <c r="B385" s="160"/>
      <c r="G385" s="41"/>
      <c r="J385" s="200"/>
    </row>
    <row r="386">
      <c r="B386" s="160"/>
      <c r="G386" s="41"/>
      <c r="J386" s="200"/>
    </row>
    <row r="387">
      <c r="B387" s="160"/>
      <c r="G387" s="41"/>
      <c r="J387" s="200"/>
    </row>
    <row r="388">
      <c r="B388" s="160"/>
      <c r="G388" s="41"/>
      <c r="J388" s="200"/>
    </row>
    <row r="389">
      <c r="B389" s="160"/>
      <c r="G389" s="41"/>
      <c r="J389" s="200"/>
    </row>
    <row r="390">
      <c r="B390" s="160"/>
      <c r="G390" s="41"/>
      <c r="J390" s="200"/>
    </row>
    <row r="391">
      <c r="B391" s="160"/>
      <c r="G391" s="41"/>
      <c r="J391" s="200"/>
    </row>
    <row r="392">
      <c r="B392" s="160"/>
      <c r="G392" s="41"/>
      <c r="J392" s="200"/>
    </row>
    <row r="393">
      <c r="B393" s="160"/>
      <c r="G393" s="41"/>
      <c r="J393" s="200"/>
    </row>
    <row r="394">
      <c r="B394" s="160"/>
      <c r="G394" s="41"/>
      <c r="J394" s="200"/>
    </row>
    <row r="395">
      <c r="B395" s="160"/>
      <c r="G395" s="41"/>
      <c r="J395" s="200"/>
    </row>
    <row r="396">
      <c r="B396" s="160"/>
      <c r="G396" s="41"/>
      <c r="J396" s="200"/>
    </row>
    <row r="397">
      <c r="B397" s="160"/>
      <c r="G397" s="41"/>
      <c r="J397" s="200"/>
    </row>
    <row r="398">
      <c r="B398" s="160"/>
      <c r="G398" s="41"/>
      <c r="J398" s="200"/>
    </row>
    <row r="399">
      <c r="B399" s="160"/>
      <c r="G399" s="41"/>
      <c r="J399" s="200"/>
    </row>
    <row r="400">
      <c r="B400" s="160"/>
      <c r="G400" s="41"/>
      <c r="J400" s="200"/>
    </row>
    <row r="401">
      <c r="B401" s="160"/>
      <c r="G401" s="41"/>
      <c r="J401" s="200"/>
    </row>
    <row r="402">
      <c r="B402" s="160"/>
      <c r="G402" s="41"/>
      <c r="J402" s="200"/>
    </row>
    <row r="403">
      <c r="B403" s="160"/>
      <c r="G403" s="41"/>
      <c r="J403" s="200"/>
    </row>
    <row r="404">
      <c r="B404" s="160"/>
      <c r="G404" s="41"/>
      <c r="J404" s="200"/>
    </row>
    <row r="405">
      <c r="B405" s="160"/>
      <c r="G405" s="41"/>
      <c r="J405" s="200"/>
    </row>
    <row r="406">
      <c r="B406" s="160"/>
      <c r="G406" s="41"/>
      <c r="J406" s="200"/>
    </row>
    <row r="407">
      <c r="B407" s="160"/>
      <c r="G407" s="41"/>
      <c r="J407" s="200"/>
    </row>
    <row r="408">
      <c r="B408" s="160"/>
      <c r="G408" s="41"/>
      <c r="J408" s="200"/>
    </row>
    <row r="409">
      <c r="B409" s="160"/>
      <c r="G409" s="41"/>
      <c r="J409" s="200"/>
    </row>
    <row r="410">
      <c r="B410" s="160"/>
      <c r="G410" s="41"/>
      <c r="J410" s="200"/>
    </row>
    <row r="411">
      <c r="B411" s="160"/>
      <c r="G411" s="41"/>
      <c r="J411" s="200"/>
    </row>
    <row r="412">
      <c r="B412" s="160"/>
      <c r="G412" s="41"/>
      <c r="J412" s="200"/>
    </row>
    <row r="413">
      <c r="B413" s="160"/>
      <c r="G413" s="41"/>
      <c r="J413" s="200"/>
    </row>
    <row r="414">
      <c r="B414" s="160"/>
      <c r="G414" s="41"/>
      <c r="J414" s="200"/>
    </row>
    <row r="415">
      <c r="B415" s="160"/>
      <c r="G415" s="41"/>
      <c r="J415" s="200"/>
    </row>
    <row r="416">
      <c r="B416" s="160"/>
      <c r="G416" s="41"/>
      <c r="J416" s="200"/>
    </row>
    <row r="417">
      <c r="B417" s="160"/>
      <c r="G417" s="41"/>
      <c r="J417" s="200"/>
    </row>
    <row r="418">
      <c r="B418" s="160"/>
      <c r="G418" s="41"/>
      <c r="J418" s="200"/>
    </row>
    <row r="419">
      <c r="B419" s="160"/>
      <c r="G419" s="41"/>
      <c r="J419" s="200"/>
    </row>
    <row r="420">
      <c r="B420" s="160"/>
      <c r="G420" s="41"/>
      <c r="J420" s="200"/>
    </row>
    <row r="421">
      <c r="B421" s="160"/>
      <c r="G421" s="41"/>
      <c r="J421" s="200"/>
    </row>
    <row r="422">
      <c r="B422" s="160"/>
      <c r="G422" s="41"/>
      <c r="J422" s="200"/>
    </row>
    <row r="423">
      <c r="B423" s="160"/>
      <c r="G423" s="41"/>
      <c r="J423" s="200"/>
    </row>
    <row r="424">
      <c r="B424" s="160"/>
      <c r="G424" s="41"/>
      <c r="J424" s="200"/>
    </row>
    <row r="425">
      <c r="B425" s="160"/>
      <c r="G425" s="41"/>
      <c r="J425" s="200"/>
    </row>
    <row r="426">
      <c r="B426" s="160"/>
      <c r="G426" s="41"/>
      <c r="J426" s="200"/>
    </row>
    <row r="427">
      <c r="B427" s="160"/>
      <c r="G427" s="41"/>
      <c r="J427" s="200"/>
    </row>
    <row r="428">
      <c r="B428" s="160"/>
      <c r="G428" s="41"/>
      <c r="J428" s="200"/>
    </row>
    <row r="429">
      <c r="B429" s="160"/>
      <c r="G429" s="41"/>
      <c r="J429" s="200"/>
    </row>
    <row r="430">
      <c r="B430" s="160"/>
      <c r="G430" s="41"/>
      <c r="J430" s="200"/>
    </row>
    <row r="431">
      <c r="B431" s="160"/>
      <c r="G431" s="41"/>
      <c r="J431" s="200"/>
    </row>
    <row r="432">
      <c r="B432" s="160"/>
      <c r="G432" s="41"/>
      <c r="J432" s="200"/>
    </row>
    <row r="433">
      <c r="B433" s="160"/>
      <c r="G433" s="41"/>
      <c r="J433" s="200"/>
    </row>
    <row r="434">
      <c r="B434" s="160"/>
      <c r="G434" s="41"/>
      <c r="J434" s="200"/>
    </row>
    <row r="435">
      <c r="B435" s="160"/>
      <c r="G435" s="41"/>
      <c r="J435" s="200"/>
    </row>
    <row r="436">
      <c r="B436" s="160"/>
      <c r="G436" s="41"/>
      <c r="J436" s="200"/>
    </row>
    <row r="437">
      <c r="B437" s="160"/>
      <c r="G437" s="41"/>
      <c r="J437" s="200"/>
    </row>
    <row r="438">
      <c r="B438" s="160"/>
      <c r="G438" s="41"/>
      <c r="J438" s="200"/>
    </row>
    <row r="439">
      <c r="B439" s="160"/>
      <c r="G439" s="41"/>
      <c r="J439" s="200"/>
    </row>
    <row r="440">
      <c r="B440" s="160"/>
      <c r="G440" s="41"/>
      <c r="J440" s="200"/>
    </row>
    <row r="441">
      <c r="B441" s="160"/>
      <c r="G441" s="41"/>
      <c r="J441" s="200"/>
    </row>
    <row r="442">
      <c r="B442" s="160"/>
      <c r="G442" s="41"/>
      <c r="J442" s="200"/>
    </row>
    <row r="443">
      <c r="B443" s="160"/>
      <c r="G443" s="41"/>
      <c r="J443" s="200"/>
    </row>
    <row r="444">
      <c r="B444" s="160"/>
      <c r="G444" s="41"/>
      <c r="J444" s="200"/>
    </row>
    <row r="445">
      <c r="B445" s="160"/>
      <c r="G445" s="41"/>
      <c r="J445" s="200"/>
    </row>
    <row r="446">
      <c r="B446" s="160"/>
      <c r="G446" s="41"/>
      <c r="J446" s="200"/>
    </row>
    <row r="447">
      <c r="B447" s="160"/>
      <c r="G447" s="41"/>
      <c r="J447" s="200"/>
    </row>
    <row r="448">
      <c r="B448" s="160"/>
      <c r="G448" s="41"/>
      <c r="J448" s="200"/>
    </row>
    <row r="449">
      <c r="B449" s="160"/>
      <c r="G449" s="41"/>
      <c r="J449" s="200"/>
    </row>
    <row r="450">
      <c r="B450" s="160"/>
      <c r="G450" s="41"/>
      <c r="J450" s="200"/>
    </row>
    <row r="451">
      <c r="B451" s="160"/>
      <c r="G451" s="41"/>
      <c r="J451" s="200"/>
    </row>
    <row r="452">
      <c r="B452" s="160"/>
      <c r="G452" s="41"/>
      <c r="J452" s="200"/>
    </row>
    <row r="453">
      <c r="B453" s="160"/>
      <c r="G453" s="41"/>
      <c r="J453" s="200"/>
    </row>
    <row r="454">
      <c r="B454" s="160"/>
      <c r="G454" s="41"/>
      <c r="J454" s="200"/>
    </row>
    <row r="455">
      <c r="B455" s="160"/>
      <c r="G455" s="41"/>
      <c r="J455" s="200"/>
    </row>
    <row r="456">
      <c r="B456" s="160"/>
      <c r="G456" s="41"/>
      <c r="J456" s="200"/>
    </row>
    <row r="457">
      <c r="B457" s="160"/>
      <c r="G457" s="41"/>
      <c r="J457" s="200"/>
    </row>
    <row r="458">
      <c r="B458" s="160"/>
      <c r="G458" s="41"/>
      <c r="J458" s="200"/>
    </row>
    <row r="459">
      <c r="B459" s="160"/>
      <c r="G459" s="41"/>
      <c r="J459" s="200"/>
    </row>
    <row r="460">
      <c r="B460" s="160"/>
      <c r="G460" s="41"/>
      <c r="J460" s="200"/>
    </row>
    <row r="461">
      <c r="B461" s="160"/>
      <c r="G461" s="41"/>
      <c r="J461" s="200"/>
    </row>
    <row r="462">
      <c r="B462" s="160"/>
      <c r="G462" s="41"/>
      <c r="J462" s="200"/>
    </row>
    <row r="463">
      <c r="B463" s="160"/>
      <c r="G463" s="41"/>
      <c r="J463" s="200"/>
    </row>
    <row r="464">
      <c r="B464" s="160"/>
      <c r="G464" s="41"/>
      <c r="J464" s="200"/>
    </row>
    <row r="465">
      <c r="B465" s="160"/>
      <c r="G465" s="41"/>
      <c r="J465" s="200"/>
    </row>
    <row r="466">
      <c r="B466" s="160"/>
      <c r="G466" s="41"/>
      <c r="J466" s="200"/>
    </row>
    <row r="467">
      <c r="B467" s="160"/>
      <c r="G467" s="41"/>
      <c r="J467" s="200"/>
    </row>
    <row r="468">
      <c r="B468" s="160"/>
      <c r="G468" s="41"/>
      <c r="J468" s="200"/>
    </row>
    <row r="469">
      <c r="B469" s="160"/>
      <c r="G469" s="41"/>
      <c r="J469" s="200"/>
    </row>
    <row r="470">
      <c r="B470" s="160"/>
      <c r="G470" s="41"/>
      <c r="J470" s="200"/>
    </row>
    <row r="471">
      <c r="B471" s="160"/>
      <c r="G471" s="41"/>
      <c r="J471" s="200"/>
    </row>
    <row r="472">
      <c r="B472" s="160"/>
      <c r="G472" s="41"/>
      <c r="J472" s="200"/>
    </row>
    <row r="473">
      <c r="B473" s="160"/>
      <c r="G473" s="41"/>
      <c r="J473" s="200"/>
    </row>
    <row r="474">
      <c r="B474" s="160"/>
      <c r="G474" s="41"/>
      <c r="J474" s="200"/>
    </row>
    <row r="475">
      <c r="B475" s="160"/>
      <c r="G475" s="41"/>
      <c r="J475" s="200"/>
    </row>
    <row r="476">
      <c r="B476" s="160"/>
      <c r="G476" s="41"/>
      <c r="J476" s="200"/>
    </row>
    <row r="477">
      <c r="B477" s="160"/>
      <c r="G477" s="41"/>
      <c r="J477" s="200"/>
    </row>
    <row r="478">
      <c r="B478" s="160"/>
      <c r="G478" s="41"/>
      <c r="J478" s="200"/>
    </row>
    <row r="479">
      <c r="B479" s="160"/>
      <c r="G479" s="41"/>
      <c r="J479" s="200"/>
    </row>
    <row r="480">
      <c r="B480" s="160"/>
      <c r="G480" s="41"/>
      <c r="J480" s="200"/>
    </row>
    <row r="481">
      <c r="B481" s="160"/>
      <c r="G481" s="41"/>
      <c r="J481" s="200"/>
    </row>
    <row r="482">
      <c r="B482" s="160"/>
      <c r="G482" s="41"/>
      <c r="J482" s="200"/>
    </row>
    <row r="483">
      <c r="B483" s="160"/>
      <c r="G483" s="41"/>
      <c r="J483" s="200"/>
    </row>
    <row r="484">
      <c r="B484" s="160"/>
      <c r="G484" s="41"/>
      <c r="J484" s="200"/>
    </row>
    <row r="485">
      <c r="B485" s="160"/>
      <c r="G485" s="41"/>
      <c r="J485" s="200"/>
    </row>
    <row r="486">
      <c r="B486" s="160"/>
      <c r="G486" s="41"/>
      <c r="J486" s="200"/>
    </row>
    <row r="487">
      <c r="B487" s="160"/>
      <c r="G487" s="41"/>
      <c r="J487" s="200"/>
    </row>
    <row r="488">
      <c r="B488" s="160"/>
      <c r="G488" s="41"/>
      <c r="J488" s="200"/>
    </row>
    <row r="489">
      <c r="B489" s="160"/>
      <c r="G489" s="41"/>
      <c r="J489" s="200"/>
    </row>
    <row r="490">
      <c r="B490" s="160"/>
      <c r="G490" s="41"/>
      <c r="J490" s="200"/>
    </row>
    <row r="491">
      <c r="B491" s="160"/>
      <c r="G491" s="41"/>
      <c r="J491" s="200"/>
    </row>
    <row r="492">
      <c r="B492" s="160"/>
      <c r="G492" s="41"/>
      <c r="J492" s="200"/>
    </row>
    <row r="493">
      <c r="B493" s="160"/>
      <c r="G493" s="41"/>
      <c r="J493" s="200"/>
    </row>
    <row r="494">
      <c r="B494" s="160"/>
      <c r="G494" s="41"/>
      <c r="J494" s="200"/>
    </row>
    <row r="495">
      <c r="B495" s="160"/>
      <c r="G495" s="41"/>
      <c r="J495" s="200"/>
    </row>
    <row r="496">
      <c r="B496" s="160"/>
      <c r="G496" s="41"/>
      <c r="J496" s="200"/>
    </row>
    <row r="497">
      <c r="B497" s="160"/>
      <c r="G497" s="41"/>
      <c r="J497" s="200"/>
    </row>
    <row r="498">
      <c r="B498" s="160"/>
      <c r="G498" s="41"/>
      <c r="J498" s="200"/>
    </row>
    <row r="499">
      <c r="B499" s="160"/>
      <c r="G499" s="41"/>
      <c r="J499" s="200"/>
    </row>
    <row r="500">
      <c r="B500" s="160"/>
      <c r="G500" s="41"/>
      <c r="J500" s="200"/>
    </row>
    <row r="501">
      <c r="B501" s="160"/>
      <c r="G501" s="41"/>
      <c r="J501" s="200"/>
    </row>
    <row r="502">
      <c r="B502" s="160"/>
      <c r="G502" s="41"/>
      <c r="J502" s="200"/>
    </row>
    <row r="503">
      <c r="B503" s="160"/>
      <c r="G503" s="41"/>
      <c r="J503" s="200"/>
    </row>
    <row r="504">
      <c r="B504" s="160"/>
      <c r="G504" s="41"/>
      <c r="J504" s="200"/>
    </row>
    <row r="505">
      <c r="B505" s="160"/>
      <c r="G505" s="41"/>
      <c r="J505" s="200"/>
    </row>
    <row r="506">
      <c r="B506" s="160"/>
      <c r="G506" s="41"/>
      <c r="J506" s="200"/>
    </row>
    <row r="507">
      <c r="B507" s="160"/>
      <c r="G507" s="41"/>
      <c r="J507" s="200"/>
    </row>
    <row r="508">
      <c r="B508" s="160"/>
      <c r="G508" s="41"/>
      <c r="J508" s="200"/>
    </row>
    <row r="509">
      <c r="B509" s="160"/>
      <c r="G509" s="41"/>
      <c r="J509" s="200"/>
    </row>
    <row r="510">
      <c r="B510" s="160"/>
      <c r="G510" s="41"/>
      <c r="J510" s="200"/>
    </row>
    <row r="511">
      <c r="B511" s="160"/>
      <c r="G511" s="41"/>
      <c r="J511" s="200"/>
    </row>
    <row r="512">
      <c r="B512" s="160"/>
      <c r="G512" s="41"/>
      <c r="J512" s="200"/>
    </row>
    <row r="513">
      <c r="B513" s="160"/>
      <c r="G513" s="41"/>
      <c r="J513" s="200"/>
    </row>
    <row r="514">
      <c r="B514" s="160"/>
      <c r="G514" s="41"/>
      <c r="J514" s="200"/>
    </row>
    <row r="515">
      <c r="B515" s="160"/>
      <c r="G515" s="41"/>
      <c r="J515" s="200"/>
    </row>
    <row r="516">
      <c r="B516" s="160"/>
      <c r="G516" s="41"/>
      <c r="J516" s="200"/>
    </row>
    <row r="517">
      <c r="B517" s="160"/>
      <c r="G517" s="41"/>
      <c r="J517" s="200"/>
    </row>
    <row r="518">
      <c r="B518" s="160"/>
      <c r="G518" s="41"/>
      <c r="J518" s="200"/>
    </row>
    <row r="519">
      <c r="B519" s="160"/>
      <c r="G519" s="41"/>
      <c r="J519" s="200"/>
    </row>
    <row r="520">
      <c r="B520" s="160"/>
      <c r="G520" s="41"/>
      <c r="J520" s="200"/>
    </row>
    <row r="521">
      <c r="B521" s="160"/>
      <c r="G521" s="41"/>
      <c r="J521" s="200"/>
    </row>
    <row r="522">
      <c r="B522" s="160"/>
      <c r="G522" s="41"/>
      <c r="J522" s="200"/>
    </row>
    <row r="523">
      <c r="B523" s="160"/>
      <c r="G523" s="41"/>
      <c r="J523" s="200"/>
    </row>
    <row r="524">
      <c r="B524" s="160"/>
      <c r="G524" s="41"/>
      <c r="J524" s="200"/>
    </row>
    <row r="525">
      <c r="B525" s="160"/>
      <c r="G525" s="41"/>
      <c r="J525" s="200"/>
    </row>
    <row r="526">
      <c r="B526" s="160"/>
      <c r="G526" s="41"/>
      <c r="J526" s="200"/>
    </row>
    <row r="527">
      <c r="B527" s="160"/>
      <c r="G527" s="41"/>
      <c r="J527" s="200"/>
    </row>
    <row r="528">
      <c r="B528" s="160"/>
      <c r="G528" s="41"/>
      <c r="J528" s="200"/>
    </row>
    <row r="529">
      <c r="B529" s="160"/>
      <c r="G529" s="41"/>
      <c r="J529" s="200"/>
    </row>
    <row r="530">
      <c r="B530" s="160"/>
      <c r="G530" s="41"/>
      <c r="J530" s="200"/>
    </row>
    <row r="531">
      <c r="B531" s="160"/>
      <c r="G531" s="41"/>
      <c r="J531" s="200"/>
    </row>
    <row r="532">
      <c r="B532" s="160"/>
      <c r="G532" s="41"/>
      <c r="J532" s="200"/>
    </row>
    <row r="533">
      <c r="B533" s="160"/>
      <c r="G533" s="41"/>
      <c r="J533" s="200"/>
    </row>
    <row r="534">
      <c r="B534" s="160"/>
      <c r="G534" s="41"/>
      <c r="J534" s="200"/>
    </row>
    <row r="535">
      <c r="B535" s="160"/>
      <c r="G535" s="41"/>
      <c r="J535" s="200"/>
    </row>
    <row r="536">
      <c r="B536" s="160"/>
      <c r="G536" s="41"/>
      <c r="J536" s="200"/>
    </row>
    <row r="537">
      <c r="B537" s="160"/>
      <c r="G537" s="41"/>
      <c r="J537" s="200"/>
    </row>
    <row r="538">
      <c r="B538" s="160"/>
      <c r="G538" s="41"/>
      <c r="J538" s="200"/>
    </row>
    <row r="539">
      <c r="B539" s="160"/>
      <c r="G539" s="41"/>
      <c r="J539" s="200"/>
    </row>
    <row r="540">
      <c r="B540" s="160"/>
      <c r="G540" s="41"/>
      <c r="J540" s="200"/>
    </row>
    <row r="541">
      <c r="B541" s="160"/>
      <c r="G541" s="41"/>
      <c r="J541" s="200"/>
    </row>
    <row r="542">
      <c r="B542" s="160"/>
      <c r="G542" s="41"/>
      <c r="J542" s="200"/>
    </row>
    <row r="543">
      <c r="B543" s="160"/>
      <c r="G543" s="41"/>
      <c r="J543" s="200"/>
    </row>
    <row r="544">
      <c r="B544" s="160"/>
      <c r="G544" s="41"/>
      <c r="J544" s="200"/>
    </row>
    <row r="545">
      <c r="B545" s="160"/>
      <c r="G545" s="41"/>
      <c r="J545" s="200"/>
    </row>
    <row r="546">
      <c r="B546" s="160"/>
      <c r="G546" s="41"/>
      <c r="J546" s="200"/>
    </row>
    <row r="547">
      <c r="B547" s="160"/>
      <c r="G547" s="41"/>
      <c r="J547" s="200"/>
    </row>
    <row r="548">
      <c r="B548" s="160"/>
      <c r="G548" s="41"/>
      <c r="J548" s="200"/>
    </row>
    <row r="549">
      <c r="B549" s="160"/>
      <c r="G549" s="41"/>
      <c r="J549" s="200"/>
    </row>
    <row r="550">
      <c r="B550" s="160"/>
      <c r="G550" s="41"/>
      <c r="J550" s="200"/>
    </row>
    <row r="551">
      <c r="B551" s="160"/>
      <c r="G551" s="41"/>
      <c r="J551" s="200"/>
    </row>
    <row r="552">
      <c r="B552" s="160"/>
      <c r="G552" s="41"/>
      <c r="J552" s="200"/>
    </row>
    <row r="553">
      <c r="B553" s="160"/>
      <c r="G553" s="41"/>
      <c r="J553" s="200"/>
    </row>
    <row r="554">
      <c r="B554" s="160"/>
      <c r="G554" s="41"/>
      <c r="J554" s="200"/>
    </row>
    <row r="555">
      <c r="B555" s="160"/>
      <c r="G555" s="41"/>
      <c r="J555" s="200"/>
    </row>
    <row r="556">
      <c r="B556" s="160"/>
      <c r="G556" s="41"/>
      <c r="J556" s="200"/>
    </row>
    <row r="557">
      <c r="B557" s="160"/>
      <c r="G557" s="41"/>
      <c r="J557" s="200"/>
    </row>
    <row r="558">
      <c r="B558" s="160"/>
      <c r="G558" s="41"/>
      <c r="J558" s="200"/>
    </row>
    <row r="559">
      <c r="B559" s="160"/>
      <c r="G559" s="41"/>
      <c r="J559" s="200"/>
    </row>
    <row r="560">
      <c r="B560" s="160"/>
      <c r="G560" s="41"/>
      <c r="J560" s="200"/>
    </row>
    <row r="561">
      <c r="B561" s="160"/>
      <c r="G561" s="41"/>
      <c r="J561" s="200"/>
    </row>
    <row r="562">
      <c r="B562" s="160"/>
      <c r="G562" s="41"/>
      <c r="J562" s="200"/>
    </row>
    <row r="563">
      <c r="B563" s="160"/>
      <c r="G563" s="41"/>
      <c r="J563" s="200"/>
    </row>
    <row r="564">
      <c r="B564" s="160"/>
      <c r="G564" s="41"/>
      <c r="J564" s="200"/>
    </row>
    <row r="565">
      <c r="B565" s="160"/>
      <c r="G565" s="41"/>
      <c r="J565" s="200"/>
    </row>
    <row r="566">
      <c r="B566" s="160"/>
      <c r="G566" s="41"/>
      <c r="J566" s="200"/>
    </row>
    <row r="567">
      <c r="B567" s="160"/>
      <c r="G567" s="41"/>
      <c r="J567" s="200"/>
    </row>
    <row r="568">
      <c r="B568" s="160"/>
      <c r="G568" s="41"/>
      <c r="J568" s="200"/>
    </row>
    <row r="569">
      <c r="B569" s="160"/>
      <c r="G569" s="41"/>
      <c r="J569" s="200"/>
    </row>
    <row r="570">
      <c r="B570" s="160"/>
      <c r="G570" s="41"/>
      <c r="J570" s="200"/>
    </row>
    <row r="571">
      <c r="B571" s="160"/>
      <c r="G571" s="41"/>
      <c r="J571" s="200"/>
    </row>
    <row r="572">
      <c r="B572" s="160"/>
      <c r="G572" s="41"/>
      <c r="J572" s="200"/>
    </row>
    <row r="573">
      <c r="B573" s="160"/>
      <c r="G573" s="41"/>
      <c r="J573" s="200"/>
    </row>
    <row r="574">
      <c r="B574" s="160"/>
      <c r="G574" s="41"/>
      <c r="J574" s="200"/>
    </row>
    <row r="575">
      <c r="B575" s="160"/>
      <c r="G575" s="41"/>
      <c r="J575" s="200"/>
    </row>
    <row r="576">
      <c r="B576" s="160"/>
      <c r="G576" s="41"/>
      <c r="J576" s="200"/>
    </row>
    <row r="577">
      <c r="B577" s="160"/>
      <c r="G577" s="41"/>
      <c r="J577" s="200"/>
    </row>
    <row r="578">
      <c r="B578" s="160"/>
      <c r="G578" s="41"/>
      <c r="J578" s="200"/>
    </row>
    <row r="579">
      <c r="B579" s="160"/>
      <c r="G579" s="41"/>
      <c r="J579" s="200"/>
    </row>
    <row r="580">
      <c r="B580" s="160"/>
      <c r="G580" s="41"/>
      <c r="J580" s="200"/>
    </row>
    <row r="581">
      <c r="B581" s="160"/>
      <c r="G581" s="41"/>
      <c r="J581" s="200"/>
    </row>
    <row r="582">
      <c r="B582" s="160"/>
      <c r="G582" s="41"/>
      <c r="J582" s="200"/>
    </row>
    <row r="583">
      <c r="B583" s="160"/>
      <c r="G583" s="41"/>
      <c r="J583" s="200"/>
    </row>
    <row r="584">
      <c r="B584" s="160"/>
      <c r="G584" s="41"/>
      <c r="J584" s="200"/>
    </row>
    <row r="585">
      <c r="B585" s="160"/>
      <c r="G585" s="41"/>
      <c r="J585" s="200"/>
    </row>
    <row r="586">
      <c r="B586" s="160"/>
      <c r="G586" s="41"/>
      <c r="J586" s="200"/>
    </row>
    <row r="587">
      <c r="B587" s="160"/>
      <c r="G587" s="41"/>
      <c r="J587" s="200"/>
    </row>
    <row r="588">
      <c r="B588" s="160"/>
      <c r="G588" s="41"/>
      <c r="J588" s="200"/>
    </row>
    <row r="589">
      <c r="B589" s="160"/>
      <c r="G589" s="41"/>
      <c r="J589" s="200"/>
    </row>
    <row r="590">
      <c r="B590" s="160"/>
      <c r="G590" s="41"/>
      <c r="J590" s="200"/>
    </row>
    <row r="591">
      <c r="B591" s="160"/>
      <c r="G591" s="41"/>
      <c r="J591" s="200"/>
    </row>
    <row r="592">
      <c r="B592" s="160"/>
      <c r="G592" s="41"/>
      <c r="J592" s="200"/>
    </row>
    <row r="593">
      <c r="B593" s="160"/>
      <c r="G593" s="41"/>
      <c r="J593" s="200"/>
    </row>
    <row r="594">
      <c r="B594" s="160"/>
      <c r="G594" s="41"/>
      <c r="J594" s="200"/>
    </row>
    <row r="595">
      <c r="B595" s="160"/>
      <c r="G595" s="41"/>
      <c r="J595" s="200"/>
    </row>
    <row r="596">
      <c r="B596" s="160"/>
      <c r="G596" s="41"/>
      <c r="J596" s="200"/>
    </row>
    <row r="597">
      <c r="B597" s="160"/>
      <c r="G597" s="41"/>
      <c r="J597" s="200"/>
    </row>
    <row r="598">
      <c r="B598" s="160"/>
      <c r="G598" s="41"/>
      <c r="J598" s="200"/>
    </row>
    <row r="599">
      <c r="B599" s="160"/>
      <c r="G599" s="41"/>
      <c r="J599" s="200"/>
    </row>
    <row r="600">
      <c r="B600" s="160"/>
      <c r="G600" s="41"/>
      <c r="J600" s="200"/>
    </row>
    <row r="601">
      <c r="B601" s="160"/>
      <c r="G601" s="41"/>
      <c r="J601" s="200"/>
    </row>
    <row r="602">
      <c r="B602" s="160"/>
      <c r="G602" s="41"/>
      <c r="J602" s="200"/>
    </row>
    <row r="603">
      <c r="B603" s="160"/>
      <c r="G603" s="41"/>
      <c r="J603" s="200"/>
    </row>
    <row r="604">
      <c r="B604" s="160"/>
      <c r="G604" s="41"/>
      <c r="J604" s="200"/>
    </row>
    <row r="605">
      <c r="B605" s="160"/>
      <c r="G605" s="41"/>
      <c r="J605" s="200"/>
    </row>
    <row r="606">
      <c r="B606" s="160"/>
      <c r="G606" s="41"/>
      <c r="J606" s="200"/>
    </row>
    <row r="607">
      <c r="B607" s="160"/>
      <c r="G607" s="41"/>
      <c r="J607" s="200"/>
    </row>
    <row r="608">
      <c r="B608" s="160"/>
      <c r="G608" s="41"/>
      <c r="J608" s="200"/>
    </row>
    <row r="609">
      <c r="B609" s="160"/>
      <c r="G609" s="41"/>
      <c r="J609" s="200"/>
    </row>
    <row r="610">
      <c r="B610" s="160"/>
      <c r="G610" s="41"/>
      <c r="J610" s="200"/>
    </row>
    <row r="611">
      <c r="B611" s="160"/>
      <c r="G611" s="41"/>
      <c r="J611" s="200"/>
    </row>
    <row r="612">
      <c r="B612" s="160"/>
      <c r="G612" s="41"/>
      <c r="J612" s="200"/>
    </row>
    <row r="613">
      <c r="B613" s="160"/>
      <c r="G613" s="41"/>
      <c r="J613" s="200"/>
    </row>
    <row r="614">
      <c r="B614" s="160"/>
      <c r="G614" s="41"/>
      <c r="J614" s="200"/>
    </row>
    <row r="615">
      <c r="B615" s="160"/>
      <c r="G615" s="41"/>
      <c r="J615" s="200"/>
    </row>
    <row r="616">
      <c r="B616" s="160"/>
      <c r="G616" s="41"/>
      <c r="J616" s="200"/>
    </row>
    <row r="617">
      <c r="B617" s="160"/>
      <c r="G617" s="41"/>
      <c r="J617" s="200"/>
    </row>
    <row r="618">
      <c r="B618" s="160"/>
      <c r="G618" s="41"/>
      <c r="J618" s="200"/>
    </row>
    <row r="619">
      <c r="B619" s="160"/>
      <c r="G619" s="41"/>
      <c r="J619" s="200"/>
    </row>
    <row r="620">
      <c r="B620" s="160"/>
      <c r="G620" s="41"/>
      <c r="J620" s="200"/>
    </row>
    <row r="621">
      <c r="B621" s="160"/>
      <c r="G621" s="41"/>
      <c r="J621" s="200"/>
    </row>
    <row r="622">
      <c r="B622" s="160"/>
      <c r="G622" s="41"/>
      <c r="J622" s="200"/>
    </row>
    <row r="623">
      <c r="B623" s="160"/>
      <c r="G623" s="41"/>
      <c r="J623" s="200"/>
    </row>
    <row r="624">
      <c r="B624" s="160"/>
      <c r="G624" s="41"/>
      <c r="J624" s="200"/>
    </row>
    <row r="625">
      <c r="B625" s="160"/>
      <c r="G625" s="41"/>
      <c r="J625" s="200"/>
    </row>
    <row r="626">
      <c r="B626" s="160"/>
      <c r="G626" s="41"/>
      <c r="J626" s="200"/>
    </row>
    <row r="627">
      <c r="B627" s="160"/>
      <c r="G627" s="41"/>
      <c r="J627" s="200"/>
    </row>
    <row r="628">
      <c r="B628" s="160"/>
      <c r="G628" s="41"/>
      <c r="J628" s="200"/>
    </row>
    <row r="629">
      <c r="B629" s="160"/>
      <c r="G629" s="41"/>
      <c r="J629" s="200"/>
    </row>
    <row r="630">
      <c r="B630" s="160"/>
      <c r="G630" s="41"/>
      <c r="J630" s="200"/>
    </row>
    <row r="631">
      <c r="B631" s="160"/>
      <c r="G631" s="41"/>
      <c r="J631" s="200"/>
    </row>
    <row r="632">
      <c r="B632" s="160"/>
      <c r="G632" s="41"/>
      <c r="J632" s="200"/>
    </row>
    <row r="633">
      <c r="B633" s="160"/>
      <c r="G633" s="41"/>
      <c r="J633" s="200"/>
    </row>
    <row r="634">
      <c r="B634" s="160"/>
      <c r="G634" s="41"/>
      <c r="J634" s="200"/>
    </row>
    <row r="635">
      <c r="B635" s="160"/>
      <c r="G635" s="41"/>
      <c r="J635" s="200"/>
    </row>
    <row r="636">
      <c r="B636" s="160"/>
      <c r="G636" s="41"/>
      <c r="J636" s="200"/>
    </row>
    <row r="637">
      <c r="B637" s="160"/>
      <c r="G637" s="41"/>
      <c r="J637" s="200"/>
    </row>
    <row r="638">
      <c r="B638" s="160"/>
      <c r="G638" s="41"/>
      <c r="J638" s="200"/>
    </row>
    <row r="639">
      <c r="B639" s="160"/>
      <c r="G639" s="41"/>
      <c r="J639" s="200"/>
    </row>
    <row r="640">
      <c r="B640" s="160"/>
      <c r="G640" s="41"/>
      <c r="J640" s="200"/>
    </row>
    <row r="641">
      <c r="B641" s="160"/>
      <c r="G641" s="41"/>
      <c r="J641" s="200"/>
    </row>
    <row r="642">
      <c r="B642" s="160"/>
      <c r="G642" s="41"/>
      <c r="J642" s="200"/>
    </row>
    <row r="643">
      <c r="B643" s="160"/>
      <c r="G643" s="41"/>
      <c r="J643" s="200"/>
    </row>
    <row r="644">
      <c r="B644" s="160"/>
      <c r="G644" s="41"/>
      <c r="J644" s="200"/>
    </row>
    <row r="645">
      <c r="B645" s="160"/>
      <c r="G645" s="41"/>
      <c r="J645" s="200"/>
    </row>
    <row r="646">
      <c r="B646" s="160"/>
      <c r="G646" s="41"/>
      <c r="J646" s="200"/>
    </row>
    <row r="647">
      <c r="B647" s="160"/>
      <c r="G647" s="41"/>
      <c r="J647" s="200"/>
    </row>
    <row r="648">
      <c r="B648" s="160"/>
      <c r="G648" s="41"/>
      <c r="J648" s="200"/>
    </row>
    <row r="649">
      <c r="B649" s="160"/>
      <c r="G649" s="41"/>
      <c r="J649" s="200"/>
    </row>
    <row r="650">
      <c r="B650" s="160"/>
      <c r="G650" s="41"/>
      <c r="J650" s="200"/>
    </row>
    <row r="651">
      <c r="B651" s="160"/>
      <c r="G651" s="41"/>
      <c r="J651" s="200"/>
    </row>
    <row r="652">
      <c r="B652" s="160"/>
      <c r="G652" s="41"/>
      <c r="J652" s="200"/>
    </row>
    <row r="653">
      <c r="B653" s="160"/>
      <c r="G653" s="41"/>
      <c r="J653" s="200"/>
    </row>
    <row r="654">
      <c r="B654" s="160"/>
      <c r="G654" s="41"/>
      <c r="J654" s="200"/>
    </row>
    <row r="655">
      <c r="B655" s="160"/>
      <c r="G655" s="41"/>
      <c r="J655" s="200"/>
    </row>
    <row r="656">
      <c r="B656" s="160"/>
      <c r="G656" s="41"/>
      <c r="J656" s="200"/>
    </row>
    <row r="657">
      <c r="B657" s="160"/>
      <c r="G657" s="41"/>
      <c r="J657" s="200"/>
    </row>
    <row r="658">
      <c r="B658" s="160"/>
      <c r="G658" s="41"/>
      <c r="J658" s="200"/>
    </row>
    <row r="659">
      <c r="B659" s="160"/>
      <c r="G659" s="41"/>
      <c r="J659" s="200"/>
    </row>
    <row r="660">
      <c r="B660" s="160"/>
      <c r="G660" s="41"/>
      <c r="J660" s="200"/>
    </row>
    <row r="661">
      <c r="B661" s="160"/>
      <c r="G661" s="41"/>
      <c r="J661" s="200"/>
    </row>
    <row r="662">
      <c r="B662" s="160"/>
      <c r="G662" s="41"/>
      <c r="J662" s="200"/>
    </row>
    <row r="663">
      <c r="B663" s="160"/>
      <c r="G663" s="41"/>
      <c r="J663" s="200"/>
    </row>
    <row r="664">
      <c r="B664" s="160"/>
      <c r="G664" s="41"/>
      <c r="J664" s="200"/>
    </row>
    <row r="665">
      <c r="B665" s="160"/>
      <c r="G665" s="41"/>
      <c r="J665" s="200"/>
    </row>
    <row r="666">
      <c r="B666" s="160"/>
      <c r="G666" s="41"/>
      <c r="J666" s="200"/>
    </row>
    <row r="667">
      <c r="B667" s="160"/>
      <c r="G667" s="41"/>
      <c r="J667" s="200"/>
    </row>
    <row r="668">
      <c r="B668" s="160"/>
      <c r="G668" s="41"/>
      <c r="J668" s="200"/>
    </row>
    <row r="669">
      <c r="B669" s="160"/>
      <c r="G669" s="41"/>
      <c r="J669" s="200"/>
    </row>
    <row r="670">
      <c r="B670" s="160"/>
      <c r="G670" s="41"/>
      <c r="J670" s="200"/>
    </row>
    <row r="671">
      <c r="B671" s="160"/>
      <c r="G671" s="41"/>
      <c r="J671" s="200"/>
    </row>
    <row r="672">
      <c r="B672" s="160"/>
      <c r="G672" s="41"/>
      <c r="J672" s="200"/>
    </row>
    <row r="673">
      <c r="B673" s="160"/>
      <c r="G673" s="41"/>
      <c r="J673" s="200"/>
    </row>
    <row r="674">
      <c r="B674" s="160"/>
      <c r="G674" s="41"/>
      <c r="J674" s="200"/>
    </row>
    <row r="675">
      <c r="B675" s="160"/>
      <c r="G675" s="41"/>
      <c r="J675" s="200"/>
    </row>
    <row r="676">
      <c r="B676" s="160"/>
      <c r="G676" s="41"/>
      <c r="J676" s="200"/>
    </row>
    <row r="677">
      <c r="B677" s="160"/>
      <c r="G677" s="41"/>
      <c r="J677" s="200"/>
    </row>
    <row r="678">
      <c r="B678" s="160"/>
      <c r="G678" s="41"/>
      <c r="J678" s="200"/>
    </row>
    <row r="679">
      <c r="B679" s="160"/>
      <c r="G679" s="41"/>
      <c r="J679" s="200"/>
    </row>
    <row r="680">
      <c r="B680" s="160"/>
      <c r="G680" s="41"/>
      <c r="J680" s="200"/>
    </row>
    <row r="681">
      <c r="B681" s="160"/>
      <c r="G681" s="41"/>
      <c r="J681" s="200"/>
    </row>
    <row r="682">
      <c r="B682" s="160"/>
      <c r="G682" s="41"/>
      <c r="J682" s="200"/>
    </row>
    <row r="683">
      <c r="B683" s="160"/>
      <c r="G683" s="41"/>
      <c r="J683" s="200"/>
    </row>
    <row r="684">
      <c r="B684" s="160"/>
      <c r="G684" s="41"/>
      <c r="J684" s="200"/>
    </row>
    <row r="685">
      <c r="B685" s="160"/>
      <c r="G685" s="41"/>
      <c r="J685" s="200"/>
    </row>
    <row r="686">
      <c r="B686" s="160"/>
      <c r="G686" s="41"/>
      <c r="J686" s="200"/>
    </row>
    <row r="687">
      <c r="B687" s="160"/>
      <c r="G687" s="41"/>
      <c r="J687" s="200"/>
    </row>
    <row r="688">
      <c r="B688" s="160"/>
      <c r="G688" s="41"/>
      <c r="J688" s="200"/>
    </row>
    <row r="689">
      <c r="B689" s="160"/>
      <c r="G689" s="41"/>
      <c r="J689" s="200"/>
    </row>
    <row r="690">
      <c r="B690" s="160"/>
      <c r="G690" s="41"/>
      <c r="J690" s="200"/>
    </row>
    <row r="691">
      <c r="B691" s="160"/>
      <c r="G691" s="41"/>
      <c r="J691" s="200"/>
    </row>
    <row r="692">
      <c r="B692" s="160"/>
      <c r="G692" s="41"/>
      <c r="J692" s="200"/>
    </row>
    <row r="693">
      <c r="B693" s="160"/>
      <c r="G693" s="41"/>
      <c r="J693" s="200"/>
    </row>
    <row r="694">
      <c r="B694" s="160"/>
      <c r="G694" s="41"/>
      <c r="J694" s="200"/>
    </row>
    <row r="695">
      <c r="B695" s="160"/>
      <c r="G695" s="41"/>
      <c r="J695" s="200"/>
    </row>
    <row r="696">
      <c r="B696" s="160"/>
      <c r="G696" s="41"/>
      <c r="J696" s="200"/>
    </row>
    <row r="697">
      <c r="B697" s="160"/>
      <c r="G697" s="41"/>
      <c r="J697" s="200"/>
    </row>
    <row r="698">
      <c r="B698" s="160"/>
      <c r="G698" s="41"/>
      <c r="J698" s="200"/>
    </row>
    <row r="699">
      <c r="B699" s="160"/>
      <c r="G699" s="41"/>
      <c r="J699" s="200"/>
    </row>
    <row r="700">
      <c r="B700" s="160"/>
      <c r="G700" s="41"/>
      <c r="J700" s="200"/>
    </row>
    <row r="701">
      <c r="B701" s="160"/>
      <c r="G701" s="41"/>
      <c r="J701" s="200"/>
    </row>
    <row r="702">
      <c r="B702" s="160"/>
      <c r="G702" s="41"/>
      <c r="J702" s="200"/>
    </row>
    <row r="703">
      <c r="B703" s="160"/>
      <c r="G703" s="41"/>
      <c r="J703" s="200"/>
    </row>
    <row r="704">
      <c r="B704" s="160"/>
      <c r="G704" s="41"/>
      <c r="J704" s="200"/>
    </row>
    <row r="705">
      <c r="B705" s="160"/>
      <c r="G705" s="41"/>
      <c r="J705" s="200"/>
    </row>
    <row r="706">
      <c r="B706" s="160"/>
      <c r="G706" s="41"/>
      <c r="J706" s="200"/>
    </row>
    <row r="707">
      <c r="B707" s="160"/>
      <c r="G707" s="41"/>
      <c r="J707" s="200"/>
    </row>
    <row r="708">
      <c r="B708" s="160"/>
      <c r="G708" s="41"/>
      <c r="J708" s="200"/>
    </row>
    <row r="709">
      <c r="B709" s="160"/>
      <c r="G709" s="41"/>
      <c r="J709" s="200"/>
    </row>
    <row r="710">
      <c r="B710" s="160"/>
      <c r="G710" s="41"/>
      <c r="J710" s="200"/>
    </row>
    <row r="711">
      <c r="B711" s="160"/>
      <c r="G711" s="41"/>
      <c r="J711" s="200"/>
    </row>
    <row r="712">
      <c r="B712" s="160"/>
      <c r="G712" s="41"/>
      <c r="J712" s="200"/>
    </row>
    <row r="713">
      <c r="B713" s="160"/>
      <c r="G713" s="41"/>
      <c r="J713" s="200"/>
    </row>
    <row r="714">
      <c r="B714" s="160"/>
      <c r="G714" s="41"/>
      <c r="J714" s="200"/>
    </row>
    <row r="715">
      <c r="B715" s="160"/>
      <c r="G715" s="41"/>
      <c r="J715" s="200"/>
    </row>
    <row r="716">
      <c r="B716" s="160"/>
      <c r="G716" s="41"/>
      <c r="J716" s="200"/>
    </row>
    <row r="717">
      <c r="B717" s="160"/>
      <c r="G717" s="41"/>
      <c r="J717" s="200"/>
    </row>
    <row r="718">
      <c r="B718" s="160"/>
      <c r="G718" s="41"/>
      <c r="J718" s="200"/>
    </row>
    <row r="719">
      <c r="B719" s="160"/>
      <c r="G719" s="41"/>
      <c r="J719" s="200"/>
    </row>
    <row r="720">
      <c r="B720" s="160"/>
      <c r="G720" s="41"/>
      <c r="J720" s="200"/>
    </row>
    <row r="721">
      <c r="B721" s="160"/>
      <c r="G721" s="41"/>
      <c r="J721" s="200"/>
    </row>
    <row r="722">
      <c r="B722" s="160"/>
      <c r="G722" s="41"/>
      <c r="J722" s="200"/>
    </row>
    <row r="723">
      <c r="B723" s="160"/>
      <c r="G723" s="41"/>
      <c r="J723" s="200"/>
    </row>
    <row r="724">
      <c r="B724" s="160"/>
      <c r="G724" s="41"/>
      <c r="J724" s="200"/>
    </row>
    <row r="725">
      <c r="B725" s="160"/>
      <c r="G725" s="41"/>
      <c r="J725" s="200"/>
    </row>
    <row r="726">
      <c r="B726" s="160"/>
      <c r="G726" s="41"/>
      <c r="J726" s="200"/>
    </row>
    <row r="727">
      <c r="B727" s="160"/>
      <c r="G727" s="41"/>
      <c r="J727" s="200"/>
    </row>
    <row r="728">
      <c r="B728" s="160"/>
      <c r="G728" s="41"/>
      <c r="J728" s="200"/>
    </row>
    <row r="729">
      <c r="B729" s="160"/>
      <c r="G729" s="41"/>
      <c r="J729" s="200"/>
    </row>
    <row r="730">
      <c r="B730" s="160"/>
      <c r="G730" s="41"/>
      <c r="J730" s="200"/>
    </row>
    <row r="731">
      <c r="B731" s="160"/>
      <c r="G731" s="41"/>
      <c r="J731" s="200"/>
    </row>
    <row r="732">
      <c r="B732" s="160"/>
      <c r="G732" s="41"/>
      <c r="J732" s="200"/>
    </row>
    <row r="733">
      <c r="B733" s="160"/>
      <c r="G733" s="41"/>
      <c r="J733" s="200"/>
    </row>
    <row r="734">
      <c r="B734" s="160"/>
      <c r="G734" s="41"/>
      <c r="J734" s="200"/>
    </row>
    <row r="735">
      <c r="B735" s="160"/>
      <c r="G735" s="41"/>
      <c r="J735" s="200"/>
    </row>
    <row r="736">
      <c r="B736" s="160"/>
      <c r="G736" s="41"/>
      <c r="J736" s="200"/>
    </row>
    <row r="737">
      <c r="B737" s="160"/>
      <c r="G737" s="41"/>
      <c r="J737" s="200"/>
    </row>
    <row r="738">
      <c r="B738" s="160"/>
      <c r="G738" s="41"/>
      <c r="J738" s="200"/>
    </row>
    <row r="739">
      <c r="B739" s="160"/>
      <c r="G739" s="41"/>
      <c r="J739" s="200"/>
    </row>
    <row r="740">
      <c r="B740" s="160"/>
      <c r="G740" s="41"/>
      <c r="J740" s="200"/>
    </row>
    <row r="741">
      <c r="B741" s="160"/>
      <c r="G741" s="41"/>
      <c r="J741" s="200"/>
    </row>
    <row r="742">
      <c r="B742" s="160"/>
      <c r="G742" s="41"/>
      <c r="J742" s="200"/>
    </row>
    <row r="743">
      <c r="B743" s="160"/>
      <c r="G743" s="41"/>
      <c r="J743" s="200"/>
    </row>
    <row r="744">
      <c r="B744" s="160"/>
      <c r="G744" s="41"/>
      <c r="J744" s="200"/>
    </row>
    <row r="745">
      <c r="B745" s="160"/>
      <c r="G745" s="41"/>
      <c r="J745" s="200"/>
    </row>
    <row r="746">
      <c r="B746" s="160"/>
      <c r="G746" s="41"/>
      <c r="J746" s="200"/>
    </row>
    <row r="747">
      <c r="B747" s="160"/>
      <c r="G747" s="41"/>
      <c r="J747" s="200"/>
    </row>
    <row r="748">
      <c r="B748" s="160"/>
      <c r="G748" s="41"/>
      <c r="J748" s="200"/>
    </row>
    <row r="749">
      <c r="B749" s="160"/>
      <c r="G749" s="41"/>
      <c r="J749" s="200"/>
    </row>
    <row r="750">
      <c r="B750" s="160"/>
      <c r="G750" s="41"/>
      <c r="J750" s="200"/>
    </row>
    <row r="751">
      <c r="B751" s="160"/>
      <c r="G751" s="41"/>
      <c r="J751" s="200"/>
    </row>
    <row r="752">
      <c r="B752" s="160"/>
      <c r="G752" s="41"/>
      <c r="J752" s="200"/>
    </row>
    <row r="753">
      <c r="B753" s="160"/>
      <c r="G753" s="41"/>
      <c r="J753" s="200"/>
    </row>
    <row r="754">
      <c r="B754" s="160"/>
      <c r="G754" s="41"/>
      <c r="J754" s="200"/>
    </row>
    <row r="755">
      <c r="B755" s="160"/>
      <c r="G755" s="41"/>
      <c r="J755" s="200"/>
    </row>
    <row r="756">
      <c r="B756" s="160"/>
      <c r="G756" s="41"/>
      <c r="J756" s="200"/>
    </row>
    <row r="757">
      <c r="B757" s="160"/>
      <c r="G757" s="41"/>
      <c r="J757" s="200"/>
    </row>
    <row r="758">
      <c r="B758" s="160"/>
      <c r="G758" s="41"/>
      <c r="J758" s="200"/>
    </row>
    <row r="759">
      <c r="B759" s="160"/>
      <c r="G759" s="41"/>
      <c r="J759" s="200"/>
    </row>
    <row r="760">
      <c r="B760" s="160"/>
      <c r="G760" s="41"/>
      <c r="J760" s="200"/>
    </row>
    <row r="761">
      <c r="B761" s="160"/>
      <c r="G761" s="41"/>
      <c r="J761" s="200"/>
    </row>
    <row r="762">
      <c r="B762" s="160"/>
      <c r="G762" s="41"/>
      <c r="J762" s="200"/>
    </row>
    <row r="763">
      <c r="B763" s="160"/>
      <c r="G763" s="41"/>
      <c r="J763" s="200"/>
    </row>
    <row r="764">
      <c r="B764" s="160"/>
      <c r="G764" s="41"/>
      <c r="J764" s="200"/>
    </row>
    <row r="765">
      <c r="B765" s="160"/>
      <c r="G765" s="41"/>
      <c r="J765" s="200"/>
    </row>
    <row r="766">
      <c r="B766" s="160"/>
      <c r="G766" s="41"/>
      <c r="J766" s="200"/>
    </row>
    <row r="767">
      <c r="B767" s="160"/>
      <c r="G767" s="41"/>
      <c r="J767" s="200"/>
    </row>
    <row r="768">
      <c r="B768" s="160"/>
      <c r="G768" s="41"/>
      <c r="J768" s="200"/>
    </row>
    <row r="769">
      <c r="B769" s="160"/>
      <c r="G769" s="41"/>
      <c r="J769" s="200"/>
    </row>
    <row r="770">
      <c r="B770" s="160"/>
      <c r="G770" s="41"/>
      <c r="J770" s="200"/>
    </row>
    <row r="771">
      <c r="B771" s="160"/>
      <c r="G771" s="41"/>
      <c r="J771" s="200"/>
    </row>
    <row r="772">
      <c r="B772" s="160"/>
      <c r="G772" s="41"/>
      <c r="J772" s="200"/>
    </row>
    <row r="773">
      <c r="B773" s="160"/>
      <c r="G773" s="41"/>
      <c r="J773" s="200"/>
    </row>
    <row r="774">
      <c r="B774" s="160"/>
      <c r="G774" s="41"/>
      <c r="J774" s="200"/>
    </row>
    <row r="775">
      <c r="B775" s="160"/>
      <c r="G775" s="41"/>
      <c r="J775" s="200"/>
    </row>
    <row r="776">
      <c r="B776" s="160"/>
      <c r="G776" s="41"/>
      <c r="J776" s="200"/>
    </row>
    <row r="777">
      <c r="B777" s="160"/>
      <c r="G777" s="41"/>
      <c r="J777" s="200"/>
    </row>
    <row r="778">
      <c r="B778" s="160"/>
      <c r="G778" s="41"/>
      <c r="J778" s="200"/>
    </row>
    <row r="779">
      <c r="B779" s="160"/>
      <c r="G779" s="41"/>
      <c r="J779" s="200"/>
    </row>
    <row r="780">
      <c r="B780" s="160"/>
      <c r="G780" s="41"/>
      <c r="J780" s="200"/>
    </row>
    <row r="781">
      <c r="B781" s="160"/>
      <c r="G781" s="41"/>
      <c r="J781" s="200"/>
    </row>
    <row r="782">
      <c r="B782" s="160"/>
      <c r="G782" s="41"/>
      <c r="J782" s="200"/>
    </row>
    <row r="783">
      <c r="B783" s="160"/>
      <c r="G783" s="41"/>
      <c r="J783" s="200"/>
    </row>
    <row r="784">
      <c r="B784" s="160"/>
      <c r="G784" s="41"/>
      <c r="J784" s="200"/>
    </row>
    <row r="785">
      <c r="B785" s="160"/>
      <c r="G785" s="41"/>
      <c r="J785" s="200"/>
    </row>
    <row r="786">
      <c r="B786" s="160"/>
      <c r="G786" s="41"/>
      <c r="J786" s="200"/>
    </row>
    <row r="787">
      <c r="B787" s="160"/>
      <c r="G787" s="41"/>
      <c r="J787" s="200"/>
    </row>
    <row r="788">
      <c r="B788" s="160"/>
      <c r="G788" s="41"/>
      <c r="J788" s="200"/>
    </row>
    <row r="789">
      <c r="B789" s="160"/>
      <c r="G789" s="41"/>
      <c r="J789" s="200"/>
    </row>
    <row r="790">
      <c r="B790" s="160"/>
      <c r="G790" s="41"/>
      <c r="J790" s="200"/>
    </row>
    <row r="791">
      <c r="B791" s="160"/>
      <c r="G791" s="41"/>
      <c r="J791" s="200"/>
    </row>
    <row r="792">
      <c r="B792" s="160"/>
      <c r="G792" s="41"/>
      <c r="J792" s="200"/>
    </row>
    <row r="793">
      <c r="B793" s="160"/>
      <c r="G793" s="41"/>
      <c r="J793" s="200"/>
    </row>
    <row r="794">
      <c r="B794" s="160"/>
      <c r="G794" s="41"/>
      <c r="J794" s="200"/>
    </row>
    <row r="795">
      <c r="B795" s="160"/>
      <c r="G795" s="41"/>
      <c r="J795" s="200"/>
    </row>
    <row r="796">
      <c r="B796" s="160"/>
      <c r="G796" s="41"/>
      <c r="J796" s="200"/>
    </row>
    <row r="797">
      <c r="B797" s="160"/>
      <c r="G797" s="41"/>
      <c r="J797" s="200"/>
    </row>
    <row r="798">
      <c r="B798" s="160"/>
      <c r="G798" s="41"/>
      <c r="J798" s="200"/>
    </row>
    <row r="799">
      <c r="B799" s="160"/>
      <c r="G799" s="41"/>
      <c r="J799" s="200"/>
    </row>
    <row r="800">
      <c r="B800" s="160"/>
      <c r="G800" s="41"/>
      <c r="J800" s="200"/>
    </row>
    <row r="801">
      <c r="B801" s="160"/>
      <c r="G801" s="41"/>
      <c r="J801" s="200"/>
    </row>
    <row r="802">
      <c r="B802" s="160"/>
      <c r="G802" s="41"/>
      <c r="J802" s="200"/>
    </row>
    <row r="803">
      <c r="B803" s="160"/>
      <c r="G803" s="41"/>
      <c r="J803" s="200"/>
    </row>
    <row r="804">
      <c r="B804" s="160"/>
      <c r="G804" s="41"/>
      <c r="J804" s="200"/>
    </row>
    <row r="805">
      <c r="B805" s="160"/>
      <c r="G805" s="41"/>
      <c r="J805" s="200"/>
    </row>
    <row r="806">
      <c r="B806" s="160"/>
      <c r="G806" s="41"/>
      <c r="J806" s="200"/>
    </row>
    <row r="807">
      <c r="B807" s="160"/>
      <c r="G807" s="41"/>
      <c r="J807" s="200"/>
    </row>
    <row r="808">
      <c r="B808" s="160"/>
      <c r="G808" s="41"/>
      <c r="J808" s="200"/>
    </row>
    <row r="809">
      <c r="B809" s="160"/>
      <c r="G809" s="41"/>
      <c r="J809" s="200"/>
    </row>
    <row r="810">
      <c r="B810" s="160"/>
      <c r="G810" s="41"/>
      <c r="J810" s="200"/>
    </row>
    <row r="811">
      <c r="B811" s="160"/>
      <c r="G811" s="41"/>
      <c r="J811" s="200"/>
    </row>
    <row r="812">
      <c r="B812" s="160"/>
      <c r="G812" s="41"/>
      <c r="J812" s="200"/>
    </row>
    <row r="813">
      <c r="B813" s="160"/>
      <c r="G813" s="41"/>
      <c r="J813" s="200"/>
    </row>
    <row r="814">
      <c r="B814" s="160"/>
      <c r="G814" s="41"/>
      <c r="J814" s="200"/>
    </row>
    <row r="815">
      <c r="B815" s="160"/>
      <c r="G815" s="41"/>
      <c r="J815" s="200"/>
    </row>
    <row r="816">
      <c r="B816" s="160"/>
      <c r="G816" s="41"/>
      <c r="J816" s="200"/>
    </row>
    <row r="817">
      <c r="B817" s="160"/>
      <c r="G817" s="41"/>
      <c r="J817" s="200"/>
    </row>
    <row r="818">
      <c r="B818" s="160"/>
      <c r="G818" s="41"/>
      <c r="J818" s="200"/>
    </row>
    <row r="819">
      <c r="B819" s="160"/>
      <c r="G819" s="41"/>
      <c r="J819" s="200"/>
    </row>
    <row r="820">
      <c r="B820" s="160"/>
      <c r="G820" s="41"/>
      <c r="J820" s="200"/>
    </row>
    <row r="821">
      <c r="B821" s="160"/>
      <c r="G821" s="41"/>
      <c r="J821" s="200"/>
    </row>
    <row r="822">
      <c r="B822" s="160"/>
      <c r="G822" s="41"/>
      <c r="J822" s="200"/>
    </row>
    <row r="823">
      <c r="B823" s="160"/>
      <c r="G823" s="41"/>
      <c r="J823" s="200"/>
    </row>
    <row r="824">
      <c r="B824" s="160"/>
      <c r="G824" s="41"/>
      <c r="J824" s="200"/>
    </row>
    <row r="825">
      <c r="B825" s="160"/>
      <c r="G825" s="41"/>
      <c r="J825" s="200"/>
    </row>
    <row r="826">
      <c r="B826" s="160"/>
      <c r="G826" s="41"/>
      <c r="J826" s="200"/>
    </row>
    <row r="827">
      <c r="B827" s="160"/>
      <c r="G827" s="41"/>
      <c r="J827" s="200"/>
    </row>
    <row r="828">
      <c r="B828" s="160"/>
      <c r="G828" s="41"/>
      <c r="J828" s="200"/>
    </row>
    <row r="829">
      <c r="B829" s="160"/>
      <c r="G829" s="41"/>
      <c r="J829" s="200"/>
    </row>
    <row r="830">
      <c r="B830" s="160"/>
      <c r="G830" s="41"/>
      <c r="J830" s="200"/>
    </row>
    <row r="831">
      <c r="B831" s="160"/>
      <c r="G831" s="41"/>
      <c r="J831" s="200"/>
    </row>
    <row r="832">
      <c r="B832" s="160"/>
      <c r="G832" s="41"/>
      <c r="J832" s="200"/>
    </row>
    <row r="833">
      <c r="B833" s="160"/>
      <c r="G833" s="41"/>
      <c r="J833" s="200"/>
    </row>
    <row r="834">
      <c r="B834" s="160"/>
      <c r="G834" s="41"/>
      <c r="J834" s="200"/>
    </row>
    <row r="835">
      <c r="B835" s="160"/>
      <c r="G835" s="41"/>
      <c r="J835" s="200"/>
    </row>
    <row r="836">
      <c r="B836" s="160"/>
      <c r="G836" s="41"/>
      <c r="J836" s="200"/>
    </row>
    <row r="837">
      <c r="B837" s="160"/>
      <c r="G837" s="41"/>
      <c r="J837" s="200"/>
    </row>
    <row r="838">
      <c r="B838" s="160"/>
      <c r="G838" s="41"/>
      <c r="J838" s="200"/>
    </row>
    <row r="839">
      <c r="B839" s="160"/>
      <c r="G839" s="41"/>
      <c r="J839" s="200"/>
    </row>
    <row r="840">
      <c r="B840" s="160"/>
      <c r="G840" s="41"/>
      <c r="J840" s="200"/>
    </row>
    <row r="841">
      <c r="B841" s="160"/>
      <c r="G841" s="41"/>
      <c r="J841" s="200"/>
    </row>
    <row r="842">
      <c r="B842" s="160"/>
      <c r="G842" s="41"/>
      <c r="J842" s="200"/>
    </row>
    <row r="843">
      <c r="B843" s="160"/>
      <c r="G843" s="41"/>
      <c r="J843" s="200"/>
    </row>
    <row r="844">
      <c r="B844" s="160"/>
      <c r="G844" s="41"/>
      <c r="J844" s="200"/>
    </row>
    <row r="845">
      <c r="B845" s="160"/>
      <c r="G845" s="41"/>
      <c r="J845" s="200"/>
    </row>
    <row r="846">
      <c r="B846" s="160"/>
      <c r="G846" s="41"/>
      <c r="J846" s="200"/>
    </row>
    <row r="847">
      <c r="B847" s="160"/>
      <c r="G847" s="41"/>
      <c r="J847" s="200"/>
    </row>
    <row r="848">
      <c r="B848" s="160"/>
      <c r="G848" s="41"/>
      <c r="J848" s="200"/>
    </row>
    <row r="849">
      <c r="B849" s="160"/>
      <c r="G849" s="41"/>
      <c r="J849" s="200"/>
    </row>
    <row r="850">
      <c r="B850" s="160"/>
      <c r="G850" s="41"/>
      <c r="J850" s="200"/>
    </row>
    <row r="851">
      <c r="B851" s="160"/>
      <c r="G851" s="41"/>
      <c r="J851" s="200"/>
    </row>
    <row r="852">
      <c r="B852" s="160"/>
      <c r="G852" s="41"/>
      <c r="J852" s="200"/>
    </row>
    <row r="853">
      <c r="B853" s="160"/>
      <c r="G853" s="41"/>
      <c r="J853" s="200"/>
    </row>
    <row r="854">
      <c r="B854" s="160"/>
      <c r="G854" s="41"/>
      <c r="J854" s="200"/>
    </row>
    <row r="855">
      <c r="B855" s="160"/>
      <c r="G855" s="41"/>
      <c r="J855" s="200"/>
    </row>
    <row r="856">
      <c r="B856" s="160"/>
      <c r="G856" s="41"/>
      <c r="J856" s="200"/>
    </row>
    <row r="857">
      <c r="B857" s="160"/>
      <c r="G857" s="41"/>
      <c r="J857" s="200"/>
    </row>
    <row r="858">
      <c r="B858" s="160"/>
      <c r="G858" s="41"/>
      <c r="J858" s="200"/>
    </row>
    <row r="859">
      <c r="B859" s="160"/>
      <c r="G859" s="41"/>
      <c r="J859" s="200"/>
    </row>
    <row r="860">
      <c r="B860" s="160"/>
      <c r="G860" s="41"/>
      <c r="J860" s="200"/>
    </row>
    <row r="861">
      <c r="B861" s="160"/>
      <c r="G861" s="41"/>
      <c r="J861" s="200"/>
    </row>
    <row r="862">
      <c r="B862" s="160"/>
      <c r="G862" s="41"/>
      <c r="J862" s="200"/>
    </row>
    <row r="863">
      <c r="B863" s="160"/>
      <c r="G863" s="41"/>
      <c r="J863" s="200"/>
    </row>
    <row r="864">
      <c r="B864" s="160"/>
      <c r="G864" s="41"/>
      <c r="J864" s="200"/>
    </row>
    <row r="865">
      <c r="B865" s="160"/>
      <c r="G865" s="41"/>
      <c r="J865" s="200"/>
    </row>
    <row r="866">
      <c r="B866" s="160"/>
      <c r="G866" s="41"/>
      <c r="J866" s="200"/>
    </row>
    <row r="867">
      <c r="B867" s="160"/>
      <c r="G867" s="41"/>
      <c r="J867" s="200"/>
    </row>
    <row r="868">
      <c r="B868" s="160"/>
      <c r="G868" s="41"/>
      <c r="J868" s="200"/>
    </row>
    <row r="869">
      <c r="B869" s="160"/>
      <c r="G869" s="41"/>
      <c r="J869" s="200"/>
    </row>
    <row r="870">
      <c r="B870" s="160"/>
      <c r="G870" s="41"/>
      <c r="J870" s="200"/>
    </row>
    <row r="871">
      <c r="B871" s="160"/>
      <c r="G871" s="41"/>
      <c r="J871" s="200"/>
    </row>
    <row r="872">
      <c r="B872" s="160"/>
      <c r="G872" s="41"/>
      <c r="J872" s="200"/>
    </row>
    <row r="873">
      <c r="B873" s="160"/>
      <c r="G873" s="41"/>
      <c r="J873" s="200"/>
    </row>
    <row r="874">
      <c r="B874" s="160"/>
      <c r="G874" s="41"/>
      <c r="J874" s="200"/>
    </row>
    <row r="875">
      <c r="B875" s="160"/>
      <c r="G875" s="41"/>
      <c r="J875" s="200"/>
    </row>
    <row r="876">
      <c r="B876" s="160"/>
      <c r="G876" s="41"/>
      <c r="J876" s="200"/>
    </row>
    <row r="877">
      <c r="B877" s="160"/>
      <c r="G877" s="41"/>
      <c r="J877" s="200"/>
    </row>
    <row r="878">
      <c r="B878" s="160"/>
      <c r="G878" s="41"/>
      <c r="J878" s="200"/>
    </row>
    <row r="879">
      <c r="B879" s="160"/>
      <c r="G879" s="41"/>
      <c r="J879" s="200"/>
    </row>
    <row r="880">
      <c r="B880" s="160"/>
      <c r="G880" s="41"/>
      <c r="J880" s="200"/>
    </row>
    <row r="881">
      <c r="B881" s="160"/>
      <c r="G881" s="41"/>
      <c r="J881" s="200"/>
    </row>
    <row r="882">
      <c r="B882" s="160"/>
      <c r="G882" s="41"/>
      <c r="J882" s="200"/>
    </row>
    <row r="883">
      <c r="B883" s="160"/>
      <c r="G883" s="41"/>
      <c r="J883" s="200"/>
    </row>
    <row r="884">
      <c r="B884" s="160"/>
      <c r="G884" s="41"/>
      <c r="J884" s="200"/>
    </row>
    <row r="885">
      <c r="B885" s="160"/>
      <c r="G885" s="41"/>
      <c r="J885" s="200"/>
    </row>
    <row r="886">
      <c r="B886" s="160"/>
      <c r="G886" s="41"/>
      <c r="J886" s="200"/>
    </row>
    <row r="887">
      <c r="B887" s="160"/>
      <c r="G887" s="41"/>
      <c r="J887" s="200"/>
    </row>
    <row r="888">
      <c r="B888" s="160"/>
      <c r="G888" s="41"/>
      <c r="J888" s="200"/>
    </row>
    <row r="889">
      <c r="B889" s="160"/>
      <c r="G889" s="41"/>
      <c r="J889" s="200"/>
    </row>
    <row r="890">
      <c r="B890" s="160"/>
      <c r="G890" s="41"/>
      <c r="J890" s="200"/>
    </row>
    <row r="891">
      <c r="B891" s="160"/>
      <c r="G891" s="41"/>
      <c r="J891" s="200"/>
    </row>
    <row r="892">
      <c r="B892" s="160"/>
      <c r="G892" s="41"/>
      <c r="J892" s="200"/>
    </row>
    <row r="893">
      <c r="B893" s="160"/>
      <c r="G893" s="41"/>
      <c r="J893" s="200"/>
    </row>
    <row r="894">
      <c r="B894" s="160"/>
      <c r="G894" s="41"/>
      <c r="J894" s="200"/>
    </row>
    <row r="895">
      <c r="B895" s="160"/>
      <c r="G895" s="41"/>
      <c r="J895" s="200"/>
    </row>
    <row r="896">
      <c r="B896" s="160"/>
      <c r="G896" s="41"/>
      <c r="J896" s="200"/>
    </row>
    <row r="897">
      <c r="B897" s="160"/>
      <c r="G897" s="41"/>
      <c r="J897" s="200"/>
    </row>
    <row r="898">
      <c r="B898" s="160"/>
      <c r="G898" s="41"/>
      <c r="J898" s="200"/>
    </row>
    <row r="899">
      <c r="B899" s="160"/>
      <c r="G899" s="41"/>
      <c r="J899" s="200"/>
    </row>
    <row r="900">
      <c r="B900" s="160"/>
      <c r="G900" s="41"/>
      <c r="J900" s="200"/>
    </row>
    <row r="901">
      <c r="B901" s="160"/>
      <c r="G901" s="41"/>
      <c r="J901" s="200"/>
    </row>
    <row r="902">
      <c r="B902" s="160"/>
      <c r="G902" s="41"/>
      <c r="J902" s="200"/>
    </row>
    <row r="903">
      <c r="B903" s="160"/>
      <c r="G903" s="41"/>
      <c r="J903" s="200"/>
    </row>
    <row r="904">
      <c r="B904" s="160"/>
      <c r="G904" s="41"/>
      <c r="J904" s="200"/>
    </row>
    <row r="905">
      <c r="B905" s="160"/>
      <c r="G905" s="41"/>
      <c r="J905" s="200"/>
    </row>
    <row r="906">
      <c r="B906" s="160"/>
      <c r="G906" s="41"/>
      <c r="J906" s="200"/>
    </row>
    <row r="907">
      <c r="B907" s="160"/>
      <c r="G907" s="41"/>
      <c r="J907" s="200"/>
    </row>
    <row r="908">
      <c r="B908" s="160"/>
      <c r="G908" s="41"/>
      <c r="J908" s="200"/>
    </row>
    <row r="909">
      <c r="B909" s="160"/>
      <c r="G909" s="41"/>
      <c r="J909" s="200"/>
    </row>
    <row r="910">
      <c r="B910" s="160"/>
      <c r="G910" s="41"/>
      <c r="J910" s="200"/>
    </row>
    <row r="911">
      <c r="B911" s="160"/>
      <c r="G911" s="41"/>
      <c r="J911" s="200"/>
    </row>
    <row r="912">
      <c r="B912" s="160"/>
      <c r="G912" s="41"/>
      <c r="J912" s="200"/>
    </row>
    <row r="913">
      <c r="B913" s="160"/>
      <c r="G913" s="41"/>
      <c r="J913" s="200"/>
    </row>
    <row r="914">
      <c r="B914" s="160"/>
      <c r="G914" s="41"/>
      <c r="J914" s="200"/>
    </row>
    <row r="915">
      <c r="B915" s="160"/>
      <c r="G915" s="41"/>
      <c r="J915" s="200"/>
    </row>
    <row r="916">
      <c r="B916" s="160"/>
      <c r="G916" s="41"/>
      <c r="J916" s="200"/>
    </row>
    <row r="917">
      <c r="B917" s="160"/>
      <c r="G917" s="41"/>
      <c r="J917" s="200"/>
    </row>
    <row r="918">
      <c r="B918" s="160"/>
      <c r="G918" s="41"/>
      <c r="J918" s="200"/>
    </row>
    <row r="919">
      <c r="B919" s="160"/>
      <c r="G919" s="41"/>
      <c r="J919" s="200"/>
    </row>
    <row r="920">
      <c r="B920" s="160"/>
      <c r="G920" s="41"/>
      <c r="J920" s="200"/>
    </row>
    <row r="921">
      <c r="B921" s="160"/>
      <c r="G921" s="41"/>
      <c r="J921" s="200"/>
    </row>
    <row r="922">
      <c r="B922" s="160"/>
      <c r="G922" s="41"/>
      <c r="J922" s="200"/>
    </row>
    <row r="923">
      <c r="B923" s="160"/>
      <c r="G923" s="41"/>
      <c r="J923" s="200"/>
    </row>
    <row r="924">
      <c r="B924" s="160"/>
      <c r="G924" s="41"/>
      <c r="J924" s="200"/>
    </row>
    <row r="925">
      <c r="B925" s="160"/>
      <c r="G925" s="41"/>
      <c r="J925" s="200"/>
    </row>
    <row r="926">
      <c r="B926" s="160"/>
      <c r="G926" s="41"/>
      <c r="J926" s="200"/>
    </row>
    <row r="927">
      <c r="B927" s="160"/>
      <c r="G927" s="41"/>
      <c r="J927" s="200"/>
    </row>
    <row r="928">
      <c r="B928" s="160"/>
      <c r="G928" s="41"/>
      <c r="J928" s="200"/>
    </row>
    <row r="929">
      <c r="B929" s="160"/>
      <c r="G929" s="41"/>
      <c r="J929" s="200"/>
    </row>
    <row r="930">
      <c r="B930" s="160"/>
      <c r="G930" s="41"/>
      <c r="J930" s="200"/>
    </row>
    <row r="931">
      <c r="B931" s="160"/>
      <c r="G931" s="41"/>
      <c r="J931" s="200"/>
    </row>
    <row r="932">
      <c r="B932" s="160"/>
      <c r="G932" s="41"/>
      <c r="J932" s="200"/>
    </row>
    <row r="933">
      <c r="B933" s="160"/>
      <c r="G933" s="41"/>
      <c r="J933" s="200"/>
    </row>
    <row r="934">
      <c r="B934" s="160"/>
      <c r="G934" s="41"/>
      <c r="J934" s="200"/>
    </row>
    <row r="935">
      <c r="B935" s="160"/>
      <c r="G935" s="41"/>
      <c r="J935" s="200"/>
    </row>
    <row r="936">
      <c r="B936" s="160"/>
      <c r="G936" s="41"/>
      <c r="J936" s="200"/>
    </row>
    <row r="937">
      <c r="B937" s="160"/>
      <c r="G937" s="41"/>
      <c r="J937" s="200"/>
    </row>
    <row r="938">
      <c r="B938" s="160"/>
      <c r="G938" s="41"/>
      <c r="J938" s="200"/>
    </row>
    <row r="939">
      <c r="B939" s="160"/>
      <c r="G939" s="41"/>
      <c r="J939" s="200"/>
    </row>
    <row r="940">
      <c r="B940" s="160"/>
      <c r="G940" s="41"/>
      <c r="J940" s="200"/>
    </row>
    <row r="941">
      <c r="B941" s="160"/>
      <c r="G941" s="41"/>
      <c r="J941" s="200"/>
    </row>
    <row r="942">
      <c r="B942" s="160"/>
      <c r="G942" s="41"/>
      <c r="J942" s="200"/>
    </row>
    <row r="943">
      <c r="B943" s="160"/>
      <c r="G943" s="41"/>
      <c r="J943" s="200"/>
    </row>
    <row r="944">
      <c r="B944" s="160"/>
      <c r="G944" s="41"/>
      <c r="J944" s="200"/>
    </row>
    <row r="945">
      <c r="B945" s="160"/>
      <c r="G945" s="41"/>
      <c r="J945" s="200"/>
    </row>
    <row r="946">
      <c r="B946" s="160"/>
      <c r="G946" s="41"/>
      <c r="J946" s="200"/>
    </row>
    <row r="947">
      <c r="B947" s="160"/>
      <c r="G947" s="41"/>
      <c r="J947" s="200"/>
    </row>
    <row r="948">
      <c r="B948" s="160"/>
      <c r="G948" s="41"/>
      <c r="J948" s="200"/>
    </row>
    <row r="949">
      <c r="B949" s="160"/>
      <c r="G949" s="41"/>
      <c r="J949" s="200"/>
    </row>
    <row r="950">
      <c r="B950" s="160"/>
      <c r="G950" s="41"/>
      <c r="J950" s="200"/>
    </row>
    <row r="951">
      <c r="B951" s="160"/>
      <c r="G951" s="41"/>
      <c r="J951" s="200"/>
    </row>
    <row r="952">
      <c r="B952" s="160"/>
      <c r="G952" s="41"/>
      <c r="J952" s="200"/>
    </row>
    <row r="953">
      <c r="B953" s="160"/>
      <c r="G953" s="41"/>
      <c r="J953" s="200"/>
    </row>
    <row r="954">
      <c r="B954" s="160"/>
      <c r="G954" s="41"/>
      <c r="J954" s="200"/>
    </row>
    <row r="955">
      <c r="B955" s="160"/>
      <c r="G955" s="41"/>
      <c r="J955" s="200"/>
    </row>
    <row r="956">
      <c r="B956" s="160"/>
      <c r="G956" s="41"/>
      <c r="J956" s="200"/>
    </row>
    <row r="957">
      <c r="B957" s="160"/>
      <c r="G957" s="41"/>
      <c r="J957" s="200"/>
    </row>
    <row r="958">
      <c r="B958" s="160"/>
      <c r="G958" s="41"/>
      <c r="J958" s="200"/>
    </row>
    <row r="959">
      <c r="B959" s="160"/>
      <c r="G959" s="41"/>
      <c r="J959" s="200"/>
    </row>
    <row r="960">
      <c r="B960" s="160"/>
      <c r="G960" s="41"/>
      <c r="J960" s="200"/>
    </row>
    <row r="961">
      <c r="B961" s="160"/>
      <c r="G961" s="41"/>
      <c r="J961" s="200"/>
    </row>
    <row r="962">
      <c r="B962" s="160"/>
      <c r="G962" s="41"/>
      <c r="J962" s="200"/>
    </row>
    <row r="963">
      <c r="B963" s="160"/>
      <c r="G963" s="41"/>
      <c r="J963" s="200"/>
    </row>
    <row r="964">
      <c r="B964" s="160"/>
      <c r="G964" s="41"/>
      <c r="J964" s="200"/>
    </row>
    <row r="965">
      <c r="B965" s="160"/>
      <c r="G965" s="41"/>
      <c r="J965" s="200"/>
    </row>
    <row r="966">
      <c r="B966" s="160"/>
      <c r="G966" s="41"/>
      <c r="J966" s="200"/>
    </row>
    <row r="967">
      <c r="B967" s="160"/>
      <c r="G967" s="41"/>
      <c r="J967" s="200"/>
    </row>
    <row r="968">
      <c r="B968" s="160"/>
      <c r="G968" s="41"/>
      <c r="J968" s="200"/>
    </row>
    <row r="969">
      <c r="B969" s="160"/>
      <c r="G969" s="41"/>
      <c r="J969" s="200"/>
    </row>
    <row r="970">
      <c r="B970" s="160"/>
      <c r="G970" s="41"/>
      <c r="J970" s="200"/>
    </row>
    <row r="971">
      <c r="B971" s="160"/>
      <c r="G971" s="41"/>
      <c r="J971" s="200"/>
    </row>
    <row r="972">
      <c r="B972" s="160"/>
      <c r="G972" s="41"/>
      <c r="J972" s="200"/>
    </row>
    <row r="973">
      <c r="B973" s="160"/>
      <c r="G973" s="41"/>
      <c r="J973" s="200"/>
    </row>
    <row r="974">
      <c r="B974" s="160"/>
      <c r="G974" s="41"/>
      <c r="J974" s="200"/>
    </row>
    <row r="975">
      <c r="B975" s="160"/>
      <c r="G975" s="41"/>
      <c r="J975" s="200"/>
    </row>
    <row r="976">
      <c r="B976" s="160"/>
      <c r="G976" s="41"/>
      <c r="J976" s="200"/>
    </row>
    <row r="977">
      <c r="B977" s="160"/>
      <c r="G977" s="41"/>
      <c r="J977" s="200"/>
    </row>
    <row r="978">
      <c r="B978" s="160"/>
      <c r="G978" s="41"/>
      <c r="J978" s="200"/>
    </row>
    <row r="979">
      <c r="B979" s="160"/>
      <c r="G979" s="41"/>
      <c r="J979" s="200"/>
    </row>
    <row r="980">
      <c r="B980" s="160"/>
      <c r="G980" s="41"/>
      <c r="J980" s="200"/>
    </row>
    <row r="981">
      <c r="B981" s="160"/>
      <c r="G981" s="41"/>
      <c r="J981" s="200"/>
    </row>
    <row r="982">
      <c r="B982" s="160"/>
      <c r="G982" s="41"/>
      <c r="J982" s="200"/>
    </row>
    <row r="983">
      <c r="B983" s="160"/>
      <c r="G983" s="41"/>
      <c r="J983" s="200"/>
    </row>
    <row r="984">
      <c r="B984" s="160"/>
      <c r="G984" s="41"/>
      <c r="J984" s="200"/>
    </row>
    <row r="985">
      <c r="B985" s="160"/>
      <c r="G985" s="41"/>
      <c r="J985" s="200"/>
    </row>
    <row r="986">
      <c r="B986" s="160"/>
      <c r="G986" s="41"/>
      <c r="J986" s="200"/>
    </row>
    <row r="987">
      <c r="B987" s="160"/>
      <c r="G987" s="41"/>
      <c r="J987" s="200"/>
    </row>
    <row r="988">
      <c r="B988" s="160"/>
      <c r="G988" s="41"/>
      <c r="J988" s="200"/>
    </row>
    <row r="989">
      <c r="B989" s="160"/>
      <c r="G989" s="41"/>
      <c r="J989" s="200"/>
    </row>
    <row r="990">
      <c r="B990" s="160"/>
      <c r="G990" s="41"/>
      <c r="J990" s="200"/>
    </row>
    <row r="991">
      <c r="B991" s="160"/>
      <c r="G991" s="41"/>
      <c r="J991" s="200"/>
    </row>
    <row r="992">
      <c r="B992" s="160"/>
      <c r="G992" s="41"/>
      <c r="J992" s="200"/>
    </row>
    <row r="993">
      <c r="B993" s="160"/>
      <c r="G993" s="41"/>
      <c r="J993" s="200"/>
    </row>
    <row r="994">
      <c r="B994" s="160"/>
      <c r="G994" s="41"/>
      <c r="J994" s="200"/>
    </row>
    <row r="995">
      <c r="B995" s="160"/>
      <c r="G995" s="41"/>
      <c r="J995" s="200"/>
    </row>
    <row r="996">
      <c r="B996" s="160"/>
      <c r="G996" s="41"/>
      <c r="J996" s="200"/>
    </row>
    <row r="997">
      <c r="B997" s="160"/>
      <c r="G997" s="41"/>
      <c r="J997" s="200"/>
    </row>
    <row r="998">
      <c r="B998" s="160"/>
      <c r="G998" s="41"/>
      <c r="J998" s="200"/>
    </row>
    <row r="999">
      <c r="B999" s="160"/>
      <c r="G999" s="41"/>
      <c r="J999" s="200"/>
    </row>
    <row r="1000">
      <c r="B1000" s="160"/>
      <c r="G1000" s="41"/>
      <c r="J1000" s="200"/>
    </row>
    <row r="1001">
      <c r="B1001" s="160"/>
      <c r="G1001" s="41"/>
      <c r="J1001" s="200"/>
    </row>
    <row r="1002">
      <c r="B1002" s="160"/>
      <c r="G1002" s="41"/>
    </row>
    <row r="1003">
      <c r="B1003" s="160"/>
      <c r="G1003" s="41"/>
    </row>
    <row r="1004">
      <c r="B1004" s="160"/>
      <c r="G1004" s="41"/>
    </row>
    <row r="1005">
      <c r="B1005" s="160"/>
      <c r="G1005" s="41"/>
    </row>
    <row r="1006">
      <c r="B1006" s="160"/>
      <c r="G1006" s="41"/>
    </row>
    <row r="1007">
      <c r="B1007" s="160"/>
      <c r="G1007" s="41"/>
    </row>
    <row r="1008">
      <c r="B1008" s="160"/>
      <c r="G1008" s="41"/>
    </row>
    <row r="1009">
      <c r="B1009" s="160"/>
      <c r="G1009" s="41"/>
    </row>
    <row r="1010">
      <c r="B1010" s="160"/>
      <c r="G1010" s="41"/>
    </row>
    <row r="1011">
      <c r="B1011" s="160"/>
      <c r="G1011" s="41"/>
    </row>
    <row r="1012">
      <c r="B1012" s="160"/>
      <c r="G1012" s="41"/>
    </row>
    <row r="1013">
      <c r="B1013" s="160"/>
      <c r="G1013" s="41"/>
    </row>
    <row r="1014">
      <c r="B1014" s="160"/>
      <c r="G1014" s="41"/>
    </row>
    <row r="1015">
      <c r="B1015" s="160"/>
      <c r="G1015" s="41"/>
    </row>
    <row r="1016">
      <c r="B1016" s="160"/>
      <c r="G1016" s="41"/>
    </row>
    <row r="1017">
      <c r="B1017" s="160"/>
      <c r="G1017" s="41"/>
    </row>
    <row r="1018">
      <c r="B1018" s="160"/>
      <c r="G1018" s="41"/>
    </row>
    <row r="1019">
      <c r="B1019" s="160"/>
      <c r="G1019" s="41"/>
    </row>
    <row r="1020">
      <c r="B1020" s="160"/>
      <c r="G1020" s="41"/>
    </row>
    <row r="1021">
      <c r="B1021" s="160"/>
      <c r="G1021" s="41"/>
    </row>
    <row r="1022">
      <c r="B1022" s="160"/>
      <c r="G1022" s="41"/>
    </row>
    <row r="1023">
      <c r="B1023" s="160"/>
      <c r="G1023" s="41"/>
    </row>
    <row r="1024">
      <c r="B1024" s="160"/>
      <c r="G1024" s="41"/>
    </row>
    <row r="1025">
      <c r="B1025" s="160"/>
      <c r="G1025" s="41"/>
    </row>
    <row r="1026">
      <c r="B1026" s="160"/>
      <c r="G1026" s="41"/>
    </row>
    <row r="1027">
      <c r="B1027" s="160"/>
      <c r="G1027" s="41"/>
    </row>
    <row r="1028">
      <c r="B1028" s="160"/>
      <c r="G1028" s="41"/>
    </row>
    <row r="1029">
      <c r="B1029" s="160"/>
      <c r="G1029" s="41"/>
    </row>
    <row r="1030">
      <c r="B1030" s="160"/>
      <c r="G1030" s="41"/>
    </row>
    <row r="1031">
      <c r="B1031" s="160"/>
      <c r="G1031" s="41"/>
    </row>
    <row r="1032">
      <c r="B1032" s="160"/>
      <c r="G1032" s="41"/>
    </row>
    <row r="1033">
      <c r="B1033" s="160"/>
      <c r="G1033" s="41"/>
    </row>
    <row r="1034">
      <c r="B1034" s="160"/>
      <c r="G1034" s="41"/>
    </row>
    <row r="1035">
      <c r="B1035" s="160"/>
      <c r="G1035" s="41"/>
    </row>
    <row r="1036">
      <c r="B1036" s="160"/>
      <c r="G1036" s="41"/>
    </row>
    <row r="1037">
      <c r="B1037" s="160"/>
      <c r="G1037" s="41"/>
    </row>
    <row r="1038">
      <c r="B1038" s="160"/>
      <c r="G1038" s="41"/>
    </row>
    <row r="1039">
      <c r="B1039" s="160"/>
      <c r="G1039" s="41"/>
    </row>
    <row r="1040">
      <c r="B1040" s="160"/>
      <c r="G1040" s="41"/>
    </row>
    <row r="1041">
      <c r="B1041" s="160"/>
      <c r="G1041" s="41"/>
    </row>
    <row r="1042">
      <c r="B1042" s="160"/>
      <c r="G1042" s="41"/>
    </row>
    <row r="1043">
      <c r="B1043" s="160"/>
      <c r="G1043" s="41"/>
    </row>
    <row r="1044">
      <c r="B1044" s="160"/>
      <c r="G1044" s="41"/>
    </row>
    <row r="1045">
      <c r="B1045" s="160"/>
      <c r="G1045" s="41"/>
    </row>
    <row r="1046">
      <c r="B1046" s="160"/>
      <c r="G1046" s="41"/>
    </row>
    <row r="1047">
      <c r="B1047" s="160"/>
      <c r="G1047" s="41"/>
    </row>
    <row r="1048">
      <c r="B1048" s="160"/>
      <c r="G1048" s="41"/>
    </row>
    <row r="1049">
      <c r="B1049" s="160"/>
      <c r="G1049" s="41"/>
    </row>
    <row r="1050">
      <c r="B1050" s="160"/>
      <c r="G1050" s="41"/>
    </row>
    <row r="1051">
      <c r="B1051" s="160"/>
      <c r="G1051" s="41"/>
    </row>
    <row r="1052">
      <c r="B1052" s="160"/>
      <c r="G1052" s="41"/>
    </row>
    <row r="1053">
      <c r="B1053" s="160"/>
      <c r="G1053" s="41"/>
    </row>
    <row r="1054">
      <c r="B1054" s="160"/>
      <c r="G1054" s="41"/>
    </row>
    <row r="1055">
      <c r="B1055" s="160"/>
      <c r="G1055" s="41"/>
    </row>
    <row r="1056">
      <c r="B1056" s="160"/>
      <c r="G1056" s="41"/>
    </row>
    <row r="1057">
      <c r="B1057" s="160"/>
      <c r="G1057" s="41"/>
    </row>
    <row r="1058">
      <c r="B1058" s="160"/>
      <c r="G1058" s="41"/>
    </row>
    <row r="1059">
      <c r="B1059" s="160"/>
      <c r="G1059" s="41"/>
    </row>
    <row r="1060">
      <c r="B1060" s="160"/>
      <c r="G1060" s="41"/>
    </row>
    <row r="1061">
      <c r="B1061" s="160"/>
      <c r="G1061" s="41"/>
    </row>
    <row r="1062">
      <c r="B1062" s="160"/>
      <c r="G1062" s="41"/>
    </row>
    <row r="1063">
      <c r="B1063" s="160"/>
      <c r="G1063" s="41"/>
    </row>
    <row r="1064">
      <c r="B1064" s="160"/>
      <c r="G1064" s="41"/>
    </row>
    <row r="1065">
      <c r="B1065" s="160"/>
      <c r="G1065" s="41"/>
    </row>
    <row r="1066">
      <c r="B1066" s="160"/>
      <c r="G1066" s="41"/>
    </row>
    <row r="1067">
      <c r="B1067" s="160"/>
      <c r="G1067" s="41"/>
    </row>
    <row r="1068">
      <c r="B1068" s="160"/>
      <c r="G1068" s="41"/>
    </row>
    <row r="1069">
      <c r="B1069" s="160"/>
      <c r="G1069" s="41"/>
    </row>
    <row r="1070">
      <c r="B1070" s="160"/>
      <c r="G1070" s="41"/>
    </row>
    <row r="1071">
      <c r="B1071" s="160"/>
      <c r="G1071" s="41"/>
    </row>
    <row r="1072">
      <c r="B1072" s="160"/>
      <c r="G1072" s="41"/>
    </row>
    <row r="1073">
      <c r="B1073" s="160"/>
      <c r="G1073" s="41"/>
    </row>
    <row r="1074">
      <c r="B1074" s="160"/>
      <c r="G1074" s="41"/>
    </row>
    <row r="1075">
      <c r="B1075" s="160"/>
      <c r="G1075" s="41"/>
    </row>
    <row r="1076">
      <c r="B1076" s="160"/>
      <c r="G1076" s="41"/>
    </row>
    <row r="1077">
      <c r="B1077" s="160"/>
      <c r="G1077" s="41"/>
    </row>
    <row r="1078">
      <c r="B1078" s="160"/>
      <c r="G1078" s="41"/>
    </row>
    <row r="1079">
      <c r="B1079" s="160"/>
      <c r="G1079" s="41"/>
    </row>
    <row r="1080">
      <c r="B1080" s="160"/>
      <c r="G1080" s="41"/>
    </row>
    <row r="1081">
      <c r="B1081" s="160"/>
      <c r="G1081" s="41"/>
    </row>
    <row r="1082">
      <c r="B1082" s="160"/>
      <c r="G1082" s="41"/>
    </row>
    <row r="1083">
      <c r="B1083" s="160"/>
      <c r="G1083" s="41"/>
    </row>
    <row r="1084">
      <c r="B1084" s="160"/>
      <c r="G1084" s="41"/>
    </row>
    <row r="1085">
      <c r="B1085" s="160"/>
      <c r="G1085" s="41"/>
    </row>
    <row r="1086">
      <c r="B1086" s="160"/>
      <c r="G1086" s="41"/>
    </row>
    <row r="1087">
      <c r="B1087" s="160"/>
      <c r="G1087" s="41"/>
    </row>
    <row r="1088">
      <c r="B1088" s="160"/>
      <c r="G1088" s="41"/>
    </row>
    <row r="1089">
      <c r="B1089" s="160"/>
      <c r="G1089" s="41"/>
    </row>
    <row r="1090">
      <c r="B1090" s="160"/>
      <c r="G1090" s="41"/>
    </row>
    <row r="1091">
      <c r="B1091" s="160"/>
      <c r="G1091" s="41"/>
    </row>
    <row r="1092">
      <c r="B1092" s="160"/>
      <c r="G1092" s="41"/>
    </row>
    <row r="1093">
      <c r="B1093" s="160"/>
      <c r="G1093" s="41"/>
    </row>
    <row r="1094">
      <c r="B1094" s="160"/>
      <c r="G1094" s="41"/>
    </row>
    <row r="1095">
      <c r="B1095" s="160"/>
      <c r="G1095" s="41"/>
    </row>
    <row r="1096">
      <c r="B1096" s="160"/>
      <c r="G1096" s="41"/>
    </row>
    <row r="1097">
      <c r="B1097" s="160"/>
      <c r="G1097" s="41"/>
    </row>
    <row r="1098">
      <c r="B1098" s="160"/>
      <c r="G1098" s="41"/>
    </row>
    <row r="1099">
      <c r="B1099" s="160"/>
      <c r="G1099" s="41"/>
    </row>
    <row r="1100">
      <c r="B1100" s="160"/>
      <c r="G1100" s="41"/>
    </row>
    <row r="1101">
      <c r="B1101" s="160"/>
      <c r="G1101" s="41"/>
    </row>
    <row r="1102">
      <c r="B1102" s="160"/>
      <c r="G1102" s="41"/>
    </row>
    <row r="1103">
      <c r="B1103" s="160"/>
      <c r="G1103" s="41"/>
    </row>
    <row r="1104">
      <c r="B1104" s="160"/>
      <c r="G1104" s="41"/>
    </row>
    <row r="1105">
      <c r="B1105" s="160"/>
      <c r="G1105" s="41"/>
    </row>
    <row r="1106">
      <c r="B1106" s="160"/>
      <c r="G1106" s="41"/>
    </row>
    <row r="1107">
      <c r="B1107" s="160"/>
      <c r="G1107" s="41"/>
    </row>
    <row r="1108">
      <c r="B1108" s="160"/>
      <c r="G1108" s="41"/>
    </row>
    <row r="1109">
      <c r="B1109" s="160"/>
      <c r="G1109" s="41"/>
    </row>
    <row r="1110">
      <c r="B1110" s="160"/>
      <c r="G1110" s="41"/>
    </row>
    <row r="1111">
      <c r="B1111" s="160"/>
      <c r="G1111" s="41"/>
    </row>
    <row r="1112">
      <c r="B1112" s="160"/>
      <c r="G1112" s="41"/>
    </row>
    <row r="1113">
      <c r="B1113" s="160"/>
      <c r="G1113" s="41"/>
    </row>
    <row r="1114">
      <c r="B1114" s="160"/>
      <c r="G1114" s="41"/>
    </row>
    <row r="1115">
      <c r="B1115" s="160"/>
      <c r="G1115" s="41"/>
    </row>
    <row r="1116">
      <c r="B1116" s="160"/>
      <c r="G1116" s="41"/>
    </row>
    <row r="1117">
      <c r="B1117" s="160"/>
      <c r="G1117" s="41"/>
    </row>
    <row r="1118">
      <c r="B1118" s="160"/>
      <c r="G1118" s="41"/>
    </row>
    <row r="1119">
      <c r="B1119" s="160"/>
      <c r="G1119" s="41"/>
    </row>
    <row r="1120">
      <c r="B1120" s="160"/>
      <c r="G1120" s="41"/>
    </row>
    <row r="1121">
      <c r="B1121" s="160"/>
      <c r="G1121" s="41"/>
    </row>
    <row r="1122">
      <c r="B1122" s="160"/>
      <c r="G1122" s="41"/>
    </row>
    <row r="1123">
      <c r="B1123" s="160"/>
      <c r="G1123" s="41"/>
    </row>
    <row r="1124">
      <c r="B1124" s="160"/>
      <c r="G1124" s="41"/>
    </row>
    <row r="1125">
      <c r="B1125" s="160"/>
      <c r="G1125" s="41"/>
    </row>
    <row r="1126">
      <c r="B1126" s="160"/>
      <c r="G1126" s="41"/>
    </row>
    <row r="1127">
      <c r="B1127" s="160"/>
      <c r="G1127" s="41"/>
    </row>
    <row r="1128">
      <c r="B1128" s="160"/>
      <c r="G1128" s="41"/>
    </row>
    <row r="1129">
      <c r="B1129" s="160"/>
      <c r="G1129" s="41"/>
    </row>
    <row r="1130">
      <c r="B1130" s="160"/>
      <c r="G1130" s="41"/>
    </row>
    <row r="1131">
      <c r="B1131" s="160"/>
      <c r="G1131" s="41"/>
    </row>
    <row r="1132">
      <c r="B1132" s="160"/>
      <c r="G1132" s="41"/>
    </row>
    <row r="1133">
      <c r="B1133" s="160"/>
      <c r="G1133" s="41"/>
    </row>
    <row r="1134">
      <c r="B1134" s="160"/>
      <c r="G1134" s="41"/>
    </row>
    <row r="1135">
      <c r="B1135" s="160"/>
      <c r="G1135" s="41"/>
    </row>
    <row r="1136">
      <c r="B1136" s="160"/>
      <c r="G1136" s="41"/>
    </row>
    <row r="1137">
      <c r="B1137" s="160"/>
      <c r="G1137" s="41"/>
    </row>
    <row r="1138">
      <c r="B1138" s="160"/>
      <c r="G1138" s="41"/>
    </row>
    <row r="1139">
      <c r="B1139" s="160"/>
      <c r="G1139" s="41"/>
    </row>
    <row r="1140">
      <c r="B1140" s="160"/>
      <c r="G1140" s="41"/>
    </row>
    <row r="1141">
      <c r="B1141" s="160"/>
      <c r="G1141" s="41"/>
    </row>
    <row r="1142">
      <c r="B1142" s="160"/>
      <c r="G1142" s="41"/>
    </row>
    <row r="1143">
      <c r="B1143" s="160"/>
      <c r="G1143" s="41"/>
    </row>
    <row r="1144">
      <c r="B1144" s="160"/>
      <c r="G1144" s="41"/>
    </row>
    <row r="1145">
      <c r="B1145" s="160"/>
      <c r="G1145" s="41"/>
    </row>
    <row r="1146">
      <c r="B1146" s="160"/>
      <c r="G1146" s="41"/>
    </row>
    <row r="1147">
      <c r="B1147" s="160"/>
      <c r="G1147" s="41"/>
    </row>
    <row r="1148">
      <c r="B1148" s="160"/>
      <c r="G1148" s="41"/>
    </row>
    <row r="1149">
      <c r="B1149" s="160"/>
      <c r="G1149" s="41"/>
    </row>
    <row r="1150">
      <c r="B1150" s="160"/>
      <c r="G1150" s="41"/>
    </row>
    <row r="1151">
      <c r="B1151" s="160"/>
      <c r="G1151" s="41"/>
    </row>
    <row r="1152">
      <c r="B1152" s="160"/>
      <c r="G1152" s="41"/>
    </row>
    <row r="1153">
      <c r="B1153" s="160"/>
      <c r="G1153" s="41"/>
    </row>
    <row r="1154">
      <c r="B1154" s="160"/>
      <c r="G1154" s="41"/>
    </row>
    <row r="1155">
      <c r="B1155" s="160"/>
      <c r="G1155" s="41"/>
    </row>
    <row r="1156">
      <c r="B1156" s="160"/>
      <c r="G1156" s="41"/>
    </row>
    <row r="1157">
      <c r="B1157" s="160"/>
      <c r="G1157" s="41"/>
    </row>
    <row r="1158">
      <c r="B1158" s="160"/>
      <c r="G1158" s="41"/>
    </row>
    <row r="1159">
      <c r="B1159" s="160"/>
      <c r="G1159" s="41"/>
    </row>
    <row r="1160">
      <c r="B1160" s="160"/>
      <c r="G1160" s="41"/>
    </row>
    <row r="1161">
      <c r="B1161" s="160"/>
      <c r="G1161" s="41"/>
    </row>
    <row r="1162">
      <c r="B1162" s="160"/>
      <c r="G1162" s="41"/>
    </row>
    <row r="1163">
      <c r="B1163" s="160"/>
      <c r="G1163" s="41"/>
    </row>
    <row r="1164">
      <c r="B1164" s="160"/>
      <c r="G1164" s="41"/>
    </row>
    <row r="1165">
      <c r="B1165" s="160"/>
      <c r="G1165" s="41"/>
    </row>
    <row r="1166">
      <c r="B1166" s="160"/>
      <c r="G1166" s="41"/>
    </row>
    <row r="1167">
      <c r="B1167" s="160"/>
      <c r="G1167" s="41"/>
    </row>
    <row r="1168">
      <c r="B1168" s="160"/>
      <c r="G1168" s="41"/>
    </row>
    <row r="1169">
      <c r="B1169" s="160"/>
      <c r="G1169" s="41"/>
    </row>
    <row r="1170">
      <c r="B1170" s="160"/>
      <c r="G1170" s="41"/>
    </row>
    <row r="1171">
      <c r="B1171" s="160"/>
      <c r="G1171" s="41"/>
    </row>
    <row r="1172">
      <c r="B1172" s="160"/>
      <c r="G1172" s="41"/>
    </row>
    <row r="1173">
      <c r="B1173" s="160"/>
      <c r="G1173" s="41"/>
    </row>
    <row r="1174">
      <c r="B1174" s="160"/>
      <c r="G1174" s="41"/>
    </row>
    <row r="1175">
      <c r="B1175" s="160"/>
      <c r="G1175" s="41"/>
    </row>
    <row r="1176">
      <c r="B1176" s="160"/>
      <c r="G1176" s="41"/>
    </row>
    <row r="1177">
      <c r="B1177" s="160"/>
      <c r="G1177" s="41"/>
    </row>
    <row r="1178">
      <c r="B1178" s="160"/>
      <c r="G1178" s="41"/>
    </row>
    <row r="1179">
      <c r="B1179" s="160"/>
      <c r="G1179" s="41"/>
    </row>
    <row r="1180">
      <c r="B1180" s="160"/>
      <c r="G1180" s="41"/>
    </row>
    <row r="1181">
      <c r="B1181" s="160"/>
      <c r="G1181" s="41"/>
    </row>
    <row r="1182">
      <c r="B1182" s="160"/>
      <c r="G1182" s="41"/>
    </row>
    <row r="1183">
      <c r="B1183" s="160"/>
      <c r="G1183" s="41"/>
    </row>
    <row r="1184">
      <c r="B1184" s="160"/>
      <c r="G1184" s="41"/>
    </row>
    <row r="1185">
      <c r="B1185" s="160"/>
      <c r="G1185" s="41"/>
    </row>
    <row r="1186">
      <c r="B1186" s="160"/>
      <c r="G1186" s="41"/>
    </row>
    <row r="1187">
      <c r="B1187" s="160"/>
      <c r="G1187" s="41"/>
    </row>
    <row r="1188">
      <c r="B1188" s="160"/>
      <c r="G1188" s="41"/>
    </row>
    <row r="1189">
      <c r="B1189" s="160"/>
      <c r="G1189" s="41"/>
    </row>
    <row r="1190">
      <c r="B1190" s="160"/>
      <c r="G1190" s="41"/>
    </row>
    <row r="1191">
      <c r="B1191" s="160"/>
      <c r="G1191" s="41"/>
    </row>
    <row r="1192">
      <c r="B1192" s="160"/>
      <c r="G1192" s="41"/>
    </row>
    <row r="1193">
      <c r="B1193" s="160"/>
      <c r="G1193" s="41"/>
    </row>
    <row r="1194">
      <c r="B1194" s="160"/>
      <c r="G1194" s="41"/>
    </row>
    <row r="1195">
      <c r="B1195" s="160"/>
      <c r="G1195" s="41"/>
    </row>
    <row r="1196">
      <c r="B1196" s="160"/>
      <c r="G1196" s="41"/>
    </row>
    <row r="1197">
      <c r="B1197" s="160"/>
      <c r="G1197" s="41"/>
    </row>
    <row r="1198">
      <c r="B1198" s="160"/>
      <c r="G1198" s="41"/>
    </row>
    <row r="1199">
      <c r="B1199" s="160"/>
      <c r="G1199" s="41"/>
    </row>
    <row r="1200">
      <c r="B1200" s="160"/>
      <c r="G1200" s="41"/>
    </row>
    <row r="1201">
      <c r="B1201" s="160"/>
      <c r="G1201" s="41"/>
    </row>
    <row r="1202">
      <c r="B1202" s="160"/>
      <c r="G1202" s="41"/>
    </row>
    <row r="1203">
      <c r="B1203" s="160"/>
      <c r="G1203" s="41"/>
    </row>
    <row r="1204">
      <c r="B1204" s="160"/>
      <c r="G1204" s="41"/>
    </row>
    <row r="1205">
      <c r="B1205" s="160"/>
      <c r="G1205" s="41"/>
    </row>
    <row r="1206">
      <c r="B1206" s="160"/>
      <c r="G1206" s="41"/>
    </row>
    <row r="1207">
      <c r="B1207" s="160"/>
      <c r="G1207" s="41"/>
    </row>
    <row r="1208">
      <c r="B1208" s="160"/>
      <c r="G1208" s="41"/>
    </row>
    <row r="1209">
      <c r="B1209" s="160"/>
      <c r="G1209" s="41"/>
    </row>
    <row r="1210">
      <c r="B1210" s="160"/>
      <c r="G1210" s="41"/>
    </row>
    <row r="1211">
      <c r="B1211" s="160"/>
      <c r="G1211" s="41"/>
    </row>
    <row r="1212">
      <c r="B1212" s="160"/>
      <c r="G1212" s="41"/>
    </row>
    <row r="1213">
      <c r="B1213" s="160"/>
      <c r="G1213" s="41"/>
    </row>
    <row r="1214">
      <c r="B1214" s="160"/>
      <c r="G1214" s="41"/>
    </row>
    <row r="1215">
      <c r="B1215" s="160"/>
      <c r="G1215" s="41"/>
    </row>
    <row r="1216">
      <c r="B1216" s="160"/>
      <c r="G1216" s="41"/>
    </row>
    <row r="1217">
      <c r="B1217" s="160"/>
      <c r="G1217" s="41"/>
    </row>
    <row r="1218">
      <c r="B1218" s="160"/>
      <c r="G1218" s="41"/>
    </row>
    <row r="1219">
      <c r="B1219" s="160"/>
      <c r="G1219" s="41"/>
    </row>
    <row r="1220">
      <c r="B1220" s="160"/>
      <c r="G1220" s="41"/>
    </row>
    <row r="1221">
      <c r="B1221" s="160"/>
      <c r="G1221" s="41"/>
    </row>
    <row r="1222">
      <c r="B1222" s="160"/>
      <c r="G1222" s="41"/>
    </row>
    <row r="1223">
      <c r="B1223" s="160"/>
      <c r="G1223" s="41"/>
    </row>
    <row r="1224">
      <c r="B1224" s="160"/>
      <c r="G1224" s="41"/>
    </row>
    <row r="1225">
      <c r="B1225" s="160"/>
      <c r="G1225" s="41"/>
    </row>
    <row r="1226">
      <c r="B1226" s="160"/>
      <c r="G1226" s="41"/>
    </row>
    <row r="1227">
      <c r="B1227" s="160"/>
      <c r="G1227" s="41"/>
    </row>
    <row r="1228">
      <c r="B1228" s="160"/>
      <c r="G1228" s="41"/>
    </row>
    <row r="1229">
      <c r="B1229" s="160"/>
      <c r="G1229" s="41"/>
    </row>
    <row r="1230">
      <c r="B1230" s="160"/>
      <c r="G1230" s="41"/>
    </row>
    <row r="1231">
      <c r="B1231" s="160"/>
      <c r="G1231" s="41"/>
    </row>
    <row r="1232">
      <c r="B1232" s="160"/>
      <c r="G1232" s="41"/>
    </row>
    <row r="1233">
      <c r="B1233" s="160"/>
      <c r="G1233" s="41"/>
    </row>
    <row r="1234">
      <c r="B1234" s="160"/>
      <c r="G1234" s="41"/>
    </row>
    <row r="1235">
      <c r="B1235" s="160"/>
      <c r="G1235" s="41"/>
    </row>
    <row r="1236">
      <c r="B1236" s="160"/>
      <c r="G1236" s="41"/>
    </row>
    <row r="1237">
      <c r="B1237" s="160"/>
      <c r="G1237" s="41"/>
    </row>
    <row r="1238">
      <c r="B1238" s="160"/>
      <c r="G1238" s="41"/>
    </row>
    <row r="1239">
      <c r="B1239" s="160"/>
      <c r="G1239" s="41"/>
    </row>
    <row r="1240">
      <c r="B1240" s="160"/>
      <c r="G1240" s="41"/>
    </row>
    <row r="1241">
      <c r="B1241" s="160"/>
      <c r="G1241" s="41"/>
    </row>
    <row r="1242">
      <c r="B1242" s="160"/>
      <c r="G1242" s="41"/>
    </row>
    <row r="1243">
      <c r="B1243" s="160"/>
      <c r="G1243" s="41"/>
    </row>
    <row r="1244">
      <c r="B1244" s="160"/>
      <c r="G1244" s="41"/>
    </row>
    <row r="1245">
      <c r="B1245" s="160"/>
      <c r="G1245" s="41"/>
    </row>
    <row r="1246">
      <c r="B1246" s="160"/>
      <c r="G1246" s="41"/>
    </row>
    <row r="1247">
      <c r="B1247" s="160"/>
      <c r="G1247" s="41"/>
    </row>
    <row r="1248">
      <c r="B1248" s="160"/>
      <c r="G1248" s="41"/>
    </row>
    <row r="1249">
      <c r="B1249" s="160"/>
      <c r="G1249" s="41"/>
    </row>
    <row r="1250">
      <c r="B1250" s="160"/>
      <c r="G1250" s="41"/>
    </row>
    <row r="1251">
      <c r="B1251" s="160"/>
      <c r="G1251" s="41"/>
    </row>
    <row r="1252">
      <c r="B1252" s="160"/>
      <c r="G1252" s="41"/>
    </row>
    <row r="1253">
      <c r="B1253" s="160"/>
      <c r="G1253" s="41"/>
    </row>
    <row r="1254">
      <c r="B1254" s="160"/>
      <c r="G1254" s="41"/>
    </row>
    <row r="1255">
      <c r="B1255" s="160"/>
      <c r="G1255" s="41"/>
    </row>
    <row r="1256">
      <c r="B1256" s="160"/>
      <c r="G1256" s="41"/>
    </row>
    <row r="1257">
      <c r="B1257" s="160"/>
      <c r="G1257" s="41"/>
    </row>
    <row r="1258">
      <c r="B1258" s="160"/>
      <c r="G1258" s="41"/>
    </row>
    <row r="1259">
      <c r="B1259" s="160"/>
      <c r="G1259" s="41"/>
    </row>
    <row r="1260">
      <c r="B1260" s="160"/>
      <c r="G1260" s="41"/>
    </row>
    <row r="1261">
      <c r="B1261" s="160"/>
      <c r="G1261" s="41"/>
    </row>
    <row r="1262">
      <c r="B1262" s="160"/>
      <c r="G1262" s="41"/>
    </row>
    <row r="1263">
      <c r="B1263" s="160"/>
      <c r="G1263" s="41"/>
    </row>
    <row r="1264">
      <c r="B1264" s="160"/>
      <c r="G1264" s="41"/>
    </row>
    <row r="1265">
      <c r="B1265" s="160"/>
      <c r="G1265" s="41"/>
    </row>
    <row r="1266">
      <c r="B1266" s="160"/>
      <c r="G1266" s="41"/>
    </row>
    <row r="1267">
      <c r="B1267" s="160"/>
      <c r="G1267" s="41"/>
    </row>
    <row r="1268">
      <c r="B1268" s="160"/>
      <c r="G1268" s="41"/>
    </row>
    <row r="1269">
      <c r="B1269" s="160"/>
      <c r="G1269" s="41"/>
    </row>
    <row r="1270">
      <c r="B1270" s="160"/>
      <c r="G1270" s="41"/>
    </row>
    <row r="1271">
      <c r="B1271" s="160"/>
      <c r="G1271" s="41"/>
    </row>
    <row r="1272">
      <c r="B1272" s="160"/>
      <c r="G1272" s="41"/>
    </row>
    <row r="1273">
      <c r="B1273" s="160"/>
      <c r="G1273" s="41"/>
    </row>
    <row r="1274">
      <c r="B1274" s="160"/>
      <c r="G1274" s="41"/>
    </row>
    <row r="1275">
      <c r="B1275" s="160"/>
      <c r="G1275" s="41"/>
    </row>
    <row r="1276">
      <c r="B1276" s="160"/>
      <c r="G1276" s="41"/>
    </row>
    <row r="1277">
      <c r="B1277" s="160"/>
      <c r="G1277" s="41"/>
    </row>
    <row r="1278">
      <c r="B1278" s="160"/>
      <c r="G1278" s="41"/>
    </row>
    <row r="1279">
      <c r="B1279" s="160"/>
      <c r="G1279" s="41"/>
    </row>
    <row r="1280">
      <c r="B1280" s="160"/>
      <c r="G1280" s="41"/>
    </row>
    <row r="1281">
      <c r="B1281" s="160"/>
      <c r="G1281" s="41"/>
    </row>
    <row r="1282">
      <c r="B1282" s="160"/>
      <c r="G1282" s="41"/>
    </row>
    <row r="1283">
      <c r="B1283" s="160"/>
      <c r="G1283" s="41"/>
    </row>
    <row r="1284">
      <c r="B1284" s="160"/>
      <c r="G1284" s="41"/>
    </row>
    <row r="1285">
      <c r="B1285" s="160"/>
      <c r="G1285" s="41"/>
    </row>
    <row r="1286">
      <c r="B1286" s="160"/>
      <c r="G1286" s="41"/>
    </row>
    <row r="1287">
      <c r="B1287" s="160"/>
      <c r="G1287" s="41"/>
    </row>
    <row r="1288">
      <c r="B1288" s="160"/>
      <c r="G1288" s="41"/>
    </row>
    <row r="1289">
      <c r="B1289" s="160"/>
      <c r="G1289" s="41"/>
    </row>
    <row r="1290">
      <c r="B1290" s="160"/>
      <c r="G1290" s="41"/>
    </row>
    <row r="1291">
      <c r="B1291" s="160"/>
      <c r="G1291" s="41"/>
    </row>
    <row r="1292">
      <c r="B1292" s="160"/>
      <c r="G1292" s="41"/>
    </row>
    <row r="1293">
      <c r="B1293" s="160"/>
      <c r="G1293" s="41"/>
    </row>
    <row r="1294">
      <c r="B1294" s="160"/>
      <c r="G1294" s="41"/>
    </row>
    <row r="1295">
      <c r="B1295" s="160"/>
      <c r="G1295" s="41"/>
    </row>
    <row r="1296">
      <c r="B1296" s="160"/>
      <c r="G1296" s="41"/>
    </row>
    <row r="1297">
      <c r="B1297" s="160"/>
      <c r="G1297" s="41"/>
    </row>
    <row r="1298">
      <c r="B1298" s="160"/>
      <c r="G1298" s="41"/>
    </row>
    <row r="1299">
      <c r="B1299" s="160"/>
      <c r="G1299" s="41"/>
    </row>
    <row r="1300">
      <c r="B1300" s="160"/>
      <c r="G1300" s="41"/>
    </row>
    <row r="1301">
      <c r="B1301" s="160"/>
      <c r="G1301" s="41"/>
    </row>
    <row r="1302">
      <c r="B1302" s="160"/>
      <c r="G1302" s="41"/>
    </row>
    <row r="1303">
      <c r="B1303" s="160"/>
      <c r="G1303" s="41"/>
    </row>
    <row r="1304">
      <c r="B1304" s="160"/>
      <c r="G1304" s="41"/>
    </row>
    <row r="1305">
      <c r="B1305" s="160"/>
      <c r="G1305" s="41"/>
    </row>
    <row r="1306">
      <c r="B1306" s="160"/>
      <c r="G1306" s="41"/>
    </row>
    <row r="1307">
      <c r="B1307" s="160"/>
      <c r="G1307" s="41"/>
    </row>
    <row r="1308">
      <c r="B1308" s="160"/>
      <c r="G1308" s="41"/>
    </row>
    <row r="1309">
      <c r="B1309" s="160"/>
      <c r="G1309" s="41"/>
    </row>
    <row r="1310">
      <c r="B1310" s="160"/>
      <c r="G1310" s="41"/>
    </row>
    <row r="1311">
      <c r="B1311" s="160"/>
      <c r="G1311" s="41"/>
    </row>
    <row r="1312">
      <c r="B1312" s="160"/>
      <c r="G1312" s="41"/>
    </row>
    <row r="1313">
      <c r="B1313" s="160"/>
      <c r="G1313" s="41"/>
    </row>
    <row r="1314">
      <c r="B1314" s="160"/>
      <c r="G1314" s="41"/>
    </row>
    <row r="1315">
      <c r="B1315" s="160"/>
      <c r="G1315" s="41"/>
    </row>
    <row r="1316">
      <c r="B1316" s="160"/>
      <c r="G1316" s="41"/>
    </row>
    <row r="1317">
      <c r="B1317" s="160"/>
      <c r="G1317" s="41"/>
    </row>
    <row r="1318">
      <c r="B1318" s="160"/>
      <c r="G1318" s="41"/>
    </row>
    <row r="1319">
      <c r="B1319" s="160"/>
      <c r="G1319" s="41"/>
    </row>
    <row r="1320">
      <c r="B1320" s="160"/>
      <c r="G1320" s="41"/>
    </row>
    <row r="1321">
      <c r="B1321" s="160"/>
      <c r="G1321" s="41"/>
    </row>
    <row r="1322">
      <c r="B1322" s="160"/>
      <c r="G1322" s="41"/>
    </row>
    <row r="1323">
      <c r="B1323" s="160"/>
      <c r="G1323" s="41"/>
    </row>
    <row r="1324">
      <c r="B1324" s="160"/>
      <c r="G1324" s="41"/>
    </row>
    <row r="1325">
      <c r="B1325" s="160"/>
      <c r="G1325" s="41"/>
    </row>
    <row r="1326">
      <c r="B1326" s="160"/>
      <c r="G1326" s="41"/>
    </row>
    <row r="1327">
      <c r="B1327" s="160"/>
      <c r="G1327" s="41"/>
    </row>
    <row r="1328">
      <c r="B1328" s="160"/>
      <c r="G1328" s="41"/>
    </row>
    <row r="1329">
      <c r="B1329" s="160"/>
      <c r="G1329" s="41"/>
    </row>
    <row r="1330">
      <c r="B1330" s="160"/>
      <c r="G1330" s="41"/>
    </row>
    <row r="1331">
      <c r="B1331" s="160"/>
      <c r="G1331" s="41"/>
    </row>
    <row r="1332">
      <c r="B1332" s="160"/>
      <c r="G1332" s="41"/>
    </row>
    <row r="1333">
      <c r="B1333" s="160"/>
      <c r="G1333" s="41"/>
    </row>
    <row r="1334">
      <c r="B1334" s="160"/>
      <c r="G1334" s="41"/>
    </row>
    <row r="1335">
      <c r="B1335" s="160"/>
      <c r="G1335" s="41"/>
    </row>
    <row r="1336">
      <c r="B1336" s="160"/>
      <c r="G1336" s="41"/>
    </row>
    <row r="1337">
      <c r="B1337" s="160"/>
      <c r="G1337" s="41"/>
    </row>
    <row r="1338">
      <c r="B1338" s="160"/>
      <c r="G1338" s="41"/>
    </row>
    <row r="1339">
      <c r="B1339" s="160"/>
      <c r="G1339" s="41"/>
    </row>
    <row r="1340">
      <c r="B1340" s="160"/>
      <c r="G1340" s="41"/>
    </row>
    <row r="1341">
      <c r="B1341" s="160"/>
      <c r="G1341" s="41"/>
    </row>
    <row r="1342">
      <c r="B1342" s="160"/>
      <c r="G1342" s="41"/>
    </row>
    <row r="1343">
      <c r="B1343" s="160"/>
      <c r="G1343" s="41"/>
    </row>
    <row r="1344">
      <c r="B1344" s="160"/>
      <c r="G1344" s="41"/>
    </row>
    <row r="1345">
      <c r="B1345" s="160"/>
      <c r="G1345" s="41"/>
    </row>
    <row r="1346">
      <c r="B1346" s="160"/>
      <c r="G1346" s="41"/>
    </row>
    <row r="1347">
      <c r="B1347" s="160"/>
      <c r="G1347" s="41"/>
    </row>
    <row r="1348">
      <c r="B1348" s="160"/>
      <c r="G1348" s="41"/>
    </row>
    <row r="1349">
      <c r="B1349" s="160"/>
      <c r="G1349" s="41"/>
    </row>
    <row r="1350">
      <c r="B1350" s="160"/>
      <c r="G1350" s="41"/>
    </row>
    <row r="1351">
      <c r="B1351" s="160"/>
      <c r="G1351" s="41"/>
    </row>
    <row r="1352">
      <c r="B1352" s="160"/>
      <c r="G1352" s="41"/>
    </row>
    <row r="1353">
      <c r="B1353" s="160"/>
      <c r="G1353" s="41"/>
    </row>
    <row r="1354">
      <c r="B1354" s="160"/>
      <c r="G1354" s="41"/>
    </row>
    <row r="1355">
      <c r="B1355" s="160"/>
      <c r="G1355" s="41"/>
    </row>
    <row r="1356">
      <c r="B1356" s="160"/>
      <c r="G1356" s="41"/>
    </row>
    <row r="1357">
      <c r="B1357" s="160"/>
      <c r="G1357" s="41"/>
    </row>
    <row r="1358">
      <c r="B1358" s="160"/>
      <c r="G1358" s="41"/>
    </row>
    <row r="1359">
      <c r="B1359" s="160"/>
      <c r="G1359" s="41"/>
    </row>
    <row r="1360">
      <c r="B1360" s="160"/>
      <c r="G1360" s="41"/>
    </row>
    <row r="1361">
      <c r="B1361" s="160"/>
      <c r="G1361" s="41"/>
    </row>
    <row r="1362">
      <c r="B1362" s="160"/>
      <c r="G1362" s="41"/>
    </row>
    <row r="1363">
      <c r="B1363" s="160"/>
      <c r="G1363" s="41"/>
    </row>
    <row r="1364">
      <c r="B1364" s="160"/>
      <c r="G1364" s="41"/>
    </row>
    <row r="1365">
      <c r="B1365" s="160"/>
      <c r="G1365" s="41"/>
    </row>
    <row r="1366">
      <c r="B1366" s="160"/>
      <c r="G1366" s="41"/>
    </row>
    <row r="1367">
      <c r="B1367" s="160"/>
      <c r="G1367" s="41"/>
    </row>
    <row r="1368">
      <c r="B1368" s="160"/>
      <c r="G1368" s="41"/>
    </row>
    <row r="1369">
      <c r="B1369" s="160"/>
      <c r="G1369" s="41"/>
    </row>
    <row r="1370">
      <c r="B1370" s="160"/>
      <c r="G1370" s="41"/>
    </row>
    <row r="1371">
      <c r="B1371" s="160"/>
      <c r="G1371" s="41"/>
    </row>
    <row r="1372">
      <c r="B1372" s="160"/>
      <c r="G1372" s="41"/>
    </row>
    <row r="1373">
      <c r="B1373" s="160"/>
      <c r="G1373" s="41"/>
    </row>
    <row r="1374">
      <c r="B1374" s="160"/>
      <c r="G1374" s="41"/>
    </row>
    <row r="1375">
      <c r="B1375" s="160"/>
      <c r="G1375" s="41"/>
    </row>
    <row r="1376">
      <c r="B1376" s="160"/>
      <c r="G1376" s="41"/>
    </row>
    <row r="1377">
      <c r="B1377" s="160"/>
      <c r="G1377" s="41"/>
    </row>
    <row r="1378">
      <c r="B1378" s="160"/>
      <c r="G1378" s="41"/>
    </row>
    <row r="1379">
      <c r="B1379" s="160"/>
      <c r="G1379" s="41"/>
    </row>
    <row r="1380">
      <c r="B1380" s="160"/>
      <c r="G1380" s="41"/>
    </row>
    <row r="1381">
      <c r="B1381" s="160"/>
      <c r="G1381" s="41"/>
    </row>
    <row r="1382">
      <c r="B1382" s="160"/>
      <c r="G1382" s="41"/>
    </row>
    <row r="1383">
      <c r="B1383" s="160"/>
      <c r="G1383" s="41"/>
    </row>
    <row r="1384">
      <c r="B1384" s="160"/>
      <c r="G1384" s="41"/>
    </row>
    <row r="1385">
      <c r="B1385" s="160"/>
      <c r="G1385" s="41"/>
    </row>
    <row r="1386">
      <c r="B1386" s="160"/>
      <c r="G1386" s="41"/>
    </row>
    <row r="1387">
      <c r="B1387" s="160"/>
      <c r="G1387" s="41"/>
    </row>
    <row r="1388">
      <c r="B1388" s="160"/>
      <c r="G1388" s="41"/>
    </row>
    <row r="1389">
      <c r="B1389" s="160"/>
      <c r="G1389" s="41"/>
    </row>
    <row r="1390">
      <c r="B1390" s="160"/>
      <c r="G1390" s="41"/>
    </row>
    <row r="1391">
      <c r="B1391" s="160"/>
      <c r="G1391" s="41"/>
    </row>
    <row r="1392">
      <c r="B1392" s="160"/>
      <c r="G1392" s="41"/>
    </row>
    <row r="1393">
      <c r="B1393" s="160"/>
      <c r="G1393" s="41"/>
    </row>
    <row r="1394">
      <c r="B1394" s="160"/>
      <c r="G1394" s="41"/>
    </row>
    <row r="1395">
      <c r="B1395" s="160"/>
      <c r="G1395" s="41"/>
    </row>
    <row r="1396">
      <c r="B1396" s="160"/>
      <c r="G1396" s="41"/>
    </row>
    <row r="1397">
      <c r="B1397" s="160"/>
      <c r="G1397" s="41"/>
    </row>
    <row r="1398">
      <c r="B1398" s="160"/>
      <c r="G1398" s="41"/>
    </row>
    <row r="1399">
      <c r="B1399" s="160"/>
      <c r="G1399" s="41"/>
    </row>
    <row r="1400">
      <c r="B1400" s="160"/>
      <c r="G1400" s="41"/>
    </row>
    <row r="1401">
      <c r="B1401" s="160"/>
      <c r="G1401" s="41"/>
    </row>
    <row r="1402">
      <c r="B1402" s="160"/>
      <c r="G1402" s="41"/>
    </row>
    <row r="1403">
      <c r="B1403" s="160"/>
      <c r="G1403" s="41"/>
    </row>
    <row r="1404">
      <c r="B1404" s="160"/>
      <c r="G1404" s="41"/>
    </row>
    <row r="1405">
      <c r="B1405" s="160"/>
      <c r="G1405" s="41"/>
    </row>
    <row r="1406">
      <c r="B1406" s="160"/>
      <c r="G1406" s="41"/>
    </row>
    <row r="1407">
      <c r="B1407" s="160"/>
      <c r="G1407" s="41"/>
    </row>
    <row r="1408">
      <c r="B1408" s="160"/>
      <c r="G1408" s="41"/>
    </row>
    <row r="1409">
      <c r="B1409" s="160"/>
      <c r="G1409" s="41"/>
    </row>
    <row r="1410">
      <c r="B1410" s="160"/>
      <c r="G1410" s="41"/>
    </row>
    <row r="1411">
      <c r="B1411" s="160"/>
      <c r="G1411" s="41"/>
    </row>
    <row r="1412">
      <c r="B1412" s="160"/>
      <c r="G1412" s="41"/>
    </row>
    <row r="1413">
      <c r="B1413" s="160"/>
      <c r="G1413" s="41"/>
    </row>
    <row r="1414">
      <c r="B1414" s="160"/>
      <c r="G1414" s="41"/>
    </row>
    <row r="1415">
      <c r="B1415" s="160"/>
      <c r="G1415" s="41"/>
    </row>
    <row r="1416">
      <c r="B1416" s="160"/>
      <c r="G1416" s="41"/>
    </row>
    <row r="1417">
      <c r="B1417" s="160"/>
      <c r="G1417" s="41"/>
    </row>
    <row r="1418">
      <c r="B1418" s="160"/>
      <c r="G1418" s="41"/>
    </row>
    <row r="1419">
      <c r="B1419" s="160"/>
      <c r="G1419" s="41"/>
    </row>
    <row r="1420">
      <c r="B1420" s="160"/>
      <c r="G1420" s="41"/>
    </row>
    <row r="1421">
      <c r="B1421" s="160"/>
      <c r="G1421" s="41"/>
    </row>
    <row r="1422">
      <c r="B1422" s="160"/>
      <c r="G1422" s="41"/>
    </row>
    <row r="1423">
      <c r="B1423" s="160"/>
      <c r="G1423" s="41"/>
    </row>
    <row r="1424">
      <c r="B1424" s="160"/>
      <c r="G1424" s="41"/>
    </row>
    <row r="1425">
      <c r="B1425" s="160"/>
      <c r="G1425" s="41"/>
    </row>
    <row r="1426">
      <c r="B1426" s="160"/>
      <c r="G1426" s="41"/>
    </row>
    <row r="1427">
      <c r="B1427" s="160"/>
      <c r="G1427" s="41"/>
    </row>
    <row r="1428">
      <c r="B1428" s="160"/>
      <c r="G1428" s="41"/>
    </row>
    <row r="1429">
      <c r="B1429" s="160"/>
      <c r="G1429" s="41"/>
    </row>
    <row r="1430">
      <c r="B1430" s="160"/>
      <c r="G1430" s="41"/>
    </row>
    <row r="1431">
      <c r="B1431" s="160"/>
      <c r="G1431" s="41"/>
    </row>
    <row r="1432">
      <c r="B1432" s="160"/>
      <c r="G1432" s="41"/>
    </row>
    <row r="1433">
      <c r="B1433" s="160"/>
      <c r="G1433" s="41"/>
    </row>
    <row r="1434">
      <c r="B1434" s="160"/>
      <c r="G1434" s="41"/>
    </row>
    <row r="1435">
      <c r="B1435" s="160"/>
      <c r="G1435" s="41"/>
    </row>
    <row r="1436">
      <c r="B1436" s="160"/>
      <c r="G1436" s="41"/>
    </row>
    <row r="1437">
      <c r="B1437" s="160"/>
      <c r="G1437" s="41"/>
    </row>
    <row r="1438">
      <c r="B1438" s="160"/>
      <c r="G1438" s="41"/>
    </row>
  </sheetData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29.75"/>
    <col customWidth="1" min="4" max="4" width="16.88"/>
    <col hidden="1" min="10" max="12" width="12.63"/>
    <col hidden="1" min="15" max="17" width="12.63"/>
  </cols>
  <sheetData>
    <row r="1">
      <c r="A1" s="12" t="s">
        <v>4271</v>
      </c>
      <c r="B1" s="12" t="s">
        <v>4272</v>
      </c>
      <c r="C1" s="19" t="s">
        <v>294</v>
      </c>
      <c r="D1" s="55" t="s">
        <v>248</v>
      </c>
      <c r="E1" s="11" t="s">
        <v>249</v>
      </c>
      <c r="F1" s="11" t="s">
        <v>250</v>
      </c>
      <c r="G1" s="11" t="s">
        <v>251</v>
      </c>
      <c r="J1" s="11" t="s">
        <v>4271</v>
      </c>
      <c r="K1" s="158" t="s">
        <v>4272</v>
      </c>
      <c r="O1" s="11" t="s">
        <v>4271</v>
      </c>
      <c r="P1" s="158" t="s">
        <v>4272</v>
      </c>
    </row>
    <row r="2">
      <c r="A2" s="25" t="s">
        <v>4273</v>
      </c>
      <c r="B2" s="25">
        <v>986.0</v>
      </c>
      <c r="C2" s="44" t="s">
        <v>4274</v>
      </c>
      <c r="D2" s="95">
        <v>0.8</v>
      </c>
      <c r="E2" s="95">
        <v>0.8</v>
      </c>
      <c r="F2" s="11" t="s">
        <v>1656</v>
      </c>
      <c r="I2" s="200"/>
      <c r="J2" s="11" t="s">
        <v>4273</v>
      </c>
      <c r="K2" s="158">
        <v>986.0</v>
      </c>
      <c r="O2" s="11" t="s">
        <v>4273</v>
      </c>
      <c r="P2" s="158">
        <v>986.0</v>
      </c>
    </row>
    <row r="3">
      <c r="A3" s="25" t="s">
        <v>4275</v>
      </c>
      <c r="B3" s="25">
        <v>986.0</v>
      </c>
      <c r="C3" s="44" t="s">
        <v>4274</v>
      </c>
      <c r="D3" s="95">
        <v>0.8</v>
      </c>
      <c r="E3" s="95">
        <v>0.8</v>
      </c>
      <c r="F3" s="11" t="s">
        <v>1656</v>
      </c>
      <c r="G3" s="21"/>
      <c r="I3" s="200"/>
      <c r="J3" s="11" t="s">
        <v>4275</v>
      </c>
      <c r="K3" s="158">
        <v>986.0</v>
      </c>
      <c r="O3" s="11" t="s">
        <v>4275</v>
      </c>
      <c r="P3" s="158">
        <v>986.0</v>
      </c>
    </row>
    <row r="4">
      <c r="A4" s="25" t="s">
        <v>4276</v>
      </c>
      <c r="B4" s="25">
        <v>986.0</v>
      </c>
      <c r="C4" s="44" t="s">
        <v>4274</v>
      </c>
      <c r="D4" s="95">
        <v>0.8</v>
      </c>
      <c r="E4" s="95">
        <v>0.8</v>
      </c>
      <c r="F4" s="11" t="s">
        <v>1656</v>
      </c>
      <c r="G4" s="21"/>
      <c r="I4" s="200"/>
      <c r="J4" s="11" t="s">
        <v>4276</v>
      </c>
      <c r="K4" s="158">
        <v>986.0</v>
      </c>
      <c r="O4" s="11" t="s">
        <v>4276</v>
      </c>
      <c r="P4" s="158">
        <v>986.0</v>
      </c>
    </row>
    <row r="5">
      <c r="A5" s="25" t="s">
        <v>4277</v>
      </c>
      <c r="B5" s="25">
        <v>2345.0</v>
      </c>
      <c r="C5" s="44" t="s">
        <v>4274</v>
      </c>
      <c r="D5" s="95">
        <v>0.9</v>
      </c>
      <c r="E5" s="95">
        <v>0.9</v>
      </c>
      <c r="F5" s="11" t="s">
        <v>1656</v>
      </c>
      <c r="G5" s="21"/>
      <c r="I5" s="200"/>
      <c r="J5" s="11" t="s">
        <v>4277</v>
      </c>
      <c r="K5" s="158">
        <v>2345.0</v>
      </c>
      <c r="O5" s="11" t="s">
        <v>4277</v>
      </c>
      <c r="P5" s="158">
        <v>2345.0</v>
      </c>
    </row>
    <row r="6">
      <c r="A6" s="25" t="s">
        <v>4278</v>
      </c>
      <c r="B6" s="25">
        <v>6675.0</v>
      </c>
      <c r="C6" s="44" t="s">
        <v>4274</v>
      </c>
      <c r="D6" s="95">
        <v>0.8</v>
      </c>
      <c r="E6" s="95">
        <v>0.8</v>
      </c>
      <c r="F6" s="11" t="s">
        <v>1656</v>
      </c>
      <c r="G6" s="21"/>
      <c r="I6" s="200"/>
      <c r="J6" s="11" t="s">
        <v>4278</v>
      </c>
      <c r="K6" s="158">
        <v>6675.0</v>
      </c>
      <c r="O6" s="11" t="s">
        <v>4278</v>
      </c>
      <c r="P6" s="158">
        <v>6675.0</v>
      </c>
    </row>
    <row r="7">
      <c r="A7" s="25" t="s">
        <v>4279</v>
      </c>
      <c r="B7" s="25">
        <v>6728.0</v>
      </c>
      <c r="C7" s="44" t="s">
        <v>4274</v>
      </c>
      <c r="D7" s="74">
        <v>0.75</v>
      </c>
      <c r="E7" s="74">
        <v>0.75</v>
      </c>
      <c r="F7" s="11" t="s">
        <v>1656</v>
      </c>
      <c r="G7" s="21"/>
      <c r="I7" s="200"/>
      <c r="J7" s="11" t="s">
        <v>4279</v>
      </c>
      <c r="K7" s="158">
        <v>6728.0</v>
      </c>
      <c r="O7" s="11" t="s">
        <v>4279</v>
      </c>
      <c r="P7" s="158">
        <v>6728.0</v>
      </c>
    </row>
    <row r="8">
      <c r="A8" s="25" t="s">
        <v>4280</v>
      </c>
      <c r="B8" s="25">
        <v>6729.0</v>
      </c>
      <c r="C8" s="44" t="s">
        <v>4274</v>
      </c>
      <c r="D8" s="95">
        <v>0.8</v>
      </c>
      <c r="E8" s="95">
        <v>0.8</v>
      </c>
      <c r="F8" s="11" t="s">
        <v>1656</v>
      </c>
      <c r="G8" s="21"/>
      <c r="I8" s="200"/>
      <c r="J8" s="11" t="s">
        <v>4280</v>
      </c>
      <c r="K8" s="158">
        <v>6729.0</v>
      </c>
      <c r="L8" s="11">
        <v>7033.0</v>
      </c>
      <c r="O8" s="11" t="s">
        <v>4280</v>
      </c>
      <c r="P8" s="158">
        <v>6729.0</v>
      </c>
    </row>
    <row r="9">
      <c r="A9" s="25" t="s">
        <v>4281</v>
      </c>
      <c r="B9" s="25">
        <v>2345.0</v>
      </c>
      <c r="C9" s="44" t="s">
        <v>4274</v>
      </c>
      <c r="D9" s="95">
        <v>0.9</v>
      </c>
      <c r="E9" s="95">
        <v>0.9</v>
      </c>
      <c r="F9" s="11" t="s">
        <v>1656</v>
      </c>
      <c r="G9" s="21"/>
      <c r="I9" s="200"/>
      <c r="J9" s="11" t="s">
        <v>4281</v>
      </c>
      <c r="K9" s="158">
        <v>2345.0</v>
      </c>
      <c r="O9" s="11" t="s">
        <v>4281</v>
      </c>
      <c r="P9" s="158">
        <v>2345.0</v>
      </c>
    </row>
    <row r="10">
      <c r="A10" s="25" t="s">
        <v>4282</v>
      </c>
      <c r="B10" s="25">
        <v>663.0</v>
      </c>
      <c r="C10" s="44" t="s">
        <v>4274</v>
      </c>
      <c r="D10" s="74">
        <v>0.75</v>
      </c>
      <c r="E10" s="74">
        <v>0.75</v>
      </c>
      <c r="F10" s="11" t="s">
        <v>1656</v>
      </c>
      <c r="G10" s="21"/>
      <c r="I10" s="200"/>
      <c r="J10" s="11" t="s">
        <v>4282</v>
      </c>
      <c r="K10" s="158">
        <v>663.0</v>
      </c>
      <c r="O10" s="11" t="s">
        <v>4282</v>
      </c>
      <c r="P10" s="158">
        <v>663.0</v>
      </c>
    </row>
    <row r="11">
      <c r="A11" s="25" t="s">
        <v>4283</v>
      </c>
      <c r="B11" s="25">
        <v>6893.0</v>
      </c>
      <c r="C11" s="44" t="s">
        <v>4274</v>
      </c>
      <c r="D11" s="74">
        <v>0.75</v>
      </c>
      <c r="E11" s="74">
        <v>0.75</v>
      </c>
      <c r="F11" s="11" t="s">
        <v>1656</v>
      </c>
      <c r="G11" s="21"/>
      <c r="I11" s="200"/>
      <c r="J11" s="11" t="s">
        <v>4283</v>
      </c>
      <c r="K11" s="158">
        <v>6893.0</v>
      </c>
      <c r="O11" s="11" t="s">
        <v>4283</v>
      </c>
      <c r="P11" s="158">
        <v>6893.0</v>
      </c>
    </row>
    <row r="12">
      <c r="A12" s="25" t="s">
        <v>4284</v>
      </c>
      <c r="B12" s="25">
        <v>5125.0</v>
      </c>
      <c r="C12" s="44" t="s">
        <v>4274</v>
      </c>
      <c r="D12" s="74">
        <v>0.75</v>
      </c>
      <c r="E12" s="74">
        <v>0.75</v>
      </c>
      <c r="F12" s="11" t="s">
        <v>1656</v>
      </c>
      <c r="G12" s="21"/>
      <c r="I12" s="200"/>
      <c r="J12" s="11" t="s">
        <v>4284</v>
      </c>
      <c r="K12" s="158">
        <v>5125.0</v>
      </c>
      <c r="O12" s="11" t="s">
        <v>4284</v>
      </c>
      <c r="P12" s="158">
        <v>5125.0</v>
      </c>
    </row>
    <row r="13">
      <c r="A13" s="25" t="s">
        <v>4285</v>
      </c>
      <c r="B13" s="42">
        <v>3616.0</v>
      </c>
      <c r="C13" s="44" t="s">
        <v>4274</v>
      </c>
      <c r="D13" s="74">
        <v>0.75</v>
      </c>
      <c r="E13" s="74">
        <v>0.75</v>
      </c>
      <c r="F13" s="11" t="s">
        <v>1656</v>
      </c>
      <c r="G13" s="21"/>
      <c r="I13" s="200"/>
      <c r="J13" s="35" t="s">
        <v>4285</v>
      </c>
      <c r="K13" s="204">
        <v>3616.0</v>
      </c>
      <c r="L13" s="35">
        <v>3307.0</v>
      </c>
      <c r="O13" s="35" t="s">
        <v>4285</v>
      </c>
      <c r="P13" s="204">
        <v>3616.0</v>
      </c>
    </row>
    <row r="14">
      <c r="A14" s="25" t="s">
        <v>4286</v>
      </c>
      <c r="B14" s="25">
        <v>9701.0</v>
      </c>
      <c r="C14" s="44" t="s">
        <v>4274</v>
      </c>
      <c r="D14" s="74">
        <v>0.75</v>
      </c>
      <c r="E14" s="74">
        <v>0.75</v>
      </c>
      <c r="F14" s="11" t="s">
        <v>1656</v>
      </c>
      <c r="G14" s="21"/>
      <c r="I14" s="200"/>
      <c r="J14" s="11" t="s">
        <v>4286</v>
      </c>
      <c r="K14" s="158">
        <v>9701.0</v>
      </c>
      <c r="O14" s="11" t="s">
        <v>4286</v>
      </c>
      <c r="P14" s="158">
        <v>9701.0</v>
      </c>
    </row>
    <row r="15">
      <c r="A15" s="25" t="s">
        <v>4287</v>
      </c>
      <c r="B15" s="25">
        <v>3607.0</v>
      </c>
      <c r="C15" s="44" t="s">
        <v>4274</v>
      </c>
      <c r="D15" s="74">
        <v>0.75</v>
      </c>
      <c r="E15" s="74">
        <v>0.75</v>
      </c>
      <c r="F15" s="11" t="s">
        <v>1656</v>
      </c>
      <c r="G15" s="21"/>
      <c r="I15" s="200"/>
      <c r="J15" s="11" t="s">
        <v>4287</v>
      </c>
      <c r="K15" s="158">
        <v>6675.0</v>
      </c>
      <c r="O15" s="11" t="s">
        <v>4287</v>
      </c>
      <c r="P15" s="158">
        <v>6675.0</v>
      </c>
    </row>
    <row r="16">
      <c r="A16" s="25" t="s">
        <v>4288</v>
      </c>
      <c r="B16" s="25">
        <v>6671.0</v>
      </c>
      <c r="C16" s="44" t="s">
        <v>4274</v>
      </c>
      <c r="D16" s="74">
        <v>0.75</v>
      </c>
      <c r="E16" s="74">
        <v>0.75</v>
      </c>
      <c r="F16" s="11" t="s">
        <v>1656</v>
      </c>
      <c r="G16" s="21"/>
      <c r="I16" s="200"/>
      <c r="J16" s="35" t="s">
        <v>4288</v>
      </c>
      <c r="K16" s="109">
        <v>6671.0</v>
      </c>
      <c r="L16" s="36"/>
      <c r="O16" s="35" t="s">
        <v>4288</v>
      </c>
      <c r="P16" s="109">
        <v>6671.0</v>
      </c>
    </row>
    <row r="17">
      <c r="A17" s="25" t="s">
        <v>4289</v>
      </c>
      <c r="B17" s="25">
        <v>7100.0</v>
      </c>
      <c r="C17" s="44" t="s">
        <v>4274</v>
      </c>
      <c r="D17" s="74">
        <v>0.75</v>
      </c>
      <c r="E17" s="74">
        <v>0.75</v>
      </c>
      <c r="F17" s="11" t="s">
        <v>1656</v>
      </c>
      <c r="G17" s="21"/>
      <c r="I17" s="200"/>
      <c r="J17" s="35" t="s">
        <v>4289</v>
      </c>
      <c r="K17" s="109">
        <v>7100.0</v>
      </c>
      <c r="L17" s="36"/>
      <c r="O17" s="35" t="s">
        <v>4289</v>
      </c>
      <c r="P17" s="109">
        <v>7100.0</v>
      </c>
    </row>
    <row r="18">
      <c r="A18" s="25" t="s">
        <v>4290</v>
      </c>
      <c r="B18" s="25">
        <v>3607.0</v>
      </c>
      <c r="C18" s="44" t="s">
        <v>4274</v>
      </c>
      <c r="D18" s="74">
        <v>0.75</v>
      </c>
      <c r="E18" s="74">
        <v>0.75</v>
      </c>
      <c r="F18" s="11" t="s">
        <v>1656</v>
      </c>
      <c r="G18" s="21"/>
      <c r="I18" s="200"/>
      <c r="J18" s="35" t="s">
        <v>4290</v>
      </c>
      <c r="K18" s="109">
        <v>6772.0</v>
      </c>
      <c r="L18" s="36"/>
      <c r="O18" s="35" t="s">
        <v>4290</v>
      </c>
      <c r="P18" s="109">
        <v>6772.0</v>
      </c>
    </row>
    <row r="19">
      <c r="A19" s="25" t="s">
        <v>4291</v>
      </c>
      <c r="B19" s="25">
        <v>10923.0</v>
      </c>
      <c r="C19" s="44" t="s">
        <v>4274</v>
      </c>
      <c r="D19" s="74">
        <v>0.75</v>
      </c>
      <c r="E19" s="74">
        <v>0.75</v>
      </c>
      <c r="F19" s="11" t="s">
        <v>1656</v>
      </c>
      <c r="G19" s="21"/>
      <c r="I19" s="200"/>
      <c r="J19" s="11" t="s">
        <v>4291</v>
      </c>
      <c r="K19" s="158">
        <v>10923.0</v>
      </c>
      <c r="O19" s="11" t="s">
        <v>4291</v>
      </c>
      <c r="P19" s="158">
        <v>10923.0</v>
      </c>
    </row>
    <row r="20">
      <c r="A20" s="25" t="s">
        <v>4292</v>
      </c>
      <c r="B20" s="25">
        <v>283.0</v>
      </c>
      <c r="C20" s="44" t="s">
        <v>4274</v>
      </c>
      <c r="D20" s="74">
        <v>0.75</v>
      </c>
      <c r="E20" s="74">
        <v>0.75</v>
      </c>
      <c r="F20" s="11" t="s">
        <v>1656</v>
      </c>
      <c r="G20" s="21"/>
      <c r="I20" s="200"/>
      <c r="J20" s="11" t="s">
        <v>4292</v>
      </c>
      <c r="K20" s="158">
        <v>283.0</v>
      </c>
      <c r="O20" s="11" t="s">
        <v>4292</v>
      </c>
      <c r="P20" s="158">
        <v>283.0</v>
      </c>
    </row>
    <row r="21">
      <c r="A21" s="25" t="s">
        <v>4293</v>
      </c>
      <c r="B21" s="25">
        <v>283.0</v>
      </c>
      <c r="C21" s="44" t="s">
        <v>4274</v>
      </c>
      <c r="D21" s="74">
        <v>0.75</v>
      </c>
      <c r="E21" s="74">
        <v>0.75</v>
      </c>
      <c r="F21" s="11" t="s">
        <v>1656</v>
      </c>
      <c r="G21" s="21"/>
      <c r="I21" s="200"/>
      <c r="J21" s="11" t="s">
        <v>4293</v>
      </c>
      <c r="K21" s="158">
        <v>283.0</v>
      </c>
      <c r="O21" s="11" t="s">
        <v>4293</v>
      </c>
      <c r="P21" s="158">
        <v>283.0</v>
      </c>
    </row>
    <row r="22">
      <c r="A22" s="25" t="s">
        <v>4294</v>
      </c>
      <c r="B22" s="25">
        <v>6785.0</v>
      </c>
      <c r="C22" s="44" t="s">
        <v>4274</v>
      </c>
      <c r="D22" s="74">
        <v>0.75</v>
      </c>
      <c r="E22" s="74">
        <v>0.75</v>
      </c>
      <c r="F22" s="11" t="s">
        <v>1656</v>
      </c>
      <c r="G22" s="21"/>
      <c r="I22" s="200"/>
      <c r="J22" s="11" t="s">
        <v>4294</v>
      </c>
      <c r="K22" s="158">
        <v>6785.0</v>
      </c>
      <c r="O22" s="11" t="s">
        <v>4294</v>
      </c>
      <c r="P22" s="158">
        <v>6785.0</v>
      </c>
    </row>
    <row r="23">
      <c r="A23" s="25" t="s">
        <v>4295</v>
      </c>
      <c r="B23" s="25">
        <v>6132.0</v>
      </c>
      <c r="C23" s="44" t="s">
        <v>4274</v>
      </c>
      <c r="D23" s="74">
        <v>0.75</v>
      </c>
      <c r="E23" s="74">
        <v>0.75</v>
      </c>
      <c r="F23" s="11" t="s">
        <v>1656</v>
      </c>
      <c r="G23" s="21"/>
      <c r="I23" s="200"/>
      <c r="J23" s="35" t="s">
        <v>4295</v>
      </c>
      <c r="K23" s="109">
        <v>6132.0</v>
      </c>
      <c r="L23" s="36"/>
      <c r="O23" s="35" t="s">
        <v>4295</v>
      </c>
      <c r="P23" s="109">
        <v>6132.0</v>
      </c>
    </row>
    <row r="24">
      <c r="A24" s="25" t="s">
        <v>4296</v>
      </c>
      <c r="B24" s="25">
        <v>11708.0</v>
      </c>
      <c r="C24" s="44" t="s">
        <v>4274</v>
      </c>
      <c r="D24" s="74">
        <v>0.75</v>
      </c>
      <c r="E24" s="74">
        <v>0.75</v>
      </c>
      <c r="F24" s="11" t="s">
        <v>1656</v>
      </c>
      <c r="G24" s="21"/>
      <c r="I24" s="200"/>
      <c r="J24" s="35" t="s">
        <v>4296</v>
      </c>
      <c r="K24" s="109">
        <v>11708.0</v>
      </c>
      <c r="L24" s="36"/>
      <c r="O24" s="35" t="s">
        <v>4296</v>
      </c>
      <c r="P24" s="109">
        <v>11708.0</v>
      </c>
    </row>
    <row r="25">
      <c r="A25" s="25" t="s">
        <v>4297</v>
      </c>
      <c r="B25" s="25">
        <v>8199.0</v>
      </c>
      <c r="C25" s="44" t="s">
        <v>4274</v>
      </c>
      <c r="D25" s="74">
        <v>0.75</v>
      </c>
      <c r="E25" s="74">
        <v>0.75</v>
      </c>
      <c r="F25" s="11" t="s">
        <v>1656</v>
      </c>
      <c r="G25" s="21"/>
      <c r="I25" s="200"/>
      <c r="J25" s="11" t="s">
        <v>4297</v>
      </c>
      <c r="K25" s="158">
        <v>8199.0</v>
      </c>
      <c r="O25" s="11" t="s">
        <v>4297</v>
      </c>
      <c r="P25" s="158">
        <v>8199.0</v>
      </c>
    </row>
    <row r="26">
      <c r="A26" s="25" t="s">
        <v>4298</v>
      </c>
      <c r="B26" s="25">
        <v>8199.0</v>
      </c>
      <c r="C26" s="44" t="s">
        <v>4274</v>
      </c>
      <c r="D26" s="74">
        <v>0.75</v>
      </c>
      <c r="E26" s="74">
        <v>0.75</v>
      </c>
      <c r="F26" s="11" t="s">
        <v>1656</v>
      </c>
      <c r="G26" s="21"/>
      <c r="I26" s="200"/>
      <c r="J26" s="11" t="s">
        <v>4298</v>
      </c>
      <c r="K26" s="158">
        <v>8199.0</v>
      </c>
      <c r="O26" s="11" t="s">
        <v>4298</v>
      </c>
      <c r="P26" s="158">
        <v>8199.0</v>
      </c>
    </row>
    <row r="27">
      <c r="A27" s="25" t="s">
        <v>4299</v>
      </c>
      <c r="B27" s="25">
        <v>7023.0</v>
      </c>
      <c r="C27" s="44" t="s">
        <v>4274</v>
      </c>
      <c r="D27" s="74">
        <v>0.75</v>
      </c>
      <c r="E27" s="74">
        <v>0.75</v>
      </c>
      <c r="F27" s="11" t="s">
        <v>1656</v>
      </c>
      <c r="G27" s="21"/>
      <c r="I27" s="200"/>
      <c r="J27" s="35" t="s">
        <v>4299</v>
      </c>
      <c r="K27" s="109">
        <v>7023.0</v>
      </c>
      <c r="L27" s="36"/>
      <c r="O27" s="35" t="s">
        <v>4299</v>
      </c>
      <c r="P27" s="109">
        <v>7023.0</v>
      </c>
    </row>
    <row r="28">
      <c r="A28" s="25" t="s">
        <v>4300</v>
      </c>
      <c r="B28" s="25">
        <v>6924.0</v>
      </c>
      <c r="C28" s="44" t="s">
        <v>4274</v>
      </c>
      <c r="D28" s="74">
        <v>0.75</v>
      </c>
      <c r="E28" s="74">
        <v>0.75</v>
      </c>
      <c r="F28" s="11" t="s">
        <v>1656</v>
      </c>
      <c r="G28" s="21"/>
      <c r="I28" s="200"/>
      <c r="J28" s="35" t="s">
        <v>4300</v>
      </c>
      <c r="K28" s="109">
        <v>6924.0</v>
      </c>
      <c r="L28" s="36"/>
      <c r="O28" s="35" t="s">
        <v>4300</v>
      </c>
      <c r="P28" s="109">
        <v>6924.0</v>
      </c>
    </row>
    <row r="29">
      <c r="A29" s="25" t="s">
        <v>4301</v>
      </c>
      <c r="B29" s="42">
        <v>3616.0</v>
      </c>
      <c r="C29" s="44" t="s">
        <v>4274</v>
      </c>
      <c r="D29" s="74">
        <v>0.75</v>
      </c>
      <c r="E29" s="74">
        <v>0.75</v>
      </c>
      <c r="F29" s="11" t="s">
        <v>1656</v>
      </c>
      <c r="G29" s="21"/>
      <c r="I29" s="200"/>
      <c r="J29" s="35" t="s">
        <v>4301</v>
      </c>
      <c r="K29" s="204">
        <v>3616.0</v>
      </c>
      <c r="L29" s="36"/>
      <c r="O29" s="35" t="s">
        <v>4301</v>
      </c>
      <c r="P29" s="204">
        <v>3616.0</v>
      </c>
    </row>
    <row r="30">
      <c r="A30" s="25" t="s">
        <v>4302</v>
      </c>
      <c r="B30" s="25">
        <v>2345.0</v>
      </c>
      <c r="C30" s="44" t="s">
        <v>4274</v>
      </c>
      <c r="D30" s="95">
        <v>0.9</v>
      </c>
      <c r="E30" s="95">
        <v>0.9</v>
      </c>
      <c r="F30" s="11" t="s">
        <v>1656</v>
      </c>
      <c r="G30" s="21"/>
      <c r="I30" s="200"/>
      <c r="J30" s="11" t="s">
        <v>4302</v>
      </c>
      <c r="K30" s="158">
        <v>2345.0</v>
      </c>
      <c r="O30" s="11" t="s">
        <v>4302</v>
      </c>
      <c r="P30" s="158">
        <v>2345.0</v>
      </c>
    </row>
    <row r="31">
      <c r="A31" s="25" t="s">
        <v>4303</v>
      </c>
      <c r="B31" s="25">
        <v>6887.0</v>
      </c>
      <c r="C31" s="44" t="s">
        <v>4274</v>
      </c>
      <c r="D31" s="74">
        <v>0.75</v>
      </c>
      <c r="E31" s="74">
        <v>0.75</v>
      </c>
      <c r="F31" s="11" t="s">
        <v>1656</v>
      </c>
      <c r="G31" s="21"/>
      <c r="I31" s="200"/>
      <c r="J31" s="11" t="s">
        <v>4303</v>
      </c>
      <c r="K31" s="158">
        <v>6887.0</v>
      </c>
      <c r="O31" s="11" t="s">
        <v>4303</v>
      </c>
      <c r="P31" s="158">
        <v>6887.0</v>
      </c>
    </row>
    <row r="32">
      <c r="A32" s="25" t="s">
        <v>4304</v>
      </c>
      <c r="B32" s="57">
        <v>6785.0</v>
      </c>
      <c r="C32" s="44" t="s">
        <v>4274</v>
      </c>
      <c r="D32" s="74">
        <v>0.75</v>
      </c>
      <c r="E32" s="74">
        <v>0.75</v>
      </c>
      <c r="F32" s="11" t="s">
        <v>1656</v>
      </c>
      <c r="G32" s="21"/>
      <c r="I32" s="200"/>
      <c r="J32" s="35" t="s">
        <v>4304</v>
      </c>
      <c r="K32" s="205">
        <v>6785.0</v>
      </c>
      <c r="L32" s="36"/>
      <c r="O32" s="35" t="s">
        <v>4304</v>
      </c>
      <c r="P32" s="205">
        <v>6785.0</v>
      </c>
    </row>
    <row r="33">
      <c r="A33" s="25" t="s">
        <v>4305</v>
      </c>
      <c r="B33" s="25">
        <v>11104.0</v>
      </c>
      <c r="C33" s="44" t="s">
        <v>4274</v>
      </c>
      <c r="D33" s="74">
        <v>0.75</v>
      </c>
      <c r="E33" s="74">
        <v>0.75</v>
      </c>
      <c r="F33" s="11" t="s">
        <v>1656</v>
      </c>
      <c r="G33" s="21"/>
      <c r="I33" s="200"/>
      <c r="J33" s="35" t="s">
        <v>4305</v>
      </c>
      <c r="K33" s="109">
        <v>11104.0</v>
      </c>
      <c r="L33" s="36"/>
      <c r="O33" s="35" t="s">
        <v>4305</v>
      </c>
      <c r="P33" s="109">
        <v>11104.0</v>
      </c>
    </row>
    <row r="34">
      <c r="A34" s="25" t="s">
        <v>4306</v>
      </c>
      <c r="B34" s="25">
        <v>9746.0</v>
      </c>
      <c r="C34" s="44" t="s">
        <v>4274</v>
      </c>
      <c r="D34" s="74">
        <v>0.75</v>
      </c>
      <c r="E34" s="74">
        <v>0.75</v>
      </c>
      <c r="F34" s="11" t="s">
        <v>1656</v>
      </c>
      <c r="G34" s="21"/>
      <c r="I34" s="200"/>
      <c r="J34" s="35" t="s">
        <v>4306</v>
      </c>
      <c r="K34" s="109">
        <v>9746.0</v>
      </c>
      <c r="L34" s="35">
        <v>6671.0</v>
      </c>
      <c r="O34" s="35" t="s">
        <v>4306</v>
      </c>
      <c r="P34" s="109">
        <v>9746.0</v>
      </c>
    </row>
    <row r="35">
      <c r="A35" s="25" t="s">
        <v>4307</v>
      </c>
      <c r="B35" s="25">
        <v>2345.0</v>
      </c>
      <c r="C35" s="44" t="s">
        <v>4274</v>
      </c>
      <c r="D35" s="95">
        <v>0.9</v>
      </c>
      <c r="E35" s="95">
        <v>0.9</v>
      </c>
      <c r="F35" s="11" t="s">
        <v>1656</v>
      </c>
      <c r="G35" s="21"/>
      <c r="I35" s="200"/>
      <c r="J35" s="11" t="s">
        <v>4307</v>
      </c>
      <c r="K35" s="158">
        <v>2345.0</v>
      </c>
      <c r="O35" s="11" t="s">
        <v>4307</v>
      </c>
      <c r="P35" s="158">
        <v>2345.0</v>
      </c>
    </row>
    <row r="36">
      <c r="A36" s="25" t="s">
        <v>4308</v>
      </c>
      <c r="B36" s="25">
        <v>6903.0</v>
      </c>
      <c r="C36" s="44" t="s">
        <v>4274</v>
      </c>
      <c r="D36" s="74">
        <v>0.75</v>
      </c>
      <c r="E36" s="74">
        <v>0.75</v>
      </c>
      <c r="F36" s="11" t="s">
        <v>1656</v>
      </c>
      <c r="G36" s="21"/>
      <c r="I36" s="200"/>
      <c r="J36" s="35" t="s">
        <v>4308</v>
      </c>
      <c r="K36" s="109">
        <v>6903.0</v>
      </c>
      <c r="L36" s="36"/>
      <c r="O36" s="35" t="s">
        <v>4308</v>
      </c>
      <c r="P36" s="109">
        <v>6903.0</v>
      </c>
    </row>
    <row r="37">
      <c r="A37" s="25" t="s">
        <v>4309</v>
      </c>
      <c r="B37" s="25">
        <v>7010.0</v>
      </c>
      <c r="C37" s="44" t="s">
        <v>4274</v>
      </c>
      <c r="D37" s="74">
        <v>0.75</v>
      </c>
      <c r="E37" s="74">
        <v>0.75</v>
      </c>
      <c r="F37" s="11" t="s">
        <v>1656</v>
      </c>
      <c r="G37" s="21"/>
      <c r="I37" s="200"/>
      <c r="J37" s="35" t="s">
        <v>4309</v>
      </c>
      <c r="K37" s="109">
        <v>7010.0</v>
      </c>
      <c r="L37" s="36"/>
      <c r="O37" s="35" t="s">
        <v>4309</v>
      </c>
      <c r="P37" s="109">
        <v>7010.0</v>
      </c>
    </row>
    <row r="38">
      <c r="A38" s="25" t="s">
        <v>4310</v>
      </c>
      <c r="B38" s="25">
        <v>5458.0</v>
      </c>
      <c r="C38" s="44" t="s">
        <v>4274</v>
      </c>
      <c r="D38" s="74">
        <v>0.75</v>
      </c>
      <c r="E38" s="74">
        <v>0.75</v>
      </c>
      <c r="F38" s="11" t="s">
        <v>1656</v>
      </c>
      <c r="G38" s="21"/>
      <c r="I38" s="200"/>
      <c r="J38" s="35" t="s">
        <v>4310</v>
      </c>
      <c r="K38" s="109">
        <v>5458.0</v>
      </c>
      <c r="L38" s="36"/>
      <c r="O38" s="35" t="s">
        <v>4310</v>
      </c>
      <c r="P38" s="109">
        <v>5458.0</v>
      </c>
      <c r="Q38" s="11">
        <v>6802.0</v>
      </c>
    </row>
    <row r="39">
      <c r="A39" s="25" t="s">
        <v>4311</v>
      </c>
      <c r="B39" s="25">
        <v>6924.0</v>
      </c>
      <c r="C39" s="44" t="s">
        <v>4274</v>
      </c>
      <c r="D39" s="74">
        <v>0.75</v>
      </c>
      <c r="E39" s="74">
        <v>0.75</v>
      </c>
      <c r="F39" s="11" t="s">
        <v>1656</v>
      </c>
      <c r="G39" s="21"/>
      <c r="I39" s="200"/>
      <c r="J39" s="11" t="s">
        <v>4311</v>
      </c>
      <c r="K39" s="158">
        <v>6924.0</v>
      </c>
      <c r="O39" s="11" t="s">
        <v>4311</v>
      </c>
      <c r="P39" s="158">
        <v>6924.0</v>
      </c>
    </row>
    <row r="40">
      <c r="A40" s="25" t="s">
        <v>4312</v>
      </c>
      <c r="B40" s="37">
        <v>3607.0</v>
      </c>
      <c r="C40" s="44" t="s">
        <v>4274</v>
      </c>
      <c r="D40" s="74">
        <v>0.75</v>
      </c>
      <c r="E40" s="74">
        <v>0.75</v>
      </c>
      <c r="F40" s="11" t="s">
        <v>1656</v>
      </c>
      <c r="G40" s="21"/>
      <c r="I40" s="200"/>
      <c r="J40" s="11" t="s">
        <v>4312</v>
      </c>
      <c r="K40" s="158">
        <v>6668.0</v>
      </c>
      <c r="O40" s="11" t="s">
        <v>4312</v>
      </c>
      <c r="P40" s="158">
        <v>6668.0</v>
      </c>
    </row>
    <row r="41">
      <c r="A41" s="25" t="s">
        <v>4313</v>
      </c>
      <c r="B41" s="37">
        <v>3607.0</v>
      </c>
      <c r="C41" s="44" t="s">
        <v>4274</v>
      </c>
      <c r="D41" s="74">
        <v>0.75</v>
      </c>
      <c r="E41" s="74">
        <v>0.75</v>
      </c>
      <c r="F41" s="11" t="s">
        <v>1656</v>
      </c>
      <c r="G41" s="21"/>
      <c r="I41" s="200"/>
      <c r="J41" s="11" t="s">
        <v>4313</v>
      </c>
      <c r="K41" s="158">
        <v>6668.0</v>
      </c>
      <c r="O41" s="11" t="s">
        <v>4313</v>
      </c>
      <c r="P41" s="158">
        <v>6668.0</v>
      </c>
    </row>
    <row r="42">
      <c r="A42" s="25" t="s">
        <v>4314</v>
      </c>
      <c r="B42" s="37">
        <v>3607.0</v>
      </c>
      <c r="C42" s="44" t="s">
        <v>4274</v>
      </c>
      <c r="D42" s="74">
        <v>0.75</v>
      </c>
      <c r="E42" s="74">
        <v>0.75</v>
      </c>
      <c r="F42" s="11" t="s">
        <v>1656</v>
      </c>
      <c r="G42" s="21"/>
      <c r="I42" s="200"/>
      <c r="J42" s="11" t="s">
        <v>4314</v>
      </c>
      <c r="K42" s="158">
        <v>6668.0</v>
      </c>
      <c r="O42" s="11" t="s">
        <v>4314</v>
      </c>
      <c r="P42" s="158">
        <v>6668.0</v>
      </c>
    </row>
    <row r="43">
      <c r="A43" s="25" t="s">
        <v>4315</v>
      </c>
      <c r="B43" s="37">
        <v>3607.0</v>
      </c>
      <c r="C43" s="44" t="s">
        <v>4274</v>
      </c>
      <c r="D43" s="74">
        <v>0.75</v>
      </c>
      <c r="E43" s="74">
        <v>0.75</v>
      </c>
      <c r="F43" s="11" t="s">
        <v>1656</v>
      </c>
      <c r="G43" s="21"/>
      <c r="I43" s="200"/>
      <c r="J43" s="35" t="s">
        <v>4315</v>
      </c>
      <c r="K43" s="109">
        <v>6668.0</v>
      </c>
      <c r="L43" s="36"/>
      <c r="O43" s="35" t="s">
        <v>4315</v>
      </c>
      <c r="P43" s="109">
        <v>6668.0</v>
      </c>
    </row>
    <row r="44">
      <c r="A44" s="25" t="s">
        <v>4316</v>
      </c>
      <c r="B44" s="25">
        <v>6927.0</v>
      </c>
      <c r="C44" s="44" t="s">
        <v>4274</v>
      </c>
      <c r="D44" s="74">
        <v>0.75</v>
      </c>
      <c r="E44" s="74">
        <v>0.75</v>
      </c>
      <c r="F44" s="11" t="s">
        <v>1656</v>
      </c>
      <c r="G44" s="21"/>
      <c r="I44" s="200"/>
      <c r="J44" s="11" t="s">
        <v>4316</v>
      </c>
      <c r="K44" s="158">
        <v>6927.0</v>
      </c>
      <c r="O44" s="11" t="s">
        <v>4316</v>
      </c>
      <c r="P44" s="158">
        <v>6927.0</v>
      </c>
    </row>
    <row r="45">
      <c r="A45" s="25" t="s">
        <v>4317</v>
      </c>
      <c r="B45" s="25">
        <v>6675.0</v>
      </c>
      <c r="C45" s="44" t="s">
        <v>4274</v>
      </c>
      <c r="D45" s="95">
        <v>0.8</v>
      </c>
      <c r="E45" s="95">
        <v>0.8</v>
      </c>
      <c r="F45" s="11" t="s">
        <v>1656</v>
      </c>
      <c r="G45" s="21"/>
      <c r="I45" s="200"/>
      <c r="J45" s="11" t="s">
        <v>4317</v>
      </c>
      <c r="K45" s="158">
        <v>6675.0</v>
      </c>
      <c r="O45" s="11" t="s">
        <v>4317</v>
      </c>
      <c r="P45" s="158">
        <v>6675.0</v>
      </c>
    </row>
    <row r="46">
      <c r="A46" s="25" t="s">
        <v>4318</v>
      </c>
      <c r="B46" s="25">
        <v>13864.0</v>
      </c>
      <c r="C46" s="44" t="s">
        <v>4274</v>
      </c>
      <c r="D46" s="74">
        <v>0.75</v>
      </c>
      <c r="E46" s="74">
        <v>0.75</v>
      </c>
      <c r="F46" s="11" t="s">
        <v>1656</v>
      </c>
      <c r="G46" s="21"/>
      <c r="I46" s="200"/>
      <c r="J46" s="11" t="s">
        <v>4318</v>
      </c>
      <c r="K46" s="158">
        <v>13864.0</v>
      </c>
      <c r="L46" s="11">
        <v>6671.0</v>
      </c>
      <c r="O46" s="11" t="s">
        <v>4318</v>
      </c>
      <c r="P46" s="158">
        <v>13864.0</v>
      </c>
    </row>
    <row r="47">
      <c r="A47" s="25" t="s">
        <v>4319</v>
      </c>
      <c r="B47" s="25">
        <v>6970.0</v>
      </c>
      <c r="C47" s="44" t="s">
        <v>4274</v>
      </c>
      <c r="D47" s="74">
        <v>0.75</v>
      </c>
      <c r="E47" s="74">
        <v>0.75</v>
      </c>
      <c r="F47" s="11" t="s">
        <v>1656</v>
      </c>
      <c r="G47" s="21"/>
      <c r="I47" s="200"/>
      <c r="J47" s="35" t="s">
        <v>4319</v>
      </c>
      <c r="K47" s="109">
        <v>6970.0</v>
      </c>
      <c r="L47" s="36"/>
      <c r="O47" s="35" t="s">
        <v>4319</v>
      </c>
      <c r="P47" s="109">
        <v>6970.0</v>
      </c>
    </row>
    <row r="48">
      <c r="A48" s="25" t="s">
        <v>4320</v>
      </c>
      <c r="B48" s="25">
        <v>7137.0</v>
      </c>
      <c r="C48" s="44" t="s">
        <v>4274</v>
      </c>
      <c r="D48" s="74">
        <v>0.75</v>
      </c>
      <c r="E48" s="74">
        <v>0.75</v>
      </c>
      <c r="F48" s="11" t="s">
        <v>1656</v>
      </c>
      <c r="G48" s="21"/>
      <c r="I48" s="200"/>
      <c r="J48" s="35" t="s">
        <v>4320</v>
      </c>
      <c r="K48" s="109">
        <v>7137.0</v>
      </c>
      <c r="L48" s="36"/>
      <c r="O48" s="35" t="s">
        <v>4320</v>
      </c>
      <c r="P48" s="109">
        <v>7137.0</v>
      </c>
    </row>
    <row r="49">
      <c r="A49" s="25" t="s">
        <v>4321</v>
      </c>
      <c r="B49" s="25">
        <v>11708.0</v>
      </c>
      <c r="C49" s="44" t="s">
        <v>4274</v>
      </c>
      <c r="D49" s="74">
        <v>0.75</v>
      </c>
      <c r="E49" s="74">
        <v>0.75</v>
      </c>
      <c r="F49" s="11" t="s">
        <v>1656</v>
      </c>
      <c r="G49" s="21"/>
      <c r="I49" s="200"/>
      <c r="J49" s="35" t="s">
        <v>4321</v>
      </c>
      <c r="K49" s="109">
        <v>11708.0</v>
      </c>
      <c r="L49" s="36"/>
      <c r="O49" s="35" t="s">
        <v>4321</v>
      </c>
      <c r="P49" s="109">
        <v>11708.0</v>
      </c>
    </row>
    <row r="50">
      <c r="A50" s="25" t="s">
        <v>4322</v>
      </c>
      <c r="B50" s="25">
        <v>7157.0</v>
      </c>
      <c r="C50" s="44" t="s">
        <v>4274</v>
      </c>
      <c r="D50" s="74">
        <v>0.75</v>
      </c>
      <c r="E50" s="74">
        <v>0.75</v>
      </c>
      <c r="F50" s="11" t="s">
        <v>1656</v>
      </c>
      <c r="G50" s="21"/>
      <c r="I50" s="200"/>
      <c r="J50" s="11" t="s">
        <v>4322</v>
      </c>
      <c r="K50" s="158">
        <v>7157.0</v>
      </c>
      <c r="O50" s="11" t="s">
        <v>4322</v>
      </c>
      <c r="P50" s="158">
        <v>7157.0</v>
      </c>
    </row>
    <row r="51">
      <c r="A51" s="25" t="s">
        <v>4323</v>
      </c>
      <c r="B51" s="37">
        <v>6772.0</v>
      </c>
      <c r="C51" s="44" t="s">
        <v>4274</v>
      </c>
      <c r="D51" s="74">
        <v>0.75</v>
      </c>
      <c r="E51" s="74">
        <v>0.75</v>
      </c>
      <c r="F51" s="11" t="s">
        <v>1656</v>
      </c>
      <c r="G51" s="21"/>
      <c r="I51" s="200"/>
      <c r="J51" s="35" t="s">
        <v>4323</v>
      </c>
      <c r="K51" s="109">
        <v>7040.0</v>
      </c>
      <c r="L51" s="36"/>
      <c r="O51" s="35" t="s">
        <v>4323</v>
      </c>
      <c r="P51" s="109">
        <v>7040.0</v>
      </c>
    </row>
    <row r="52">
      <c r="A52" s="25" t="s">
        <v>4324</v>
      </c>
      <c r="B52" s="25">
        <v>10856.0</v>
      </c>
      <c r="C52" s="44" t="s">
        <v>4274</v>
      </c>
      <c r="D52" s="74">
        <v>0.75</v>
      </c>
      <c r="E52" s="74">
        <v>0.75</v>
      </c>
      <c r="F52" s="11" t="s">
        <v>1656</v>
      </c>
      <c r="G52" s="21"/>
      <c r="I52" s="200"/>
      <c r="J52" s="11" t="s">
        <v>4324</v>
      </c>
      <c r="K52" s="158">
        <v>10856.0</v>
      </c>
      <c r="O52" s="11" t="s">
        <v>4324</v>
      </c>
      <c r="P52" s="158">
        <v>10856.0</v>
      </c>
    </row>
    <row r="53">
      <c r="A53" s="25" t="s">
        <v>4325</v>
      </c>
      <c r="B53" s="25">
        <v>9307.0</v>
      </c>
      <c r="C53" s="44" t="s">
        <v>4274</v>
      </c>
      <c r="D53" s="74">
        <v>0.75</v>
      </c>
      <c r="E53" s="74">
        <v>0.75</v>
      </c>
      <c r="F53" s="11" t="s">
        <v>1656</v>
      </c>
      <c r="G53" s="21"/>
      <c r="I53" s="200"/>
      <c r="J53" s="11" t="s">
        <v>4325</v>
      </c>
      <c r="K53" s="158">
        <v>9307.0</v>
      </c>
      <c r="O53" s="11" t="s">
        <v>4325</v>
      </c>
      <c r="P53" s="158">
        <v>9307.0</v>
      </c>
    </row>
    <row r="54">
      <c r="A54" s="25" t="s">
        <v>4326</v>
      </c>
      <c r="B54" s="25">
        <v>189.0</v>
      </c>
      <c r="C54" s="44" t="s">
        <v>4274</v>
      </c>
      <c r="D54" s="74">
        <v>0.75</v>
      </c>
      <c r="E54" s="74">
        <v>0.75</v>
      </c>
      <c r="F54" s="11" t="s">
        <v>1656</v>
      </c>
      <c r="G54" s="21"/>
      <c r="I54" s="200"/>
      <c r="J54" s="11" t="s">
        <v>4326</v>
      </c>
      <c r="K54" s="158">
        <v>189.0</v>
      </c>
      <c r="O54" s="11" t="s">
        <v>4326</v>
      </c>
      <c r="P54" s="158">
        <v>189.0</v>
      </c>
    </row>
    <row r="55">
      <c r="A55" s="25" t="s">
        <v>4327</v>
      </c>
      <c r="B55" s="25">
        <v>189.0</v>
      </c>
      <c r="C55" s="44" t="s">
        <v>4274</v>
      </c>
      <c r="D55" s="74">
        <v>0.75</v>
      </c>
      <c r="E55" s="74">
        <v>0.75</v>
      </c>
      <c r="F55" s="11" t="s">
        <v>1656</v>
      </c>
      <c r="G55" s="21"/>
      <c r="I55" s="200"/>
      <c r="J55" s="11" t="s">
        <v>4327</v>
      </c>
      <c r="K55" s="158">
        <v>189.0</v>
      </c>
      <c r="O55" s="11" t="s">
        <v>4327</v>
      </c>
      <c r="P55" s="158">
        <v>189.0</v>
      </c>
    </row>
    <row r="56">
      <c r="A56" s="25" t="s">
        <v>4328</v>
      </c>
      <c r="B56" s="25">
        <v>12932.0</v>
      </c>
      <c r="C56" s="44" t="s">
        <v>4274</v>
      </c>
      <c r="D56" s="74">
        <v>0.75</v>
      </c>
      <c r="E56" s="74">
        <v>0.75</v>
      </c>
      <c r="F56" s="11" t="s">
        <v>1656</v>
      </c>
      <c r="G56" s="21"/>
      <c r="I56" s="200"/>
      <c r="J56" s="11" t="s">
        <v>4328</v>
      </c>
      <c r="K56" s="158">
        <v>12932.0</v>
      </c>
      <c r="O56" s="11" t="s">
        <v>4328</v>
      </c>
      <c r="P56" s="158">
        <v>12932.0</v>
      </c>
    </row>
    <row r="57">
      <c r="A57" s="25" t="s">
        <v>4329</v>
      </c>
      <c r="B57" s="25">
        <v>315.0</v>
      </c>
      <c r="C57" s="44" t="s">
        <v>4274</v>
      </c>
      <c r="D57" s="74">
        <v>0.75</v>
      </c>
      <c r="E57" s="74">
        <v>0.75</v>
      </c>
      <c r="F57" s="11" t="s">
        <v>1656</v>
      </c>
      <c r="G57" s="21"/>
      <c r="I57" s="200"/>
      <c r="J57" s="35" t="s">
        <v>4329</v>
      </c>
      <c r="K57" s="109">
        <v>315.0</v>
      </c>
      <c r="L57" s="36"/>
      <c r="O57" s="35" t="s">
        <v>4329</v>
      </c>
      <c r="P57" s="109">
        <v>315.0</v>
      </c>
    </row>
    <row r="58">
      <c r="A58" s="25" t="s">
        <v>4330</v>
      </c>
      <c r="B58" s="25">
        <v>2345.0</v>
      </c>
      <c r="C58" s="44" t="s">
        <v>4274</v>
      </c>
      <c r="D58" s="95">
        <v>0.9</v>
      </c>
      <c r="E58" s="95">
        <v>0.9</v>
      </c>
      <c r="F58" s="11" t="s">
        <v>1656</v>
      </c>
      <c r="G58" s="21"/>
      <c r="I58" s="200"/>
      <c r="J58" s="11" t="s">
        <v>4330</v>
      </c>
      <c r="K58" s="158">
        <v>2345.0</v>
      </c>
      <c r="O58" s="11" t="s">
        <v>4330</v>
      </c>
      <c r="P58" s="158">
        <v>2345.0</v>
      </c>
    </row>
    <row r="59">
      <c r="A59" s="25" t="s">
        <v>4331</v>
      </c>
      <c r="B59" s="25">
        <v>6671.0</v>
      </c>
      <c r="C59" s="44" t="s">
        <v>4274</v>
      </c>
      <c r="D59" s="74">
        <v>0.75</v>
      </c>
      <c r="E59" s="74">
        <v>0.75</v>
      </c>
      <c r="F59" s="11" t="s">
        <v>1656</v>
      </c>
      <c r="G59" s="21"/>
      <c r="I59" s="200"/>
      <c r="J59" s="11" t="s">
        <v>4331</v>
      </c>
      <c r="K59" s="158">
        <v>6671.0</v>
      </c>
      <c r="O59" s="11" t="s">
        <v>4331</v>
      </c>
      <c r="P59" s="158">
        <v>6671.0</v>
      </c>
      <c r="Q59" s="11">
        <v>6671.0</v>
      </c>
    </row>
    <row r="60">
      <c r="A60" s="25" t="s">
        <v>4332</v>
      </c>
      <c r="B60" s="25">
        <v>189.0</v>
      </c>
      <c r="C60" s="44" t="s">
        <v>4274</v>
      </c>
      <c r="D60" s="74">
        <v>0.75</v>
      </c>
      <c r="E60" s="74">
        <v>0.75</v>
      </c>
      <c r="F60" s="11" t="s">
        <v>1656</v>
      </c>
      <c r="G60" s="21"/>
      <c r="I60" s="200"/>
      <c r="J60" s="11" t="s">
        <v>4332</v>
      </c>
      <c r="K60" s="158">
        <v>189.0</v>
      </c>
      <c r="O60" s="11" t="s">
        <v>4332</v>
      </c>
      <c r="P60" s="158">
        <v>189.0</v>
      </c>
      <c r="Q60" s="11">
        <v>6936.0</v>
      </c>
    </row>
    <row r="61">
      <c r="A61" s="25" t="s">
        <v>4333</v>
      </c>
      <c r="B61" s="25">
        <v>12550.0</v>
      </c>
      <c r="C61" s="44" t="s">
        <v>4274</v>
      </c>
      <c r="D61" s="74">
        <v>0.75</v>
      </c>
      <c r="E61" s="74">
        <v>0.75</v>
      </c>
      <c r="F61" s="11" t="s">
        <v>1656</v>
      </c>
      <c r="G61" s="40"/>
      <c r="I61" s="200"/>
      <c r="J61" s="35" t="s">
        <v>4333</v>
      </c>
      <c r="K61" s="109">
        <v>12550.0</v>
      </c>
      <c r="L61" s="36"/>
      <c r="O61" s="35" t="s">
        <v>4333</v>
      </c>
      <c r="P61" s="109">
        <v>12550.0</v>
      </c>
    </row>
    <row r="62">
      <c r="A62" s="25" t="s">
        <v>4334</v>
      </c>
      <c r="B62" s="25">
        <v>189.0</v>
      </c>
      <c r="C62" s="44" t="s">
        <v>4274</v>
      </c>
      <c r="D62" s="74">
        <v>0.75</v>
      </c>
      <c r="E62" s="74">
        <v>0.75</v>
      </c>
      <c r="F62" s="11" t="s">
        <v>1656</v>
      </c>
      <c r="G62" s="40"/>
      <c r="I62" s="200"/>
      <c r="J62" s="11" t="s">
        <v>4334</v>
      </c>
      <c r="K62" s="158">
        <v>189.0</v>
      </c>
      <c r="O62" s="11" t="s">
        <v>4334</v>
      </c>
      <c r="P62" s="158">
        <v>189.0</v>
      </c>
      <c r="Q62" s="11">
        <v>7003.0</v>
      </c>
    </row>
    <row r="63">
      <c r="A63" s="25" t="s">
        <v>4335</v>
      </c>
      <c r="B63" s="25">
        <v>6875.0</v>
      </c>
      <c r="C63" s="44" t="s">
        <v>4274</v>
      </c>
      <c r="D63" s="74">
        <v>0.75</v>
      </c>
      <c r="E63" s="74">
        <v>0.75</v>
      </c>
      <c r="F63" s="11" t="s">
        <v>1656</v>
      </c>
      <c r="G63" s="40"/>
      <c r="I63" s="200"/>
      <c r="J63" s="11" t="s">
        <v>4335</v>
      </c>
      <c r="K63" s="158">
        <v>6875.0</v>
      </c>
      <c r="O63" s="11" t="s">
        <v>4335</v>
      </c>
      <c r="P63" s="158">
        <v>6875.0</v>
      </c>
    </row>
    <row r="64">
      <c r="A64" s="25" t="s">
        <v>4336</v>
      </c>
      <c r="B64" s="25">
        <v>2507.0</v>
      </c>
      <c r="C64" s="44" t="s">
        <v>4274</v>
      </c>
      <c r="D64" s="74">
        <v>0.75</v>
      </c>
      <c r="E64" s="74">
        <v>0.75</v>
      </c>
      <c r="F64" s="11" t="s">
        <v>1656</v>
      </c>
      <c r="G64" s="40"/>
      <c r="I64" s="200"/>
      <c r="J64" s="11" t="s">
        <v>4336</v>
      </c>
      <c r="K64" s="158">
        <v>2507.0</v>
      </c>
      <c r="O64" s="11" t="s">
        <v>4336</v>
      </c>
      <c r="P64" s="158">
        <v>2507.0</v>
      </c>
    </row>
    <row r="65">
      <c r="A65" s="25" t="s">
        <v>4337</v>
      </c>
      <c r="B65" s="25">
        <v>2507.0</v>
      </c>
      <c r="C65" s="44" t="s">
        <v>4274</v>
      </c>
      <c r="D65" s="74">
        <v>0.75</v>
      </c>
      <c r="E65" s="74">
        <v>0.75</v>
      </c>
      <c r="F65" s="11" t="s">
        <v>1656</v>
      </c>
      <c r="G65" s="40"/>
      <c r="I65" s="200"/>
      <c r="J65" s="11" t="s">
        <v>4337</v>
      </c>
      <c r="K65" s="158">
        <v>2507.0</v>
      </c>
      <c r="O65" s="11" t="s">
        <v>4337</v>
      </c>
      <c r="P65" s="158">
        <v>2507.0</v>
      </c>
    </row>
    <row r="66">
      <c r="A66" s="25" t="s">
        <v>4338</v>
      </c>
      <c r="B66" s="25">
        <v>2507.0</v>
      </c>
      <c r="C66" s="44" t="s">
        <v>4274</v>
      </c>
      <c r="D66" s="74">
        <v>0.75</v>
      </c>
      <c r="E66" s="74">
        <v>0.75</v>
      </c>
      <c r="F66" s="11" t="s">
        <v>1656</v>
      </c>
      <c r="G66" s="40"/>
      <c r="I66" s="200"/>
      <c r="J66" s="35" t="s">
        <v>4338</v>
      </c>
      <c r="K66" s="109">
        <v>2507.0</v>
      </c>
      <c r="L66" s="36"/>
      <c r="O66" s="35" t="s">
        <v>4338</v>
      </c>
      <c r="P66" s="109">
        <v>2507.0</v>
      </c>
    </row>
    <row r="67">
      <c r="A67" s="25" t="s">
        <v>4339</v>
      </c>
      <c r="B67" s="25">
        <v>663.0</v>
      </c>
      <c r="C67" s="44" t="s">
        <v>4274</v>
      </c>
      <c r="D67" s="74">
        <v>0.75</v>
      </c>
      <c r="E67" s="74">
        <v>0.75</v>
      </c>
      <c r="F67" s="11" t="s">
        <v>1656</v>
      </c>
      <c r="G67" s="40"/>
      <c r="I67" s="200"/>
      <c r="J67" s="11" t="s">
        <v>4339</v>
      </c>
      <c r="K67" s="158">
        <v>663.0</v>
      </c>
      <c r="O67" s="11" t="s">
        <v>4339</v>
      </c>
      <c r="P67" s="158">
        <v>663.0</v>
      </c>
    </row>
    <row r="68">
      <c r="A68" s="25" t="s">
        <v>4340</v>
      </c>
      <c r="B68" s="25">
        <v>5389.0</v>
      </c>
      <c r="C68" s="44" t="s">
        <v>4274</v>
      </c>
      <c r="D68" s="74">
        <v>0.75</v>
      </c>
      <c r="E68" s="74">
        <v>0.75</v>
      </c>
      <c r="F68" s="11" t="s">
        <v>1656</v>
      </c>
      <c r="G68" s="40"/>
      <c r="I68" s="200"/>
      <c r="J68" s="35" t="s">
        <v>4340</v>
      </c>
      <c r="K68" s="109">
        <v>5389.0</v>
      </c>
      <c r="L68" s="36"/>
      <c r="O68" s="35" t="s">
        <v>4340</v>
      </c>
      <c r="P68" s="109">
        <v>5389.0</v>
      </c>
    </row>
    <row r="69">
      <c r="A69" s="25" t="s">
        <v>4341</v>
      </c>
      <c r="B69" s="25">
        <v>663.0</v>
      </c>
      <c r="C69" s="44" t="s">
        <v>4274</v>
      </c>
      <c r="D69" s="74">
        <v>0.75</v>
      </c>
      <c r="E69" s="74">
        <v>0.75</v>
      </c>
      <c r="F69" s="11" t="s">
        <v>1656</v>
      </c>
      <c r="G69" s="40"/>
      <c r="I69" s="200"/>
      <c r="J69" s="11" t="s">
        <v>4341</v>
      </c>
      <c r="K69" s="158">
        <v>663.0</v>
      </c>
      <c r="O69" s="11" t="s">
        <v>4341</v>
      </c>
      <c r="P69" s="158">
        <v>663.0</v>
      </c>
    </row>
    <row r="70">
      <c r="A70" s="25" t="s">
        <v>4342</v>
      </c>
      <c r="B70" s="25">
        <v>2345.0</v>
      </c>
      <c r="C70" s="44" t="s">
        <v>4274</v>
      </c>
      <c r="D70" s="95">
        <v>0.9</v>
      </c>
      <c r="E70" s="95">
        <v>0.9</v>
      </c>
      <c r="F70" s="11" t="s">
        <v>1656</v>
      </c>
      <c r="G70" s="40"/>
      <c r="I70" s="200"/>
      <c r="J70" s="35" t="s">
        <v>4342</v>
      </c>
      <c r="K70" s="109">
        <v>2345.0</v>
      </c>
      <c r="L70" s="36"/>
      <c r="O70" s="35" t="s">
        <v>4342</v>
      </c>
      <c r="P70" s="109">
        <v>2345.0</v>
      </c>
    </row>
    <row r="71">
      <c r="A71" s="25" t="s">
        <v>4343</v>
      </c>
      <c r="B71" s="25">
        <v>11875.0</v>
      </c>
      <c r="C71" s="44" t="s">
        <v>4274</v>
      </c>
      <c r="D71" s="74">
        <v>0.75</v>
      </c>
      <c r="E71" s="74">
        <v>0.75</v>
      </c>
      <c r="F71" s="11" t="s">
        <v>1656</v>
      </c>
      <c r="G71" s="40"/>
      <c r="I71" s="200"/>
      <c r="J71" s="35" t="s">
        <v>4343</v>
      </c>
      <c r="K71" s="109">
        <v>11875.0</v>
      </c>
      <c r="L71" s="36"/>
      <c r="O71" s="35" t="s">
        <v>4343</v>
      </c>
      <c r="P71" s="109">
        <v>11875.0</v>
      </c>
    </row>
    <row r="72">
      <c r="A72" s="25" t="s">
        <v>4344</v>
      </c>
      <c r="B72" s="25">
        <v>663.0</v>
      </c>
      <c r="C72" s="44" t="s">
        <v>4274</v>
      </c>
      <c r="D72" s="74">
        <v>0.75</v>
      </c>
      <c r="E72" s="74">
        <v>0.75</v>
      </c>
      <c r="F72" s="11" t="s">
        <v>1656</v>
      </c>
      <c r="G72" s="40"/>
      <c r="I72" s="200"/>
      <c r="J72" s="11" t="s">
        <v>4344</v>
      </c>
      <c r="K72" s="158">
        <v>663.0</v>
      </c>
      <c r="O72" s="11" t="s">
        <v>4344</v>
      </c>
      <c r="P72" s="158">
        <v>663.0</v>
      </c>
    </row>
    <row r="73">
      <c r="A73" s="25" t="s">
        <v>4345</v>
      </c>
      <c r="B73" s="25">
        <v>6728.0</v>
      </c>
      <c r="C73" s="44" t="s">
        <v>4274</v>
      </c>
      <c r="D73" s="74">
        <v>0.75</v>
      </c>
      <c r="E73" s="74">
        <v>0.75</v>
      </c>
      <c r="F73" s="11" t="s">
        <v>1656</v>
      </c>
      <c r="G73" s="40"/>
      <c r="I73" s="200"/>
      <c r="J73" s="11" t="s">
        <v>4345</v>
      </c>
      <c r="K73" s="158">
        <v>6728.0</v>
      </c>
      <c r="O73" s="11" t="s">
        <v>4345</v>
      </c>
      <c r="P73" s="158">
        <v>6728.0</v>
      </c>
    </row>
    <row r="74">
      <c r="A74" s="25" t="s">
        <v>4346</v>
      </c>
      <c r="B74" s="25">
        <v>7031.0</v>
      </c>
      <c r="C74" s="44" t="s">
        <v>4274</v>
      </c>
      <c r="D74" s="74">
        <v>0.75</v>
      </c>
      <c r="E74" s="74">
        <v>0.75</v>
      </c>
      <c r="F74" s="11" t="s">
        <v>1656</v>
      </c>
      <c r="G74" s="40"/>
      <c r="I74" s="200"/>
      <c r="J74" s="11" t="s">
        <v>4346</v>
      </c>
      <c r="K74" s="158">
        <v>7031.0</v>
      </c>
      <c r="O74" s="11" t="s">
        <v>4346</v>
      </c>
      <c r="P74" s="158">
        <v>7031.0</v>
      </c>
    </row>
    <row r="75">
      <c r="A75" s="25" t="s">
        <v>4347</v>
      </c>
      <c r="B75" s="25">
        <v>6557.0</v>
      </c>
      <c r="C75" s="44" t="s">
        <v>4274</v>
      </c>
      <c r="D75" s="95">
        <v>0.8</v>
      </c>
      <c r="E75" s="95">
        <v>0.8</v>
      </c>
      <c r="F75" s="11" t="s">
        <v>1656</v>
      </c>
      <c r="G75" s="40"/>
      <c r="I75" s="200"/>
      <c r="J75" s="11" t="s">
        <v>4347</v>
      </c>
      <c r="K75" s="158">
        <v>6557.0</v>
      </c>
      <c r="O75" s="11" t="s">
        <v>4347</v>
      </c>
      <c r="P75" s="158">
        <v>6557.0</v>
      </c>
    </row>
    <row r="76">
      <c r="A76" s="25" t="s">
        <v>4348</v>
      </c>
      <c r="B76" s="25">
        <v>12609.0</v>
      </c>
      <c r="C76" s="44" t="s">
        <v>4274</v>
      </c>
      <c r="D76" s="74">
        <v>0.75</v>
      </c>
      <c r="E76" s="74">
        <v>0.75</v>
      </c>
      <c r="F76" s="11" t="s">
        <v>1656</v>
      </c>
      <c r="G76" s="40"/>
      <c r="I76" s="200"/>
      <c r="J76" s="35" t="s">
        <v>4348</v>
      </c>
      <c r="K76" s="109">
        <v>12609.0</v>
      </c>
      <c r="L76" s="36"/>
      <c r="O76" s="35" t="s">
        <v>4348</v>
      </c>
      <c r="P76" s="109">
        <v>12609.0</v>
      </c>
    </row>
    <row r="77">
      <c r="A77" s="25" t="s">
        <v>4349</v>
      </c>
      <c r="B77" s="25">
        <v>6891.0</v>
      </c>
      <c r="C77" s="44" t="s">
        <v>4274</v>
      </c>
      <c r="D77" s="74">
        <v>0.75</v>
      </c>
      <c r="E77" s="74">
        <v>0.75</v>
      </c>
      <c r="F77" s="11" t="s">
        <v>1656</v>
      </c>
      <c r="G77" s="40"/>
      <c r="I77" s="200"/>
      <c r="J77" s="11" t="s">
        <v>4349</v>
      </c>
      <c r="K77" s="158">
        <v>6891.0</v>
      </c>
      <c r="O77" s="11" t="s">
        <v>4349</v>
      </c>
      <c r="P77" s="158">
        <v>6891.0</v>
      </c>
    </row>
    <row r="78">
      <c r="A78" s="25" t="s">
        <v>4350</v>
      </c>
      <c r="B78" s="25">
        <v>6829.0</v>
      </c>
      <c r="C78" s="44" t="s">
        <v>4274</v>
      </c>
      <c r="D78" s="74">
        <v>0.75</v>
      </c>
      <c r="E78" s="74">
        <v>0.75</v>
      </c>
      <c r="F78" s="11" t="s">
        <v>1656</v>
      </c>
      <c r="G78" s="40"/>
      <c r="I78" s="200"/>
      <c r="J78" s="11" t="s">
        <v>4350</v>
      </c>
      <c r="K78" s="158">
        <v>6829.0</v>
      </c>
      <c r="O78" s="11" t="s">
        <v>4350</v>
      </c>
      <c r="P78" s="158">
        <v>6829.0</v>
      </c>
    </row>
    <row r="79">
      <c r="A79" s="25" t="s">
        <v>4351</v>
      </c>
      <c r="B79" s="25">
        <v>12078.0</v>
      </c>
      <c r="C79" s="44" t="s">
        <v>4274</v>
      </c>
      <c r="D79" s="74">
        <v>0.75</v>
      </c>
      <c r="E79" s="74">
        <v>0.75</v>
      </c>
      <c r="F79" s="11" t="s">
        <v>1656</v>
      </c>
      <c r="G79" s="40"/>
      <c r="I79" s="200"/>
      <c r="J79" s="35" t="s">
        <v>4351</v>
      </c>
      <c r="K79" s="109">
        <v>12078.0</v>
      </c>
      <c r="L79" s="36"/>
      <c r="O79" s="35" t="s">
        <v>4351</v>
      </c>
      <c r="P79" s="109">
        <v>12078.0</v>
      </c>
    </row>
    <row r="80">
      <c r="A80" s="25" t="s">
        <v>4352</v>
      </c>
      <c r="B80" s="25">
        <v>9307.0</v>
      </c>
      <c r="C80" s="44" t="s">
        <v>4274</v>
      </c>
      <c r="D80" s="74">
        <v>0.75</v>
      </c>
      <c r="E80" s="74">
        <v>0.75</v>
      </c>
      <c r="F80" s="11" t="s">
        <v>1656</v>
      </c>
      <c r="G80" s="40"/>
      <c r="I80" s="200"/>
      <c r="J80" s="35" t="s">
        <v>4352</v>
      </c>
      <c r="K80" s="109">
        <v>9307.0</v>
      </c>
      <c r="L80" s="36"/>
      <c r="O80" s="35" t="s">
        <v>4352</v>
      </c>
      <c r="P80" s="109">
        <v>9307.0</v>
      </c>
    </row>
    <row r="81">
      <c r="A81" s="25" t="s">
        <v>4353</v>
      </c>
      <c r="B81" s="25">
        <v>7083.0</v>
      </c>
      <c r="C81" s="44" t="s">
        <v>4274</v>
      </c>
      <c r="D81" s="74">
        <v>0.75</v>
      </c>
      <c r="E81" s="74">
        <v>0.75</v>
      </c>
      <c r="F81" s="11" t="s">
        <v>1656</v>
      </c>
      <c r="G81" s="40"/>
      <c r="I81" s="200"/>
      <c r="J81" s="35" t="s">
        <v>4353</v>
      </c>
      <c r="K81" s="109">
        <v>7083.0</v>
      </c>
      <c r="L81" s="36"/>
      <c r="O81" s="35" t="s">
        <v>4353</v>
      </c>
      <c r="P81" s="109">
        <v>7083.0</v>
      </c>
    </row>
    <row r="82">
      <c r="A82" s="25" t="s">
        <v>4354</v>
      </c>
      <c r="B82" s="25">
        <v>11601.0</v>
      </c>
      <c r="C82" s="44" t="s">
        <v>4274</v>
      </c>
      <c r="D82" s="74">
        <v>0.75</v>
      </c>
      <c r="E82" s="74">
        <v>0.75</v>
      </c>
      <c r="F82" s="11" t="s">
        <v>1656</v>
      </c>
      <c r="G82" s="40"/>
      <c r="I82" s="200"/>
      <c r="J82" s="35" t="s">
        <v>4354</v>
      </c>
      <c r="K82" s="109">
        <v>11601.0</v>
      </c>
      <c r="L82" s="36"/>
      <c r="O82" s="35" t="s">
        <v>4354</v>
      </c>
      <c r="P82" s="109">
        <v>11601.0</v>
      </c>
    </row>
    <row r="83">
      <c r="A83" s="25" t="s">
        <v>4355</v>
      </c>
      <c r="B83" s="25">
        <v>6143.0</v>
      </c>
      <c r="C83" s="44" t="s">
        <v>4274</v>
      </c>
      <c r="D83" s="74">
        <v>0.75</v>
      </c>
      <c r="E83" s="74">
        <v>0.75</v>
      </c>
      <c r="F83" s="11" t="s">
        <v>1656</v>
      </c>
      <c r="G83" s="40"/>
      <c r="I83" s="200"/>
      <c r="J83" s="11" t="s">
        <v>4355</v>
      </c>
      <c r="K83" s="158">
        <v>6143.0</v>
      </c>
      <c r="O83" s="11" t="s">
        <v>4355</v>
      </c>
      <c r="P83" s="158">
        <v>6143.0</v>
      </c>
    </row>
    <row r="84">
      <c r="A84" s="25" t="s">
        <v>4356</v>
      </c>
      <c r="B84" s="25">
        <v>283.0</v>
      </c>
      <c r="C84" s="44" t="s">
        <v>4274</v>
      </c>
      <c r="D84" s="74">
        <v>0.75</v>
      </c>
      <c r="E84" s="74">
        <v>0.75</v>
      </c>
      <c r="F84" s="11" t="s">
        <v>1656</v>
      </c>
      <c r="G84" s="40"/>
      <c r="I84" s="200"/>
      <c r="J84" s="35" t="s">
        <v>4356</v>
      </c>
      <c r="K84" s="109">
        <v>283.0</v>
      </c>
      <c r="L84" s="36"/>
      <c r="O84" s="35" t="s">
        <v>4356</v>
      </c>
      <c r="P84" s="109">
        <v>283.0</v>
      </c>
    </row>
    <row r="85">
      <c r="A85" s="25" t="s">
        <v>4357</v>
      </c>
      <c r="B85" s="25">
        <v>3607.0</v>
      </c>
      <c r="C85" s="44" t="s">
        <v>4274</v>
      </c>
      <c r="D85" s="74">
        <v>0.75</v>
      </c>
      <c r="E85" s="74">
        <v>0.75</v>
      </c>
      <c r="F85" s="11" t="s">
        <v>1656</v>
      </c>
      <c r="G85" s="40"/>
      <c r="I85" s="200"/>
      <c r="J85" s="35" t="s">
        <v>4357</v>
      </c>
      <c r="K85" s="109">
        <v>3607.0</v>
      </c>
      <c r="L85" s="36"/>
      <c r="O85" s="35" t="s">
        <v>4357</v>
      </c>
      <c r="P85" s="109">
        <v>3607.0</v>
      </c>
    </row>
    <row r="86">
      <c r="A86" s="25" t="s">
        <v>4358</v>
      </c>
      <c r="B86" s="25">
        <v>3607.0</v>
      </c>
      <c r="C86" s="44" t="s">
        <v>4274</v>
      </c>
      <c r="D86" s="74">
        <v>0.75</v>
      </c>
      <c r="E86" s="74">
        <v>0.75</v>
      </c>
      <c r="F86" s="11" t="s">
        <v>1656</v>
      </c>
      <c r="G86" s="40"/>
      <c r="I86" s="200"/>
      <c r="J86" s="35" t="s">
        <v>4358</v>
      </c>
      <c r="K86" s="109">
        <v>3607.0</v>
      </c>
      <c r="L86" s="36"/>
      <c r="O86" s="35" t="s">
        <v>4358</v>
      </c>
      <c r="P86" s="109">
        <v>3607.0</v>
      </c>
    </row>
    <row r="87">
      <c r="A87" s="25" t="s">
        <v>4359</v>
      </c>
      <c r="B87" s="25">
        <v>7142.0</v>
      </c>
      <c r="C87" s="44" t="s">
        <v>4274</v>
      </c>
      <c r="D87" s="74">
        <v>0.75</v>
      </c>
      <c r="E87" s="74">
        <v>0.75</v>
      </c>
      <c r="F87" s="11" t="s">
        <v>1656</v>
      </c>
      <c r="G87" s="40"/>
      <c r="I87" s="200"/>
      <c r="J87" s="35" t="s">
        <v>4359</v>
      </c>
      <c r="K87" s="109">
        <v>7142.0</v>
      </c>
      <c r="L87" s="36"/>
      <c r="O87" s="35" t="s">
        <v>4359</v>
      </c>
      <c r="P87" s="109">
        <v>7142.0</v>
      </c>
    </row>
    <row r="88">
      <c r="A88" s="25" t="s">
        <v>4360</v>
      </c>
      <c r="B88" s="25">
        <v>663.0</v>
      </c>
      <c r="C88" s="44" t="s">
        <v>4274</v>
      </c>
      <c r="D88" s="74">
        <v>0.75</v>
      </c>
      <c r="E88" s="74">
        <v>0.75</v>
      </c>
      <c r="F88" s="11" t="s">
        <v>1656</v>
      </c>
      <c r="G88" s="40"/>
      <c r="I88" s="200"/>
      <c r="J88" s="11" t="s">
        <v>4360</v>
      </c>
      <c r="K88" s="158">
        <v>663.0</v>
      </c>
      <c r="O88" s="11" t="s">
        <v>4360</v>
      </c>
      <c r="P88" s="158">
        <v>663.0</v>
      </c>
    </row>
    <row r="89">
      <c r="A89" s="25" t="s">
        <v>4361</v>
      </c>
      <c r="B89" s="25">
        <v>3607.0</v>
      </c>
      <c r="C89" s="44" t="s">
        <v>4274</v>
      </c>
      <c r="D89" s="74">
        <v>0.75</v>
      </c>
      <c r="E89" s="74">
        <v>0.75</v>
      </c>
      <c r="F89" s="11" t="s">
        <v>1656</v>
      </c>
      <c r="G89" s="40"/>
      <c r="I89" s="200"/>
      <c r="J89" s="11" t="s">
        <v>4361</v>
      </c>
      <c r="K89" s="158">
        <v>3607.0</v>
      </c>
      <c r="O89" s="11" t="s">
        <v>4361</v>
      </c>
      <c r="P89" s="158">
        <v>3607.0</v>
      </c>
    </row>
    <row r="90">
      <c r="A90" s="25" t="s">
        <v>4362</v>
      </c>
      <c r="B90" s="25">
        <v>3607.0</v>
      </c>
      <c r="C90" s="44" t="s">
        <v>4274</v>
      </c>
      <c r="D90" s="74">
        <v>0.75</v>
      </c>
      <c r="E90" s="74">
        <v>0.75</v>
      </c>
      <c r="F90" s="11" t="s">
        <v>1656</v>
      </c>
      <c r="G90" s="40"/>
      <c r="I90" s="200"/>
      <c r="J90" s="11" t="s">
        <v>4362</v>
      </c>
      <c r="K90" s="158">
        <v>3607.0</v>
      </c>
      <c r="O90" s="11" t="s">
        <v>4362</v>
      </c>
      <c r="P90" s="158">
        <v>3607.0</v>
      </c>
    </row>
    <row r="91">
      <c r="A91" s="25" t="s">
        <v>4363</v>
      </c>
      <c r="B91" s="25">
        <v>3607.0</v>
      </c>
      <c r="C91" s="44" t="s">
        <v>4274</v>
      </c>
      <c r="D91" s="74">
        <v>0.75</v>
      </c>
      <c r="E91" s="74">
        <v>0.75</v>
      </c>
      <c r="F91" s="11" t="s">
        <v>1656</v>
      </c>
      <c r="G91" s="40"/>
      <c r="I91" s="200"/>
      <c r="J91" s="35" t="s">
        <v>4363</v>
      </c>
      <c r="K91" s="109">
        <v>3607.0</v>
      </c>
      <c r="L91" s="36"/>
      <c r="O91" s="35" t="s">
        <v>4363</v>
      </c>
      <c r="P91" s="109">
        <v>3607.0</v>
      </c>
    </row>
    <row r="92">
      <c r="A92" s="25" t="s">
        <v>4364</v>
      </c>
      <c r="B92" s="25">
        <v>3607.0</v>
      </c>
      <c r="C92" s="44" t="s">
        <v>4274</v>
      </c>
      <c r="D92" s="74">
        <v>0.75</v>
      </c>
      <c r="E92" s="74">
        <v>0.75</v>
      </c>
      <c r="F92" s="11" t="s">
        <v>1656</v>
      </c>
      <c r="G92" s="40"/>
      <c r="I92" s="200"/>
      <c r="J92" s="11" t="s">
        <v>4364</v>
      </c>
      <c r="K92" s="158">
        <v>3607.0</v>
      </c>
      <c r="O92" s="11" t="s">
        <v>4364</v>
      </c>
      <c r="P92" s="158">
        <v>3607.0</v>
      </c>
    </row>
    <row r="93">
      <c r="A93" s="25" t="s">
        <v>4365</v>
      </c>
      <c r="B93" s="25">
        <v>3607.0</v>
      </c>
      <c r="C93" s="44" t="s">
        <v>4274</v>
      </c>
      <c r="D93" s="74">
        <v>0.75</v>
      </c>
      <c r="E93" s="74">
        <v>0.75</v>
      </c>
      <c r="F93" s="11" t="s">
        <v>1656</v>
      </c>
      <c r="G93" s="40"/>
      <c r="I93" s="200"/>
      <c r="J93" s="11" t="s">
        <v>4365</v>
      </c>
      <c r="K93" s="158">
        <v>3607.0</v>
      </c>
      <c r="O93" s="11" t="s">
        <v>4365</v>
      </c>
      <c r="P93" s="158">
        <v>3607.0</v>
      </c>
    </row>
    <row r="94">
      <c r="A94" s="25" t="s">
        <v>4366</v>
      </c>
      <c r="B94" s="25">
        <v>3689.0</v>
      </c>
      <c r="C94" s="44" t="s">
        <v>4274</v>
      </c>
      <c r="D94" s="74">
        <v>0.75</v>
      </c>
      <c r="E94" s="74">
        <v>0.75</v>
      </c>
      <c r="F94" s="11" t="s">
        <v>1656</v>
      </c>
      <c r="G94" s="40"/>
      <c r="I94" s="200"/>
      <c r="J94" s="35" t="s">
        <v>4366</v>
      </c>
      <c r="K94" s="109">
        <v>3689.0</v>
      </c>
      <c r="L94" s="36"/>
      <c r="O94" s="35" t="s">
        <v>4366</v>
      </c>
      <c r="P94" s="109">
        <v>3689.0</v>
      </c>
    </row>
    <row r="95">
      <c r="A95" s="25" t="s">
        <v>4367</v>
      </c>
      <c r="B95" s="25">
        <v>6106.0</v>
      </c>
      <c r="C95" s="44" t="s">
        <v>4274</v>
      </c>
      <c r="D95" s="74">
        <v>0.75</v>
      </c>
      <c r="E95" s="74">
        <v>0.75</v>
      </c>
      <c r="F95" s="11" t="s">
        <v>1656</v>
      </c>
      <c r="G95" s="40"/>
      <c r="I95" s="200"/>
      <c r="J95" s="35" t="s">
        <v>4367</v>
      </c>
      <c r="K95" s="109">
        <v>6106.0</v>
      </c>
      <c r="L95" s="36"/>
      <c r="O95" s="35" t="s">
        <v>4367</v>
      </c>
      <c r="P95" s="109">
        <v>6106.0</v>
      </c>
    </row>
    <row r="96">
      <c r="A96" s="25" t="s">
        <v>4368</v>
      </c>
      <c r="B96" s="37">
        <v>6675.0</v>
      </c>
      <c r="C96" s="44" t="s">
        <v>4274</v>
      </c>
      <c r="D96" s="95">
        <v>0.8</v>
      </c>
      <c r="E96" s="95">
        <v>0.8</v>
      </c>
      <c r="F96" s="11" t="s">
        <v>1656</v>
      </c>
      <c r="G96" s="40"/>
      <c r="I96" s="200"/>
      <c r="J96" s="35" t="s">
        <v>4368</v>
      </c>
      <c r="K96" s="109">
        <v>7040.0</v>
      </c>
      <c r="L96" s="36"/>
      <c r="O96" s="35" t="s">
        <v>4368</v>
      </c>
      <c r="P96" s="109">
        <v>7040.0</v>
      </c>
    </row>
    <row r="97">
      <c r="A97" s="25" t="s">
        <v>4369</v>
      </c>
      <c r="B97" s="37">
        <v>3607.0</v>
      </c>
      <c r="C97" s="44" t="s">
        <v>4274</v>
      </c>
      <c r="D97" s="74">
        <v>0.75</v>
      </c>
      <c r="E97" s="74">
        <v>0.75</v>
      </c>
      <c r="F97" s="11" t="s">
        <v>1656</v>
      </c>
      <c r="G97" s="40"/>
      <c r="I97" s="200"/>
      <c r="J97" s="35" t="s">
        <v>4369</v>
      </c>
      <c r="K97" s="109">
        <v>7149.0</v>
      </c>
      <c r="L97" s="36"/>
      <c r="O97" s="35" t="s">
        <v>4369</v>
      </c>
      <c r="P97" s="109">
        <v>7149.0</v>
      </c>
    </row>
    <row r="98">
      <c r="A98" s="25" t="s">
        <v>4370</v>
      </c>
      <c r="B98" s="37">
        <v>3607.0</v>
      </c>
      <c r="C98" s="44" t="s">
        <v>4274</v>
      </c>
      <c r="D98" s="74">
        <v>0.75</v>
      </c>
      <c r="E98" s="74">
        <v>0.75</v>
      </c>
      <c r="F98" s="11" t="s">
        <v>1656</v>
      </c>
      <c r="G98" s="40"/>
      <c r="I98" s="200"/>
      <c r="J98" s="35" t="s">
        <v>4370</v>
      </c>
      <c r="K98" s="109">
        <v>7149.0</v>
      </c>
      <c r="L98" s="36"/>
      <c r="O98" s="35" t="s">
        <v>4370</v>
      </c>
      <c r="P98" s="109">
        <v>7149.0</v>
      </c>
    </row>
    <row r="99">
      <c r="A99" s="25" t="s">
        <v>4371</v>
      </c>
      <c r="B99" s="37">
        <v>3607.0</v>
      </c>
      <c r="C99" s="44" t="s">
        <v>4274</v>
      </c>
      <c r="D99" s="74">
        <v>0.75</v>
      </c>
      <c r="E99" s="74">
        <v>0.75</v>
      </c>
      <c r="F99" s="11" t="s">
        <v>1656</v>
      </c>
      <c r="G99" s="40"/>
      <c r="I99" s="200"/>
      <c r="J99" s="35" t="s">
        <v>4371</v>
      </c>
      <c r="K99" s="109">
        <v>7149.0</v>
      </c>
      <c r="L99" s="36"/>
      <c r="O99" s="35" t="s">
        <v>4371</v>
      </c>
      <c r="P99" s="109">
        <v>7149.0</v>
      </c>
    </row>
    <row r="100">
      <c r="A100" s="25" t="s">
        <v>4372</v>
      </c>
      <c r="B100" s="25">
        <v>14337.0</v>
      </c>
      <c r="C100" s="44" t="s">
        <v>4274</v>
      </c>
      <c r="D100" s="74">
        <v>0.75</v>
      </c>
      <c r="E100" s="74">
        <v>0.75</v>
      </c>
      <c r="F100" s="11" t="s">
        <v>1656</v>
      </c>
      <c r="G100" s="40"/>
      <c r="I100" s="200"/>
      <c r="J100" s="35" t="s">
        <v>4372</v>
      </c>
      <c r="K100" s="109">
        <v>14337.0</v>
      </c>
      <c r="L100" s="36"/>
      <c r="O100" s="35" t="s">
        <v>4372</v>
      </c>
      <c r="P100" s="109">
        <v>14337.0</v>
      </c>
    </row>
    <row r="101">
      <c r="A101" s="25" t="s">
        <v>4373</v>
      </c>
      <c r="B101" s="25">
        <v>14440.0</v>
      </c>
      <c r="C101" s="44" t="s">
        <v>4274</v>
      </c>
      <c r="D101" s="74">
        <v>0.75</v>
      </c>
      <c r="E101" s="74">
        <v>0.75</v>
      </c>
      <c r="F101" s="11" t="s">
        <v>1656</v>
      </c>
      <c r="G101" s="40"/>
      <c r="I101" s="200"/>
      <c r="J101" s="35" t="s">
        <v>4373</v>
      </c>
      <c r="K101" s="109">
        <v>14440.0</v>
      </c>
      <c r="L101" s="36"/>
      <c r="O101" s="35" t="s">
        <v>4373</v>
      </c>
      <c r="P101" s="109">
        <v>14440.0</v>
      </c>
    </row>
    <row r="102">
      <c r="A102" s="25" t="s">
        <v>4374</v>
      </c>
      <c r="B102" s="25">
        <v>3607.0</v>
      </c>
      <c r="C102" s="44" t="s">
        <v>4274</v>
      </c>
      <c r="D102" s="74">
        <v>0.75</v>
      </c>
      <c r="E102" s="74">
        <v>0.75</v>
      </c>
      <c r="F102" s="11" t="s">
        <v>1656</v>
      </c>
      <c r="G102" s="40"/>
      <c r="I102" s="200"/>
      <c r="J102" s="35" t="s">
        <v>4374</v>
      </c>
      <c r="K102" s="206"/>
      <c r="L102" s="36"/>
      <c r="O102" s="35" t="s">
        <v>4374</v>
      </c>
      <c r="P102" s="206"/>
    </row>
    <row r="103">
      <c r="A103" s="25" t="s">
        <v>4375</v>
      </c>
      <c r="B103" s="25">
        <v>8486.0</v>
      </c>
      <c r="C103" s="44" t="s">
        <v>4274</v>
      </c>
      <c r="D103" s="74">
        <v>0.75</v>
      </c>
      <c r="E103" s="74">
        <v>0.75</v>
      </c>
      <c r="F103" s="11" t="s">
        <v>1656</v>
      </c>
      <c r="G103" s="40"/>
      <c r="I103" s="200"/>
      <c r="J103" s="35" t="s">
        <v>4375</v>
      </c>
      <c r="K103" s="109">
        <v>8486.0</v>
      </c>
      <c r="L103" s="36"/>
      <c r="O103" s="35" t="s">
        <v>4375</v>
      </c>
      <c r="P103" s="109">
        <v>8486.0</v>
      </c>
    </row>
    <row r="104">
      <c r="A104" s="25" t="s">
        <v>4376</v>
      </c>
      <c r="B104" s="25">
        <v>6143.0</v>
      </c>
      <c r="C104" s="44" t="s">
        <v>4274</v>
      </c>
      <c r="D104" s="74">
        <v>0.75</v>
      </c>
      <c r="E104" s="74">
        <v>0.75</v>
      </c>
      <c r="F104" s="11" t="s">
        <v>1656</v>
      </c>
      <c r="G104" s="40"/>
      <c r="I104" s="200"/>
      <c r="J104" s="35" t="s">
        <v>4376</v>
      </c>
      <c r="K104" s="109">
        <v>6143.0</v>
      </c>
      <c r="L104" s="36"/>
      <c r="O104" s="35" t="s">
        <v>4376</v>
      </c>
      <c r="P104" s="109">
        <v>6143.0</v>
      </c>
    </row>
    <row r="105">
      <c r="A105" s="25" t="s">
        <v>4377</v>
      </c>
      <c r="B105" s="25">
        <v>8486.0</v>
      </c>
      <c r="C105" s="44" t="s">
        <v>4274</v>
      </c>
      <c r="D105" s="74">
        <v>0.75</v>
      </c>
      <c r="E105" s="74">
        <v>0.75</v>
      </c>
      <c r="F105" s="11" t="s">
        <v>1656</v>
      </c>
      <c r="G105" s="40"/>
      <c r="I105" s="200"/>
      <c r="J105" s="35" t="s">
        <v>4377</v>
      </c>
      <c r="K105" s="109">
        <v>8486.0</v>
      </c>
      <c r="L105" s="36"/>
      <c r="O105" s="35" t="s">
        <v>4377</v>
      </c>
      <c r="P105" s="109">
        <v>8486.0</v>
      </c>
    </row>
    <row r="106">
      <c r="A106" s="25" t="s">
        <v>4378</v>
      </c>
      <c r="B106" s="25">
        <v>14516.0</v>
      </c>
      <c r="C106" s="44" t="s">
        <v>4274</v>
      </c>
      <c r="D106" s="74">
        <v>0.75</v>
      </c>
      <c r="E106" s="74">
        <v>0.75</v>
      </c>
      <c r="F106" s="11" t="s">
        <v>1656</v>
      </c>
      <c r="G106" s="40"/>
      <c r="I106" s="200"/>
      <c r="J106" s="35" t="s">
        <v>4378</v>
      </c>
      <c r="K106" s="206"/>
      <c r="L106" s="36"/>
      <c r="O106" s="35" t="s">
        <v>4378</v>
      </c>
      <c r="P106" s="206"/>
    </row>
    <row r="107">
      <c r="A107" s="25" t="s">
        <v>4379</v>
      </c>
      <c r="B107" s="25">
        <v>12553.0</v>
      </c>
      <c r="C107" s="44" t="s">
        <v>4274</v>
      </c>
      <c r="D107" s="74">
        <v>0.75</v>
      </c>
      <c r="E107" s="74">
        <v>0.75</v>
      </c>
      <c r="F107" s="11" t="s">
        <v>1656</v>
      </c>
      <c r="G107" s="40"/>
      <c r="I107" s="200"/>
      <c r="J107" s="35" t="s">
        <v>4379</v>
      </c>
      <c r="K107" s="206"/>
      <c r="L107" s="36"/>
      <c r="O107" s="35" t="s">
        <v>4379</v>
      </c>
      <c r="P107" s="206"/>
    </row>
    <row r="108">
      <c r="A108" s="25" t="s">
        <v>4380</v>
      </c>
      <c r="B108" s="25">
        <v>6779.0</v>
      </c>
      <c r="C108" s="44" t="s">
        <v>4274</v>
      </c>
      <c r="D108" s="74">
        <v>0.75</v>
      </c>
      <c r="E108" s="74">
        <v>0.75</v>
      </c>
      <c r="F108" s="11" t="s">
        <v>1656</v>
      </c>
      <c r="G108" s="40"/>
      <c r="I108" s="200"/>
      <c r="J108" s="35" t="s">
        <v>4380</v>
      </c>
      <c r="K108" s="206"/>
      <c r="L108" s="36"/>
      <c r="O108" s="35" t="s">
        <v>4380</v>
      </c>
      <c r="P108" s="206"/>
    </row>
    <row r="109">
      <c r="A109" s="25" t="s">
        <v>4381</v>
      </c>
      <c r="B109" s="25">
        <v>14298.0</v>
      </c>
      <c r="C109" s="44" t="s">
        <v>4274</v>
      </c>
      <c r="D109" s="74">
        <v>0.75</v>
      </c>
      <c r="E109" s="74">
        <v>0.75</v>
      </c>
      <c r="F109" s="11" t="s">
        <v>1656</v>
      </c>
      <c r="G109" s="40"/>
      <c r="I109" s="200"/>
      <c r="J109" s="35" t="s">
        <v>4381</v>
      </c>
      <c r="K109" s="109">
        <v>14298.0</v>
      </c>
      <c r="L109" s="36"/>
      <c r="O109" s="35" t="s">
        <v>4381</v>
      </c>
      <c r="P109" s="109">
        <v>14298.0</v>
      </c>
    </row>
    <row r="110">
      <c r="A110" s="25" t="s">
        <v>4382</v>
      </c>
      <c r="B110" s="25">
        <v>3307.0</v>
      </c>
      <c r="C110" s="44" t="s">
        <v>4274</v>
      </c>
      <c r="D110" s="74">
        <v>0.75</v>
      </c>
      <c r="E110" s="74">
        <v>0.75</v>
      </c>
      <c r="F110" s="11" t="s">
        <v>1656</v>
      </c>
      <c r="G110" s="40"/>
      <c r="I110" s="200"/>
      <c r="J110" s="35" t="s">
        <v>4382</v>
      </c>
      <c r="K110" s="206"/>
      <c r="L110" s="36"/>
      <c r="O110" s="35" t="s">
        <v>4382</v>
      </c>
      <c r="P110" s="206"/>
    </row>
    <row r="111">
      <c r="A111" s="25" t="s">
        <v>4383</v>
      </c>
      <c r="B111" s="25">
        <v>14507.0</v>
      </c>
      <c r="C111" s="44" t="s">
        <v>4274</v>
      </c>
      <c r="D111" s="74">
        <v>0.75</v>
      </c>
      <c r="E111" s="74">
        <v>0.75</v>
      </c>
      <c r="F111" s="11" t="s">
        <v>1656</v>
      </c>
      <c r="G111" s="40"/>
      <c r="I111" s="200"/>
      <c r="J111" s="35" t="s">
        <v>4383</v>
      </c>
      <c r="K111" s="206"/>
      <c r="L111" s="36"/>
      <c r="O111" s="35" t="s">
        <v>4383</v>
      </c>
      <c r="P111" s="206"/>
    </row>
    <row r="112">
      <c r="A112" s="25" t="s">
        <v>4384</v>
      </c>
      <c r="B112" s="25">
        <v>6133.0</v>
      </c>
      <c r="C112" s="44" t="s">
        <v>4274</v>
      </c>
      <c r="D112" s="74">
        <v>0.75</v>
      </c>
      <c r="E112" s="74">
        <v>0.75</v>
      </c>
      <c r="F112" s="11" t="s">
        <v>1656</v>
      </c>
      <c r="G112" s="40"/>
      <c r="I112" s="200"/>
      <c r="J112" s="35" t="s">
        <v>4384</v>
      </c>
      <c r="K112" s="109">
        <v>6133.0</v>
      </c>
      <c r="L112" s="36"/>
      <c r="O112" s="35" t="s">
        <v>4384</v>
      </c>
      <c r="P112" s="109">
        <v>6133.0</v>
      </c>
    </row>
    <row r="113">
      <c r="A113" s="25" t="s">
        <v>4385</v>
      </c>
      <c r="B113" s="25">
        <v>6133.0</v>
      </c>
      <c r="C113" s="44" t="s">
        <v>4274</v>
      </c>
      <c r="D113" s="74">
        <v>0.75</v>
      </c>
      <c r="E113" s="74">
        <v>0.75</v>
      </c>
      <c r="F113" s="11" t="s">
        <v>1656</v>
      </c>
      <c r="G113" s="40"/>
      <c r="I113" s="200"/>
      <c r="J113" s="35" t="s">
        <v>4385</v>
      </c>
      <c r="K113" s="109">
        <v>6133.0</v>
      </c>
      <c r="L113" s="36"/>
      <c r="O113" s="35" t="s">
        <v>4385</v>
      </c>
      <c r="P113" s="109">
        <v>6133.0</v>
      </c>
    </row>
    <row r="114">
      <c r="A114" s="25" t="s">
        <v>4386</v>
      </c>
      <c r="B114" s="25">
        <v>14440.0</v>
      </c>
      <c r="C114" s="44" t="s">
        <v>4274</v>
      </c>
      <c r="D114" s="74">
        <v>0.75</v>
      </c>
      <c r="E114" s="74">
        <v>0.75</v>
      </c>
      <c r="F114" s="11" t="s">
        <v>1656</v>
      </c>
      <c r="G114" s="40"/>
      <c r="I114" s="200"/>
      <c r="J114" s="35" t="s">
        <v>4386</v>
      </c>
      <c r="K114" s="109">
        <v>14440.0</v>
      </c>
      <c r="L114" s="36"/>
      <c r="O114" s="35" t="s">
        <v>4386</v>
      </c>
      <c r="P114" s="109">
        <v>14440.0</v>
      </c>
    </row>
    <row r="115">
      <c r="A115" s="25" t="s">
        <v>4387</v>
      </c>
      <c r="B115" s="25">
        <v>6947.0</v>
      </c>
      <c r="C115" s="44" t="s">
        <v>4274</v>
      </c>
      <c r="D115" s="74">
        <v>0.75</v>
      </c>
      <c r="E115" s="74">
        <v>0.75</v>
      </c>
      <c r="F115" s="11" t="s">
        <v>1656</v>
      </c>
      <c r="G115" s="40"/>
      <c r="I115" s="200"/>
      <c r="J115" s="35" t="s">
        <v>4387</v>
      </c>
      <c r="K115" s="206"/>
      <c r="L115" s="36"/>
      <c r="O115" s="35" t="s">
        <v>4387</v>
      </c>
      <c r="P115" s="206"/>
    </row>
    <row r="116">
      <c r="A116" s="25" t="s">
        <v>4388</v>
      </c>
      <c r="B116" s="25">
        <v>14416.0</v>
      </c>
      <c r="C116" s="44" t="s">
        <v>4274</v>
      </c>
      <c r="D116" s="74">
        <v>0.75</v>
      </c>
      <c r="E116" s="74">
        <v>0.75</v>
      </c>
      <c r="F116" s="11" t="s">
        <v>1656</v>
      </c>
      <c r="G116" s="40"/>
      <c r="I116" s="200"/>
      <c r="J116" s="35" t="s">
        <v>4388</v>
      </c>
      <c r="K116" s="109">
        <v>14416.0</v>
      </c>
      <c r="L116" s="36"/>
      <c r="O116" s="35" t="s">
        <v>4388</v>
      </c>
      <c r="P116" s="109">
        <v>14416.0</v>
      </c>
    </row>
    <row r="117">
      <c r="A117" s="25" t="s">
        <v>4389</v>
      </c>
      <c r="B117" s="25">
        <v>14580.0</v>
      </c>
      <c r="C117" s="44" t="s">
        <v>4274</v>
      </c>
      <c r="D117" s="74">
        <v>0.75</v>
      </c>
      <c r="E117" s="74">
        <v>0.75</v>
      </c>
      <c r="F117" s="11" t="s">
        <v>1656</v>
      </c>
      <c r="G117" s="40"/>
      <c r="I117" s="200"/>
      <c r="J117" s="35" t="s">
        <v>4389</v>
      </c>
      <c r="K117" s="206"/>
      <c r="L117" s="36"/>
      <c r="O117" s="35" t="s">
        <v>4389</v>
      </c>
      <c r="P117" s="206"/>
    </row>
    <row r="118">
      <c r="A118" s="25" t="s">
        <v>4390</v>
      </c>
      <c r="B118" s="37">
        <v>7747.0</v>
      </c>
      <c r="C118" s="44" t="s">
        <v>4274</v>
      </c>
      <c r="D118" s="74">
        <v>0.75</v>
      </c>
      <c r="E118" s="74">
        <v>0.75</v>
      </c>
      <c r="F118" s="11" t="s">
        <v>1656</v>
      </c>
      <c r="G118" s="40"/>
      <c r="I118" s="200"/>
      <c r="J118" s="35" t="s">
        <v>4390</v>
      </c>
      <c r="K118" s="206"/>
      <c r="L118" s="36"/>
      <c r="O118" s="35" t="s">
        <v>4390</v>
      </c>
      <c r="P118" s="206"/>
    </row>
    <row r="119">
      <c r="A119" s="25" t="s">
        <v>4391</v>
      </c>
      <c r="B119" s="25">
        <v>13951.0</v>
      </c>
      <c r="C119" s="44" t="s">
        <v>4274</v>
      </c>
      <c r="D119" s="74">
        <v>0.75</v>
      </c>
      <c r="E119" s="74">
        <v>0.75</v>
      </c>
      <c r="F119" s="11" t="s">
        <v>1656</v>
      </c>
      <c r="G119" s="40"/>
      <c r="I119" s="200"/>
      <c r="J119" s="35" t="s">
        <v>4391</v>
      </c>
      <c r="K119" s="109">
        <v>13951.0</v>
      </c>
      <c r="L119" s="36"/>
      <c r="O119" s="35" t="s">
        <v>4391</v>
      </c>
      <c r="P119" s="109">
        <v>13951.0</v>
      </c>
    </row>
    <row r="120">
      <c r="A120" s="25" t="s">
        <v>4392</v>
      </c>
      <c r="B120" s="25">
        <v>6726.0</v>
      </c>
      <c r="C120" s="44" t="s">
        <v>4274</v>
      </c>
      <c r="D120" s="74">
        <v>0.75</v>
      </c>
      <c r="E120" s="74">
        <v>0.75</v>
      </c>
      <c r="F120" s="11" t="s">
        <v>1656</v>
      </c>
      <c r="G120" s="40"/>
      <c r="I120" s="200"/>
      <c r="J120" s="35" t="s">
        <v>4392</v>
      </c>
      <c r="K120" s="35">
        <v>6726.0</v>
      </c>
      <c r="L120" s="36"/>
      <c r="O120" s="35" t="s">
        <v>4392</v>
      </c>
      <c r="P120" s="35">
        <v>6726.0</v>
      </c>
    </row>
    <row r="121">
      <c r="A121" s="25" t="s">
        <v>4393</v>
      </c>
      <c r="B121" s="25">
        <v>6726.0</v>
      </c>
      <c r="C121" s="44" t="s">
        <v>4274</v>
      </c>
      <c r="D121" s="74">
        <v>0.75</v>
      </c>
      <c r="E121" s="74">
        <v>0.75</v>
      </c>
      <c r="F121" s="11" t="s">
        <v>1656</v>
      </c>
      <c r="G121" s="40"/>
      <c r="I121" s="200"/>
      <c r="J121" s="35" t="s">
        <v>4393</v>
      </c>
      <c r="K121" s="35">
        <v>6726.0</v>
      </c>
      <c r="L121" s="36"/>
      <c r="O121" s="35" t="s">
        <v>4393</v>
      </c>
      <c r="P121" s="35">
        <v>6726.0</v>
      </c>
    </row>
    <row r="122">
      <c r="A122" s="25" t="s">
        <v>4394</v>
      </c>
      <c r="B122" s="25">
        <v>14659.0</v>
      </c>
      <c r="C122" s="44" t="s">
        <v>4274</v>
      </c>
      <c r="D122" s="74">
        <v>0.75</v>
      </c>
      <c r="E122" s="74">
        <v>0.75</v>
      </c>
      <c r="F122" s="11" t="s">
        <v>1656</v>
      </c>
      <c r="G122" s="40"/>
      <c r="I122" s="200"/>
      <c r="J122" s="35" t="s">
        <v>4394</v>
      </c>
      <c r="K122" s="206"/>
      <c r="L122" s="36"/>
      <c r="O122" s="35" t="s">
        <v>4394</v>
      </c>
      <c r="P122" s="206"/>
    </row>
    <row r="123">
      <c r="A123" s="25" t="s">
        <v>4395</v>
      </c>
      <c r="B123" s="25">
        <v>14646.0</v>
      </c>
      <c r="C123" s="44" t="s">
        <v>4274</v>
      </c>
      <c r="D123" s="74">
        <v>0.75</v>
      </c>
      <c r="E123" s="74">
        <v>0.75</v>
      </c>
      <c r="F123" s="11" t="s">
        <v>1656</v>
      </c>
      <c r="G123" s="40"/>
      <c r="I123" s="200"/>
      <c r="J123" s="35" t="s">
        <v>4395</v>
      </c>
      <c r="K123" s="206"/>
      <c r="L123" s="36"/>
      <c r="O123" s="35" t="s">
        <v>4395</v>
      </c>
      <c r="P123" s="206"/>
    </row>
    <row r="124">
      <c r="A124" s="25" t="s">
        <v>4396</v>
      </c>
      <c r="B124" s="25">
        <v>3607.0</v>
      </c>
      <c r="C124" s="44" t="s">
        <v>4274</v>
      </c>
      <c r="D124" s="74">
        <v>0.75</v>
      </c>
      <c r="E124" s="74">
        <v>0.75</v>
      </c>
      <c r="F124" s="11" t="s">
        <v>1656</v>
      </c>
      <c r="G124" s="40"/>
      <c r="I124" s="200"/>
      <c r="J124" s="35" t="s">
        <v>4396</v>
      </c>
      <c r="K124" s="206"/>
      <c r="L124" s="36"/>
      <c r="O124" s="35" t="s">
        <v>4396</v>
      </c>
      <c r="P124" s="206"/>
    </row>
    <row r="125">
      <c r="A125" s="25" t="s">
        <v>4397</v>
      </c>
      <c r="B125" s="25">
        <v>2345.0</v>
      </c>
      <c r="C125" s="44" t="s">
        <v>4274</v>
      </c>
      <c r="D125" s="95">
        <v>0.9</v>
      </c>
      <c r="E125" s="95">
        <v>0.9</v>
      </c>
      <c r="F125" s="11" t="s">
        <v>1656</v>
      </c>
      <c r="G125" s="40"/>
      <c r="I125" s="200"/>
      <c r="J125" s="35" t="s">
        <v>4397</v>
      </c>
      <c r="K125" s="206"/>
      <c r="L125" s="36"/>
      <c r="O125" s="35" t="s">
        <v>4397</v>
      </c>
      <c r="P125" s="206"/>
    </row>
    <row r="126">
      <c r="A126" s="25" t="s">
        <v>4398</v>
      </c>
      <c r="B126" s="25">
        <v>2345.0</v>
      </c>
      <c r="C126" s="44" t="s">
        <v>4274</v>
      </c>
      <c r="D126" s="95">
        <v>0.9</v>
      </c>
      <c r="E126" s="95">
        <v>0.9</v>
      </c>
      <c r="F126" s="11" t="s">
        <v>1656</v>
      </c>
      <c r="G126" s="40"/>
      <c r="I126" s="200"/>
      <c r="J126" s="35" t="s">
        <v>4398</v>
      </c>
      <c r="K126" s="206"/>
      <c r="L126" s="36"/>
      <c r="O126" s="35" t="s">
        <v>4398</v>
      </c>
      <c r="P126" s="206"/>
    </row>
    <row r="127">
      <c r="A127" s="25" t="s">
        <v>4399</v>
      </c>
      <c r="B127" s="25">
        <v>2345.0</v>
      </c>
      <c r="C127" s="44" t="s">
        <v>4274</v>
      </c>
      <c r="D127" s="95">
        <v>0.9</v>
      </c>
      <c r="E127" s="95">
        <v>0.9</v>
      </c>
      <c r="F127" s="11" t="s">
        <v>1656</v>
      </c>
      <c r="G127" s="40"/>
      <c r="I127" s="200"/>
      <c r="J127" s="35" t="s">
        <v>4399</v>
      </c>
      <c r="K127" s="206"/>
      <c r="L127" s="36"/>
      <c r="O127" s="35" t="s">
        <v>4399</v>
      </c>
      <c r="P127" s="206"/>
    </row>
    <row r="128">
      <c r="A128" s="25" t="s">
        <v>4400</v>
      </c>
      <c r="B128" s="25">
        <v>2345.0</v>
      </c>
      <c r="C128" s="44" t="s">
        <v>4274</v>
      </c>
      <c r="D128" s="95">
        <v>0.9</v>
      </c>
      <c r="E128" s="95">
        <v>0.9</v>
      </c>
      <c r="F128" s="11" t="s">
        <v>1656</v>
      </c>
      <c r="G128" s="40"/>
      <c r="I128" s="200"/>
      <c r="J128" s="35" t="s">
        <v>4400</v>
      </c>
      <c r="K128" s="206"/>
      <c r="L128" s="36"/>
      <c r="O128" s="35" t="s">
        <v>4400</v>
      </c>
      <c r="P128" s="206"/>
    </row>
    <row r="129">
      <c r="A129" s="25" t="s">
        <v>4401</v>
      </c>
      <c r="B129" s="25">
        <v>2345.0</v>
      </c>
      <c r="C129" s="44" t="s">
        <v>4274</v>
      </c>
      <c r="D129" s="95">
        <v>0.9</v>
      </c>
      <c r="E129" s="95">
        <v>0.9</v>
      </c>
      <c r="F129" s="11" t="s">
        <v>1656</v>
      </c>
      <c r="G129" s="40"/>
      <c r="I129" s="200"/>
      <c r="J129" s="35" t="s">
        <v>4401</v>
      </c>
      <c r="K129" s="206"/>
      <c r="L129" s="36"/>
      <c r="O129" s="35" t="s">
        <v>4401</v>
      </c>
      <c r="P129" s="206"/>
    </row>
    <row r="130">
      <c r="A130" s="25" t="s">
        <v>4402</v>
      </c>
      <c r="B130" s="25">
        <v>499.0</v>
      </c>
      <c r="C130" s="44" t="s">
        <v>4274</v>
      </c>
      <c r="D130" s="74">
        <v>0.75</v>
      </c>
      <c r="E130" s="74">
        <v>0.75</v>
      </c>
      <c r="F130" s="11" t="s">
        <v>1656</v>
      </c>
      <c r="G130" s="40"/>
      <c r="I130" s="200"/>
      <c r="J130" s="35" t="s">
        <v>4402</v>
      </c>
      <c r="K130" s="109">
        <v>499.0</v>
      </c>
      <c r="L130" s="36"/>
      <c r="O130" s="35" t="s">
        <v>4402</v>
      </c>
      <c r="P130" s="109">
        <v>499.0</v>
      </c>
    </row>
    <row r="131">
      <c r="A131" s="25" t="s">
        <v>4403</v>
      </c>
      <c r="B131" s="25">
        <v>3607.0</v>
      </c>
      <c r="C131" s="44" t="s">
        <v>4274</v>
      </c>
      <c r="D131" s="74">
        <v>0.75</v>
      </c>
      <c r="E131" s="74">
        <v>0.75</v>
      </c>
      <c r="F131" s="11" t="s">
        <v>1656</v>
      </c>
      <c r="G131" s="40"/>
      <c r="I131" s="200"/>
      <c r="J131" s="35" t="s">
        <v>4403</v>
      </c>
      <c r="K131" s="206"/>
      <c r="L131" s="36"/>
      <c r="O131" s="35" t="s">
        <v>4403</v>
      </c>
      <c r="P131" s="206"/>
    </row>
    <row r="132">
      <c r="A132" s="25" t="s">
        <v>4404</v>
      </c>
      <c r="B132" s="25">
        <v>3607.0</v>
      </c>
      <c r="C132" s="44" t="s">
        <v>4274</v>
      </c>
      <c r="D132" s="74">
        <v>0.75</v>
      </c>
      <c r="E132" s="74">
        <v>0.75</v>
      </c>
      <c r="F132" s="11" t="s">
        <v>1656</v>
      </c>
      <c r="G132" s="40"/>
      <c r="I132" s="200"/>
      <c r="J132" s="35" t="s">
        <v>4404</v>
      </c>
      <c r="K132" s="206"/>
      <c r="L132" s="36"/>
      <c r="O132" s="35" t="s">
        <v>4404</v>
      </c>
      <c r="P132" s="206"/>
    </row>
    <row r="133">
      <c r="A133" s="25" t="s">
        <v>4405</v>
      </c>
      <c r="B133" s="25">
        <v>6727.0</v>
      </c>
      <c r="C133" s="44" t="s">
        <v>4274</v>
      </c>
      <c r="D133" s="74">
        <v>0.75</v>
      </c>
      <c r="E133" s="74">
        <v>0.75</v>
      </c>
      <c r="F133" s="11" t="s">
        <v>1656</v>
      </c>
      <c r="G133" s="40"/>
      <c r="I133" s="200"/>
      <c r="J133" s="35" t="s">
        <v>4405</v>
      </c>
      <c r="K133" s="109">
        <v>6727.0</v>
      </c>
      <c r="L133" s="36"/>
      <c r="O133" s="35" t="s">
        <v>4405</v>
      </c>
      <c r="P133" s="109">
        <v>6727.0</v>
      </c>
    </row>
    <row r="134">
      <c r="A134" s="25" t="s">
        <v>4406</v>
      </c>
      <c r="B134" s="25">
        <v>6727.0</v>
      </c>
      <c r="C134" s="44" t="s">
        <v>4274</v>
      </c>
      <c r="D134" s="74">
        <v>0.75</v>
      </c>
      <c r="E134" s="74">
        <v>0.75</v>
      </c>
      <c r="F134" s="11" t="s">
        <v>1656</v>
      </c>
      <c r="G134" s="40"/>
      <c r="I134" s="200"/>
      <c r="J134" s="35" t="s">
        <v>4406</v>
      </c>
      <c r="K134" s="109">
        <v>6727.0</v>
      </c>
      <c r="L134" s="36"/>
      <c r="O134" s="35" t="s">
        <v>4406</v>
      </c>
      <c r="P134" s="109">
        <v>6727.0</v>
      </c>
    </row>
    <row r="135">
      <c r="A135" s="25" t="s">
        <v>4407</v>
      </c>
      <c r="B135" s="25">
        <v>6727.0</v>
      </c>
      <c r="C135" s="44" t="s">
        <v>4274</v>
      </c>
      <c r="D135" s="74">
        <v>0.75</v>
      </c>
      <c r="E135" s="74">
        <v>0.75</v>
      </c>
      <c r="F135" s="11" t="s">
        <v>1656</v>
      </c>
      <c r="G135" s="40"/>
      <c r="I135" s="200"/>
      <c r="J135" s="35" t="s">
        <v>4407</v>
      </c>
      <c r="K135" s="109">
        <v>6727.0</v>
      </c>
      <c r="L135" s="36"/>
      <c r="O135" s="35" t="s">
        <v>4407</v>
      </c>
      <c r="P135" s="109">
        <v>6727.0</v>
      </c>
    </row>
    <row r="136">
      <c r="A136" s="25" t="s">
        <v>4408</v>
      </c>
      <c r="B136" s="25">
        <v>6727.0</v>
      </c>
      <c r="C136" s="44" t="s">
        <v>4274</v>
      </c>
      <c r="D136" s="74">
        <v>0.75</v>
      </c>
      <c r="E136" s="74">
        <v>0.75</v>
      </c>
      <c r="F136" s="11" t="s">
        <v>1656</v>
      </c>
      <c r="G136" s="40"/>
      <c r="I136" s="200"/>
      <c r="J136" s="35" t="s">
        <v>4408</v>
      </c>
      <c r="K136" s="109">
        <v>6727.0</v>
      </c>
      <c r="L136" s="36"/>
      <c r="O136" s="35" t="s">
        <v>4408</v>
      </c>
      <c r="P136" s="109">
        <v>6727.0</v>
      </c>
    </row>
    <row r="137">
      <c r="A137" s="25" t="s">
        <v>4409</v>
      </c>
      <c r="B137" s="25">
        <v>3607.0</v>
      </c>
      <c r="C137" s="44" t="s">
        <v>4274</v>
      </c>
      <c r="D137" s="74">
        <v>0.75</v>
      </c>
      <c r="E137" s="74">
        <v>0.75</v>
      </c>
      <c r="F137" s="11" t="s">
        <v>1656</v>
      </c>
      <c r="G137" s="40"/>
      <c r="I137" s="200"/>
      <c r="J137" s="35" t="s">
        <v>4409</v>
      </c>
      <c r="K137" s="206"/>
      <c r="L137" s="36"/>
      <c r="O137" s="35" t="s">
        <v>4409</v>
      </c>
      <c r="P137" s="206"/>
    </row>
    <row r="138">
      <c r="A138" s="25" t="s">
        <v>4410</v>
      </c>
      <c r="B138" s="25">
        <v>3607.0</v>
      </c>
      <c r="C138" s="44" t="s">
        <v>4274</v>
      </c>
      <c r="D138" s="74">
        <v>0.75</v>
      </c>
      <c r="E138" s="74">
        <v>0.75</v>
      </c>
      <c r="F138" s="11" t="s">
        <v>1656</v>
      </c>
      <c r="G138" s="40"/>
      <c r="I138" s="200"/>
      <c r="J138" s="35" t="s">
        <v>4410</v>
      </c>
      <c r="K138" s="206"/>
      <c r="L138" s="36"/>
      <c r="O138" s="35" t="s">
        <v>4410</v>
      </c>
      <c r="P138" s="206"/>
    </row>
    <row r="139">
      <c r="A139" s="25" t="s">
        <v>4411</v>
      </c>
      <c r="B139" s="25">
        <v>3607.0</v>
      </c>
      <c r="C139" s="44" t="s">
        <v>4274</v>
      </c>
      <c r="D139" s="74">
        <v>0.75</v>
      </c>
      <c r="E139" s="74">
        <v>0.75</v>
      </c>
      <c r="F139" s="11" t="s">
        <v>1656</v>
      </c>
      <c r="G139" s="40"/>
      <c r="I139" s="200"/>
      <c r="J139" s="35" t="s">
        <v>4411</v>
      </c>
      <c r="K139" s="206"/>
      <c r="L139" s="36"/>
      <c r="O139" s="35" t="s">
        <v>4411</v>
      </c>
      <c r="P139" s="206"/>
    </row>
    <row r="140">
      <c r="A140" s="25" t="s">
        <v>4412</v>
      </c>
      <c r="B140" s="37">
        <v>14480.0</v>
      </c>
      <c r="C140" s="44" t="s">
        <v>4274</v>
      </c>
      <c r="D140" s="74">
        <v>0.75</v>
      </c>
      <c r="E140" s="74">
        <v>0.75</v>
      </c>
      <c r="F140" s="11" t="s">
        <v>1656</v>
      </c>
      <c r="G140" s="40"/>
      <c r="I140" s="200"/>
      <c r="J140" s="35" t="s">
        <v>4412</v>
      </c>
      <c r="K140" s="206"/>
      <c r="L140" s="36"/>
      <c r="O140" s="35" t="s">
        <v>4412</v>
      </c>
      <c r="P140" s="206"/>
    </row>
    <row r="141">
      <c r="A141" s="25" t="s">
        <v>4413</v>
      </c>
      <c r="B141" s="78"/>
      <c r="C141" s="44" t="s">
        <v>4274</v>
      </c>
      <c r="D141" s="74">
        <v>0.75</v>
      </c>
      <c r="E141" s="74">
        <v>0.75</v>
      </c>
      <c r="F141" s="11" t="s">
        <v>1656</v>
      </c>
      <c r="G141" s="40"/>
      <c r="I141" s="200"/>
      <c r="J141" s="35" t="s">
        <v>4413</v>
      </c>
      <c r="K141" s="206"/>
      <c r="L141" s="36"/>
      <c r="O141" s="35" t="s">
        <v>4413</v>
      </c>
      <c r="P141" s="206"/>
    </row>
    <row r="142">
      <c r="A142" s="25" t="s">
        <v>4414</v>
      </c>
      <c r="B142" s="78"/>
      <c r="C142" s="44" t="s">
        <v>4274</v>
      </c>
      <c r="D142" s="74">
        <v>0.75</v>
      </c>
      <c r="E142" s="74">
        <v>0.75</v>
      </c>
      <c r="F142" s="11" t="s">
        <v>1656</v>
      </c>
      <c r="G142" s="40"/>
      <c r="I142" s="200"/>
      <c r="J142" s="35" t="s">
        <v>4414</v>
      </c>
      <c r="K142" s="206"/>
      <c r="L142" s="36"/>
      <c r="O142" s="35" t="s">
        <v>4414</v>
      </c>
      <c r="P142" s="206"/>
    </row>
    <row r="143">
      <c r="A143" s="25" t="s">
        <v>4415</v>
      </c>
      <c r="B143" s="78"/>
      <c r="C143" s="44" t="s">
        <v>4274</v>
      </c>
      <c r="D143" s="74">
        <v>0.75</v>
      </c>
      <c r="E143" s="74">
        <v>0.75</v>
      </c>
      <c r="F143" s="11" t="s">
        <v>1656</v>
      </c>
      <c r="G143" s="40"/>
      <c r="I143" s="200"/>
      <c r="J143" s="35" t="s">
        <v>4415</v>
      </c>
      <c r="K143" s="206"/>
      <c r="L143" s="36"/>
      <c r="O143" s="35" t="s">
        <v>4415</v>
      </c>
      <c r="P143" s="206"/>
    </row>
    <row r="144">
      <c r="A144" s="25" t="s">
        <v>4416</v>
      </c>
      <c r="B144" s="25">
        <v>14663.0</v>
      </c>
      <c r="C144" s="44" t="s">
        <v>4274</v>
      </c>
      <c r="D144" s="74">
        <v>0.75</v>
      </c>
      <c r="E144" s="74">
        <v>0.75</v>
      </c>
      <c r="F144" s="11" t="s">
        <v>1656</v>
      </c>
      <c r="G144" s="40"/>
      <c r="I144" s="200"/>
      <c r="J144" s="35" t="s">
        <v>4416</v>
      </c>
      <c r="K144" s="206"/>
      <c r="L144" s="36"/>
      <c r="O144" s="35" t="s">
        <v>4416</v>
      </c>
      <c r="P144" s="206"/>
    </row>
    <row r="145">
      <c r="A145" s="25" t="s">
        <v>4417</v>
      </c>
      <c r="B145" s="25">
        <v>3607.0</v>
      </c>
      <c r="C145" s="44" t="s">
        <v>4274</v>
      </c>
      <c r="D145" s="74">
        <v>0.75</v>
      </c>
      <c r="E145" s="74">
        <v>0.75</v>
      </c>
      <c r="F145" s="11" t="s">
        <v>1656</v>
      </c>
      <c r="G145" s="40"/>
      <c r="I145" s="200"/>
      <c r="J145" s="35" t="s">
        <v>4417</v>
      </c>
      <c r="K145" s="206"/>
      <c r="L145" s="36"/>
      <c r="O145" s="35" t="s">
        <v>4417</v>
      </c>
      <c r="P145" s="206"/>
    </row>
    <row r="146">
      <c r="A146" s="25" t="s">
        <v>4418</v>
      </c>
      <c r="B146" s="25">
        <v>3607.0</v>
      </c>
      <c r="C146" s="44" t="s">
        <v>4274</v>
      </c>
      <c r="D146" s="74">
        <v>0.75</v>
      </c>
      <c r="E146" s="74">
        <v>0.75</v>
      </c>
      <c r="F146" s="11" t="s">
        <v>1656</v>
      </c>
      <c r="G146" s="40"/>
      <c r="I146" s="200"/>
      <c r="J146" s="35" t="s">
        <v>4418</v>
      </c>
      <c r="K146" s="206"/>
      <c r="L146" s="36"/>
      <c r="O146" s="35" t="s">
        <v>4418</v>
      </c>
      <c r="P146" s="206"/>
    </row>
    <row r="147">
      <c r="A147" s="25" t="s">
        <v>4419</v>
      </c>
      <c r="B147" s="25">
        <v>2205.0</v>
      </c>
      <c r="C147" s="44" t="s">
        <v>4274</v>
      </c>
      <c r="D147" s="74">
        <v>0.75</v>
      </c>
      <c r="E147" s="74">
        <v>0.75</v>
      </c>
      <c r="F147" s="11" t="s">
        <v>1656</v>
      </c>
      <c r="G147" s="40"/>
      <c r="I147" s="200"/>
      <c r="J147" s="35" t="s">
        <v>4419</v>
      </c>
      <c r="K147" s="206"/>
      <c r="L147" s="36"/>
      <c r="O147" s="35" t="s">
        <v>4419</v>
      </c>
      <c r="P147" s="206"/>
    </row>
    <row r="148">
      <c r="A148" s="25" t="s">
        <v>4420</v>
      </c>
      <c r="B148" s="37">
        <v>14465.0</v>
      </c>
      <c r="C148" s="44" t="s">
        <v>4274</v>
      </c>
      <c r="D148" s="95">
        <v>0.9</v>
      </c>
      <c r="E148" s="95">
        <v>0.9</v>
      </c>
      <c r="F148" s="11" t="s">
        <v>1656</v>
      </c>
      <c r="G148" s="40"/>
      <c r="I148" s="200"/>
      <c r="J148" s="35" t="s">
        <v>4420</v>
      </c>
      <c r="K148" s="206"/>
      <c r="L148" s="36"/>
      <c r="O148" s="35" t="s">
        <v>4420</v>
      </c>
      <c r="P148" s="206"/>
    </row>
    <row r="149">
      <c r="A149" s="25" t="s">
        <v>4421</v>
      </c>
      <c r="B149" s="25">
        <v>889.0</v>
      </c>
      <c r="C149" s="44" t="s">
        <v>4274</v>
      </c>
      <c r="D149" s="74">
        <v>0.75</v>
      </c>
      <c r="E149" s="74">
        <v>0.75</v>
      </c>
      <c r="F149" s="11" t="s">
        <v>1656</v>
      </c>
      <c r="G149" s="40"/>
      <c r="I149" s="200"/>
      <c r="J149" s="35" t="s">
        <v>4421</v>
      </c>
      <c r="K149" s="206"/>
      <c r="L149" s="36"/>
      <c r="O149" s="35" t="s">
        <v>4421</v>
      </c>
      <c r="P149" s="206"/>
    </row>
    <row r="150">
      <c r="A150" s="25" t="s">
        <v>4422</v>
      </c>
      <c r="B150" s="25">
        <v>3607.0</v>
      </c>
      <c r="C150" s="44" t="s">
        <v>4274</v>
      </c>
      <c r="D150" s="74">
        <v>0.75</v>
      </c>
      <c r="E150" s="74">
        <v>0.75</v>
      </c>
      <c r="F150" s="11" t="s">
        <v>1656</v>
      </c>
      <c r="G150" s="40"/>
      <c r="I150" s="200"/>
      <c r="J150" s="35" t="s">
        <v>4422</v>
      </c>
      <c r="K150" s="206"/>
      <c r="L150" s="36"/>
      <c r="O150" s="35" t="s">
        <v>4422</v>
      </c>
      <c r="P150" s="206"/>
    </row>
    <row r="151">
      <c r="A151" s="25" t="s">
        <v>4423</v>
      </c>
      <c r="B151" s="25">
        <v>3607.0</v>
      </c>
      <c r="C151" s="44" t="s">
        <v>4274</v>
      </c>
      <c r="D151" s="74">
        <v>0.75</v>
      </c>
      <c r="E151" s="74">
        <v>0.75</v>
      </c>
      <c r="F151" s="11" t="s">
        <v>1656</v>
      </c>
      <c r="G151" s="40"/>
      <c r="I151" s="200"/>
      <c r="J151" s="35" t="s">
        <v>4423</v>
      </c>
      <c r="K151" s="206"/>
      <c r="L151" s="36"/>
      <c r="O151" s="35" t="s">
        <v>4423</v>
      </c>
      <c r="P151" s="206"/>
    </row>
    <row r="152">
      <c r="A152" s="25" t="s">
        <v>4424</v>
      </c>
      <c r="B152" s="25">
        <v>3607.0</v>
      </c>
      <c r="C152" s="44" t="s">
        <v>4274</v>
      </c>
      <c r="D152" s="74">
        <v>0.75</v>
      </c>
      <c r="E152" s="74">
        <v>0.75</v>
      </c>
      <c r="F152" s="11" t="s">
        <v>1656</v>
      </c>
      <c r="G152" s="40"/>
      <c r="I152" s="200"/>
      <c r="J152" s="35" t="s">
        <v>4424</v>
      </c>
      <c r="K152" s="206"/>
      <c r="L152" s="36"/>
      <c r="O152" s="35" t="s">
        <v>4424</v>
      </c>
      <c r="P152" s="206"/>
    </row>
    <row r="153">
      <c r="A153" s="25" t="s">
        <v>4425</v>
      </c>
      <c r="B153" s="25">
        <v>6668.0</v>
      </c>
      <c r="C153" s="44" t="s">
        <v>4274</v>
      </c>
      <c r="D153" s="74">
        <v>0.75</v>
      </c>
      <c r="E153" s="74">
        <v>0.75</v>
      </c>
      <c r="F153" s="11" t="s">
        <v>1656</v>
      </c>
      <c r="G153" s="40"/>
      <c r="I153" s="200"/>
      <c r="J153" s="35" t="s">
        <v>4425</v>
      </c>
      <c r="K153" s="206"/>
      <c r="L153" s="36"/>
      <c r="O153" s="35" t="s">
        <v>4425</v>
      </c>
      <c r="P153" s="206"/>
    </row>
    <row r="154">
      <c r="A154" s="25" t="s">
        <v>4426</v>
      </c>
      <c r="B154" s="25">
        <v>6668.0</v>
      </c>
      <c r="C154" s="44" t="s">
        <v>4274</v>
      </c>
      <c r="D154" s="74">
        <v>0.75</v>
      </c>
      <c r="E154" s="74">
        <v>0.75</v>
      </c>
      <c r="F154" s="11" t="s">
        <v>1656</v>
      </c>
      <c r="G154" s="40"/>
      <c r="I154" s="200"/>
      <c r="J154" s="35" t="s">
        <v>4426</v>
      </c>
      <c r="K154" s="206"/>
      <c r="L154" s="36"/>
      <c r="O154" s="35" t="s">
        <v>4426</v>
      </c>
      <c r="P154" s="206"/>
    </row>
    <row r="155">
      <c r="A155" s="25" t="s">
        <v>4427</v>
      </c>
      <c r="B155" s="25">
        <v>6668.0</v>
      </c>
      <c r="C155" s="44" t="s">
        <v>4274</v>
      </c>
      <c r="D155" s="74">
        <v>0.75</v>
      </c>
      <c r="E155" s="74">
        <v>0.75</v>
      </c>
      <c r="F155" s="11" t="s">
        <v>1656</v>
      </c>
      <c r="G155" s="40"/>
      <c r="I155" s="200"/>
      <c r="J155" s="35" t="s">
        <v>4427</v>
      </c>
      <c r="K155" s="206"/>
      <c r="L155" s="36"/>
      <c r="O155" s="35" t="s">
        <v>4427</v>
      </c>
      <c r="P155" s="206"/>
    </row>
    <row r="156">
      <c r="A156" s="25" t="s">
        <v>4428</v>
      </c>
      <c r="B156" s="25">
        <v>11049.0</v>
      </c>
      <c r="C156" s="44" t="s">
        <v>4274</v>
      </c>
      <c r="D156" s="74">
        <v>0.75</v>
      </c>
      <c r="E156" s="74">
        <v>0.75</v>
      </c>
      <c r="F156" s="11" t="s">
        <v>1656</v>
      </c>
      <c r="G156" s="40"/>
      <c r="I156" s="200"/>
      <c r="J156" s="35" t="s">
        <v>4428</v>
      </c>
      <c r="K156" s="206"/>
      <c r="L156" s="36"/>
      <c r="O156" s="35" t="s">
        <v>4428</v>
      </c>
      <c r="P156" s="206"/>
    </row>
    <row r="157">
      <c r="A157" s="25" t="s">
        <v>4429</v>
      </c>
      <c r="B157" s="25">
        <v>11049.0</v>
      </c>
      <c r="C157" s="44" t="s">
        <v>4274</v>
      </c>
      <c r="D157" s="74">
        <v>0.75</v>
      </c>
      <c r="E157" s="74">
        <v>0.75</v>
      </c>
      <c r="F157" s="11" t="s">
        <v>1656</v>
      </c>
      <c r="G157" s="40"/>
      <c r="I157" s="200"/>
      <c r="J157" s="35" t="s">
        <v>4429</v>
      </c>
      <c r="K157" s="206"/>
      <c r="L157" s="36"/>
      <c r="O157" s="35" t="s">
        <v>4429</v>
      </c>
      <c r="P157" s="206"/>
    </row>
    <row r="158">
      <c r="A158" s="25" t="s">
        <v>4430</v>
      </c>
      <c r="B158" s="25">
        <v>11049.0</v>
      </c>
      <c r="C158" s="44" t="s">
        <v>4274</v>
      </c>
      <c r="D158" s="74">
        <v>0.75</v>
      </c>
      <c r="E158" s="74">
        <v>0.75</v>
      </c>
      <c r="F158" s="11" t="s">
        <v>1656</v>
      </c>
      <c r="G158" s="40"/>
      <c r="I158" s="200"/>
      <c r="J158" s="35" t="s">
        <v>4430</v>
      </c>
      <c r="K158" s="206"/>
      <c r="L158" s="36"/>
      <c r="O158" s="35" t="s">
        <v>4430</v>
      </c>
      <c r="P158" s="206"/>
    </row>
    <row r="159">
      <c r="A159" s="25" t="s">
        <v>4431</v>
      </c>
      <c r="B159" s="25">
        <v>11049.0</v>
      </c>
      <c r="C159" s="44" t="s">
        <v>4274</v>
      </c>
      <c r="D159" s="74">
        <v>0.75</v>
      </c>
      <c r="E159" s="74">
        <v>0.75</v>
      </c>
      <c r="F159" s="11" t="s">
        <v>1656</v>
      </c>
      <c r="G159" s="40"/>
      <c r="I159" s="200"/>
      <c r="J159" s="35" t="s">
        <v>4431</v>
      </c>
      <c r="K159" s="206"/>
      <c r="L159" s="36"/>
      <c r="O159" s="35" t="s">
        <v>4431</v>
      </c>
      <c r="P159" s="206"/>
    </row>
    <row r="160">
      <c r="A160" s="25" t="s">
        <v>4432</v>
      </c>
      <c r="B160" s="25">
        <v>11049.0</v>
      </c>
      <c r="C160" s="44" t="s">
        <v>4274</v>
      </c>
      <c r="D160" s="74">
        <v>0.75</v>
      </c>
      <c r="E160" s="74">
        <v>0.75</v>
      </c>
      <c r="F160" s="11" t="s">
        <v>1656</v>
      </c>
      <c r="G160" s="40"/>
      <c r="I160" s="200"/>
      <c r="J160" s="35" t="s">
        <v>4432</v>
      </c>
      <c r="K160" s="206"/>
      <c r="L160" s="36"/>
      <c r="O160" s="35" t="s">
        <v>4432</v>
      </c>
      <c r="P160" s="206"/>
    </row>
    <row r="161">
      <c r="A161" s="25" t="s">
        <v>4433</v>
      </c>
      <c r="B161" s="25">
        <v>11049.0</v>
      </c>
      <c r="C161" s="44" t="s">
        <v>4274</v>
      </c>
      <c r="D161" s="74">
        <v>0.75</v>
      </c>
      <c r="E161" s="74">
        <v>0.75</v>
      </c>
      <c r="F161" s="11" t="s">
        <v>1656</v>
      </c>
      <c r="G161" s="40"/>
      <c r="I161" s="200"/>
      <c r="J161" s="35" t="s">
        <v>4433</v>
      </c>
      <c r="K161" s="206"/>
      <c r="L161" s="36"/>
      <c r="O161" s="35" t="s">
        <v>4433</v>
      </c>
      <c r="P161" s="206"/>
    </row>
    <row r="162">
      <c r="A162" s="25" t="s">
        <v>4434</v>
      </c>
      <c r="B162" s="25">
        <v>11049.0</v>
      </c>
      <c r="C162" s="44" t="s">
        <v>4274</v>
      </c>
      <c r="D162" s="74">
        <v>0.75</v>
      </c>
      <c r="E162" s="74">
        <v>0.75</v>
      </c>
      <c r="F162" s="11" t="s">
        <v>1656</v>
      </c>
      <c r="G162" s="40"/>
      <c r="I162" s="200"/>
      <c r="J162" s="35" t="s">
        <v>4434</v>
      </c>
      <c r="K162" s="206"/>
      <c r="L162" s="36"/>
      <c r="O162" s="35" t="s">
        <v>4434</v>
      </c>
      <c r="P162" s="206"/>
    </row>
    <row r="163">
      <c r="A163" s="25" t="s">
        <v>4435</v>
      </c>
      <c r="B163" s="25">
        <v>11049.0</v>
      </c>
      <c r="C163" s="44" t="s">
        <v>4274</v>
      </c>
      <c r="D163" s="74">
        <v>0.75</v>
      </c>
      <c r="E163" s="74">
        <v>0.75</v>
      </c>
      <c r="F163" s="11" t="s">
        <v>1656</v>
      </c>
      <c r="G163" s="40"/>
      <c r="I163" s="200"/>
      <c r="J163" s="35" t="s">
        <v>4435</v>
      </c>
      <c r="K163" s="206"/>
      <c r="L163" s="36"/>
      <c r="O163" s="35" t="s">
        <v>4435</v>
      </c>
      <c r="P163" s="206"/>
    </row>
    <row r="164">
      <c r="A164" s="25" t="s">
        <v>4436</v>
      </c>
      <c r="B164" s="25">
        <v>11049.0</v>
      </c>
      <c r="C164" s="44" t="s">
        <v>4274</v>
      </c>
      <c r="D164" s="74">
        <v>0.75</v>
      </c>
      <c r="E164" s="74">
        <v>0.75</v>
      </c>
      <c r="F164" s="11" t="s">
        <v>1656</v>
      </c>
      <c r="G164" s="40"/>
      <c r="I164" s="200"/>
      <c r="J164" s="35" t="s">
        <v>4436</v>
      </c>
      <c r="K164" s="206"/>
      <c r="L164" s="36"/>
      <c r="O164" s="35" t="s">
        <v>4436</v>
      </c>
      <c r="P164" s="206"/>
    </row>
    <row r="165">
      <c r="A165" s="25" t="s">
        <v>4437</v>
      </c>
      <c r="B165" s="25">
        <v>11049.0</v>
      </c>
      <c r="C165" s="44" t="s">
        <v>4274</v>
      </c>
      <c r="D165" s="74">
        <v>0.75</v>
      </c>
      <c r="E165" s="74">
        <v>0.75</v>
      </c>
      <c r="F165" s="11" t="s">
        <v>1656</v>
      </c>
      <c r="G165" s="40"/>
      <c r="I165" s="200"/>
      <c r="J165" s="35" t="s">
        <v>4437</v>
      </c>
      <c r="K165" s="206"/>
      <c r="L165" s="36"/>
      <c r="O165" s="35" t="s">
        <v>4437</v>
      </c>
      <c r="P165" s="206"/>
    </row>
    <row r="166">
      <c r="A166" s="25" t="s">
        <v>4438</v>
      </c>
      <c r="B166" s="25">
        <v>11049.0</v>
      </c>
      <c r="C166" s="44" t="s">
        <v>4274</v>
      </c>
      <c r="D166" s="74">
        <v>0.75</v>
      </c>
      <c r="E166" s="74">
        <v>0.75</v>
      </c>
      <c r="F166" s="11" t="s">
        <v>1656</v>
      </c>
      <c r="G166" s="40"/>
      <c r="I166" s="200"/>
      <c r="J166" s="35" t="s">
        <v>4438</v>
      </c>
      <c r="K166" s="206"/>
      <c r="L166" s="36"/>
      <c r="O166" s="35" t="s">
        <v>4438</v>
      </c>
      <c r="P166" s="206"/>
    </row>
    <row r="167">
      <c r="A167" s="25" t="s">
        <v>4439</v>
      </c>
      <c r="B167" s="25">
        <v>11049.0</v>
      </c>
      <c r="C167" s="44" t="s">
        <v>4274</v>
      </c>
      <c r="D167" s="74">
        <v>0.75</v>
      </c>
      <c r="E167" s="74">
        <v>0.75</v>
      </c>
      <c r="F167" s="11" t="s">
        <v>1656</v>
      </c>
      <c r="G167" s="40"/>
      <c r="I167" s="200"/>
      <c r="J167" s="35" t="s">
        <v>4439</v>
      </c>
      <c r="K167" s="206"/>
      <c r="L167" s="36"/>
      <c r="O167" s="35" t="s">
        <v>4439</v>
      </c>
      <c r="P167" s="206"/>
    </row>
    <row r="168">
      <c r="A168" s="25" t="s">
        <v>4440</v>
      </c>
      <c r="B168" s="25">
        <v>11049.0</v>
      </c>
      <c r="C168" s="44" t="s">
        <v>4274</v>
      </c>
      <c r="D168" s="74">
        <v>0.75</v>
      </c>
      <c r="E168" s="74">
        <v>0.75</v>
      </c>
      <c r="F168" s="11" t="s">
        <v>1656</v>
      </c>
      <c r="G168" s="40"/>
      <c r="I168" s="200"/>
      <c r="J168" s="35" t="s">
        <v>4440</v>
      </c>
      <c r="K168" s="206"/>
      <c r="L168" s="36"/>
      <c r="O168" s="35" t="s">
        <v>4440</v>
      </c>
      <c r="P168" s="206"/>
    </row>
    <row r="169">
      <c r="A169" s="25" t="s">
        <v>4441</v>
      </c>
      <c r="B169" s="25">
        <v>11049.0</v>
      </c>
      <c r="C169" s="44" t="s">
        <v>4274</v>
      </c>
      <c r="D169" s="74">
        <v>0.75</v>
      </c>
      <c r="E169" s="74">
        <v>0.75</v>
      </c>
      <c r="F169" s="11" t="s">
        <v>1656</v>
      </c>
      <c r="G169" s="40"/>
      <c r="I169" s="200"/>
      <c r="J169" s="35" t="s">
        <v>4441</v>
      </c>
      <c r="K169" s="206"/>
      <c r="L169" s="36"/>
      <c r="O169" s="35" t="s">
        <v>4441</v>
      </c>
      <c r="P169" s="206"/>
    </row>
    <row r="170">
      <c r="A170" s="25" t="s">
        <v>4442</v>
      </c>
      <c r="B170" s="25">
        <v>11049.0</v>
      </c>
      <c r="C170" s="44" t="s">
        <v>4274</v>
      </c>
      <c r="D170" s="74">
        <v>0.75</v>
      </c>
      <c r="E170" s="74">
        <v>0.75</v>
      </c>
      <c r="F170" s="11" t="s">
        <v>1656</v>
      </c>
      <c r="G170" s="40"/>
      <c r="I170" s="200"/>
      <c r="J170" s="35" t="s">
        <v>4442</v>
      </c>
      <c r="K170" s="206"/>
      <c r="L170" s="36"/>
      <c r="O170" s="35" t="s">
        <v>4442</v>
      </c>
      <c r="P170" s="206"/>
    </row>
    <row r="171">
      <c r="A171" s="25" t="s">
        <v>4443</v>
      </c>
      <c r="B171" s="25">
        <v>11049.0</v>
      </c>
      <c r="C171" s="44" t="s">
        <v>4274</v>
      </c>
      <c r="D171" s="74">
        <v>0.75</v>
      </c>
      <c r="E171" s="74">
        <v>0.75</v>
      </c>
      <c r="F171" s="11" t="s">
        <v>1656</v>
      </c>
      <c r="G171" s="40"/>
      <c r="I171" s="200"/>
      <c r="J171" s="35" t="s">
        <v>4443</v>
      </c>
      <c r="K171" s="206"/>
      <c r="L171" s="36"/>
      <c r="O171" s="35" t="s">
        <v>4443</v>
      </c>
      <c r="P171" s="206"/>
    </row>
    <row r="172">
      <c r="A172" s="25" t="s">
        <v>4444</v>
      </c>
      <c r="B172" s="25">
        <v>11049.0</v>
      </c>
      <c r="C172" s="44" t="s">
        <v>4274</v>
      </c>
      <c r="D172" s="74">
        <v>0.75</v>
      </c>
      <c r="E172" s="74">
        <v>0.75</v>
      </c>
      <c r="F172" s="11" t="s">
        <v>1656</v>
      </c>
      <c r="G172" s="40"/>
      <c r="I172" s="200"/>
      <c r="J172" s="35" t="s">
        <v>4444</v>
      </c>
      <c r="K172" s="206"/>
      <c r="L172" s="36"/>
      <c r="O172" s="35" t="s">
        <v>4444</v>
      </c>
      <c r="P172" s="206"/>
    </row>
    <row r="173">
      <c r="A173" s="25" t="s">
        <v>4445</v>
      </c>
      <c r="B173" s="25">
        <v>11049.0</v>
      </c>
      <c r="C173" s="44" t="s">
        <v>4274</v>
      </c>
      <c r="D173" s="74">
        <v>0.75</v>
      </c>
      <c r="E173" s="74">
        <v>0.75</v>
      </c>
      <c r="F173" s="11" t="s">
        <v>1656</v>
      </c>
      <c r="G173" s="40"/>
      <c r="I173" s="200"/>
      <c r="J173" s="35" t="s">
        <v>4445</v>
      </c>
      <c r="K173" s="206"/>
      <c r="L173" s="36"/>
      <c r="O173" s="35" t="s">
        <v>4445</v>
      </c>
      <c r="P173" s="206"/>
    </row>
    <row r="174">
      <c r="A174" s="25" t="s">
        <v>4446</v>
      </c>
      <c r="B174" s="25">
        <v>11049.0</v>
      </c>
      <c r="C174" s="44" t="s">
        <v>4274</v>
      </c>
      <c r="D174" s="74">
        <v>0.75</v>
      </c>
      <c r="E174" s="74">
        <v>0.75</v>
      </c>
      <c r="F174" s="11" t="s">
        <v>1656</v>
      </c>
      <c r="G174" s="40"/>
      <c r="I174" s="200"/>
      <c r="J174" s="35" t="s">
        <v>4446</v>
      </c>
      <c r="K174" s="206"/>
      <c r="L174" s="36"/>
      <c r="O174" s="35" t="s">
        <v>4446</v>
      </c>
      <c r="P174" s="206"/>
    </row>
    <row r="175">
      <c r="A175" s="25" t="s">
        <v>4447</v>
      </c>
      <c r="B175" s="25">
        <v>14575.0</v>
      </c>
      <c r="C175" s="44" t="s">
        <v>4274</v>
      </c>
      <c r="D175" s="74">
        <v>0.85</v>
      </c>
      <c r="E175" s="74">
        <v>0.85</v>
      </c>
      <c r="F175" s="11" t="s">
        <v>1656</v>
      </c>
      <c r="G175" s="40"/>
      <c r="I175" s="200"/>
      <c r="J175" s="35" t="s">
        <v>4447</v>
      </c>
      <c r="K175" s="206"/>
      <c r="L175" s="36"/>
      <c r="O175" s="35" t="s">
        <v>4447</v>
      </c>
      <c r="P175" s="206"/>
    </row>
    <row r="176">
      <c r="A176" s="25" t="s">
        <v>4448</v>
      </c>
      <c r="B176" s="25">
        <v>11049.0</v>
      </c>
      <c r="C176" s="44" t="s">
        <v>4274</v>
      </c>
      <c r="D176" s="74">
        <v>0.75</v>
      </c>
      <c r="E176" s="74">
        <v>0.75</v>
      </c>
      <c r="F176" s="11" t="s">
        <v>1656</v>
      </c>
      <c r="G176" s="40"/>
      <c r="I176" s="200"/>
      <c r="J176" s="35" t="s">
        <v>4448</v>
      </c>
      <c r="K176" s="206"/>
      <c r="L176" s="36"/>
      <c r="O176" s="35" t="s">
        <v>4448</v>
      </c>
      <c r="P176" s="206"/>
    </row>
    <row r="177">
      <c r="A177" s="25" t="s">
        <v>4449</v>
      </c>
      <c r="B177" s="25">
        <v>11049.0</v>
      </c>
      <c r="C177" s="44" t="s">
        <v>4274</v>
      </c>
      <c r="D177" s="74">
        <v>0.75</v>
      </c>
      <c r="E177" s="74">
        <v>0.75</v>
      </c>
      <c r="F177" s="11" t="s">
        <v>1656</v>
      </c>
      <c r="G177" s="40"/>
      <c r="I177" s="200"/>
      <c r="J177" s="35" t="s">
        <v>4449</v>
      </c>
      <c r="K177" s="206"/>
      <c r="L177" s="36"/>
      <c r="O177" s="35" t="s">
        <v>4449</v>
      </c>
      <c r="P177" s="206"/>
    </row>
    <row r="178">
      <c r="A178" s="25" t="s">
        <v>4450</v>
      </c>
      <c r="B178" s="25">
        <v>6726.0</v>
      </c>
      <c r="C178" s="44" t="s">
        <v>4274</v>
      </c>
      <c r="D178" s="74">
        <v>0.75</v>
      </c>
      <c r="E178" s="74">
        <v>0.75</v>
      </c>
      <c r="F178" s="11" t="s">
        <v>1656</v>
      </c>
      <c r="G178" s="40"/>
      <c r="I178" s="200"/>
      <c r="J178" s="35" t="s">
        <v>4450</v>
      </c>
      <c r="K178" s="206"/>
      <c r="L178" s="36"/>
      <c r="O178" s="35" t="s">
        <v>4450</v>
      </c>
      <c r="P178" s="206"/>
    </row>
    <row r="179">
      <c r="A179" s="25" t="s">
        <v>4451</v>
      </c>
      <c r="B179" s="25">
        <v>6726.0</v>
      </c>
      <c r="C179" s="44" t="s">
        <v>4274</v>
      </c>
      <c r="D179" s="74">
        <v>0.75</v>
      </c>
      <c r="E179" s="74">
        <v>0.75</v>
      </c>
      <c r="F179" s="11" t="s">
        <v>1656</v>
      </c>
      <c r="G179" s="40"/>
      <c r="I179" s="200"/>
      <c r="J179" s="35" t="s">
        <v>4451</v>
      </c>
      <c r="K179" s="206"/>
      <c r="L179" s="36"/>
      <c r="O179" s="35" t="s">
        <v>4451</v>
      </c>
      <c r="P179" s="206"/>
    </row>
    <row r="180">
      <c r="A180" s="25" t="s">
        <v>4452</v>
      </c>
      <c r="B180" s="25">
        <v>6726.0</v>
      </c>
      <c r="C180" s="44" t="s">
        <v>4274</v>
      </c>
      <c r="D180" s="74">
        <v>0.75</v>
      </c>
      <c r="E180" s="74">
        <v>0.75</v>
      </c>
      <c r="F180" s="11" t="s">
        <v>1656</v>
      </c>
      <c r="G180" s="40"/>
      <c r="I180" s="200"/>
      <c r="J180" s="35" t="s">
        <v>4452</v>
      </c>
      <c r="K180" s="206"/>
      <c r="L180" s="36"/>
      <c r="O180" s="35" t="s">
        <v>4452</v>
      </c>
      <c r="P180" s="206"/>
    </row>
    <row r="181">
      <c r="A181" s="101" t="s">
        <v>4453</v>
      </c>
      <c r="B181" s="207">
        <v>8486.0</v>
      </c>
      <c r="C181" s="44" t="s">
        <v>4274</v>
      </c>
      <c r="D181" s="74">
        <v>0.75</v>
      </c>
      <c r="E181" s="74">
        <v>0.75</v>
      </c>
      <c r="F181" s="11" t="s">
        <v>1656</v>
      </c>
      <c r="G181" s="40"/>
      <c r="I181" s="200"/>
      <c r="J181" s="208" t="s">
        <v>4453</v>
      </c>
      <c r="K181" s="209">
        <v>8486.0</v>
      </c>
      <c r="L181" s="36"/>
      <c r="O181" s="208" t="s">
        <v>4453</v>
      </c>
      <c r="P181" s="209">
        <v>8486.0</v>
      </c>
    </row>
    <row r="182">
      <c r="A182" s="37" t="s">
        <v>4454</v>
      </c>
      <c r="B182" s="182">
        <v>10368.0</v>
      </c>
      <c r="C182" s="44" t="s">
        <v>4274</v>
      </c>
      <c r="D182" s="74">
        <v>0.75</v>
      </c>
      <c r="E182" s="74">
        <v>0.75</v>
      </c>
      <c r="F182" s="11" t="s">
        <v>1656</v>
      </c>
      <c r="G182" s="40"/>
      <c r="I182" s="200"/>
      <c r="K182" s="160"/>
      <c r="P182" s="160"/>
    </row>
    <row r="183">
      <c r="A183" s="37" t="s">
        <v>4455</v>
      </c>
      <c r="B183" s="182">
        <v>11105.0</v>
      </c>
      <c r="C183" s="44" t="s">
        <v>4274</v>
      </c>
      <c r="D183" s="74">
        <v>0.75</v>
      </c>
      <c r="E183" s="74">
        <v>0.75</v>
      </c>
      <c r="F183" s="11" t="s">
        <v>1656</v>
      </c>
      <c r="G183" s="40"/>
      <c r="I183" s="200"/>
      <c r="K183" s="160"/>
      <c r="P183" s="160"/>
    </row>
    <row r="184">
      <c r="A184" s="37" t="s">
        <v>4456</v>
      </c>
      <c r="B184" s="182">
        <v>12277.0</v>
      </c>
      <c r="C184" s="44" t="s">
        <v>4274</v>
      </c>
      <c r="D184" s="74">
        <v>0.75</v>
      </c>
      <c r="E184" s="74">
        <v>0.75</v>
      </c>
      <c r="F184" s="11" t="s">
        <v>1656</v>
      </c>
      <c r="G184" s="40"/>
      <c r="I184" s="200"/>
      <c r="K184" s="160"/>
      <c r="P184" s="160"/>
    </row>
    <row r="185">
      <c r="A185" s="37" t="s">
        <v>4457</v>
      </c>
      <c r="B185" s="182">
        <v>12268.0</v>
      </c>
      <c r="C185" s="44" t="s">
        <v>4274</v>
      </c>
      <c r="D185" s="74">
        <v>0.75</v>
      </c>
      <c r="E185" s="74">
        <v>0.75</v>
      </c>
      <c r="F185" s="11" t="s">
        <v>1656</v>
      </c>
      <c r="G185" s="40"/>
      <c r="I185" s="200"/>
      <c r="K185" s="160"/>
      <c r="P185" s="160"/>
    </row>
    <row r="186">
      <c r="A186" s="37" t="s">
        <v>4458</v>
      </c>
      <c r="B186" s="182">
        <v>12609.0</v>
      </c>
      <c r="C186" s="44" t="s">
        <v>4274</v>
      </c>
      <c r="D186" s="74">
        <v>0.75</v>
      </c>
      <c r="E186" s="74">
        <v>0.75</v>
      </c>
      <c r="F186" s="11" t="s">
        <v>1656</v>
      </c>
      <c r="G186" s="40"/>
      <c r="I186" s="200"/>
      <c r="K186" s="160"/>
      <c r="P186" s="160"/>
    </row>
    <row r="187">
      <c r="A187" s="37" t="s">
        <v>4459</v>
      </c>
      <c r="B187" s="182">
        <v>13895.0</v>
      </c>
      <c r="C187" s="44" t="s">
        <v>4274</v>
      </c>
      <c r="D187" s="74">
        <v>0.75</v>
      </c>
      <c r="E187" s="74">
        <v>0.75</v>
      </c>
      <c r="F187" s="11" t="s">
        <v>1656</v>
      </c>
      <c r="G187" s="40"/>
      <c r="I187" s="200"/>
      <c r="K187" s="160"/>
      <c r="P187" s="160"/>
    </row>
    <row r="188">
      <c r="A188" s="37" t="s">
        <v>4460</v>
      </c>
      <c r="B188" s="182">
        <v>13988.0</v>
      </c>
      <c r="C188" s="44" t="s">
        <v>4274</v>
      </c>
      <c r="D188" s="74">
        <v>0.75</v>
      </c>
      <c r="E188" s="74">
        <v>0.75</v>
      </c>
      <c r="F188" s="11" t="s">
        <v>1656</v>
      </c>
      <c r="G188" s="40"/>
      <c r="I188" s="200"/>
      <c r="K188" s="160"/>
      <c r="P188" s="160"/>
    </row>
    <row r="189">
      <c r="A189" s="37" t="s">
        <v>4461</v>
      </c>
      <c r="B189" s="182">
        <v>7416.0</v>
      </c>
      <c r="C189" s="44" t="s">
        <v>4274</v>
      </c>
      <c r="D189" s="74">
        <v>0.75</v>
      </c>
      <c r="E189" s="74">
        <v>0.75</v>
      </c>
      <c r="F189" s="11" t="s">
        <v>1656</v>
      </c>
      <c r="G189" s="40"/>
      <c r="I189" s="200"/>
      <c r="K189" s="160"/>
      <c r="P189" s="160"/>
    </row>
    <row r="190">
      <c r="A190" s="37" t="s">
        <v>4462</v>
      </c>
      <c r="B190" s="210"/>
      <c r="C190" s="44" t="s">
        <v>4274</v>
      </c>
      <c r="D190" s="74">
        <v>0.75</v>
      </c>
      <c r="E190" s="74">
        <v>0.75</v>
      </c>
      <c r="F190" s="11" t="s">
        <v>1656</v>
      </c>
      <c r="G190" s="40"/>
      <c r="I190" s="200"/>
      <c r="K190" s="160"/>
      <c r="P190" s="160"/>
    </row>
    <row r="191">
      <c r="A191" s="37" t="s">
        <v>4463</v>
      </c>
      <c r="B191" s="182">
        <v>13864.0</v>
      </c>
      <c r="C191" s="44" t="s">
        <v>4274</v>
      </c>
      <c r="D191" s="74">
        <v>0.75</v>
      </c>
      <c r="E191" s="74">
        <v>0.75</v>
      </c>
      <c r="F191" s="11" t="s">
        <v>1656</v>
      </c>
      <c r="G191" s="40"/>
      <c r="I191" s="200"/>
      <c r="K191" s="160"/>
      <c r="P191" s="160"/>
    </row>
    <row r="192">
      <c r="A192" s="37" t="s">
        <v>4464</v>
      </c>
      <c r="B192" s="210"/>
      <c r="C192" s="44" t="s">
        <v>4274</v>
      </c>
      <c r="D192" s="74">
        <v>0.75</v>
      </c>
      <c r="E192" s="74">
        <v>0.75</v>
      </c>
      <c r="F192" s="11" t="s">
        <v>1656</v>
      </c>
      <c r="G192" s="40"/>
      <c r="I192" s="200"/>
      <c r="K192" s="160"/>
      <c r="P192" s="160"/>
    </row>
    <row r="193">
      <c r="A193" s="37" t="s">
        <v>4465</v>
      </c>
      <c r="B193" s="210"/>
      <c r="C193" s="44" t="s">
        <v>4274</v>
      </c>
      <c r="D193" s="74">
        <v>0.75</v>
      </c>
      <c r="E193" s="74">
        <v>0.75</v>
      </c>
      <c r="F193" s="11" t="s">
        <v>1656</v>
      </c>
      <c r="G193" s="40"/>
      <c r="I193" s="200"/>
      <c r="K193" s="160"/>
      <c r="P193" s="160"/>
    </row>
    <row r="194">
      <c r="A194" s="37" t="s">
        <v>4466</v>
      </c>
      <c r="B194" s="210"/>
      <c r="C194" s="44" t="s">
        <v>4274</v>
      </c>
      <c r="D194" s="74">
        <v>0.75</v>
      </c>
      <c r="E194" s="74">
        <v>0.75</v>
      </c>
      <c r="F194" s="11" t="s">
        <v>1656</v>
      </c>
      <c r="G194" s="40"/>
      <c r="I194" s="200"/>
      <c r="K194" s="160"/>
      <c r="P194" s="160"/>
    </row>
    <row r="195">
      <c r="A195" s="37" t="s">
        <v>4467</v>
      </c>
      <c r="B195" s="210"/>
      <c r="C195" s="44" t="s">
        <v>4274</v>
      </c>
      <c r="D195" s="74">
        <v>0.75</v>
      </c>
      <c r="E195" s="74">
        <v>0.75</v>
      </c>
      <c r="F195" s="11" t="s">
        <v>1656</v>
      </c>
      <c r="G195" s="40"/>
      <c r="I195" s="200"/>
      <c r="K195" s="160"/>
      <c r="P195" s="160"/>
    </row>
    <row r="196">
      <c r="A196" s="37" t="s">
        <v>4468</v>
      </c>
      <c r="B196" s="182"/>
      <c r="C196" s="44" t="s">
        <v>4274</v>
      </c>
      <c r="D196" s="74">
        <v>0.75</v>
      </c>
      <c r="E196" s="74">
        <v>0.75</v>
      </c>
      <c r="F196" s="11" t="s">
        <v>1656</v>
      </c>
      <c r="G196" s="40"/>
      <c r="I196" s="200"/>
      <c r="K196" s="160"/>
      <c r="P196" s="160"/>
    </row>
    <row r="197">
      <c r="A197" s="37" t="s">
        <v>4469</v>
      </c>
      <c r="B197" s="210"/>
      <c r="C197" s="44" t="s">
        <v>4274</v>
      </c>
      <c r="D197" s="74">
        <v>0.75</v>
      </c>
      <c r="E197" s="74">
        <v>0.75</v>
      </c>
      <c r="F197" s="11" t="s">
        <v>1656</v>
      </c>
      <c r="G197" s="40"/>
      <c r="I197" s="200"/>
      <c r="K197" s="160"/>
      <c r="P197" s="160"/>
    </row>
    <row r="198">
      <c r="A198" s="37" t="s">
        <v>4470</v>
      </c>
      <c r="B198" s="210"/>
      <c r="C198" s="44" t="s">
        <v>4274</v>
      </c>
      <c r="D198" s="74">
        <v>0.75</v>
      </c>
      <c r="E198" s="74">
        <v>0.75</v>
      </c>
      <c r="F198" s="11" t="s">
        <v>1656</v>
      </c>
      <c r="G198" s="40"/>
      <c r="I198" s="200"/>
      <c r="K198" s="160"/>
      <c r="P198" s="160"/>
    </row>
    <row r="199">
      <c r="A199" s="37" t="s">
        <v>4471</v>
      </c>
      <c r="B199" s="210"/>
      <c r="C199" s="44" t="s">
        <v>4274</v>
      </c>
      <c r="D199" s="74">
        <v>0.75</v>
      </c>
      <c r="E199" s="74">
        <v>0.75</v>
      </c>
      <c r="F199" s="11" t="s">
        <v>1656</v>
      </c>
      <c r="G199" s="40"/>
      <c r="I199" s="200"/>
      <c r="K199" s="160"/>
      <c r="P199" s="160"/>
    </row>
    <row r="200">
      <c r="A200" s="37" t="s">
        <v>4472</v>
      </c>
      <c r="B200" s="182">
        <v>14638.0</v>
      </c>
      <c r="C200" s="44" t="s">
        <v>4274</v>
      </c>
      <c r="D200" s="74">
        <v>0.75</v>
      </c>
      <c r="E200" s="74">
        <v>0.75</v>
      </c>
      <c r="F200" s="11" t="s">
        <v>1656</v>
      </c>
      <c r="G200" s="40"/>
      <c r="I200" s="200"/>
      <c r="K200" s="160"/>
      <c r="P200" s="160"/>
    </row>
    <row r="201">
      <c r="A201" s="37" t="s">
        <v>4473</v>
      </c>
      <c r="B201" s="210"/>
      <c r="C201" s="44" t="s">
        <v>4274</v>
      </c>
      <c r="D201" s="74">
        <v>0.75</v>
      </c>
      <c r="E201" s="74">
        <v>0.75</v>
      </c>
      <c r="F201" s="11" t="s">
        <v>1656</v>
      </c>
      <c r="G201" s="40"/>
      <c r="I201" s="200"/>
      <c r="K201" s="160"/>
      <c r="P201" s="160"/>
    </row>
    <row r="202">
      <c r="A202" s="37" t="s">
        <v>4474</v>
      </c>
      <c r="B202" s="210"/>
      <c r="C202" s="44" t="s">
        <v>4274</v>
      </c>
      <c r="D202" s="74">
        <v>0.75</v>
      </c>
      <c r="E202" s="74">
        <v>0.75</v>
      </c>
      <c r="F202" s="11" t="s">
        <v>1656</v>
      </c>
      <c r="G202" s="40"/>
      <c r="I202" s="200"/>
      <c r="K202" s="160"/>
      <c r="P202" s="160"/>
    </row>
    <row r="203">
      <c r="A203" s="37" t="s">
        <v>4475</v>
      </c>
      <c r="B203" s="182">
        <v>14594.0</v>
      </c>
      <c r="C203" s="44" t="s">
        <v>4274</v>
      </c>
      <c r="D203" s="74">
        <v>0.75</v>
      </c>
      <c r="E203" s="74">
        <v>0.75</v>
      </c>
      <c r="F203" s="11" t="s">
        <v>1656</v>
      </c>
      <c r="G203" s="40"/>
      <c r="I203" s="200"/>
      <c r="K203" s="160"/>
      <c r="P203" s="160"/>
    </row>
    <row r="204">
      <c r="A204" s="37" t="s">
        <v>43</v>
      </c>
      <c r="B204" s="182">
        <v>14727.0</v>
      </c>
      <c r="C204" s="44" t="s">
        <v>4274</v>
      </c>
      <c r="D204" s="74">
        <v>0.75</v>
      </c>
      <c r="E204" s="74">
        <v>0.75</v>
      </c>
      <c r="F204" s="11" t="s">
        <v>1656</v>
      </c>
      <c r="G204" s="40"/>
      <c r="I204" s="200"/>
      <c r="K204" s="160"/>
      <c r="P204" s="160"/>
    </row>
    <row r="205">
      <c r="B205" s="160"/>
      <c r="F205" s="41"/>
      <c r="G205" s="40"/>
      <c r="I205" s="200"/>
      <c r="K205" s="160"/>
      <c r="P205" s="160"/>
    </row>
    <row r="206">
      <c r="B206" s="160"/>
      <c r="F206" s="41"/>
      <c r="G206" s="40"/>
      <c r="I206" s="200"/>
      <c r="K206" s="160"/>
      <c r="P206" s="160"/>
    </row>
    <row r="207">
      <c r="B207" s="160"/>
      <c r="F207" s="41"/>
      <c r="G207" s="40"/>
      <c r="I207" s="200"/>
      <c r="K207" s="160"/>
      <c r="P207" s="160"/>
    </row>
    <row r="208">
      <c r="B208" s="160"/>
      <c r="F208" s="41"/>
      <c r="G208" s="40"/>
      <c r="I208" s="200"/>
      <c r="K208" s="160"/>
      <c r="P208" s="160"/>
    </row>
    <row r="209">
      <c r="B209" s="160"/>
      <c r="F209" s="41"/>
      <c r="G209" s="40"/>
      <c r="I209" s="200"/>
      <c r="K209" s="160"/>
      <c r="P209" s="160"/>
    </row>
    <row r="210">
      <c r="B210" s="160"/>
      <c r="F210" s="41"/>
      <c r="G210" s="40"/>
      <c r="I210" s="200"/>
      <c r="K210" s="160"/>
      <c r="P210" s="160"/>
    </row>
    <row r="211">
      <c r="B211" s="160"/>
      <c r="F211" s="41"/>
      <c r="G211" s="40"/>
      <c r="I211" s="200"/>
      <c r="K211" s="160"/>
      <c r="P211" s="160"/>
    </row>
    <row r="212">
      <c r="B212" s="160"/>
      <c r="F212" s="41"/>
      <c r="G212" s="40"/>
      <c r="I212" s="200"/>
      <c r="K212" s="160"/>
      <c r="P212" s="160"/>
    </row>
    <row r="213">
      <c r="B213" s="160"/>
      <c r="F213" s="41"/>
      <c r="G213" s="40"/>
      <c r="I213" s="200"/>
      <c r="K213" s="160"/>
      <c r="P213" s="160"/>
    </row>
    <row r="214">
      <c r="B214" s="160"/>
      <c r="F214" s="41"/>
      <c r="G214" s="40"/>
      <c r="I214" s="200"/>
      <c r="K214" s="160"/>
      <c r="P214" s="160"/>
    </row>
    <row r="215">
      <c r="B215" s="160"/>
      <c r="F215" s="41"/>
      <c r="G215" s="40"/>
      <c r="I215" s="200"/>
      <c r="K215" s="160"/>
      <c r="P215" s="160"/>
    </row>
    <row r="216">
      <c r="B216" s="160"/>
      <c r="F216" s="41"/>
      <c r="G216" s="40"/>
      <c r="I216" s="200"/>
      <c r="K216" s="160"/>
      <c r="P216" s="160"/>
    </row>
    <row r="217">
      <c r="B217" s="160"/>
      <c r="F217" s="41"/>
      <c r="G217" s="40"/>
      <c r="I217" s="200"/>
      <c r="K217" s="160"/>
      <c r="P217" s="160"/>
    </row>
    <row r="218">
      <c r="B218" s="160"/>
      <c r="F218" s="41"/>
      <c r="G218" s="40"/>
      <c r="I218" s="200"/>
      <c r="K218" s="160"/>
      <c r="P218" s="160"/>
    </row>
    <row r="219">
      <c r="B219" s="160"/>
      <c r="F219" s="41"/>
      <c r="G219" s="40"/>
      <c r="I219" s="200"/>
      <c r="K219" s="160"/>
      <c r="P219" s="160"/>
    </row>
    <row r="220">
      <c r="B220" s="160"/>
      <c r="F220" s="41"/>
      <c r="G220" s="40"/>
      <c r="I220" s="200"/>
      <c r="K220" s="160"/>
      <c r="P220" s="160"/>
    </row>
    <row r="221">
      <c r="B221" s="160"/>
      <c r="F221" s="41"/>
      <c r="G221" s="40"/>
      <c r="I221" s="200"/>
      <c r="K221" s="160"/>
      <c r="P221" s="160"/>
    </row>
    <row r="222">
      <c r="B222" s="160"/>
      <c r="F222" s="41"/>
      <c r="G222" s="40"/>
      <c r="I222" s="200"/>
      <c r="K222" s="160"/>
      <c r="P222" s="160"/>
    </row>
    <row r="223">
      <c r="B223" s="160"/>
      <c r="F223" s="41"/>
      <c r="G223" s="40"/>
      <c r="I223" s="200"/>
      <c r="K223" s="160"/>
      <c r="P223" s="160"/>
    </row>
    <row r="224">
      <c r="B224" s="160"/>
      <c r="F224" s="41"/>
      <c r="G224" s="40"/>
      <c r="I224" s="200"/>
      <c r="K224" s="160"/>
      <c r="P224" s="160"/>
    </row>
    <row r="225">
      <c r="B225" s="160"/>
      <c r="F225" s="41"/>
      <c r="G225" s="40"/>
      <c r="I225" s="200"/>
      <c r="K225" s="160"/>
      <c r="P225" s="160"/>
    </row>
    <row r="226">
      <c r="B226" s="160"/>
      <c r="F226" s="41"/>
      <c r="G226" s="40"/>
      <c r="I226" s="200"/>
      <c r="K226" s="160"/>
      <c r="P226" s="160"/>
    </row>
    <row r="227">
      <c r="B227" s="160"/>
      <c r="F227" s="41"/>
      <c r="G227" s="40"/>
      <c r="I227" s="200"/>
      <c r="K227" s="160"/>
      <c r="P227" s="160"/>
    </row>
    <row r="228">
      <c r="B228" s="160"/>
      <c r="F228" s="41"/>
      <c r="G228" s="40"/>
      <c r="I228" s="200"/>
      <c r="K228" s="160"/>
      <c r="P228" s="160"/>
    </row>
    <row r="229">
      <c r="B229" s="160"/>
      <c r="F229" s="41"/>
      <c r="G229" s="40"/>
      <c r="I229" s="200"/>
      <c r="K229" s="160"/>
      <c r="P229" s="160"/>
    </row>
    <row r="230">
      <c r="B230" s="160"/>
      <c r="F230" s="41"/>
      <c r="G230" s="40"/>
      <c r="I230" s="200"/>
      <c r="K230" s="160"/>
      <c r="P230" s="160"/>
    </row>
    <row r="231">
      <c r="B231" s="160"/>
      <c r="F231" s="41"/>
      <c r="G231" s="40"/>
      <c r="I231" s="200"/>
      <c r="K231" s="160"/>
      <c r="P231" s="160"/>
    </row>
    <row r="232">
      <c r="B232" s="160"/>
      <c r="F232" s="41"/>
      <c r="G232" s="40"/>
      <c r="I232" s="200"/>
      <c r="K232" s="160"/>
      <c r="P232" s="160"/>
    </row>
    <row r="233">
      <c r="B233" s="160"/>
      <c r="F233" s="41"/>
      <c r="G233" s="40"/>
      <c r="I233" s="200"/>
      <c r="K233" s="160"/>
      <c r="P233" s="160"/>
    </row>
    <row r="234">
      <c r="B234" s="160"/>
      <c r="F234" s="41"/>
      <c r="G234" s="40"/>
      <c r="I234" s="200"/>
      <c r="K234" s="160"/>
      <c r="P234" s="160"/>
    </row>
    <row r="235">
      <c r="B235" s="160"/>
      <c r="F235" s="41"/>
      <c r="G235" s="40"/>
      <c r="I235" s="200"/>
      <c r="K235" s="160"/>
      <c r="P235" s="160"/>
    </row>
    <row r="236">
      <c r="B236" s="160"/>
      <c r="F236" s="41"/>
      <c r="G236" s="40"/>
      <c r="I236" s="200"/>
      <c r="K236" s="160"/>
      <c r="P236" s="160"/>
    </row>
    <row r="237">
      <c r="B237" s="160"/>
      <c r="F237" s="41"/>
      <c r="G237" s="40"/>
      <c r="I237" s="200"/>
      <c r="K237" s="160"/>
      <c r="P237" s="160"/>
    </row>
    <row r="238">
      <c r="B238" s="160"/>
      <c r="F238" s="41"/>
      <c r="G238" s="40"/>
      <c r="I238" s="200"/>
      <c r="K238" s="160"/>
      <c r="P238" s="160"/>
    </row>
    <row r="239">
      <c r="B239" s="160"/>
      <c r="F239" s="41"/>
      <c r="G239" s="40"/>
      <c r="I239" s="200"/>
      <c r="K239" s="160"/>
      <c r="P239" s="160"/>
    </row>
    <row r="240">
      <c r="B240" s="160"/>
      <c r="F240" s="41"/>
      <c r="G240" s="40"/>
      <c r="I240" s="200"/>
      <c r="K240" s="160"/>
      <c r="P240" s="160"/>
    </row>
    <row r="241">
      <c r="B241" s="160"/>
      <c r="F241" s="41"/>
      <c r="G241" s="40"/>
      <c r="I241" s="200"/>
      <c r="K241" s="160"/>
      <c r="P241" s="160"/>
    </row>
    <row r="242">
      <c r="B242" s="160"/>
      <c r="F242" s="41"/>
      <c r="G242" s="40"/>
      <c r="I242" s="200"/>
      <c r="K242" s="160"/>
      <c r="P242" s="160"/>
    </row>
    <row r="243">
      <c r="B243" s="160"/>
      <c r="F243" s="41"/>
      <c r="G243" s="40"/>
      <c r="I243" s="200"/>
      <c r="K243" s="160"/>
      <c r="P243" s="160"/>
    </row>
    <row r="244">
      <c r="B244" s="160"/>
      <c r="F244" s="41"/>
      <c r="G244" s="40"/>
      <c r="I244" s="200"/>
      <c r="K244" s="160"/>
      <c r="P244" s="160"/>
    </row>
    <row r="245">
      <c r="B245" s="160"/>
      <c r="F245" s="41"/>
      <c r="G245" s="40"/>
      <c r="I245" s="200"/>
      <c r="K245" s="160"/>
      <c r="P245" s="160"/>
    </row>
    <row r="246">
      <c r="B246" s="160"/>
      <c r="F246" s="41"/>
      <c r="G246" s="40"/>
      <c r="I246" s="200"/>
      <c r="K246" s="160"/>
      <c r="P246" s="160"/>
    </row>
    <row r="247">
      <c r="B247" s="160"/>
      <c r="F247" s="41"/>
      <c r="G247" s="40"/>
      <c r="I247" s="200"/>
      <c r="K247" s="160"/>
      <c r="P247" s="160"/>
    </row>
    <row r="248">
      <c r="B248" s="160"/>
      <c r="F248" s="41"/>
      <c r="G248" s="40"/>
      <c r="I248" s="200"/>
      <c r="K248" s="160"/>
      <c r="P248" s="160"/>
    </row>
    <row r="249">
      <c r="B249" s="160"/>
      <c r="F249" s="41"/>
      <c r="G249" s="40"/>
      <c r="I249" s="200"/>
      <c r="K249" s="160"/>
      <c r="P249" s="160"/>
    </row>
    <row r="250">
      <c r="B250" s="160"/>
      <c r="F250" s="41"/>
      <c r="G250" s="40"/>
      <c r="I250" s="200"/>
      <c r="K250" s="160"/>
      <c r="P250" s="160"/>
    </row>
    <row r="251">
      <c r="B251" s="160"/>
      <c r="F251" s="41"/>
      <c r="G251" s="40"/>
      <c r="I251" s="200"/>
      <c r="K251" s="160"/>
      <c r="P251" s="160"/>
    </row>
    <row r="252">
      <c r="B252" s="160"/>
      <c r="F252" s="41"/>
      <c r="G252" s="40"/>
      <c r="I252" s="200"/>
      <c r="K252" s="160"/>
      <c r="P252" s="160"/>
    </row>
    <row r="253">
      <c r="B253" s="160"/>
      <c r="F253" s="41"/>
      <c r="G253" s="40"/>
      <c r="I253" s="200"/>
      <c r="K253" s="160"/>
      <c r="P253" s="160"/>
    </row>
    <row r="254">
      <c r="B254" s="160"/>
      <c r="F254" s="41"/>
      <c r="G254" s="40"/>
      <c r="I254" s="200"/>
      <c r="K254" s="160"/>
      <c r="P254" s="160"/>
    </row>
    <row r="255">
      <c r="B255" s="160"/>
      <c r="F255" s="41"/>
      <c r="G255" s="40"/>
      <c r="I255" s="200"/>
      <c r="K255" s="160"/>
      <c r="P255" s="160"/>
    </row>
    <row r="256">
      <c r="B256" s="160"/>
      <c r="F256" s="41"/>
      <c r="G256" s="40"/>
      <c r="I256" s="200"/>
      <c r="K256" s="160"/>
      <c r="P256" s="160"/>
    </row>
    <row r="257">
      <c r="B257" s="160"/>
      <c r="F257" s="41"/>
      <c r="G257" s="40"/>
      <c r="I257" s="200"/>
      <c r="K257" s="160"/>
      <c r="P257" s="160"/>
    </row>
    <row r="258">
      <c r="B258" s="160"/>
      <c r="F258" s="41"/>
      <c r="G258" s="40"/>
      <c r="I258" s="200"/>
      <c r="K258" s="160"/>
      <c r="P258" s="160"/>
    </row>
    <row r="259">
      <c r="B259" s="160"/>
      <c r="F259" s="41"/>
      <c r="G259" s="40"/>
      <c r="I259" s="200"/>
      <c r="K259" s="160"/>
      <c r="P259" s="160"/>
    </row>
    <row r="260">
      <c r="B260" s="160"/>
      <c r="F260" s="41"/>
      <c r="G260" s="40"/>
      <c r="I260" s="200"/>
      <c r="K260" s="160"/>
      <c r="P260" s="160"/>
    </row>
    <row r="261">
      <c r="B261" s="160"/>
      <c r="F261" s="41"/>
      <c r="G261" s="40"/>
      <c r="I261" s="200"/>
      <c r="K261" s="160"/>
      <c r="P261" s="160"/>
    </row>
    <row r="262">
      <c r="B262" s="160"/>
      <c r="F262" s="41"/>
      <c r="G262" s="40"/>
      <c r="I262" s="200"/>
      <c r="K262" s="160"/>
      <c r="P262" s="160"/>
    </row>
    <row r="263">
      <c r="B263" s="160"/>
      <c r="F263" s="41"/>
      <c r="G263" s="40"/>
      <c r="I263" s="200"/>
      <c r="K263" s="160"/>
      <c r="P263" s="160"/>
    </row>
    <row r="264">
      <c r="B264" s="160"/>
      <c r="F264" s="41"/>
      <c r="G264" s="40"/>
      <c r="I264" s="200"/>
      <c r="K264" s="160"/>
      <c r="P264" s="160"/>
    </row>
    <row r="265">
      <c r="B265" s="160"/>
      <c r="F265" s="41"/>
      <c r="G265" s="40"/>
      <c r="I265" s="200"/>
      <c r="K265" s="160"/>
      <c r="P265" s="160"/>
    </row>
    <row r="266">
      <c r="B266" s="160"/>
      <c r="F266" s="41"/>
      <c r="G266" s="40"/>
      <c r="I266" s="200"/>
      <c r="K266" s="160"/>
      <c r="P266" s="160"/>
    </row>
    <row r="267">
      <c r="B267" s="160"/>
      <c r="F267" s="41"/>
      <c r="G267" s="40"/>
      <c r="I267" s="200"/>
      <c r="K267" s="160"/>
      <c r="P267" s="160"/>
    </row>
    <row r="268">
      <c r="B268" s="160"/>
      <c r="F268" s="41"/>
      <c r="G268" s="40"/>
      <c r="I268" s="200"/>
      <c r="K268" s="160"/>
      <c r="P268" s="160"/>
    </row>
    <row r="269">
      <c r="B269" s="160"/>
      <c r="F269" s="41"/>
      <c r="G269" s="40"/>
      <c r="I269" s="200"/>
      <c r="K269" s="160"/>
      <c r="P269" s="160"/>
    </row>
    <row r="270">
      <c r="B270" s="160"/>
      <c r="F270" s="41"/>
      <c r="G270" s="40"/>
      <c r="I270" s="200"/>
      <c r="K270" s="160"/>
      <c r="P270" s="160"/>
    </row>
    <row r="271">
      <c r="B271" s="160"/>
      <c r="F271" s="41"/>
      <c r="G271" s="40"/>
      <c r="I271" s="200"/>
      <c r="K271" s="160"/>
      <c r="P271" s="160"/>
    </row>
    <row r="272">
      <c r="B272" s="160"/>
      <c r="F272" s="41"/>
      <c r="G272" s="40"/>
      <c r="I272" s="200"/>
      <c r="K272" s="160"/>
      <c r="P272" s="160"/>
    </row>
    <row r="273">
      <c r="B273" s="160"/>
      <c r="F273" s="41"/>
      <c r="G273" s="40"/>
      <c r="I273" s="200"/>
      <c r="K273" s="160"/>
      <c r="P273" s="160"/>
    </row>
    <row r="274">
      <c r="B274" s="160"/>
      <c r="F274" s="41"/>
      <c r="G274" s="40"/>
      <c r="I274" s="200"/>
      <c r="K274" s="160"/>
      <c r="P274" s="160"/>
    </row>
    <row r="275">
      <c r="B275" s="160"/>
      <c r="F275" s="41"/>
      <c r="G275" s="40"/>
      <c r="I275" s="200"/>
      <c r="K275" s="160"/>
      <c r="P275" s="160"/>
    </row>
    <row r="276">
      <c r="B276" s="160"/>
      <c r="F276" s="41"/>
      <c r="G276" s="40"/>
      <c r="I276" s="200"/>
      <c r="K276" s="160"/>
      <c r="P276" s="160"/>
    </row>
    <row r="277">
      <c r="B277" s="160"/>
      <c r="F277" s="41"/>
      <c r="G277" s="40"/>
      <c r="I277" s="200"/>
      <c r="K277" s="160"/>
      <c r="P277" s="160"/>
    </row>
    <row r="278">
      <c r="B278" s="160"/>
      <c r="F278" s="41"/>
      <c r="G278" s="40"/>
      <c r="I278" s="200"/>
      <c r="K278" s="160"/>
      <c r="P278" s="160"/>
    </row>
    <row r="279">
      <c r="B279" s="160"/>
      <c r="F279" s="41"/>
      <c r="G279" s="40"/>
      <c r="I279" s="200"/>
      <c r="K279" s="160"/>
      <c r="P279" s="160"/>
    </row>
    <row r="280">
      <c r="B280" s="160"/>
      <c r="F280" s="41"/>
      <c r="G280" s="40"/>
      <c r="I280" s="200"/>
      <c r="K280" s="160"/>
      <c r="P280" s="160"/>
    </row>
    <row r="281">
      <c r="B281" s="160"/>
      <c r="F281" s="41"/>
      <c r="G281" s="40"/>
      <c r="I281" s="200"/>
      <c r="K281" s="160"/>
      <c r="P281" s="160"/>
    </row>
    <row r="282">
      <c r="B282" s="160"/>
      <c r="F282" s="41"/>
      <c r="G282" s="40"/>
      <c r="I282" s="200"/>
      <c r="K282" s="160"/>
      <c r="P282" s="160"/>
    </row>
    <row r="283">
      <c r="B283" s="160"/>
      <c r="F283" s="41"/>
      <c r="G283" s="40"/>
      <c r="I283" s="200"/>
      <c r="K283" s="160"/>
      <c r="P283" s="160"/>
    </row>
    <row r="284">
      <c r="B284" s="160"/>
      <c r="F284" s="41"/>
      <c r="G284" s="40"/>
      <c r="I284" s="200"/>
      <c r="K284" s="160"/>
      <c r="P284" s="160"/>
    </row>
    <row r="285">
      <c r="B285" s="160"/>
      <c r="F285" s="41"/>
      <c r="G285" s="40"/>
      <c r="I285" s="200"/>
      <c r="K285" s="160"/>
      <c r="P285" s="160"/>
    </row>
    <row r="286">
      <c r="B286" s="160"/>
      <c r="F286" s="41"/>
      <c r="G286" s="40"/>
      <c r="I286" s="200"/>
      <c r="K286" s="160"/>
      <c r="P286" s="160"/>
    </row>
    <row r="287">
      <c r="B287" s="160"/>
      <c r="F287" s="41"/>
      <c r="G287" s="40"/>
      <c r="I287" s="200"/>
      <c r="K287" s="160"/>
      <c r="P287" s="160"/>
    </row>
    <row r="288">
      <c r="B288" s="160"/>
      <c r="F288" s="41"/>
      <c r="G288" s="40"/>
      <c r="I288" s="200"/>
      <c r="K288" s="160"/>
      <c r="P288" s="160"/>
    </row>
    <row r="289">
      <c r="B289" s="160"/>
      <c r="F289" s="41"/>
      <c r="G289" s="40"/>
      <c r="I289" s="200"/>
      <c r="K289" s="160"/>
      <c r="P289" s="160"/>
    </row>
    <row r="290">
      <c r="B290" s="160"/>
      <c r="F290" s="41"/>
      <c r="G290" s="40"/>
      <c r="I290" s="200"/>
      <c r="K290" s="160"/>
      <c r="P290" s="160"/>
    </row>
    <row r="291">
      <c r="B291" s="160"/>
      <c r="F291" s="41"/>
      <c r="G291" s="40"/>
      <c r="I291" s="200"/>
      <c r="K291" s="160"/>
      <c r="P291" s="160"/>
    </row>
    <row r="292">
      <c r="B292" s="160"/>
      <c r="F292" s="41"/>
      <c r="G292" s="40"/>
      <c r="I292" s="200"/>
      <c r="K292" s="160"/>
      <c r="P292" s="160"/>
    </row>
    <row r="293">
      <c r="B293" s="160"/>
      <c r="F293" s="41"/>
      <c r="G293" s="40"/>
      <c r="I293" s="200"/>
      <c r="K293" s="160"/>
      <c r="P293" s="160"/>
    </row>
    <row r="294">
      <c r="B294" s="160"/>
      <c r="F294" s="41"/>
      <c r="G294" s="40"/>
      <c r="I294" s="200"/>
      <c r="K294" s="160"/>
      <c r="P294" s="160"/>
    </row>
    <row r="295">
      <c r="B295" s="160"/>
      <c r="F295" s="41"/>
      <c r="G295" s="40"/>
      <c r="I295" s="200"/>
      <c r="K295" s="160"/>
      <c r="P295" s="160"/>
    </row>
    <row r="296">
      <c r="B296" s="160"/>
      <c r="F296" s="41"/>
      <c r="G296" s="40"/>
      <c r="I296" s="200"/>
      <c r="K296" s="160"/>
      <c r="P296" s="160"/>
    </row>
    <row r="297">
      <c r="B297" s="160"/>
      <c r="F297" s="41"/>
      <c r="G297" s="40"/>
      <c r="I297" s="200"/>
      <c r="K297" s="160"/>
      <c r="P297" s="160"/>
    </row>
    <row r="298">
      <c r="B298" s="160"/>
      <c r="F298" s="41"/>
      <c r="G298" s="40"/>
      <c r="I298" s="200"/>
      <c r="K298" s="160"/>
      <c r="P298" s="160"/>
    </row>
    <row r="299">
      <c r="B299" s="160"/>
      <c r="F299" s="41"/>
      <c r="G299" s="40"/>
      <c r="I299" s="200"/>
      <c r="K299" s="160"/>
      <c r="P299" s="160"/>
    </row>
    <row r="300">
      <c r="B300" s="160"/>
      <c r="F300" s="41"/>
      <c r="G300" s="40"/>
      <c r="I300" s="200"/>
      <c r="K300" s="160"/>
      <c r="P300" s="160"/>
    </row>
    <row r="301">
      <c r="B301" s="160"/>
      <c r="F301" s="41"/>
      <c r="G301" s="40"/>
      <c r="I301" s="200"/>
      <c r="K301" s="160"/>
      <c r="P301" s="160"/>
    </row>
    <row r="302">
      <c r="B302" s="160"/>
      <c r="F302" s="41"/>
      <c r="G302" s="40"/>
      <c r="I302" s="200"/>
      <c r="K302" s="160"/>
      <c r="P302" s="160"/>
    </row>
    <row r="303">
      <c r="B303" s="160"/>
      <c r="F303" s="41"/>
      <c r="G303" s="40"/>
      <c r="I303" s="200"/>
      <c r="K303" s="160"/>
      <c r="P303" s="160"/>
    </row>
    <row r="304">
      <c r="B304" s="160"/>
      <c r="F304" s="41"/>
      <c r="G304" s="40"/>
      <c r="I304" s="200"/>
      <c r="K304" s="160"/>
      <c r="P304" s="160"/>
    </row>
    <row r="305">
      <c r="B305" s="160"/>
      <c r="F305" s="41"/>
      <c r="G305" s="40"/>
      <c r="I305" s="200"/>
      <c r="K305" s="160"/>
      <c r="P305" s="160"/>
    </row>
    <row r="306">
      <c r="B306" s="160"/>
      <c r="F306" s="41"/>
      <c r="G306" s="40"/>
      <c r="I306" s="200"/>
      <c r="K306" s="160"/>
      <c r="P306" s="160"/>
    </row>
    <row r="307">
      <c r="B307" s="160"/>
      <c r="F307" s="41"/>
      <c r="G307" s="40"/>
      <c r="I307" s="200"/>
      <c r="K307" s="160"/>
      <c r="P307" s="160"/>
    </row>
    <row r="308">
      <c r="B308" s="160"/>
      <c r="F308" s="41"/>
      <c r="G308" s="40"/>
      <c r="I308" s="200"/>
      <c r="K308" s="160"/>
      <c r="P308" s="160"/>
    </row>
    <row r="309">
      <c r="B309" s="160"/>
      <c r="F309" s="41"/>
      <c r="G309" s="40"/>
      <c r="I309" s="200"/>
      <c r="K309" s="160"/>
      <c r="P309" s="160"/>
    </row>
    <row r="310">
      <c r="B310" s="160"/>
      <c r="F310" s="41"/>
      <c r="G310" s="40"/>
      <c r="I310" s="200"/>
      <c r="K310" s="160"/>
      <c r="P310" s="160"/>
    </row>
    <row r="311">
      <c r="B311" s="160"/>
      <c r="F311" s="41"/>
      <c r="G311" s="40"/>
      <c r="I311" s="200"/>
      <c r="K311" s="160"/>
      <c r="P311" s="160"/>
    </row>
    <row r="312">
      <c r="B312" s="160"/>
      <c r="F312" s="41"/>
      <c r="G312" s="40"/>
      <c r="I312" s="200"/>
      <c r="K312" s="160"/>
      <c r="P312" s="160"/>
    </row>
    <row r="313">
      <c r="B313" s="160"/>
      <c r="F313" s="41"/>
      <c r="G313" s="40"/>
      <c r="I313" s="200"/>
      <c r="K313" s="160"/>
      <c r="P313" s="160"/>
    </row>
    <row r="314">
      <c r="B314" s="160"/>
      <c r="F314" s="41"/>
      <c r="G314" s="40"/>
      <c r="I314" s="200"/>
      <c r="K314" s="160"/>
      <c r="P314" s="160"/>
    </row>
    <row r="315">
      <c r="B315" s="160"/>
      <c r="F315" s="41"/>
      <c r="G315" s="40"/>
      <c r="I315" s="200"/>
      <c r="K315" s="160"/>
      <c r="P315" s="160"/>
    </row>
    <row r="316">
      <c r="B316" s="160"/>
      <c r="F316" s="41"/>
      <c r="G316" s="40"/>
      <c r="I316" s="200"/>
      <c r="K316" s="160"/>
      <c r="P316" s="160"/>
    </row>
    <row r="317">
      <c r="B317" s="160"/>
      <c r="F317" s="41"/>
      <c r="G317" s="40"/>
      <c r="I317" s="200"/>
      <c r="K317" s="160"/>
      <c r="P317" s="160"/>
    </row>
    <row r="318">
      <c r="B318" s="160"/>
      <c r="F318" s="41"/>
      <c r="G318" s="40"/>
      <c r="I318" s="200"/>
      <c r="K318" s="160"/>
      <c r="P318" s="160"/>
    </row>
    <row r="319">
      <c r="B319" s="160"/>
      <c r="F319" s="41"/>
      <c r="G319" s="40"/>
      <c r="I319" s="200"/>
      <c r="K319" s="160"/>
      <c r="P319" s="160"/>
    </row>
    <row r="320">
      <c r="B320" s="160"/>
      <c r="F320" s="41"/>
      <c r="G320" s="40"/>
      <c r="I320" s="200"/>
      <c r="K320" s="160"/>
      <c r="P320" s="160"/>
    </row>
    <row r="321">
      <c r="B321" s="160"/>
      <c r="F321" s="41"/>
      <c r="G321" s="40"/>
      <c r="I321" s="200"/>
      <c r="K321" s="160"/>
      <c r="P321" s="160"/>
    </row>
    <row r="322">
      <c r="B322" s="160"/>
      <c r="F322" s="41"/>
      <c r="G322" s="40"/>
      <c r="I322" s="200"/>
      <c r="K322" s="160"/>
      <c r="P322" s="160"/>
    </row>
    <row r="323">
      <c r="B323" s="160"/>
      <c r="F323" s="41"/>
      <c r="G323" s="40"/>
      <c r="I323" s="200"/>
      <c r="K323" s="160"/>
      <c r="P323" s="160"/>
    </row>
    <row r="324">
      <c r="B324" s="160"/>
      <c r="F324" s="41"/>
      <c r="G324" s="40"/>
      <c r="I324" s="200"/>
      <c r="K324" s="160"/>
      <c r="P324" s="160"/>
    </row>
    <row r="325">
      <c r="B325" s="160"/>
      <c r="F325" s="41"/>
      <c r="G325" s="40"/>
      <c r="I325" s="200"/>
      <c r="K325" s="160"/>
      <c r="P325" s="160"/>
    </row>
    <row r="326">
      <c r="B326" s="160"/>
      <c r="F326" s="41"/>
      <c r="G326" s="40"/>
      <c r="I326" s="200"/>
      <c r="K326" s="160"/>
      <c r="P326" s="160"/>
    </row>
    <row r="327">
      <c r="B327" s="160"/>
      <c r="F327" s="41"/>
      <c r="G327" s="40"/>
      <c r="I327" s="200"/>
      <c r="K327" s="160"/>
      <c r="P327" s="160"/>
    </row>
    <row r="328">
      <c r="B328" s="160"/>
      <c r="F328" s="41"/>
      <c r="G328" s="40"/>
      <c r="I328" s="200"/>
      <c r="K328" s="160"/>
      <c r="P328" s="160"/>
    </row>
    <row r="329">
      <c r="B329" s="160"/>
      <c r="F329" s="41"/>
      <c r="G329" s="40"/>
      <c r="I329" s="200"/>
      <c r="K329" s="160"/>
      <c r="P329" s="160"/>
    </row>
    <row r="330">
      <c r="B330" s="160"/>
      <c r="F330" s="41"/>
      <c r="G330" s="40"/>
      <c r="I330" s="200"/>
      <c r="K330" s="160"/>
      <c r="P330" s="160"/>
    </row>
    <row r="331">
      <c r="B331" s="160"/>
      <c r="F331" s="41"/>
      <c r="G331" s="40"/>
      <c r="I331" s="200"/>
      <c r="K331" s="160"/>
      <c r="P331" s="160"/>
    </row>
    <row r="332">
      <c r="B332" s="160"/>
      <c r="F332" s="41"/>
      <c r="G332" s="40"/>
      <c r="I332" s="200"/>
      <c r="K332" s="160"/>
      <c r="P332" s="160"/>
    </row>
    <row r="333">
      <c r="B333" s="160"/>
      <c r="F333" s="41"/>
      <c r="G333" s="40"/>
      <c r="I333" s="200"/>
      <c r="K333" s="160"/>
      <c r="P333" s="160"/>
    </row>
    <row r="334">
      <c r="B334" s="160"/>
      <c r="F334" s="41"/>
      <c r="G334" s="40"/>
      <c r="I334" s="200"/>
      <c r="K334" s="160"/>
      <c r="P334" s="160"/>
    </row>
    <row r="335">
      <c r="B335" s="160"/>
      <c r="F335" s="41"/>
      <c r="G335" s="40"/>
      <c r="I335" s="200"/>
      <c r="K335" s="160"/>
      <c r="P335" s="160"/>
    </row>
    <row r="336">
      <c r="B336" s="160"/>
      <c r="F336" s="41"/>
      <c r="G336" s="40"/>
      <c r="I336" s="200"/>
      <c r="K336" s="160"/>
      <c r="P336" s="160"/>
    </row>
    <row r="337">
      <c r="B337" s="160"/>
      <c r="F337" s="41"/>
      <c r="G337" s="40"/>
      <c r="I337" s="200"/>
      <c r="K337" s="160"/>
      <c r="P337" s="160"/>
    </row>
    <row r="338">
      <c r="B338" s="160"/>
      <c r="F338" s="41"/>
      <c r="G338" s="40"/>
      <c r="I338" s="200"/>
      <c r="K338" s="160"/>
      <c r="P338" s="160"/>
    </row>
    <row r="339">
      <c r="B339" s="160"/>
      <c r="F339" s="41"/>
      <c r="G339" s="40"/>
      <c r="I339" s="200"/>
      <c r="K339" s="160"/>
      <c r="P339" s="160"/>
    </row>
    <row r="340">
      <c r="B340" s="160"/>
      <c r="F340" s="41"/>
      <c r="G340" s="40"/>
      <c r="I340" s="200"/>
      <c r="K340" s="160"/>
      <c r="P340" s="160"/>
    </row>
    <row r="341">
      <c r="B341" s="160"/>
      <c r="F341" s="41"/>
      <c r="G341" s="40"/>
      <c r="I341" s="200"/>
      <c r="K341" s="160"/>
      <c r="P341" s="160"/>
    </row>
    <row r="342">
      <c r="B342" s="160"/>
      <c r="F342" s="41"/>
      <c r="G342" s="40"/>
      <c r="I342" s="200"/>
      <c r="K342" s="160"/>
      <c r="P342" s="160"/>
    </row>
    <row r="343">
      <c r="B343" s="160"/>
      <c r="F343" s="41"/>
      <c r="G343" s="40"/>
      <c r="I343" s="200"/>
      <c r="K343" s="160"/>
      <c r="P343" s="160"/>
    </row>
    <row r="344">
      <c r="B344" s="160"/>
      <c r="F344" s="41"/>
      <c r="G344" s="40"/>
      <c r="I344" s="200"/>
      <c r="K344" s="160"/>
      <c r="P344" s="160"/>
    </row>
    <row r="345">
      <c r="B345" s="160"/>
      <c r="F345" s="41"/>
      <c r="G345" s="40"/>
      <c r="I345" s="200"/>
      <c r="K345" s="160"/>
      <c r="P345" s="160"/>
    </row>
    <row r="346">
      <c r="B346" s="160"/>
      <c r="F346" s="41"/>
      <c r="G346" s="40"/>
      <c r="I346" s="200"/>
      <c r="K346" s="160"/>
      <c r="P346" s="160"/>
    </row>
    <row r="347">
      <c r="B347" s="160"/>
      <c r="F347" s="41"/>
      <c r="G347" s="40"/>
      <c r="I347" s="200"/>
      <c r="K347" s="160"/>
      <c r="P347" s="160"/>
    </row>
    <row r="348">
      <c r="B348" s="160"/>
      <c r="F348" s="41"/>
      <c r="G348" s="40"/>
      <c r="I348" s="200"/>
      <c r="K348" s="160"/>
      <c r="P348" s="160"/>
    </row>
    <row r="349">
      <c r="B349" s="160"/>
      <c r="F349" s="41"/>
      <c r="G349" s="40"/>
      <c r="I349" s="200"/>
      <c r="K349" s="160"/>
      <c r="P349" s="160"/>
    </row>
    <row r="350">
      <c r="B350" s="160"/>
      <c r="F350" s="41"/>
      <c r="G350" s="40"/>
      <c r="I350" s="200"/>
      <c r="K350" s="160"/>
      <c r="P350" s="160"/>
    </row>
    <row r="351">
      <c r="B351" s="160"/>
      <c r="F351" s="41"/>
      <c r="G351" s="40"/>
      <c r="I351" s="200"/>
      <c r="K351" s="160"/>
      <c r="P351" s="160"/>
    </row>
    <row r="352">
      <c r="B352" s="160"/>
      <c r="F352" s="41"/>
      <c r="G352" s="40"/>
      <c r="I352" s="200"/>
      <c r="K352" s="160"/>
      <c r="P352" s="160"/>
    </row>
    <row r="353">
      <c r="B353" s="160"/>
      <c r="F353" s="41"/>
      <c r="G353" s="40"/>
      <c r="I353" s="200"/>
      <c r="K353" s="160"/>
      <c r="P353" s="160"/>
    </row>
    <row r="354">
      <c r="B354" s="160"/>
      <c r="F354" s="41"/>
      <c r="G354" s="40"/>
      <c r="I354" s="200"/>
      <c r="K354" s="160"/>
      <c r="P354" s="160"/>
    </row>
    <row r="355">
      <c r="B355" s="160"/>
      <c r="F355" s="41"/>
      <c r="G355" s="40"/>
      <c r="I355" s="200"/>
      <c r="K355" s="160"/>
      <c r="P355" s="160"/>
    </row>
    <row r="356">
      <c r="B356" s="160"/>
      <c r="F356" s="41"/>
      <c r="G356" s="40"/>
      <c r="I356" s="200"/>
      <c r="K356" s="160"/>
      <c r="P356" s="160"/>
    </row>
    <row r="357">
      <c r="B357" s="160"/>
      <c r="F357" s="41"/>
      <c r="G357" s="40"/>
      <c r="I357" s="200"/>
      <c r="K357" s="160"/>
      <c r="P357" s="160"/>
    </row>
    <row r="358">
      <c r="B358" s="160"/>
      <c r="F358" s="41"/>
      <c r="G358" s="40"/>
      <c r="I358" s="200"/>
      <c r="K358" s="160"/>
      <c r="P358" s="160"/>
    </row>
    <row r="359">
      <c r="B359" s="160"/>
      <c r="F359" s="41"/>
      <c r="G359" s="40"/>
      <c r="I359" s="200"/>
      <c r="K359" s="160"/>
      <c r="P359" s="160"/>
    </row>
    <row r="360">
      <c r="B360" s="160"/>
      <c r="F360" s="41"/>
      <c r="G360" s="40"/>
      <c r="I360" s="200"/>
      <c r="K360" s="160"/>
      <c r="P360" s="160"/>
    </row>
    <row r="361">
      <c r="B361" s="160"/>
      <c r="F361" s="41"/>
      <c r="G361" s="40"/>
      <c r="I361" s="200"/>
      <c r="K361" s="160"/>
      <c r="P361" s="160"/>
    </row>
    <row r="362">
      <c r="B362" s="160"/>
      <c r="F362" s="41"/>
      <c r="G362" s="40"/>
      <c r="I362" s="200"/>
      <c r="K362" s="160"/>
      <c r="P362" s="160"/>
    </row>
    <row r="363">
      <c r="B363" s="160"/>
      <c r="F363" s="41"/>
      <c r="G363" s="40"/>
      <c r="I363" s="200"/>
      <c r="K363" s="160"/>
      <c r="P363" s="160"/>
    </row>
    <row r="364">
      <c r="B364" s="160"/>
      <c r="F364" s="41"/>
      <c r="G364" s="40"/>
      <c r="I364" s="200"/>
      <c r="K364" s="160"/>
      <c r="P364" s="160"/>
    </row>
    <row r="365">
      <c r="B365" s="160"/>
      <c r="F365" s="41"/>
      <c r="G365" s="40"/>
      <c r="I365" s="200"/>
      <c r="K365" s="160"/>
      <c r="P365" s="160"/>
    </row>
    <row r="366">
      <c r="B366" s="160"/>
      <c r="F366" s="41"/>
      <c r="G366" s="40"/>
      <c r="I366" s="200"/>
      <c r="K366" s="160"/>
      <c r="P366" s="160"/>
    </row>
    <row r="367">
      <c r="B367" s="160"/>
      <c r="F367" s="41"/>
      <c r="G367" s="40"/>
      <c r="I367" s="200"/>
      <c r="K367" s="160"/>
      <c r="P367" s="160"/>
    </row>
    <row r="368">
      <c r="B368" s="160"/>
      <c r="F368" s="41"/>
      <c r="G368" s="40"/>
      <c r="I368" s="200"/>
      <c r="K368" s="160"/>
      <c r="P368" s="160"/>
    </row>
    <row r="369">
      <c r="B369" s="160"/>
      <c r="F369" s="41"/>
      <c r="G369" s="40"/>
      <c r="I369" s="200"/>
      <c r="K369" s="160"/>
      <c r="P369" s="160"/>
    </row>
    <row r="370">
      <c r="B370" s="160"/>
      <c r="F370" s="41"/>
      <c r="G370" s="40"/>
      <c r="I370" s="200"/>
      <c r="K370" s="160"/>
      <c r="P370" s="160"/>
    </row>
    <row r="371">
      <c r="B371" s="160"/>
      <c r="F371" s="41"/>
      <c r="G371" s="40"/>
      <c r="I371" s="200"/>
      <c r="K371" s="160"/>
      <c r="P371" s="160"/>
    </row>
    <row r="372">
      <c r="B372" s="160"/>
      <c r="F372" s="41"/>
      <c r="G372" s="40"/>
      <c r="I372" s="200"/>
      <c r="K372" s="160"/>
      <c r="P372" s="160"/>
    </row>
    <row r="373">
      <c r="B373" s="160"/>
      <c r="F373" s="41"/>
      <c r="G373" s="40"/>
      <c r="I373" s="200"/>
      <c r="K373" s="160"/>
      <c r="P373" s="160"/>
    </row>
    <row r="374">
      <c r="B374" s="160"/>
      <c r="F374" s="41"/>
      <c r="G374" s="40"/>
      <c r="I374" s="200"/>
      <c r="K374" s="160"/>
      <c r="P374" s="160"/>
    </row>
    <row r="375">
      <c r="B375" s="160"/>
      <c r="F375" s="41"/>
      <c r="G375" s="40"/>
      <c r="I375" s="200"/>
      <c r="K375" s="160"/>
      <c r="P375" s="160"/>
    </row>
    <row r="376">
      <c r="B376" s="160"/>
      <c r="F376" s="41"/>
      <c r="G376" s="40"/>
      <c r="I376" s="200"/>
      <c r="K376" s="160"/>
      <c r="P376" s="160"/>
    </row>
    <row r="377">
      <c r="B377" s="160"/>
      <c r="F377" s="41"/>
      <c r="G377" s="40"/>
      <c r="I377" s="200"/>
      <c r="K377" s="160"/>
      <c r="P377" s="160"/>
    </row>
    <row r="378">
      <c r="B378" s="160"/>
      <c r="F378" s="41"/>
      <c r="G378" s="40"/>
      <c r="I378" s="200"/>
      <c r="K378" s="160"/>
      <c r="P378" s="160"/>
    </row>
    <row r="379">
      <c r="B379" s="160"/>
      <c r="F379" s="41"/>
      <c r="G379" s="40"/>
      <c r="I379" s="200"/>
      <c r="K379" s="160"/>
      <c r="P379" s="160"/>
    </row>
    <row r="380">
      <c r="B380" s="160"/>
      <c r="F380" s="41"/>
      <c r="G380" s="40"/>
      <c r="I380" s="200"/>
      <c r="K380" s="160"/>
      <c r="P380" s="160"/>
    </row>
    <row r="381">
      <c r="B381" s="160"/>
      <c r="F381" s="41"/>
      <c r="G381" s="40"/>
      <c r="I381" s="200"/>
      <c r="K381" s="160"/>
      <c r="P381" s="160"/>
    </row>
    <row r="382">
      <c r="B382" s="160"/>
      <c r="F382" s="41"/>
      <c r="G382" s="40"/>
      <c r="I382" s="200"/>
      <c r="K382" s="160"/>
      <c r="P382" s="160"/>
    </row>
    <row r="383">
      <c r="B383" s="160"/>
      <c r="F383" s="41"/>
      <c r="G383" s="40"/>
      <c r="I383" s="200"/>
      <c r="K383" s="160"/>
      <c r="P383" s="160"/>
    </row>
    <row r="384">
      <c r="B384" s="160"/>
      <c r="F384" s="41"/>
      <c r="G384" s="40"/>
      <c r="I384" s="200"/>
      <c r="K384" s="160"/>
      <c r="P384" s="160"/>
    </row>
    <row r="385">
      <c r="B385" s="160"/>
      <c r="F385" s="41"/>
      <c r="G385" s="40"/>
      <c r="I385" s="200"/>
      <c r="K385" s="160"/>
      <c r="P385" s="160"/>
    </row>
    <row r="386">
      <c r="B386" s="160"/>
      <c r="F386" s="41"/>
      <c r="G386" s="40"/>
      <c r="I386" s="200"/>
      <c r="K386" s="160"/>
      <c r="P386" s="160"/>
    </row>
    <row r="387">
      <c r="B387" s="160"/>
      <c r="F387" s="41"/>
      <c r="G387" s="40"/>
      <c r="I387" s="200"/>
      <c r="K387" s="160"/>
      <c r="P387" s="160"/>
    </row>
    <row r="388">
      <c r="B388" s="160"/>
      <c r="F388" s="41"/>
      <c r="G388" s="40"/>
      <c r="I388" s="200"/>
      <c r="K388" s="160"/>
      <c r="P388" s="160"/>
    </row>
    <row r="389">
      <c r="B389" s="160"/>
      <c r="F389" s="41"/>
      <c r="G389" s="40"/>
      <c r="I389" s="200"/>
      <c r="K389" s="160"/>
      <c r="P389" s="160"/>
    </row>
    <row r="390">
      <c r="B390" s="160"/>
      <c r="F390" s="41"/>
      <c r="G390" s="40"/>
      <c r="I390" s="200"/>
      <c r="K390" s="160"/>
      <c r="P390" s="160"/>
    </row>
    <row r="391">
      <c r="B391" s="160"/>
      <c r="F391" s="41"/>
      <c r="G391" s="40"/>
      <c r="I391" s="200"/>
      <c r="K391" s="160"/>
      <c r="P391" s="160"/>
    </row>
    <row r="392">
      <c r="B392" s="160"/>
      <c r="F392" s="41"/>
      <c r="G392" s="40"/>
      <c r="I392" s="200"/>
      <c r="K392" s="160"/>
      <c r="P392" s="160"/>
    </row>
    <row r="393">
      <c r="B393" s="160"/>
      <c r="F393" s="41"/>
      <c r="G393" s="40"/>
      <c r="I393" s="200"/>
      <c r="K393" s="160"/>
      <c r="P393" s="160"/>
    </row>
    <row r="394">
      <c r="B394" s="160"/>
      <c r="F394" s="41"/>
      <c r="G394" s="40"/>
      <c r="I394" s="200"/>
      <c r="K394" s="160"/>
      <c r="P394" s="160"/>
    </row>
    <row r="395">
      <c r="B395" s="160"/>
      <c r="F395" s="41"/>
      <c r="G395" s="40"/>
      <c r="I395" s="200"/>
      <c r="K395" s="160"/>
      <c r="P395" s="160"/>
    </row>
    <row r="396">
      <c r="B396" s="160"/>
      <c r="F396" s="41"/>
      <c r="G396" s="40"/>
      <c r="I396" s="200"/>
      <c r="K396" s="160"/>
      <c r="P396" s="160"/>
    </row>
    <row r="397">
      <c r="B397" s="160"/>
      <c r="F397" s="41"/>
      <c r="G397" s="40"/>
      <c r="I397" s="200"/>
      <c r="K397" s="160"/>
      <c r="P397" s="160"/>
    </row>
    <row r="398">
      <c r="B398" s="160"/>
      <c r="F398" s="41"/>
      <c r="G398" s="40"/>
      <c r="I398" s="200"/>
      <c r="K398" s="160"/>
      <c r="P398" s="160"/>
    </row>
    <row r="399">
      <c r="B399" s="160"/>
      <c r="F399" s="41"/>
      <c r="G399" s="40"/>
      <c r="I399" s="200"/>
      <c r="K399" s="160"/>
      <c r="P399" s="160"/>
    </row>
    <row r="400">
      <c r="B400" s="160"/>
      <c r="F400" s="41"/>
      <c r="G400" s="40"/>
      <c r="I400" s="200"/>
      <c r="K400" s="160"/>
      <c r="P400" s="160"/>
    </row>
    <row r="401">
      <c r="B401" s="160"/>
      <c r="F401" s="41"/>
      <c r="G401" s="40"/>
      <c r="I401" s="200"/>
      <c r="K401" s="160"/>
      <c r="P401" s="160"/>
    </row>
    <row r="402">
      <c r="B402" s="160"/>
      <c r="F402" s="41"/>
      <c r="G402" s="40"/>
      <c r="I402" s="200"/>
      <c r="K402" s="160"/>
      <c r="P402" s="160"/>
    </row>
    <row r="403">
      <c r="B403" s="160"/>
      <c r="F403" s="41"/>
      <c r="G403" s="40"/>
      <c r="I403" s="200"/>
      <c r="K403" s="160"/>
      <c r="P403" s="160"/>
    </row>
    <row r="404">
      <c r="B404" s="160"/>
      <c r="F404" s="41"/>
      <c r="G404" s="40"/>
      <c r="I404" s="200"/>
      <c r="K404" s="160"/>
      <c r="P404" s="160"/>
    </row>
    <row r="405">
      <c r="B405" s="160"/>
      <c r="F405" s="41"/>
      <c r="G405" s="40"/>
      <c r="I405" s="200"/>
      <c r="K405" s="160"/>
      <c r="P405" s="160"/>
    </row>
    <row r="406">
      <c r="B406" s="160"/>
      <c r="F406" s="41"/>
      <c r="G406" s="40"/>
      <c r="I406" s="200"/>
      <c r="K406" s="160"/>
      <c r="P406" s="160"/>
    </row>
    <row r="407">
      <c r="B407" s="160"/>
      <c r="F407" s="41"/>
      <c r="G407" s="40"/>
      <c r="I407" s="200"/>
      <c r="K407" s="160"/>
      <c r="P407" s="160"/>
    </row>
    <row r="408">
      <c r="B408" s="160"/>
      <c r="F408" s="41"/>
      <c r="G408" s="40"/>
      <c r="I408" s="200"/>
      <c r="K408" s="160"/>
      <c r="P408" s="160"/>
    </row>
    <row r="409">
      <c r="B409" s="160"/>
      <c r="F409" s="41"/>
      <c r="G409" s="40"/>
      <c r="I409" s="200"/>
      <c r="K409" s="160"/>
      <c r="P409" s="160"/>
    </row>
    <row r="410">
      <c r="B410" s="160"/>
      <c r="F410" s="41"/>
      <c r="G410" s="40"/>
      <c r="I410" s="200"/>
      <c r="K410" s="160"/>
      <c r="P410" s="160"/>
    </row>
    <row r="411">
      <c r="B411" s="160"/>
      <c r="F411" s="41"/>
      <c r="G411" s="40"/>
      <c r="I411" s="200"/>
      <c r="K411" s="160"/>
      <c r="P411" s="160"/>
    </row>
    <row r="412">
      <c r="B412" s="160"/>
      <c r="F412" s="41"/>
      <c r="G412" s="40"/>
      <c r="I412" s="200"/>
      <c r="K412" s="160"/>
      <c r="P412" s="160"/>
    </row>
    <row r="413">
      <c r="B413" s="160"/>
      <c r="F413" s="41"/>
      <c r="G413" s="40"/>
      <c r="I413" s="200"/>
      <c r="K413" s="160"/>
      <c r="P413" s="160"/>
    </row>
    <row r="414">
      <c r="B414" s="160"/>
      <c r="F414" s="41"/>
      <c r="G414" s="40"/>
      <c r="I414" s="200"/>
      <c r="K414" s="160"/>
      <c r="P414" s="160"/>
    </row>
    <row r="415">
      <c r="B415" s="160"/>
      <c r="F415" s="41"/>
      <c r="G415" s="40"/>
      <c r="I415" s="200"/>
      <c r="K415" s="160"/>
      <c r="P415" s="160"/>
    </row>
    <row r="416">
      <c r="B416" s="160"/>
      <c r="F416" s="41"/>
      <c r="G416" s="40"/>
      <c r="I416" s="200"/>
      <c r="K416" s="160"/>
      <c r="P416" s="160"/>
    </row>
    <row r="417">
      <c r="B417" s="160"/>
      <c r="F417" s="41"/>
      <c r="G417" s="40"/>
      <c r="I417" s="200"/>
      <c r="K417" s="160"/>
      <c r="P417" s="160"/>
    </row>
    <row r="418">
      <c r="B418" s="160"/>
      <c r="F418" s="41"/>
      <c r="G418" s="40"/>
      <c r="I418" s="200"/>
      <c r="K418" s="160"/>
      <c r="P418" s="160"/>
    </row>
    <row r="419">
      <c r="B419" s="160"/>
      <c r="F419" s="41"/>
      <c r="G419" s="40"/>
      <c r="I419" s="200"/>
      <c r="K419" s="160"/>
      <c r="P419" s="160"/>
    </row>
    <row r="420">
      <c r="B420" s="160"/>
      <c r="F420" s="41"/>
      <c r="G420" s="40"/>
      <c r="I420" s="200"/>
      <c r="K420" s="160"/>
      <c r="P420" s="160"/>
    </row>
    <row r="421">
      <c r="B421" s="160"/>
      <c r="F421" s="41"/>
      <c r="G421" s="40"/>
      <c r="I421" s="200"/>
      <c r="K421" s="160"/>
      <c r="P421" s="160"/>
    </row>
    <row r="422">
      <c r="B422" s="160"/>
      <c r="F422" s="41"/>
      <c r="G422" s="40"/>
      <c r="I422" s="200"/>
      <c r="K422" s="160"/>
      <c r="P422" s="160"/>
    </row>
    <row r="423">
      <c r="B423" s="160"/>
      <c r="F423" s="41"/>
      <c r="G423" s="40"/>
      <c r="I423" s="200"/>
      <c r="K423" s="160"/>
      <c r="P423" s="160"/>
    </row>
    <row r="424">
      <c r="B424" s="160"/>
      <c r="F424" s="41"/>
      <c r="G424" s="40"/>
      <c r="I424" s="200"/>
      <c r="K424" s="160"/>
      <c r="P424" s="160"/>
    </row>
    <row r="425">
      <c r="B425" s="160"/>
      <c r="F425" s="41"/>
      <c r="G425" s="40"/>
      <c r="I425" s="200"/>
      <c r="K425" s="160"/>
      <c r="P425" s="160"/>
    </row>
    <row r="426">
      <c r="B426" s="160"/>
      <c r="F426" s="41"/>
      <c r="G426" s="40"/>
      <c r="I426" s="200"/>
      <c r="K426" s="160"/>
      <c r="P426" s="160"/>
    </row>
    <row r="427">
      <c r="B427" s="160"/>
      <c r="F427" s="41"/>
      <c r="G427" s="40"/>
      <c r="I427" s="200"/>
      <c r="K427" s="160"/>
      <c r="P427" s="160"/>
    </row>
    <row r="428">
      <c r="B428" s="160"/>
      <c r="F428" s="41"/>
      <c r="G428" s="40"/>
      <c r="I428" s="200"/>
      <c r="K428" s="160"/>
      <c r="P428" s="160"/>
    </row>
    <row r="429">
      <c r="B429" s="160"/>
      <c r="F429" s="41"/>
      <c r="G429" s="40"/>
      <c r="I429" s="200"/>
      <c r="K429" s="160"/>
      <c r="P429" s="160"/>
    </row>
    <row r="430">
      <c r="B430" s="160"/>
      <c r="F430" s="41"/>
      <c r="G430" s="40"/>
      <c r="I430" s="200"/>
      <c r="K430" s="160"/>
      <c r="P430" s="160"/>
    </row>
    <row r="431">
      <c r="B431" s="160"/>
      <c r="F431" s="41"/>
      <c r="G431" s="40"/>
      <c r="I431" s="200"/>
      <c r="K431" s="160"/>
      <c r="P431" s="160"/>
    </row>
    <row r="432">
      <c r="B432" s="160"/>
      <c r="F432" s="41"/>
      <c r="G432" s="40"/>
      <c r="I432" s="200"/>
      <c r="K432" s="160"/>
      <c r="P432" s="160"/>
    </row>
    <row r="433">
      <c r="B433" s="160"/>
      <c r="F433" s="41"/>
      <c r="G433" s="40"/>
      <c r="I433" s="200"/>
      <c r="K433" s="160"/>
      <c r="P433" s="160"/>
    </row>
    <row r="434">
      <c r="B434" s="160"/>
      <c r="F434" s="41"/>
      <c r="G434" s="40"/>
      <c r="I434" s="200"/>
      <c r="K434" s="160"/>
      <c r="P434" s="160"/>
    </row>
    <row r="435">
      <c r="B435" s="160"/>
      <c r="F435" s="41"/>
      <c r="G435" s="40"/>
      <c r="I435" s="200"/>
      <c r="K435" s="160"/>
      <c r="P435" s="160"/>
    </row>
    <row r="436">
      <c r="B436" s="160"/>
      <c r="F436" s="41"/>
      <c r="G436" s="40"/>
      <c r="I436" s="200"/>
      <c r="K436" s="160"/>
      <c r="P436" s="160"/>
    </row>
    <row r="437">
      <c r="B437" s="160"/>
      <c r="F437" s="41"/>
      <c r="G437" s="40"/>
      <c r="I437" s="200"/>
      <c r="K437" s="160"/>
      <c r="P437" s="160"/>
    </row>
    <row r="438">
      <c r="B438" s="160"/>
      <c r="F438" s="41"/>
      <c r="G438" s="40"/>
      <c r="I438" s="200"/>
      <c r="K438" s="160"/>
      <c r="P438" s="160"/>
    </row>
    <row r="439">
      <c r="B439" s="160"/>
      <c r="F439" s="41"/>
      <c r="G439" s="40"/>
      <c r="I439" s="200"/>
      <c r="K439" s="160"/>
      <c r="P439" s="160"/>
    </row>
    <row r="440">
      <c r="B440" s="160"/>
      <c r="F440" s="41"/>
      <c r="G440" s="40"/>
      <c r="I440" s="200"/>
      <c r="K440" s="160"/>
      <c r="P440" s="160"/>
    </row>
    <row r="441">
      <c r="B441" s="160"/>
      <c r="F441" s="41"/>
      <c r="G441" s="40"/>
      <c r="I441" s="200"/>
      <c r="K441" s="160"/>
      <c r="P441" s="160"/>
    </row>
    <row r="442">
      <c r="B442" s="160"/>
      <c r="F442" s="41"/>
      <c r="G442" s="40"/>
      <c r="I442" s="200"/>
      <c r="K442" s="160"/>
      <c r="P442" s="160"/>
    </row>
    <row r="443">
      <c r="B443" s="160"/>
      <c r="F443" s="41"/>
      <c r="G443" s="40"/>
      <c r="I443" s="200"/>
      <c r="K443" s="160"/>
      <c r="P443" s="160"/>
    </row>
    <row r="444">
      <c r="B444" s="160"/>
      <c r="F444" s="41"/>
      <c r="G444" s="40"/>
      <c r="I444" s="200"/>
      <c r="K444" s="160"/>
      <c r="P444" s="160"/>
    </row>
    <row r="445">
      <c r="B445" s="160"/>
      <c r="F445" s="41"/>
      <c r="G445" s="40"/>
      <c r="I445" s="200"/>
      <c r="K445" s="160"/>
      <c r="P445" s="160"/>
    </row>
    <row r="446">
      <c r="B446" s="160"/>
      <c r="F446" s="41"/>
      <c r="G446" s="40"/>
      <c r="I446" s="200"/>
      <c r="K446" s="160"/>
      <c r="P446" s="160"/>
    </row>
    <row r="447">
      <c r="B447" s="160"/>
      <c r="F447" s="41"/>
      <c r="G447" s="40"/>
      <c r="I447" s="200"/>
      <c r="K447" s="160"/>
      <c r="P447" s="160"/>
    </row>
    <row r="448">
      <c r="B448" s="160"/>
      <c r="F448" s="41"/>
      <c r="G448" s="40"/>
      <c r="I448" s="200"/>
      <c r="K448" s="160"/>
      <c r="P448" s="160"/>
    </row>
    <row r="449">
      <c r="B449" s="160"/>
      <c r="F449" s="41"/>
      <c r="G449" s="40"/>
      <c r="I449" s="200"/>
      <c r="K449" s="160"/>
      <c r="P449" s="160"/>
    </row>
    <row r="450">
      <c r="B450" s="160"/>
      <c r="F450" s="41"/>
      <c r="G450" s="40"/>
      <c r="I450" s="200"/>
      <c r="K450" s="160"/>
      <c r="P450" s="160"/>
    </row>
    <row r="451">
      <c r="B451" s="160"/>
      <c r="F451" s="41"/>
      <c r="G451" s="40"/>
      <c r="I451" s="200"/>
      <c r="K451" s="160"/>
      <c r="P451" s="160"/>
    </row>
    <row r="452">
      <c r="B452" s="160"/>
      <c r="F452" s="41"/>
      <c r="G452" s="40"/>
      <c r="I452" s="200"/>
      <c r="K452" s="160"/>
      <c r="P452" s="160"/>
    </row>
    <row r="453">
      <c r="B453" s="160"/>
      <c r="F453" s="41"/>
      <c r="G453" s="40"/>
      <c r="I453" s="200"/>
      <c r="K453" s="160"/>
      <c r="P453" s="160"/>
    </row>
    <row r="454">
      <c r="B454" s="160"/>
      <c r="F454" s="41"/>
      <c r="G454" s="40"/>
      <c r="I454" s="200"/>
      <c r="K454" s="160"/>
      <c r="P454" s="160"/>
    </row>
    <row r="455">
      <c r="B455" s="160"/>
      <c r="F455" s="41"/>
      <c r="G455" s="40"/>
      <c r="I455" s="200"/>
      <c r="K455" s="160"/>
      <c r="P455" s="160"/>
    </row>
    <row r="456">
      <c r="B456" s="160"/>
      <c r="F456" s="41"/>
      <c r="G456" s="40"/>
      <c r="I456" s="200"/>
      <c r="K456" s="160"/>
      <c r="P456" s="160"/>
    </row>
    <row r="457">
      <c r="B457" s="160"/>
      <c r="F457" s="41"/>
      <c r="G457" s="40"/>
      <c r="I457" s="200"/>
      <c r="K457" s="160"/>
      <c r="P457" s="160"/>
    </row>
    <row r="458">
      <c r="B458" s="160"/>
      <c r="F458" s="41"/>
      <c r="G458" s="40"/>
      <c r="I458" s="200"/>
      <c r="K458" s="160"/>
      <c r="P458" s="160"/>
    </row>
    <row r="459">
      <c r="B459" s="160"/>
      <c r="F459" s="41"/>
      <c r="G459" s="40"/>
      <c r="I459" s="200"/>
      <c r="K459" s="160"/>
      <c r="P459" s="160"/>
    </row>
    <row r="460">
      <c r="B460" s="160"/>
      <c r="F460" s="41"/>
      <c r="G460" s="40"/>
      <c r="I460" s="200"/>
      <c r="K460" s="160"/>
      <c r="P460" s="160"/>
    </row>
    <row r="461">
      <c r="B461" s="160"/>
      <c r="F461" s="41"/>
      <c r="G461" s="40"/>
      <c r="I461" s="200"/>
      <c r="K461" s="160"/>
      <c r="P461" s="160"/>
    </row>
    <row r="462">
      <c r="B462" s="160"/>
      <c r="F462" s="41"/>
      <c r="G462" s="40"/>
      <c r="I462" s="200"/>
      <c r="K462" s="160"/>
      <c r="P462" s="160"/>
    </row>
    <row r="463">
      <c r="B463" s="160"/>
      <c r="F463" s="41"/>
      <c r="G463" s="40"/>
      <c r="I463" s="200"/>
      <c r="K463" s="160"/>
      <c r="P463" s="160"/>
    </row>
    <row r="464">
      <c r="B464" s="160"/>
      <c r="F464" s="41"/>
      <c r="G464" s="40"/>
      <c r="I464" s="200"/>
      <c r="K464" s="160"/>
      <c r="P464" s="160"/>
    </row>
    <row r="465">
      <c r="B465" s="160"/>
      <c r="F465" s="41"/>
      <c r="G465" s="40"/>
      <c r="I465" s="200"/>
      <c r="K465" s="160"/>
      <c r="P465" s="160"/>
    </row>
    <row r="466">
      <c r="B466" s="160"/>
      <c r="F466" s="41"/>
      <c r="G466" s="40"/>
      <c r="I466" s="200"/>
      <c r="K466" s="160"/>
      <c r="P466" s="160"/>
    </row>
    <row r="467">
      <c r="B467" s="160"/>
      <c r="F467" s="41"/>
      <c r="G467" s="40"/>
      <c r="I467" s="200"/>
      <c r="K467" s="160"/>
      <c r="P467" s="160"/>
    </row>
    <row r="468">
      <c r="B468" s="160"/>
      <c r="F468" s="41"/>
      <c r="G468" s="40"/>
      <c r="I468" s="200"/>
      <c r="K468" s="160"/>
      <c r="P468" s="160"/>
    </row>
    <row r="469">
      <c r="B469" s="160"/>
      <c r="F469" s="41"/>
      <c r="G469" s="40"/>
      <c r="I469" s="200"/>
      <c r="K469" s="160"/>
      <c r="P469" s="160"/>
    </row>
    <row r="470">
      <c r="B470" s="160"/>
      <c r="F470" s="41"/>
      <c r="G470" s="40"/>
      <c r="I470" s="200"/>
      <c r="K470" s="160"/>
      <c r="P470" s="160"/>
    </row>
    <row r="471">
      <c r="B471" s="160"/>
      <c r="F471" s="41"/>
      <c r="G471" s="40"/>
      <c r="I471" s="200"/>
      <c r="K471" s="160"/>
      <c r="P471" s="160"/>
    </row>
    <row r="472">
      <c r="B472" s="160"/>
      <c r="F472" s="41"/>
      <c r="G472" s="40"/>
      <c r="I472" s="200"/>
      <c r="K472" s="160"/>
      <c r="P472" s="160"/>
    </row>
    <row r="473">
      <c r="B473" s="160"/>
      <c r="F473" s="41"/>
      <c r="G473" s="40"/>
      <c r="I473" s="200"/>
      <c r="K473" s="160"/>
      <c r="P473" s="160"/>
    </row>
    <row r="474">
      <c r="B474" s="160"/>
      <c r="F474" s="41"/>
      <c r="G474" s="40"/>
      <c r="I474" s="200"/>
      <c r="K474" s="160"/>
      <c r="P474" s="160"/>
    </row>
    <row r="475">
      <c r="B475" s="160"/>
      <c r="F475" s="41"/>
      <c r="G475" s="40"/>
      <c r="I475" s="200"/>
      <c r="K475" s="160"/>
      <c r="P475" s="160"/>
    </row>
    <row r="476">
      <c r="B476" s="160"/>
      <c r="F476" s="41"/>
      <c r="G476" s="40"/>
      <c r="I476" s="200"/>
      <c r="K476" s="160"/>
      <c r="P476" s="160"/>
    </row>
    <row r="477">
      <c r="B477" s="160"/>
      <c r="F477" s="41"/>
      <c r="G477" s="40"/>
      <c r="I477" s="200"/>
      <c r="K477" s="160"/>
      <c r="P477" s="160"/>
    </row>
    <row r="478">
      <c r="B478" s="160"/>
      <c r="F478" s="41"/>
      <c r="G478" s="40"/>
      <c r="I478" s="200"/>
      <c r="K478" s="160"/>
      <c r="P478" s="160"/>
    </row>
    <row r="479">
      <c r="B479" s="160"/>
      <c r="F479" s="41"/>
      <c r="G479" s="40"/>
      <c r="I479" s="200"/>
      <c r="K479" s="160"/>
      <c r="P479" s="160"/>
    </row>
    <row r="480">
      <c r="B480" s="160"/>
      <c r="F480" s="41"/>
      <c r="G480" s="40"/>
      <c r="I480" s="200"/>
      <c r="K480" s="160"/>
      <c r="P480" s="160"/>
    </row>
    <row r="481">
      <c r="B481" s="160"/>
      <c r="F481" s="41"/>
      <c r="G481" s="40"/>
      <c r="I481" s="200"/>
      <c r="K481" s="160"/>
      <c r="P481" s="160"/>
    </row>
    <row r="482">
      <c r="B482" s="160"/>
      <c r="F482" s="41"/>
      <c r="G482" s="40"/>
      <c r="I482" s="200"/>
      <c r="K482" s="160"/>
      <c r="P482" s="160"/>
    </row>
    <row r="483">
      <c r="B483" s="160"/>
      <c r="F483" s="41"/>
      <c r="G483" s="40"/>
      <c r="I483" s="200"/>
      <c r="K483" s="160"/>
      <c r="P483" s="160"/>
    </row>
    <row r="484">
      <c r="B484" s="160"/>
      <c r="F484" s="41"/>
      <c r="G484" s="40"/>
      <c r="I484" s="200"/>
      <c r="K484" s="160"/>
      <c r="P484" s="160"/>
    </row>
    <row r="485">
      <c r="B485" s="160"/>
      <c r="F485" s="41"/>
      <c r="G485" s="40"/>
      <c r="I485" s="200"/>
      <c r="K485" s="160"/>
      <c r="P485" s="160"/>
    </row>
    <row r="486">
      <c r="B486" s="160"/>
      <c r="F486" s="41"/>
      <c r="G486" s="40"/>
      <c r="I486" s="200"/>
      <c r="K486" s="160"/>
      <c r="P486" s="160"/>
    </row>
    <row r="487">
      <c r="B487" s="160"/>
      <c r="F487" s="41"/>
      <c r="G487" s="40"/>
      <c r="I487" s="200"/>
      <c r="K487" s="160"/>
      <c r="P487" s="160"/>
    </row>
    <row r="488">
      <c r="B488" s="160"/>
      <c r="F488" s="41"/>
      <c r="G488" s="40"/>
      <c r="I488" s="200"/>
      <c r="K488" s="160"/>
      <c r="P488" s="160"/>
    </row>
    <row r="489">
      <c r="B489" s="160"/>
      <c r="F489" s="41"/>
      <c r="G489" s="40"/>
      <c r="I489" s="200"/>
      <c r="K489" s="160"/>
      <c r="P489" s="160"/>
    </row>
    <row r="490">
      <c r="B490" s="160"/>
      <c r="F490" s="41"/>
      <c r="G490" s="40"/>
      <c r="I490" s="200"/>
      <c r="K490" s="160"/>
      <c r="P490" s="160"/>
    </row>
    <row r="491">
      <c r="B491" s="160"/>
      <c r="F491" s="41"/>
      <c r="G491" s="40"/>
      <c r="I491" s="200"/>
      <c r="K491" s="160"/>
      <c r="P491" s="160"/>
    </row>
    <row r="492">
      <c r="B492" s="160"/>
      <c r="F492" s="41"/>
      <c r="G492" s="40"/>
      <c r="I492" s="200"/>
      <c r="K492" s="160"/>
      <c r="P492" s="160"/>
    </row>
    <row r="493">
      <c r="B493" s="160"/>
      <c r="F493" s="41"/>
      <c r="G493" s="40"/>
      <c r="I493" s="200"/>
      <c r="K493" s="160"/>
      <c r="P493" s="160"/>
    </row>
    <row r="494">
      <c r="B494" s="160"/>
      <c r="F494" s="41"/>
      <c r="G494" s="40"/>
      <c r="I494" s="200"/>
      <c r="K494" s="160"/>
      <c r="P494" s="160"/>
    </row>
    <row r="495">
      <c r="B495" s="160"/>
      <c r="F495" s="41"/>
      <c r="G495" s="40"/>
      <c r="I495" s="200"/>
      <c r="K495" s="160"/>
      <c r="P495" s="160"/>
    </row>
    <row r="496">
      <c r="B496" s="160"/>
      <c r="F496" s="41"/>
      <c r="G496" s="40"/>
      <c r="I496" s="200"/>
      <c r="K496" s="160"/>
      <c r="P496" s="160"/>
    </row>
    <row r="497">
      <c r="B497" s="160"/>
      <c r="F497" s="41"/>
      <c r="G497" s="40"/>
      <c r="I497" s="200"/>
      <c r="K497" s="160"/>
      <c r="P497" s="160"/>
    </row>
    <row r="498">
      <c r="B498" s="160"/>
      <c r="F498" s="41"/>
      <c r="G498" s="40"/>
      <c r="I498" s="200"/>
      <c r="K498" s="160"/>
      <c r="P498" s="160"/>
    </row>
    <row r="499">
      <c r="B499" s="160"/>
      <c r="F499" s="41"/>
      <c r="G499" s="40"/>
      <c r="I499" s="200"/>
      <c r="K499" s="160"/>
      <c r="P499" s="160"/>
    </row>
    <row r="500">
      <c r="B500" s="160"/>
      <c r="F500" s="41"/>
      <c r="G500" s="40"/>
      <c r="I500" s="200"/>
      <c r="K500" s="160"/>
      <c r="P500" s="160"/>
    </row>
    <row r="501">
      <c r="B501" s="160"/>
      <c r="F501" s="41"/>
      <c r="G501" s="40"/>
      <c r="I501" s="200"/>
      <c r="K501" s="160"/>
      <c r="P501" s="160"/>
    </row>
    <row r="502">
      <c r="B502" s="160"/>
      <c r="F502" s="41"/>
      <c r="G502" s="40"/>
      <c r="I502" s="200"/>
      <c r="K502" s="160"/>
      <c r="P502" s="160"/>
    </row>
    <row r="503">
      <c r="B503" s="160"/>
      <c r="F503" s="41"/>
      <c r="G503" s="40"/>
      <c r="I503" s="200"/>
      <c r="K503" s="160"/>
      <c r="P503" s="160"/>
    </row>
    <row r="504">
      <c r="B504" s="160"/>
      <c r="F504" s="41"/>
      <c r="G504" s="40"/>
      <c r="I504" s="200"/>
      <c r="K504" s="160"/>
      <c r="P504" s="160"/>
    </row>
    <row r="505">
      <c r="B505" s="160"/>
      <c r="F505" s="41"/>
      <c r="G505" s="40"/>
      <c r="I505" s="200"/>
      <c r="K505" s="160"/>
      <c r="P505" s="160"/>
    </row>
    <row r="506">
      <c r="B506" s="160"/>
      <c r="F506" s="41"/>
      <c r="G506" s="40"/>
      <c r="I506" s="200"/>
      <c r="K506" s="160"/>
      <c r="P506" s="160"/>
    </row>
    <row r="507">
      <c r="B507" s="160"/>
      <c r="F507" s="41"/>
      <c r="G507" s="40"/>
      <c r="I507" s="200"/>
      <c r="K507" s="160"/>
      <c r="P507" s="160"/>
    </row>
    <row r="508">
      <c r="B508" s="160"/>
      <c r="F508" s="41"/>
      <c r="G508" s="40"/>
      <c r="I508" s="200"/>
      <c r="K508" s="160"/>
      <c r="P508" s="160"/>
    </row>
    <row r="509">
      <c r="B509" s="160"/>
      <c r="F509" s="41"/>
      <c r="G509" s="40"/>
      <c r="I509" s="200"/>
      <c r="K509" s="160"/>
      <c r="P509" s="160"/>
    </row>
    <row r="510">
      <c r="B510" s="160"/>
      <c r="F510" s="41"/>
      <c r="G510" s="40"/>
      <c r="I510" s="200"/>
      <c r="K510" s="160"/>
      <c r="P510" s="160"/>
    </row>
    <row r="511">
      <c r="B511" s="160"/>
      <c r="F511" s="41"/>
      <c r="G511" s="40"/>
      <c r="I511" s="200"/>
      <c r="K511" s="160"/>
      <c r="P511" s="160"/>
    </row>
    <row r="512">
      <c r="B512" s="160"/>
      <c r="F512" s="41"/>
      <c r="G512" s="40"/>
      <c r="I512" s="200"/>
      <c r="K512" s="160"/>
      <c r="P512" s="160"/>
    </row>
    <row r="513">
      <c r="B513" s="160"/>
      <c r="F513" s="41"/>
      <c r="G513" s="40"/>
      <c r="I513" s="200"/>
      <c r="K513" s="160"/>
      <c r="P513" s="160"/>
    </row>
    <row r="514">
      <c r="B514" s="160"/>
      <c r="F514" s="41"/>
      <c r="G514" s="40"/>
      <c r="I514" s="200"/>
      <c r="K514" s="160"/>
      <c r="P514" s="160"/>
    </row>
    <row r="515">
      <c r="B515" s="160"/>
      <c r="F515" s="41"/>
      <c r="G515" s="40"/>
      <c r="I515" s="200"/>
      <c r="K515" s="160"/>
      <c r="P515" s="160"/>
    </row>
    <row r="516">
      <c r="B516" s="160"/>
      <c r="F516" s="41"/>
      <c r="G516" s="40"/>
      <c r="I516" s="200"/>
      <c r="K516" s="160"/>
      <c r="P516" s="160"/>
    </row>
    <row r="517">
      <c r="B517" s="160"/>
      <c r="F517" s="41"/>
      <c r="G517" s="40"/>
      <c r="I517" s="200"/>
      <c r="K517" s="160"/>
      <c r="P517" s="160"/>
    </row>
    <row r="518">
      <c r="B518" s="160"/>
      <c r="F518" s="41"/>
      <c r="G518" s="40"/>
      <c r="I518" s="200"/>
      <c r="K518" s="160"/>
      <c r="P518" s="160"/>
    </row>
    <row r="519">
      <c r="B519" s="160"/>
      <c r="F519" s="41"/>
      <c r="G519" s="40"/>
      <c r="I519" s="200"/>
      <c r="K519" s="160"/>
      <c r="P519" s="160"/>
    </row>
    <row r="520">
      <c r="B520" s="160"/>
      <c r="F520" s="41"/>
      <c r="G520" s="40"/>
      <c r="I520" s="200"/>
      <c r="K520" s="160"/>
      <c r="P520" s="160"/>
    </row>
    <row r="521">
      <c r="B521" s="160"/>
      <c r="F521" s="41"/>
      <c r="G521" s="40"/>
      <c r="I521" s="200"/>
      <c r="K521" s="160"/>
      <c r="P521" s="160"/>
    </row>
    <row r="522">
      <c r="B522" s="160"/>
      <c r="F522" s="41"/>
      <c r="G522" s="40"/>
      <c r="I522" s="200"/>
      <c r="K522" s="160"/>
      <c r="P522" s="160"/>
    </row>
    <row r="523">
      <c r="B523" s="160"/>
      <c r="F523" s="41"/>
      <c r="G523" s="40"/>
      <c r="I523" s="200"/>
      <c r="K523" s="160"/>
      <c r="P523" s="160"/>
    </row>
    <row r="524">
      <c r="B524" s="160"/>
      <c r="F524" s="41"/>
      <c r="G524" s="40"/>
      <c r="I524" s="200"/>
      <c r="K524" s="160"/>
      <c r="P524" s="160"/>
    </row>
    <row r="525">
      <c r="B525" s="160"/>
      <c r="F525" s="41"/>
      <c r="G525" s="40"/>
      <c r="I525" s="200"/>
      <c r="K525" s="160"/>
      <c r="P525" s="160"/>
    </row>
    <row r="526">
      <c r="B526" s="160"/>
      <c r="F526" s="41"/>
      <c r="G526" s="40"/>
      <c r="I526" s="200"/>
      <c r="K526" s="160"/>
      <c r="P526" s="160"/>
    </row>
    <row r="527">
      <c r="B527" s="160"/>
      <c r="F527" s="41"/>
      <c r="G527" s="40"/>
      <c r="I527" s="200"/>
      <c r="K527" s="160"/>
      <c r="P527" s="160"/>
    </row>
    <row r="528">
      <c r="B528" s="160"/>
      <c r="F528" s="41"/>
      <c r="G528" s="40"/>
      <c r="I528" s="200"/>
      <c r="K528" s="160"/>
      <c r="P528" s="160"/>
    </row>
    <row r="529">
      <c r="B529" s="160"/>
      <c r="F529" s="41"/>
      <c r="G529" s="40"/>
      <c r="I529" s="200"/>
      <c r="K529" s="160"/>
      <c r="P529" s="160"/>
    </row>
    <row r="530">
      <c r="B530" s="160"/>
      <c r="F530" s="41"/>
      <c r="G530" s="40"/>
      <c r="I530" s="200"/>
      <c r="K530" s="160"/>
      <c r="P530" s="160"/>
    </row>
    <row r="531">
      <c r="B531" s="160"/>
      <c r="F531" s="41"/>
      <c r="G531" s="40"/>
      <c r="I531" s="200"/>
      <c r="K531" s="160"/>
      <c r="P531" s="160"/>
    </row>
    <row r="532">
      <c r="B532" s="160"/>
      <c r="F532" s="41"/>
      <c r="G532" s="40"/>
      <c r="I532" s="200"/>
      <c r="K532" s="160"/>
      <c r="P532" s="160"/>
    </row>
    <row r="533">
      <c r="B533" s="160"/>
      <c r="F533" s="41"/>
      <c r="G533" s="40"/>
      <c r="I533" s="200"/>
      <c r="K533" s="160"/>
      <c r="P533" s="160"/>
    </row>
    <row r="534">
      <c r="B534" s="160"/>
      <c r="F534" s="41"/>
      <c r="G534" s="40"/>
      <c r="I534" s="200"/>
      <c r="K534" s="160"/>
      <c r="P534" s="160"/>
    </row>
    <row r="535">
      <c r="B535" s="160"/>
      <c r="F535" s="41"/>
      <c r="G535" s="40"/>
      <c r="I535" s="200"/>
      <c r="K535" s="160"/>
      <c r="P535" s="160"/>
    </row>
    <row r="536">
      <c r="B536" s="160"/>
      <c r="F536" s="41"/>
      <c r="G536" s="40"/>
      <c r="I536" s="200"/>
      <c r="K536" s="160"/>
      <c r="P536" s="160"/>
    </row>
    <row r="537">
      <c r="B537" s="160"/>
      <c r="F537" s="41"/>
      <c r="G537" s="40"/>
      <c r="I537" s="200"/>
      <c r="K537" s="160"/>
      <c r="P537" s="160"/>
    </row>
    <row r="538">
      <c r="B538" s="160"/>
      <c r="F538" s="41"/>
      <c r="G538" s="40"/>
      <c r="I538" s="200"/>
      <c r="K538" s="160"/>
      <c r="P538" s="160"/>
    </row>
    <row r="539">
      <c r="B539" s="160"/>
      <c r="F539" s="41"/>
      <c r="G539" s="40"/>
      <c r="I539" s="200"/>
      <c r="K539" s="160"/>
      <c r="P539" s="160"/>
    </row>
    <row r="540">
      <c r="B540" s="160"/>
      <c r="F540" s="41"/>
      <c r="G540" s="40"/>
      <c r="I540" s="200"/>
      <c r="K540" s="160"/>
      <c r="P540" s="160"/>
    </row>
    <row r="541">
      <c r="B541" s="160"/>
      <c r="F541" s="41"/>
      <c r="G541" s="40"/>
      <c r="I541" s="200"/>
      <c r="K541" s="160"/>
      <c r="P541" s="160"/>
    </row>
    <row r="542">
      <c r="B542" s="160"/>
      <c r="F542" s="41"/>
      <c r="G542" s="40"/>
      <c r="I542" s="200"/>
      <c r="K542" s="160"/>
      <c r="P542" s="160"/>
    </row>
    <row r="543">
      <c r="B543" s="160"/>
      <c r="F543" s="41"/>
      <c r="G543" s="40"/>
      <c r="I543" s="200"/>
      <c r="K543" s="160"/>
      <c r="P543" s="160"/>
    </row>
    <row r="544">
      <c r="B544" s="160"/>
      <c r="F544" s="41"/>
      <c r="G544" s="40"/>
      <c r="I544" s="200"/>
      <c r="K544" s="160"/>
      <c r="P544" s="160"/>
    </row>
    <row r="545">
      <c r="B545" s="160"/>
      <c r="F545" s="41"/>
      <c r="G545" s="40"/>
      <c r="I545" s="200"/>
      <c r="K545" s="160"/>
      <c r="P545" s="160"/>
    </row>
    <row r="546">
      <c r="B546" s="160"/>
      <c r="F546" s="41"/>
      <c r="G546" s="40"/>
      <c r="I546" s="200"/>
      <c r="K546" s="160"/>
      <c r="P546" s="160"/>
    </row>
    <row r="547">
      <c r="B547" s="160"/>
      <c r="F547" s="41"/>
      <c r="G547" s="40"/>
      <c r="I547" s="200"/>
      <c r="K547" s="160"/>
      <c r="P547" s="160"/>
    </row>
    <row r="548">
      <c r="B548" s="160"/>
      <c r="F548" s="41"/>
      <c r="G548" s="40"/>
      <c r="I548" s="200"/>
      <c r="K548" s="160"/>
      <c r="P548" s="160"/>
    </row>
    <row r="549">
      <c r="B549" s="160"/>
      <c r="F549" s="41"/>
      <c r="G549" s="40"/>
      <c r="I549" s="200"/>
      <c r="K549" s="160"/>
      <c r="P549" s="160"/>
    </row>
    <row r="550">
      <c r="B550" s="160"/>
      <c r="F550" s="41"/>
      <c r="G550" s="40"/>
      <c r="I550" s="200"/>
      <c r="K550" s="160"/>
      <c r="P550" s="160"/>
    </row>
    <row r="551">
      <c r="B551" s="160"/>
      <c r="F551" s="41"/>
      <c r="G551" s="40"/>
      <c r="I551" s="200"/>
      <c r="K551" s="160"/>
      <c r="P551" s="160"/>
    </row>
    <row r="552">
      <c r="B552" s="160"/>
      <c r="F552" s="41"/>
      <c r="G552" s="40"/>
      <c r="I552" s="200"/>
      <c r="K552" s="160"/>
      <c r="P552" s="160"/>
    </row>
    <row r="553">
      <c r="B553" s="160"/>
      <c r="F553" s="41"/>
      <c r="G553" s="40"/>
      <c r="I553" s="200"/>
      <c r="K553" s="160"/>
      <c r="P553" s="160"/>
    </row>
    <row r="554">
      <c r="B554" s="160"/>
      <c r="F554" s="41"/>
      <c r="G554" s="40"/>
      <c r="I554" s="200"/>
      <c r="K554" s="160"/>
      <c r="P554" s="160"/>
    </row>
    <row r="555">
      <c r="B555" s="160"/>
      <c r="F555" s="41"/>
      <c r="G555" s="40"/>
      <c r="I555" s="200"/>
      <c r="K555" s="160"/>
      <c r="P555" s="160"/>
    </row>
    <row r="556">
      <c r="B556" s="160"/>
      <c r="F556" s="41"/>
      <c r="G556" s="40"/>
      <c r="I556" s="200"/>
      <c r="K556" s="160"/>
      <c r="P556" s="160"/>
    </row>
    <row r="557">
      <c r="B557" s="160"/>
      <c r="F557" s="41"/>
      <c r="G557" s="40"/>
      <c r="I557" s="200"/>
      <c r="K557" s="160"/>
      <c r="P557" s="160"/>
    </row>
    <row r="558">
      <c r="B558" s="160"/>
      <c r="F558" s="41"/>
      <c r="G558" s="40"/>
      <c r="I558" s="200"/>
      <c r="K558" s="160"/>
      <c r="P558" s="160"/>
    </row>
    <row r="559">
      <c r="B559" s="160"/>
      <c r="F559" s="41"/>
      <c r="G559" s="40"/>
      <c r="I559" s="200"/>
      <c r="K559" s="160"/>
      <c r="P559" s="160"/>
    </row>
    <row r="560">
      <c r="B560" s="160"/>
      <c r="F560" s="41"/>
      <c r="G560" s="40"/>
      <c r="I560" s="200"/>
      <c r="K560" s="160"/>
      <c r="P560" s="160"/>
    </row>
    <row r="561">
      <c r="B561" s="160"/>
      <c r="F561" s="41"/>
      <c r="G561" s="40"/>
      <c r="I561" s="200"/>
      <c r="K561" s="160"/>
      <c r="P561" s="160"/>
    </row>
    <row r="562">
      <c r="B562" s="160"/>
      <c r="F562" s="41"/>
      <c r="G562" s="40"/>
      <c r="I562" s="200"/>
      <c r="K562" s="160"/>
      <c r="P562" s="160"/>
    </row>
    <row r="563">
      <c r="B563" s="160"/>
      <c r="F563" s="41"/>
      <c r="G563" s="40"/>
      <c r="I563" s="200"/>
      <c r="K563" s="160"/>
      <c r="P563" s="160"/>
    </row>
    <row r="564">
      <c r="B564" s="160"/>
      <c r="F564" s="41"/>
      <c r="G564" s="40"/>
      <c r="I564" s="200"/>
      <c r="K564" s="160"/>
      <c r="P564" s="160"/>
    </row>
    <row r="565">
      <c r="B565" s="160"/>
      <c r="F565" s="41"/>
      <c r="G565" s="40"/>
      <c r="I565" s="200"/>
      <c r="K565" s="160"/>
      <c r="P565" s="160"/>
    </row>
    <row r="566">
      <c r="B566" s="160"/>
      <c r="F566" s="41"/>
      <c r="G566" s="40"/>
      <c r="I566" s="200"/>
      <c r="K566" s="160"/>
      <c r="P566" s="160"/>
    </row>
    <row r="567">
      <c r="B567" s="160"/>
      <c r="F567" s="41"/>
      <c r="G567" s="40"/>
      <c r="I567" s="200"/>
      <c r="K567" s="160"/>
      <c r="P567" s="160"/>
    </row>
    <row r="568">
      <c r="B568" s="160"/>
      <c r="F568" s="41"/>
      <c r="G568" s="40"/>
      <c r="I568" s="200"/>
      <c r="K568" s="160"/>
      <c r="P568" s="160"/>
    </row>
    <row r="569">
      <c r="B569" s="160"/>
      <c r="F569" s="41"/>
      <c r="G569" s="40"/>
      <c r="I569" s="200"/>
      <c r="K569" s="160"/>
      <c r="P569" s="160"/>
    </row>
    <row r="570">
      <c r="B570" s="160"/>
      <c r="F570" s="41"/>
      <c r="G570" s="40"/>
      <c r="I570" s="200"/>
      <c r="K570" s="160"/>
      <c r="P570" s="160"/>
    </row>
    <row r="571">
      <c r="B571" s="160"/>
      <c r="F571" s="41"/>
      <c r="G571" s="40"/>
      <c r="I571" s="200"/>
      <c r="K571" s="160"/>
      <c r="P571" s="160"/>
    </row>
    <row r="572">
      <c r="B572" s="160"/>
      <c r="F572" s="41"/>
      <c r="G572" s="40"/>
      <c r="I572" s="200"/>
      <c r="K572" s="160"/>
      <c r="P572" s="160"/>
    </row>
    <row r="573">
      <c r="B573" s="160"/>
      <c r="F573" s="41"/>
      <c r="G573" s="40"/>
      <c r="I573" s="200"/>
      <c r="K573" s="160"/>
      <c r="P573" s="160"/>
    </row>
    <row r="574">
      <c r="B574" s="160"/>
      <c r="F574" s="41"/>
      <c r="G574" s="40"/>
      <c r="I574" s="200"/>
      <c r="K574" s="160"/>
      <c r="P574" s="160"/>
    </row>
    <row r="575">
      <c r="B575" s="160"/>
      <c r="F575" s="41"/>
      <c r="G575" s="40"/>
      <c r="I575" s="200"/>
      <c r="K575" s="160"/>
      <c r="P575" s="160"/>
    </row>
    <row r="576">
      <c r="B576" s="160"/>
      <c r="F576" s="41"/>
      <c r="G576" s="40"/>
      <c r="I576" s="200"/>
      <c r="K576" s="160"/>
      <c r="P576" s="160"/>
    </row>
    <row r="577">
      <c r="B577" s="160"/>
      <c r="F577" s="41"/>
      <c r="G577" s="40"/>
      <c r="I577" s="200"/>
      <c r="K577" s="160"/>
      <c r="P577" s="160"/>
    </row>
    <row r="578">
      <c r="B578" s="160"/>
      <c r="F578" s="41"/>
      <c r="G578" s="40"/>
      <c r="I578" s="200"/>
      <c r="K578" s="160"/>
      <c r="P578" s="160"/>
    </row>
    <row r="579">
      <c r="B579" s="160"/>
      <c r="F579" s="41"/>
      <c r="G579" s="40"/>
      <c r="I579" s="200"/>
      <c r="K579" s="160"/>
      <c r="P579" s="160"/>
    </row>
    <row r="580">
      <c r="B580" s="160"/>
      <c r="F580" s="41"/>
      <c r="G580" s="40"/>
      <c r="I580" s="200"/>
      <c r="K580" s="160"/>
      <c r="P580" s="160"/>
    </row>
    <row r="581">
      <c r="B581" s="160"/>
      <c r="F581" s="41"/>
      <c r="G581" s="40"/>
      <c r="I581" s="200"/>
      <c r="K581" s="160"/>
      <c r="P581" s="160"/>
    </row>
    <row r="582">
      <c r="B582" s="160"/>
      <c r="F582" s="41"/>
      <c r="G582" s="40"/>
      <c r="I582" s="200"/>
      <c r="K582" s="160"/>
      <c r="P582" s="160"/>
    </row>
    <row r="583">
      <c r="B583" s="160"/>
      <c r="F583" s="41"/>
      <c r="G583" s="40"/>
      <c r="I583" s="200"/>
      <c r="K583" s="160"/>
      <c r="P583" s="160"/>
    </row>
    <row r="584">
      <c r="B584" s="160"/>
      <c r="F584" s="41"/>
      <c r="G584" s="40"/>
      <c r="I584" s="200"/>
      <c r="K584" s="160"/>
      <c r="P584" s="160"/>
    </row>
    <row r="585">
      <c r="B585" s="160"/>
      <c r="F585" s="41"/>
      <c r="G585" s="40"/>
      <c r="I585" s="200"/>
      <c r="K585" s="160"/>
      <c r="P585" s="160"/>
    </row>
    <row r="586">
      <c r="B586" s="160"/>
      <c r="F586" s="41"/>
      <c r="G586" s="40"/>
      <c r="I586" s="200"/>
      <c r="K586" s="160"/>
      <c r="P586" s="160"/>
    </row>
    <row r="587">
      <c r="B587" s="160"/>
      <c r="F587" s="41"/>
      <c r="G587" s="40"/>
      <c r="I587" s="200"/>
      <c r="K587" s="160"/>
      <c r="P587" s="160"/>
    </row>
    <row r="588">
      <c r="B588" s="160"/>
      <c r="F588" s="41"/>
      <c r="G588" s="40"/>
      <c r="I588" s="200"/>
      <c r="K588" s="160"/>
      <c r="P588" s="160"/>
    </row>
    <row r="589">
      <c r="B589" s="160"/>
      <c r="F589" s="41"/>
      <c r="G589" s="40"/>
      <c r="I589" s="200"/>
      <c r="K589" s="160"/>
      <c r="P589" s="160"/>
    </row>
    <row r="590">
      <c r="B590" s="160"/>
      <c r="F590" s="41"/>
      <c r="G590" s="40"/>
      <c r="I590" s="200"/>
      <c r="K590" s="160"/>
      <c r="P590" s="160"/>
    </row>
    <row r="591">
      <c r="B591" s="160"/>
      <c r="F591" s="41"/>
      <c r="G591" s="40"/>
      <c r="I591" s="200"/>
      <c r="K591" s="160"/>
      <c r="P591" s="160"/>
    </row>
    <row r="592">
      <c r="B592" s="160"/>
      <c r="F592" s="41"/>
      <c r="G592" s="40"/>
      <c r="I592" s="200"/>
      <c r="K592" s="160"/>
      <c r="P592" s="160"/>
    </row>
    <row r="593">
      <c r="B593" s="160"/>
      <c r="F593" s="41"/>
      <c r="G593" s="40"/>
      <c r="I593" s="200"/>
      <c r="K593" s="160"/>
      <c r="P593" s="160"/>
    </row>
    <row r="594">
      <c r="B594" s="160"/>
      <c r="F594" s="41"/>
      <c r="G594" s="40"/>
      <c r="I594" s="200"/>
      <c r="K594" s="160"/>
      <c r="P594" s="160"/>
    </row>
    <row r="595">
      <c r="B595" s="160"/>
      <c r="F595" s="41"/>
      <c r="G595" s="40"/>
      <c r="I595" s="200"/>
      <c r="K595" s="160"/>
      <c r="P595" s="160"/>
    </row>
    <row r="596">
      <c r="B596" s="160"/>
      <c r="F596" s="41"/>
      <c r="G596" s="40"/>
      <c r="I596" s="200"/>
      <c r="K596" s="160"/>
      <c r="P596" s="160"/>
    </row>
    <row r="597">
      <c r="B597" s="160"/>
      <c r="F597" s="41"/>
      <c r="G597" s="40"/>
      <c r="I597" s="200"/>
      <c r="K597" s="160"/>
      <c r="P597" s="160"/>
    </row>
    <row r="598">
      <c r="B598" s="160"/>
      <c r="F598" s="41"/>
      <c r="G598" s="40"/>
      <c r="I598" s="200"/>
      <c r="K598" s="160"/>
      <c r="P598" s="160"/>
    </row>
    <row r="599">
      <c r="B599" s="160"/>
      <c r="F599" s="41"/>
      <c r="G599" s="40"/>
      <c r="I599" s="200"/>
      <c r="K599" s="160"/>
      <c r="P599" s="160"/>
    </row>
    <row r="600">
      <c r="B600" s="160"/>
      <c r="F600" s="41"/>
      <c r="G600" s="40"/>
      <c r="I600" s="200"/>
      <c r="K600" s="160"/>
      <c r="P600" s="160"/>
    </row>
    <row r="601">
      <c r="B601" s="160"/>
      <c r="F601" s="41"/>
      <c r="G601" s="40"/>
      <c r="I601" s="200"/>
      <c r="K601" s="160"/>
      <c r="P601" s="160"/>
    </row>
    <row r="602">
      <c r="B602" s="160"/>
      <c r="F602" s="41"/>
      <c r="G602" s="40"/>
      <c r="I602" s="200"/>
      <c r="K602" s="160"/>
      <c r="P602" s="160"/>
    </row>
    <row r="603">
      <c r="B603" s="160"/>
      <c r="F603" s="41"/>
      <c r="G603" s="40"/>
      <c r="I603" s="200"/>
      <c r="K603" s="160"/>
      <c r="P603" s="160"/>
    </row>
    <row r="604">
      <c r="B604" s="160"/>
      <c r="F604" s="41"/>
      <c r="G604" s="40"/>
      <c r="I604" s="200"/>
      <c r="K604" s="160"/>
      <c r="P604" s="160"/>
    </row>
    <row r="605">
      <c r="B605" s="160"/>
      <c r="F605" s="41"/>
      <c r="G605" s="40"/>
      <c r="I605" s="200"/>
      <c r="K605" s="160"/>
      <c r="P605" s="160"/>
    </row>
    <row r="606">
      <c r="B606" s="160"/>
      <c r="F606" s="41"/>
      <c r="G606" s="40"/>
      <c r="I606" s="200"/>
      <c r="K606" s="160"/>
      <c r="P606" s="160"/>
    </row>
    <row r="607">
      <c r="B607" s="160"/>
      <c r="F607" s="41"/>
      <c r="G607" s="40"/>
      <c r="I607" s="200"/>
      <c r="K607" s="160"/>
      <c r="P607" s="160"/>
    </row>
    <row r="608">
      <c r="B608" s="160"/>
      <c r="F608" s="41"/>
      <c r="G608" s="40"/>
      <c r="I608" s="200"/>
      <c r="K608" s="160"/>
      <c r="P608" s="160"/>
    </row>
    <row r="609">
      <c r="B609" s="160"/>
      <c r="F609" s="41"/>
      <c r="G609" s="40"/>
      <c r="I609" s="200"/>
      <c r="K609" s="160"/>
      <c r="P609" s="160"/>
    </row>
    <row r="610">
      <c r="B610" s="160"/>
      <c r="F610" s="41"/>
      <c r="G610" s="40"/>
      <c r="I610" s="200"/>
      <c r="K610" s="160"/>
      <c r="P610" s="160"/>
    </row>
    <row r="611">
      <c r="B611" s="160"/>
      <c r="F611" s="41"/>
      <c r="G611" s="40"/>
      <c r="I611" s="200"/>
      <c r="K611" s="160"/>
      <c r="P611" s="160"/>
    </row>
    <row r="612">
      <c r="B612" s="160"/>
      <c r="F612" s="41"/>
      <c r="G612" s="40"/>
      <c r="I612" s="200"/>
      <c r="K612" s="160"/>
      <c r="P612" s="160"/>
    </row>
    <row r="613">
      <c r="B613" s="160"/>
      <c r="F613" s="41"/>
      <c r="G613" s="40"/>
      <c r="I613" s="200"/>
      <c r="K613" s="160"/>
      <c r="P613" s="160"/>
    </row>
    <row r="614">
      <c r="B614" s="160"/>
      <c r="F614" s="41"/>
      <c r="G614" s="40"/>
      <c r="I614" s="200"/>
      <c r="K614" s="160"/>
      <c r="P614" s="160"/>
    </row>
    <row r="615">
      <c r="B615" s="160"/>
      <c r="F615" s="41"/>
      <c r="G615" s="40"/>
      <c r="I615" s="200"/>
      <c r="K615" s="160"/>
      <c r="P615" s="160"/>
    </row>
    <row r="616">
      <c r="B616" s="160"/>
      <c r="F616" s="41"/>
      <c r="G616" s="40"/>
      <c r="I616" s="200"/>
      <c r="K616" s="160"/>
      <c r="P616" s="160"/>
    </row>
    <row r="617">
      <c r="B617" s="160"/>
      <c r="F617" s="41"/>
      <c r="G617" s="40"/>
      <c r="I617" s="200"/>
      <c r="K617" s="160"/>
      <c r="P617" s="160"/>
    </row>
    <row r="618">
      <c r="B618" s="160"/>
      <c r="F618" s="41"/>
      <c r="G618" s="40"/>
      <c r="I618" s="200"/>
      <c r="K618" s="160"/>
      <c r="P618" s="160"/>
    </row>
    <row r="619">
      <c r="B619" s="160"/>
      <c r="F619" s="41"/>
      <c r="G619" s="40"/>
      <c r="I619" s="200"/>
      <c r="K619" s="160"/>
      <c r="P619" s="160"/>
    </row>
    <row r="620">
      <c r="B620" s="160"/>
      <c r="F620" s="41"/>
      <c r="G620" s="40"/>
      <c r="I620" s="200"/>
      <c r="K620" s="160"/>
      <c r="P620" s="160"/>
    </row>
    <row r="621">
      <c r="B621" s="160"/>
      <c r="F621" s="41"/>
      <c r="G621" s="40"/>
      <c r="I621" s="200"/>
      <c r="K621" s="160"/>
      <c r="P621" s="160"/>
    </row>
    <row r="622">
      <c r="B622" s="160"/>
      <c r="F622" s="41"/>
      <c r="G622" s="40"/>
      <c r="I622" s="200"/>
      <c r="K622" s="160"/>
      <c r="P622" s="160"/>
    </row>
    <row r="623">
      <c r="B623" s="160"/>
      <c r="F623" s="41"/>
      <c r="G623" s="40"/>
      <c r="I623" s="200"/>
      <c r="K623" s="160"/>
      <c r="P623" s="160"/>
    </row>
    <row r="624">
      <c r="B624" s="160"/>
      <c r="F624" s="41"/>
      <c r="G624" s="40"/>
      <c r="I624" s="200"/>
      <c r="K624" s="160"/>
      <c r="P624" s="160"/>
    </row>
    <row r="625">
      <c r="B625" s="160"/>
      <c r="F625" s="41"/>
      <c r="G625" s="40"/>
      <c r="I625" s="200"/>
      <c r="K625" s="160"/>
      <c r="P625" s="160"/>
    </row>
    <row r="626">
      <c r="B626" s="160"/>
      <c r="F626" s="41"/>
      <c r="G626" s="40"/>
      <c r="I626" s="200"/>
      <c r="K626" s="160"/>
      <c r="P626" s="160"/>
    </row>
    <row r="627">
      <c r="B627" s="160"/>
      <c r="F627" s="41"/>
      <c r="G627" s="40"/>
      <c r="I627" s="200"/>
      <c r="K627" s="160"/>
      <c r="P627" s="160"/>
    </row>
    <row r="628">
      <c r="B628" s="160"/>
      <c r="F628" s="41"/>
      <c r="G628" s="40"/>
      <c r="I628" s="200"/>
      <c r="K628" s="160"/>
      <c r="P628" s="160"/>
    </row>
    <row r="629">
      <c r="B629" s="160"/>
      <c r="F629" s="41"/>
      <c r="G629" s="40"/>
      <c r="I629" s="200"/>
      <c r="K629" s="160"/>
      <c r="P629" s="160"/>
    </row>
    <row r="630">
      <c r="B630" s="160"/>
      <c r="F630" s="41"/>
      <c r="G630" s="40"/>
      <c r="I630" s="200"/>
      <c r="K630" s="160"/>
      <c r="P630" s="160"/>
    </row>
    <row r="631">
      <c r="B631" s="160"/>
      <c r="F631" s="41"/>
      <c r="G631" s="40"/>
      <c r="I631" s="200"/>
      <c r="K631" s="160"/>
      <c r="P631" s="160"/>
    </row>
    <row r="632">
      <c r="B632" s="160"/>
      <c r="F632" s="41"/>
      <c r="G632" s="40"/>
      <c r="I632" s="200"/>
      <c r="K632" s="160"/>
      <c r="P632" s="160"/>
    </row>
    <row r="633">
      <c r="B633" s="160"/>
      <c r="F633" s="41"/>
      <c r="G633" s="40"/>
      <c r="I633" s="200"/>
      <c r="K633" s="160"/>
      <c r="P633" s="160"/>
    </row>
    <row r="634">
      <c r="B634" s="160"/>
      <c r="F634" s="41"/>
      <c r="G634" s="40"/>
      <c r="I634" s="200"/>
      <c r="K634" s="160"/>
      <c r="P634" s="160"/>
    </row>
    <row r="635">
      <c r="B635" s="160"/>
      <c r="F635" s="41"/>
      <c r="G635" s="40"/>
      <c r="I635" s="200"/>
      <c r="K635" s="160"/>
      <c r="P635" s="160"/>
    </row>
    <row r="636">
      <c r="B636" s="160"/>
      <c r="F636" s="41"/>
      <c r="G636" s="40"/>
      <c r="I636" s="200"/>
      <c r="K636" s="160"/>
      <c r="P636" s="160"/>
    </row>
    <row r="637">
      <c r="B637" s="160"/>
      <c r="F637" s="41"/>
      <c r="G637" s="40"/>
      <c r="I637" s="200"/>
      <c r="K637" s="160"/>
      <c r="P637" s="160"/>
    </row>
    <row r="638">
      <c r="B638" s="160"/>
      <c r="F638" s="41"/>
      <c r="G638" s="40"/>
      <c r="I638" s="200"/>
      <c r="K638" s="160"/>
      <c r="P638" s="160"/>
    </row>
    <row r="639">
      <c r="B639" s="160"/>
      <c r="F639" s="41"/>
      <c r="G639" s="40"/>
      <c r="I639" s="200"/>
      <c r="K639" s="160"/>
      <c r="P639" s="160"/>
    </row>
    <row r="640">
      <c r="B640" s="160"/>
      <c r="F640" s="41"/>
      <c r="G640" s="40"/>
      <c r="I640" s="200"/>
      <c r="K640" s="160"/>
      <c r="P640" s="160"/>
    </row>
    <row r="641">
      <c r="B641" s="160"/>
      <c r="F641" s="41"/>
      <c r="G641" s="40"/>
      <c r="I641" s="200"/>
      <c r="K641" s="160"/>
      <c r="P641" s="160"/>
    </row>
    <row r="642">
      <c r="B642" s="160"/>
      <c r="F642" s="41"/>
      <c r="G642" s="40"/>
      <c r="I642" s="200"/>
      <c r="K642" s="160"/>
      <c r="P642" s="160"/>
    </row>
    <row r="643">
      <c r="B643" s="160"/>
      <c r="F643" s="41"/>
      <c r="G643" s="40"/>
      <c r="I643" s="200"/>
      <c r="K643" s="160"/>
      <c r="P643" s="160"/>
    </row>
    <row r="644">
      <c r="B644" s="160"/>
      <c r="F644" s="41"/>
      <c r="G644" s="40"/>
      <c r="I644" s="200"/>
      <c r="K644" s="160"/>
      <c r="P644" s="160"/>
    </row>
    <row r="645">
      <c r="B645" s="160"/>
      <c r="F645" s="41"/>
      <c r="G645" s="40"/>
      <c r="I645" s="200"/>
      <c r="K645" s="160"/>
      <c r="P645" s="160"/>
    </row>
    <row r="646">
      <c r="B646" s="160"/>
      <c r="F646" s="41"/>
      <c r="G646" s="40"/>
      <c r="I646" s="200"/>
      <c r="K646" s="160"/>
      <c r="P646" s="160"/>
    </row>
    <row r="647">
      <c r="B647" s="160"/>
      <c r="F647" s="41"/>
      <c r="G647" s="40"/>
      <c r="I647" s="200"/>
      <c r="K647" s="160"/>
      <c r="P647" s="160"/>
    </row>
    <row r="648">
      <c r="B648" s="160"/>
      <c r="F648" s="41"/>
      <c r="G648" s="40"/>
      <c r="I648" s="200"/>
      <c r="K648" s="160"/>
      <c r="P648" s="160"/>
    </row>
    <row r="649">
      <c r="B649" s="160"/>
      <c r="F649" s="41"/>
      <c r="G649" s="40"/>
      <c r="I649" s="200"/>
      <c r="K649" s="160"/>
      <c r="P649" s="160"/>
    </row>
    <row r="650">
      <c r="B650" s="160"/>
      <c r="F650" s="41"/>
      <c r="G650" s="40"/>
      <c r="I650" s="200"/>
      <c r="K650" s="160"/>
      <c r="P650" s="160"/>
    </row>
    <row r="651">
      <c r="B651" s="160"/>
      <c r="F651" s="41"/>
      <c r="G651" s="40"/>
      <c r="I651" s="200"/>
      <c r="K651" s="160"/>
      <c r="P651" s="160"/>
    </row>
    <row r="652">
      <c r="B652" s="160"/>
      <c r="F652" s="41"/>
      <c r="G652" s="40"/>
      <c r="I652" s="200"/>
      <c r="K652" s="160"/>
      <c r="P652" s="160"/>
    </row>
    <row r="653">
      <c r="B653" s="160"/>
      <c r="F653" s="41"/>
      <c r="G653" s="40"/>
      <c r="I653" s="200"/>
      <c r="K653" s="160"/>
      <c r="P653" s="160"/>
    </row>
    <row r="654">
      <c r="B654" s="160"/>
      <c r="F654" s="41"/>
      <c r="G654" s="40"/>
      <c r="I654" s="200"/>
      <c r="K654" s="160"/>
      <c r="P654" s="160"/>
    </row>
    <row r="655">
      <c r="B655" s="160"/>
      <c r="F655" s="41"/>
      <c r="G655" s="40"/>
      <c r="I655" s="200"/>
      <c r="K655" s="160"/>
      <c r="P655" s="160"/>
    </row>
    <row r="656">
      <c r="B656" s="160"/>
      <c r="F656" s="41"/>
      <c r="G656" s="40"/>
      <c r="I656" s="200"/>
      <c r="K656" s="160"/>
      <c r="P656" s="160"/>
    </row>
    <row r="657">
      <c r="B657" s="160"/>
      <c r="F657" s="41"/>
      <c r="G657" s="40"/>
      <c r="I657" s="200"/>
      <c r="K657" s="160"/>
      <c r="P657" s="160"/>
    </row>
    <row r="658">
      <c r="B658" s="160"/>
      <c r="F658" s="41"/>
      <c r="G658" s="40"/>
      <c r="I658" s="200"/>
      <c r="K658" s="160"/>
      <c r="P658" s="160"/>
    </row>
    <row r="659">
      <c r="B659" s="160"/>
      <c r="F659" s="41"/>
      <c r="G659" s="40"/>
      <c r="I659" s="200"/>
      <c r="K659" s="160"/>
      <c r="P659" s="160"/>
    </row>
    <row r="660">
      <c r="B660" s="160"/>
      <c r="F660" s="41"/>
      <c r="G660" s="40"/>
      <c r="I660" s="200"/>
      <c r="K660" s="160"/>
      <c r="P660" s="160"/>
    </row>
    <row r="661">
      <c r="B661" s="160"/>
      <c r="F661" s="41"/>
      <c r="G661" s="40"/>
      <c r="I661" s="200"/>
      <c r="K661" s="160"/>
      <c r="P661" s="160"/>
    </row>
    <row r="662">
      <c r="B662" s="160"/>
      <c r="F662" s="41"/>
      <c r="G662" s="40"/>
      <c r="I662" s="200"/>
      <c r="K662" s="160"/>
      <c r="P662" s="160"/>
    </row>
    <row r="663">
      <c r="B663" s="160"/>
      <c r="F663" s="41"/>
      <c r="G663" s="40"/>
      <c r="I663" s="200"/>
      <c r="K663" s="160"/>
      <c r="P663" s="160"/>
    </row>
    <row r="664">
      <c r="B664" s="160"/>
      <c r="F664" s="41"/>
      <c r="G664" s="40"/>
      <c r="I664" s="200"/>
      <c r="K664" s="160"/>
      <c r="P664" s="160"/>
    </row>
    <row r="665">
      <c r="B665" s="160"/>
      <c r="F665" s="41"/>
      <c r="G665" s="40"/>
      <c r="I665" s="200"/>
      <c r="K665" s="160"/>
      <c r="P665" s="160"/>
    </row>
    <row r="666">
      <c r="B666" s="160"/>
      <c r="F666" s="41"/>
      <c r="G666" s="40"/>
      <c r="I666" s="200"/>
      <c r="K666" s="160"/>
      <c r="P666" s="160"/>
    </row>
    <row r="667">
      <c r="B667" s="160"/>
      <c r="F667" s="41"/>
      <c r="G667" s="40"/>
      <c r="I667" s="200"/>
      <c r="K667" s="160"/>
      <c r="P667" s="160"/>
    </row>
    <row r="668">
      <c r="B668" s="160"/>
      <c r="F668" s="41"/>
      <c r="G668" s="40"/>
      <c r="I668" s="200"/>
      <c r="K668" s="160"/>
      <c r="P668" s="160"/>
    </row>
    <row r="669">
      <c r="B669" s="160"/>
      <c r="F669" s="41"/>
      <c r="G669" s="40"/>
      <c r="I669" s="200"/>
      <c r="K669" s="160"/>
      <c r="P669" s="160"/>
    </row>
    <row r="670">
      <c r="B670" s="160"/>
      <c r="F670" s="41"/>
      <c r="G670" s="40"/>
      <c r="I670" s="200"/>
      <c r="K670" s="160"/>
      <c r="P670" s="160"/>
    </row>
    <row r="671">
      <c r="B671" s="160"/>
      <c r="F671" s="41"/>
      <c r="G671" s="40"/>
      <c r="I671" s="200"/>
      <c r="K671" s="160"/>
      <c r="P671" s="160"/>
    </row>
    <row r="672">
      <c r="B672" s="160"/>
      <c r="F672" s="41"/>
      <c r="G672" s="40"/>
      <c r="I672" s="200"/>
      <c r="K672" s="160"/>
      <c r="P672" s="160"/>
    </row>
    <row r="673">
      <c r="B673" s="160"/>
      <c r="F673" s="41"/>
      <c r="G673" s="40"/>
      <c r="I673" s="200"/>
      <c r="K673" s="160"/>
      <c r="P673" s="160"/>
    </row>
    <row r="674">
      <c r="B674" s="160"/>
      <c r="F674" s="41"/>
      <c r="G674" s="40"/>
      <c r="I674" s="200"/>
      <c r="K674" s="160"/>
      <c r="P674" s="160"/>
    </row>
    <row r="675">
      <c r="B675" s="160"/>
      <c r="F675" s="41"/>
      <c r="G675" s="40"/>
      <c r="I675" s="200"/>
      <c r="K675" s="160"/>
      <c r="P675" s="160"/>
    </row>
    <row r="676">
      <c r="B676" s="160"/>
      <c r="F676" s="41"/>
      <c r="G676" s="40"/>
      <c r="I676" s="200"/>
      <c r="K676" s="160"/>
      <c r="P676" s="160"/>
    </row>
    <row r="677">
      <c r="B677" s="160"/>
      <c r="F677" s="41"/>
      <c r="G677" s="40"/>
      <c r="I677" s="200"/>
      <c r="K677" s="160"/>
      <c r="P677" s="160"/>
    </row>
    <row r="678">
      <c r="B678" s="160"/>
      <c r="F678" s="41"/>
      <c r="G678" s="40"/>
      <c r="I678" s="200"/>
      <c r="K678" s="160"/>
      <c r="P678" s="160"/>
    </row>
    <row r="679">
      <c r="B679" s="160"/>
      <c r="F679" s="41"/>
      <c r="G679" s="40"/>
      <c r="I679" s="200"/>
      <c r="K679" s="160"/>
      <c r="P679" s="160"/>
    </row>
    <row r="680">
      <c r="B680" s="160"/>
      <c r="F680" s="41"/>
      <c r="G680" s="40"/>
      <c r="I680" s="200"/>
      <c r="K680" s="160"/>
      <c r="P680" s="160"/>
    </row>
    <row r="681">
      <c r="B681" s="160"/>
      <c r="F681" s="41"/>
      <c r="G681" s="40"/>
      <c r="I681" s="200"/>
      <c r="K681" s="160"/>
      <c r="P681" s="160"/>
    </row>
    <row r="682">
      <c r="B682" s="160"/>
      <c r="F682" s="41"/>
      <c r="G682" s="40"/>
      <c r="I682" s="200"/>
      <c r="K682" s="160"/>
      <c r="P682" s="160"/>
    </row>
    <row r="683">
      <c r="B683" s="160"/>
      <c r="F683" s="41"/>
      <c r="G683" s="40"/>
      <c r="I683" s="200"/>
      <c r="K683" s="160"/>
      <c r="P683" s="160"/>
    </row>
    <row r="684">
      <c r="B684" s="160"/>
      <c r="F684" s="41"/>
      <c r="G684" s="40"/>
      <c r="I684" s="200"/>
      <c r="K684" s="160"/>
      <c r="P684" s="160"/>
    </row>
    <row r="685">
      <c r="B685" s="160"/>
      <c r="F685" s="41"/>
      <c r="G685" s="40"/>
      <c r="I685" s="200"/>
      <c r="K685" s="160"/>
      <c r="P685" s="160"/>
    </row>
    <row r="686">
      <c r="B686" s="160"/>
      <c r="F686" s="41"/>
      <c r="G686" s="40"/>
      <c r="I686" s="200"/>
      <c r="K686" s="160"/>
      <c r="P686" s="160"/>
    </row>
    <row r="687">
      <c r="B687" s="160"/>
      <c r="F687" s="41"/>
      <c r="G687" s="40"/>
      <c r="I687" s="200"/>
      <c r="K687" s="160"/>
      <c r="P687" s="160"/>
    </row>
    <row r="688">
      <c r="B688" s="160"/>
      <c r="F688" s="41"/>
      <c r="G688" s="40"/>
      <c r="I688" s="200"/>
      <c r="K688" s="160"/>
      <c r="P688" s="160"/>
    </row>
    <row r="689">
      <c r="B689" s="160"/>
      <c r="F689" s="41"/>
      <c r="G689" s="40"/>
      <c r="I689" s="200"/>
      <c r="K689" s="160"/>
      <c r="P689" s="160"/>
    </row>
    <row r="690">
      <c r="B690" s="160"/>
      <c r="F690" s="41"/>
      <c r="G690" s="40"/>
      <c r="I690" s="200"/>
      <c r="K690" s="160"/>
      <c r="P690" s="160"/>
    </row>
    <row r="691">
      <c r="B691" s="160"/>
      <c r="F691" s="41"/>
      <c r="G691" s="40"/>
      <c r="I691" s="200"/>
      <c r="K691" s="160"/>
      <c r="P691" s="160"/>
    </row>
    <row r="692">
      <c r="B692" s="160"/>
      <c r="F692" s="41"/>
      <c r="G692" s="40"/>
      <c r="I692" s="200"/>
      <c r="K692" s="160"/>
      <c r="P692" s="160"/>
    </row>
    <row r="693">
      <c r="B693" s="160"/>
      <c r="F693" s="41"/>
      <c r="G693" s="40"/>
      <c r="I693" s="200"/>
      <c r="K693" s="160"/>
      <c r="P693" s="160"/>
    </row>
    <row r="694">
      <c r="B694" s="160"/>
      <c r="F694" s="41"/>
      <c r="G694" s="40"/>
      <c r="I694" s="200"/>
      <c r="K694" s="160"/>
      <c r="P694" s="160"/>
    </row>
    <row r="695">
      <c r="B695" s="160"/>
      <c r="F695" s="41"/>
      <c r="G695" s="40"/>
      <c r="I695" s="200"/>
      <c r="K695" s="160"/>
      <c r="P695" s="160"/>
    </row>
    <row r="696">
      <c r="B696" s="160"/>
      <c r="F696" s="41"/>
      <c r="G696" s="40"/>
      <c r="I696" s="200"/>
      <c r="K696" s="160"/>
      <c r="P696" s="160"/>
    </row>
    <row r="697">
      <c r="B697" s="160"/>
      <c r="F697" s="41"/>
      <c r="G697" s="40"/>
      <c r="I697" s="200"/>
      <c r="K697" s="160"/>
      <c r="P697" s="160"/>
    </row>
    <row r="698">
      <c r="B698" s="160"/>
      <c r="F698" s="41"/>
      <c r="G698" s="40"/>
      <c r="I698" s="200"/>
      <c r="K698" s="160"/>
      <c r="P698" s="160"/>
    </row>
    <row r="699">
      <c r="B699" s="160"/>
      <c r="F699" s="41"/>
      <c r="G699" s="40"/>
      <c r="I699" s="200"/>
      <c r="K699" s="160"/>
      <c r="P699" s="160"/>
    </row>
    <row r="700">
      <c r="B700" s="160"/>
      <c r="F700" s="41"/>
      <c r="G700" s="40"/>
      <c r="I700" s="200"/>
      <c r="K700" s="160"/>
      <c r="P700" s="160"/>
    </row>
    <row r="701">
      <c r="B701" s="160"/>
      <c r="F701" s="41"/>
      <c r="G701" s="40"/>
      <c r="I701" s="200"/>
      <c r="K701" s="160"/>
      <c r="P701" s="160"/>
    </row>
    <row r="702">
      <c r="B702" s="160"/>
      <c r="F702" s="41"/>
      <c r="G702" s="40"/>
      <c r="I702" s="200"/>
      <c r="K702" s="160"/>
      <c r="P702" s="160"/>
    </row>
    <row r="703">
      <c r="B703" s="160"/>
      <c r="F703" s="41"/>
      <c r="G703" s="40"/>
      <c r="I703" s="200"/>
      <c r="K703" s="160"/>
      <c r="P703" s="160"/>
    </row>
    <row r="704">
      <c r="B704" s="160"/>
      <c r="F704" s="41"/>
      <c r="G704" s="40"/>
      <c r="I704" s="200"/>
      <c r="K704" s="160"/>
      <c r="P704" s="160"/>
    </row>
    <row r="705">
      <c r="B705" s="160"/>
      <c r="F705" s="41"/>
      <c r="G705" s="40"/>
      <c r="I705" s="200"/>
      <c r="K705" s="160"/>
      <c r="P705" s="160"/>
    </row>
    <row r="706">
      <c r="B706" s="160"/>
      <c r="F706" s="41"/>
      <c r="G706" s="40"/>
      <c r="I706" s="200"/>
      <c r="K706" s="160"/>
      <c r="P706" s="160"/>
    </row>
    <row r="707">
      <c r="B707" s="160"/>
      <c r="F707" s="41"/>
      <c r="G707" s="40"/>
      <c r="I707" s="200"/>
      <c r="K707" s="160"/>
      <c r="P707" s="160"/>
    </row>
    <row r="708">
      <c r="B708" s="160"/>
      <c r="F708" s="41"/>
      <c r="G708" s="40"/>
      <c r="I708" s="200"/>
      <c r="K708" s="160"/>
      <c r="P708" s="160"/>
    </row>
    <row r="709">
      <c r="B709" s="160"/>
      <c r="F709" s="41"/>
      <c r="G709" s="40"/>
      <c r="I709" s="200"/>
      <c r="K709" s="160"/>
      <c r="P709" s="160"/>
    </row>
    <row r="710">
      <c r="B710" s="160"/>
      <c r="F710" s="41"/>
      <c r="G710" s="40"/>
      <c r="I710" s="200"/>
      <c r="K710" s="160"/>
      <c r="P710" s="160"/>
    </row>
    <row r="711">
      <c r="B711" s="160"/>
      <c r="F711" s="41"/>
      <c r="G711" s="40"/>
      <c r="I711" s="200"/>
      <c r="K711" s="160"/>
      <c r="P711" s="160"/>
    </row>
    <row r="712">
      <c r="B712" s="160"/>
      <c r="F712" s="41"/>
      <c r="G712" s="40"/>
      <c r="I712" s="200"/>
      <c r="K712" s="160"/>
      <c r="P712" s="160"/>
    </row>
    <row r="713">
      <c r="B713" s="160"/>
      <c r="F713" s="41"/>
      <c r="G713" s="40"/>
      <c r="I713" s="200"/>
      <c r="K713" s="160"/>
      <c r="P713" s="160"/>
    </row>
    <row r="714">
      <c r="B714" s="160"/>
      <c r="F714" s="41"/>
      <c r="G714" s="40"/>
      <c r="I714" s="200"/>
      <c r="K714" s="160"/>
      <c r="P714" s="160"/>
    </row>
    <row r="715">
      <c r="B715" s="160"/>
      <c r="F715" s="41"/>
      <c r="G715" s="40"/>
      <c r="I715" s="200"/>
      <c r="K715" s="160"/>
      <c r="P715" s="160"/>
    </row>
    <row r="716">
      <c r="B716" s="160"/>
      <c r="F716" s="41"/>
      <c r="G716" s="40"/>
      <c r="I716" s="200"/>
      <c r="K716" s="160"/>
      <c r="P716" s="160"/>
    </row>
    <row r="717">
      <c r="B717" s="160"/>
      <c r="F717" s="41"/>
      <c r="G717" s="40"/>
      <c r="I717" s="200"/>
      <c r="K717" s="160"/>
      <c r="P717" s="160"/>
    </row>
    <row r="718">
      <c r="B718" s="160"/>
      <c r="F718" s="41"/>
      <c r="G718" s="40"/>
      <c r="I718" s="200"/>
      <c r="K718" s="160"/>
      <c r="P718" s="160"/>
    </row>
    <row r="719">
      <c r="B719" s="160"/>
      <c r="F719" s="41"/>
      <c r="G719" s="40"/>
      <c r="I719" s="200"/>
      <c r="K719" s="160"/>
      <c r="P719" s="160"/>
    </row>
    <row r="720">
      <c r="B720" s="160"/>
      <c r="F720" s="41"/>
      <c r="G720" s="40"/>
      <c r="I720" s="200"/>
      <c r="K720" s="160"/>
      <c r="P720" s="160"/>
    </row>
    <row r="721">
      <c r="B721" s="160"/>
      <c r="F721" s="41"/>
      <c r="G721" s="40"/>
      <c r="I721" s="200"/>
      <c r="K721" s="160"/>
      <c r="P721" s="160"/>
    </row>
    <row r="722">
      <c r="B722" s="160"/>
      <c r="F722" s="41"/>
      <c r="G722" s="40"/>
      <c r="I722" s="200"/>
      <c r="K722" s="160"/>
      <c r="P722" s="160"/>
    </row>
    <row r="723">
      <c r="B723" s="160"/>
      <c r="F723" s="41"/>
      <c r="G723" s="40"/>
      <c r="I723" s="200"/>
      <c r="K723" s="160"/>
      <c r="P723" s="160"/>
    </row>
    <row r="724">
      <c r="B724" s="160"/>
      <c r="F724" s="41"/>
      <c r="G724" s="40"/>
      <c r="I724" s="200"/>
      <c r="K724" s="160"/>
      <c r="P724" s="160"/>
    </row>
    <row r="725">
      <c r="B725" s="160"/>
      <c r="F725" s="41"/>
      <c r="G725" s="40"/>
      <c r="I725" s="200"/>
      <c r="K725" s="160"/>
      <c r="P725" s="160"/>
    </row>
    <row r="726">
      <c r="B726" s="160"/>
      <c r="F726" s="41"/>
      <c r="G726" s="40"/>
      <c r="I726" s="200"/>
      <c r="K726" s="160"/>
      <c r="P726" s="160"/>
    </row>
    <row r="727">
      <c r="B727" s="160"/>
      <c r="F727" s="41"/>
      <c r="G727" s="40"/>
      <c r="I727" s="200"/>
      <c r="K727" s="160"/>
      <c r="P727" s="160"/>
    </row>
    <row r="728">
      <c r="B728" s="160"/>
      <c r="F728" s="41"/>
      <c r="G728" s="40"/>
      <c r="I728" s="200"/>
      <c r="K728" s="160"/>
      <c r="P728" s="160"/>
    </row>
    <row r="729">
      <c r="B729" s="160"/>
      <c r="F729" s="41"/>
      <c r="G729" s="40"/>
      <c r="I729" s="200"/>
      <c r="K729" s="160"/>
      <c r="P729" s="160"/>
    </row>
    <row r="730">
      <c r="B730" s="160"/>
      <c r="F730" s="41"/>
      <c r="G730" s="40"/>
      <c r="I730" s="200"/>
      <c r="K730" s="160"/>
      <c r="P730" s="160"/>
    </row>
    <row r="731">
      <c r="B731" s="160"/>
      <c r="F731" s="41"/>
      <c r="G731" s="40"/>
      <c r="I731" s="200"/>
      <c r="K731" s="160"/>
      <c r="P731" s="160"/>
    </row>
    <row r="732">
      <c r="B732" s="160"/>
      <c r="F732" s="41"/>
      <c r="G732" s="40"/>
      <c r="I732" s="200"/>
      <c r="K732" s="160"/>
      <c r="P732" s="160"/>
    </row>
    <row r="733">
      <c r="B733" s="160"/>
      <c r="F733" s="41"/>
      <c r="G733" s="40"/>
      <c r="I733" s="200"/>
      <c r="K733" s="160"/>
      <c r="P733" s="160"/>
    </row>
    <row r="734">
      <c r="B734" s="160"/>
      <c r="F734" s="41"/>
      <c r="G734" s="40"/>
      <c r="I734" s="200"/>
      <c r="K734" s="160"/>
      <c r="P734" s="160"/>
    </row>
    <row r="735">
      <c r="B735" s="160"/>
      <c r="F735" s="41"/>
      <c r="G735" s="40"/>
      <c r="I735" s="200"/>
      <c r="K735" s="160"/>
      <c r="P735" s="160"/>
    </row>
    <row r="736">
      <c r="B736" s="160"/>
      <c r="F736" s="41"/>
      <c r="G736" s="40"/>
      <c r="I736" s="200"/>
      <c r="K736" s="160"/>
      <c r="P736" s="160"/>
    </row>
    <row r="737">
      <c r="B737" s="160"/>
      <c r="F737" s="41"/>
      <c r="G737" s="40"/>
      <c r="I737" s="200"/>
      <c r="K737" s="160"/>
      <c r="P737" s="160"/>
    </row>
    <row r="738">
      <c r="B738" s="160"/>
      <c r="F738" s="41"/>
      <c r="G738" s="40"/>
      <c r="I738" s="200"/>
      <c r="K738" s="160"/>
      <c r="P738" s="160"/>
    </row>
    <row r="739">
      <c r="B739" s="160"/>
      <c r="F739" s="41"/>
      <c r="G739" s="40"/>
      <c r="I739" s="200"/>
      <c r="K739" s="160"/>
      <c r="P739" s="160"/>
    </row>
    <row r="740">
      <c r="B740" s="160"/>
      <c r="F740" s="41"/>
      <c r="G740" s="40"/>
      <c r="I740" s="200"/>
      <c r="K740" s="160"/>
      <c r="P740" s="160"/>
    </row>
    <row r="741">
      <c r="B741" s="160"/>
      <c r="F741" s="41"/>
      <c r="G741" s="40"/>
      <c r="I741" s="200"/>
      <c r="K741" s="160"/>
      <c r="P741" s="160"/>
    </row>
    <row r="742">
      <c r="B742" s="160"/>
      <c r="F742" s="41"/>
      <c r="G742" s="40"/>
      <c r="I742" s="200"/>
      <c r="K742" s="160"/>
      <c r="P742" s="160"/>
    </row>
    <row r="743">
      <c r="B743" s="160"/>
      <c r="F743" s="41"/>
      <c r="G743" s="40"/>
      <c r="I743" s="200"/>
      <c r="K743" s="160"/>
      <c r="P743" s="160"/>
    </row>
    <row r="744">
      <c r="B744" s="160"/>
      <c r="F744" s="41"/>
      <c r="G744" s="40"/>
      <c r="I744" s="200"/>
      <c r="K744" s="160"/>
      <c r="P744" s="160"/>
    </row>
    <row r="745">
      <c r="B745" s="160"/>
      <c r="F745" s="41"/>
      <c r="G745" s="40"/>
      <c r="I745" s="200"/>
      <c r="K745" s="160"/>
      <c r="P745" s="160"/>
    </row>
    <row r="746">
      <c r="B746" s="160"/>
      <c r="F746" s="41"/>
      <c r="G746" s="40"/>
      <c r="I746" s="200"/>
      <c r="K746" s="160"/>
      <c r="P746" s="160"/>
    </row>
    <row r="747">
      <c r="B747" s="160"/>
      <c r="F747" s="41"/>
      <c r="G747" s="40"/>
      <c r="I747" s="200"/>
      <c r="K747" s="160"/>
      <c r="P747" s="160"/>
    </row>
    <row r="748">
      <c r="B748" s="160"/>
      <c r="F748" s="41"/>
      <c r="G748" s="40"/>
      <c r="I748" s="200"/>
      <c r="K748" s="160"/>
      <c r="P748" s="160"/>
    </row>
    <row r="749">
      <c r="B749" s="160"/>
      <c r="F749" s="41"/>
      <c r="G749" s="40"/>
      <c r="I749" s="200"/>
      <c r="K749" s="160"/>
      <c r="P749" s="160"/>
    </row>
    <row r="750">
      <c r="B750" s="160"/>
      <c r="F750" s="41"/>
      <c r="G750" s="40"/>
      <c r="I750" s="200"/>
      <c r="K750" s="160"/>
      <c r="P750" s="160"/>
    </row>
    <row r="751">
      <c r="B751" s="160"/>
      <c r="F751" s="41"/>
      <c r="G751" s="40"/>
      <c r="I751" s="200"/>
      <c r="K751" s="160"/>
      <c r="P751" s="160"/>
    </row>
    <row r="752">
      <c r="B752" s="160"/>
      <c r="F752" s="41"/>
      <c r="G752" s="40"/>
      <c r="I752" s="200"/>
      <c r="K752" s="160"/>
      <c r="P752" s="160"/>
    </row>
    <row r="753">
      <c r="B753" s="160"/>
      <c r="F753" s="41"/>
      <c r="G753" s="40"/>
      <c r="I753" s="200"/>
      <c r="K753" s="160"/>
      <c r="P753" s="160"/>
    </row>
    <row r="754">
      <c r="B754" s="160"/>
      <c r="F754" s="41"/>
      <c r="G754" s="40"/>
      <c r="I754" s="200"/>
      <c r="K754" s="160"/>
      <c r="P754" s="160"/>
    </row>
    <row r="755">
      <c r="B755" s="160"/>
      <c r="F755" s="41"/>
      <c r="G755" s="40"/>
      <c r="I755" s="200"/>
      <c r="K755" s="160"/>
      <c r="P755" s="160"/>
    </row>
    <row r="756">
      <c r="B756" s="160"/>
      <c r="F756" s="41"/>
      <c r="G756" s="40"/>
      <c r="I756" s="200"/>
      <c r="K756" s="160"/>
      <c r="P756" s="160"/>
    </row>
    <row r="757">
      <c r="B757" s="160"/>
      <c r="F757" s="41"/>
      <c r="G757" s="40"/>
      <c r="I757" s="200"/>
      <c r="K757" s="160"/>
      <c r="P757" s="160"/>
    </row>
    <row r="758">
      <c r="B758" s="160"/>
      <c r="F758" s="41"/>
      <c r="G758" s="40"/>
      <c r="I758" s="200"/>
      <c r="K758" s="160"/>
      <c r="P758" s="160"/>
    </row>
    <row r="759">
      <c r="B759" s="160"/>
      <c r="F759" s="41"/>
      <c r="G759" s="40"/>
      <c r="I759" s="200"/>
      <c r="K759" s="160"/>
      <c r="P759" s="160"/>
    </row>
    <row r="760">
      <c r="B760" s="160"/>
      <c r="F760" s="41"/>
      <c r="G760" s="40"/>
      <c r="I760" s="200"/>
      <c r="K760" s="160"/>
      <c r="P760" s="160"/>
    </row>
    <row r="761">
      <c r="B761" s="160"/>
      <c r="F761" s="41"/>
      <c r="G761" s="40"/>
      <c r="I761" s="200"/>
      <c r="K761" s="160"/>
      <c r="P761" s="160"/>
    </row>
    <row r="762">
      <c r="B762" s="160"/>
      <c r="F762" s="41"/>
      <c r="G762" s="40"/>
      <c r="I762" s="200"/>
      <c r="K762" s="160"/>
      <c r="P762" s="160"/>
    </row>
    <row r="763">
      <c r="B763" s="160"/>
      <c r="F763" s="41"/>
      <c r="G763" s="40"/>
      <c r="I763" s="200"/>
      <c r="K763" s="160"/>
      <c r="P763" s="160"/>
    </row>
    <row r="764">
      <c r="B764" s="160"/>
      <c r="F764" s="41"/>
      <c r="G764" s="40"/>
      <c r="I764" s="200"/>
      <c r="K764" s="160"/>
      <c r="P764" s="160"/>
    </row>
    <row r="765">
      <c r="B765" s="160"/>
      <c r="F765" s="41"/>
      <c r="G765" s="40"/>
      <c r="I765" s="200"/>
      <c r="K765" s="160"/>
      <c r="P765" s="160"/>
    </row>
    <row r="766">
      <c r="B766" s="160"/>
      <c r="F766" s="41"/>
      <c r="G766" s="40"/>
      <c r="I766" s="200"/>
      <c r="K766" s="160"/>
      <c r="P766" s="160"/>
    </row>
    <row r="767">
      <c r="B767" s="160"/>
      <c r="F767" s="41"/>
      <c r="G767" s="40"/>
      <c r="I767" s="200"/>
      <c r="K767" s="160"/>
      <c r="P767" s="160"/>
    </row>
    <row r="768">
      <c r="B768" s="160"/>
      <c r="F768" s="41"/>
      <c r="G768" s="40"/>
      <c r="I768" s="200"/>
      <c r="K768" s="160"/>
      <c r="P768" s="160"/>
    </row>
    <row r="769">
      <c r="B769" s="160"/>
      <c r="F769" s="41"/>
      <c r="G769" s="40"/>
      <c r="I769" s="200"/>
      <c r="K769" s="160"/>
      <c r="P769" s="160"/>
    </row>
    <row r="770">
      <c r="B770" s="160"/>
      <c r="F770" s="41"/>
      <c r="G770" s="40"/>
      <c r="I770" s="200"/>
      <c r="K770" s="160"/>
      <c r="P770" s="160"/>
    </row>
    <row r="771">
      <c r="B771" s="160"/>
      <c r="F771" s="41"/>
      <c r="G771" s="40"/>
      <c r="I771" s="200"/>
      <c r="K771" s="160"/>
      <c r="P771" s="160"/>
    </row>
    <row r="772">
      <c r="B772" s="160"/>
      <c r="F772" s="41"/>
      <c r="G772" s="40"/>
      <c r="I772" s="200"/>
      <c r="K772" s="160"/>
      <c r="P772" s="160"/>
    </row>
    <row r="773">
      <c r="B773" s="160"/>
      <c r="F773" s="41"/>
      <c r="G773" s="40"/>
      <c r="I773" s="200"/>
      <c r="K773" s="160"/>
      <c r="P773" s="160"/>
    </row>
    <row r="774">
      <c r="B774" s="160"/>
      <c r="F774" s="41"/>
      <c r="G774" s="40"/>
      <c r="I774" s="200"/>
      <c r="K774" s="160"/>
      <c r="P774" s="160"/>
    </row>
    <row r="775">
      <c r="B775" s="160"/>
      <c r="F775" s="41"/>
      <c r="G775" s="40"/>
      <c r="I775" s="200"/>
      <c r="K775" s="160"/>
      <c r="P775" s="160"/>
    </row>
    <row r="776">
      <c r="B776" s="160"/>
      <c r="F776" s="41"/>
      <c r="G776" s="40"/>
      <c r="I776" s="200"/>
      <c r="K776" s="160"/>
      <c r="P776" s="160"/>
    </row>
    <row r="777">
      <c r="B777" s="160"/>
      <c r="F777" s="41"/>
      <c r="G777" s="40"/>
      <c r="I777" s="200"/>
      <c r="K777" s="160"/>
      <c r="P777" s="160"/>
    </row>
    <row r="778">
      <c r="B778" s="160"/>
      <c r="F778" s="41"/>
      <c r="G778" s="40"/>
      <c r="I778" s="200"/>
      <c r="K778" s="160"/>
      <c r="P778" s="160"/>
    </row>
    <row r="779">
      <c r="B779" s="160"/>
      <c r="F779" s="41"/>
      <c r="G779" s="40"/>
      <c r="I779" s="200"/>
      <c r="K779" s="160"/>
      <c r="P779" s="160"/>
    </row>
    <row r="780">
      <c r="B780" s="160"/>
      <c r="F780" s="41"/>
      <c r="G780" s="40"/>
      <c r="I780" s="200"/>
      <c r="K780" s="160"/>
      <c r="P780" s="160"/>
    </row>
    <row r="781">
      <c r="B781" s="160"/>
      <c r="F781" s="41"/>
      <c r="G781" s="40"/>
      <c r="I781" s="200"/>
      <c r="K781" s="160"/>
      <c r="P781" s="160"/>
    </row>
    <row r="782">
      <c r="B782" s="160"/>
      <c r="F782" s="41"/>
      <c r="G782" s="40"/>
      <c r="I782" s="200"/>
      <c r="K782" s="160"/>
      <c r="P782" s="160"/>
    </row>
    <row r="783">
      <c r="B783" s="160"/>
      <c r="F783" s="41"/>
      <c r="G783" s="40"/>
      <c r="I783" s="200"/>
      <c r="K783" s="160"/>
      <c r="P783" s="160"/>
    </row>
    <row r="784">
      <c r="B784" s="160"/>
      <c r="F784" s="41"/>
      <c r="G784" s="40"/>
      <c r="I784" s="200"/>
      <c r="K784" s="160"/>
      <c r="P784" s="160"/>
    </row>
    <row r="785">
      <c r="B785" s="160"/>
      <c r="F785" s="41"/>
      <c r="G785" s="40"/>
      <c r="I785" s="200"/>
      <c r="K785" s="160"/>
      <c r="P785" s="160"/>
    </row>
    <row r="786">
      <c r="B786" s="160"/>
      <c r="F786" s="41"/>
      <c r="G786" s="40"/>
      <c r="I786" s="200"/>
      <c r="K786" s="160"/>
      <c r="P786" s="160"/>
    </row>
    <row r="787">
      <c r="B787" s="160"/>
      <c r="F787" s="41"/>
      <c r="G787" s="40"/>
      <c r="I787" s="200"/>
      <c r="K787" s="160"/>
      <c r="P787" s="160"/>
    </row>
    <row r="788">
      <c r="B788" s="160"/>
      <c r="F788" s="41"/>
      <c r="G788" s="40"/>
      <c r="I788" s="200"/>
      <c r="K788" s="160"/>
      <c r="P788" s="160"/>
    </row>
    <row r="789">
      <c r="B789" s="160"/>
      <c r="F789" s="41"/>
      <c r="G789" s="40"/>
      <c r="I789" s="200"/>
      <c r="K789" s="160"/>
      <c r="P789" s="160"/>
    </row>
    <row r="790">
      <c r="B790" s="160"/>
      <c r="F790" s="41"/>
      <c r="G790" s="40"/>
      <c r="I790" s="200"/>
      <c r="K790" s="160"/>
      <c r="P790" s="160"/>
    </row>
    <row r="791">
      <c r="B791" s="160"/>
      <c r="F791" s="41"/>
      <c r="G791" s="40"/>
      <c r="I791" s="200"/>
      <c r="K791" s="160"/>
      <c r="P791" s="160"/>
    </row>
    <row r="792">
      <c r="B792" s="160"/>
      <c r="F792" s="41"/>
      <c r="G792" s="40"/>
      <c r="I792" s="200"/>
      <c r="K792" s="160"/>
      <c r="P792" s="160"/>
    </row>
    <row r="793">
      <c r="B793" s="160"/>
      <c r="F793" s="41"/>
      <c r="G793" s="40"/>
      <c r="I793" s="200"/>
      <c r="K793" s="160"/>
      <c r="P793" s="160"/>
    </row>
    <row r="794">
      <c r="B794" s="160"/>
      <c r="F794" s="41"/>
      <c r="G794" s="40"/>
      <c r="I794" s="200"/>
      <c r="K794" s="160"/>
      <c r="P794" s="160"/>
    </row>
    <row r="795">
      <c r="B795" s="160"/>
      <c r="F795" s="41"/>
      <c r="G795" s="40"/>
      <c r="I795" s="200"/>
      <c r="K795" s="160"/>
      <c r="P795" s="160"/>
    </row>
    <row r="796">
      <c r="B796" s="160"/>
      <c r="F796" s="41"/>
      <c r="G796" s="40"/>
      <c r="I796" s="200"/>
      <c r="K796" s="160"/>
      <c r="P796" s="160"/>
    </row>
    <row r="797">
      <c r="B797" s="160"/>
      <c r="F797" s="41"/>
      <c r="G797" s="40"/>
      <c r="I797" s="200"/>
      <c r="K797" s="160"/>
      <c r="P797" s="160"/>
    </row>
    <row r="798">
      <c r="B798" s="160"/>
      <c r="F798" s="41"/>
      <c r="G798" s="40"/>
      <c r="I798" s="200"/>
      <c r="K798" s="160"/>
      <c r="P798" s="160"/>
    </row>
    <row r="799">
      <c r="B799" s="160"/>
      <c r="F799" s="41"/>
      <c r="G799" s="40"/>
      <c r="I799" s="200"/>
      <c r="K799" s="160"/>
      <c r="P799" s="160"/>
    </row>
    <row r="800">
      <c r="B800" s="160"/>
      <c r="F800" s="41"/>
      <c r="G800" s="40"/>
      <c r="I800" s="200"/>
      <c r="K800" s="160"/>
      <c r="P800" s="160"/>
    </row>
    <row r="801">
      <c r="B801" s="160"/>
      <c r="F801" s="41"/>
      <c r="G801" s="40"/>
      <c r="I801" s="200"/>
      <c r="K801" s="160"/>
      <c r="P801" s="160"/>
    </row>
    <row r="802">
      <c r="B802" s="160"/>
      <c r="F802" s="41"/>
      <c r="G802" s="40"/>
      <c r="I802" s="200"/>
      <c r="K802" s="160"/>
      <c r="P802" s="160"/>
    </row>
    <row r="803">
      <c r="B803" s="160"/>
      <c r="F803" s="41"/>
      <c r="G803" s="40"/>
      <c r="I803" s="200"/>
      <c r="K803" s="160"/>
      <c r="P803" s="160"/>
    </row>
    <row r="804">
      <c r="B804" s="160"/>
      <c r="F804" s="41"/>
      <c r="G804" s="40"/>
      <c r="I804" s="200"/>
      <c r="K804" s="160"/>
      <c r="P804" s="160"/>
    </row>
    <row r="805">
      <c r="B805" s="160"/>
      <c r="F805" s="41"/>
      <c r="G805" s="40"/>
      <c r="I805" s="200"/>
      <c r="K805" s="160"/>
      <c r="P805" s="160"/>
    </row>
    <row r="806">
      <c r="B806" s="160"/>
      <c r="F806" s="41"/>
      <c r="G806" s="40"/>
      <c r="I806" s="200"/>
      <c r="K806" s="160"/>
      <c r="P806" s="160"/>
    </row>
    <row r="807">
      <c r="B807" s="160"/>
      <c r="F807" s="41"/>
      <c r="G807" s="40"/>
      <c r="I807" s="200"/>
      <c r="K807" s="160"/>
      <c r="P807" s="160"/>
    </row>
    <row r="808">
      <c r="B808" s="160"/>
      <c r="F808" s="41"/>
      <c r="G808" s="40"/>
      <c r="I808" s="200"/>
      <c r="K808" s="160"/>
      <c r="P808" s="160"/>
    </row>
    <row r="809">
      <c r="B809" s="160"/>
      <c r="F809" s="41"/>
      <c r="G809" s="40"/>
      <c r="I809" s="200"/>
      <c r="K809" s="160"/>
      <c r="P809" s="160"/>
    </row>
    <row r="810">
      <c r="B810" s="160"/>
      <c r="F810" s="41"/>
      <c r="G810" s="40"/>
      <c r="I810" s="200"/>
      <c r="K810" s="160"/>
      <c r="P810" s="160"/>
    </row>
    <row r="811">
      <c r="B811" s="160"/>
      <c r="F811" s="41"/>
      <c r="G811" s="40"/>
      <c r="I811" s="200"/>
      <c r="K811" s="160"/>
      <c r="P811" s="160"/>
    </row>
    <row r="812">
      <c r="B812" s="160"/>
      <c r="F812" s="41"/>
      <c r="G812" s="40"/>
      <c r="I812" s="200"/>
      <c r="K812" s="160"/>
      <c r="P812" s="160"/>
    </row>
    <row r="813">
      <c r="B813" s="160"/>
      <c r="F813" s="41"/>
      <c r="G813" s="40"/>
      <c r="I813" s="200"/>
      <c r="K813" s="160"/>
      <c r="P813" s="160"/>
    </row>
    <row r="814">
      <c r="B814" s="160"/>
      <c r="F814" s="41"/>
      <c r="G814" s="40"/>
      <c r="I814" s="200"/>
      <c r="K814" s="160"/>
      <c r="P814" s="160"/>
    </row>
    <row r="815">
      <c r="B815" s="160"/>
      <c r="F815" s="41"/>
      <c r="G815" s="40"/>
      <c r="I815" s="200"/>
      <c r="K815" s="160"/>
      <c r="P815" s="160"/>
    </row>
    <row r="816">
      <c r="B816" s="160"/>
      <c r="F816" s="41"/>
      <c r="G816" s="40"/>
      <c r="I816" s="200"/>
      <c r="K816" s="160"/>
      <c r="P816" s="160"/>
    </row>
    <row r="817">
      <c r="B817" s="160"/>
      <c r="F817" s="41"/>
      <c r="G817" s="40"/>
      <c r="I817" s="200"/>
      <c r="K817" s="160"/>
      <c r="P817" s="160"/>
    </row>
    <row r="818">
      <c r="B818" s="160"/>
      <c r="F818" s="41"/>
      <c r="G818" s="40"/>
      <c r="I818" s="200"/>
      <c r="K818" s="160"/>
      <c r="P818" s="160"/>
    </row>
    <row r="819">
      <c r="B819" s="160"/>
      <c r="F819" s="41"/>
      <c r="G819" s="40"/>
      <c r="I819" s="200"/>
      <c r="K819" s="160"/>
      <c r="P819" s="160"/>
    </row>
    <row r="820">
      <c r="B820" s="160"/>
      <c r="F820" s="41"/>
      <c r="G820" s="40"/>
      <c r="I820" s="200"/>
      <c r="K820" s="160"/>
      <c r="P820" s="160"/>
    </row>
    <row r="821">
      <c r="B821" s="160"/>
      <c r="F821" s="41"/>
      <c r="G821" s="40"/>
      <c r="I821" s="200"/>
      <c r="K821" s="160"/>
      <c r="P821" s="160"/>
    </row>
    <row r="822">
      <c r="B822" s="160"/>
      <c r="F822" s="41"/>
      <c r="G822" s="40"/>
      <c r="I822" s="200"/>
      <c r="K822" s="160"/>
      <c r="P822" s="160"/>
    </row>
    <row r="823">
      <c r="B823" s="160"/>
      <c r="F823" s="41"/>
      <c r="G823" s="40"/>
      <c r="I823" s="200"/>
      <c r="K823" s="160"/>
      <c r="P823" s="160"/>
    </row>
    <row r="824">
      <c r="B824" s="160"/>
      <c r="F824" s="41"/>
      <c r="G824" s="40"/>
      <c r="I824" s="200"/>
      <c r="K824" s="160"/>
      <c r="P824" s="160"/>
    </row>
    <row r="825">
      <c r="B825" s="160"/>
      <c r="F825" s="41"/>
      <c r="G825" s="40"/>
      <c r="I825" s="200"/>
      <c r="K825" s="160"/>
      <c r="P825" s="160"/>
    </row>
    <row r="826">
      <c r="B826" s="160"/>
      <c r="F826" s="41"/>
      <c r="G826" s="40"/>
      <c r="I826" s="200"/>
      <c r="K826" s="160"/>
      <c r="P826" s="160"/>
    </row>
    <row r="827">
      <c r="B827" s="160"/>
      <c r="F827" s="41"/>
      <c r="G827" s="40"/>
      <c r="I827" s="200"/>
      <c r="K827" s="160"/>
      <c r="P827" s="160"/>
    </row>
    <row r="828">
      <c r="B828" s="160"/>
      <c r="F828" s="41"/>
      <c r="G828" s="40"/>
      <c r="I828" s="200"/>
      <c r="K828" s="160"/>
      <c r="P828" s="160"/>
    </row>
    <row r="829">
      <c r="B829" s="160"/>
      <c r="F829" s="41"/>
      <c r="G829" s="40"/>
      <c r="I829" s="200"/>
      <c r="K829" s="160"/>
      <c r="P829" s="160"/>
    </row>
    <row r="830">
      <c r="B830" s="160"/>
      <c r="F830" s="41"/>
      <c r="G830" s="40"/>
      <c r="I830" s="200"/>
      <c r="K830" s="160"/>
      <c r="P830" s="160"/>
    </row>
    <row r="831">
      <c r="B831" s="160"/>
      <c r="F831" s="41"/>
      <c r="G831" s="40"/>
      <c r="I831" s="200"/>
      <c r="K831" s="160"/>
      <c r="P831" s="160"/>
    </row>
    <row r="832">
      <c r="B832" s="160"/>
      <c r="F832" s="41"/>
      <c r="G832" s="40"/>
      <c r="I832" s="200"/>
      <c r="K832" s="160"/>
      <c r="P832" s="160"/>
    </row>
    <row r="833">
      <c r="B833" s="160"/>
      <c r="F833" s="41"/>
      <c r="G833" s="40"/>
      <c r="I833" s="200"/>
      <c r="K833" s="160"/>
      <c r="P833" s="160"/>
    </row>
    <row r="834">
      <c r="B834" s="160"/>
      <c r="F834" s="41"/>
      <c r="G834" s="40"/>
      <c r="I834" s="200"/>
      <c r="K834" s="160"/>
      <c r="P834" s="160"/>
    </row>
    <row r="835">
      <c r="B835" s="160"/>
      <c r="F835" s="41"/>
      <c r="G835" s="40"/>
      <c r="I835" s="200"/>
      <c r="K835" s="160"/>
      <c r="P835" s="160"/>
    </row>
    <row r="836">
      <c r="B836" s="160"/>
      <c r="F836" s="41"/>
      <c r="G836" s="40"/>
      <c r="I836" s="200"/>
      <c r="K836" s="160"/>
      <c r="P836" s="160"/>
    </row>
    <row r="837">
      <c r="B837" s="160"/>
      <c r="F837" s="41"/>
      <c r="G837" s="40"/>
      <c r="I837" s="200"/>
      <c r="K837" s="160"/>
      <c r="P837" s="160"/>
    </row>
    <row r="838">
      <c r="B838" s="160"/>
      <c r="F838" s="41"/>
      <c r="G838" s="40"/>
      <c r="I838" s="200"/>
      <c r="K838" s="160"/>
      <c r="P838" s="160"/>
    </row>
    <row r="839">
      <c r="B839" s="160"/>
      <c r="F839" s="41"/>
      <c r="G839" s="40"/>
      <c r="I839" s="200"/>
      <c r="K839" s="160"/>
      <c r="P839" s="160"/>
    </row>
    <row r="840">
      <c r="B840" s="160"/>
      <c r="F840" s="41"/>
      <c r="G840" s="40"/>
      <c r="I840" s="200"/>
      <c r="K840" s="160"/>
      <c r="P840" s="160"/>
    </row>
    <row r="841">
      <c r="B841" s="160"/>
      <c r="F841" s="41"/>
      <c r="G841" s="40"/>
      <c r="I841" s="200"/>
      <c r="K841" s="160"/>
      <c r="P841" s="160"/>
    </row>
    <row r="842">
      <c r="B842" s="160"/>
      <c r="F842" s="41"/>
      <c r="G842" s="40"/>
      <c r="I842" s="200"/>
      <c r="K842" s="160"/>
      <c r="P842" s="160"/>
    </row>
    <row r="843">
      <c r="B843" s="160"/>
      <c r="F843" s="41"/>
      <c r="G843" s="40"/>
      <c r="I843" s="200"/>
      <c r="K843" s="160"/>
      <c r="P843" s="160"/>
    </row>
    <row r="844">
      <c r="B844" s="160"/>
      <c r="F844" s="41"/>
      <c r="G844" s="40"/>
      <c r="I844" s="200"/>
      <c r="K844" s="160"/>
      <c r="P844" s="160"/>
    </row>
    <row r="845">
      <c r="B845" s="160"/>
      <c r="F845" s="41"/>
      <c r="G845" s="40"/>
      <c r="I845" s="200"/>
      <c r="K845" s="160"/>
      <c r="P845" s="160"/>
    </row>
    <row r="846">
      <c r="B846" s="160"/>
      <c r="F846" s="41"/>
      <c r="G846" s="40"/>
      <c r="I846" s="200"/>
      <c r="K846" s="160"/>
      <c r="P846" s="160"/>
    </row>
    <row r="847">
      <c r="B847" s="160"/>
      <c r="F847" s="41"/>
      <c r="G847" s="40"/>
      <c r="I847" s="200"/>
      <c r="K847" s="160"/>
      <c r="P847" s="160"/>
    </row>
    <row r="848">
      <c r="B848" s="160"/>
      <c r="F848" s="41"/>
      <c r="G848" s="40"/>
      <c r="I848" s="200"/>
      <c r="K848" s="160"/>
      <c r="P848" s="160"/>
    </row>
    <row r="849">
      <c r="B849" s="160"/>
      <c r="F849" s="41"/>
      <c r="G849" s="40"/>
      <c r="I849" s="200"/>
      <c r="K849" s="160"/>
      <c r="P849" s="160"/>
    </row>
    <row r="850">
      <c r="B850" s="160"/>
      <c r="F850" s="41"/>
      <c r="G850" s="40"/>
      <c r="I850" s="200"/>
      <c r="K850" s="160"/>
      <c r="P850" s="160"/>
    </row>
    <row r="851">
      <c r="B851" s="160"/>
      <c r="F851" s="41"/>
      <c r="G851" s="40"/>
      <c r="I851" s="200"/>
      <c r="K851" s="160"/>
      <c r="P851" s="160"/>
    </row>
    <row r="852">
      <c r="B852" s="160"/>
      <c r="F852" s="41"/>
      <c r="G852" s="40"/>
      <c r="I852" s="200"/>
      <c r="K852" s="160"/>
      <c r="P852" s="160"/>
    </row>
    <row r="853">
      <c r="B853" s="160"/>
      <c r="F853" s="41"/>
      <c r="G853" s="40"/>
      <c r="I853" s="200"/>
      <c r="K853" s="160"/>
      <c r="P853" s="160"/>
    </row>
    <row r="854">
      <c r="B854" s="160"/>
      <c r="F854" s="41"/>
      <c r="G854" s="40"/>
      <c r="I854" s="200"/>
      <c r="K854" s="160"/>
      <c r="P854" s="160"/>
    </row>
    <row r="855">
      <c r="B855" s="160"/>
      <c r="F855" s="41"/>
      <c r="G855" s="40"/>
      <c r="I855" s="200"/>
      <c r="K855" s="160"/>
      <c r="P855" s="160"/>
    </row>
    <row r="856">
      <c r="B856" s="160"/>
      <c r="F856" s="41"/>
      <c r="G856" s="40"/>
      <c r="I856" s="200"/>
      <c r="K856" s="160"/>
      <c r="P856" s="160"/>
    </row>
    <row r="857">
      <c r="B857" s="160"/>
      <c r="F857" s="41"/>
      <c r="G857" s="40"/>
      <c r="I857" s="200"/>
      <c r="K857" s="160"/>
      <c r="P857" s="160"/>
    </row>
    <row r="858">
      <c r="B858" s="160"/>
      <c r="F858" s="41"/>
      <c r="G858" s="40"/>
      <c r="I858" s="200"/>
      <c r="K858" s="160"/>
      <c r="P858" s="160"/>
    </row>
    <row r="859">
      <c r="B859" s="160"/>
      <c r="F859" s="41"/>
      <c r="G859" s="40"/>
      <c r="I859" s="200"/>
      <c r="K859" s="160"/>
      <c r="P859" s="160"/>
    </row>
    <row r="860">
      <c r="B860" s="160"/>
      <c r="F860" s="41"/>
      <c r="G860" s="40"/>
      <c r="I860" s="200"/>
      <c r="K860" s="160"/>
      <c r="P860" s="160"/>
    </row>
    <row r="861">
      <c r="B861" s="160"/>
      <c r="F861" s="41"/>
      <c r="G861" s="40"/>
      <c r="I861" s="200"/>
      <c r="K861" s="160"/>
      <c r="P861" s="160"/>
    </row>
    <row r="862">
      <c r="B862" s="160"/>
      <c r="F862" s="41"/>
      <c r="G862" s="40"/>
      <c r="I862" s="200"/>
      <c r="K862" s="160"/>
      <c r="P862" s="160"/>
    </row>
    <row r="863">
      <c r="B863" s="160"/>
      <c r="F863" s="41"/>
      <c r="G863" s="40"/>
      <c r="I863" s="200"/>
      <c r="K863" s="160"/>
      <c r="P863" s="160"/>
    </row>
    <row r="864">
      <c r="B864" s="160"/>
      <c r="F864" s="41"/>
      <c r="G864" s="40"/>
      <c r="I864" s="200"/>
      <c r="K864" s="160"/>
      <c r="P864" s="160"/>
    </row>
    <row r="865">
      <c r="B865" s="160"/>
      <c r="F865" s="41"/>
      <c r="G865" s="40"/>
      <c r="I865" s="200"/>
      <c r="K865" s="160"/>
      <c r="P865" s="160"/>
    </row>
    <row r="866">
      <c r="B866" s="160"/>
      <c r="F866" s="41"/>
      <c r="G866" s="40"/>
      <c r="I866" s="200"/>
      <c r="K866" s="160"/>
      <c r="P866" s="160"/>
    </row>
    <row r="867">
      <c r="B867" s="160"/>
      <c r="F867" s="41"/>
      <c r="G867" s="40"/>
      <c r="I867" s="200"/>
      <c r="K867" s="160"/>
      <c r="P867" s="160"/>
    </row>
    <row r="868">
      <c r="B868" s="160"/>
      <c r="F868" s="41"/>
      <c r="G868" s="40"/>
      <c r="I868" s="200"/>
      <c r="K868" s="160"/>
      <c r="P868" s="160"/>
    </row>
    <row r="869">
      <c r="B869" s="160"/>
      <c r="F869" s="41"/>
      <c r="G869" s="40"/>
      <c r="I869" s="200"/>
      <c r="K869" s="160"/>
      <c r="P869" s="160"/>
    </row>
    <row r="870">
      <c r="B870" s="160"/>
      <c r="F870" s="41"/>
      <c r="G870" s="40"/>
      <c r="I870" s="200"/>
      <c r="K870" s="160"/>
      <c r="P870" s="160"/>
    </row>
    <row r="871">
      <c r="B871" s="160"/>
      <c r="F871" s="41"/>
      <c r="G871" s="40"/>
      <c r="I871" s="200"/>
      <c r="K871" s="160"/>
      <c r="P871" s="160"/>
    </row>
    <row r="872">
      <c r="B872" s="160"/>
      <c r="F872" s="41"/>
      <c r="G872" s="40"/>
      <c r="I872" s="200"/>
      <c r="K872" s="160"/>
      <c r="P872" s="160"/>
    </row>
    <row r="873">
      <c r="B873" s="160"/>
      <c r="F873" s="41"/>
      <c r="G873" s="40"/>
      <c r="I873" s="200"/>
      <c r="K873" s="160"/>
      <c r="P873" s="160"/>
    </row>
    <row r="874">
      <c r="B874" s="160"/>
      <c r="F874" s="41"/>
      <c r="G874" s="40"/>
      <c r="I874" s="200"/>
      <c r="K874" s="160"/>
      <c r="P874" s="160"/>
    </row>
    <row r="875">
      <c r="B875" s="160"/>
      <c r="F875" s="41"/>
      <c r="G875" s="40"/>
      <c r="I875" s="200"/>
      <c r="K875" s="160"/>
      <c r="P875" s="160"/>
    </row>
    <row r="876">
      <c r="B876" s="160"/>
      <c r="F876" s="41"/>
      <c r="G876" s="40"/>
      <c r="I876" s="200"/>
      <c r="K876" s="160"/>
      <c r="P876" s="160"/>
    </row>
    <row r="877">
      <c r="B877" s="160"/>
      <c r="F877" s="41"/>
      <c r="G877" s="40"/>
      <c r="I877" s="200"/>
      <c r="K877" s="160"/>
      <c r="P877" s="160"/>
    </row>
    <row r="878">
      <c r="B878" s="160"/>
      <c r="F878" s="41"/>
      <c r="G878" s="40"/>
      <c r="I878" s="200"/>
      <c r="K878" s="160"/>
      <c r="P878" s="160"/>
    </row>
    <row r="879">
      <c r="B879" s="160"/>
      <c r="F879" s="41"/>
      <c r="G879" s="40"/>
      <c r="I879" s="200"/>
      <c r="K879" s="160"/>
      <c r="P879" s="160"/>
    </row>
    <row r="880">
      <c r="B880" s="160"/>
      <c r="F880" s="41"/>
      <c r="G880" s="40"/>
      <c r="I880" s="200"/>
      <c r="K880" s="160"/>
      <c r="P880" s="160"/>
    </row>
    <row r="881">
      <c r="B881" s="160"/>
      <c r="F881" s="41"/>
      <c r="G881" s="40"/>
      <c r="I881" s="200"/>
      <c r="K881" s="160"/>
      <c r="P881" s="160"/>
    </row>
    <row r="882">
      <c r="B882" s="160"/>
      <c r="F882" s="41"/>
      <c r="G882" s="40"/>
      <c r="I882" s="200"/>
      <c r="K882" s="160"/>
      <c r="P882" s="160"/>
    </row>
    <row r="883">
      <c r="B883" s="160"/>
      <c r="F883" s="41"/>
      <c r="G883" s="40"/>
      <c r="I883" s="200"/>
      <c r="K883" s="160"/>
      <c r="P883" s="160"/>
    </row>
    <row r="884">
      <c r="B884" s="160"/>
      <c r="F884" s="41"/>
      <c r="G884" s="40"/>
      <c r="I884" s="200"/>
      <c r="K884" s="160"/>
      <c r="P884" s="160"/>
    </row>
    <row r="885">
      <c r="B885" s="160"/>
      <c r="F885" s="41"/>
      <c r="G885" s="40"/>
      <c r="I885" s="200"/>
      <c r="K885" s="160"/>
      <c r="P885" s="160"/>
    </row>
    <row r="886">
      <c r="B886" s="160"/>
      <c r="F886" s="41"/>
      <c r="G886" s="40"/>
      <c r="I886" s="200"/>
      <c r="K886" s="160"/>
      <c r="P886" s="160"/>
    </row>
    <row r="887">
      <c r="B887" s="160"/>
      <c r="F887" s="41"/>
      <c r="G887" s="40"/>
      <c r="I887" s="200"/>
      <c r="K887" s="160"/>
      <c r="P887" s="160"/>
    </row>
    <row r="888">
      <c r="B888" s="160"/>
      <c r="F888" s="41"/>
      <c r="G888" s="40"/>
      <c r="I888" s="200"/>
      <c r="K888" s="160"/>
      <c r="P888" s="160"/>
    </row>
    <row r="889">
      <c r="B889" s="160"/>
      <c r="F889" s="41"/>
      <c r="G889" s="40"/>
      <c r="I889" s="200"/>
      <c r="K889" s="160"/>
      <c r="P889" s="160"/>
    </row>
    <row r="890">
      <c r="B890" s="160"/>
      <c r="F890" s="41"/>
      <c r="G890" s="40"/>
      <c r="I890" s="200"/>
      <c r="K890" s="160"/>
      <c r="P890" s="160"/>
    </row>
    <row r="891">
      <c r="B891" s="160"/>
      <c r="F891" s="41"/>
      <c r="G891" s="40"/>
      <c r="I891" s="200"/>
      <c r="K891" s="160"/>
      <c r="P891" s="160"/>
    </row>
    <row r="892">
      <c r="B892" s="160"/>
      <c r="F892" s="41"/>
      <c r="G892" s="40"/>
      <c r="I892" s="200"/>
      <c r="K892" s="160"/>
      <c r="P892" s="160"/>
    </row>
    <row r="893">
      <c r="B893" s="160"/>
      <c r="F893" s="41"/>
      <c r="G893" s="40"/>
      <c r="I893" s="200"/>
      <c r="K893" s="160"/>
      <c r="P893" s="160"/>
    </row>
    <row r="894">
      <c r="B894" s="160"/>
      <c r="F894" s="41"/>
      <c r="G894" s="40"/>
      <c r="I894" s="200"/>
      <c r="K894" s="160"/>
      <c r="P894" s="160"/>
    </row>
    <row r="895">
      <c r="B895" s="160"/>
      <c r="F895" s="41"/>
      <c r="G895" s="40"/>
      <c r="I895" s="200"/>
      <c r="K895" s="160"/>
      <c r="P895" s="160"/>
    </row>
    <row r="896">
      <c r="B896" s="160"/>
      <c r="F896" s="41"/>
      <c r="G896" s="40"/>
      <c r="I896" s="200"/>
      <c r="K896" s="160"/>
      <c r="P896" s="160"/>
    </row>
    <row r="897">
      <c r="B897" s="160"/>
      <c r="F897" s="41"/>
      <c r="G897" s="40"/>
      <c r="I897" s="200"/>
      <c r="K897" s="160"/>
      <c r="P897" s="160"/>
    </row>
    <row r="898">
      <c r="B898" s="160"/>
      <c r="F898" s="41"/>
      <c r="G898" s="40"/>
      <c r="I898" s="200"/>
      <c r="K898" s="160"/>
      <c r="P898" s="160"/>
    </row>
    <row r="899">
      <c r="B899" s="160"/>
      <c r="F899" s="41"/>
      <c r="G899" s="40"/>
      <c r="I899" s="200"/>
      <c r="K899" s="160"/>
      <c r="P899" s="160"/>
    </row>
    <row r="900">
      <c r="B900" s="160"/>
      <c r="F900" s="41"/>
      <c r="G900" s="40"/>
      <c r="I900" s="200"/>
      <c r="K900" s="160"/>
      <c r="P900" s="160"/>
    </row>
    <row r="901">
      <c r="B901" s="160"/>
      <c r="F901" s="41"/>
      <c r="G901" s="40"/>
      <c r="I901" s="200"/>
      <c r="K901" s="160"/>
      <c r="P901" s="160"/>
    </row>
    <row r="902">
      <c r="B902" s="160"/>
      <c r="F902" s="41"/>
      <c r="G902" s="40"/>
      <c r="I902" s="200"/>
      <c r="K902" s="160"/>
      <c r="P902" s="160"/>
    </row>
    <row r="903">
      <c r="B903" s="160"/>
      <c r="F903" s="41"/>
      <c r="G903" s="40"/>
      <c r="I903" s="200"/>
      <c r="K903" s="160"/>
      <c r="P903" s="160"/>
    </row>
    <row r="904">
      <c r="B904" s="160"/>
      <c r="F904" s="41"/>
      <c r="G904" s="40"/>
      <c r="I904" s="200"/>
      <c r="K904" s="160"/>
      <c r="P904" s="160"/>
    </row>
    <row r="905">
      <c r="B905" s="160"/>
      <c r="F905" s="41"/>
      <c r="G905" s="40"/>
      <c r="I905" s="200"/>
      <c r="K905" s="160"/>
      <c r="P905" s="160"/>
    </row>
    <row r="906">
      <c r="B906" s="160"/>
      <c r="F906" s="41"/>
      <c r="G906" s="40"/>
      <c r="I906" s="200"/>
      <c r="K906" s="160"/>
      <c r="P906" s="160"/>
    </row>
    <row r="907">
      <c r="B907" s="160"/>
      <c r="F907" s="41"/>
      <c r="G907" s="40"/>
      <c r="I907" s="200"/>
      <c r="K907" s="160"/>
      <c r="P907" s="160"/>
    </row>
    <row r="908">
      <c r="B908" s="160"/>
      <c r="F908" s="41"/>
      <c r="G908" s="40"/>
      <c r="I908" s="200"/>
      <c r="K908" s="160"/>
      <c r="P908" s="160"/>
    </row>
    <row r="909">
      <c r="B909" s="160"/>
      <c r="F909" s="41"/>
      <c r="G909" s="40"/>
      <c r="I909" s="200"/>
      <c r="K909" s="160"/>
      <c r="P909" s="160"/>
    </row>
    <row r="910">
      <c r="B910" s="160"/>
      <c r="F910" s="41"/>
      <c r="G910" s="40"/>
      <c r="I910" s="200"/>
      <c r="K910" s="160"/>
      <c r="P910" s="160"/>
    </row>
    <row r="911">
      <c r="B911" s="160"/>
      <c r="F911" s="41"/>
      <c r="G911" s="40"/>
      <c r="I911" s="200"/>
      <c r="K911" s="160"/>
      <c r="P911" s="160"/>
    </row>
    <row r="912">
      <c r="B912" s="160"/>
      <c r="F912" s="41"/>
      <c r="G912" s="40"/>
      <c r="I912" s="200"/>
      <c r="K912" s="160"/>
      <c r="P912" s="160"/>
    </row>
    <row r="913">
      <c r="B913" s="160"/>
      <c r="F913" s="41"/>
      <c r="G913" s="40"/>
      <c r="I913" s="200"/>
      <c r="K913" s="160"/>
      <c r="P913" s="160"/>
    </row>
    <row r="914">
      <c r="B914" s="160"/>
      <c r="F914" s="41"/>
      <c r="G914" s="40"/>
      <c r="I914" s="200"/>
      <c r="K914" s="160"/>
      <c r="P914" s="160"/>
    </row>
    <row r="915">
      <c r="B915" s="160"/>
      <c r="F915" s="41"/>
      <c r="G915" s="40"/>
      <c r="I915" s="200"/>
      <c r="K915" s="160"/>
      <c r="P915" s="160"/>
    </row>
    <row r="916">
      <c r="B916" s="160"/>
      <c r="F916" s="41"/>
      <c r="G916" s="40"/>
      <c r="I916" s="200"/>
      <c r="K916" s="160"/>
      <c r="P916" s="160"/>
    </row>
    <row r="917">
      <c r="B917" s="160"/>
      <c r="F917" s="41"/>
      <c r="G917" s="40"/>
      <c r="I917" s="200"/>
      <c r="K917" s="160"/>
      <c r="P917" s="160"/>
    </row>
    <row r="918">
      <c r="B918" s="160"/>
      <c r="F918" s="41"/>
      <c r="G918" s="40"/>
      <c r="I918" s="200"/>
      <c r="K918" s="160"/>
      <c r="P918" s="160"/>
    </row>
    <row r="919">
      <c r="B919" s="160"/>
      <c r="F919" s="41"/>
      <c r="G919" s="40"/>
      <c r="I919" s="200"/>
      <c r="K919" s="160"/>
      <c r="P919" s="160"/>
    </row>
    <row r="920">
      <c r="B920" s="160"/>
      <c r="F920" s="41"/>
      <c r="G920" s="40"/>
      <c r="I920" s="200"/>
      <c r="K920" s="160"/>
      <c r="P920" s="160"/>
    </row>
    <row r="921">
      <c r="B921" s="160"/>
      <c r="F921" s="41"/>
      <c r="G921" s="40"/>
      <c r="I921" s="200"/>
      <c r="K921" s="160"/>
      <c r="P921" s="160"/>
    </row>
    <row r="922">
      <c r="B922" s="160"/>
      <c r="F922" s="41"/>
      <c r="G922" s="40"/>
      <c r="I922" s="200"/>
      <c r="K922" s="160"/>
      <c r="P922" s="160"/>
    </row>
    <row r="923">
      <c r="B923" s="160"/>
      <c r="F923" s="41"/>
      <c r="G923" s="40"/>
      <c r="I923" s="200"/>
      <c r="K923" s="160"/>
      <c r="P923" s="160"/>
    </row>
    <row r="924">
      <c r="B924" s="160"/>
      <c r="F924" s="41"/>
      <c r="G924" s="40"/>
      <c r="I924" s="200"/>
      <c r="K924" s="160"/>
      <c r="P924" s="160"/>
    </row>
    <row r="925">
      <c r="B925" s="160"/>
      <c r="F925" s="41"/>
      <c r="G925" s="40"/>
      <c r="I925" s="200"/>
      <c r="K925" s="160"/>
      <c r="P925" s="160"/>
    </row>
    <row r="926">
      <c r="B926" s="160"/>
      <c r="F926" s="41"/>
      <c r="G926" s="40"/>
      <c r="I926" s="200"/>
      <c r="K926" s="160"/>
      <c r="P926" s="160"/>
    </row>
    <row r="927">
      <c r="B927" s="160"/>
      <c r="F927" s="41"/>
      <c r="G927" s="40"/>
      <c r="I927" s="200"/>
      <c r="K927" s="160"/>
      <c r="P927" s="160"/>
    </row>
    <row r="928">
      <c r="B928" s="160"/>
      <c r="F928" s="41"/>
      <c r="G928" s="40"/>
      <c r="I928" s="200"/>
      <c r="K928" s="160"/>
      <c r="P928" s="160"/>
    </row>
    <row r="929">
      <c r="B929" s="160"/>
      <c r="F929" s="41"/>
      <c r="G929" s="40"/>
      <c r="I929" s="200"/>
      <c r="K929" s="160"/>
      <c r="P929" s="160"/>
    </row>
    <row r="930">
      <c r="B930" s="160"/>
      <c r="F930" s="41"/>
      <c r="G930" s="40"/>
      <c r="I930" s="200"/>
      <c r="K930" s="160"/>
      <c r="P930" s="160"/>
    </row>
    <row r="931">
      <c r="B931" s="160"/>
      <c r="F931" s="41"/>
      <c r="G931" s="40"/>
      <c r="I931" s="200"/>
      <c r="K931" s="160"/>
      <c r="P931" s="160"/>
    </row>
    <row r="932">
      <c r="B932" s="160"/>
      <c r="F932" s="41"/>
      <c r="G932" s="40"/>
      <c r="I932" s="200"/>
      <c r="K932" s="160"/>
      <c r="P932" s="160"/>
    </row>
    <row r="933">
      <c r="B933" s="160"/>
      <c r="F933" s="41"/>
      <c r="G933" s="40"/>
      <c r="I933" s="200"/>
      <c r="K933" s="160"/>
      <c r="P933" s="160"/>
    </row>
    <row r="934">
      <c r="B934" s="160"/>
      <c r="F934" s="41"/>
      <c r="G934" s="40"/>
      <c r="I934" s="200"/>
      <c r="K934" s="160"/>
      <c r="P934" s="160"/>
    </row>
    <row r="935">
      <c r="B935" s="160"/>
      <c r="F935" s="41"/>
      <c r="G935" s="40"/>
      <c r="I935" s="200"/>
      <c r="K935" s="160"/>
      <c r="P935" s="160"/>
    </row>
    <row r="936">
      <c r="B936" s="160"/>
      <c r="F936" s="41"/>
      <c r="G936" s="40"/>
      <c r="I936" s="200"/>
      <c r="K936" s="160"/>
      <c r="P936" s="160"/>
    </row>
    <row r="937">
      <c r="B937" s="160"/>
      <c r="F937" s="41"/>
      <c r="G937" s="40"/>
      <c r="I937" s="200"/>
      <c r="K937" s="160"/>
      <c r="P937" s="160"/>
    </row>
    <row r="938">
      <c r="B938" s="160"/>
      <c r="F938" s="41"/>
      <c r="G938" s="40"/>
      <c r="I938" s="200"/>
      <c r="K938" s="160"/>
      <c r="P938" s="160"/>
    </row>
    <row r="939">
      <c r="B939" s="160"/>
      <c r="F939" s="41"/>
      <c r="G939" s="40"/>
      <c r="I939" s="200"/>
      <c r="K939" s="160"/>
      <c r="P939" s="160"/>
    </row>
    <row r="940">
      <c r="B940" s="160"/>
      <c r="F940" s="41"/>
      <c r="G940" s="40"/>
      <c r="I940" s="200"/>
      <c r="K940" s="160"/>
      <c r="P940" s="160"/>
    </row>
    <row r="941">
      <c r="B941" s="160"/>
      <c r="F941" s="41"/>
      <c r="G941" s="40"/>
      <c r="I941" s="200"/>
      <c r="K941" s="160"/>
      <c r="P941" s="160"/>
    </row>
    <row r="942">
      <c r="B942" s="160"/>
      <c r="F942" s="41"/>
      <c r="G942" s="40"/>
      <c r="I942" s="200"/>
      <c r="K942" s="160"/>
      <c r="P942" s="160"/>
    </row>
    <row r="943">
      <c r="B943" s="160"/>
      <c r="F943" s="41"/>
      <c r="G943" s="40"/>
      <c r="I943" s="200"/>
      <c r="K943" s="160"/>
      <c r="P943" s="160"/>
    </row>
    <row r="944">
      <c r="B944" s="160"/>
      <c r="F944" s="41"/>
      <c r="G944" s="40"/>
      <c r="I944" s="200"/>
      <c r="K944" s="160"/>
      <c r="P944" s="160"/>
    </row>
    <row r="945">
      <c r="B945" s="160"/>
      <c r="F945" s="41"/>
      <c r="G945" s="40"/>
      <c r="I945" s="200"/>
      <c r="K945" s="160"/>
      <c r="P945" s="160"/>
    </row>
    <row r="946">
      <c r="B946" s="160"/>
      <c r="F946" s="41"/>
      <c r="G946" s="40"/>
      <c r="I946" s="200"/>
      <c r="K946" s="160"/>
      <c r="P946" s="160"/>
    </row>
    <row r="947">
      <c r="B947" s="160"/>
      <c r="F947" s="41"/>
      <c r="G947" s="40"/>
      <c r="I947" s="200"/>
      <c r="K947" s="160"/>
      <c r="P947" s="160"/>
    </row>
    <row r="948">
      <c r="B948" s="160"/>
      <c r="F948" s="41"/>
      <c r="G948" s="40"/>
      <c r="I948" s="200"/>
      <c r="K948" s="160"/>
      <c r="P948" s="160"/>
    </row>
    <row r="949">
      <c r="B949" s="160"/>
      <c r="F949" s="41"/>
      <c r="G949" s="40"/>
      <c r="I949" s="200"/>
      <c r="K949" s="160"/>
      <c r="P949" s="160"/>
    </row>
    <row r="950">
      <c r="B950" s="160"/>
      <c r="F950" s="41"/>
      <c r="G950" s="40"/>
      <c r="I950" s="200"/>
      <c r="K950" s="160"/>
      <c r="P950" s="160"/>
    </row>
    <row r="951">
      <c r="B951" s="160"/>
      <c r="F951" s="41"/>
      <c r="G951" s="40"/>
      <c r="I951" s="200"/>
      <c r="K951" s="160"/>
      <c r="P951" s="160"/>
    </row>
    <row r="952">
      <c r="B952" s="160"/>
      <c r="F952" s="41"/>
      <c r="G952" s="40"/>
      <c r="I952" s="200"/>
      <c r="K952" s="160"/>
      <c r="P952" s="160"/>
    </row>
    <row r="953">
      <c r="B953" s="160"/>
      <c r="F953" s="41"/>
      <c r="G953" s="40"/>
      <c r="I953" s="200"/>
      <c r="K953" s="160"/>
      <c r="P953" s="160"/>
    </row>
    <row r="954">
      <c r="B954" s="160"/>
      <c r="F954" s="41"/>
      <c r="G954" s="40"/>
      <c r="I954" s="200"/>
      <c r="K954" s="160"/>
      <c r="P954" s="160"/>
    </row>
    <row r="955">
      <c r="B955" s="160"/>
      <c r="F955" s="41"/>
      <c r="G955" s="40"/>
      <c r="I955" s="200"/>
      <c r="K955" s="160"/>
      <c r="P955" s="160"/>
    </row>
    <row r="956">
      <c r="B956" s="160"/>
      <c r="F956" s="41"/>
      <c r="G956" s="40"/>
      <c r="I956" s="200"/>
      <c r="K956" s="160"/>
      <c r="P956" s="160"/>
    </row>
    <row r="957">
      <c r="B957" s="160"/>
      <c r="F957" s="41"/>
      <c r="G957" s="40"/>
      <c r="I957" s="200"/>
      <c r="K957" s="160"/>
      <c r="P957" s="160"/>
    </row>
    <row r="958">
      <c r="B958" s="160"/>
      <c r="F958" s="41"/>
      <c r="G958" s="40"/>
      <c r="I958" s="200"/>
      <c r="K958" s="160"/>
      <c r="P958" s="160"/>
    </row>
    <row r="959">
      <c r="B959" s="160"/>
      <c r="F959" s="41"/>
      <c r="G959" s="40"/>
      <c r="I959" s="200"/>
      <c r="K959" s="160"/>
      <c r="P959" s="160"/>
    </row>
    <row r="960">
      <c r="B960" s="160"/>
      <c r="F960" s="41"/>
      <c r="G960" s="40"/>
      <c r="I960" s="200"/>
      <c r="K960" s="160"/>
      <c r="P960" s="160"/>
    </row>
    <row r="961">
      <c r="B961" s="160"/>
      <c r="F961" s="41"/>
      <c r="G961" s="40"/>
      <c r="I961" s="200"/>
      <c r="K961" s="160"/>
      <c r="P961" s="160"/>
    </row>
    <row r="962">
      <c r="B962" s="160"/>
      <c r="F962" s="41"/>
      <c r="G962" s="40"/>
      <c r="I962" s="200"/>
      <c r="K962" s="160"/>
      <c r="P962" s="160"/>
    </row>
    <row r="963">
      <c r="B963" s="160"/>
      <c r="F963" s="41"/>
      <c r="G963" s="40"/>
      <c r="I963" s="200"/>
      <c r="K963" s="160"/>
      <c r="P963" s="160"/>
    </row>
    <row r="964">
      <c r="B964" s="160"/>
      <c r="F964" s="41"/>
      <c r="G964" s="40"/>
      <c r="I964" s="200"/>
      <c r="K964" s="160"/>
      <c r="P964" s="160"/>
    </row>
    <row r="965">
      <c r="B965" s="160"/>
      <c r="F965" s="41"/>
      <c r="G965" s="40"/>
      <c r="I965" s="200"/>
      <c r="K965" s="160"/>
      <c r="P965" s="160"/>
    </row>
    <row r="966">
      <c r="B966" s="160"/>
      <c r="F966" s="41"/>
      <c r="G966" s="40"/>
      <c r="I966" s="200"/>
      <c r="K966" s="160"/>
      <c r="P966" s="160"/>
    </row>
    <row r="967">
      <c r="B967" s="160"/>
      <c r="F967" s="41"/>
      <c r="G967" s="40"/>
      <c r="I967" s="200"/>
      <c r="K967" s="160"/>
      <c r="P967" s="160"/>
    </row>
    <row r="968">
      <c r="B968" s="160"/>
      <c r="F968" s="41"/>
      <c r="G968" s="40"/>
      <c r="I968" s="200"/>
      <c r="K968" s="160"/>
      <c r="P968" s="160"/>
    </row>
    <row r="969">
      <c r="B969" s="160"/>
      <c r="F969" s="41"/>
      <c r="G969" s="40"/>
      <c r="I969" s="200"/>
      <c r="K969" s="160"/>
      <c r="P969" s="160"/>
    </row>
    <row r="970">
      <c r="B970" s="160"/>
      <c r="F970" s="41"/>
      <c r="G970" s="40"/>
      <c r="I970" s="200"/>
      <c r="K970" s="160"/>
      <c r="P970" s="160"/>
    </row>
    <row r="971">
      <c r="B971" s="160"/>
      <c r="F971" s="41"/>
      <c r="G971" s="40"/>
      <c r="I971" s="200"/>
      <c r="K971" s="160"/>
      <c r="P971" s="160"/>
    </row>
    <row r="972">
      <c r="B972" s="160"/>
      <c r="F972" s="41"/>
      <c r="G972" s="40"/>
      <c r="I972" s="200"/>
      <c r="K972" s="160"/>
      <c r="P972" s="160"/>
    </row>
    <row r="973">
      <c r="B973" s="160"/>
      <c r="F973" s="41"/>
      <c r="G973" s="40"/>
      <c r="I973" s="200"/>
      <c r="K973" s="160"/>
      <c r="P973" s="160"/>
    </row>
    <row r="974">
      <c r="B974" s="160"/>
      <c r="F974" s="41"/>
      <c r="G974" s="40"/>
      <c r="I974" s="200"/>
      <c r="K974" s="160"/>
      <c r="P974" s="160"/>
    </row>
    <row r="975">
      <c r="B975" s="160"/>
      <c r="F975" s="41"/>
      <c r="G975" s="40"/>
      <c r="I975" s="200"/>
      <c r="K975" s="160"/>
      <c r="P975" s="160"/>
    </row>
    <row r="976">
      <c r="B976" s="160"/>
      <c r="F976" s="41"/>
      <c r="G976" s="40"/>
      <c r="I976" s="200"/>
      <c r="K976" s="160"/>
      <c r="P976" s="160"/>
    </row>
    <row r="977">
      <c r="B977" s="160"/>
      <c r="F977" s="41"/>
      <c r="G977" s="40"/>
      <c r="I977" s="200"/>
      <c r="K977" s="160"/>
      <c r="P977" s="160"/>
    </row>
    <row r="978">
      <c r="B978" s="160"/>
      <c r="F978" s="41"/>
      <c r="G978" s="40"/>
      <c r="I978" s="200"/>
      <c r="K978" s="160"/>
      <c r="P978" s="160"/>
    </row>
    <row r="979">
      <c r="B979" s="160"/>
      <c r="F979" s="41"/>
      <c r="G979" s="40"/>
      <c r="I979" s="200"/>
      <c r="K979" s="160"/>
      <c r="P979" s="160"/>
    </row>
    <row r="980">
      <c r="B980" s="160"/>
      <c r="F980" s="41"/>
      <c r="G980" s="40"/>
      <c r="I980" s="200"/>
      <c r="K980" s="160"/>
      <c r="P980" s="160"/>
    </row>
    <row r="981">
      <c r="B981" s="160"/>
      <c r="F981" s="41"/>
      <c r="G981" s="40"/>
      <c r="I981" s="200"/>
      <c r="K981" s="160"/>
      <c r="P981" s="160"/>
    </row>
    <row r="982">
      <c r="B982" s="160"/>
      <c r="F982" s="41"/>
      <c r="G982" s="40"/>
      <c r="I982" s="200"/>
      <c r="K982" s="160"/>
      <c r="P982" s="160"/>
    </row>
    <row r="983">
      <c r="B983" s="160"/>
      <c r="F983" s="41"/>
      <c r="G983" s="40"/>
      <c r="I983" s="200"/>
      <c r="K983" s="160"/>
      <c r="P983" s="160"/>
    </row>
    <row r="984">
      <c r="B984" s="160"/>
      <c r="F984" s="41"/>
      <c r="G984" s="40"/>
      <c r="I984" s="200"/>
      <c r="K984" s="160"/>
      <c r="P984" s="160"/>
    </row>
    <row r="985">
      <c r="B985" s="160"/>
      <c r="F985" s="41"/>
      <c r="G985" s="40"/>
      <c r="I985" s="200"/>
      <c r="K985" s="160"/>
      <c r="P985" s="160"/>
    </row>
    <row r="986">
      <c r="B986" s="160"/>
      <c r="F986" s="41"/>
      <c r="G986" s="40"/>
      <c r="I986" s="200"/>
      <c r="K986" s="160"/>
      <c r="P986" s="160"/>
    </row>
    <row r="987">
      <c r="B987" s="160"/>
      <c r="F987" s="41"/>
      <c r="G987" s="40"/>
      <c r="I987" s="200"/>
      <c r="K987" s="160"/>
      <c r="P987" s="160"/>
    </row>
    <row r="988">
      <c r="B988" s="160"/>
      <c r="F988" s="41"/>
      <c r="G988" s="40"/>
      <c r="I988" s="200"/>
      <c r="K988" s="160"/>
      <c r="P988" s="160"/>
    </row>
    <row r="989">
      <c r="B989" s="160"/>
      <c r="F989" s="41"/>
      <c r="G989" s="40"/>
      <c r="I989" s="200"/>
      <c r="K989" s="160"/>
      <c r="P989" s="160"/>
    </row>
    <row r="990">
      <c r="B990" s="160"/>
      <c r="F990" s="41"/>
      <c r="G990" s="40"/>
      <c r="I990" s="200"/>
      <c r="K990" s="160"/>
      <c r="P990" s="160"/>
    </row>
    <row r="991">
      <c r="B991" s="160"/>
      <c r="F991" s="41"/>
      <c r="G991" s="40"/>
      <c r="I991" s="200"/>
      <c r="K991" s="160"/>
      <c r="P991" s="160"/>
    </row>
    <row r="992">
      <c r="B992" s="160"/>
      <c r="F992" s="41"/>
      <c r="G992" s="40"/>
      <c r="I992" s="200"/>
      <c r="K992" s="160"/>
      <c r="P992" s="160"/>
    </row>
    <row r="993">
      <c r="B993" s="160"/>
      <c r="F993" s="41"/>
      <c r="G993" s="40"/>
      <c r="I993" s="200"/>
      <c r="K993" s="160"/>
      <c r="P993" s="160"/>
    </row>
    <row r="994">
      <c r="B994" s="160"/>
      <c r="F994" s="41"/>
      <c r="G994" s="40"/>
      <c r="I994" s="200"/>
      <c r="K994" s="160"/>
      <c r="P994" s="160"/>
    </row>
    <row r="995">
      <c r="B995" s="160"/>
      <c r="F995" s="41"/>
      <c r="G995" s="40"/>
      <c r="I995" s="200"/>
      <c r="K995" s="160"/>
      <c r="P995" s="160"/>
    </row>
    <row r="996">
      <c r="B996" s="160"/>
      <c r="F996" s="41"/>
      <c r="G996" s="40"/>
      <c r="I996" s="200"/>
      <c r="K996" s="160"/>
      <c r="P996" s="160"/>
    </row>
    <row r="997">
      <c r="B997" s="160"/>
      <c r="F997" s="41"/>
      <c r="G997" s="40"/>
      <c r="I997" s="200"/>
      <c r="K997" s="160"/>
      <c r="P997" s="160"/>
    </row>
    <row r="998">
      <c r="B998" s="160"/>
      <c r="F998" s="41"/>
      <c r="G998" s="40"/>
      <c r="I998" s="200"/>
      <c r="K998" s="160"/>
      <c r="P998" s="160"/>
    </row>
    <row r="999">
      <c r="B999" s="160"/>
      <c r="F999" s="41"/>
      <c r="G999" s="40"/>
      <c r="I999" s="200"/>
      <c r="K999" s="160"/>
      <c r="P999" s="160"/>
    </row>
    <row r="1000">
      <c r="B1000" s="160"/>
      <c r="F1000" s="41"/>
      <c r="G1000" s="40"/>
      <c r="I1000" s="200"/>
      <c r="K1000" s="160"/>
      <c r="P1000" s="160"/>
    </row>
    <row r="1001">
      <c r="B1001" s="160"/>
      <c r="F1001" s="41"/>
      <c r="G1001" s="40"/>
      <c r="I1001" s="200"/>
      <c r="K1001" s="160"/>
      <c r="P1001" s="160"/>
    </row>
    <row r="1002">
      <c r="B1002" s="160"/>
      <c r="F1002" s="41"/>
      <c r="G1002" s="40"/>
      <c r="K1002" s="160"/>
      <c r="P1002" s="160"/>
    </row>
    <row r="1003">
      <c r="B1003" s="160"/>
      <c r="F1003" s="41"/>
      <c r="G1003" s="40"/>
      <c r="K1003" s="160"/>
      <c r="P1003" s="160"/>
    </row>
    <row r="1004">
      <c r="B1004" s="160"/>
      <c r="F1004" s="41"/>
      <c r="G1004" s="40"/>
      <c r="K1004" s="160"/>
      <c r="P1004" s="160"/>
    </row>
    <row r="1005">
      <c r="B1005" s="160"/>
      <c r="F1005" s="41"/>
      <c r="G1005" s="40"/>
      <c r="K1005" s="160"/>
      <c r="P1005" s="160"/>
    </row>
    <row r="1006">
      <c r="B1006" s="160"/>
      <c r="F1006" s="41"/>
      <c r="G1006" s="40"/>
      <c r="K1006" s="160"/>
      <c r="P1006" s="160"/>
    </row>
    <row r="1007">
      <c r="B1007" s="160"/>
      <c r="F1007" s="41"/>
      <c r="G1007" s="40"/>
      <c r="K1007" s="160"/>
      <c r="P1007" s="160"/>
    </row>
    <row r="1008">
      <c r="B1008" s="160"/>
      <c r="F1008" s="41"/>
      <c r="G1008" s="40"/>
      <c r="K1008" s="160"/>
      <c r="P1008" s="160"/>
    </row>
    <row r="1009">
      <c r="B1009" s="160"/>
      <c r="F1009" s="41"/>
      <c r="G1009" s="40"/>
      <c r="K1009" s="160"/>
      <c r="P1009" s="160"/>
    </row>
    <row r="1010">
      <c r="B1010" s="160"/>
      <c r="F1010" s="41"/>
      <c r="G1010" s="40"/>
      <c r="K1010" s="160"/>
      <c r="P1010" s="160"/>
    </row>
    <row r="1011">
      <c r="B1011" s="160"/>
      <c r="F1011" s="41"/>
      <c r="G1011" s="40"/>
      <c r="K1011" s="160"/>
      <c r="P1011" s="160"/>
    </row>
    <row r="1012">
      <c r="B1012" s="160"/>
      <c r="F1012" s="41"/>
      <c r="G1012" s="40"/>
      <c r="K1012" s="160"/>
      <c r="P1012" s="160"/>
    </row>
    <row r="1013">
      <c r="B1013" s="160"/>
      <c r="F1013" s="41"/>
      <c r="G1013" s="40"/>
      <c r="K1013" s="160"/>
      <c r="P1013" s="160"/>
    </row>
    <row r="1014">
      <c r="B1014" s="160"/>
      <c r="F1014" s="41"/>
      <c r="G1014" s="40"/>
      <c r="K1014" s="160"/>
      <c r="P1014" s="160"/>
    </row>
    <row r="1015">
      <c r="B1015" s="160"/>
      <c r="F1015" s="41"/>
      <c r="G1015" s="40"/>
      <c r="K1015" s="160"/>
      <c r="P1015" s="160"/>
    </row>
    <row r="1016">
      <c r="B1016" s="160"/>
      <c r="F1016" s="41"/>
      <c r="G1016" s="40"/>
      <c r="K1016" s="160"/>
      <c r="P1016" s="160"/>
    </row>
    <row r="1017">
      <c r="B1017" s="160"/>
      <c r="F1017" s="41"/>
      <c r="G1017" s="40"/>
      <c r="K1017" s="160"/>
      <c r="P1017" s="160"/>
    </row>
    <row r="1018">
      <c r="B1018" s="160"/>
      <c r="F1018" s="41"/>
      <c r="G1018" s="40"/>
      <c r="K1018" s="160"/>
      <c r="P1018" s="160"/>
    </row>
    <row r="1019">
      <c r="B1019" s="160"/>
      <c r="F1019" s="41"/>
      <c r="G1019" s="40"/>
      <c r="K1019" s="160"/>
      <c r="P1019" s="160"/>
    </row>
    <row r="1020">
      <c r="B1020" s="160"/>
      <c r="F1020" s="41"/>
      <c r="G1020" s="40"/>
      <c r="K1020" s="160"/>
      <c r="P1020" s="160"/>
    </row>
    <row r="1021">
      <c r="B1021" s="160"/>
      <c r="F1021" s="41"/>
      <c r="G1021" s="40"/>
      <c r="K1021" s="160"/>
      <c r="P1021" s="160"/>
    </row>
    <row r="1022">
      <c r="B1022" s="160"/>
      <c r="F1022" s="41"/>
      <c r="G1022" s="40"/>
      <c r="K1022" s="160"/>
      <c r="P1022" s="160"/>
    </row>
    <row r="1023">
      <c r="B1023" s="160"/>
      <c r="F1023" s="41"/>
      <c r="G1023" s="40"/>
      <c r="K1023" s="160"/>
      <c r="P1023" s="160"/>
    </row>
    <row r="1024">
      <c r="B1024" s="160"/>
      <c r="F1024" s="41"/>
      <c r="G1024" s="40"/>
      <c r="K1024" s="160"/>
      <c r="P1024" s="160"/>
    </row>
    <row r="1025">
      <c r="B1025" s="160"/>
      <c r="F1025" s="41"/>
      <c r="G1025" s="40"/>
      <c r="K1025" s="160"/>
      <c r="P1025" s="160"/>
    </row>
    <row r="1026">
      <c r="B1026" s="160"/>
      <c r="F1026" s="41"/>
      <c r="G1026" s="40"/>
      <c r="K1026" s="160"/>
      <c r="P1026" s="160"/>
    </row>
    <row r="1027">
      <c r="B1027" s="160"/>
      <c r="F1027" s="41"/>
      <c r="G1027" s="40"/>
      <c r="K1027" s="160"/>
      <c r="P1027" s="160"/>
    </row>
    <row r="1028">
      <c r="B1028" s="160"/>
      <c r="F1028" s="41"/>
      <c r="G1028" s="40"/>
      <c r="K1028" s="160"/>
      <c r="P1028" s="160"/>
    </row>
    <row r="1029">
      <c r="B1029" s="160"/>
      <c r="F1029" s="41"/>
      <c r="G1029" s="40"/>
      <c r="K1029" s="160"/>
      <c r="P1029" s="160"/>
    </row>
    <row r="1030">
      <c r="B1030" s="160"/>
      <c r="F1030" s="41"/>
      <c r="G1030" s="40"/>
      <c r="K1030" s="160"/>
      <c r="P1030" s="160"/>
    </row>
    <row r="1031">
      <c r="B1031" s="160"/>
      <c r="F1031" s="41"/>
      <c r="G1031" s="40"/>
      <c r="K1031" s="160"/>
      <c r="P1031" s="160"/>
    </row>
    <row r="1032">
      <c r="B1032" s="160"/>
      <c r="F1032" s="41"/>
      <c r="G1032" s="40"/>
      <c r="K1032" s="160"/>
      <c r="P1032" s="160"/>
    </row>
    <row r="1033">
      <c r="B1033" s="160"/>
      <c r="F1033" s="41"/>
      <c r="G1033" s="40"/>
      <c r="K1033" s="160"/>
      <c r="P1033" s="160"/>
    </row>
    <row r="1034">
      <c r="B1034" s="160"/>
      <c r="F1034" s="41"/>
      <c r="G1034" s="40"/>
      <c r="K1034" s="160"/>
      <c r="P1034" s="160"/>
    </row>
    <row r="1035">
      <c r="B1035" s="160"/>
      <c r="F1035" s="41"/>
      <c r="G1035" s="40"/>
      <c r="K1035" s="160"/>
      <c r="P1035" s="160"/>
    </row>
    <row r="1036">
      <c r="B1036" s="160"/>
      <c r="F1036" s="41"/>
      <c r="G1036" s="40"/>
      <c r="K1036" s="160"/>
      <c r="P1036" s="160"/>
    </row>
    <row r="1037">
      <c r="B1037" s="160"/>
      <c r="F1037" s="41"/>
      <c r="G1037" s="40"/>
      <c r="K1037" s="160"/>
      <c r="P1037" s="160"/>
    </row>
    <row r="1038">
      <c r="B1038" s="160"/>
      <c r="F1038" s="41"/>
      <c r="G1038" s="40"/>
      <c r="K1038" s="160"/>
      <c r="P1038" s="160"/>
    </row>
    <row r="1039">
      <c r="B1039" s="160"/>
      <c r="F1039" s="41"/>
      <c r="G1039" s="40"/>
      <c r="K1039" s="160"/>
      <c r="P1039" s="160"/>
    </row>
    <row r="1040">
      <c r="B1040" s="160"/>
      <c r="F1040" s="41"/>
      <c r="G1040" s="40"/>
      <c r="K1040" s="160"/>
      <c r="P1040" s="160"/>
    </row>
    <row r="1041">
      <c r="B1041" s="160"/>
      <c r="F1041" s="41"/>
      <c r="G1041" s="40"/>
      <c r="K1041" s="160"/>
      <c r="P1041" s="160"/>
    </row>
    <row r="1042">
      <c r="B1042" s="160"/>
      <c r="F1042" s="41"/>
      <c r="G1042" s="40"/>
      <c r="K1042" s="160"/>
      <c r="P1042" s="160"/>
    </row>
    <row r="1043">
      <c r="B1043" s="160"/>
      <c r="F1043" s="41"/>
      <c r="G1043" s="40"/>
      <c r="K1043" s="160"/>
      <c r="P1043" s="160"/>
    </row>
    <row r="1044">
      <c r="B1044" s="160"/>
      <c r="F1044" s="41"/>
      <c r="G1044" s="40"/>
      <c r="K1044" s="160"/>
      <c r="P1044" s="160"/>
    </row>
    <row r="1045">
      <c r="B1045" s="160"/>
      <c r="F1045" s="41"/>
      <c r="G1045" s="40"/>
      <c r="K1045" s="160"/>
      <c r="P1045" s="160"/>
    </row>
    <row r="1046">
      <c r="B1046" s="160"/>
      <c r="F1046" s="41"/>
      <c r="G1046" s="40"/>
      <c r="K1046" s="160"/>
      <c r="P1046" s="160"/>
    </row>
    <row r="1047">
      <c r="B1047" s="160"/>
      <c r="F1047" s="41"/>
      <c r="G1047" s="40"/>
      <c r="K1047" s="160"/>
      <c r="P1047" s="160"/>
    </row>
    <row r="1048">
      <c r="B1048" s="160"/>
      <c r="F1048" s="41"/>
      <c r="G1048" s="40"/>
      <c r="K1048" s="160"/>
      <c r="P1048" s="160"/>
    </row>
    <row r="1049">
      <c r="B1049" s="160"/>
      <c r="F1049" s="41"/>
      <c r="G1049" s="40"/>
      <c r="K1049" s="160"/>
      <c r="P1049" s="160"/>
    </row>
    <row r="1050">
      <c r="B1050" s="160"/>
      <c r="F1050" s="41"/>
      <c r="G1050" s="40"/>
      <c r="K1050" s="160"/>
      <c r="P1050" s="160"/>
    </row>
    <row r="1051">
      <c r="B1051" s="160"/>
      <c r="F1051" s="41"/>
      <c r="G1051" s="40"/>
      <c r="K1051" s="160"/>
      <c r="P1051" s="160"/>
    </row>
    <row r="1052">
      <c r="B1052" s="160"/>
      <c r="F1052" s="41"/>
      <c r="G1052" s="40"/>
      <c r="K1052" s="160"/>
      <c r="P1052" s="160"/>
    </row>
    <row r="1053">
      <c r="B1053" s="160"/>
      <c r="F1053" s="41"/>
      <c r="G1053" s="40"/>
      <c r="K1053" s="160"/>
      <c r="P1053" s="160"/>
    </row>
    <row r="1054">
      <c r="B1054" s="160"/>
      <c r="F1054" s="41"/>
      <c r="G1054" s="40"/>
      <c r="K1054" s="160"/>
      <c r="P1054" s="160"/>
    </row>
    <row r="1055">
      <c r="B1055" s="160"/>
      <c r="F1055" s="41"/>
      <c r="G1055" s="40"/>
      <c r="K1055" s="160"/>
      <c r="P1055" s="160"/>
    </row>
    <row r="1056">
      <c r="B1056" s="160"/>
      <c r="F1056" s="41"/>
      <c r="G1056" s="40"/>
      <c r="K1056" s="160"/>
      <c r="P1056" s="160"/>
    </row>
    <row r="1057">
      <c r="B1057" s="160"/>
      <c r="F1057" s="41"/>
      <c r="G1057" s="40"/>
      <c r="K1057" s="160"/>
      <c r="P1057" s="160"/>
    </row>
    <row r="1058">
      <c r="B1058" s="160"/>
      <c r="F1058" s="41"/>
      <c r="G1058" s="40"/>
      <c r="K1058" s="160"/>
      <c r="P1058" s="160"/>
    </row>
    <row r="1059">
      <c r="B1059" s="160"/>
      <c r="F1059" s="41"/>
      <c r="G1059" s="40"/>
      <c r="K1059" s="160"/>
      <c r="P1059" s="160"/>
    </row>
    <row r="1060">
      <c r="B1060" s="160"/>
      <c r="F1060" s="41"/>
      <c r="G1060" s="40"/>
      <c r="K1060" s="160"/>
      <c r="P1060" s="160"/>
    </row>
    <row r="1061">
      <c r="B1061" s="160"/>
      <c r="F1061" s="41"/>
      <c r="G1061" s="40"/>
      <c r="K1061" s="160"/>
      <c r="P1061" s="160"/>
    </row>
    <row r="1062">
      <c r="B1062" s="160"/>
      <c r="F1062" s="41"/>
      <c r="G1062" s="40"/>
      <c r="K1062" s="160"/>
      <c r="P1062" s="160"/>
    </row>
    <row r="1063">
      <c r="B1063" s="160"/>
      <c r="F1063" s="41"/>
      <c r="G1063" s="40"/>
      <c r="K1063" s="160"/>
      <c r="P1063" s="160"/>
    </row>
    <row r="1064">
      <c r="B1064" s="160"/>
      <c r="F1064" s="41"/>
      <c r="G1064" s="40"/>
      <c r="K1064" s="160"/>
      <c r="P1064" s="160"/>
    </row>
    <row r="1065">
      <c r="B1065" s="160"/>
      <c r="F1065" s="41"/>
      <c r="G1065" s="40"/>
      <c r="K1065" s="160"/>
      <c r="P1065" s="160"/>
    </row>
    <row r="1066">
      <c r="B1066" s="160"/>
      <c r="F1066" s="41"/>
      <c r="G1066" s="40"/>
      <c r="K1066" s="160"/>
      <c r="P1066" s="160"/>
    </row>
    <row r="1067">
      <c r="B1067" s="160"/>
      <c r="F1067" s="41"/>
      <c r="G1067" s="40"/>
      <c r="K1067" s="160"/>
      <c r="P1067" s="160"/>
    </row>
    <row r="1068">
      <c r="B1068" s="160"/>
      <c r="F1068" s="41"/>
      <c r="G1068" s="40"/>
      <c r="K1068" s="160"/>
      <c r="P1068" s="160"/>
    </row>
    <row r="1069">
      <c r="B1069" s="160"/>
      <c r="F1069" s="41"/>
      <c r="G1069" s="40"/>
      <c r="K1069" s="160"/>
      <c r="P1069" s="160"/>
    </row>
    <row r="1070">
      <c r="B1070" s="160"/>
      <c r="F1070" s="41"/>
      <c r="G1070" s="40"/>
      <c r="K1070" s="160"/>
      <c r="P1070" s="160"/>
    </row>
    <row r="1071">
      <c r="B1071" s="160"/>
      <c r="F1071" s="41"/>
      <c r="G1071" s="40"/>
      <c r="K1071" s="160"/>
      <c r="P1071" s="160"/>
    </row>
    <row r="1072">
      <c r="B1072" s="160"/>
      <c r="F1072" s="41"/>
      <c r="G1072" s="40"/>
      <c r="K1072" s="160"/>
      <c r="P1072" s="160"/>
    </row>
    <row r="1073">
      <c r="B1073" s="160"/>
      <c r="F1073" s="41"/>
      <c r="G1073" s="40"/>
      <c r="K1073" s="160"/>
      <c r="P1073" s="160"/>
    </row>
    <row r="1074">
      <c r="B1074" s="160"/>
      <c r="F1074" s="41"/>
      <c r="G1074" s="40"/>
      <c r="K1074" s="160"/>
      <c r="P1074" s="160"/>
    </row>
    <row r="1075">
      <c r="B1075" s="160"/>
      <c r="F1075" s="41"/>
      <c r="G1075" s="40"/>
      <c r="K1075" s="160"/>
      <c r="P1075" s="160"/>
    </row>
    <row r="1076">
      <c r="B1076" s="160"/>
      <c r="F1076" s="41"/>
      <c r="G1076" s="40"/>
      <c r="K1076" s="160"/>
      <c r="P1076" s="160"/>
    </row>
    <row r="1077">
      <c r="B1077" s="160"/>
      <c r="F1077" s="41"/>
      <c r="G1077" s="40"/>
      <c r="K1077" s="160"/>
      <c r="P1077" s="160"/>
    </row>
    <row r="1078">
      <c r="B1078" s="160"/>
      <c r="F1078" s="41"/>
      <c r="G1078" s="40"/>
      <c r="K1078" s="160"/>
      <c r="P1078" s="160"/>
    </row>
    <row r="1079">
      <c r="B1079" s="160"/>
      <c r="F1079" s="41"/>
      <c r="G1079" s="40"/>
      <c r="K1079" s="160"/>
      <c r="P1079" s="160"/>
    </row>
    <row r="1080">
      <c r="B1080" s="160"/>
      <c r="F1080" s="41"/>
      <c r="G1080" s="40"/>
      <c r="K1080" s="160"/>
      <c r="P1080" s="160"/>
    </row>
    <row r="1081">
      <c r="B1081" s="160"/>
      <c r="F1081" s="41"/>
      <c r="G1081" s="40"/>
      <c r="K1081" s="160"/>
      <c r="P1081" s="160"/>
    </row>
    <row r="1082">
      <c r="B1082" s="160"/>
      <c r="F1082" s="41"/>
      <c r="G1082" s="40"/>
      <c r="K1082" s="160"/>
      <c r="P1082" s="160"/>
    </row>
    <row r="1083">
      <c r="B1083" s="160"/>
      <c r="F1083" s="41"/>
      <c r="G1083" s="40"/>
      <c r="K1083" s="160"/>
      <c r="P1083" s="160"/>
    </row>
    <row r="1084">
      <c r="B1084" s="160"/>
      <c r="F1084" s="41"/>
      <c r="G1084" s="40"/>
      <c r="K1084" s="160"/>
      <c r="P1084" s="160"/>
    </row>
    <row r="1085">
      <c r="B1085" s="160"/>
      <c r="F1085" s="41"/>
      <c r="G1085" s="40"/>
      <c r="K1085" s="160"/>
      <c r="P1085" s="160"/>
    </row>
    <row r="1086">
      <c r="B1086" s="160"/>
      <c r="F1086" s="41"/>
      <c r="G1086" s="40"/>
      <c r="K1086" s="160"/>
      <c r="P1086" s="160"/>
    </row>
    <row r="1087">
      <c r="B1087" s="160"/>
      <c r="F1087" s="41"/>
      <c r="G1087" s="40"/>
      <c r="K1087" s="160"/>
      <c r="P1087" s="160"/>
    </row>
    <row r="1088">
      <c r="B1088" s="160"/>
      <c r="F1088" s="41"/>
      <c r="G1088" s="40"/>
      <c r="K1088" s="160"/>
      <c r="P1088" s="160"/>
    </row>
    <row r="1089">
      <c r="B1089" s="160"/>
      <c r="F1089" s="41"/>
      <c r="G1089" s="40"/>
      <c r="K1089" s="160"/>
      <c r="P1089" s="160"/>
    </row>
    <row r="1090">
      <c r="B1090" s="160"/>
      <c r="F1090" s="41"/>
      <c r="G1090" s="40"/>
      <c r="K1090" s="160"/>
      <c r="P1090" s="160"/>
    </row>
    <row r="1091">
      <c r="B1091" s="160"/>
      <c r="F1091" s="41"/>
      <c r="G1091" s="40"/>
      <c r="K1091" s="160"/>
      <c r="P1091" s="160"/>
    </row>
    <row r="1092">
      <c r="B1092" s="160"/>
      <c r="F1092" s="41"/>
      <c r="G1092" s="40"/>
      <c r="K1092" s="160"/>
      <c r="P1092" s="160"/>
    </row>
    <row r="1093">
      <c r="B1093" s="160"/>
      <c r="F1093" s="41"/>
      <c r="G1093" s="40"/>
      <c r="K1093" s="160"/>
      <c r="P1093" s="160"/>
    </row>
    <row r="1094">
      <c r="B1094" s="160"/>
      <c r="F1094" s="41"/>
      <c r="G1094" s="40"/>
      <c r="K1094" s="160"/>
      <c r="P1094" s="160"/>
    </row>
    <row r="1095">
      <c r="B1095" s="160"/>
      <c r="F1095" s="41"/>
      <c r="G1095" s="40"/>
      <c r="K1095" s="160"/>
      <c r="P1095" s="160"/>
    </row>
    <row r="1096">
      <c r="B1096" s="160"/>
      <c r="F1096" s="41"/>
      <c r="G1096" s="40"/>
      <c r="K1096" s="160"/>
      <c r="P1096" s="160"/>
    </row>
    <row r="1097">
      <c r="B1097" s="160"/>
      <c r="F1097" s="41"/>
      <c r="G1097" s="40"/>
      <c r="K1097" s="160"/>
      <c r="P1097" s="160"/>
    </row>
    <row r="1098">
      <c r="B1098" s="160"/>
      <c r="F1098" s="41"/>
      <c r="G1098" s="40"/>
      <c r="K1098" s="160"/>
      <c r="P1098" s="160"/>
    </row>
    <row r="1099">
      <c r="B1099" s="160"/>
      <c r="F1099" s="41"/>
      <c r="G1099" s="40"/>
      <c r="K1099" s="160"/>
      <c r="P1099" s="160"/>
    </row>
    <row r="1100">
      <c r="B1100" s="160"/>
      <c r="F1100" s="41"/>
      <c r="G1100" s="40"/>
      <c r="K1100" s="160"/>
      <c r="P1100" s="160"/>
    </row>
    <row r="1101">
      <c r="B1101" s="160"/>
      <c r="F1101" s="41"/>
      <c r="G1101" s="40"/>
      <c r="K1101" s="160"/>
      <c r="P1101" s="160"/>
    </row>
    <row r="1102">
      <c r="B1102" s="160"/>
      <c r="F1102" s="41"/>
      <c r="G1102" s="40"/>
      <c r="K1102" s="160"/>
      <c r="P1102" s="160"/>
    </row>
    <row r="1103">
      <c r="B1103" s="160"/>
      <c r="F1103" s="41"/>
      <c r="G1103" s="40"/>
      <c r="K1103" s="160"/>
      <c r="P1103" s="160"/>
    </row>
    <row r="1104">
      <c r="B1104" s="160"/>
      <c r="F1104" s="41"/>
      <c r="G1104" s="40"/>
      <c r="K1104" s="160"/>
      <c r="P1104" s="160"/>
    </row>
    <row r="1105">
      <c r="B1105" s="160"/>
      <c r="F1105" s="41"/>
      <c r="G1105" s="40"/>
      <c r="K1105" s="160"/>
      <c r="P1105" s="160"/>
    </row>
    <row r="1106">
      <c r="B1106" s="160"/>
      <c r="F1106" s="41"/>
      <c r="G1106" s="40"/>
      <c r="K1106" s="160"/>
      <c r="P1106" s="160"/>
    </row>
    <row r="1107">
      <c r="B1107" s="160"/>
      <c r="F1107" s="41"/>
      <c r="G1107" s="40"/>
      <c r="K1107" s="160"/>
      <c r="P1107" s="160"/>
    </row>
    <row r="1108">
      <c r="B1108" s="160"/>
      <c r="F1108" s="41"/>
      <c r="K1108" s="160"/>
      <c r="P1108" s="160"/>
    </row>
    <row r="1109">
      <c r="B1109" s="160"/>
      <c r="F1109" s="41"/>
      <c r="K1109" s="160"/>
      <c r="P1109" s="160"/>
    </row>
    <row r="1110">
      <c r="B1110" s="160"/>
      <c r="F1110" s="41"/>
      <c r="K1110" s="160"/>
      <c r="P1110" s="160"/>
    </row>
    <row r="1111">
      <c r="B1111" s="160"/>
      <c r="F1111" s="41"/>
      <c r="K1111" s="160"/>
      <c r="P1111" s="160"/>
    </row>
    <row r="1112">
      <c r="B1112" s="160"/>
      <c r="F1112" s="41"/>
      <c r="K1112" s="160"/>
      <c r="P1112" s="160"/>
    </row>
    <row r="1113">
      <c r="B1113" s="160"/>
      <c r="F1113" s="41"/>
      <c r="K1113" s="160"/>
      <c r="P1113" s="160"/>
    </row>
    <row r="1114">
      <c r="B1114" s="160"/>
      <c r="F1114" s="41"/>
      <c r="K1114" s="160"/>
      <c r="P1114" s="160"/>
    </row>
    <row r="1115">
      <c r="B1115" s="160"/>
      <c r="F1115" s="41"/>
      <c r="K1115" s="160"/>
      <c r="P1115" s="160"/>
    </row>
    <row r="1116">
      <c r="B1116" s="160"/>
      <c r="F1116" s="41"/>
      <c r="K1116" s="160"/>
      <c r="P1116" s="160"/>
    </row>
    <row r="1117">
      <c r="B1117" s="160"/>
      <c r="F1117" s="41"/>
      <c r="K1117" s="160"/>
      <c r="P1117" s="160"/>
    </row>
    <row r="1118">
      <c r="B1118" s="160"/>
      <c r="F1118" s="41"/>
      <c r="K1118" s="160"/>
      <c r="P1118" s="160"/>
    </row>
    <row r="1119">
      <c r="B1119" s="160"/>
      <c r="F1119" s="41"/>
      <c r="K1119" s="160"/>
      <c r="P1119" s="160"/>
    </row>
    <row r="1120">
      <c r="B1120" s="160"/>
      <c r="F1120" s="41"/>
      <c r="K1120" s="160"/>
      <c r="P1120" s="160"/>
    </row>
    <row r="1121">
      <c r="B1121" s="160"/>
      <c r="F1121" s="41"/>
      <c r="K1121" s="160"/>
      <c r="P1121" s="160"/>
    </row>
    <row r="1122">
      <c r="B1122" s="160"/>
      <c r="F1122" s="41"/>
      <c r="K1122" s="160"/>
      <c r="P1122" s="160"/>
    </row>
    <row r="1123">
      <c r="B1123" s="160"/>
      <c r="F1123" s="41"/>
      <c r="K1123" s="160"/>
      <c r="P1123" s="160"/>
    </row>
    <row r="1124">
      <c r="B1124" s="160"/>
      <c r="F1124" s="41"/>
      <c r="K1124" s="160"/>
      <c r="P1124" s="160"/>
    </row>
    <row r="1125">
      <c r="B1125" s="160"/>
      <c r="F1125" s="41"/>
      <c r="K1125" s="160"/>
      <c r="P1125" s="160"/>
    </row>
    <row r="1126">
      <c r="B1126" s="160"/>
      <c r="F1126" s="41"/>
      <c r="K1126" s="160"/>
      <c r="P1126" s="160"/>
    </row>
    <row r="1127">
      <c r="B1127" s="160"/>
      <c r="F1127" s="41"/>
      <c r="K1127" s="160"/>
      <c r="P1127" s="160"/>
    </row>
    <row r="1128">
      <c r="B1128" s="160"/>
      <c r="F1128" s="41"/>
      <c r="K1128" s="160"/>
      <c r="P1128" s="160"/>
    </row>
    <row r="1129">
      <c r="B1129" s="160"/>
      <c r="F1129" s="41"/>
      <c r="K1129" s="160"/>
      <c r="P1129" s="160"/>
    </row>
    <row r="1130">
      <c r="B1130" s="160"/>
      <c r="F1130" s="41"/>
      <c r="K1130" s="160"/>
      <c r="P1130" s="160"/>
    </row>
    <row r="1131">
      <c r="B1131" s="160"/>
      <c r="F1131" s="41"/>
      <c r="K1131" s="160"/>
      <c r="P1131" s="160"/>
    </row>
    <row r="1132">
      <c r="B1132" s="160"/>
      <c r="F1132" s="41"/>
      <c r="K1132" s="160"/>
      <c r="P1132" s="160"/>
    </row>
    <row r="1133">
      <c r="B1133" s="160"/>
      <c r="F1133" s="41"/>
      <c r="K1133" s="160"/>
      <c r="P1133" s="160"/>
    </row>
    <row r="1134">
      <c r="B1134" s="160"/>
      <c r="F1134" s="41"/>
      <c r="K1134" s="160"/>
      <c r="P1134" s="160"/>
    </row>
    <row r="1135">
      <c r="B1135" s="160"/>
      <c r="F1135" s="41"/>
      <c r="K1135" s="160"/>
      <c r="P1135" s="160"/>
    </row>
    <row r="1136">
      <c r="B1136" s="160"/>
      <c r="F1136" s="41"/>
      <c r="K1136" s="160"/>
      <c r="P1136" s="160"/>
    </row>
    <row r="1137">
      <c r="B1137" s="160"/>
      <c r="F1137" s="41"/>
      <c r="K1137" s="160"/>
      <c r="P1137" s="160"/>
    </row>
    <row r="1138">
      <c r="B1138" s="160"/>
      <c r="F1138" s="41"/>
      <c r="K1138" s="160"/>
      <c r="P1138" s="160"/>
    </row>
    <row r="1139">
      <c r="B1139" s="160"/>
      <c r="F1139" s="41"/>
      <c r="K1139" s="160"/>
      <c r="P1139" s="160"/>
    </row>
    <row r="1140">
      <c r="B1140" s="160"/>
      <c r="F1140" s="41"/>
      <c r="K1140" s="160"/>
      <c r="P1140" s="160"/>
    </row>
    <row r="1141">
      <c r="B1141" s="160"/>
      <c r="F1141" s="41"/>
      <c r="K1141" s="160"/>
      <c r="P1141" s="160"/>
    </row>
    <row r="1142">
      <c r="B1142" s="160"/>
      <c r="F1142" s="41"/>
      <c r="K1142" s="160"/>
      <c r="P1142" s="160"/>
    </row>
    <row r="1143">
      <c r="B1143" s="160"/>
      <c r="F1143" s="41"/>
      <c r="K1143" s="160"/>
      <c r="P1143" s="160"/>
    </row>
    <row r="1144">
      <c r="B1144" s="160"/>
      <c r="F1144" s="41"/>
      <c r="K1144" s="160"/>
      <c r="P1144" s="160"/>
    </row>
    <row r="1145">
      <c r="B1145" s="160"/>
      <c r="F1145" s="41"/>
      <c r="K1145" s="160"/>
      <c r="P1145" s="160"/>
    </row>
    <row r="1146">
      <c r="B1146" s="160"/>
      <c r="F1146" s="41"/>
      <c r="K1146" s="160"/>
      <c r="P1146" s="160"/>
    </row>
    <row r="1147">
      <c r="B1147" s="160"/>
      <c r="F1147" s="41"/>
      <c r="K1147" s="160"/>
      <c r="P1147" s="160"/>
    </row>
    <row r="1148">
      <c r="B1148" s="160"/>
      <c r="F1148" s="41"/>
      <c r="K1148" s="160"/>
      <c r="P1148" s="160"/>
    </row>
    <row r="1149">
      <c r="B1149" s="160"/>
      <c r="F1149" s="41"/>
      <c r="K1149" s="160"/>
      <c r="P1149" s="160"/>
    </row>
    <row r="1150">
      <c r="B1150" s="160"/>
      <c r="F1150" s="41"/>
      <c r="K1150" s="160"/>
      <c r="P1150" s="160"/>
    </row>
    <row r="1151">
      <c r="B1151" s="160"/>
      <c r="F1151" s="41"/>
      <c r="K1151" s="160"/>
      <c r="P1151" s="160"/>
    </row>
    <row r="1152">
      <c r="B1152" s="160"/>
      <c r="F1152" s="41"/>
      <c r="K1152" s="160"/>
      <c r="P1152" s="160"/>
    </row>
    <row r="1153">
      <c r="B1153" s="160"/>
      <c r="F1153" s="41"/>
      <c r="K1153" s="160"/>
      <c r="P1153" s="160"/>
    </row>
    <row r="1154">
      <c r="B1154" s="160"/>
      <c r="F1154" s="41"/>
      <c r="K1154" s="160"/>
      <c r="P1154" s="160"/>
    </row>
    <row r="1155">
      <c r="B1155" s="160"/>
      <c r="F1155" s="41"/>
      <c r="K1155" s="160"/>
      <c r="P1155" s="160"/>
    </row>
    <row r="1156">
      <c r="B1156" s="160"/>
      <c r="F1156" s="41"/>
      <c r="K1156" s="160"/>
      <c r="P1156" s="160"/>
    </row>
    <row r="1157">
      <c r="B1157" s="160"/>
      <c r="F1157" s="41"/>
      <c r="K1157" s="160"/>
      <c r="P1157" s="160"/>
    </row>
    <row r="1158">
      <c r="B1158" s="160"/>
      <c r="F1158" s="41"/>
      <c r="K1158" s="160"/>
      <c r="P1158" s="160"/>
    </row>
    <row r="1159">
      <c r="B1159" s="160"/>
      <c r="F1159" s="41"/>
      <c r="K1159" s="160"/>
      <c r="P1159" s="160"/>
    </row>
    <row r="1160">
      <c r="B1160" s="160"/>
      <c r="F1160" s="41"/>
      <c r="K1160" s="160"/>
      <c r="P1160" s="160"/>
    </row>
    <row r="1161">
      <c r="B1161" s="160"/>
      <c r="F1161" s="41"/>
      <c r="K1161" s="160"/>
      <c r="P1161" s="160"/>
    </row>
    <row r="1162">
      <c r="B1162" s="160"/>
      <c r="F1162" s="41"/>
      <c r="K1162" s="160"/>
      <c r="P1162" s="160"/>
    </row>
    <row r="1163">
      <c r="B1163" s="160"/>
      <c r="F1163" s="41"/>
      <c r="K1163" s="160"/>
      <c r="P1163" s="160"/>
    </row>
    <row r="1164">
      <c r="B1164" s="160"/>
      <c r="F1164" s="41"/>
      <c r="K1164" s="160"/>
      <c r="P1164" s="160"/>
    </row>
    <row r="1165">
      <c r="B1165" s="160"/>
      <c r="F1165" s="41"/>
      <c r="K1165" s="160"/>
      <c r="P1165" s="160"/>
    </row>
    <row r="1166">
      <c r="B1166" s="160"/>
      <c r="F1166" s="41"/>
      <c r="K1166" s="160"/>
      <c r="P1166" s="160"/>
    </row>
    <row r="1167">
      <c r="B1167" s="160"/>
      <c r="F1167" s="41"/>
      <c r="K1167" s="160"/>
      <c r="P1167" s="160"/>
    </row>
    <row r="1168">
      <c r="B1168" s="160"/>
      <c r="F1168" s="41"/>
      <c r="K1168" s="160"/>
      <c r="P1168" s="160"/>
    </row>
    <row r="1169">
      <c r="B1169" s="160"/>
      <c r="F1169" s="41"/>
      <c r="K1169" s="160"/>
      <c r="P1169" s="160"/>
    </row>
    <row r="1170">
      <c r="B1170" s="160"/>
      <c r="F1170" s="41"/>
      <c r="K1170" s="160"/>
      <c r="P1170" s="160"/>
    </row>
    <row r="1171">
      <c r="B1171" s="160"/>
      <c r="F1171" s="41"/>
      <c r="K1171" s="160"/>
      <c r="P1171" s="160"/>
    </row>
    <row r="1172">
      <c r="B1172" s="160"/>
      <c r="F1172" s="41"/>
      <c r="K1172" s="160"/>
      <c r="P1172" s="160"/>
    </row>
    <row r="1173">
      <c r="B1173" s="160"/>
      <c r="F1173" s="41"/>
      <c r="K1173" s="160"/>
      <c r="P1173" s="160"/>
    </row>
    <row r="1174">
      <c r="B1174" s="160"/>
      <c r="F1174" s="41"/>
      <c r="K1174" s="160"/>
      <c r="P1174" s="160"/>
    </row>
    <row r="1175">
      <c r="B1175" s="160"/>
      <c r="F1175" s="41"/>
      <c r="K1175" s="160"/>
      <c r="P1175" s="160"/>
    </row>
    <row r="1176">
      <c r="B1176" s="160"/>
      <c r="F1176" s="41"/>
      <c r="K1176" s="160"/>
      <c r="P1176" s="160"/>
    </row>
    <row r="1177">
      <c r="B1177" s="160"/>
      <c r="F1177" s="41"/>
      <c r="K1177" s="160"/>
      <c r="P1177" s="160"/>
    </row>
    <row r="1178">
      <c r="B1178" s="160"/>
      <c r="F1178" s="41"/>
      <c r="K1178" s="160"/>
      <c r="P1178" s="160"/>
    </row>
    <row r="1179">
      <c r="B1179" s="160"/>
      <c r="F1179" s="41"/>
      <c r="K1179" s="160"/>
      <c r="P1179" s="160"/>
    </row>
    <row r="1180">
      <c r="B1180" s="160"/>
      <c r="F1180" s="41"/>
      <c r="K1180" s="160"/>
      <c r="P1180" s="160"/>
    </row>
    <row r="1181">
      <c r="B1181" s="160"/>
      <c r="F1181" s="41"/>
      <c r="K1181" s="160"/>
      <c r="P1181" s="160"/>
    </row>
    <row r="1182">
      <c r="B1182" s="160"/>
      <c r="F1182" s="41"/>
      <c r="K1182" s="160"/>
      <c r="P1182" s="160"/>
    </row>
    <row r="1183">
      <c r="B1183" s="160"/>
      <c r="F1183" s="41"/>
      <c r="K1183" s="160"/>
      <c r="P1183" s="160"/>
    </row>
    <row r="1184">
      <c r="B1184" s="160"/>
      <c r="F1184" s="41"/>
      <c r="K1184" s="160"/>
      <c r="P1184" s="160"/>
    </row>
    <row r="1185">
      <c r="B1185" s="160"/>
      <c r="F1185" s="41"/>
      <c r="K1185" s="160"/>
      <c r="P1185" s="160"/>
    </row>
    <row r="1186">
      <c r="B1186" s="160"/>
      <c r="F1186" s="41"/>
      <c r="K1186" s="160"/>
      <c r="P1186" s="160"/>
    </row>
    <row r="1187">
      <c r="B1187" s="160"/>
      <c r="F1187" s="41"/>
      <c r="K1187" s="160"/>
      <c r="P1187" s="160"/>
    </row>
    <row r="1188">
      <c r="B1188" s="160"/>
      <c r="F1188" s="41"/>
      <c r="K1188" s="160"/>
      <c r="P1188" s="160"/>
    </row>
    <row r="1189">
      <c r="B1189" s="160"/>
      <c r="F1189" s="41"/>
      <c r="K1189" s="160"/>
      <c r="P1189" s="160"/>
    </row>
    <row r="1190">
      <c r="B1190" s="160"/>
      <c r="F1190" s="41"/>
      <c r="K1190" s="160"/>
      <c r="P1190" s="160"/>
    </row>
    <row r="1191">
      <c r="B1191" s="160"/>
      <c r="F1191" s="41"/>
      <c r="K1191" s="160"/>
      <c r="P1191" s="160"/>
    </row>
    <row r="1192">
      <c r="B1192" s="160"/>
      <c r="F1192" s="41"/>
      <c r="K1192" s="160"/>
      <c r="P1192" s="160"/>
    </row>
    <row r="1193">
      <c r="B1193" s="160"/>
      <c r="F1193" s="41"/>
      <c r="K1193" s="160"/>
      <c r="P1193" s="160"/>
    </row>
    <row r="1194">
      <c r="B1194" s="160"/>
      <c r="F1194" s="41"/>
      <c r="K1194" s="160"/>
      <c r="P1194" s="160"/>
    </row>
    <row r="1195">
      <c r="B1195" s="160"/>
      <c r="F1195" s="41"/>
      <c r="K1195" s="160"/>
      <c r="P1195" s="160"/>
    </row>
    <row r="1196">
      <c r="B1196" s="160"/>
      <c r="F1196" s="41"/>
      <c r="K1196" s="160"/>
      <c r="P1196" s="160"/>
    </row>
    <row r="1197">
      <c r="B1197" s="160"/>
      <c r="F1197" s="41"/>
      <c r="K1197" s="160"/>
      <c r="P1197" s="160"/>
    </row>
    <row r="1198">
      <c r="B1198" s="160"/>
      <c r="F1198" s="41"/>
      <c r="K1198" s="160"/>
      <c r="P1198" s="160"/>
    </row>
    <row r="1199">
      <c r="B1199" s="160"/>
      <c r="F1199" s="41"/>
      <c r="K1199" s="160"/>
      <c r="P1199" s="160"/>
    </row>
    <row r="1200">
      <c r="B1200" s="160"/>
      <c r="F1200" s="41"/>
      <c r="K1200" s="160"/>
      <c r="P1200" s="160"/>
    </row>
    <row r="1201">
      <c r="B1201" s="160"/>
      <c r="F1201" s="41"/>
      <c r="K1201" s="160"/>
      <c r="P1201" s="160"/>
    </row>
    <row r="1202">
      <c r="B1202" s="160"/>
      <c r="F1202" s="41"/>
      <c r="K1202" s="160"/>
      <c r="P1202" s="160"/>
    </row>
    <row r="1203">
      <c r="B1203" s="160"/>
      <c r="F1203" s="41"/>
      <c r="K1203" s="160"/>
      <c r="P1203" s="160"/>
    </row>
    <row r="1204">
      <c r="B1204" s="160"/>
      <c r="F1204" s="41"/>
      <c r="K1204" s="160"/>
      <c r="P1204" s="160"/>
    </row>
    <row r="1205">
      <c r="B1205" s="160"/>
      <c r="F1205" s="41"/>
      <c r="K1205" s="160"/>
      <c r="P1205" s="160"/>
    </row>
    <row r="1206">
      <c r="B1206" s="160"/>
      <c r="F1206" s="41"/>
      <c r="K1206" s="160"/>
      <c r="P1206" s="160"/>
    </row>
    <row r="1207">
      <c r="B1207" s="160"/>
      <c r="F1207" s="41"/>
      <c r="K1207" s="160"/>
      <c r="P1207" s="160"/>
    </row>
    <row r="1208">
      <c r="B1208" s="160"/>
      <c r="F1208" s="41"/>
      <c r="K1208" s="160"/>
      <c r="P1208" s="160"/>
    </row>
    <row r="1209">
      <c r="B1209" s="160"/>
      <c r="F1209" s="41"/>
      <c r="K1209" s="160"/>
      <c r="P1209" s="160"/>
    </row>
    <row r="1210">
      <c r="B1210" s="160"/>
      <c r="F1210" s="41"/>
      <c r="K1210" s="160"/>
      <c r="P1210" s="160"/>
    </row>
    <row r="1211">
      <c r="B1211" s="160"/>
      <c r="F1211" s="41"/>
      <c r="K1211" s="160"/>
      <c r="P1211" s="160"/>
    </row>
    <row r="1212">
      <c r="B1212" s="160"/>
      <c r="F1212" s="41"/>
      <c r="K1212" s="160"/>
      <c r="P1212" s="160"/>
    </row>
    <row r="1213">
      <c r="B1213" s="160"/>
      <c r="F1213" s="41"/>
      <c r="K1213" s="160"/>
      <c r="P1213" s="160"/>
    </row>
    <row r="1214">
      <c r="B1214" s="160"/>
      <c r="F1214" s="41"/>
      <c r="K1214" s="160"/>
      <c r="P1214" s="160"/>
    </row>
    <row r="1215">
      <c r="B1215" s="160"/>
      <c r="F1215" s="41"/>
      <c r="K1215" s="160"/>
      <c r="P1215" s="160"/>
    </row>
    <row r="1216">
      <c r="B1216" s="160"/>
      <c r="F1216" s="41"/>
      <c r="K1216" s="160"/>
      <c r="P1216" s="160"/>
    </row>
    <row r="1217">
      <c r="B1217" s="160"/>
      <c r="F1217" s="41"/>
      <c r="K1217" s="160"/>
      <c r="P1217" s="160"/>
    </row>
    <row r="1218">
      <c r="B1218" s="160"/>
      <c r="F1218" s="41"/>
      <c r="K1218" s="160"/>
      <c r="P1218" s="160"/>
    </row>
    <row r="1219">
      <c r="B1219" s="160"/>
      <c r="F1219" s="41"/>
      <c r="K1219" s="160"/>
      <c r="P1219" s="160"/>
    </row>
    <row r="1220">
      <c r="B1220" s="160"/>
      <c r="F1220" s="41"/>
      <c r="K1220" s="160"/>
      <c r="P1220" s="160"/>
    </row>
    <row r="1221">
      <c r="B1221" s="160"/>
      <c r="F1221" s="41"/>
      <c r="K1221" s="160"/>
      <c r="P1221" s="160"/>
    </row>
    <row r="1222">
      <c r="B1222" s="160"/>
      <c r="F1222" s="41"/>
      <c r="K1222" s="160"/>
      <c r="P1222" s="160"/>
    </row>
    <row r="1223">
      <c r="B1223" s="160"/>
      <c r="F1223" s="41"/>
      <c r="K1223" s="160"/>
      <c r="P1223" s="160"/>
    </row>
    <row r="1224">
      <c r="B1224" s="160"/>
      <c r="F1224" s="41"/>
      <c r="K1224" s="160"/>
      <c r="P1224" s="160"/>
    </row>
    <row r="1225">
      <c r="B1225" s="160"/>
      <c r="F1225" s="41"/>
      <c r="K1225" s="160"/>
      <c r="P1225" s="160"/>
    </row>
    <row r="1226">
      <c r="B1226" s="160"/>
      <c r="F1226" s="41"/>
      <c r="K1226" s="160"/>
      <c r="P1226" s="160"/>
    </row>
    <row r="1227">
      <c r="B1227" s="160"/>
      <c r="F1227" s="41"/>
      <c r="K1227" s="160"/>
      <c r="P1227" s="160"/>
    </row>
    <row r="1228">
      <c r="B1228" s="160"/>
      <c r="F1228" s="41"/>
      <c r="K1228" s="160"/>
      <c r="P1228" s="160"/>
    </row>
    <row r="1229">
      <c r="B1229" s="160"/>
      <c r="F1229" s="41"/>
      <c r="K1229" s="160"/>
      <c r="P1229" s="160"/>
    </row>
    <row r="1230">
      <c r="B1230" s="160"/>
      <c r="F1230" s="41"/>
      <c r="K1230" s="160"/>
      <c r="P1230" s="160"/>
    </row>
    <row r="1231">
      <c r="B1231" s="160"/>
      <c r="F1231" s="41"/>
      <c r="K1231" s="160"/>
      <c r="P1231" s="160"/>
    </row>
    <row r="1232">
      <c r="B1232" s="160"/>
      <c r="F1232" s="41"/>
      <c r="K1232" s="160"/>
      <c r="P1232" s="160"/>
    </row>
    <row r="1233">
      <c r="B1233" s="160"/>
      <c r="F1233" s="41"/>
      <c r="K1233" s="160"/>
      <c r="P1233" s="160"/>
    </row>
    <row r="1234">
      <c r="B1234" s="160"/>
      <c r="F1234" s="41"/>
      <c r="K1234" s="160"/>
      <c r="P1234" s="160"/>
    </row>
    <row r="1235">
      <c r="B1235" s="160"/>
      <c r="F1235" s="41"/>
      <c r="K1235" s="160"/>
      <c r="P1235" s="160"/>
    </row>
    <row r="1236">
      <c r="B1236" s="160"/>
      <c r="F1236" s="41"/>
      <c r="K1236" s="160"/>
      <c r="P1236" s="160"/>
    </row>
    <row r="1237">
      <c r="B1237" s="160"/>
      <c r="F1237" s="41"/>
      <c r="K1237" s="160"/>
      <c r="P1237" s="160"/>
    </row>
    <row r="1238">
      <c r="B1238" s="160"/>
      <c r="F1238" s="41"/>
      <c r="K1238" s="160"/>
      <c r="P1238" s="160"/>
    </row>
    <row r="1239">
      <c r="B1239" s="160"/>
      <c r="F1239" s="41"/>
      <c r="K1239" s="160"/>
      <c r="P1239" s="160"/>
    </row>
    <row r="1240">
      <c r="B1240" s="160"/>
      <c r="F1240" s="41"/>
      <c r="K1240" s="160"/>
      <c r="P1240" s="160"/>
    </row>
    <row r="1241">
      <c r="B1241" s="160"/>
      <c r="F1241" s="41"/>
      <c r="K1241" s="160"/>
      <c r="P1241" s="160"/>
    </row>
    <row r="1242">
      <c r="B1242" s="160"/>
      <c r="F1242" s="41"/>
      <c r="K1242" s="160"/>
      <c r="P1242" s="160"/>
    </row>
    <row r="1243">
      <c r="B1243" s="160"/>
      <c r="F1243" s="41"/>
      <c r="K1243" s="160"/>
      <c r="P1243" s="160"/>
    </row>
    <row r="1244">
      <c r="B1244" s="160"/>
      <c r="F1244" s="41"/>
      <c r="K1244" s="160"/>
      <c r="P1244" s="160"/>
    </row>
    <row r="1245">
      <c r="B1245" s="160"/>
      <c r="F1245" s="41"/>
      <c r="K1245" s="160"/>
      <c r="P1245" s="160"/>
    </row>
    <row r="1246">
      <c r="B1246" s="160"/>
      <c r="F1246" s="41"/>
      <c r="K1246" s="160"/>
      <c r="P1246" s="160"/>
    </row>
    <row r="1247">
      <c r="B1247" s="160"/>
      <c r="F1247" s="41"/>
      <c r="K1247" s="160"/>
      <c r="P1247" s="160"/>
    </row>
    <row r="1248">
      <c r="B1248" s="160"/>
      <c r="F1248" s="41"/>
      <c r="K1248" s="160"/>
      <c r="P1248" s="160"/>
    </row>
    <row r="1249">
      <c r="B1249" s="160"/>
      <c r="F1249" s="41"/>
      <c r="K1249" s="160"/>
      <c r="P1249" s="160"/>
    </row>
    <row r="1250">
      <c r="B1250" s="160"/>
      <c r="F1250" s="41"/>
      <c r="K1250" s="160"/>
      <c r="P1250" s="160"/>
    </row>
    <row r="1251">
      <c r="B1251" s="160"/>
      <c r="F1251" s="41"/>
      <c r="K1251" s="160"/>
      <c r="P1251" s="160"/>
    </row>
    <row r="1252">
      <c r="B1252" s="160"/>
      <c r="F1252" s="41"/>
      <c r="K1252" s="160"/>
      <c r="P1252" s="160"/>
    </row>
    <row r="1253">
      <c r="B1253" s="160"/>
      <c r="F1253" s="41"/>
      <c r="K1253" s="160"/>
      <c r="P1253" s="160"/>
    </row>
    <row r="1254">
      <c r="B1254" s="160"/>
      <c r="F1254" s="41"/>
      <c r="K1254" s="160"/>
      <c r="P1254" s="160"/>
    </row>
    <row r="1255">
      <c r="B1255" s="160"/>
      <c r="F1255" s="41"/>
      <c r="K1255" s="160"/>
      <c r="P1255" s="160"/>
    </row>
    <row r="1256">
      <c r="B1256" s="160"/>
      <c r="F1256" s="41"/>
      <c r="K1256" s="160"/>
      <c r="P1256" s="160"/>
    </row>
    <row r="1257">
      <c r="B1257" s="160"/>
      <c r="F1257" s="41"/>
      <c r="K1257" s="160"/>
      <c r="P1257" s="160"/>
    </row>
    <row r="1258">
      <c r="B1258" s="160"/>
      <c r="F1258" s="41"/>
      <c r="K1258" s="160"/>
      <c r="P1258" s="160"/>
    </row>
    <row r="1259">
      <c r="B1259" s="160"/>
      <c r="F1259" s="41"/>
      <c r="K1259" s="160"/>
      <c r="P1259" s="160"/>
    </row>
    <row r="1260">
      <c r="B1260" s="160"/>
      <c r="F1260" s="41"/>
      <c r="K1260" s="160"/>
      <c r="P1260" s="160"/>
    </row>
    <row r="1261">
      <c r="B1261" s="160"/>
      <c r="F1261" s="41"/>
      <c r="K1261" s="160"/>
      <c r="P1261" s="160"/>
    </row>
    <row r="1262">
      <c r="B1262" s="160"/>
      <c r="F1262" s="41"/>
      <c r="K1262" s="160"/>
      <c r="P1262" s="160"/>
    </row>
    <row r="1263">
      <c r="B1263" s="160"/>
      <c r="F1263" s="41"/>
      <c r="K1263" s="160"/>
      <c r="P1263" s="160"/>
    </row>
    <row r="1264">
      <c r="B1264" s="160"/>
      <c r="F1264" s="41"/>
      <c r="K1264" s="160"/>
      <c r="P1264" s="160"/>
    </row>
    <row r="1265">
      <c r="B1265" s="160"/>
      <c r="F1265" s="41"/>
      <c r="K1265" s="160"/>
      <c r="P1265" s="160"/>
    </row>
    <row r="1266">
      <c r="B1266" s="160"/>
      <c r="F1266" s="41"/>
      <c r="K1266" s="160"/>
      <c r="P1266" s="160"/>
    </row>
    <row r="1267">
      <c r="B1267" s="160"/>
      <c r="F1267" s="41"/>
      <c r="K1267" s="160"/>
      <c r="P1267" s="160"/>
    </row>
    <row r="1268">
      <c r="B1268" s="160"/>
      <c r="F1268" s="41"/>
      <c r="K1268" s="160"/>
      <c r="P1268" s="160"/>
    </row>
    <row r="1269">
      <c r="B1269" s="160"/>
      <c r="F1269" s="41"/>
      <c r="K1269" s="160"/>
      <c r="P1269" s="160"/>
    </row>
    <row r="1270">
      <c r="B1270" s="160"/>
      <c r="F1270" s="41"/>
      <c r="K1270" s="160"/>
      <c r="P1270" s="160"/>
    </row>
    <row r="1271">
      <c r="B1271" s="160"/>
      <c r="F1271" s="41"/>
      <c r="K1271" s="160"/>
      <c r="P1271" s="160"/>
    </row>
    <row r="1272">
      <c r="B1272" s="160"/>
      <c r="F1272" s="41"/>
      <c r="K1272" s="160"/>
      <c r="P1272" s="160"/>
    </row>
    <row r="1273">
      <c r="B1273" s="160"/>
      <c r="F1273" s="41"/>
      <c r="K1273" s="160"/>
      <c r="P1273" s="160"/>
    </row>
    <row r="1274">
      <c r="B1274" s="160"/>
      <c r="F1274" s="41"/>
      <c r="K1274" s="160"/>
      <c r="P1274" s="160"/>
    </row>
    <row r="1275">
      <c r="B1275" s="160"/>
      <c r="F1275" s="41"/>
      <c r="K1275" s="160"/>
      <c r="P1275" s="160"/>
    </row>
    <row r="1276">
      <c r="B1276" s="160"/>
      <c r="F1276" s="41"/>
      <c r="K1276" s="160"/>
      <c r="P1276" s="160"/>
    </row>
    <row r="1277">
      <c r="B1277" s="160"/>
      <c r="F1277" s="41"/>
      <c r="K1277" s="160"/>
      <c r="P1277" s="160"/>
    </row>
    <row r="1278">
      <c r="B1278" s="160"/>
      <c r="F1278" s="41"/>
      <c r="K1278" s="160"/>
      <c r="P1278" s="160"/>
    </row>
    <row r="1279">
      <c r="B1279" s="160"/>
      <c r="F1279" s="41"/>
      <c r="K1279" s="160"/>
      <c r="P1279" s="160"/>
    </row>
    <row r="1280">
      <c r="B1280" s="160"/>
      <c r="F1280" s="41"/>
      <c r="K1280" s="160"/>
      <c r="P1280" s="160"/>
    </row>
    <row r="1281">
      <c r="B1281" s="160"/>
      <c r="F1281" s="41"/>
      <c r="K1281" s="160"/>
      <c r="P1281" s="160"/>
    </row>
    <row r="1282">
      <c r="B1282" s="160"/>
      <c r="F1282" s="41"/>
      <c r="K1282" s="160"/>
      <c r="P1282" s="160"/>
    </row>
    <row r="1283">
      <c r="B1283" s="160"/>
      <c r="F1283" s="41"/>
      <c r="K1283" s="160"/>
      <c r="P1283" s="160"/>
    </row>
    <row r="1284">
      <c r="B1284" s="160"/>
      <c r="F1284" s="41"/>
      <c r="K1284" s="160"/>
      <c r="P1284" s="160"/>
    </row>
    <row r="1285">
      <c r="B1285" s="160"/>
      <c r="F1285" s="41"/>
      <c r="K1285" s="160"/>
      <c r="P1285" s="160"/>
    </row>
    <row r="1286">
      <c r="B1286" s="160"/>
      <c r="F1286" s="41"/>
      <c r="K1286" s="160"/>
      <c r="P1286" s="160"/>
    </row>
    <row r="1287">
      <c r="B1287" s="160"/>
      <c r="F1287" s="41"/>
      <c r="K1287" s="160"/>
      <c r="P1287" s="160"/>
    </row>
    <row r="1288">
      <c r="B1288" s="160"/>
      <c r="F1288" s="41"/>
      <c r="K1288" s="160"/>
      <c r="P1288" s="160"/>
    </row>
    <row r="1289">
      <c r="B1289" s="160"/>
      <c r="F1289" s="41"/>
      <c r="K1289" s="160"/>
      <c r="P1289" s="160"/>
    </row>
    <row r="1290">
      <c r="B1290" s="160"/>
      <c r="F1290" s="41"/>
      <c r="K1290" s="160"/>
      <c r="P1290" s="160"/>
    </row>
    <row r="1291">
      <c r="B1291" s="160"/>
      <c r="F1291" s="41"/>
      <c r="K1291" s="160"/>
      <c r="P1291" s="160"/>
    </row>
    <row r="1292">
      <c r="B1292" s="160"/>
      <c r="F1292" s="41"/>
      <c r="K1292" s="160"/>
      <c r="P1292" s="160"/>
    </row>
    <row r="1293">
      <c r="B1293" s="160"/>
      <c r="F1293" s="41"/>
      <c r="K1293" s="160"/>
      <c r="P1293" s="160"/>
    </row>
    <row r="1294">
      <c r="B1294" s="160"/>
      <c r="F1294" s="41"/>
      <c r="K1294" s="160"/>
      <c r="P1294" s="160"/>
    </row>
    <row r="1295">
      <c r="B1295" s="160"/>
      <c r="F1295" s="41"/>
      <c r="K1295" s="160"/>
      <c r="P1295" s="160"/>
    </row>
    <row r="1296">
      <c r="B1296" s="160"/>
      <c r="F1296" s="41"/>
      <c r="K1296" s="160"/>
      <c r="P1296" s="160"/>
    </row>
    <row r="1297">
      <c r="B1297" s="160"/>
      <c r="F1297" s="41"/>
      <c r="K1297" s="160"/>
      <c r="P1297" s="160"/>
    </row>
    <row r="1298">
      <c r="B1298" s="160"/>
      <c r="F1298" s="41"/>
      <c r="K1298" s="160"/>
      <c r="P1298" s="160"/>
    </row>
    <row r="1299">
      <c r="B1299" s="160"/>
      <c r="F1299" s="41"/>
      <c r="K1299" s="160"/>
      <c r="P1299" s="160"/>
    </row>
    <row r="1300">
      <c r="B1300" s="160"/>
      <c r="F1300" s="41"/>
      <c r="K1300" s="160"/>
      <c r="P1300" s="160"/>
    </row>
    <row r="1301">
      <c r="B1301" s="160"/>
      <c r="F1301" s="41"/>
      <c r="K1301" s="160"/>
      <c r="P1301" s="160"/>
    </row>
    <row r="1302">
      <c r="B1302" s="160"/>
      <c r="F1302" s="41"/>
      <c r="K1302" s="160"/>
      <c r="P1302" s="160"/>
    </row>
    <row r="1303">
      <c r="B1303" s="160"/>
      <c r="F1303" s="41"/>
      <c r="K1303" s="160"/>
      <c r="P1303" s="160"/>
    </row>
    <row r="1304">
      <c r="B1304" s="160"/>
      <c r="F1304" s="41"/>
      <c r="K1304" s="160"/>
      <c r="P1304" s="160"/>
    </row>
    <row r="1305">
      <c r="B1305" s="160"/>
      <c r="F1305" s="41"/>
      <c r="K1305" s="160"/>
      <c r="P1305" s="160"/>
    </row>
    <row r="1306">
      <c r="B1306" s="160"/>
      <c r="F1306" s="41"/>
      <c r="K1306" s="160"/>
      <c r="P1306" s="160"/>
    </row>
    <row r="1307">
      <c r="B1307" s="160"/>
      <c r="F1307" s="41"/>
      <c r="K1307" s="160"/>
      <c r="P1307" s="160"/>
    </row>
    <row r="1308">
      <c r="B1308" s="160"/>
      <c r="F1308" s="41"/>
      <c r="K1308" s="160"/>
      <c r="P1308" s="160"/>
    </row>
    <row r="1309">
      <c r="B1309" s="160"/>
      <c r="F1309" s="41"/>
      <c r="K1309" s="160"/>
      <c r="P1309" s="160"/>
    </row>
    <row r="1310">
      <c r="B1310" s="160"/>
      <c r="F1310" s="41"/>
      <c r="K1310" s="160"/>
      <c r="P1310" s="160"/>
    </row>
    <row r="1311">
      <c r="B1311" s="160"/>
      <c r="F1311" s="41"/>
      <c r="K1311" s="160"/>
      <c r="P1311" s="160"/>
    </row>
    <row r="1312">
      <c r="B1312" s="160"/>
      <c r="F1312" s="41"/>
      <c r="K1312" s="160"/>
      <c r="P1312" s="160"/>
    </row>
    <row r="1313">
      <c r="B1313" s="160"/>
      <c r="F1313" s="41"/>
      <c r="K1313" s="160"/>
      <c r="P1313" s="160"/>
    </row>
    <row r="1314">
      <c r="B1314" s="160"/>
      <c r="F1314" s="41"/>
      <c r="K1314" s="160"/>
      <c r="P1314" s="160"/>
    </row>
    <row r="1315">
      <c r="B1315" s="160"/>
      <c r="F1315" s="41"/>
      <c r="K1315" s="160"/>
      <c r="P1315" s="160"/>
    </row>
    <row r="1316">
      <c r="B1316" s="160"/>
      <c r="F1316" s="41"/>
      <c r="K1316" s="160"/>
      <c r="P1316" s="160"/>
    </row>
    <row r="1317">
      <c r="B1317" s="160"/>
      <c r="F1317" s="41"/>
      <c r="K1317" s="160"/>
      <c r="P1317" s="160"/>
    </row>
    <row r="1318">
      <c r="B1318" s="160"/>
      <c r="F1318" s="41"/>
      <c r="K1318" s="160"/>
      <c r="P1318" s="160"/>
    </row>
    <row r="1319">
      <c r="B1319" s="160"/>
      <c r="F1319" s="41"/>
      <c r="K1319" s="160"/>
      <c r="P1319" s="160"/>
    </row>
    <row r="1320">
      <c r="B1320" s="160"/>
      <c r="F1320" s="41"/>
      <c r="K1320" s="160"/>
      <c r="P1320" s="160"/>
    </row>
    <row r="1321">
      <c r="B1321" s="160"/>
      <c r="F1321" s="41"/>
      <c r="K1321" s="160"/>
      <c r="P1321" s="160"/>
    </row>
    <row r="1322">
      <c r="B1322" s="160"/>
      <c r="F1322" s="41"/>
      <c r="K1322" s="160"/>
      <c r="P1322" s="160"/>
    </row>
    <row r="1323">
      <c r="B1323" s="160"/>
      <c r="F1323" s="41"/>
      <c r="K1323" s="160"/>
      <c r="P1323" s="160"/>
    </row>
    <row r="1324">
      <c r="B1324" s="160"/>
      <c r="F1324" s="41"/>
      <c r="K1324" s="160"/>
      <c r="P1324" s="160"/>
    </row>
    <row r="1325">
      <c r="B1325" s="160"/>
      <c r="F1325" s="41"/>
      <c r="K1325" s="160"/>
      <c r="P1325" s="160"/>
    </row>
    <row r="1326">
      <c r="B1326" s="160"/>
      <c r="F1326" s="41"/>
      <c r="K1326" s="160"/>
      <c r="P1326" s="160"/>
    </row>
    <row r="1327">
      <c r="B1327" s="160"/>
      <c r="F1327" s="41"/>
      <c r="K1327" s="160"/>
      <c r="P1327" s="160"/>
    </row>
    <row r="1328">
      <c r="B1328" s="160"/>
      <c r="F1328" s="41"/>
      <c r="K1328" s="160"/>
      <c r="P1328" s="160"/>
    </row>
    <row r="1329">
      <c r="B1329" s="160"/>
      <c r="F1329" s="41"/>
      <c r="K1329" s="160"/>
      <c r="P1329" s="160"/>
    </row>
    <row r="1330">
      <c r="B1330" s="160"/>
      <c r="F1330" s="41"/>
      <c r="K1330" s="160"/>
      <c r="P1330" s="160"/>
    </row>
    <row r="1331">
      <c r="B1331" s="160"/>
      <c r="F1331" s="41"/>
      <c r="K1331" s="160"/>
      <c r="P1331" s="160"/>
    </row>
    <row r="1332">
      <c r="B1332" s="160"/>
      <c r="F1332" s="41"/>
      <c r="K1332" s="160"/>
      <c r="P1332" s="160"/>
    </row>
    <row r="1333">
      <c r="B1333" s="160"/>
      <c r="F1333" s="41"/>
      <c r="K1333" s="160"/>
      <c r="P1333" s="160"/>
    </row>
    <row r="1334">
      <c r="B1334" s="160"/>
      <c r="F1334" s="41"/>
      <c r="K1334" s="160"/>
      <c r="P1334" s="160"/>
    </row>
    <row r="1335">
      <c r="B1335" s="160"/>
      <c r="F1335" s="41"/>
      <c r="K1335" s="160"/>
      <c r="P1335" s="160"/>
    </row>
    <row r="1336">
      <c r="B1336" s="160"/>
      <c r="F1336" s="41"/>
      <c r="K1336" s="160"/>
      <c r="P1336" s="160"/>
    </row>
    <row r="1337">
      <c r="B1337" s="160"/>
      <c r="F1337" s="41"/>
      <c r="K1337" s="160"/>
      <c r="P1337" s="160"/>
    </row>
    <row r="1338">
      <c r="B1338" s="160"/>
      <c r="F1338" s="41"/>
      <c r="K1338" s="160"/>
      <c r="P1338" s="160"/>
    </row>
    <row r="1339">
      <c r="B1339" s="160"/>
      <c r="F1339" s="41"/>
      <c r="K1339" s="160"/>
      <c r="P1339" s="160"/>
    </row>
    <row r="1340">
      <c r="B1340" s="160"/>
      <c r="F1340" s="41"/>
      <c r="K1340" s="160"/>
      <c r="P1340" s="160"/>
    </row>
    <row r="1341">
      <c r="B1341" s="160"/>
      <c r="F1341" s="41"/>
      <c r="K1341" s="160"/>
      <c r="P1341" s="160"/>
    </row>
    <row r="1342">
      <c r="B1342" s="160"/>
      <c r="F1342" s="41"/>
      <c r="K1342" s="160"/>
      <c r="P1342" s="160"/>
    </row>
    <row r="1343">
      <c r="B1343" s="160"/>
      <c r="F1343" s="41"/>
      <c r="K1343" s="160"/>
      <c r="P1343" s="160"/>
    </row>
    <row r="1344">
      <c r="B1344" s="160"/>
      <c r="F1344" s="41"/>
      <c r="K1344" s="160"/>
      <c r="P1344" s="160"/>
    </row>
    <row r="1345">
      <c r="B1345" s="160"/>
      <c r="F1345" s="41"/>
      <c r="K1345" s="160"/>
      <c r="P1345" s="160"/>
    </row>
    <row r="1346">
      <c r="B1346" s="160"/>
      <c r="F1346" s="41"/>
      <c r="K1346" s="160"/>
      <c r="P1346" s="160"/>
    </row>
    <row r="1347">
      <c r="B1347" s="160"/>
      <c r="F1347" s="41"/>
      <c r="K1347" s="160"/>
      <c r="P1347" s="160"/>
    </row>
    <row r="1348">
      <c r="B1348" s="160"/>
      <c r="F1348" s="41"/>
      <c r="K1348" s="160"/>
      <c r="P1348" s="160"/>
    </row>
    <row r="1349">
      <c r="B1349" s="160"/>
      <c r="F1349" s="41"/>
      <c r="K1349" s="160"/>
      <c r="P1349" s="160"/>
    </row>
    <row r="1350">
      <c r="B1350" s="160"/>
      <c r="F1350" s="41"/>
      <c r="K1350" s="160"/>
      <c r="P1350" s="160"/>
    </row>
    <row r="1351">
      <c r="B1351" s="160"/>
      <c r="F1351" s="41"/>
      <c r="K1351" s="160"/>
      <c r="P1351" s="160"/>
    </row>
    <row r="1352">
      <c r="B1352" s="160"/>
      <c r="F1352" s="41"/>
      <c r="K1352" s="160"/>
      <c r="P1352" s="160"/>
    </row>
    <row r="1353">
      <c r="B1353" s="160"/>
      <c r="F1353" s="41"/>
      <c r="K1353" s="160"/>
      <c r="P1353" s="160"/>
    </row>
    <row r="1354">
      <c r="B1354" s="160"/>
      <c r="F1354" s="41"/>
      <c r="K1354" s="160"/>
      <c r="P1354" s="160"/>
    </row>
    <row r="1355">
      <c r="B1355" s="160"/>
      <c r="F1355" s="41"/>
      <c r="K1355" s="160"/>
      <c r="P1355" s="160"/>
    </row>
    <row r="1356">
      <c r="B1356" s="160"/>
      <c r="F1356" s="41"/>
      <c r="K1356" s="160"/>
      <c r="P1356" s="160"/>
    </row>
    <row r="1357">
      <c r="B1357" s="160"/>
      <c r="F1357" s="41"/>
      <c r="K1357" s="160"/>
      <c r="P1357" s="160"/>
    </row>
    <row r="1358">
      <c r="B1358" s="160"/>
      <c r="F1358" s="41"/>
      <c r="K1358" s="160"/>
      <c r="P1358" s="160"/>
    </row>
    <row r="1359">
      <c r="B1359" s="160"/>
      <c r="F1359" s="41"/>
      <c r="K1359" s="160"/>
      <c r="P1359" s="160"/>
    </row>
    <row r="1360">
      <c r="B1360" s="160"/>
      <c r="F1360" s="41"/>
      <c r="K1360" s="160"/>
      <c r="P1360" s="160"/>
    </row>
    <row r="1361">
      <c r="B1361" s="160"/>
      <c r="F1361" s="41"/>
      <c r="K1361" s="160"/>
      <c r="P1361" s="160"/>
    </row>
    <row r="1362">
      <c r="B1362" s="160"/>
      <c r="F1362" s="41"/>
      <c r="K1362" s="160"/>
      <c r="P1362" s="160"/>
    </row>
    <row r="1363">
      <c r="B1363" s="160"/>
      <c r="F1363" s="41"/>
      <c r="K1363" s="160"/>
      <c r="P1363" s="160"/>
    </row>
    <row r="1364">
      <c r="B1364" s="160"/>
      <c r="F1364" s="41"/>
      <c r="K1364" s="160"/>
      <c r="P1364" s="160"/>
    </row>
    <row r="1365">
      <c r="B1365" s="160"/>
      <c r="F1365" s="41"/>
      <c r="K1365" s="160"/>
      <c r="P1365" s="160"/>
    </row>
    <row r="1366">
      <c r="B1366" s="160"/>
      <c r="F1366" s="41"/>
      <c r="K1366" s="160"/>
      <c r="P1366" s="160"/>
    </row>
    <row r="1367">
      <c r="B1367" s="160"/>
      <c r="F1367" s="41"/>
      <c r="K1367" s="160"/>
      <c r="P1367" s="160"/>
    </row>
    <row r="1368">
      <c r="B1368" s="160"/>
      <c r="F1368" s="41"/>
      <c r="K1368" s="160"/>
      <c r="P1368" s="160"/>
    </row>
    <row r="1369">
      <c r="B1369" s="160"/>
      <c r="F1369" s="41"/>
      <c r="K1369" s="160"/>
      <c r="P1369" s="160"/>
    </row>
    <row r="1370">
      <c r="B1370" s="160"/>
      <c r="F1370" s="41"/>
      <c r="K1370" s="160"/>
      <c r="P1370" s="160"/>
    </row>
    <row r="1371">
      <c r="B1371" s="160"/>
      <c r="F1371" s="41"/>
      <c r="K1371" s="160"/>
      <c r="P1371" s="160"/>
    </row>
    <row r="1372">
      <c r="B1372" s="160"/>
      <c r="F1372" s="41"/>
      <c r="K1372" s="160"/>
      <c r="P1372" s="160"/>
    </row>
    <row r="1373">
      <c r="B1373" s="160"/>
      <c r="F1373" s="41"/>
      <c r="K1373" s="160"/>
      <c r="P1373" s="160"/>
    </row>
    <row r="1374">
      <c r="B1374" s="160"/>
      <c r="F1374" s="41"/>
      <c r="K1374" s="160"/>
      <c r="P1374" s="160"/>
    </row>
    <row r="1375">
      <c r="B1375" s="160"/>
      <c r="F1375" s="41"/>
      <c r="K1375" s="160"/>
      <c r="P1375" s="160"/>
    </row>
    <row r="1376">
      <c r="B1376" s="160"/>
      <c r="F1376" s="41"/>
      <c r="K1376" s="160"/>
      <c r="P1376" s="160"/>
    </row>
    <row r="1377">
      <c r="B1377" s="160"/>
      <c r="F1377" s="41"/>
      <c r="K1377" s="160"/>
      <c r="P1377" s="160"/>
    </row>
    <row r="1378">
      <c r="B1378" s="160"/>
      <c r="F1378" s="41"/>
      <c r="K1378" s="160"/>
      <c r="P1378" s="160"/>
    </row>
    <row r="1379">
      <c r="B1379" s="160"/>
      <c r="F1379" s="41"/>
      <c r="K1379" s="160"/>
      <c r="P1379" s="160"/>
    </row>
    <row r="1380">
      <c r="B1380" s="160"/>
      <c r="F1380" s="41"/>
      <c r="K1380" s="160"/>
      <c r="P1380" s="160"/>
    </row>
    <row r="1381">
      <c r="B1381" s="160"/>
      <c r="F1381" s="41"/>
      <c r="K1381" s="160"/>
      <c r="P1381" s="160"/>
    </row>
    <row r="1382">
      <c r="B1382" s="160"/>
      <c r="F1382" s="41"/>
      <c r="K1382" s="160"/>
      <c r="P1382" s="160"/>
    </row>
    <row r="1383">
      <c r="B1383" s="160"/>
      <c r="F1383" s="41"/>
      <c r="K1383" s="160"/>
      <c r="P1383" s="160"/>
    </row>
    <row r="1384">
      <c r="B1384" s="160"/>
      <c r="F1384" s="41"/>
      <c r="K1384" s="160"/>
      <c r="P1384" s="160"/>
    </row>
    <row r="1385">
      <c r="B1385" s="160"/>
      <c r="F1385" s="41"/>
      <c r="K1385" s="160"/>
      <c r="P1385" s="160"/>
    </row>
    <row r="1386">
      <c r="B1386" s="160"/>
      <c r="F1386" s="41"/>
      <c r="K1386" s="160"/>
      <c r="P1386" s="160"/>
    </row>
    <row r="1387">
      <c r="B1387" s="160"/>
      <c r="F1387" s="41"/>
      <c r="K1387" s="160"/>
      <c r="P1387" s="160"/>
    </row>
    <row r="1388">
      <c r="B1388" s="160"/>
      <c r="F1388" s="41"/>
      <c r="K1388" s="160"/>
      <c r="P1388" s="160"/>
    </row>
    <row r="1389">
      <c r="B1389" s="160"/>
      <c r="F1389" s="41"/>
      <c r="K1389" s="160"/>
      <c r="P1389" s="160"/>
    </row>
    <row r="1390">
      <c r="B1390" s="160"/>
      <c r="F1390" s="41"/>
      <c r="K1390" s="160"/>
      <c r="P1390" s="160"/>
    </row>
    <row r="1391">
      <c r="B1391" s="160"/>
      <c r="F1391" s="41"/>
      <c r="K1391" s="160"/>
      <c r="P1391" s="160"/>
    </row>
    <row r="1392">
      <c r="B1392" s="160"/>
      <c r="F1392" s="41"/>
      <c r="K1392" s="160"/>
      <c r="P1392" s="160"/>
    </row>
    <row r="1393">
      <c r="B1393" s="160"/>
      <c r="F1393" s="41"/>
      <c r="K1393" s="160"/>
      <c r="P1393" s="160"/>
    </row>
    <row r="1394">
      <c r="B1394" s="160"/>
      <c r="F1394" s="41"/>
      <c r="K1394" s="160"/>
      <c r="P1394" s="160"/>
    </row>
    <row r="1395">
      <c r="B1395" s="160"/>
      <c r="F1395" s="41"/>
      <c r="K1395" s="160"/>
      <c r="P1395" s="160"/>
    </row>
    <row r="1396">
      <c r="B1396" s="160"/>
      <c r="F1396" s="41"/>
      <c r="K1396" s="160"/>
      <c r="P1396" s="160"/>
    </row>
    <row r="1397">
      <c r="B1397" s="160"/>
      <c r="F1397" s="41"/>
      <c r="K1397" s="160"/>
      <c r="P1397" s="160"/>
    </row>
    <row r="1398">
      <c r="B1398" s="160"/>
      <c r="F1398" s="41"/>
      <c r="K1398" s="160"/>
      <c r="P1398" s="160"/>
    </row>
    <row r="1399">
      <c r="B1399" s="160"/>
      <c r="F1399" s="41"/>
      <c r="K1399" s="160"/>
      <c r="P1399" s="160"/>
    </row>
    <row r="1400">
      <c r="B1400" s="160"/>
      <c r="F1400" s="41"/>
      <c r="K1400" s="160"/>
      <c r="P1400" s="160"/>
    </row>
    <row r="1401">
      <c r="B1401" s="160"/>
      <c r="F1401" s="41"/>
      <c r="K1401" s="160"/>
      <c r="P1401" s="160"/>
    </row>
    <row r="1402">
      <c r="B1402" s="160"/>
      <c r="F1402" s="41"/>
      <c r="K1402" s="160"/>
      <c r="P1402" s="160"/>
    </row>
    <row r="1403">
      <c r="B1403" s="160"/>
      <c r="F1403" s="41"/>
      <c r="K1403" s="160"/>
      <c r="P1403" s="160"/>
    </row>
    <row r="1404">
      <c r="B1404" s="160"/>
      <c r="F1404" s="41"/>
      <c r="K1404" s="160"/>
      <c r="P1404" s="160"/>
    </row>
    <row r="1405">
      <c r="B1405" s="160"/>
      <c r="F1405" s="41"/>
      <c r="K1405" s="160"/>
      <c r="P1405" s="160"/>
    </row>
    <row r="1406">
      <c r="B1406" s="160"/>
      <c r="F1406" s="41"/>
      <c r="K1406" s="160"/>
      <c r="P1406" s="160"/>
    </row>
    <row r="1407">
      <c r="B1407" s="160"/>
      <c r="F1407" s="41"/>
      <c r="K1407" s="160"/>
      <c r="P1407" s="160"/>
    </row>
    <row r="1408">
      <c r="B1408" s="160"/>
      <c r="F1408" s="41"/>
      <c r="K1408" s="160"/>
      <c r="P1408" s="160"/>
    </row>
    <row r="1409">
      <c r="B1409" s="160"/>
      <c r="F1409" s="41"/>
      <c r="K1409" s="160"/>
      <c r="P1409" s="160"/>
    </row>
    <row r="1410">
      <c r="B1410" s="160"/>
      <c r="F1410" s="41"/>
      <c r="K1410" s="160"/>
      <c r="P1410" s="160"/>
    </row>
    <row r="1411">
      <c r="B1411" s="160"/>
      <c r="F1411" s="41"/>
      <c r="K1411" s="160"/>
      <c r="P1411" s="160"/>
    </row>
    <row r="1412">
      <c r="B1412" s="160"/>
      <c r="F1412" s="41"/>
      <c r="K1412" s="160"/>
      <c r="P1412" s="160"/>
    </row>
    <row r="1413">
      <c r="B1413" s="160"/>
      <c r="F1413" s="41"/>
      <c r="K1413" s="160"/>
      <c r="P1413" s="160"/>
    </row>
    <row r="1414">
      <c r="B1414" s="160"/>
      <c r="F1414" s="41"/>
      <c r="K1414" s="160"/>
      <c r="P1414" s="160"/>
    </row>
    <row r="1415">
      <c r="B1415" s="160"/>
      <c r="F1415" s="41"/>
      <c r="K1415" s="160"/>
      <c r="P1415" s="160"/>
    </row>
    <row r="1416">
      <c r="B1416" s="160"/>
      <c r="F1416" s="41"/>
      <c r="K1416" s="160"/>
      <c r="P1416" s="160"/>
    </row>
    <row r="1417">
      <c r="B1417" s="160"/>
      <c r="F1417" s="41"/>
      <c r="K1417" s="160"/>
      <c r="P1417" s="160"/>
    </row>
    <row r="1418">
      <c r="B1418" s="160"/>
      <c r="F1418" s="41"/>
      <c r="K1418" s="160"/>
      <c r="P1418" s="160"/>
    </row>
    <row r="1419">
      <c r="B1419" s="160"/>
      <c r="F1419" s="41"/>
      <c r="K1419" s="160"/>
      <c r="P1419" s="160"/>
    </row>
    <row r="1420">
      <c r="B1420" s="160"/>
      <c r="F1420" s="41"/>
      <c r="K1420" s="160"/>
      <c r="P1420" s="160"/>
    </row>
    <row r="1421">
      <c r="B1421" s="160"/>
      <c r="F1421" s="41"/>
      <c r="K1421" s="160"/>
      <c r="P1421" s="160"/>
    </row>
    <row r="1422">
      <c r="B1422" s="160"/>
      <c r="F1422" s="41"/>
      <c r="K1422" s="160"/>
      <c r="P1422" s="160"/>
    </row>
    <row r="1423">
      <c r="B1423" s="160"/>
      <c r="F1423" s="41"/>
      <c r="K1423" s="160"/>
      <c r="P1423" s="160"/>
    </row>
    <row r="1424">
      <c r="B1424" s="160"/>
      <c r="F1424" s="41"/>
      <c r="K1424" s="160"/>
      <c r="P1424" s="160"/>
    </row>
    <row r="1425">
      <c r="B1425" s="160"/>
      <c r="F1425" s="41"/>
      <c r="K1425" s="160"/>
      <c r="P1425" s="160"/>
    </row>
    <row r="1426">
      <c r="B1426" s="160"/>
      <c r="F1426" s="41"/>
      <c r="K1426" s="160"/>
      <c r="P1426" s="160"/>
    </row>
    <row r="1427">
      <c r="B1427" s="160"/>
      <c r="F1427" s="41"/>
      <c r="K1427" s="160"/>
      <c r="P1427" s="160"/>
    </row>
    <row r="1428">
      <c r="B1428" s="160"/>
      <c r="F1428" s="41"/>
      <c r="K1428" s="160"/>
      <c r="P1428" s="160"/>
    </row>
    <row r="1429">
      <c r="B1429" s="160"/>
      <c r="F1429" s="41"/>
      <c r="K1429" s="160"/>
      <c r="P1429" s="160"/>
    </row>
    <row r="1430">
      <c r="B1430" s="160"/>
      <c r="F1430" s="41"/>
      <c r="K1430" s="160"/>
      <c r="P1430" s="160"/>
    </row>
    <row r="1431">
      <c r="B1431" s="160"/>
      <c r="F1431" s="41"/>
      <c r="K1431" s="160"/>
      <c r="P1431" s="160"/>
    </row>
    <row r="1432">
      <c r="B1432" s="160"/>
      <c r="F1432" s="41"/>
      <c r="K1432" s="160"/>
      <c r="P1432" s="160"/>
    </row>
    <row r="1433">
      <c r="B1433" s="160"/>
      <c r="F1433" s="41"/>
      <c r="K1433" s="160"/>
      <c r="P1433" s="160"/>
    </row>
    <row r="1434">
      <c r="B1434" s="160"/>
      <c r="F1434" s="41"/>
      <c r="K1434" s="160"/>
      <c r="P1434" s="160"/>
    </row>
    <row r="1435">
      <c r="B1435" s="160"/>
      <c r="F1435" s="41"/>
      <c r="K1435" s="160"/>
      <c r="P1435" s="160"/>
    </row>
    <row r="1436">
      <c r="B1436" s="160"/>
      <c r="F1436" s="41"/>
      <c r="K1436" s="160"/>
      <c r="P1436" s="160"/>
    </row>
    <row r="1437">
      <c r="B1437" s="160"/>
      <c r="F1437" s="41"/>
      <c r="K1437" s="160"/>
      <c r="P1437" s="160"/>
    </row>
    <row r="1438">
      <c r="B1438" s="160"/>
      <c r="F1438" s="41"/>
      <c r="K1438" s="160"/>
      <c r="P1438" s="160"/>
    </row>
  </sheetData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6.88"/>
    <col customWidth="1" min="5" max="5" width="16.0"/>
    <col hidden="1" min="14" max="18" width="12.63"/>
    <col customWidth="1" hidden="1" min="19" max="19" width="13.88"/>
  </cols>
  <sheetData>
    <row r="1">
      <c r="A1" s="7" t="s">
        <v>4476</v>
      </c>
      <c r="B1" s="7" t="s">
        <v>4477</v>
      </c>
      <c r="C1" s="19" t="s">
        <v>294</v>
      </c>
      <c r="D1" s="55" t="s">
        <v>248</v>
      </c>
      <c r="E1" s="11" t="s">
        <v>249</v>
      </c>
      <c r="F1" s="11" t="s">
        <v>250</v>
      </c>
      <c r="G1" s="11" t="s">
        <v>251</v>
      </c>
      <c r="H1" s="60"/>
      <c r="I1" s="60"/>
      <c r="O1" s="11" t="s">
        <v>4476</v>
      </c>
      <c r="P1" s="60" t="s">
        <v>4477</v>
      </c>
      <c r="S1" s="11" t="str">
        <f>"Empty codes:"&amp; COUNTBLANK(Q2:Q167)</f>
        <v>Empty codes:0</v>
      </c>
    </row>
    <row r="2">
      <c r="A2" s="7" t="s">
        <v>4478</v>
      </c>
      <c r="B2" s="11">
        <v>14516.0</v>
      </c>
      <c r="C2" s="74">
        <v>0.05</v>
      </c>
      <c r="D2" s="74">
        <v>0.75</v>
      </c>
      <c r="E2" s="74">
        <v>0.75</v>
      </c>
      <c r="F2" s="11" t="s">
        <v>1656</v>
      </c>
      <c r="H2" s="60"/>
      <c r="I2" s="211"/>
      <c r="O2" s="11" t="s">
        <v>4478</v>
      </c>
      <c r="Q2" s="11">
        <v>189.0</v>
      </c>
      <c r="R2" s="11" t="s">
        <v>4479</v>
      </c>
    </row>
    <row r="3">
      <c r="A3" s="7" t="s">
        <v>4480</v>
      </c>
      <c r="B3" s="7"/>
      <c r="C3" s="74">
        <v>0.05</v>
      </c>
      <c r="D3" s="74">
        <v>0.75</v>
      </c>
      <c r="E3" s="74">
        <v>0.75</v>
      </c>
      <c r="F3" s="11" t="s">
        <v>1656</v>
      </c>
      <c r="H3" s="60"/>
      <c r="I3" s="211"/>
      <c r="O3" s="11" t="s">
        <v>4480</v>
      </c>
      <c r="Q3" s="195">
        <v>6909.0</v>
      </c>
      <c r="R3" s="11" t="s">
        <v>4479</v>
      </c>
    </row>
    <row r="4">
      <c r="A4" s="7" t="s">
        <v>4481</v>
      </c>
      <c r="B4" s="195">
        <v>2205.0</v>
      </c>
      <c r="C4" s="74">
        <v>0.05</v>
      </c>
      <c r="D4" s="74">
        <v>0.75</v>
      </c>
      <c r="E4" s="74">
        <v>0.75</v>
      </c>
      <c r="F4" s="11" t="s">
        <v>1656</v>
      </c>
      <c r="H4" s="60"/>
      <c r="I4" s="211"/>
      <c r="O4" s="11" t="s">
        <v>4481</v>
      </c>
      <c r="Q4" s="11">
        <v>6824.0</v>
      </c>
      <c r="R4" s="11" t="s">
        <v>4479</v>
      </c>
    </row>
    <row r="5">
      <c r="A5" s="7" t="s">
        <v>4482</v>
      </c>
      <c r="B5" s="195">
        <v>14575.0</v>
      </c>
      <c r="C5" s="74">
        <v>0.05</v>
      </c>
      <c r="D5" s="74">
        <v>0.85</v>
      </c>
      <c r="E5" s="74">
        <v>0.85</v>
      </c>
      <c r="F5" s="11" t="s">
        <v>1656</v>
      </c>
      <c r="H5" s="60"/>
      <c r="I5" s="211"/>
      <c r="O5" s="11" t="s">
        <v>4482</v>
      </c>
      <c r="Q5" s="11">
        <v>6924.0</v>
      </c>
      <c r="R5" s="11" t="s">
        <v>4479</v>
      </c>
    </row>
    <row r="6">
      <c r="A6" s="7" t="s">
        <v>4483</v>
      </c>
      <c r="B6" s="195">
        <v>6668.0</v>
      </c>
      <c r="C6" s="74">
        <v>0.05</v>
      </c>
      <c r="D6" s="74">
        <v>0.75</v>
      </c>
      <c r="E6" s="74">
        <v>0.75</v>
      </c>
      <c r="F6" s="11" t="s">
        <v>1656</v>
      </c>
      <c r="H6" s="60"/>
      <c r="I6" s="211"/>
      <c r="O6" s="11" t="s">
        <v>4483</v>
      </c>
      <c r="Q6" s="11">
        <v>6924.0</v>
      </c>
      <c r="R6" s="11" t="s">
        <v>4479</v>
      </c>
    </row>
    <row r="7">
      <c r="A7" s="7" t="s">
        <v>4484</v>
      </c>
      <c r="B7" s="195">
        <v>6668.0</v>
      </c>
      <c r="C7" s="74">
        <v>0.05</v>
      </c>
      <c r="D7" s="74">
        <v>0.75</v>
      </c>
      <c r="E7" s="74">
        <v>0.75</v>
      </c>
      <c r="F7" s="11" t="s">
        <v>1656</v>
      </c>
      <c r="O7" s="11" t="s">
        <v>4484</v>
      </c>
      <c r="Q7" s="11">
        <v>986.0</v>
      </c>
      <c r="R7" s="11" t="s">
        <v>4479</v>
      </c>
    </row>
    <row r="8">
      <c r="A8" s="7" t="s">
        <v>4485</v>
      </c>
      <c r="B8" s="195">
        <v>12932.0</v>
      </c>
      <c r="C8" s="74">
        <v>0.05</v>
      </c>
      <c r="D8" s="74">
        <v>0.75</v>
      </c>
      <c r="E8" s="74">
        <v>0.75</v>
      </c>
      <c r="F8" s="11" t="s">
        <v>1656</v>
      </c>
      <c r="O8" s="11" t="s">
        <v>4485</v>
      </c>
      <c r="Q8" s="11">
        <v>986.0</v>
      </c>
      <c r="R8" s="11" t="s">
        <v>4479</v>
      </c>
    </row>
    <row r="9">
      <c r="A9" s="7" t="s">
        <v>4486</v>
      </c>
      <c r="B9" s="195">
        <v>3404.0</v>
      </c>
      <c r="C9" s="74">
        <v>0.05</v>
      </c>
      <c r="D9" s="74">
        <v>0.75</v>
      </c>
      <c r="E9" s="74">
        <v>0.75</v>
      </c>
      <c r="F9" s="11" t="s">
        <v>1656</v>
      </c>
      <c r="O9" s="11" t="s">
        <v>4486</v>
      </c>
      <c r="Q9" s="11">
        <v>986.0</v>
      </c>
      <c r="R9" s="11" t="s">
        <v>4479</v>
      </c>
    </row>
    <row r="10">
      <c r="A10" s="7" t="s">
        <v>4487</v>
      </c>
      <c r="B10" s="195">
        <v>889.0</v>
      </c>
      <c r="C10" s="74">
        <v>0.05</v>
      </c>
      <c r="D10" s="74">
        <v>0.75</v>
      </c>
      <c r="E10" s="74">
        <v>0.75</v>
      </c>
      <c r="F10" s="11" t="s">
        <v>1656</v>
      </c>
      <c r="O10" s="11" t="s">
        <v>4487</v>
      </c>
      <c r="Q10" s="11">
        <v>986.0</v>
      </c>
      <c r="R10" s="11" t="s">
        <v>4479</v>
      </c>
    </row>
    <row r="11">
      <c r="A11" s="7" t="s">
        <v>4488</v>
      </c>
      <c r="B11" s="195">
        <v>6669.0</v>
      </c>
      <c r="C11" s="74">
        <v>0.05</v>
      </c>
      <c r="D11" s="74">
        <v>0.75</v>
      </c>
      <c r="E11" s="74">
        <v>0.75</v>
      </c>
      <c r="F11" s="11" t="s">
        <v>1656</v>
      </c>
      <c r="O11" s="11" t="s">
        <v>4488</v>
      </c>
      <c r="Q11" s="11">
        <v>2345.0</v>
      </c>
      <c r="R11" s="11" t="s">
        <v>4479</v>
      </c>
    </row>
    <row r="12">
      <c r="A12" s="7" t="s">
        <v>4489</v>
      </c>
      <c r="B12" s="11">
        <v>14480.0</v>
      </c>
      <c r="C12" s="74">
        <v>0.05</v>
      </c>
      <c r="D12" s="74">
        <v>0.75</v>
      </c>
      <c r="E12" s="74">
        <v>0.75</v>
      </c>
      <c r="F12" s="11" t="s">
        <v>1656</v>
      </c>
      <c r="O12" s="11" t="s">
        <v>4489</v>
      </c>
      <c r="Q12" s="11">
        <v>2345.0</v>
      </c>
      <c r="R12" s="11" t="s">
        <v>4479</v>
      </c>
    </row>
    <row r="13">
      <c r="A13" s="7" t="s">
        <v>4490</v>
      </c>
      <c r="B13" s="195">
        <v>7229.0</v>
      </c>
      <c r="C13" s="74">
        <v>0.05</v>
      </c>
      <c r="D13" s="74">
        <v>0.75</v>
      </c>
      <c r="E13" s="74">
        <v>0.75</v>
      </c>
      <c r="F13" s="11" t="s">
        <v>1656</v>
      </c>
      <c r="O13" s="11" t="s">
        <v>4490</v>
      </c>
      <c r="Q13" s="11">
        <v>2345.0</v>
      </c>
      <c r="R13" s="11" t="s">
        <v>4479</v>
      </c>
    </row>
    <row r="14">
      <c r="A14" s="7" t="s">
        <v>4491</v>
      </c>
      <c r="B14" s="195">
        <v>14525.0</v>
      </c>
      <c r="C14" s="74">
        <v>0.05</v>
      </c>
      <c r="D14" s="74">
        <v>0.75</v>
      </c>
      <c r="E14" s="74">
        <v>0.75</v>
      </c>
      <c r="F14" s="11" t="s">
        <v>1656</v>
      </c>
      <c r="O14" s="11" t="s">
        <v>4491</v>
      </c>
      <c r="Q14" s="11">
        <v>2345.0</v>
      </c>
      <c r="R14" s="11" t="s">
        <v>4479</v>
      </c>
    </row>
    <row r="15">
      <c r="A15" s="7" t="s">
        <v>4492</v>
      </c>
      <c r="B15" s="195">
        <v>3307.0</v>
      </c>
      <c r="C15" s="74">
        <v>0.05</v>
      </c>
      <c r="D15" s="74">
        <v>0.75</v>
      </c>
      <c r="E15" s="74">
        <v>0.75</v>
      </c>
      <c r="F15" s="11" t="s">
        <v>1656</v>
      </c>
      <c r="O15" s="11" t="s">
        <v>4492</v>
      </c>
      <c r="Q15" s="11">
        <v>2345.0</v>
      </c>
      <c r="R15" s="11" t="s">
        <v>4479</v>
      </c>
    </row>
    <row r="16">
      <c r="A16" s="7" t="s">
        <v>4493</v>
      </c>
      <c r="B16" s="11">
        <v>7747.0</v>
      </c>
      <c r="C16" s="74">
        <v>0.05</v>
      </c>
      <c r="D16" s="74">
        <v>0.75</v>
      </c>
      <c r="E16" s="74">
        <v>0.75</v>
      </c>
      <c r="F16" s="11" t="s">
        <v>1656</v>
      </c>
      <c r="O16" s="11" t="s">
        <v>4493</v>
      </c>
      <c r="Q16" s="11">
        <v>2345.0</v>
      </c>
      <c r="R16" s="11" t="s">
        <v>4479</v>
      </c>
    </row>
    <row r="17">
      <c r="A17" s="7" t="s">
        <v>4494</v>
      </c>
      <c r="B17" s="195">
        <v>7137.0</v>
      </c>
      <c r="C17" s="74">
        <v>0.05</v>
      </c>
      <c r="D17" s="74">
        <v>0.75</v>
      </c>
      <c r="E17" s="74">
        <v>0.75</v>
      </c>
      <c r="F17" s="11" t="s">
        <v>1656</v>
      </c>
      <c r="O17" s="11" t="s">
        <v>4494</v>
      </c>
      <c r="Q17" s="11">
        <v>2345.0</v>
      </c>
      <c r="R17" s="11" t="s">
        <v>4479</v>
      </c>
    </row>
    <row r="18">
      <c r="A18" s="7" t="s">
        <v>4495</v>
      </c>
      <c r="B18" s="195">
        <v>14507.0</v>
      </c>
      <c r="C18" s="74">
        <v>0.05</v>
      </c>
      <c r="D18" s="74">
        <v>0.75</v>
      </c>
      <c r="E18" s="74">
        <v>0.75</v>
      </c>
      <c r="F18" s="11" t="s">
        <v>1656</v>
      </c>
      <c r="O18" s="11" t="s">
        <v>4495</v>
      </c>
      <c r="Q18" s="11">
        <v>2345.0</v>
      </c>
      <c r="R18" s="11" t="s">
        <v>4479</v>
      </c>
    </row>
    <row r="19">
      <c r="A19" s="7" t="s">
        <v>4496</v>
      </c>
      <c r="B19" s="195">
        <v>14659.0</v>
      </c>
      <c r="C19" s="74">
        <v>0.05</v>
      </c>
      <c r="D19" s="74">
        <v>0.75</v>
      </c>
      <c r="E19" s="74">
        <v>0.75</v>
      </c>
      <c r="F19" s="11" t="s">
        <v>1656</v>
      </c>
      <c r="O19" s="11" t="s">
        <v>4496</v>
      </c>
      <c r="Q19" s="11">
        <v>2345.0</v>
      </c>
      <c r="R19" s="11" t="s">
        <v>4479</v>
      </c>
    </row>
    <row r="20">
      <c r="A20" s="7" t="s">
        <v>4497</v>
      </c>
      <c r="B20" s="195">
        <v>14646.0</v>
      </c>
      <c r="C20" s="74">
        <v>0.05</v>
      </c>
      <c r="D20" s="74">
        <v>0.75</v>
      </c>
      <c r="E20" s="74">
        <v>0.75</v>
      </c>
      <c r="F20" s="11" t="s">
        <v>1656</v>
      </c>
      <c r="O20" s="11" t="s">
        <v>4497</v>
      </c>
      <c r="Q20" s="11">
        <v>2345.0</v>
      </c>
      <c r="R20" s="11" t="s">
        <v>4479</v>
      </c>
    </row>
    <row r="21">
      <c r="A21" s="7" t="s">
        <v>4498</v>
      </c>
      <c r="B21" s="195">
        <v>6831.0</v>
      </c>
      <c r="C21" s="74">
        <v>0.05</v>
      </c>
      <c r="D21" s="74">
        <v>0.75</v>
      </c>
      <c r="E21" s="74">
        <v>0.75</v>
      </c>
      <c r="F21" s="11" t="s">
        <v>1656</v>
      </c>
      <c r="O21" s="11" t="s">
        <v>4498</v>
      </c>
      <c r="Q21" s="11">
        <v>2345.0</v>
      </c>
      <c r="R21" s="11" t="s">
        <v>4479</v>
      </c>
    </row>
    <row r="22">
      <c r="A22" s="7" t="s">
        <v>4499</v>
      </c>
      <c r="B22" s="7"/>
      <c r="C22" s="74">
        <v>0.05</v>
      </c>
      <c r="D22" s="74">
        <v>0.75</v>
      </c>
      <c r="E22" s="74">
        <v>0.75</v>
      </c>
      <c r="F22" s="11" t="s">
        <v>1656</v>
      </c>
      <c r="O22" s="11" t="s">
        <v>4499</v>
      </c>
      <c r="Q22" s="11">
        <v>7132.0</v>
      </c>
      <c r="R22" s="11" t="s">
        <v>4479</v>
      </c>
    </row>
    <row r="23">
      <c r="A23" s="7" t="s">
        <v>4500</v>
      </c>
      <c r="B23" s="195">
        <v>6669.0</v>
      </c>
      <c r="C23" s="74">
        <v>0.05</v>
      </c>
      <c r="D23" s="74">
        <v>0.75</v>
      </c>
      <c r="E23" s="74">
        <v>0.75</v>
      </c>
      <c r="F23" s="11" t="s">
        <v>1656</v>
      </c>
      <c r="O23" s="11" t="s">
        <v>4500</v>
      </c>
      <c r="Q23" s="11">
        <v>6732.0</v>
      </c>
      <c r="R23" s="11" t="s">
        <v>4479</v>
      </c>
    </row>
    <row r="24">
      <c r="A24" s="7" t="s">
        <v>4501</v>
      </c>
      <c r="B24" s="195">
        <v>6875.0</v>
      </c>
      <c r="C24" s="74">
        <v>0.05</v>
      </c>
      <c r="D24" s="74">
        <v>0.75</v>
      </c>
      <c r="E24" s="74">
        <v>0.75</v>
      </c>
      <c r="F24" s="11" t="s">
        <v>1656</v>
      </c>
      <c r="O24" s="11" t="s">
        <v>4501</v>
      </c>
      <c r="Q24" s="11">
        <v>6732.0</v>
      </c>
      <c r="R24" s="11" t="s">
        <v>4479</v>
      </c>
    </row>
    <row r="25">
      <c r="A25" s="7" t="s">
        <v>4502</v>
      </c>
      <c r="B25" s="195">
        <v>6132.0</v>
      </c>
      <c r="C25" s="74">
        <v>0.05</v>
      </c>
      <c r="D25" s="74">
        <v>0.75</v>
      </c>
      <c r="E25" s="74">
        <v>0.75</v>
      </c>
      <c r="F25" s="11" t="s">
        <v>1656</v>
      </c>
      <c r="O25" s="11" t="s">
        <v>4502</v>
      </c>
      <c r="Q25" s="11">
        <v>6732.0</v>
      </c>
      <c r="R25" s="11" t="s">
        <v>4479</v>
      </c>
    </row>
    <row r="26">
      <c r="A26" s="7" t="s">
        <v>4503</v>
      </c>
      <c r="B26" s="195">
        <v>6675.0</v>
      </c>
      <c r="C26" s="74">
        <v>0.05</v>
      </c>
      <c r="D26" s="74">
        <v>0.78</v>
      </c>
      <c r="E26" s="74">
        <v>0.78</v>
      </c>
      <c r="F26" s="11" t="s">
        <v>1656</v>
      </c>
      <c r="O26" s="11" t="s">
        <v>4503</v>
      </c>
      <c r="Q26" s="11">
        <v>6732.0</v>
      </c>
      <c r="R26" s="11" t="s">
        <v>4479</v>
      </c>
    </row>
    <row r="27">
      <c r="A27" s="7" t="s">
        <v>4504</v>
      </c>
      <c r="B27" s="195">
        <v>6732.0</v>
      </c>
      <c r="C27" s="74">
        <v>0.05</v>
      </c>
      <c r="D27" s="74">
        <v>0.78</v>
      </c>
      <c r="E27" s="74">
        <v>0.78</v>
      </c>
      <c r="F27" s="11" t="s">
        <v>1656</v>
      </c>
      <c r="O27" s="11" t="s">
        <v>4504</v>
      </c>
      <c r="Q27" s="11">
        <v>189.0</v>
      </c>
      <c r="R27" s="11" t="s">
        <v>4479</v>
      </c>
    </row>
    <row r="28">
      <c r="A28" s="7" t="s">
        <v>4505</v>
      </c>
      <c r="B28" s="195">
        <v>6732.0</v>
      </c>
      <c r="C28" s="74">
        <v>0.05</v>
      </c>
      <c r="D28" s="74">
        <v>0.78</v>
      </c>
      <c r="E28" s="74">
        <v>0.78</v>
      </c>
      <c r="F28" s="11" t="s">
        <v>1656</v>
      </c>
      <c r="O28" s="11" t="s">
        <v>4505</v>
      </c>
      <c r="Q28" s="11">
        <v>189.0</v>
      </c>
      <c r="R28" s="11" t="s">
        <v>4479</v>
      </c>
    </row>
    <row r="29">
      <c r="A29" s="7" t="s">
        <v>4506</v>
      </c>
      <c r="B29" s="195">
        <v>6732.0</v>
      </c>
      <c r="C29" s="74">
        <v>0.05</v>
      </c>
      <c r="D29" s="74">
        <v>0.78</v>
      </c>
      <c r="E29" s="74">
        <v>0.78</v>
      </c>
      <c r="F29" s="11" t="s">
        <v>1656</v>
      </c>
      <c r="O29" s="11" t="s">
        <v>4506</v>
      </c>
      <c r="Q29" s="11">
        <v>189.0</v>
      </c>
      <c r="R29" s="11" t="s">
        <v>4479</v>
      </c>
    </row>
    <row r="30">
      <c r="A30" s="7" t="s">
        <v>4507</v>
      </c>
      <c r="B30" s="195">
        <v>6779.0</v>
      </c>
      <c r="C30" s="74">
        <v>0.05</v>
      </c>
      <c r="D30" s="74">
        <v>0.75</v>
      </c>
      <c r="E30" s="74">
        <v>0.75</v>
      </c>
      <c r="F30" s="11" t="s">
        <v>1656</v>
      </c>
      <c r="O30" s="11" t="s">
        <v>4507</v>
      </c>
      <c r="Q30" s="11">
        <v>189.0</v>
      </c>
      <c r="R30" s="11" t="s">
        <v>4479</v>
      </c>
    </row>
    <row r="31">
      <c r="A31" s="7" t="s">
        <v>4508</v>
      </c>
      <c r="B31" s="195">
        <v>189.0</v>
      </c>
      <c r="C31" s="74">
        <v>0.05</v>
      </c>
      <c r="D31" s="74">
        <v>0.78</v>
      </c>
      <c r="E31" s="74">
        <v>0.78</v>
      </c>
      <c r="F31" s="11" t="s">
        <v>1656</v>
      </c>
      <c r="O31" s="11" t="s">
        <v>4508</v>
      </c>
      <c r="Q31" s="11">
        <v>6779.0</v>
      </c>
      <c r="R31" s="11" t="s">
        <v>4479</v>
      </c>
    </row>
    <row r="32">
      <c r="A32" s="7" t="s">
        <v>4509</v>
      </c>
      <c r="B32" s="7"/>
      <c r="C32" s="74">
        <v>0.05</v>
      </c>
      <c r="D32" s="74">
        <v>0.75</v>
      </c>
      <c r="E32" s="74">
        <v>0.75</v>
      </c>
      <c r="F32" s="11" t="s">
        <v>1656</v>
      </c>
      <c r="O32" s="11" t="s">
        <v>4509</v>
      </c>
      <c r="Q32" s="11">
        <v>5458.0</v>
      </c>
      <c r="R32" s="11" t="s">
        <v>4479</v>
      </c>
    </row>
    <row r="33">
      <c r="A33" s="7" t="s">
        <v>4510</v>
      </c>
      <c r="B33" s="7"/>
      <c r="C33" s="74">
        <v>0.05</v>
      </c>
      <c r="D33" s="74">
        <v>0.75</v>
      </c>
      <c r="E33" s="74">
        <v>0.75</v>
      </c>
      <c r="F33" s="11" t="s">
        <v>1656</v>
      </c>
      <c r="O33" s="11" t="s">
        <v>4510</v>
      </c>
      <c r="Q33" s="11">
        <v>5458.0</v>
      </c>
      <c r="R33" s="11" t="s">
        <v>4479</v>
      </c>
    </row>
    <row r="34">
      <c r="A34" s="7" t="s">
        <v>4511</v>
      </c>
      <c r="B34" s="66">
        <v>6924.0</v>
      </c>
      <c r="C34" s="74">
        <v>0.05</v>
      </c>
      <c r="D34" s="74">
        <v>0.78</v>
      </c>
      <c r="E34" s="74">
        <v>0.78</v>
      </c>
      <c r="F34" s="11" t="s">
        <v>1656</v>
      </c>
      <c r="O34" s="11" t="s">
        <v>4511</v>
      </c>
      <c r="Q34" s="11">
        <v>5458.0</v>
      </c>
      <c r="R34" s="11" t="s">
        <v>4479</v>
      </c>
    </row>
    <row r="35">
      <c r="A35" s="7" t="s">
        <v>4512</v>
      </c>
      <c r="B35" s="7"/>
      <c r="C35" s="74">
        <v>0.05</v>
      </c>
      <c r="D35" s="74">
        <v>0.75</v>
      </c>
      <c r="E35" s="74">
        <v>0.75</v>
      </c>
      <c r="F35" s="11" t="s">
        <v>1656</v>
      </c>
      <c r="O35" s="11" t="s">
        <v>4512</v>
      </c>
      <c r="Q35" s="11">
        <v>5458.0</v>
      </c>
      <c r="R35" s="11" t="s">
        <v>4479</v>
      </c>
    </row>
    <row r="36">
      <c r="A36" s="7" t="s">
        <v>4513</v>
      </c>
      <c r="B36" s="195">
        <v>6767.0</v>
      </c>
      <c r="C36" s="74">
        <v>0.05</v>
      </c>
      <c r="D36" s="74">
        <v>0.75</v>
      </c>
      <c r="E36" s="74">
        <v>0.75</v>
      </c>
      <c r="F36" s="11" t="s">
        <v>1656</v>
      </c>
      <c r="O36" s="11" t="s">
        <v>4513</v>
      </c>
      <c r="Q36" s="11">
        <v>986.0</v>
      </c>
      <c r="R36" s="11" t="s">
        <v>4479</v>
      </c>
    </row>
    <row r="37">
      <c r="A37" s="7" t="s">
        <v>4514</v>
      </c>
      <c r="B37" s="195">
        <v>6903.0</v>
      </c>
      <c r="C37" s="74">
        <v>0.05</v>
      </c>
      <c r="D37" s="74">
        <v>0.75</v>
      </c>
      <c r="E37" s="74">
        <v>0.75</v>
      </c>
      <c r="F37" s="11" t="s">
        <v>1656</v>
      </c>
      <c r="O37" s="11" t="s">
        <v>4514</v>
      </c>
      <c r="Q37" s="11">
        <v>986.0</v>
      </c>
      <c r="R37" s="11" t="s">
        <v>4479</v>
      </c>
    </row>
    <row r="38">
      <c r="A38" s="7" t="s">
        <v>4515</v>
      </c>
      <c r="B38" s="7"/>
      <c r="C38" s="74">
        <v>0.05</v>
      </c>
      <c r="D38" s="74">
        <v>0.75</v>
      </c>
      <c r="E38" s="74">
        <v>0.75</v>
      </c>
      <c r="F38" s="11" t="s">
        <v>1656</v>
      </c>
      <c r="G38" s="160"/>
      <c r="O38" s="11" t="s">
        <v>4515</v>
      </c>
      <c r="Q38" s="11">
        <v>986.0</v>
      </c>
      <c r="R38" s="11" t="s">
        <v>4479</v>
      </c>
    </row>
    <row r="39">
      <c r="A39" s="7" t="s">
        <v>4516</v>
      </c>
      <c r="B39" s="7"/>
      <c r="C39" s="74">
        <v>0.05</v>
      </c>
      <c r="D39" s="74">
        <v>0.75</v>
      </c>
      <c r="E39" s="74">
        <v>0.75</v>
      </c>
      <c r="F39" s="11" t="s">
        <v>1656</v>
      </c>
      <c r="O39" s="11" t="s">
        <v>4516</v>
      </c>
      <c r="Q39" s="11">
        <v>986.0</v>
      </c>
      <c r="R39" s="11" t="s">
        <v>4479</v>
      </c>
    </row>
    <row r="40">
      <c r="A40" s="7" t="s">
        <v>4517</v>
      </c>
      <c r="B40" s="7"/>
      <c r="C40" s="74">
        <v>0.05</v>
      </c>
      <c r="D40" s="74">
        <v>0.75</v>
      </c>
      <c r="E40" s="74">
        <v>0.75</v>
      </c>
      <c r="F40" s="11" t="s">
        <v>1656</v>
      </c>
      <c r="O40" s="11" t="s">
        <v>4517</v>
      </c>
      <c r="Q40" s="11">
        <v>986.0</v>
      </c>
      <c r="R40" s="11" t="s">
        <v>4479</v>
      </c>
    </row>
    <row r="41">
      <c r="A41" s="7" t="s">
        <v>4518</v>
      </c>
      <c r="B41" s="195">
        <v>14529.0</v>
      </c>
      <c r="C41" s="74">
        <v>0.05</v>
      </c>
      <c r="D41" s="74">
        <v>0.75</v>
      </c>
      <c r="E41" s="74">
        <v>0.75</v>
      </c>
      <c r="F41" s="11" t="s">
        <v>1656</v>
      </c>
      <c r="O41" s="11" t="s">
        <v>4518</v>
      </c>
      <c r="Q41" s="11">
        <v>986.0</v>
      </c>
      <c r="R41" s="11" t="s">
        <v>4479</v>
      </c>
    </row>
    <row r="42">
      <c r="A42" s="7" t="s">
        <v>4519</v>
      </c>
      <c r="B42" s="7"/>
      <c r="C42" s="74">
        <v>0.05</v>
      </c>
      <c r="D42" s="74">
        <v>0.75</v>
      </c>
      <c r="E42" s="74">
        <v>0.75</v>
      </c>
      <c r="F42" s="11" t="s">
        <v>1656</v>
      </c>
      <c r="O42" s="11" t="s">
        <v>4519</v>
      </c>
      <c r="Q42" s="11">
        <v>986.0</v>
      </c>
      <c r="R42" s="11" t="s">
        <v>4479</v>
      </c>
    </row>
    <row r="43">
      <c r="A43" s="7" t="s">
        <v>4520</v>
      </c>
      <c r="B43" s="7"/>
      <c r="C43" s="74">
        <v>0.05</v>
      </c>
      <c r="D43" s="74">
        <v>0.75</v>
      </c>
      <c r="E43" s="74">
        <v>0.75</v>
      </c>
      <c r="F43" s="11" t="s">
        <v>1656</v>
      </c>
      <c r="O43" s="11" t="s">
        <v>4520</v>
      </c>
      <c r="Q43" s="11">
        <v>6133.0</v>
      </c>
      <c r="R43" s="11" t="s">
        <v>4479</v>
      </c>
    </row>
    <row r="44">
      <c r="A44" s="7" t="s">
        <v>4521</v>
      </c>
      <c r="B44" s="7"/>
      <c r="C44" s="74">
        <v>0.05</v>
      </c>
      <c r="D44" s="74">
        <v>0.75</v>
      </c>
      <c r="E44" s="74">
        <v>0.75</v>
      </c>
      <c r="F44" s="11" t="s">
        <v>1656</v>
      </c>
      <c r="O44" s="11" t="s">
        <v>4521</v>
      </c>
      <c r="Q44" s="11">
        <v>6133.0</v>
      </c>
      <c r="R44" s="11" t="s">
        <v>4479</v>
      </c>
    </row>
    <row r="45">
      <c r="A45" s="7" t="s">
        <v>4522</v>
      </c>
      <c r="B45" s="66">
        <v>7083.0</v>
      </c>
      <c r="C45" s="74">
        <v>0.05</v>
      </c>
      <c r="D45" s="74">
        <v>0.75</v>
      </c>
      <c r="E45" s="74">
        <v>0.75</v>
      </c>
      <c r="F45" s="11" t="s">
        <v>1656</v>
      </c>
      <c r="O45" s="11" t="s">
        <v>4522</v>
      </c>
      <c r="Q45" s="11">
        <v>6557.0</v>
      </c>
      <c r="R45" s="11" t="s">
        <v>4479</v>
      </c>
    </row>
    <row r="46">
      <c r="A46" s="7" t="s">
        <v>4523</v>
      </c>
      <c r="B46" s="195">
        <v>14505.0</v>
      </c>
      <c r="C46" s="74">
        <v>0.05</v>
      </c>
      <c r="D46" s="74">
        <v>0.75</v>
      </c>
      <c r="E46" s="74">
        <v>0.75</v>
      </c>
      <c r="F46" s="11" t="s">
        <v>1656</v>
      </c>
      <c r="O46" s="11" t="s">
        <v>4523</v>
      </c>
      <c r="Q46" s="11">
        <v>6557.0</v>
      </c>
      <c r="R46" s="11" t="s">
        <v>4479</v>
      </c>
    </row>
    <row r="47">
      <c r="A47" s="7" t="s">
        <v>4524</v>
      </c>
      <c r="B47" s="7"/>
      <c r="C47" s="74">
        <v>0.05</v>
      </c>
      <c r="D47" s="74">
        <v>0.75</v>
      </c>
      <c r="E47" s="74">
        <v>0.75</v>
      </c>
      <c r="F47" s="11" t="s">
        <v>1656</v>
      </c>
      <c r="O47" s="11" t="s">
        <v>4524</v>
      </c>
      <c r="Q47" s="11">
        <v>6557.0</v>
      </c>
      <c r="R47" s="11" t="s">
        <v>4479</v>
      </c>
    </row>
    <row r="48">
      <c r="A48" s="7" t="s">
        <v>4525</v>
      </c>
      <c r="B48" s="7"/>
      <c r="C48" s="74">
        <v>0.05</v>
      </c>
      <c r="D48" s="74">
        <v>0.75</v>
      </c>
      <c r="E48" s="74">
        <v>0.75</v>
      </c>
      <c r="F48" s="11" t="s">
        <v>1656</v>
      </c>
      <c r="O48" s="11" t="s">
        <v>4525</v>
      </c>
      <c r="Q48" s="11">
        <v>6557.0</v>
      </c>
      <c r="R48" s="11" t="s">
        <v>4479</v>
      </c>
    </row>
    <row r="49">
      <c r="A49" s="7" t="s">
        <v>4526</v>
      </c>
      <c r="B49" s="7"/>
      <c r="C49" s="74">
        <v>0.05</v>
      </c>
      <c r="D49" s="74">
        <v>0.75</v>
      </c>
      <c r="E49" s="74">
        <v>0.75</v>
      </c>
      <c r="F49" s="11" t="s">
        <v>1656</v>
      </c>
      <c r="O49" s="11" t="s">
        <v>4526</v>
      </c>
      <c r="Q49" s="11">
        <v>6557.0</v>
      </c>
      <c r="R49" s="11" t="s">
        <v>4479</v>
      </c>
    </row>
    <row r="50">
      <c r="A50" s="7" t="s">
        <v>4527</v>
      </c>
      <c r="B50" s="7"/>
      <c r="C50" s="74">
        <v>0.05</v>
      </c>
      <c r="D50" s="74">
        <v>0.75</v>
      </c>
      <c r="E50" s="74">
        <v>0.75</v>
      </c>
      <c r="F50" s="11" t="s">
        <v>1656</v>
      </c>
      <c r="O50" s="11" t="s">
        <v>4527</v>
      </c>
      <c r="Q50" s="11">
        <v>6947.0</v>
      </c>
      <c r="R50" s="11" t="s">
        <v>4479</v>
      </c>
    </row>
    <row r="51">
      <c r="A51" s="7" t="s">
        <v>4528</v>
      </c>
      <c r="B51" s="66">
        <v>11708.0</v>
      </c>
      <c r="C51" s="74">
        <v>0.05</v>
      </c>
      <c r="D51" s="74">
        <v>0.75</v>
      </c>
      <c r="E51" s="74">
        <v>0.75</v>
      </c>
      <c r="F51" s="11" t="s">
        <v>1656</v>
      </c>
      <c r="O51" s="11" t="s">
        <v>4528</v>
      </c>
      <c r="Q51" s="11">
        <v>6772.0</v>
      </c>
      <c r="R51" s="11" t="s">
        <v>4479</v>
      </c>
    </row>
    <row r="52">
      <c r="A52" s="7" t="s">
        <v>4529</v>
      </c>
      <c r="B52" s="7"/>
      <c r="C52" s="74">
        <v>0.05</v>
      </c>
      <c r="D52" s="74">
        <v>0.75</v>
      </c>
      <c r="E52" s="74">
        <v>0.75</v>
      </c>
      <c r="F52" s="11" t="s">
        <v>1656</v>
      </c>
      <c r="O52" s="11" t="s">
        <v>4529</v>
      </c>
      <c r="Q52" s="11">
        <v>6978.0</v>
      </c>
      <c r="R52" s="11" t="s">
        <v>4479</v>
      </c>
    </row>
    <row r="53">
      <c r="A53" s="7" t="s">
        <v>4530</v>
      </c>
      <c r="B53" s="7"/>
      <c r="C53" s="74">
        <v>0.05</v>
      </c>
      <c r="D53" s="74">
        <v>0.75</v>
      </c>
      <c r="E53" s="74">
        <v>0.75</v>
      </c>
      <c r="F53" s="11" t="s">
        <v>1656</v>
      </c>
      <c r="O53" s="11" t="s">
        <v>4530</v>
      </c>
      <c r="Q53" s="11">
        <v>6272.0</v>
      </c>
      <c r="R53" s="11" t="s">
        <v>4479</v>
      </c>
    </row>
    <row r="54">
      <c r="A54" s="7" t="s">
        <v>4531</v>
      </c>
      <c r="B54" s="7"/>
      <c r="C54" s="74">
        <v>0.05</v>
      </c>
      <c r="D54" s="74">
        <v>0.75</v>
      </c>
      <c r="E54" s="74">
        <v>0.75</v>
      </c>
      <c r="F54" s="11" t="s">
        <v>1656</v>
      </c>
      <c r="O54" s="11" t="s">
        <v>4531</v>
      </c>
      <c r="Q54" s="11">
        <v>663.0</v>
      </c>
      <c r="R54" s="11" t="s">
        <v>4479</v>
      </c>
    </row>
    <row r="55">
      <c r="A55" s="7" t="s">
        <v>4532</v>
      </c>
      <c r="B55" s="7"/>
      <c r="C55" s="74">
        <v>0.05</v>
      </c>
      <c r="D55" s="74">
        <v>0.75</v>
      </c>
      <c r="E55" s="74">
        <v>0.75</v>
      </c>
      <c r="F55" s="11" t="s">
        <v>1656</v>
      </c>
      <c r="O55" s="11" t="s">
        <v>4532</v>
      </c>
      <c r="Q55" s="11">
        <v>663.0</v>
      </c>
      <c r="R55" s="11" t="s">
        <v>4479</v>
      </c>
    </row>
    <row r="56">
      <c r="A56" s="7" t="s">
        <v>4533</v>
      </c>
      <c r="B56" s="66">
        <v>11601.0</v>
      </c>
      <c r="C56" s="74">
        <v>0.05</v>
      </c>
      <c r="D56" s="74">
        <v>0.75</v>
      </c>
      <c r="E56" s="74">
        <v>0.75</v>
      </c>
      <c r="F56" s="11" t="s">
        <v>1656</v>
      </c>
      <c r="O56" s="11" t="s">
        <v>4533</v>
      </c>
      <c r="Q56" s="11">
        <v>1130.0</v>
      </c>
      <c r="R56" s="11" t="s">
        <v>4479</v>
      </c>
      <c r="S56" s="11">
        <v>499.0</v>
      </c>
    </row>
    <row r="57">
      <c r="A57" s="7" t="s">
        <v>4534</v>
      </c>
      <c r="B57" s="7"/>
      <c r="C57" s="74">
        <v>0.05</v>
      </c>
      <c r="D57" s="74">
        <v>0.75</v>
      </c>
      <c r="E57" s="74">
        <v>0.75</v>
      </c>
      <c r="F57" s="11" t="s">
        <v>1656</v>
      </c>
      <c r="O57" s="11" t="s">
        <v>4534</v>
      </c>
      <c r="Q57" s="11">
        <v>7008.0</v>
      </c>
      <c r="R57" s="11" t="s">
        <v>4479</v>
      </c>
    </row>
    <row r="58">
      <c r="A58" s="7" t="s">
        <v>4535</v>
      </c>
      <c r="B58" s="7"/>
      <c r="C58" s="74">
        <v>0.05</v>
      </c>
      <c r="D58" s="74">
        <v>0.75</v>
      </c>
      <c r="E58" s="74">
        <v>0.75</v>
      </c>
      <c r="F58" s="11" t="s">
        <v>1656</v>
      </c>
      <c r="O58" s="11" t="s">
        <v>4535</v>
      </c>
      <c r="Q58" s="11">
        <v>7008.0</v>
      </c>
      <c r="R58" s="11" t="s">
        <v>4479</v>
      </c>
    </row>
    <row r="59">
      <c r="A59" s="7" t="s">
        <v>4536</v>
      </c>
      <c r="B59" s="7"/>
      <c r="C59" s="74">
        <v>0.05</v>
      </c>
      <c r="D59" s="74">
        <v>0.75</v>
      </c>
      <c r="E59" s="74">
        <v>0.75</v>
      </c>
      <c r="F59" s="11" t="s">
        <v>1656</v>
      </c>
      <c r="O59" s="11" t="s">
        <v>4536</v>
      </c>
      <c r="Q59" s="11">
        <v>3920.0</v>
      </c>
      <c r="R59" s="11" t="s">
        <v>4479</v>
      </c>
    </row>
    <row r="60">
      <c r="A60" s="7" t="s">
        <v>4537</v>
      </c>
      <c r="B60" s="7"/>
      <c r="C60" s="74">
        <v>0.05</v>
      </c>
      <c r="D60" s="74">
        <v>0.75</v>
      </c>
      <c r="E60" s="74">
        <v>0.75</v>
      </c>
      <c r="F60" s="11" t="s">
        <v>1656</v>
      </c>
      <c r="O60" s="11" t="s">
        <v>4537</v>
      </c>
      <c r="Q60" s="11">
        <v>5125.0</v>
      </c>
      <c r="R60" s="11" t="s">
        <v>4479</v>
      </c>
    </row>
    <row r="61">
      <c r="A61" s="7" t="s">
        <v>4538</v>
      </c>
      <c r="B61" s="129">
        <v>14482.0</v>
      </c>
      <c r="C61" s="74">
        <v>0.05</v>
      </c>
      <c r="D61" s="74">
        <v>0.75</v>
      </c>
      <c r="E61" s="74">
        <v>0.75</v>
      </c>
      <c r="F61" s="11" t="s">
        <v>1656</v>
      </c>
      <c r="O61" s="11" t="s">
        <v>4538</v>
      </c>
      <c r="Q61" s="11">
        <v>6675.0</v>
      </c>
      <c r="R61" s="11" t="s">
        <v>4479</v>
      </c>
    </row>
    <row r="62">
      <c r="A62" s="7" t="s">
        <v>4539</v>
      </c>
      <c r="B62" s="195">
        <v>14603.0</v>
      </c>
      <c r="C62" s="74">
        <v>0.05</v>
      </c>
      <c r="D62" s="74">
        <v>0.75</v>
      </c>
      <c r="E62" s="74">
        <v>0.75</v>
      </c>
      <c r="F62" s="11" t="s">
        <v>1656</v>
      </c>
      <c r="O62" s="11" t="s">
        <v>4539</v>
      </c>
      <c r="Q62" s="11">
        <v>6132.0</v>
      </c>
      <c r="R62" s="11" t="s">
        <v>4479</v>
      </c>
    </row>
    <row r="63">
      <c r="A63" s="7" t="s">
        <v>4540</v>
      </c>
      <c r="B63" s="195">
        <v>14603.0</v>
      </c>
      <c r="C63" s="74">
        <v>0.05</v>
      </c>
      <c r="D63" s="74">
        <v>0.75</v>
      </c>
      <c r="E63" s="74">
        <v>0.75</v>
      </c>
      <c r="F63" s="11" t="s">
        <v>1656</v>
      </c>
      <c r="O63" s="11" t="s">
        <v>4540</v>
      </c>
      <c r="Q63" s="11">
        <v>7055.0</v>
      </c>
      <c r="R63" s="11" t="s">
        <v>4479</v>
      </c>
    </row>
    <row r="64">
      <c r="A64" s="7" t="s">
        <v>4541</v>
      </c>
      <c r="B64" s="195">
        <v>14603.0</v>
      </c>
      <c r="C64" s="74">
        <v>0.05</v>
      </c>
      <c r="D64" s="74">
        <v>0.75</v>
      </c>
      <c r="E64" s="74">
        <v>0.75</v>
      </c>
      <c r="F64" s="11" t="s">
        <v>1656</v>
      </c>
      <c r="O64" s="11" t="s">
        <v>4541</v>
      </c>
      <c r="Q64" s="11">
        <v>6998.0</v>
      </c>
      <c r="R64" s="11" t="s">
        <v>4479</v>
      </c>
    </row>
    <row r="65">
      <c r="A65" s="7" t="s">
        <v>4542</v>
      </c>
      <c r="B65" s="195">
        <v>14603.0</v>
      </c>
      <c r="C65" s="74">
        <v>0.05</v>
      </c>
      <c r="D65" s="74">
        <v>0.75</v>
      </c>
      <c r="E65" s="74">
        <v>0.75</v>
      </c>
      <c r="F65" s="11" t="s">
        <v>1656</v>
      </c>
      <c r="O65" s="11" t="s">
        <v>4542</v>
      </c>
      <c r="Q65" s="11">
        <v>1360.0</v>
      </c>
      <c r="R65" s="11" t="s">
        <v>4479</v>
      </c>
    </row>
    <row r="66">
      <c r="A66" s="7" t="s">
        <v>4543</v>
      </c>
      <c r="B66" s="195">
        <v>14603.0</v>
      </c>
      <c r="C66" s="74">
        <v>0.05</v>
      </c>
      <c r="D66" s="74">
        <v>0.75</v>
      </c>
      <c r="E66" s="74">
        <v>0.75</v>
      </c>
      <c r="F66" s="11" t="s">
        <v>1656</v>
      </c>
      <c r="O66" s="11" t="s">
        <v>4543</v>
      </c>
      <c r="Q66" s="11">
        <v>6727.0</v>
      </c>
      <c r="R66" s="11" t="s">
        <v>4479</v>
      </c>
    </row>
    <row r="67">
      <c r="A67" s="7" t="s">
        <v>4544</v>
      </c>
      <c r="B67" s="66">
        <v>7157.0</v>
      </c>
      <c r="C67" s="74">
        <v>0.05</v>
      </c>
      <c r="D67" s="74">
        <v>0.75</v>
      </c>
      <c r="E67" s="74">
        <v>0.75</v>
      </c>
      <c r="F67" s="11" t="s">
        <v>1656</v>
      </c>
      <c r="O67" s="11" t="s">
        <v>4544</v>
      </c>
      <c r="Q67" s="9">
        <v>6729.0</v>
      </c>
      <c r="R67" s="11" t="s">
        <v>4479</v>
      </c>
      <c r="S67" s="11">
        <v>6727.0</v>
      </c>
    </row>
    <row r="68">
      <c r="A68" s="7" t="s">
        <v>4545</v>
      </c>
      <c r="B68" s="7"/>
      <c r="C68" s="74">
        <v>0.05</v>
      </c>
      <c r="D68" s="74">
        <v>0.75</v>
      </c>
      <c r="E68" s="74">
        <v>0.75</v>
      </c>
      <c r="F68" s="11" t="s">
        <v>1656</v>
      </c>
      <c r="O68" s="11" t="s">
        <v>4545</v>
      </c>
      <c r="Q68" s="11">
        <v>6727.0</v>
      </c>
      <c r="R68" s="11" t="s">
        <v>4479</v>
      </c>
    </row>
    <row r="69">
      <c r="A69" s="7" t="s">
        <v>4546</v>
      </c>
      <c r="B69" s="7"/>
      <c r="C69" s="74">
        <v>0.05</v>
      </c>
      <c r="D69" s="74">
        <v>0.75</v>
      </c>
      <c r="E69" s="74">
        <v>0.75</v>
      </c>
      <c r="F69" s="11" t="s">
        <v>1656</v>
      </c>
      <c r="O69" s="11" t="s">
        <v>4546</v>
      </c>
      <c r="Q69" s="11">
        <v>6727.0</v>
      </c>
      <c r="R69" s="11" t="s">
        <v>4479</v>
      </c>
    </row>
    <row r="70">
      <c r="A70" s="7" t="s">
        <v>4547</v>
      </c>
      <c r="B70" s="7"/>
      <c r="C70" s="74">
        <v>0.05</v>
      </c>
      <c r="D70" s="74">
        <v>0.75</v>
      </c>
      <c r="E70" s="74">
        <v>0.75</v>
      </c>
      <c r="F70" s="11" t="s">
        <v>1656</v>
      </c>
      <c r="O70" s="11" t="s">
        <v>4547</v>
      </c>
      <c r="Q70" s="11">
        <v>6998.0</v>
      </c>
      <c r="R70" s="11" t="s">
        <v>4479</v>
      </c>
    </row>
    <row r="71">
      <c r="A71" s="7" t="s">
        <v>4548</v>
      </c>
      <c r="B71" s="195">
        <v>11875.0</v>
      </c>
      <c r="C71" s="74">
        <v>0.05</v>
      </c>
      <c r="D71" s="74">
        <v>0.75</v>
      </c>
      <c r="E71" s="74">
        <v>0.75</v>
      </c>
      <c r="F71" s="11" t="s">
        <v>1656</v>
      </c>
      <c r="O71" s="11" t="s">
        <v>4548</v>
      </c>
      <c r="Q71" s="11">
        <v>1360.0</v>
      </c>
      <c r="R71" s="11" t="s">
        <v>4479</v>
      </c>
    </row>
    <row r="72">
      <c r="A72" s="7" t="s">
        <v>4549</v>
      </c>
      <c r="B72" s="195">
        <v>14603.0</v>
      </c>
      <c r="C72" s="74">
        <v>0.05</v>
      </c>
      <c r="D72" s="74">
        <v>0.75</v>
      </c>
      <c r="E72" s="74">
        <v>0.75</v>
      </c>
      <c r="F72" s="11" t="s">
        <v>1656</v>
      </c>
      <c r="O72" s="11" t="s">
        <v>4549</v>
      </c>
      <c r="Q72" s="11">
        <v>6671.0</v>
      </c>
      <c r="R72" s="11" t="s">
        <v>4479</v>
      </c>
    </row>
    <row r="73">
      <c r="A73" s="7" t="s">
        <v>4550</v>
      </c>
      <c r="B73" s="195">
        <v>14603.0</v>
      </c>
      <c r="C73" s="74">
        <v>0.05</v>
      </c>
      <c r="D73" s="74">
        <v>0.75</v>
      </c>
      <c r="E73" s="74">
        <v>0.75</v>
      </c>
      <c r="F73" s="11" t="s">
        <v>1656</v>
      </c>
      <c r="O73" s="11" t="s">
        <v>4550</v>
      </c>
      <c r="Q73" s="11">
        <v>6671.0</v>
      </c>
      <c r="R73" s="11" t="s">
        <v>4479</v>
      </c>
    </row>
    <row r="74">
      <c r="A74" s="7" t="s">
        <v>4551</v>
      </c>
      <c r="B74" s="195">
        <v>14603.0</v>
      </c>
      <c r="C74" s="74">
        <v>0.05</v>
      </c>
      <c r="D74" s="74">
        <v>0.75</v>
      </c>
      <c r="E74" s="74">
        <v>0.75</v>
      </c>
      <c r="F74" s="11" t="s">
        <v>1656</v>
      </c>
      <c r="O74" s="11" t="s">
        <v>4551</v>
      </c>
      <c r="Q74" s="11">
        <v>6671.0</v>
      </c>
      <c r="R74" s="11" t="s">
        <v>4479</v>
      </c>
    </row>
    <row r="75">
      <c r="A75" s="7" t="s">
        <v>4552</v>
      </c>
      <c r="B75" s="195">
        <v>14603.0</v>
      </c>
      <c r="C75" s="74">
        <v>0.05</v>
      </c>
      <c r="D75" s="74">
        <v>0.75</v>
      </c>
      <c r="E75" s="74">
        <v>0.75</v>
      </c>
      <c r="F75" s="11" t="s">
        <v>1656</v>
      </c>
      <c r="O75" s="11" t="s">
        <v>4552</v>
      </c>
      <c r="Q75" s="11">
        <v>6750.0</v>
      </c>
      <c r="R75" s="11" t="s">
        <v>4479</v>
      </c>
    </row>
    <row r="76">
      <c r="A76" s="7" t="s">
        <v>4553</v>
      </c>
      <c r="B76" s="195">
        <v>14603.0</v>
      </c>
      <c r="C76" s="74">
        <v>0.05</v>
      </c>
      <c r="D76" s="74">
        <v>0.75</v>
      </c>
      <c r="E76" s="74">
        <v>0.75</v>
      </c>
      <c r="F76" s="11" t="s">
        <v>1656</v>
      </c>
      <c r="O76" s="11" t="s">
        <v>4553</v>
      </c>
      <c r="Q76" s="11">
        <v>3404.0</v>
      </c>
      <c r="R76" s="11" t="s">
        <v>4479</v>
      </c>
    </row>
    <row r="77">
      <c r="A77" s="7" t="s">
        <v>4554</v>
      </c>
      <c r="B77" s="7"/>
      <c r="C77" s="74">
        <v>0.05</v>
      </c>
      <c r="D77" s="74">
        <v>0.75</v>
      </c>
      <c r="E77" s="74">
        <v>0.75</v>
      </c>
      <c r="F77" s="11" t="s">
        <v>1656</v>
      </c>
      <c r="O77" s="11" t="s">
        <v>4554</v>
      </c>
      <c r="Q77" s="11">
        <v>7123.0</v>
      </c>
      <c r="R77" s="11" t="s">
        <v>4479</v>
      </c>
    </row>
    <row r="78">
      <c r="A78" s="7" t="s">
        <v>4555</v>
      </c>
      <c r="B78" s="66">
        <v>6924.0</v>
      </c>
      <c r="C78" s="74">
        <v>0.05</v>
      </c>
      <c r="D78" s="74">
        <v>0.78</v>
      </c>
      <c r="E78" s="74">
        <v>0.78</v>
      </c>
      <c r="F78" s="11" t="s">
        <v>1656</v>
      </c>
      <c r="O78" s="11" t="s">
        <v>4555</v>
      </c>
      <c r="Q78" s="11">
        <v>3404.0</v>
      </c>
      <c r="R78" s="11" t="s">
        <v>4479</v>
      </c>
    </row>
    <row r="79">
      <c r="A79" s="7" t="s">
        <v>4556</v>
      </c>
      <c r="B79" s="7"/>
      <c r="C79" s="74">
        <v>0.05</v>
      </c>
      <c r="D79" s="74">
        <v>0.75</v>
      </c>
      <c r="E79" s="74">
        <v>0.75</v>
      </c>
      <c r="F79" s="11" t="s">
        <v>1656</v>
      </c>
      <c r="O79" s="11" t="s">
        <v>4556</v>
      </c>
      <c r="Q79" s="11">
        <v>6887.0</v>
      </c>
      <c r="R79" s="11" t="s">
        <v>4479</v>
      </c>
    </row>
    <row r="80">
      <c r="A80" s="7" t="s">
        <v>4557</v>
      </c>
      <c r="B80" s="7"/>
      <c r="C80" s="74">
        <v>0.05</v>
      </c>
      <c r="D80" s="74">
        <v>0.75</v>
      </c>
      <c r="E80" s="74">
        <v>0.75</v>
      </c>
      <c r="F80" s="11" t="s">
        <v>1656</v>
      </c>
      <c r="O80" s="11" t="s">
        <v>4557</v>
      </c>
      <c r="Q80" s="11">
        <v>930.0</v>
      </c>
      <c r="R80" s="11" t="s">
        <v>4479</v>
      </c>
    </row>
    <row r="81">
      <c r="A81" s="7" t="s">
        <v>4558</v>
      </c>
      <c r="B81" s="195">
        <v>7142.0</v>
      </c>
      <c r="C81" s="74">
        <v>0.05</v>
      </c>
      <c r="D81" s="74">
        <v>0.75</v>
      </c>
      <c r="E81" s="74">
        <v>0.75</v>
      </c>
      <c r="F81" s="11" t="s">
        <v>1656</v>
      </c>
      <c r="O81" s="11" t="s">
        <v>4558</v>
      </c>
      <c r="Q81" s="11">
        <v>136.0</v>
      </c>
      <c r="R81" s="11" t="s">
        <v>4479</v>
      </c>
    </row>
    <row r="82">
      <c r="A82" s="7" t="s">
        <v>4559</v>
      </c>
      <c r="B82" s="7"/>
      <c r="C82" s="74">
        <v>0.05</v>
      </c>
      <c r="D82" s="74">
        <v>0.75</v>
      </c>
      <c r="E82" s="74">
        <v>0.75</v>
      </c>
      <c r="F82" s="11" t="s">
        <v>1656</v>
      </c>
      <c r="O82" s="11" t="s">
        <v>4559</v>
      </c>
      <c r="Q82" s="11">
        <v>6727.0</v>
      </c>
      <c r="R82" s="11" t="s">
        <v>4479</v>
      </c>
    </row>
    <row r="83">
      <c r="A83" s="7" t="s">
        <v>4560</v>
      </c>
      <c r="B83" s="7"/>
      <c r="C83" s="74">
        <v>0.05</v>
      </c>
      <c r="D83" s="74">
        <v>0.75</v>
      </c>
      <c r="E83" s="74">
        <v>0.75</v>
      </c>
      <c r="F83" s="11" t="s">
        <v>1656</v>
      </c>
      <c r="O83" s="11" t="s">
        <v>4560</v>
      </c>
      <c r="Q83" s="11">
        <v>6727.0</v>
      </c>
      <c r="R83" s="11" t="s">
        <v>4479</v>
      </c>
    </row>
    <row r="84">
      <c r="A84" s="7" t="s">
        <v>4561</v>
      </c>
      <c r="B84" s="7"/>
      <c r="C84" s="74">
        <v>0.05</v>
      </c>
      <c r="D84" s="74">
        <v>0.75</v>
      </c>
      <c r="E84" s="74">
        <v>0.75</v>
      </c>
      <c r="F84" s="11" t="s">
        <v>1656</v>
      </c>
      <c r="O84" s="11" t="s">
        <v>4561</v>
      </c>
      <c r="Q84" s="11">
        <v>6727.0</v>
      </c>
      <c r="R84" s="11" t="s">
        <v>4479</v>
      </c>
    </row>
    <row r="85">
      <c r="A85" s="7" t="s">
        <v>4562</v>
      </c>
      <c r="B85" s="7"/>
      <c r="C85" s="74">
        <v>0.05</v>
      </c>
      <c r="D85" s="74">
        <v>0.75</v>
      </c>
      <c r="E85" s="74">
        <v>0.75</v>
      </c>
      <c r="F85" s="11" t="s">
        <v>1656</v>
      </c>
      <c r="O85" s="11" t="s">
        <v>4562</v>
      </c>
      <c r="Q85" s="11">
        <v>6727.0</v>
      </c>
      <c r="R85" s="11" t="s">
        <v>4479</v>
      </c>
    </row>
    <row r="86">
      <c r="A86" s="7" t="s">
        <v>4563</v>
      </c>
      <c r="B86" s="195">
        <v>6772.0</v>
      </c>
      <c r="C86" s="74">
        <v>0.05</v>
      </c>
      <c r="D86" s="74">
        <v>0.75</v>
      </c>
      <c r="E86" s="74">
        <v>0.75</v>
      </c>
      <c r="F86" s="11" t="s">
        <v>1656</v>
      </c>
      <c r="O86" s="11" t="s">
        <v>4563</v>
      </c>
      <c r="Q86" s="11">
        <v>6727.0</v>
      </c>
      <c r="R86" s="11" t="s">
        <v>4479</v>
      </c>
    </row>
    <row r="87">
      <c r="A87" s="7" t="s">
        <v>4564</v>
      </c>
      <c r="B87" s="7"/>
      <c r="C87" s="74">
        <v>0.05</v>
      </c>
      <c r="D87" s="74">
        <v>0.75</v>
      </c>
      <c r="E87" s="74">
        <v>0.75</v>
      </c>
      <c r="F87" s="11" t="s">
        <v>1656</v>
      </c>
      <c r="O87" s="11" t="s">
        <v>4564</v>
      </c>
      <c r="Q87" s="11">
        <v>4933.0</v>
      </c>
      <c r="R87" s="11" t="s">
        <v>4479</v>
      </c>
    </row>
    <row r="88">
      <c r="A88" s="7" t="s">
        <v>4565</v>
      </c>
      <c r="B88" s="7"/>
      <c r="C88" s="74">
        <v>0.05</v>
      </c>
      <c r="D88" s="74">
        <v>0.75</v>
      </c>
      <c r="E88" s="74">
        <v>0.75</v>
      </c>
      <c r="F88" s="11" t="s">
        <v>1656</v>
      </c>
      <c r="O88" s="11" t="s">
        <v>4565</v>
      </c>
      <c r="Q88" s="11">
        <v>4933.0</v>
      </c>
      <c r="R88" s="11" t="s">
        <v>4479</v>
      </c>
    </row>
    <row r="89">
      <c r="A89" s="7" t="s">
        <v>4566</v>
      </c>
      <c r="B89" s="66">
        <v>6829.0</v>
      </c>
      <c r="C89" s="74">
        <v>0.05</v>
      </c>
      <c r="D89" s="74">
        <v>0.75</v>
      </c>
      <c r="E89" s="74">
        <v>0.75</v>
      </c>
      <c r="F89" s="11" t="s">
        <v>1656</v>
      </c>
      <c r="O89" s="11" t="s">
        <v>4566</v>
      </c>
      <c r="Q89" s="11">
        <v>4933.0</v>
      </c>
      <c r="R89" s="11" t="s">
        <v>4479</v>
      </c>
    </row>
    <row r="90">
      <c r="A90" s="7" t="s">
        <v>4567</v>
      </c>
      <c r="B90" s="7"/>
      <c r="C90" s="74">
        <v>0.05</v>
      </c>
      <c r="D90" s="74">
        <v>0.75</v>
      </c>
      <c r="E90" s="74">
        <v>0.75</v>
      </c>
      <c r="F90" s="11" t="s">
        <v>1656</v>
      </c>
      <c r="O90" s="11" t="s">
        <v>4567</v>
      </c>
      <c r="Q90" s="11">
        <v>4933.0</v>
      </c>
      <c r="R90" s="11" t="s">
        <v>4479</v>
      </c>
    </row>
    <row r="91">
      <c r="A91" s="7" t="s">
        <v>4568</v>
      </c>
      <c r="B91" s="195">
        <v>2345.0</v>
      </c>
      <c r="C91" s="74">
        <v>0.05</v>
      </c>
      <c r="D91" s="74">
        <v>0.9</v>
      </c>
      <c r="E91" s="74">
        <v>0.9</v>
      </c>
      <c r="F91" s="11" t="s">
        <v>1656</v>
      </c>
      <c r="O91" s="11" t="s">
        <v>4568</v>
      </c>
      <c r="Q91" s="11">
        <v>4933.0</v>
      </c>
      <c r="R91" s="11" t="s">
        <v>4479</v>
      </c>
    </row>
    <row r="92">
      <c r="A92" s="7" t="s">
        <v>4569</v>
      </c>
      <c r="B92" s="195">
        <v>2345.0</v>
      </c>
      <c r="C92" s="74">
        <v>0.05</v>
      </c>
      <c r="D92" s="74">
        <v>0.9</v>
      </c>
      <c r="E92" s="74">
        <v>0.9</v>
      </c>
      <c r="F92" s="11" t="s">
        <v>1656</v>
      </c>
      <c r="O92" s="11" t="s">
        <v>4569</v>
      </c>
      <c r="Q92" s="11">
        <v>6726.0</v>
      </c>
      <c r="R92" s="11" t="s">
        <v>4479</v>
      </c>
    </row>
    <row r="93">
      <c r="A93" s="7" t="s">
        <v>4570</v>
      </c>
      <c r="B93" s="195">
        <v>2345.0</v>
      </c>
      <c r="C93" s="74">
        <v>0.05</v>
      </c>
      <c r="D93" s="74">
        <v>0.9</v>
      </c>
      <c r="E93" s="74">
        <v>0.9</v>
      </c>
      <c r="F93" s="11" t="s">
        <v>1656</v>
      </c>
      <c r="O93" s="11" t="s">
        <v>4570</v>
      </c>
      <c r="Q93" s="11">
        <v>6726.0</v>
      </c>
      <c r="R93" s="11" t="s">
        <v>4479</v>
      </c>
    </row>
    <row r="94">
      <c r="A94" s="7" t="s">
        <v>4571</v>
      </c>
      <c r="B94" s="195">
        <v>2345.0</v>
      </c>
      <c r="C94" s="74">
        <v>0.05</v>
      </c>
      <c r="D94" s="74">
        <v>0.9</v>
      </c>
      <c r="E94" s="74">
        <v>0.9</v>
      </c>
      <c r="F94" s="11" t="s">
        <v>1656</v>
      </c>
      <c r="O94" s="11" t="s">
        <v>4571</v>
      </c>
      <c r="Q94" s="11">
        <v>7032.0</v>
      </c>
      <c r="R94" s="11" t="s">
        <v>4479</v>
      </c>
    </row>
    <row r="95">
      <c r="A95" s="7" t="s">
        <v>4572</v>
      </c>
      <c r="B95" s="195">
        <v>2345.0</v>
      </c>
      <c r="C95" s="74">
        <v>0.05</v>
      </c>
      <c r="D95" s="74">
        <v>0.9</v>
      </c>
      <c r="E95" s="74">
        <v>0.9</v>
      </c>
      <c r="F95" s="11" t="s">
        <v>1656</v>
      </c>
      <c r="O95" s="11" t="s">
        <v>4572</v>
      </c>
      <c r="Q95" s="11">
        <v>7123.0</v>
      </c>
      <c r="R95" s="11" t="s">
        <v>4479</v>
      </c>
    </row>
    <row r="96">
      <c r="A96" s="7" t="s">
        <v>4573</v>
      </c>
      <c r="B96" s="195">
        <v>2345.0</v>
      </c>
      <c r="C96" s="74">
        <v>0.05</v>
      </c>
      <c r="D96" s="74">
        <v>0.9</v>
      </c>
      <c r="E96" s="74">
        <v>0.9</v>
      </c>
      <c r="F96" s="11" t="s">
        <v>1656</v>
      </c>
      <c r="O96" s="11" t="s">
        <v>4573</v>
      </c>
      <c r="Q96" s="11">
        <v>7010.0</v>
      </c>
      <c r="R96" s="11" t="s">
        <v>4479</v>
      </c>
    </row>
    <row r="97">
      <c r="A97" s="7" t="s">
        <v>4574</v>
      </c>
      <c r="B97" s="195">
        <v>2345.0</v>
      </c>
      <c r="C97" s="74">
        <v>0.05</v>
      </c>
      <c r="D97" s="74">
        <v>0.9</v>
      </c>
      <c r="E97" s="74">
        <v>0.9</v>
      </c>
      <c r="F97" s="11" t="s">
        <v>1656</v>
      </c>
      <c r="O97" s="11" t="s">
        <v>4574</v>
      </c>
      <c r="Q97" s="11">
        <v>189.0</v>
      </c>
      <c r="R97" s="11" t="s">
        <v>4479</v>
      </c>
    </row>
    <row r="98">
      <c r="A98" s="7" t="s">
        <v>4575</v>
      </c>
      <c r="B98" s="195">
        <v>2345.0</v>
      </c>
      <c r="C98" s="74">
        <v>0.05</v>
      </c>
      <c r="D98" s="74">
        <v>0.9</v>
      </c>
      <c r="E98" s="74">
        <v>0.9</v>
      </c>
      <c r="F98" s="11" t="s">
        <v>1656</v>
      </c>
      <c r="O98" s="11" t="s">
        <v>4575</v>
      </c>
      <c r="Q98" s="11">
        <v>189.0</v>
      </c>
      <c r="R98" s="11" t="s">
        <v>4479</v>
      </c>
    </row>
    <row r="99">
      <c r="A99" s="7" t="s">
        <v>4576</v>
      </c>
      <c r="B99" s="7"/>
      <c r="C99" s="74">
        <v>0.05</v>
      </c>
      <c r="D99" s="74">
        <v>0.75</v>
      </c>
      <c r="E99" s="74">
        <v>0.75</v>
      </c>
      <c r="F99" s="11" t="s">
        <v>1656</v>
      </c>
      <c r="O99" s="11" t="s">
        <v>4576</v>
      </c>
      <c r="Q99" s="11">
        <v>6903.0</v>
      </c>
      <c r="R99" s="11" t="s">
        <v>4479</v>
      </c>
    </row>
    <row r="100">
      <c r="A100" s="7" t="s">
        <v>4577</v>
      </c>
      <c r="B100" s="66">
        <v>6924.0</v>
      </c>
      <c r="C100" s="74">
        <v>0.05</v>
      </c>
      <c r="D100" s="74">
        <v>0.78</v>
      </c>
      <c r="E100" s="74">
        <v>0.78</v>
      </c>
      <c r="F100" s="11" t="s">
        <v>1656</v>
      </c>
      <c r="O100" s="11" t="s">
        <v>4577</v>
      </c>
      <c r="Q100" s="11">
        <v>7023.0</v>
      </c>
      <c r="R100" s="11" t="s">
        <v>4479</v>
      </c>
    </row>
    <row r="101">
      <c r="A101" s="7" t="s">
        <v>4578</v>
      </c>
      <c r="B101" s="195">
        <v>7031.0</v>
      </c>
      <c r="C101" s="74">
        <v>0.05</v>
      </c>
      <c r="D101" s="74">
        <v>0.75</v>
      </c>
      <c r="E101" s="74">
        <v>0.75</v>
      </c>
      <c r="F101" s="11" t="s">
        <v>1656</v>
      </c>
      <c r="O101" s="11" t="s">
        <v>4578</v>
      </c>
      <c r="Q101" s="11">
        <v>3307.0</v>
      </c>
      <c r="R101" s="11" t="s">
        <v>4479</v>
      </c>
    </row>
    <row r="102">
      <c r="A102" s="7" t="s">
        <v>4579</v>
      </c>
      <c r="B102" s="7"/>
      <c r="C102" s="74">
        <v>0.05</v>
      </c>
      <c r="D102" s="74">
        <v>0.75</v>
      </c>
      <c r="E102" s="74">
        <v>0.75</v>
      </c>
      <c r="F102" s="11" t="s">
        <v>1656</v>
      </c>
      <c r="O102" s="11" t="s">
        <v>4579</v>
      </c>
      <c r="Q102" s="11">
        <v>6722.0</v>
      </c>
      <c r="R102" s="11" t="s">
        <v>4479</v>
      </c>
    </row>
    <row r="103">
      <c r="A103" s="7" t="s">
        <v>4580</v>
      </c>
      <c r="B103" s="7"/>
      <c r="C103" s="74">
        <v>0.05</v>
      </c>
      <c r="D103" s="74">
        <v>0.75</v>
      </c>
      <c r="E103" s="74">
        <v>0.75</v>
      </c>
      <c r="F103" s="11" t="s">
        <v>1656</v>
      </c>
      <c r="O103" s="11" t="s">
        <v>4580</v>
      </c>
      <c r="Q103" s="11">
        <v>7157.0</v>
      </c>
      <c r="R103" s="11" t="s">
        <v>4479</v>
      </c>
    </row>
    <row r="104">
      <c r="A104" s="7" t="s">
        <v>4581</v>
      </c>
      <c r="B104" s="7"/>
      <c r="C104" s="74">
        <v>0.05</v>
      </c>
      <c r="D104" s="74">
        <v>0.75</v>
      </c>
      <c r="E104" s="74">
        <v>0.75</v>
      </c>
      <c r="F104" s="11" t="s">
        <v>1656</v>
      </c>
      <c r="O104" s="11" t="s">
        <v>4581</v>
      </c>
      <c r="Q104" s="11">
        <v>8199.0</v>
      </c>
      <c r="R104" s="11" t="s">
        <v>4479</v>
      </c>
    </row>
    <row r="105">
      <c r="A105" s="7" t="s">
        <v>4582</v>
      </c>
      <c r="B105" s="7"/>
      <c r="C105" s="74">
        <v>0.05</v>
      </c>
      <c r="D105" s="74">
        <v>0.75</v>
      </c>
      <c r="E105" s="74">
        <v>0.75</v>
      </c>
      <c r="F105" s="11" t="s">
        <v>1656</v>
      </c>
      <c r="O105" s="11" t="s">
        <v>4582</v>
      </c>
      <c r="Q105" s="11">
        <v>8199.0</v>
      </c>
      <c r="R105" s="11" t="s">
        <v>4479</v>
      </c>
    </row>
    <row r="106">
      <c r="A106" s="7" t="s">
        <v>4583</v>
      </c>
      <c r="B106" s="7"/>
      <c r="C106" s="74">
        <v>0.05</v>
      </c>
      <c r="D106" s="74">
        <v>0.75</v>
      </c>
      <c r="E106" s="74">
        <v>0.75</v>
      </c>
      <c r="F106" s="11" t="s">
        <v>1656</v>
      </c>
      <c r="O106" s="11" t="s">
        <v>4583</v>
      </c>
      <c r="Q106" s="11">
        <v>7244.0</v>
      </c>
      <c r="R106" s="11" t="s">
        <v>4479</v>
      </c>
    </row>
    <row r="107">
      <c r="A107" s="7" t="s">
        <v>4584</v>
      </c>
      <c r="B107" s="7"/>
      <c r="C107" s="74">
        <v>0.05</v>
      </c>
      <c r="D107" s="74">
        <v>0.75</v>
      </c>
      <c r="E107" s="74">
        <v>0.75</v>
      </c>
      <c r="F107" s="11" t="s">
        <v>1656</v>
      </c>
      <c r="O107" s="11" t="s">
        <v>4584</v>
      </c>
      <c r="Q107" s="11">
        <v>7847.0</v>
      </c>
      <c r="R107" s="11" t="s">
        <v>4479</v>
      </c>
    </row>
    <row r="108">
      <c r="A108" s="7" t="s">
        <v>4585</v>
      </c>
      <c r="B108" s="7"/>
      <c r="C108" s="74">
        <v>0.05</v>
      </c>
      <c r="D108" s="74">
        <v>0.75</v>
      </c>
      <c r="E108" s="74">
        <v>0.75</v>
      </c>
      <c r="F108" s="11" t="s">
        <v>1656</v>
      </c>
      <c r="O108" s="11" t="s">
        <v>4585</v>
      </c>
      <c r="Q108" s="11">
        <v>7283.0</v>
      </c>
      <c r="R108" s="11" t="s">
        <v>4479</v>
      </c>
    </row>
    <row r="109">
      <c r="A109" s="7" t="s">
        <v>4586</v>
      </c>
      <c r="B109" s="7"/>
      <c r="C109" s="74">
        <v>0.05</v>
      </c>
      <c r="D109" s="74">
        <v>0.75</v>
      </c>
      <c r="E109" s="74">
        <v>0.75</v>
      </c>
      <c r="F109" s="11" t="s">
        <v>1656</v>
      </c>
      <c r="O109" s="11" t="s">
        <v>4586</v>
      </c>
      <c r="Q109" s="11">
        <v>6669.0</v>
      </c>
      <c r="R109" s="11" t="s">
        <v>4479</v>
      </c>
    </row>
    <row r="110">
      <c r="A110" s="7" t="s">
        <v>4587</v>
      </c>
      <c r="B110" s="7"/>
      <c r="C110" s="74">
        <v>0.05</v>
      </c>
      <c r="D110" s="74">
        <v>0.75</v>
      </c>
      <c r="E110" s="74">
        <v>0.75</v>
      </c>
      <c r="F110" s="11" t="s">
        <v>1656</v>
      </c>
      <c r="O110" s="11" t="s">
        <v>4587</v>
      </c>
      <c r="Q110" s="11">
        <v>6669.0</v>
      </c>
      <c r="R110" s="11" t="s">
        <v>4479</v>
      </c>
    </row>
    <row r="111">
      <c r="A111" s="7" t="s">
        <v>4588</v>
      </c>
      <c r="B111" s="7"/>
      <c r="C111" s="74">
        <v>0.05</v>
      </c>
      <c r="D111" s="74">
        <v>0.75</v>
      </c>
      <c r="E111" s="74">
        <v>0.75</v>
      </c>
      <c r="F111" s="11" t="s">
        <v>1656</v>
      </c>
      <c r="O111" s="11" t="s">
        <v>4588</v>
      </c>
      <c r="Q111" s="11">
        <v>7142.0</v>
      </c>
      <c r="R111" s="11" t="s">
        <v>4479</v>
      </c>
    </row>
    <row r="112">
      <c r="A112" s="7" t="s">
        <v>4589</v>
      </c>
      <c r="B112" s="7"/>
      <c r="C112" s="74">
        <v>0.05</v>
      </c>
      <c r="D112" s="74">
        <v>0.75</v>
      </c>
      <c r="E112" s="74">
        <v>0.75</v>
      </c>
      <c r="F112" s="11" t="s">
        <v>1656</v>
      </c>
      <c r="O112" s="11" t="s">
        <v>4589</v>
      </c>
      <c r="Q112" s="11">
        <v>189.0</v>
      </c>
      <c r="R112" s="11" t="s">
        <v>4479</v>
      </c>
    </row>
    <row r="113">
      <c r="A113" s="7" t="s">
        <v>4590</v>
      </c>
      <c r="B113" s="7"/>
      <c r="C113" s="74">
        <v>0.05</v>
      </c>
      <c r="D113" s="74">
        <v>0.75</v>
      </c>
      <c r="E113" s="74">
        <v>0.75</v>
      </c>
      <c r="F113" s="11" t="s">
        <v>1656</v>
      </c>
      <c r="O113" s="11" t="s">
        <v>4590</v>
      </c>
      <c r="Q113" s="11">
        <v>189.0</v>
      </c>
      <c r="R113" s="11" t="s">
        <v>4479</v>
      </c>
    </row>
    <row r="114">
      <c r="A114" s="7" t="s">
        <v>4591</v>
      </c>
      <c r="B114" s="7"/>
      <c r="C114" s="74">
        <v>0.05</v>
      </c>
      <c r="D114" s="74">
        <v>0.75</v>
      </c>
      <c r="E114" s="74">
        <v>0.75</v>
      </c>
      <c r="F114" s="11" t="s">
        <v>1656</v>
      </c>
      <c r="O114" s="11" t="s">
        <v>4591</v>
      </c>
      <c r="Q114" s="11">
        <v>7137.0</v>
      </c>
      <c r="R114" s="11" t="s">
        <v>4479</v>
      </c>
    </row>
    <row r="115">
      <c r="A115" s="7" t="s">
        <v>4592</v>
      </c>
      <c r="B115" s="7"/>
      <c r="C115" s="74">
        <v>0.05</v>
      </c>
      <c r="D115" s="74">
        <v>0.75</v>
      </c>
      <c r="E115" s="74">
        <v>0.75</v>
      </c>
      <c r="F115" s="11" t="s">
        <v>1656</v>
      </c>
      <c r="O115" s="11" t="s">
        <v>4592</v>
      </c>
      <c r="Q115" s="11">
        <v>7243.0</v>
      </c>
      <c r="R115" s="11" t="s">
        <v>4479</v>
      </c>
    </row>
    <row r="116">
      <c r="A116" s="7" t="s">
        <v>4593</v>
      </c>
      <c r="B116" s="7"/>
      <c r="C116" s="74">
        <v>0.05</v>
      </c>
      <c r="D116" s="74">
        <v>0.75</v>
      </c>
      <c r="E116" s="74">
        <v>0.75</v>
      </c>
      <c r="F116" s="11" t="s">
        <v>1656</v>
      </c>
      <c r="O116" s="11" t="s">
        <v>4593</v>
      </c>
      <c r="Q116" s="11">
        <v>6658.0</v>
      </c>
      <c r="R116" s="11" t="s">
        <v>4479</v>
      </c>
    </row>
    <row r="117">
      <c r="A117" s="7" t="s">
        <v>4594</v>
      </c>
      <c r="B117" s="7"/>
      <c r="C117" s="74">
        <v>0.05</v>
      </c>
      <c r="D117" s="74">
        <v>0.75</v>
      </c>
      <c r="E117" s="74">
        <v>0.75</v>
      </c>
      <c r="F117" s="11" t="s">
        <v>1656</v>
      </c>
      <c r="O117" s="11" t="s">
        <v>4594</v>
      </c>
      <c r="Q117" s="11">
        <v>6669.0</v>
      </c>
      <c r="R117" s="11" t="s">
        <v>4479</v>
      </c>
    </row>
    <row r="118">
      <c r="A118" s="7" t="s">
        <v>4595</v>
      </c>
      <c r="B118" s="7"/>
      <c r="C118" s="74">
        <v>0.05</v>
      </c>
      <c r="D118" s="74">
        <v>0.75</v>
      </c>
      <c r="E118" s="74">
        <v>0.75</v>
      </c>
      <c r="F118" s="11" t="s">
        <v>1656</v>
      </c>
      <c r="O118" s="11" t="s">
        <v>4595</v>
      </c>
      <c r="Q118" s="11">
        <v>283.0</v>
      </c>
      <c r="R118" s="11" t="s">
        <v>4479</v>
      </c>
    </row>
    <row r="119">
      <c r="A119" s="7" t="s">
        <v>4596</v>
      </c>
      <c r="B119" s="7"/>
      <c r="C119" s="74">
        <v>0.05</v>
      </c>
      <c r="D119" s="74">
        <v>0.75</v>
      </c>
      <c r="E119" s="74">
        <v>0.75</v>
      </c>
      <c r="F119" s="11" t="s">
        <v>1656</v>
      </c>
      <c r="O119" s="11" t="s">
        <v>4596</v>
      </c>
      <c r="Q119" s="11">
        <v>7229.0</v>
      </c>
      <c r="R119" s="11" t="s">
        <v>4479</v>
      </c>
    </row>
    <row r="120">
      <c r="A120" s="7" t="s">
        <v>4597</v>
      </c>
      <c r="B120" s="7"/>
      <c r="C120" s="74">
        <v>0.05</v>
      </c>
      <c r="D120" s="74">
        <v>0.75</v>
      </c>
      <c r="E120" s="74">
        <v>0.75</v>
      </c>
      <c r="F120" s="11" t="s">
        <v>1656</v>
      </c>
      <c r="O120" s="11" t="s">
        <v>4597</v>
      </c>
      <c r="Q120" s="11">
        <v>10141.0</v>
      </c>
      <c r="R120" s="11" t="s">
        <v>4479</v>
      </c>
    </row>
    <row r="121">
      <c r="A121" s="7" t="s">
        <v>4598</v>
      </c>
      <c r="B121" s="7"/>
      <c r="C121" s="74">
        <v>0.05</v>
      </c>
      <c r="D121" s="74">
        <v>0.75</v>
      </c>
      <c r="E121" s="74">
        <v>0.75</v>
      </c>
      <c r="F121" s="11" t="s">
        <v>1656</v>
      </c>
      <c r="O121" s="11" t="s">
        <v>4598</v>
      </c>
      <c r="Q121" s="11">
        <v>7033.0</v>
      </c>
      <c r="R121" s="11" t="s">
        <v>4479</v>
      </c>
    </row>
    <row r="122">
      <c r="A122" s="7" t="s">
        <v>4599</v>
      </c>
      <c r="B122" s="7"/>
      <c r="C122" s="74">
        <v>0.05</v>
      </c>
      <c r="D122" s="74">
        <v>0.75</v>
      </c>
      <c r="E122" s="74">
        <v>0.75</v>
      </c>
      <c r="F122" s="11" t="s">
        <v>1656</v>
      </c>
      <c r="O122" s="11" t="s">
        <v>4599</v>
      </c>
      <c r="Q122" s="11">
        <v>4193.0</v>
      </c>
      <c r="R122" s="11" t="s">
        <v>4479</v>
      </c>
    </row>
    <row r="123">
      <c r="A123" s="7" t="s">
        <v>4600</v>
      </c>
      <c r="B123" s="7"/>
      <c r="C123" s="74">
        <v>0.05</v>
      </c>
      <c r="D123" s="74">
        <v>0.75</v>
      </c>
      <c r="E123" s="74">
        <v>0.75</v>
      </c>
      <c r="F123" s="11" t="s">
        <v>1656</v>
      </c>
      <c r="O123" s="11" t="s">
        <v>4600</v>
      </c>
      <c r="Q123" s="11">
        <v>7416.0</v>
      </c>
      <c r="R123" s="11" t="s">
        <v>4479</v>
      </c>
    </row>
    <row r="124">
      <c r="A124" s="7" t="s">
        <v>4601</v>
      </c>
      <c r="B124" s="7"/>
      <c r="C124" s="74">
        <v>0.05</v>
      </c>
      <c r="D124" s="74">
        <v>0.75</v>
      </c>
      <c r="E124" s="74">
        <v>0.75</v>
      </c>
      <c r="F124" s="11" t="s">
        <v>1656</v>
      </c>
      <c r="O124" s="11" t="s">
        <v>4601</v>
      </c>
      <c r="Q124" s="11">
        <v>7100.0</v>
      </c>
      <c r="R124" s="11" t="s">
        <v>4479</v>
      </c>
    </row>
    <row r="125">
      <c r="A125" s="7" t="s">
        <v>4602</v>
      </c>
      <c r="B125" s="7"/>
      <c r="C125" s="74">
        <v>0.05</v>
      </c>
      <c r="D125" s="74">
        <v>0.75</v>
      </c>
      <c r="E125" s="74">
        <v>0.75</v>
      </c>
      <c r="F125" s="11" t="s">
        <v>1656</v>
      </c>
      <c r="O125" s="11" t="s">
        <v>4602</v>
      </c>
      <c r="Q125" s="11">
        <v>7414.0</v>
      </c>
      <c r="R125" s="11" t="s">
        <v>4479</v>
      </c>
    </row>
    <row r="126">
      <c r="A126" s="7" t="s">
        <v>4603</v>
      </c>
      <c r="B126" s="7"/>
      <c r="C126" s="74">
        <v>0.05</v>
      </c>
      <c r="D126" s="74">
        <v>0.75</v>
      </c>
      <c r="E126" s="74">
        <v>0.75</v>
      </c>
      <c r="F126" s="11" t="s">
        <v>1656</v>
      </c>
      <c r="O126" s="11" t="s">
        <v>4603</v>
      </c>
      <c r="Q126" s="11">
        <v>6928.0</v>
      </c>
      <c r="R126" s="11" t="s">
        <v>4479</v>
      </c>
    </row>
    <row r="127">
      <c r="A127" s="7" t="s">
        <v>4604</v>
      </c>
      <c r="B127" s="7"/>
      <c r="C127" s="74">
        <v>0.05</v>
      </c>
      <c r="D127" s="74">
        <v>0.75</v>
      </c>
      <c r="E127" s="74">
        <v>0.75</v>
      </c>
      <c r="F127" s="11" t="s">
        <v>1656</v>
      </c>
      <c r="O127" s="11" t="s">
        <v>4604</v>
      </c>
      <c r="Q127" s="11">
        <v>6829.0</v>
      </c>
      <c r="R127" s="11" t="s">
        <v>4479</v>
      </c>
    </row>
    <row r="128">
      <c r="A128" s="7" t="s">
        <v>4605</v>
      </c>
      <c r="B128" s="7"/>
      <c r="C128" s="74">
        <v>0.05</v>
      </c>
      <c r="D128" s="74">
        <v>0.75</v>
      </c>
      <c r="E128" s="74">
        <v>0.75</v>
      </c>
      <c r="F128" s="11" t="s">
        <v>1656</v>
      </c>
      <c r="O128" s="11" t="s">
        <v>4605</v>
      </c>
      <c r="Q128" s="11">
        <v>6936.0</v>
      </c>
      <c r="R128" s="11" t="s">
        <v>4479</v>
      </c>
    </row>
    <row r="129">
      <c r="A129" s="7" t="s">
        <v>4606</v>
      </c>
      <c r="B129" s="7"/>
      <c r="C129" s="74">
        <v>0.05</v>
      </c>
      <c r="D129" s="74">
        <v>0.75</v>
      </c>
      <c r="E129" s="74">
        <v>0.75</v>
      </c>
      <c r="F129" s="11" t="s">
        <v>1656</v>
      </c>
      <c r="O129" s="11" t="s">
        <v>4606</v>
      </c>
      <c r="Q129" s="11">
        <v>9701.0</v>
      </c>
      <c r="R129" s="11" t="s">
        <v>4479</v>
      </c>
    </row>
    <row r="130">
      <c r="A130" s="7" t="s">
        <v>4607</v>
      </c>
      <c r="B130" s="7"/>
      <c r="C130" s="74">
        <v>0.05</v>
      </c>
      <c r="D130" s="74">
        <v>0.75</v>
      </c>
      <c r="E130" s="74">
        <v>0.75</v>
      </c>
      <c r="F130" s="11" t="s">
        <v>1656</v>
      </c>
      <c r="O130" s="11" t="s">
        <v>4607</v>
      </c>
      <c r="Q130" s="11">
        <v>6893.0</v>
      </c>
      <c r="R130" s="11" t="s">
        <v>4479</v>
      </c>
    </row>
    <row r="131">
      <c r="A131" s="7" t="s">
        <v>4608</v>
      </c>
      <c r="B131" s="7"/>
      <c r="C131" s="74">
        <v>0.05</v>
      </c>
      <c r="D131" s="74">
        <v>0.75</v>
      </c>
      <c r="E131" s="74">
        <v>0.75</v>
      </c>
      <c r="F131" s="11" t="s">
        <v>1656</v>
      </c>
      <c r="O131" s="11" t="s">
        <v>4608</v>
      </c>
      <c r="Q131" s="11">
        <v>3689.0</v>
      </c>
      <c r="R131" s="11" t="s">
        <v>4479</v>
      </c>
    </row>
    <row r="132">
      <c r="A132" s="7" t="s">
        <v>4609</v>
      </c>
      <c r="B132" s="7"/>
      <c r="C132" s="74">
        <v>0.05</v>
      </c>
      <c r="D132" s="74">
        <v>0.75</v>
      </c>
      <c r="E132" s="74">
        <v>0.75</v>
      </c>
      <c r="F132" s="11" t="s">
        <v>1656</v>
      </c>
      <c r="O132" s="11" t="s">
        <v>4609</v>
      </c>
      <c r="Q132" s="11">
        <v>7031.0</v>
      </c>
      <c r="R132" s="11" t="s">
        <v>4479</v>
      </c>
    </row>
    <row r="133">
      <c r="A133" s="7" t="s">
        <v>4610</v>
      </c>
      <c r="B133" s="7"/>
      <c r="C133" s="74">
        <v>0.05</v>
      </c>
      <c r="D133" s="74">
        <v>0.75</v>
      </c>
      <c r="E133" s="74">
        <v>0.75</v>
      </c>
      <c r="F133" s="11" t="s">
        <v>1656</v>
      </c>
      <c r="O133" s="11" t="s">
        <v>4610</v>
      </c>
      <c r="Q133" s="11">
        <v>136.0</v>
      </c>
      <c r="R133" s="11" t="s">
        <v>4479</v>
      </c>
    </row>
    <row r="134">
      <c r="A134" s="7" t="s">
        <v>4611</v>
      </c>
      <c r="B134" s="7"/>
      <c r="C134" s="74">
        <v>0.05</v>
      </c>
      <c r="D134" s="74">
        <v>0.75</v>
      </c>
      <c r="E134" s="74">
        <v>0.75</v>
      </c>
      <c r="F134" s="11" t="s">
        <v>1656</v>
      </c>
      <c r="O134" s="11" t="s">
        <v>4611</v>
      </c>
      <c r="Q134" s="11">
        <v>7168.0</v>
      </c>
      <c r="R134" s="11" t="s">
        <v>4479</v>
      </c>
      <c r="S134" s="11">
        <v>7098.0</v>
      </c>
    </row>
    <row r="135">
      <c r="A135" s="7" t="s">
        <v>4612</v>
      </c>
      <c r="B135" s="7"/>
      <c r="C135" s="74">
        <v>0.05</v>
      </c>
      <c r="D135" s="74">
        <v>0.75</v>
      </c>
      <c r="E135" s="74">
        <v>0.75</v>
      </c>
      <c r="F135" s="11" t="s">
        <v>1656</v>
      </c>
      <c r="O135" s="11" t="s">
        <v>4612</v>
      </c>
      <c r="Q135" s="11">
        <v>7168.0</v>
      </c>
      <c r="R135" s="11" t="s">
        <v>4479</v>
      </c>
      <c r="S135" s="11">
        <v>7098.0</v>
      </c>
    </row>
    <row r="136">
      <c r="A136" s="7" t="s">
        <v>4613</v>
      </c>
      <c r="B136" s="7"/>
      <c r="C136" s="74">
        <v>0.05</v>
      </c>
      <c r="D136" s="74">
        <v>0.75</v>
      </c>
      <c r="E136" s="74">
        <v>0.75</v>
      </c>
      <c r="F136" s="11" t="s">
        <v>1656</v>
      </c>
      <c r="O136" s="11" t="s">
        <v>4613</v>
      </c>
      <c r="Q136" s="11">
        <v>7243.0</v>
      </c>
      <c r="R136" s="11" t="s">
        <v>4479</v>
      </c>
    </row>
    <row r="137">
      <c r="A137" s="7" t="s">
        <v>4614</v>
      </c>
      <c r="B137" s="195">
        <v>6875.0</v>
      </c>
      <c r="C137" s="74">
        <v>0.05</v>
      </c>
      <c r="D137" s="74">
        <v>0.75</v>
      </c>
      <c r="E137" s="74">
        <v>0.75</v>
      </c>
      <c r="F137" s="11" t="s">
        <v>1656</v>
      </c>
      <c r="O137" s="11" t="s">
        <v>4614</v>
      </c>
      <c r="Q137" s="11">
        <v>6875.0</v>
      </c>
      <c r="R137" s="11" t="s">
        <v>4479</v>
      </c>
    </row>
    <row r="138">
      <c r="A138" s="7" t="s">
        <v>4615</v>
      </c>
      <c r="B138" s="7"/>
      <c r="C138" s="74">
        <v>0.05</v>
      </c>
      <c r="D138" s="74">
        <v>0.75</v>
      </c>
      <c r="E138" s="74">
        <v>0.75</v>
      </c>
      <c r="F138" s="11" t="s">
        <v>1656</v>
      </c>
      <c r="O138" s="11" t="s">
        <v>4615</v>
      </c>
      <c r="Q138" s="11">
        <v>9742.0</v>
      </c>
      <c r="R138" s="11" t="s">
        <v>4479</v>
      </c>
    </row>
    <row r="139">
      <c r="A139" s="7" t="s">
        <v>4616</v>
      </c>
      <c r="B139" s="7"/>
      <c r="C139" s="74">
        <v>0.05</v>
      </c>
      <c r="D139" s="74">
        <v>0.75</v>
      </c>
      <c r="E139" s="74">
        <v>0.75</v>
      </c>
      <c r="F139" s="11" t="s">
        <v>1656</v>
      </c>
      <c r="O139" s="11" t="s">
        <v>4616</v>
      </c>
      <c r="Q139" s="11">
        <v>10393.0</v>
      </c>
      <c r="R139" s="11" t="s">
        <v>4479</v>
      </c>
    </row>
    <row r="140">
      <c r="A140" s="7" t="s">
        <v>4617</v>
      </c>
      <c r="B140" s="7"/>
      <c r="C140" s="74">
        <v>0.05</v>
      </c>
      <c r="D140" s="74">
        <v>0.75</v>
      </c>
      <c r="E140" s="74">
        <v>0.75</v>
      </c>
      <c r="F140" s="11" t="s">
        <v>1656</v>
      </c>
      <c r="O140" s="11" t="s">
        <v>4617</v>
      </c>
      <c r="Q140" s="11">
        <v>7183.0</v>
      </c>
      <c r="R140" s="11" t="s">
        <v>4479</v>
      </c>
    </row>
    <row r="141">
      <c r="A141" s="7" t="s">
        <v>4618</v>
      </c>
      <c r="B141" s="7"/>
      <c r="C141" s="74">
        <v>0.05</v>
      </c>
      <c r="D141" s="74">
        <v>0.75</v>
      </c>
      <c r="E141" s="74">
        <v>0.75</v>
      </c>
      <c r="F141" s="11" t="s">
        <v>1656</v>
      </c>
      <c r="O141" s="11" t="s">
        <v>4618</v>
      </c>
      <c r="Q141" s="11">
        <v>7186.0</v>
      </c>
      <c r="R141" s="11" t="s">
        <v>4479</v>
      </c>
    </row>
    <row r="142">
      <c r="A142" s="7" t="s">
        <v>4619</v>
      </c>
      <c r="B142" s="7"/>
      <c r="C142" s="74">
        <v>0.05</v>
      </c>
      <c r="D142" s="74">
        <v>0.75</v>
      </c>
      <c r="E142" s="74">
        <v>0.75</v>
      </c>
      <c r="F142" s="11" t="s">
        <v>1656</v>
      </c>
      <c r="O142" s="11" t="s">
        <v>4619</v>
      </c>
      <c r="Q142" s="11">
        <v>7051.0</v>
      </c>
      <c r="R142" s="11" t="s">
        <v>4479</v>
      </c>
    </row>
    <row r="143">
      <c r="A143" s="212" t="s">
        <v>1738</v>
      </c>
      <c r="C143" s="74">
        <v>0.05</v>
      </c>
      <c r="D143" s="74">
        <v>0.75</v>
      </c>
      <c r="E143" s="74">
        <v>0.75</v>
      </c>
      <c r="F143" s="11" t="s">
        <v>1656</v>
      </c>
      <c r="O143" s="11" t="s">
        <v>1798</v>
      </c>
      <c r="Q143" s="11">
        <v>7124.0</v>
      </c>
      <c r="R143" s="11" t="s">
        <v>4620</v>
      </c>
    </row>
    <row r="144">
      <c r="A144" s="7" t="s">
        <v>1736</v>
      </c>
      <c r="B144" s="7"/>
      <c r="C144" s="74">
        <v>0.05</v>
      </c>
      <c r="D144" s="74">
        <v>0.75</v>
      </c>
      <c r="E144" s="74">
        <v>0.75</v>
      </c>
      <c r="F144" s="11" t="s">
        <v>1656</v>
      </c>
      <c r="O144" s="11" t="s">
        <v>1800</v>
      </c>
      <c r="Q144" s="11">
        <v>6924.0</v>
      </c>
      <c r="R144" s="11" t="s">
        <v>4620</v>
      </c>
    </row>
    <row r="145">
      <c r="A145" s="212" t="s">
        <v>1739</v>
      </c>
      <c r="B145" s="195">
        <v>7023.0</v>
      </c>
      <c r="C145" s="74">
        <v>0.05</v>
      </c>
      <c r="D145" s="74">
        <v>0.75</v>
      </c>
      <c r="E145" s="74">
        <v>0.75</v>
      </c>
      <c r="F145" s="11" t="s">
        <v>1656</v>
      </c>
      <c r="O145" s="11" t="s">
        <v>1788</v>
      </c>
      <c r="Q145" s="11">
        <v>6133.0</v>
      </c>
      <c r="R145" s="11" t="s">
        <v>4620</v>
      </c>
    </row>
    <row r="146">
      <c r="A146" s="7" t="s">
        <v>1740</v>
      </c>
      <c r="B146" s="195">
        <v>14638.0</v>
      </c>
      <c r="C146" s="74">
        <v>0.05</v>
      </c>
      <c r="D146" s="74">
        <v>0.75</v>
      </c>
      <c r="E146" s="74">
        <v>0.75</v>
      </c>
      <c r="F146" s="11" t="s">
        <v>1656</v>
      </c>
      <c r="O146" s="11" t="s">
        <v>1803</v>
      </c>
      <c r="Q146" s="11">
        <v>6675.0</v>
      </c>
      <c r="R146" s="11" t="s">
        <v>4620</v>
      </c>
    </row>
    <row r="147">
      <c r="A147" s="212" t="s">
        <v>1741</v>
      </c>
      <c r="B147" s="195">
        <v>12550.0</v>
      </c>
      <c r="C147" s="74">
        <v>0.05</v>
      </c>
      <c r="D147" s="74">
        <v>0.75</v>
      </c>
      <c r="E147" s="74">
        <v>0.75</v>
      </c>
      <c r="F147" s="11" t="s">
        <v>1656</v>
      </c>
      <c r="O147" s="11" t="s">
        <v>1805</v>
      </c>
      <c r="Q147" s="11">
        <v>7046.0</v>
      </c>
      <c r="R147" s="11" t="s">
        <v>4620</v>
      </c>
    </row>
    <row r="148">
      <c r="A148" s="7" t="s">
        <v>1742</v>
      </c>
      <c r="B148" s="195">
        <v>10861.0</v>
      </c>
      <c r="C148" s="74">
        <v>0.05</v>
      </c>
      <c r="D148" s="74">
        <v>0.75</v>
      </c>
      <c r="E148" s="74">
        <v>0.75</v>
      </c>
      <c r="F148" s="11" t="s">
        <v>1656</v>
      </c>
      <c r="O148" s="11" t="s">
        <v>1789</v>
      </c>
      <c r="Q148" s="122">
        <v>6802.0</v>
      </c>
      <c r="R148" s="11" t="s">
        <v>4620</v>
      </c>
    </row>
    <row r="149">
      <c r="A149" s="7" t="s">
        <v>1753</v>
      </c>
      <c r="B149" s="7"/>
      <c r="C149" s="74">
        <v>0.05</v>
      </c>
      <c r="D149" s="74">
        <v>0.75</v>
      </c>
      <c r="E149" s="74">
        <v>0.75</v>
      </c>
      <c r="F149" s="11" t="s">
        <v>1656</v>
      </c>
      <c r="O149" s="11" t="s">
        <v>1790</v>
      </c>
      <c r="Q149" s="11">
        <v>189.0</v>
      </c>
      <c r="R149" s="11" t="s">
        <v>4620</v>
      </c>
    </row>
    <row r="150">
      <c r="A150" s="212" t="s">
        <v>1754</v>
      </c>
      <c r="B150" s="7"/>
      <c r="C150" s="74">
        <v>0.05</v>
      </c>
      <c r="D150" s="74">
        <v>0.75</v>
      </c>
      <c r="E150" s="74">
        <v>0.75</v>
      </c>
      <c r="F150" s="11" t="s">
        <v>1656</v>
      </c>
      <c r="O150" s="11" t="s">
        <v>1791</v>
      </c>
      <c r="Q150" s="11">
        <v>189.0</v>
      </c>
      <c r="R150" s="11" t="s">
        <v>4620</v>
      </c>
    </row>
    <row r="151">
      <c r="A151" s="7" t="s">
        <v>1755</v>
      </c>
      <c r="B151" s="7"/>
      <c r="C151" s="74">
        <v>0.05</v>
      </c>
      <c r="D151" s="74">
        <v>0.75</v>
      </c>
      <c r="E151" s="74">
        <v>0.75</v>
      </c>
      <c r="F151" s="11" t="s">
        <v>1656</v>
      </c>
      <c r="O151" s="11" t="s">
        <v>1792</v>
      </c>
      <c r="Q151" s="11">
        <v>189.0</v>
      </c>
      <c r="R151" s="11" t="s">
        <v>4620</v>
      </c>
    </row>
    <row r="152">
      <c r="A152" s="212" t="s">
        <v>1756</v>
      </c>
      <c r="B152" s="7"/>
      <c r="C152" s="74">
        <v>0.05</v>
      </c>
      <c r="D152" s="74">
        <v>0.75</v>
      </c>
      <c r="E152" s="74">
        <v>0.75</v>
      </c>
      <c r="F152" s="11" t="s">
        <v>1656</v>
      </c>
      <c r="O152" s="11" t="s">
        <v>1811</v>
      </c>
      <c r="Q152" s="11">
        <v>189.0</v>
      </c>
      <c r="R152" s="11" t="s">
        <v>4620</v>
      </c>
    </row>
    <row r="153">
      <c r="A153" s="7" t="s">
        <v>1757</v>
      </c>
      <c r="B153" s="195">
        <v>14663.0</v>
      </c>
      <c r="C153" s="74">
        <v>0.05</v>
      </c>
      <c r="D153" s="74">
        <v>0.75</v>
      </c>
      <c r="E153" s="74">
        <v>0.75</v>
      </c>
      <c r="F153" s="11" t="s">
        <v>1656</v>
      </c>
      <c r="O153" s="11" t="s">
        <v>1793</v>
      </c>
      <c r="Q153" s="11">
        <v>6928.0</v>
      </c>
      <c r="R153" s="11" t="s">
        <v>4620</v>
      </c>
    </row>
    <row r="154">
      <c r="A154" s="212" t="s">
        <v>1759</v>
      </c>
      <c r="B154" s="7"/>
      <c r="C154" s="74">
        <v>0.05</v>
      </c>
      <c r="D154" s="74">
        <v>0.75</v>
      </c>
      <c r="E154" s="74">
        <v>0.75</v>
      </c>
      <c r="F154" s="11" t="s">
        <v>1656</v>
      </c>
      <c r="O154" s="11" t="s">
        <v>1794</v>
      </c>
      <c r="Q154" s="11">
        <v>6920.0</v>
      </c>
      <c r="R154" s="11" t="s">
        <v>4620</v>
      </c>
    </row>
    <row r="155">
      <c r="A155" s="7" t="s">
        <v>1760</v>
      </c>
      <c r="B155" s="7"/>
      <c r="C155" s="74">
        <v>0.05</v>
      </c>
      <c r="D155" s="74">
        <v>0.75</v>
      </c>
      <c r="E155" s="74">
        <v>0.75</v>
      </c>
      <c r="F155" s="11" t="s">
        <v>1656</v>
      </c>
      <c r="O155" s="11" t="s">
        <v>1795</v>
      </c>
      <c r="Q155" s="122">
        <v>6697.0</v>
      </c>
      <c r="R155" s="11" t="s">
        <v>4620</v>
      </c>
    </row>
    <row r="156">
      <c r="A156" s="212" t="s">
        <v>1761</v>
      </c>
      <c r="B156" s="7"/>
      <c r="C156" s="74">
        <v>0.05</v>
      </c>
      <c r="D156" s="74">
        <v>0.75</v>
      </c>
      <c r="E156" s="74">
        <v>0.75</v>
      </c>
      <c r="F156" s="11" t="s">
        <v>1656</v>
      </c>
      <c r="O156" s="11" t="s">
        <v>1797</v>
      </c>
      <c r="Q156" s="11">
        <v>7083.0</v>
      </c>
      <c r="R156" s="11" t="s">
        <v>4620</v>
      </c>
    </row>
    <row r="157">
      <c r="A157" s="7" t="s">
        <v>1762</v>
      </c>
      <c r="B157" s="7"/>
      <c r="C157" s="74">
        <v>0.05</v>
      </c>
      <c r="D157" s="74">
        <v>0.75</v>
      </c>
      <c r="E157" s="74">
        <v>0.75</v>
      </c>
      <c r="F157" s="11" t="s">
        <v>1656</v>
      </c>
      <c r="O157" s="11" t="s">
        <v>1799</v>
      </c>
      <c r="Q157" s="11">
        <v>7100.0</v>
      </c>
      <c r="R157" s="11" t="s">
        <v>4620</v>
      </c>
    </row>
    <row r="158">
      <c r="A158" s="212" t="s">
        <v>1763</v>
      </c>
      <c r="B158" s="7"/>
      <c r="C158" s="74">
        <v>0.05</v>
      </c>
      <c r="D158" s="74">
        <v>0.75</v>
      </c>
      <c r="E158" s="74">
        <v>0.75</v>
      </c>
      <c r="F158" s="11" t="s">
        <v>1656</v>
      </c>
      <c r="O158" s="11" t="s">
        <v>1801</v>
      </c>
      <c r="Q158" s="11">
        <v>6827.0</v>
      </c>
      <c r="R158" s="11" t="s">
        <v>4620</v>
      </c>
      <c r="S158" s="11">
        <v>7058.0</v>
      </c>
    </row>
    <row r="159">
      <c r="A159" s="7" t="s">
        <v>1764</v>
      </c>
      <c r="B159" s="7"/>
      <c r="C159" s="74">
        <v>0.05</v>
      </c>
      <c r="D159" s="74">
        <v>0.75</v>
      </c>
      <c r="E159" s="74">
        <v>0.75</v>
      </c>
      <c r="F159" s="11" t="s">
        <v>1656</v>
      </c>
      <c r="O159" s="11" t="s">
        <v>1802</v>
      </c>
      <c r="Q159" s="11">
        <v>7105.0</v>
      </c>
      <c r="R159" s="11" t="s">
        <v>4620</v>
      </c>
    </row>
    <row r="160">
      <c r="A160" s="212" t="s">
        <v>1765</v>
      </c>
      <c r="B160" s="7"/>
      <c r="C160" s="74">
        <v>0.05</v>
      </c>
      <c r="D160" s="74">
        <v>0.75</v>
      </c>
      <c r="E160" s="74">
        <v>0.75</v>
      </c>
      <c r="F160" s="11" t="s">
        <v>1656</v>
      </c>
      <c r="O160" s="11" t="s">
        <v>1804</v>
      </c>
      <c r="Q160" s="11">
        <v>7246.0</v>
      </c>
      <c r="R160" s="11" t="s">
        <v>4620</v>
      </c>
    </row>
    <row r="161">
      <c r="A161" s="7" t="s">
        <v>1766</v>
      </c>
      <c r="B161" s="7"/>
      <c r="C161" s="74">
        <v>0.05</v>
      </c>
      <c r="D161" s="74">
        <v>0.75</v>
      </c>
      <c r="E161" s="74">
        <v>0.75</v>
      </c>
      <c r="F161" s="11" t="s">
        <v>1656</v>
      </c>
      <c r="O161" s="11" t="s">
        <v>1806</v>
      </c>
      <c r="Q161" s="158">
        <v>7073.0</v>
      </c>
      <c r="R161" s="11" t="s">
        <v>4620</v>
      </c>
    </row>
    <row r="162">
      <c r="A162" s="212" t="s">
        <v>1767</v>
      </c>
      <c r="B162" s="7"/>
      <c r="C162" s="74">
        <v>0.05</v>
      </c>
      <c r="D162" s="74">
        <v>0.75</v>
      </c>
      <c r="E162" s="74">
        <v>0.75</v>
      </c>
      <c r="F162" s="11" t="s">
        <v>1656</v>
      </c>
      <c r="O162" s="11" t="s">
        <v>1807</v>
      </c>
      <c r="Q162" s="11">
        <v>7073.0</v>
      </c>
      <c r="R162" s="11" t="s">
        <v>4620</v>
      </c>
    </row>
    <row r="163">
      <c r="A163" s="7" t="s">
        <v>1768</v>
      </c>
      <c r="B163" s="7"/>
      <c r="C163" s="74">
        <v>0.05</v>
      </c>
      <c r="D163" s="74">
        <v>0.75</v>
      </c>
      <c r="E163" s="74">
        <v>0.75</v>
      </c>
      <c r="F163" s="11" t="s">
        <v>1656</v>
      </c>
      <c r="O163" s="11" t="s">
        <v>4621</v>
      </c>
      <c r="Q163" s="11">
        <v>7104.0</v>
      </c>
      <c r="R163" s="11" t="s">
        <v>4620</v>
      </c>
    </row>
    <row r="164">
      <c r="A164" s="212" t="s">
        <v>1769</v>
      </c>
      <c r="B164" s="7"/>
      <c r="C164" s="74">
        <v>0.05</v>
      </c>
      <c r="D164" s="74">
        <v>0.75</v>
      </c>
      <c r="E164" s="74">
        <v>0.75</v>
      </c>
      <c r="F164" s="11" t="s">
        <v>1656</v>
      </c>
      <c r="O164" s="11" t="s">
        <v>4622</v>
      </c>
      <c r="Q164" s="11">
        <v>7040.0</v>
      </c>
      <c r="R164" s="11" t="s">
        <v>4620</v>
      </c>
    </row>
    <row r="165">
      <c r="A165" s="7" t="s">
        <v>1770</v>
      </c>
      <c r="B165" s="7"/>
      <c r="C165" s="74">
        <v>0.05</v>
      </c>
      <c r="D165" s="74">
        <v>0.75</v>
      </c>
      <c r="E165" s="74">
        <v>0.75</v>
      </c>
      <c r="F165" s="11" t="s">
        <v>1656</v>
      </c>
      <c r="O165" s="11" t="s">
        <v>4623</v>
      </c>
      <c r="Q165" s="11">
        <v>6774.0</v>
      </c>
      <c r="R165" s="11" t="s">
        <v>4620</v>
      </c>
    </row>
    <row r="166">
      <c r="A166" s="212" t="s">
        <v>1771</v>
      </c>
      <c r="B166" s="7"/>
      <c r="C166" s="74">
        <v>0.05</v>
      </c>
      <c r="D166" s="74">
        <v>0.75</v>
      </c>
      <c r="E166" s="74">
        <v>0.75</v>
      </c>
      <c r="F166" s="11" t="s">
        <v>1656</v>
      </c>
      <c r="O166" s="11" t="s">
        <v>4624</v>
      </c>
      <c r="Q166" s="11">
        <v>7129.0</v>
      </c>
      <c r="R166" s="11" t="s">
        <v>4620</v>
      </c>
    </row>
    <row r="167">
      <c r="A167" s="212" t="s">
        <v>1772</v>
      </c>
      <c r="B167" s="7"/>
      <c r="C167" s="74">
        <v>0.05</v>
      </c>
      <c r="D167" s="74">
        <v>0.75</v>
      </c>
      <c r="E167" s="74">
        <v>0.75</v>
      </c>
      <c r="F167" s="11" t="s">
        <v>1656</v>
      </c>
      <c r="O167" s="11" t="s">
        <v>4625</v>
      </c>
      <c r="Q167" s="11">
        <v>6675.0</v>
      </c>
      <c r="R167" s="11" t="s">
        <v>4620</v>
      </c>
    </row>
    <row r="168">
      <c r="A168" s="7" t="s">
        <v>1773</v>
      </c>
      <c r="B168" s="7"/>
      <c r="C168" s="74">
        <v>0.05</v>
      </c>
      <c r="D168" s="74">
        <v>0.75</v>
      </c>
      <c r="E168" s="74">
        <v>0.75</v>
      </c>
      <c r="F168" s="11" t="s">
        <v>1656</v>
      </c>
      <c r="O168" s="213" t="s">
        <v>1738</v>
      </c>
      <c r="Q168" s="11">
        <v>14065.0</v>
      </c>
    </row>
    <row r="169">
      <c r="A169" s="212" t="s">
        <v>1774</v>
      </c>
      <c r="B169" s="7"/>
      <c r="C169" s="74">
        <v>0.05</v>
      </c>
      <c r="D169" s="74">
        <v>0.75</v>
      </c>
      <c r="E169" s="74">
        <v>0.75</v>
      </c>
      <c r="F169" s="11" t="s">
        <v>1656</v>
      </c>
      <c r="O169" s="11" t="s">
        <v>1736</v>
      </c>
      <c r="Q169" s="11">
        <v>7040.0</v>
      </c>
    </row>
    <row r="170">
      <c r="A170" s="7" t="s">
        <v>1775</v>
      </c>
      <c r="B170" s="7"/>
      <c r="C170" s="74">
        <v>0.05</v>
      </c>
      <c r="D170" s="74">
        <v>0.75</v>
      </c>
      <c r="E170" s="74">
        <v>0.75</v>
      </c>
      <c r="F170" s="11" t="s">
        <v>1656</v>
      </c>
      <c r="O170" s="213" t="s">
        <v>1739</v>
      </c>
      <c r="Q170" s="11">
        <v>9307.0</v>
      </c>
    </row>
    <row r="171">
      <c r="A171" s="212" t="s">
        <v>1776</v>
      </c>
      <c r="B171" s="195">
        <v>2345.0</v>
      </c>
      <c r="C171" s="74">
        <v>0.05</v>
      </c>
      <c r="D171" s="74">
        <v>0.9</v>
      </c>
      <c r="E171" s="74">
        <v>0.9</v>
      </c>
      <c r="F171" s="11" t="s">
        <v>1656</v>
      </c>
      <c r="O171" s="11" t="s">
        <v>1740</v>
      </c>
      <c r="Q171" s="11">
        <v>9746.0</v>
      </c>
    </row>
    <row r="172">
      <c r="A172" s="7" t="s">
        <v>1783</v>
      </c>
      <c r="B172" s="195">
        <v>2345.0</v>
      </c>
      <c r="C172" s="74">
        <v>0.05</v>
      </c>
      <c r="D172" s="74">
        <v>0.9</v>
      </c>
      <c r="E172" s="74">
        <v>0.9</v>
      </c>
      <c r="F172" s="11" t="s">
        <v>1656</v>
      </c>
      <c r="O172" s="213" t="s">
        <v>1741</v>
      </c>
      <c r="Q172" s="11">
        <v>12550.0</v>
      </c>
    </row>
    <row r="173">
      <c r="A173" s="212" t="s">
        <v>1777</v>
      </c>
      <c r="B173" s="195">
        <v>2345.0</v>
      </c>
      <c r="C173" s="74">
        <v>0.05</v>
      </c>
      <c r="D173" s="74">
        <v>0.9</v>
      </c>
      <c r="E173" s="74">
        <v>0.9</v>
      </c>
      <c r="F173" s="11" t="s">
        <v>1656</v>
      </c>
      <c r="O173" s="11" t="s">
        <v>1742</v>
      </c>
      <c r="Q173" s="11">
        <v>7003.0</v>
      </c>
    </row>
    <row r="174">
      <c r="A174" s="212" t="s">
        <v>1778</v>
      </c>
      <c r="B174" s="195">
        <v>2345.0</v>
      </c>
      <c r="C174" s="74">
        <v>0.05</v>
      </c>
      <c r="D174" s="74">
        <v>0.9</v>
      </c>
      <c r="E174" s="74">
        <v>0.9</v>
      </c>
      <c r="F174" s="11" t="s">
        <v>1656</v>
      </c>
      <c r="O174" s="11" t="s">
        <v>1753</v>
      </c>
      <c r="Q174" s="11">
        <v>2095.0</v>
      </c>
    </row>
    <row r="175">
      <c r="A175" s="7" t="s">
        <v>1787</v>
      </c>
      <c r="B175" s="195">
        <v>2345.0</v>
      </c>
      <c r="C175" s="74">
        <v>0.05</v>
      </c>
      <c r="D175" s="74">
        <v>0.9</v>
      </c>
      <c r="E175" s="74">
        <v>0.9</v>
      </c>
      <c r="F175" s="11" t="s">
        <v>1656</v>
      </c>
      <c r="O175" s="213" t="s">
        <v>1754</v>
      </c>
      <c r="Q175" s="158">
        <v>13829.0</v>
      </c>
    </row>
    <row r="176">
      <c r="A176" s="212" t="s">
        <v>1779</v>
      </c>
      <c r="B176" s="195">
        <v>2345.0</v>
      </c>
      <c r="C176" s="74">
        <v>0.05</v>
      </c>
      <c r="D176" s="74">
        <v>0.9</v>
      </c>
      <c r="E176" s="74">
        <v>0.9</v>
      </c>
      <c r="F176" s="11" t="s">
        <v>1656</v>
      </c>
      <c r="O176" s="11" t="s">
        <v>1755</v>
      </c>
      <c r="Q176" s="158">
        <v>14055.0</v>
      </c>
    </row>
    <row r="177">
      <c r="A177" s="7" t="s">
        <v>1780</v>
      </c>
      <c r="B177" s="195">
        <v>2345.0</v>
      </c>
      <c r="C177" s="74">
        <v>0.05</v>
      </c>
      <c r="D177" s="74">
        <v>0.9</v>
      </c>
      <c r="E177" s="74">
        <v>0.9</v>
      </c>
      <c r="F177" s="11" t="s">
        <v>1656</v>
      </c>
      <c r="O177" s="213" t="s">
        <v>1756</v>
      </c>
      <c r="Q177" s="11">
        <v>2095.0</v>
      </c>
    </row>
    <row r="178">
      <c r="A178" s="212" t="s">
        <v>1781</v>
      </c>
      <c r="B178" s="7"/>
      <c r="C178" s="74">
        <v>0.05</v>
      </c>
      <c r="D178" s="74">
        <v>0.75</v>
      </c>
      <c r="E178" s="74">
        <v>0.75</v>
      </c>
      <c r="F178" s="11" t="s">
        <v>1656</v>
      </c>
      <c r="O178" s="11" t="s">
        <v>1757</v>
      </c>
      <c r="Q178" s="11">
        <v>14033.0</v>
      </c>
    </row>
    <row r="179">
      <c r="A179" s="7" t="s">
        <v>1782</v>
      </c>
      <c r="B179" s="7"/>
      <c r="C179" s="74">
        <v>0.05</v>
      </c>
      <c r="D179" s="74">
        <v>0.75</v>
      </c>
      <c r="E179" s="74">
        <v>0.75</v>
      </c>
      <c r="F179" s="11" t="s">
        <v>1656</v>
      </c>
      <c r="O179" s="213" t="s">
        <v>1759</v>
      </c>
      <c r="Q179" s="11">
        <v>11708.0</v>
      </c>
    </row>
    <row r="180">
      <c r="A180" s="212" t="s">
        <v>1784</v>
      </c>
      <c r="B180" s="7"/>
      <c r="C180" s="74">
        <v>0.05</v>
      </c>
      <c r="D180" s="74">
        <v>0.75</v>
      </c>
      <c r="E180" s="74">
        <v>0.75</v>
      </c>
      <c r="F180" s="11" t="s">
        <v>1656</v>
      </c>
      <c r="O180" s="11" t="s">
        <v>1760</v>
      </c>
      <c r="Q180" s="11">
        <v>6106.0</v>
      </c>
    </row>
    <row r="181">
      <c r="A181" s="7" t="s">
        <v>1785</v>
      </c>
      <c r="B181" s="195">
        <v>14465.0</v>
      </c>
      <c r="C181" s="74">
        <v>0.05</v>
      </c>
      <c r="D181" s="74">
        <v>0.9</v>
      </c>
      <c r="E181" s="74">
        <v>0.9</v>
      </c>
      <c r="F181" s="11" t="s">
        <v>1656</v>
      </c>
      <c r="O181" s="213" t="s">
        <v>1761</v>
      </c>
      <c r="Q181" s="11">
        <v>13858.0</v>
      </c>
    </row>
    <row r="182">
      <c r="A182" s="7" t="s">
        <v>4626</v>
      </c>
      <c r="B182" s="66">
        <v>13323.0</v>
      </c>
      <c r="C182" s="74">
        <v>0.05</v>
      </c>
      <c r="D182" s="74">
        <v>0.75</v>
      </c>
      <c r="E182" s="74">
        <v>0.75</v>
      </c>
      <c r="F182" s="11" t="s">
        <v>1656</v>
      </c>
      <c r="H182" s="11" t="s">
        <v>207</v>
      </c>
      <c r="O182" s="11" t="s">
        <v>1762</v>
      </c>
    </row>
    <row r="183">
      <c r="A183" s="5" t="s">
        <v>4627</v>
      </c>
      <c r="B183" s="198"/>
      <c r="C183" s="74">
        <v>0.05</v>
      </c>
      <c r="D183" s="74">
        <v>0.75</v>
      </c>
      <c r="E183" s="74">
        <v>0.75</v>
      </c>
      <c r="F183" s="11" t="s">
        <v>1656</v>
      </c>
      <c r="H183" s="11" t="s">
        <v>207</v>
      </c>
      <c r="O183" s="213" t="s">
        <v>1763</v>
      </c>
    </row>
    <row r="184">
      <c r="A184" s="5" t="s">
        <v>4628</v>
      </c>
      <c r="B184" s="198"/>
      <c r="C184" s="74">
        <v>0.05</v>
      </c>
      <c r="D184" s="74">
        <v>0.75</v>
      </c>
      <c r="E184" s="74">
        <v>0.75</v>
      </c>
      <c r="F184" s="11" t="s">
        <v>1656</v>
      </c>
      <c r="H184" s="11" t="s">
        <v>207</v>
      </c>
      <c r="O184" s="11" t="s">
        <v>1764</v>
      </c>
    </row>
    <row r="185">
      <c r="A185" s="5" t="s">
        <v>4629</v>
      </c>
      <c r="B185" s="7"/>
      <c r="C185" s="74">
        <v>0.05</v>
      </c>
      <c r="D185" s="74">
        <v>0.75</v>
      </c>
      <c r="E185" s="74">
        <v>0.75</v>
      </c>
      <c r="F185" s="11" t="s">
        <v>1656</v>
      </c>
      <c r="H185" s="11" t="s">
        <v>207</v>
      </c>
      <c r="O185" s="213" t="s">
        <v>1765</v>
      </c>
      <c r="Q185" s="11">
        <v>12609.0</v>
      </c>
    </row>
    <row r="186">
      <c r="A186" s="5" t="s">
        <v>4630</v>
      </c>
      <c r="B186" s="198"/>
      <c r="C186" s="74">
        <v>0.05</v>
      </c>
      <c r="D186" s="74">
        <v>0.75</v>
      </c>
      <c r="E186" s="74">
        <v>0.75</v>
      </c>
      <c r="F186" s="11" t="s">
        <v>1656</v>
      </c>
      <c r="H186" s="11" t="s">
        <v>207</v>
      </c>
      <c r="O186" s="11" t="s">
        <v>1766</v>
      </c>
      <c r="Q186" s="11">
        <v>11875.0</v>
      </c>
    </row>
    <row r="187">
      <c r="A187" s="5" t="s">
        <v>4631</v>
      </c>
      <c r="B187" s="198"/>
      <c r="C187" s="74">
        <v>0.05</v>
      </c>
      <c r="D187" s="74">
        <v>0.75</v>
      </c>
      <c r="E187" s="74">
        <v>0.75</v>
      </c>
      <c r="F187" s="11" t="s">
        <v>1656</v>
      </c>
      <c r="H187" s="11" t="s">
        <v>207</v>
      </c>
      <c r="O187" s="213" t="s">
        <v>1767</v>
      </c>
    </row>
    <row r="188">
      <c r="A188" s="5" t="s">
        <v>4632</v>
      </c>
      <c r="B188" s="198"/>
      <c r="C188" s="74">
        <v>0.05</v>
      </c>
      <c r="D188" s="74">
        <v>0.75</v>
      </c>
      <c r="E188" s="74">
        <v>0.75</v>
      </c>
      <c r="F188" s="11" t="s">
        <v>1656</v>
      </c>
      <c r="H188" s="11" t="s">
        <v>207</v>
      </c>
      <c r="O188" s="11" t="s">
        <v>1768</v>
      </c>
      <c r="Q188" s="11"/>
    </row>
    <row r="189">
      <c r="A189" s="5" t="s">
        <v>4633</v>
      </c>
      <c r="B189" s="198"/>
      <c r="C189" s="74">
        <v>0.05</v>
      </c>
      <c r="D189" s="74">
        <v>0.75</v>
      </c>
      <c r="E189" s="74">
        <v>0.75</v>
      </c>
      <c r="F189" s="11" t="s">
        <v>1656</v>
      </c>
      <c r="H189" s="11" t="s">
        <v>207</v>
      </c>
      <c r="O189" s="213" t="s">
        <v>1769</v>
      </c>
      <c r="Q189" s="11">
        <v>11104.0</v>
      </c>
    </row>
    <row r="190">
      <c r="A190" s="5" t="s">
        <v>4634</v>
      </c>
      <c r="B190" s="198"/>
      <c r="C190" s="74">
        <v>0.05</v>
      </c>
      <c r="D190" s="74">
        <v>0.75</v>
      </c>
      <c r="E190" s="74">
        <v>0.75</v>
      </c>
      <c r="F190" s="11" t="s">
        <v>1656</v>
      </c>
      <c r="H190" s="11" t="s">
        <v>207</v>
      </c>
      <c r="O190" s="11" t="s">
        <v>1770</v>
      </c>
      <c r="Q190" s="11">
        <v>10856.0</v>
      </c>
    </row>
    <row r="191">
      <c r="A191" s="5" t="s">
        <v>1745</v>
      </c>
      <c r="B191" s="198"/>
      <c r="C191" s="74">
        <v>0.05</v>
      </c>
      <c r="D191" s="74">
        <v>0.75</v>
      </c>
      <c r="E191" s="74">
        <v>0.75</v>
      </c>
      <c r="F191" s="11" t="s">
        <v>1656</v>
      </c>
      <c r="H191" s="11" t="s">
        <v>207</v>
      </c>
      <c r="O191" s="213" t="s">
        <v>1771</v>
      </c>
    </row>
    <row r="192">
      <c r="A192" s="5" t="s">
        <v>1747</v>
      </c>
      <c r="B192" s="198"/>
      <c r="C192" s="74">
        <v>0.05</v>
      </c>
      <c r="D192" s="74">
        <v>0.75</v>
      </c>
      <c r="E192" s="74">
        <v>0.75</v>
      </c>
      <c r="F192" s="11" t="s">
        <v>1656</v>
      </c>
      <c r="H192" s="11" t="s">
        <v>207</v>
      </c>
      <c r="O192" s="213" t="s">
        <v>1772</v>
      </c>
      <c r="Q192" s="11">
        <v>13951.0</v>
      </c>
    </row>
    <row r="193">
      <c r="A193" s="5" t="s">
        <v>1749</v>
      </c>
      <c r="B193" s="198"/>
      <c r="C193" s="74">
        <v>0.05</v>
      </c>
      <c r="D193" s="74">
        <v>0.75</v>
      </c>
      <c r="E193" s="74">
        <v>0.75</v>
      </c>
      <c r="F193" s="11" t="s">
        <v>1656</v>
      </c>
      <c r="H193" s="11" t="s">
        <v>207</v>
      </c>
      <c r="O193" s="11" t="s">
        <v>1773</v>
      </c>
    </row>
    <row r="194">
      <c r="A194" s="5" t="s">
        <v>1743</v>
      </c>
      <c r="B194" s="198"/>
      <c r="C194" s="74">
        <v>0.05</v>
      </c>
      <c r="D194" s="74">
        <v>0.75</v>
      </c>
      <c r="E194" s="74">
        <v>0.75</v>
      </c>
      <c r="F194" s="11" t="s">
        <v>1656</v>
      </c>
      <c r="H194" s="11" t="s">
        <v>207</v>
      </c>
      <c r="O194" s="213" t="s">
        <v>1774</v>
      </c>
    </row>
    <row r="195">
      <c r="A195" s="5" t="s">
        <v>1744</v>
      </c>
      <c r="B195" s="198"/>
      <c r="C195" s="74">
        <v>0.05</v>
      </c>
      <c r="D195" s="74">
        <v>0.75</v>
      </c>
      <c r="E195" s="74">
        <v>0.75</v>
      </c>
      <c r="F195" s="11" t="s">
        <v>1656</v>
      </c>
      <c r="H195" s="11" t="s">
        <v>207</v>
      </c>
      <c r="O195" s="11" t="s">
        <v>1775</v>
      </c>
    </row>
    <row r="196">
      <c r="A196" s="5" t="s">
        <v>1746</v>
      </c>
      <c r="B196" s="198"/>
      <c r="C196" s="74">
        <v>0.05</v>
      </c>
      <c r="D196" s="74">
        <v>0.75</v>
      </c>
      <c r="E196" s="74">
        <v>0.75</v>
      </c>
      <c r="F196" s="11" t="s">
        <v>1656</v>
      </c>
      <c r="H196" s="11" t="s">
        <v>207</v>
      </c>
      <c r="O196" s="213" t="s">
        <v>1776</v>
      </c>
      <c r="Q196" s="11">
        <v>6785.0</v>
      </c>
    </row>
    <row r="197">
      <c r="A197" s="5" t="s">
        <v>1748</v>
      </c>
      <c r="B197" s="199">
        <v>11553.0</v>
      </c>
      <c r="C197" s="74">
        <v>0.05</v>
      </c>
      <c r="D197" s="74">
        <v>0.75</v>
      </c>
      <c r="E197" s="74">
        <v>0.75</v>
      </c>
      <c r="F197" s="11" t="s">
        <v>1656</v>
      </c>
      <c r="H197" s="11" t="s">
        <v>207</v>
      </c>
      <c r="O197" s="11" t="s">
        <v>1783</v>
      </c>
    </row>
    <row r="198">
      <c r="A198" s="5" t="s">
        <v>1750</v>
      </c>
      <c r="B198" s="198"/>
      <c r="C198" s="74">
        <v>0.05</v>
      </c>
      <c r="D198" s="74">
        <v>0.75</v>
      </c>
      <c r="E198" s="74">
        <v>0.75</v>
      </c>
      <c r="F198" s="11" t="s">
        <v>1656</v>
      </c>
      <c r="H198" s="11" t="s">
        <v>207</v>
      </c>
      <c r="O198" s="213" t="s">
        <v>1777</v>
      </c>
    </row>
    <row r="199">
      <c r="A199" s="5" t="s">
        <v>1751</v>
      </c>
      <c r="B199" s="198"/>
      <c r="C199" s="74">
        <v>0.05</v>
      </c>
      <c r="D199" s="74">
        <v>0.75</v>
      </c>
      <c r="E199" s="74">
        <v>0.75</v>
      </c>
      <c r="F199" s="11" t="s">
        <v>1656</v>
      </c>
      <c r="H199" s="11" t="s">
        <v>207</v>
      </c>
      <c r="O199" s="213" t="s">
        <v>1778</v>
      </c>
      <c r="Q199" s="11">
        <v>12932.0</v>
      </c>
    </row>
    <row r="200">
      <c r="A200" s="5" t="s">
        <v>1752</v>
      </c>
      <c r="B200" s="198"/>
      <c r="C200" s="74">
        <v>0.05</v>
      </c>
      <c r="D200" s="74">
        <v>0.75</v>
      </c>
      <c r="E200" s="74">
        <v>0.75</v>
      </c>
      <c r="F200" s="11" t="s">
        <v>1656</v>
      </c>
      <c r="H200" s="11" t="s">
        <v>207</v>
      </c>
      <c r="O200" s="11" t="s">
        <v>1787</v>
      </c>
      <c r="Q200" s="11">
        <v>11601.0</v>
      </c>
    </row>
    <row r="201">
      <c r="A201" s="5" t="s">
        <v>1758</v>
      </c>
      <c r="B201" s="198"/>
      <c r="C201" s="74">
        <v>0.05</v>
      </c>
      <c r="D201" s="74">
        <v>0.75</v>
      </c>
      <c r="E201" s="74">
        <v>0.75</v>
      </c>
      <c r="F201" s="11" t="s">
        <v>1656</v>
      </c>
      <c r="H201" s="11" t="s">
        <v>207</v>
      </c>
      <c r="O201" s="213" t="s">
        <v>1779</v>
      </c>
      <c r="Q201" s="11">
        <v>11708.0</v>
      </c>
    </row>
    <row r="202">
      <c r="A202" s="11" t="s">
        <v>4475</v>
      </c>
      <c r="B202" s="11">
        <v>14594.0</v>
      </c>
      <c r="C202" s="74">
        <v>0.05</v>
      </c>
      <c r="D202" s="74">
        <v>0.75</v>
      </c>
      <c r="E202" s="74">
        <v>0.75</v>
      </c>
      <c r="F202" s="11" t="s">
        <v>1656</v>
      </c>
      <c r="O202" s="11" t="s">
        <v>1780</v>
      </c>
    </row>
    <row r="203">
      <c r="A203" s="11" t="s">
        <v>4635</v>
      </c>
      <c r="B203" s="11">
        <v>6675.0</v>
      </c>
      <c r="C203" s="74">
        <v>0.05</v>
      </c>
      <c r="D203" s="74">
        <v>0.78</v>
      </c>
      <c r="E203" s="74">
        <v>0.78</v>
      </c>
      <c r="F203" s="11" t="s">
        <v>1656</v>
      </c>
      <c r="O203" s="213" t="s">
        <v>1781</v>
      </c>
      <c r="Q203" s="11">
        <v>14023.0</v>
      </c>
    </row>
    <row r="204">
      <c r="A204" s="11" t="s">
        <v>4636</v>
      </c>
      <c r="B204" s="11">
        <v>6675.0</v>
      </c>
      <c r="C204" s="74">
        <v>0.05</v>
      </c>
      <c r="D204" s="74">
        <v>0.78</v>
      </c>
      <c r="E204" s="74">
        <v>0.78</v>
      </c>
      <c r="F204" s="11" t="s">
        <v>1656</v>
      </c>
      <c r="O204" s="11" t="s">
        <v>1782</v>
      </c>
    </row>
    <row r="205">
      <c r="A205" s="11" t="s">
        <v>4637</v>
      </c>
      <c r="B205" s="11">
        <v>6675.0</v>
      </c>
      <c r="C205" s="74">
        <v>0.05</v>
      </c>
      <c r="D205" s="74">
        <v>0.78</v>
      </c>
      <c r="E205" s="74">
        <v>0.78</v>
      </c>
      <c r="F205" s="11" t="s">
        <v>1656</v>
      </c>
      <c r="O205" s="213" t="s">
        <v>1784</v>
      </c>
    </row>
    <row r="206">
      <c r="A206" s="11" t="s">
        <v>4638</v>
      </c>
      <c r="B206" s="11">
        <v>6675.0</v>
      </c>
      <c r="C206" s="74">
        <v>0.05</v>
      </c>
      <c r="D206" s="74">
        <v>0.78</v>
      </c>
      <c r="E206" s="74">
        <v>0.78</v>
      </c>
      <c r="F206" s="11" t="s">
        <v>1656</v>
      </c>
      <c r="O206" s="11" t="s">
        <v>1785</v>
      </c>
      <c r="Q206" s="11">
        <v>12078.0</v>
      </c>
    </row>
    <row r="207">
      <c r="A207" s="11" t="s">
        <v>43</v>
      </c>
      <c r="B207" s="11">
        <v>14727.0</v>
      </c>
      <c r="C207" s="74">
        <v>0.05</v>
      </c>
      <c r="D207" s="74">
        <v>0.75</v>
      </c>
      <c r="E207" s="74">
        <v>0.75</v>
      </c>
      <c r="F207" s="11" t="s">
        <v>1656</v>
      </c>
      <c r="O207" s="213"/>
    </row>
  </sheetData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35.38"/>
  </cols>
  <sheetData>
    <row r="1">
      <c r="A1" s="214" t="s">
        <v>1654</v>
      </c>
      <c r="B1" s="214" t="s">
        <v>1</v>
      </c>
      <c r="C1" s="19" t="s">
        <v>294</v>
      </c>
      <c r="D1" s="55" t="s">
        <v>248</v>
      </c>
      <c r="E1" s="11" t="s">
        <v>249</v>
      </c>
      <c r="F1" s="11" t="s">
        <v>250</v>
      </c>
      <c r="G1" s="11" t="s">
        <v>251</v>
      </c>
    </row>
    <row r="2">
      <c r="A2" s="11" t="s">
        <v>516</v>
      </c>
      <c r="B2" s="18">
        <v>14590.0</v>
      </c>
      <c r="C2" s="215" t="s">
        <v>4639</v>
      </c>
      <c r="D2" s="74">
        <v>0.9</v>
      </c>
      <c r="E2" s="74">
        <v>0.9</v>
      </c>
      <c r="F2" s="11" t="s">
        <v>1656</v>
      </c>
    </row>
    <row r="3">
      <c r="A3" s="11" t="s">
        <v>4640</v>
      </c>
      <c r="B3" s="18">
        <v>14590.0</v>
      </c>
      <c r="C3" s="215" t="s">
        <v>4639</v>
      </c>
      <c r="D3" s="74">
        <v>0.9</v>
      </c>
      <c r="E3" s="74">
        <v>0.9</v>
      </c>
      <c r="F3" s="11" t="s">
        <v>1656</v>
      </c>
    </row>
    <row r="4">
      <c r="A4" s="11" t="s">
        <v>4641</v>
      </c>
      <c r="B4" s="18">
        <v>14590.0</v>
      </c>
      <c r="C4" s="215" t="s">
        <v>4639</v>
      </c>
      <c r="D4" s="74">
        <v>0.9</v>
      </c>
      <c r="E4" s="74">
        <v>0.9</v>
      </c>
      <c r="F4" s="11" t="s">
        <v>1656</v>
      </c>
    </row>
    <row r="5">
      <c r="A5" s="11" t="s">
        <v>4642</v>
      </c>
      <c r="B5" s="18">
        <v>14590.0</v>
      </c>
      <c r="C5" s="215" t="s">
        <v>4639</v>
      </c>
      <c r="D5" s="74">
        <v>0.9</v>
      </c>
      <c r="E5" s="74">
        <v>0.9</v>
      </c>
      <c r="F5" s="11" t="s">
        <v>1656</v>
      </c>
    </row>
    <row r="6">
      <c r="A6" s="11" t="s">
        <v>4643</v>
      </c>
      <c r="B6" s="18">
        <v>14590.0</v>
      </c>
      <c r="C6" s="215" t="s">
        <v>4639</v>
      </c>
      <c r="D6" s="74">
        <v>0.9</v>
      </c>
      <c r="E6" s="74">
        <v>0.9</v>
      </c>
      <c r="F6" s="11" t="s">
        <v>1656</v>
      </c>
    </row>
    <row r="7">
      <c r="A7" s="11" t="s">
        <v>4644</v>
      </c>
      <c r="B7" s="18">
        <v>14590.0</v>
      </c>
      <c r="C7" s="215" t="s">
        <v>4639</v>
      </c>
      <c r="D7" s="74">
        <v>0.9</v>
      </c>
      <c r="E7" s="74">
        <v>0.9</v>
      </c>
      <c r="F7" s="11" t="s">
        <v>1656</v>
      </c>
    </row>
    <row r="8">
      <c r="A8" s="11" t="s">
        <v>4645</v>
      </c>
      <c r="B8" s="18">
        <v>14590.0</v>
      </c>
      <c r="C8" s="215" t="s">
        <v>4639</v>
      </c>
      <c r="D8" s="74">
        <v>0.9</v>
      </c>
      <c r="E8" s="74">
        <v>0.9</v>
      </c>
      <c r="F8" s="11" t="s">
        <v>1656</v>
      </c>
    </row>
    <row r="9">
      <c r="A9" s="11" t="s">
        <v>4646</v>
      </c>
      <c r="B9" s="18">
        <v>14590.0</v>
      </c>
      <c r="C9" s="215" t="s">
        <v>4639</v>
      </c>
      <c r="D9" s="74">
        <v>0.9</v>
      </c>
      <c r="E9" s="74">
        <v>0.9</v>
      </c>
      <c r="F9" s="11" t="s">
        <v>1656</v>
      </c>
    </row>
    <row r="10">
      <c r="A10" s="11" t="s">
        <v>4647</v>
      </c>
      <c r="B10" s="11">
        <v>6668.0</v>
      </c>
      <c r="C10" s="215" t="s">
        <v>4639</v>
      </c>
      <c r="D10" s="74">
        <v>0.75</v>
      </c>
      <c r="E10" s="74">
        <v>0.75</v>
      </c>
      <c r="F10" s="11" t="s">
        <v>1656</v>
      </c>
    </row>
    <row r="11">
      <c r="A11" s="11" t="s">
        <v>4648</v>
      </c>
      <c r="B11" s="11">
        <v>6668.0</v>
      </c>
      <c r="C11" s="215" t="s">
        <v>4639</v>
      </c>
      <c r="D11" s="74">
        <v>0.75</v>
      </c>
      <c r="E11" s="74">
        <v>0.75</v>
      </c>
      <c r="F11" s="11" t="s">
        <v>1656</v>
      </c>
    </row>
    <row r="12">
      <c r="A12" s="11" t="s">
        <v>4649</v>
      </c>
      <c r="B12" s="11">
        <v>14638.0</v>
      </c>
      <c r="C12" s="215" t="s">
        <v>4639</v>
      </c>
      <c r="D12" s="74">
        <v>0.75</v>
      </c>
      <c r="E12" s="74">
        <v>0.75</v>
      </c>
      <c r="F12" s="11" t="s">
        <v>1656</v>
      </c>
    </row>
    <row r="13">
      <c r="A13" s="11" t="s">
        <v>4650</v>
      </c>
      <c r="B13" s="11">
        <v>14659.0</v>
      </c>
      <c r="C13" s="215" t="s">
        <v>4639</v>
      </c>
      <c r="D13" s="74">
        <v>0.75</v>
      </c>
      <c r="E13" s="74">
        <v>0.75</v>
      </c>
      <c r="F13" s="11" t="s">
        <v>1656</v>
      </c>
    </row>
    <row r="14">
      <c r="A14" s="11" t="s">
        <v>4651</v>
      </c>
      <c r="B14" s="11">
        <v>3404.0</v>
      </c>
      <c r="C14" s="215" t="s">
        <v>4639</v>
      </c>
      <c r="D14" s="74">
        <v>0.75</v>
      </c>
      <c r="E14" s="74">
        <v>0.75</v>
      </c>
      <c r="F14" s="11" t="s">
        <v>1656</v>
      </c>
    </row>
    <row r="15">
      <c r="A15" s="11" t="s">
        <v>4652</v>
      </c>
      <c r="B15" s="11">
        <v>6802.0</v>
      </c>
      <c r="C15" s="215" t="s">
        <v>4639</v>
      </c>
      <c r="D15" s="74">
        <v>0.75</v>
      </c>
      <c r="E15" s="74">
        <v>0.75</v>
      </c>
      <c r="F15" s="11" t="s">
        <v>1656</v>
      </c>
    </row>
    <row r="16">
      <c r="A16" s="11" t="s">
        <v>4653</v>
      </c>
      <c r="B16" s="11">
        <v>8002.0</v>
      </c>
      <c r="C16" s="215" t="s">
        <v>4639</v>
      </c>
      <c r="D16" s="74">
        <v>0.75</v>
      </c>
      <c r="E16" s="74">
        <v>0.75</v>
      </c>
      <c r="F16" s="11" t="s">
        <v>1656</v>
      </c>
    </row>
    <row r="17">
      <c r="A17" s="11" t="s">
        <v>4654</v>
      </c>
      <c r="B17" s="11">
        <v>499.0</v>
      </c>
      <c r="C17" s="215" t="s">
        <v>4639</v>
      </c>
      <c r="D17" s="74">
        <v>0.75</v>
      </c>
      <c r="E17" s="74">
        <v>0.75</v>
      </c>
      <c r="F17" s="11" t="s">
        <v>1656</v>
      </c>
    </row>
    <row r="18">
      <c r="A18" s="11" t="s">
        <v>4655</v>
      </c>
      <c r="B18" s="11">
        <v>7023.0</v>
      </c>
      <c r="C18" s="215" t="s">
        <v>4639</v>
      </c>
      <c r="D18" s="74">
        <v>0.75</v>
      </c>
      <c r="E18" s="74">
        <v>0.75</v>
      </c>
      <c r="F18" s="11" t="s">
        <v>1656</v>
      </c>
    </row>
    <row r="19">
      <c r="A19" s="11" t="s">
        <v>4656</v>
      </c>
      <c r="B19" s="11">
        <v>2345.0</v>
      </c>
      <c r="C19" s="215" t="s">
        <v>4639</v>
      </c>
      <c r="D19" s="74">
        <v>0.75</v>
      </c>
      <c r="E19" s="74">
        <v>0.75</v>
      </c>
      <c r="F19" s="11" t="s">
        <v>1656</v>
      </c>
    </row>
    <row r="20">
      <c r="A20" s="11" t="s">
        <v>4657</v>
      </c>
      <c r="B20" s="11">
        <v>7031.0</v>
      </c>
      <c r="C20" s="215" t="s">
        <v>4639</v>
      </c>
      <c r="D20" s="74">
        <v>0.75</v>
      </c>
      <c r="E20" s="74">
        <v>0.75</v>
      </c>
      <c r="F20" s="11" t="s">
        <v>1656</v>
      </c>
    </row>
    <row r="21">
      <c r="A21" s="11" t="s">
        <v>4658</v>
      </c>
      <c r="B21" s="11">
        <v>14607.0</v>
      </c>
      <c r="C21" s="215" t="s">
        <v>4639</v>
      </c>
      <c r="D21" s="74">
        <v>0.75</v>
      </c>
      <c r="E21" s="74">
        <v>0.75</v>
      </c>
      <c r="F21" s="11" t="s">
        <v>1656</v>
      </c>
    </row>
    <row r="22">
      <c r="A22" s="11" t="s">
        <v>4659</v>
      </c>
      <c r="B22" s="11">
        <v>14752.0</v>
      </c>
      <c r="C22" s="215" t="s">
        <v>4639</v>
      </c>
      <c r="D22" s="74">
        <v>0.75</v>
      </c>
      <c r="E22" s="74">
        <v>0.75</v>
      </c>
      <c r="F22" s="11" t="s">
        <v>1656</v>
      </c>
    </row>
    <row r="23">
      <c r="A23" s="11" t="s">
        <v>4660</v>
      </c>
      <c r="B23" s="11">
        <v>14646.0</v>
      </c>
      <c r="C23" s="215" t="s">
        <v>4639</v>
      </c>
      <c r="D23" s="74">
        <v>0.75</v>
      </c>
      <c r="E23" s="74">
        <v>0.75</v>
      </c>
      <c r="F23" s="11" t="s">
        <v>1656</v>
      </c>
    </row>
    <row r="24">
      <c r="A24" s="11" t="s">
        <v>4661</v>
      </c>
      <c r="B24" s="11">
        <v>2345.0</v>
      </c>
      <c r="C24" s="215" t="s">
        <v>4639</v>
      </c>
      <c r="D24" s="74">
        <v>0.75</v>
      </c>
      <c r="E24" s="74">
        <v>0.75</v>
      </c>
      <c r="F24" s="11" t="s">
        <v>1656</v>
      </c>
    </row>
    <row r="25">
      <c r="A25" s="11" t="s">
        <v>4662</v>
      </c>
      <c r="B25" s="11">
        <v>7142.0</v>
      </c>
      <c r="C25" s="215" t="s">
        <v>4639</v>
      </c>
      <c r="D25" s="74">
        <v>0.75</v>
      </c>
      <c r="E25" s="74">
        <v>0.75</v>
      </c>
      <c r="F25" s="11" t="s">
        <v>1656</v>
      </c>
    </row>
    <row r="26">
      <c r="A26" s="11" t="s">
        <v>4663</v>
      </c>
      <c r="B26" s="11">
        <v>2345.0</v>
      </c>
      <c r="C26" s="215" t="s">
        <v>4639</v>
      </c>
      <c r="D26" s="74">
        <v>0.75</v>
      </c>
      <c r="E26" s="74">
        <v>0.75</v>
      </c>
      <c r="F26" s="11" t="s">
        <v>1656</v>
      </c>
    </row>
    <row r="27">
      <c r="A27" s="11" t="s">
        <v>4664</v>
      </c>
      <c r="B27" s="11">
        <v>2345.0</v>
      </c>
      <c r="C27" s="215" t="s">
        <v>4639</v>
      </c>
      <c r="D27" s="74">
        <v>0.75</v>
      </c>
      <c r="E27" s="74">
        <v>0.75</v>
      </c>
      <c r="F27" s="11" t="s">
        <v>1656</v>
      </c>
    </row>
    <row r="28">
      <c r="A28" s="11" t="s">
        <v>4665</v>
      </c>
      <c r="B28" s="11">
        <v>2345.0</v>
      </c>
      <c r="C28" s="215" t="s">
        <v>4639</v>
      </c>
      <c r="D28" s="74">
        <v>0.75</v>
      </c>
      <c r="E28" s="74">
        <v>0.75</v>
      </c>
      <c r="F28" s="11" t="s">
        <v>1656</v>
      </c>
    </row>
    <row r="29">
      <c r="A29" s="11" t="s">
        <v>4666</v>
      </c>
      <c r="B29" s="11">
        <v>2345.0</v>
      </c>
      <c r="C29" s="215" t="s">
        <v>4639</v>
      </c>
      <c r="D29" s="74">
        <v>0.75</v>
      </c>
      <c r="E29" s="74">
        <v>0.75</v>
      </c>
      <c r="F29" s="11" t="s">
        <v>1656</v>
      </c>
    </row>
    <row r="30">
      <c r="A30" s="11" t="s">
        <v>4667</v>
      </c>
      <c r="B30" s="11">
        <v>14672.0</v>
      </c>
      <c r="C30" s="215" t="s">
        <v>4639</v>
      </c>
      <c r="D30" s="74">
        <v>0.75</v>
      </c>
      <c r="E30" s="74">
        <v>0.75</v>
      </c>
      <c r="F30" s="11" t="s">
        <v>1656</v>
      </c>
    </row>
    <row r="31">
      <c r="A31" s="11" t="s">
        <v>4668</v>
      </c>
      <c r="B31" s="11">
        <v>6772.0</v>
      </c>
      <c r="C31" s="215" t="s">
        <v>4639</v>
      </c>
      <c r="D31" s="74">
        <v>0.75</v>
      </c>
      <c r="E31" s="74">
        <v>0.75</v>
      </c>
      <c r="F31" s="11" t="s">
        <v>1656</v>
      </c>
    </row>
    <row r="32">
      <c r="A32" s="11" t="s">
        <v>4669</v>
      </c>
      <c r="B32" s="11">
        <v>6936.0</v>
      </c>
      <c r="C32" s="215" t="s">
        <v>4639</v>
      </c>
      <c r="D32" s="74">
        <v>0.75</v>
      </c>
      <c r="E32" s="74">
        <v>0.75</v>
      </c>
      <c r="F32" s="11" t="s">
        <v>1656</v>
      </c>
    </row>
    <row r="33">
      <c r="A33" s="11" t="s">
        <v>4670</v>
      </c>
      <c r="B33" s="11">
        <v>14515.0</v>
      </c>
      <c r="C33" s="215" t="s">
        <v>4639</v>
      </c>
      <c r="D33" s="74">
        <v>0.75</v>
      </c>
      <c r="E33" s="74">
        <v>0.75</v>
      </c>
      <c r="F33" s="11" t="s">
        <v>1656</v>
      </c>
    </row>
    <row r="34">
      <c r="A34" s="11" t="s">
        <v>4671</v>
      </c>
      <c r="B34" s="11">
        <v>14515.0</v>
      </c>
      <c r="C34" s="215" t="s">
        <v>4639</v>
      </c>
      <c r="D34" s="74">
        <v>0.75</v>
      </c>
      <c r="E34" s="74">
        <v>0.75</v>
      </c>
      <c r="F34" s="11" t="s">
        <v>1656</v>
      </c>
    </row>
    <row r="35">
      <c r="A35" s="11" t="s">
        <v>4672</v>
      </c>
      <c r="B35" s="11">
        <v>14515.0</v>
      </c>
      <c r="C35" s="215" t="s">
        <v>4639</v>
      </c>
      <c r="D35" s="74">
        <v>0.75</v>
      </c>
      <c r="E35" s="74">
        <v>0.75</v>
      </c>
      <c r="F35" s="11" t="s">
        <v>1656</v>
      </c>
    </row>
    <row r="36">
      <c r="A36" s="11" t="s">
        <v>4673</v>
      </c>
      <c r="B36" s="11">
        <v>14515.0</v>
      </c>
      <c r="C36" s="215" t="s">
        <v>4639</v>
      </c>
      <c r="D36" s="74">
        <v>0.75</v>
      </c>
      <c r="E36" s="74">
        <v>0.75</v>
      </c>
      <c r="F36" s="11" t="s">
        <v>1656</v>
      </c>
    </row>
    <row r="37">
      <c r="A37" s="11" t="s">
        <v>4674</v>
      </c>
      <c r="B37" s="11">
        <v>14515.0</v>
      </c>
      <c r="C37" s="215" t="s">
        <v>4639</v>
      </c>
      <c r="D37" s="74">
        <v>0.75</v>
      </c>
      <c r="E37" s="74">
        <v>0.75</v>
      </c>
      <c r="F37" s="11" t="s">
        <v>1656</v>
      </c>
    </row>
    <row r="38">
      <c r="A38" s="11" t="s">
        <v>4675</v>
      </c>
      <c r="B38" s="11">
        <v>14515.0</v>
      </c>
      <c r="C38" s="215" t="s">
        <v>4639</v>
      </c>
      <c r="D38" s="74">
        <v>0.75</v>
      </c>
      <c r="E38" s="74">
        <v>0.75</v>
      </c>
      <c r="F38" s="11" t="s">
        <v>1656</v>
      </c>
    </row>
    <row r="39">
      <c r="A39" s="11" t="s">
        <v>4676</v>
      </c>
      <c r="B39" s="11">
        <v>14515.0</v>
      </c>
      <c r="C39" s="215" t="s">
        <v>4639</v>
      </c>
      <c r="D39" s="74">
        <v>0.75</v>
      </c>
      <c r="E39" s="74">
        <v>0.75</v>
      </c>
      <c r="F39" s="11" t="s">
        <v>1656</v>
      </c>
    </row>
    <row r="40">
      <c r="A40" s="11" t="s">
        <v>4677</v>
      </c>
      <c r="B40" s="11">
        <v>14515.0</v>
      </c>
      <c r="C40" s="215" t="s">
        <v>4639</v>
      </c>
      <c r="D40" s="74">
        <v>0.75</v>
      </c>
      <c r="E40" s="74">
        <v>0.75</v>
      </c>
      <c r="F40" s="11" t="s">
        <v>1656</v>
      </c>
    </row>
    <row r="41">
      <c r="A41" s="11" t="s">
        <v>4678</v>
      </c>
      <c r="B41" s="11">
        <v>14515.0</v>
      </c>
      <c r="C41" s="215" t="s">
        <v>4639</v>
      </c>
      <c r="D41" s="74">
        <v>0.75</v>
      </c>
      <c r="E41" s="74">
        <v>0.75</v>
      </c>
      <c r="F41" s="11" t="s">
        <v>1656</v>
      </c>
    </row>
    <row r="42">
      <c r="A42" s="11" t="s">
        <v>4679</v>
      </c>
      <c r="B42" s="11">
        <v>14515.0</v>
      </c>
      <c r="C42" s="215" t="s">
        <v>4639</v>
      </c>
      <c r="D42" s="74">
        <v>0.75</v>
      </c>
      <c r="E42" s="74">
        <v>0.75</v>
      </c>
      <c r="F42" s="11" t="s">
        <v>1656</v>
      </c>
    </row>
    <row r="43">
      <c r="A43" s="11" t="s">
        <v>4680</v>
      </c>
      <c r="B43" s="11">
        <v>14515.0</v>
      </c>
      <c r="C43" s="215" t="s">
        <v>4639</v>
      </c>
      <c r="D43" s="74">
        <v>0.75</v>
      </c>
      <c r="E43" s="74">
        <v>0.75</v>
      </c>
      <c r="F43" s="11" t="s">
        <v>1656</v>
      </c>
    </row>
    <row r="44">
      <c r="A44" s="11" t="s">
        <v>4681</v>
      </c>
      <c r="B44" s="11">
        <v>14515.0</v>
      </c>
      <c r="C44" s="215" t="s">
        <v>4639</v>
      </c>
      <c r="D44" s="74">
        <v>0.75</v>
      </c>
      <c r="E44" s="74">
        <v>0.75</v>
      </c>
      <c r="F44" s="11" t="s">
        <v>1656</v>
      </c>
    </row>
    <row r="45">
      <c r="A45" s="11" t="s">
        <v>4682</v>
      </c>
      <c r="B45" s="11">
        <v>14515.0</v>
      </c>
      <c r="C45" s="215" t="s">
        <v>4639</v>
      </c>
      <c r="D45" s="74">
        <v>0.75</v>
      </c>
      <c r="E45" s="74">
        <v>0.75</v>
      </c>
      <c r="F45" s="11" t="s">
        <v>1656</v>
      </c>
    </row>
    <row r="46">
      <c r="A46" s="11" t="s">
        <v>4683</v>
      </c>
      <c r="B46" s="11">
        <v>14465.0</v>
      </c>
      <c r="C46" s="215" t="s">
        <v>4639</v>
      </c>
      <c r="D46" s="74">
        <v>0.9</v>
      </c>
      <c r="E46" s="74">
        <v>0.9</v>
      </c>
      <c r="F46" s="11" t="s">
        <v>1656</v>
      </c>
    </row>
    <row r="47">
      <c r="A47" s="11" t="s">
        <v>4684</v>
      </c>
      <c r="C47" s="215" t="s">
        <v>4639</v>
      </c>
      <c r="D47" s="74">
        <v>0.75</v>
      </c>
      <c r="E47" s="74">
        <v>0.75</v>
      </c>
      <c r="F47" s="11" t="s">
        <v>1656</v>
      </c>
    </row>
    <row r="48">
      <c r="A48" s="11" t="s">
        <v>4685</v>
      </c>
      <c r="B48" s="11">
        <v>7010.0</v>
      </c>
      <c r="C48" s="215" t="s">
        <v>4639</v>
      </c>
      <c r="D48" s="74">
        <v>0.75</v>
      </c>
      <c r="E48" s="74">
        <v>0.75</v>
      </c>
      <c r="F48" s="11" t="s">
        <v>1656</v>
      </c>
    </row>
    <row r="49">
      <c r="A49" s="11" t="s">
        <v>4686</v>
      </c>
      <c r="C49" s="215" t="s">
        <v>4639</v>
      </c>
      <c r="D49" s="74">
        <v>0.75</v>
      </c>
      <c r="E49" s="74">
        <v>0.75</v>
      </c>
      <c r="F49" s="11" t="s">
        <v>1656</v>
      </c>
    </row>
    <row r="50">
      <c r="A50" s="88" t="s">
        <v>4687</v>
      </c>
      <c r="C50" s="215" t="s">
        <v>4639</v>
      </c>
      <c r="D50" s="74">
        <v>0.75</v>
      </c>
      <c r="E50" s="74">
        <v>0.75</v>
      </c>
      <c r="F50" s="11" t="s">
        <v>1656</v>
      </c>
    </row>
    <row r="51">
      <c r="A51" s="11" t="s">
        <v>4688</v>
      </c>
      <c r="B51" s="11">
        <v>14575.0</v>
      </c>
      <c r="C51" s="215" t="s">
        <v>4639</v>
      </c>
      <c r="D51" s="74">
        <v>0.85</v>
      </c>
      <c r="E51" s="74">
        <v>0.85</v>
      </c>
      <c r="F51" s="11" t="s">
        <v>1656</v>
      </c>
    </row>
    <row r="52">
      <c r="A52" s="11" t="s">
        <v>4689</v>
      </c>
      <c r="B52" s="11">
        <v>14771.0</v>
      </c>
      <c r="C52" s="215" t="s">
        <v>4639</v>
      </c>
      <c r="D52" s="74">
        <v>0.75</v>
      </c>
      <c r="E52" s="74">
        <v>0.75</v>
      </c>
      <c r="F52" s="11" t="s">
        <v>1656</v>
      </c>
    </row>
    <row r="53">
      <c r="A53" s="11" t="s">
        <v>4690</v>
      </c>
      <c r="B53" s="11">
        <v>6903.0</v>
      </c>
      <c r="C53" s="215" t="s">
        <v>4639</v>
      </c>
      <c r="D53" s="74">
        <v>0.75</v>
      </c>
      <c r="E53" s="74">
        <v>0.75</v>
      </c>
      <c r="F53" s="11" t="s">
        <v>1656</v>
      </c>
    </row>
    <row r="54">
      <c r="A54" s="11" t="s">
        <v>4691</v>
      </c>
      <c r="B54" s="11">
        <v>663.0</v>
      </c>
      <c r="C54" s="215" t="s">
        <v>4639</v>
      </c>
      <c r="D54" s="74">
        <v>0.75</v>
      </c>
      <c r="E54" s="74">
        <v>0.75</v>
      </c>
      <c r="F54" s="11" t="s">
        <v>1656</v>
      </c>
    </row>
    <row r="55">
      <c r="A55" s="11" t="s">
        <v>4692</v>
      </c>
      <c r="B55" s="11">
        <v>663.0</v>
      </c>
      <c r="C55" s="215" t="s">
        <v>4639</v>
      </c>
      <c r="D55" s="74">
        <v>0.75</v>
      </c>
      <c r="E55" s="74">
        <v>0.75</v>
      </c>
      <c r="F55" s="11" t="s">
        <v>1656</v>
      </c>
    </row>
    <row r="56">
      <c r="A56" s="11" t="s">
        <v>4693</v>
      </c>
      <c r="B56" s="11">
        <v>6669.0</v>
      </c>
      <c r="C56" s="215" t="s">
        <v>4639</v>
      </c>
      <c r="D56" s="74">
        <v>0.75</v>
      </c>
      <c r="E56" s="74">
        <v>0.75</v>
      </c>
      <c r="F56" s="11" t="s">
        <v>1656</v>
      </c>
    </row>
    <row r="57">
      <c r="A57" s="11" t="s">
        <v>4694</v>
      </c>
      <c r="B57" s="11">
        <v>6669.0</v>
      </c>
      <c r="C57" s="215" t="s">
        <v>4639</v>
      </c>
      <c r="D57" s="74">
        <v>0.75</v>
      </c>
      <c r="E57" s="74">
        <v>0.75</v>
      </c>
      <c r="F57" s="11" t="s">
        <v>1656</v>
      </c>
    </row>
    <row r="58">
      <c r="A58" s="11" t="s">
        <v>4695</v>
      </c>
      <c r="B58" s="11">
        <v>6675.0</v>
      </c>
      <c r="C58" s="215" t="s">
        <v>4639</v>
      </c>
      <c r="D58" s="74">
        <v>0.88</v>
      </c>
      <c r="E58" s="74">
        <v>0.88</v>
      </c>
      <c r="F58" s="11" t="s">
        <v>1656</v>
      </c>
    </row>
    <row r="59">
      <c r="A59" s="11" t="s">
        <v>4696</v>
      </c>
      <c r="B59" s="11">
        <v>6675.0</v>
      </c>
      <c r="C59" s="215" t="s">
        <v>4639</v>
      </c>
      <c r="D59" s="74">
        <v>0.88</v>
      </c>
      <c r="E59" s="74">
        <v>0.88</v>
      </c>
      <c r="F59" s="11" t="s">
        <v>1656</v>
      </c>
    </row>
    <row r="60">
      <c r="A60" s="11" t="s">
        <v>4697</v>
      </c>
      <c r="B60" s="11">
        <v>7083.0</v>
      </c>
      <c r="C60" s="215" t="s">
        <v>4639</v>
      </c>
      <c r="D60" s="74">
        <v>0.75</v>
      </c>
      <c r="E60" s="74">
        <v>0.75</v>
      </c>
      <c r="F60" s="11" t="s">
        <v>1656</v>
      </c>
    </row>
    <row r="61">
      <c r="A61" s="11" t="s">
        <v>4698</v>
      </c>
      <c r="B61" s="11">
        <v>6924.0</v>
      </c>
      <c r="C61" s="215" t="s">
        <v>4639</v>
      </c>
      <c r="D61" s="74">
        <v>0.75</v>
      </c>
      <c r="E61" s="74">
        <v>0.75</v>
      </c>
      <c r="F61" s="11" t="s">
        <v>1656</v>
      </c>
    </row>
    <row r="62">
      <c r="A62" s="11" t="s">
        <v>4699</v>
      </c>
      <c r="B62" s="11">
        <v>13864.0</v>
      </c>
      <c r="C62" s="215" t="s">
        <v>4639</v>
      </c>
      <c r="D62" s="74">
        <v>0.75</v>
      </c>
      <c r="E62" s="74">
        <v>0.75</v>
      </c>
      <c r="F62" s="11" t="s">
        <v>1656</v>
      </c>
    </row>
    <row r="63">
      <c r="A63" s="11" t="s">
        <v>4700</v>
      </c>
      <c r="B63" s="11">
        <v>6675.0</v>
      </c>
      <c r="C63" s="215" t="s">
        <v>4639</v>
      </c>
      <c r="D63" s="74">
        <v>0.88</v>
      </c>
      <c r="E63" s="74">
        <v>0.88</v>
      </c>
      <c r="F63" s="11" t="s">
        <v>1656</v>
      </c>
    </row>
    <row r="64">
      <c r="A64" s="11" t="s">
        <v>4701</v>
      </c>
      <c r="B64" s="11">
        <v>6675.0</v>
      </c>
      <c r="C64" s="215" t="s">
        <v>4639</v>
      </c>
      <c r="D64" s="74">
        <v>0.88</v>
      </c>
      <c r="E64" s="74">
        <v>0.88</v>
      </c>
      <c r="F64" s="11" t="s">
        <v>1656</v>
      </c>
    </row>
    <row r="65">
      <c r="A65" s="11" t="s">
        <v>4702</v>
      </c>
      <c r="B65" s="11">
        <v>6675.0</v>
      </c>
      <c r="C65" s="215" t="s">
        <v>4639</v>
      </c>
      <c r="D65" s="74">
        <v>0.88</v>
      </c>
      <c r="E65" s="74">
        <v>0.88</v>
      </c>
      <c r="F65" s="11" t="s">
        <v>1656</v>
      </c>
    </row>
    <row r="66">
      <c r="A66" s="11" t="s">
        <v>4703</v>
      </c>
      <c r="B66" s="11">
        <v>5566.0</v>
      </c>
      <c r="C66" s="215" t="s">
        <v>4639</v>
      </c>
      <c r="D66" s="74">
        <v>0.75</v>
      </c>
      <c r="E66" s="74">
        <v>0.75</v>
      </c>
      <c r="F66" s="11" t="s">
        <v>1656</v>
      </c>
    </row>
    <row r="67">
      <c r="A67" s="11" t="s">
        <v>4704</v>
      </c>
      <c r="B67" s="11">
        <v>5566.0</v>
      </c>
      <c r="C67" s="215" t="s">
        <v>4639</v>
      </c>
      <c r="D67" s="74">
        <v>0.75</v>
      </c>
      <c r="E67" s="74">
        <v>0.75</v>
      </c>
      <c r="F67" s="11" t="s">
        <v>1656</v>
      </c>
    </row>
    <row r="68">
      <c r="A68" s="18" t="s">
        <v>4705</v>
      </c>
      <c r="B68" s="11">
        <v>7100.0</v>
      </c>
      <c r="C68" s="215" t="s">
        <v>4639</v>
      </c>
      <c r="D68" s="74">
        <v>0.75</v>
      </c>
      <c r="E68" s="74">
        <v>0.75</v>
      </c>
      <c r="F68" s="11" t="s">
        <v>1656</v>
      </c>
    </row>
    <row r="69">
      <c r="A69" s="18" t="s">
        <v>4706</v>
      </c>
      <c r="B69" s="11">
        <v>6875.0</v>
      </c>
      <c r="C69" s="215" t="s">
        <v>4639</v>
      </c>
      <c r="D69" s="74">
        <v>0.75</v>
      </c>
      <c r="E69" s="74">
        <v>0.75</v>
      </c>
      <c r="F69" s="11" t="s">
        <v>1656</v>
      </c>
    </row>
    <row r="70">
      <c r="A70" s="18" t="s">
        <v>4707</v>
      </c>
      <c r="B70" s="11">
        <v>10616.0</v>
      </c>
      <c r="C70" s="215" t="s">
        <v>4639</v>
      </c>
      <c r="D70" s="74">
        <v>0.75</v>
      </c>
      <c r="E70" s="74">
        <v>0.75</v>
      </c>
      <c r="F70" s="11" t="s">
        <v>1656</v>
      </c>
    </row>
    <row r="71">
      <c r="A71" s="18" t="s">
        <v>4708</v>
      </c>
      <c r="B71" s="11">
        <v>6811.0</v>
      </c>
      <c r="C71" s="215" t="s">
        <v>4639</v>
      </c>
      <c r="D71" s="74">
        <v>0.75</v>
      </c>
      <c r="E71" s="74">
        <v>0.75</v>
      </c>
      <c r="F71" s="11" t="s">
        <v>1656</v>
      </c>
    </row>
    <row r="72">
      <c r="A72" s="18" t="s">
        <v>4709</v>
      </c>
      <c r="B72" s="11">
        <v>14482.0</v>
      </c>
      <c r="C72" s="215" t="s">
        <v>4639</v>
      </c>
      <c r="D72" s="74">
        <v>0.75</v>
      </c>
      <c r="E72" s="74">
        <v>0.75</v>
      </c>
      <c r="F72" s="11" t="s">
        <v>1656</v>
      </c>
    </row>
    <row r="73">
      <c r="A73" s="5" t="s">
        <v>4710</v>
      </c>
      <c r="B73" s="5">
        <v>8307.0</v>
      </c>
      <c r="C73" s="215" t="s">
        <v>4639</v>
      </c>
      <c r="D73" s="74">
        <v>0.75</v>
      </c>
      <c r="E73" s="74">
        <v>0.75</v>
      </c>
      <c r="F73" s="11" t="s">
        <v>1656</v>
      </c>
      <c r="H73" s="11" t="s">
        <v>207</v>
      </c>
    </row>
    <row r="74">
      <c r="A74" s="5" t="s">
        <v>4711</v>
      </c>
      <c r="B74" s="216">
        <v>8484.0</v>
      </c>
      <c r="C74" s="215" t="s">
        <v>4639</v>
      </c>
      <c r="D74" s="74">
        <v>0.75</v>
      </c>
      <c r="E74" s="74">
        <v>0.75</v>
      </c>
      <c r="F74" s="11" t="s">
        <v>1656</v>
      </c>
      <c r="H74" s="11" t="s">
        <v>207</v>
      </c>
    </row>
    <row r="75">
      <c r="A75" s="5" t="s">
        <v>4712</v>
      </c>
      <c r="B75" s="217">
        <v>10861.0</v>
      </c>
      <c r="C75" s="215" t="s">
        <v>4639</v>
      </c>
      <c r="D75" s="74">
        <v>0.75</v>
      </c>
      <c r="E75" s="74">
        <v>0.75</v>
      </c>
      <c r="F75" s="11" t="s">
        <v>1656</v>
      </c>
      <c r="H75" s="11" t="s">
        <v>207</v>
      </c>
    </row>
    <row r="76">
      <c r="A76" s="5" t="s">
        <v>4686</v>
      </c>
      <c r="B76" s="5">
        <v>7862.0</v>
      </c>
      <c r="C76" s="215" t="s">
        <v>4639</v>
      </c>
      <c r="D76" s="74">
        <v>0.75</v>
      </c>
      <c r="E76" s="74">
        <v>0.75</v>
      </c>
      <c r="F76" s="11" t="s">
        <v>1656</v>
      </c>
      <c r="H76" s="11" t="s">
        <v>207</v>
      </c>
    </row>
    <row r="77">
      <c r="A77" s="5" t="s">
        <v>4713</v>
      </c>
      <c r="B77" s="218">
        <v>8482.0</v>
      </c>
      <c r="C77" s="215" t="s">
        <v>4639</v>
      </c>
      <c r="D77" s="74">
        <v>0.75</v>
      </c>
      <c r="E77" s="74">
        <v>0.75</v>
      </c>
      <c r="F77" s="11" t="s">
        <v>1656</v>
      </c>
      <c r="H77" s="11" t="s">
        <v>207</v>
      </c>
    </row>
    <row r="78">
      <c r="A78" s="5" t="s">
        <v>4688</v>
      </c>
      <c r="B78" s="199">
        <v>14071.0</v>
      </c>
      <c r="C78" s="215" t="s">
        <v>4639</v>
      </c>
      <c r="D78" s="74">
        <v>0.75</v>
      </c>
      <c r="E78" s="74">
        <v>0.75</v>
      </c>
      <c r="F78" s="11" t="s">
        <v>1656</v>
      </c>
      <c r="H78" s="11" t="s">
        <v>207</v>
      </c>
    </row>
    <row r="79">
      <c r="A79" s="11" t="s">
        <v>4475</v>
      </c>
      <c r="B79" s="11">
        <v>14594.0</v>
      </c>
      <c r="C79" s="215" t="s">
        <v>4639</v>
      </c>
      <c r="D79" s="74">
        <v>0.75</v>
      </c>
      <c r="E79" s="74">
        <v>0.75</v>
      </c>
      <c r="F79" s="11" t="s">
        <v>1656</v>
      </c>
    </row>
    <row r="80">
      <c r="A80" s="11" t="s">
        <v>220</v>
      </c>
      <c r="B80" s="11">
        <v>14663.0</v>
      </c>
      <c r="C80" s="215" t="s">
        <v>4639</v>
      </c>
      <c r="D80" s="74">
        <v>0.75</v>
      </c>
      <c r="E80" s="74">
        <v>0.75</v>
      </c>
      <c r="F80" s="11" t="s">
        <v>1656</v>
      </c>
    </row>
    <row r="81">
      <c r="A81" s="11" t="s">
        <v>43</v>
      </c>
      <c r="B81" s="11">
        <v>14727.0</v>
      </c>
      <c r="C81" s="215" t="s">
        <v>4639</v>
      </c>
      <c r="D81" s="74">
        <v>0.75</v>
      </c>
      <c r="E81" s="74">
        <v>0.75</v>
      </c>
      <c r="F81" s="11" t="s">
        <v>1656</v>
      </c>
    </row>
  </sheetData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47.5"/>
  </cols>
  <sheetData>
    <row r="1">
      <c r="A1" s="7" t="s">
        <v>4476</v>
      </c>
      <c r="B1" s="7" t="s">
        <v>4477</v>
      </c>
      <c r="C1" s="11" t="s">
        <v>294</v>
      </c>
      <c r="D1" s="11" t="s">
        <v>248</v>
      </c>
      <c r="E1" s="11" t="s">
        <v>249</v>
      </c>
      <c r="F1" s="11" t="s">
        <v>250</v>
      </c>
      <c r="G1" s="11" t="s">
        <v>251</v>
      </c>
    </row>
    <row r="2">
      <c r="A2" s="11" t="s">
        <v>11</v>
      </c>
      <c r="B2" s="11">
        <v>6675.0</v>
      </c>
      <c r="C2" s="11" t="s">
        <v>4714</v>
      </c>
      <c r="D2" s="74">
        <v>0.8</v>
      </c>
      <c r="E2" s="74">
        <v>0.8</v>
      </c>
      <c r="F2" s="11" t="s">
        <v>1656</v>
      </c>
    </row>
    <row r="3">
      <c r="A3" s="11" t="s">
        <v>17</v>
      </c>
      <c r="B3" s="11">
        <v>6729.0</v>
      </c>
      <c r="C3" s="11" t="s">
        <v>4714</v>
      </c>
      <c r="D3" s="74">
        <v>0.8</v>
      </c>
      <c r="E3" s="74">
        <v>0.8</v>
      </c>
      <c r="F3" s="11" t="s">
        <v>1656</v>
      </c>
    </row>
    <row r="4">
      <c r="A4" s="11" t="s">
        <v>18</v>
      </c>
      <c r="C4" s="11" t="s">
        <v>4714</v>
      </c>
      <c r="D4" s="74">
        <v>0.8</v>
      </c>
      <c r="E4" s="74">
        <v>0.8</v>
      </c>
      <c r="F4" s="11" t="s">
        <v>1656</v>
      </c>
    </row>
    <row r="5">
      <c r="A5" s="11" t="s">
        <v>15</v>
      </c>
      <c r="B5" s="11">
        <v>189.0</v>
      </c>
      <c r="C5" s="11" t="s">
        <v>4714</v>
      </c>
      <c r="D5" s="74">
        <v>0.8</v>
      </c>
      <c r="E5" s="74">
        <v>0.8</v>
      </c>
      <c r="F5" s="11" t="s">
        <v>1656</v>
      </c>
    </row>
    <row r="6">
      <c r="A6" s="11" t="s">
        <v>39</v>
      </c>
      <c r="B6" s="11">
        <v>7010.0</v>
      </c>
      <c r="C6" s="11" t="s">
        <v>4714</v>
      </c>
      <c r="D6" s="74">
        <v>0.8</v>
      </c>
      <c r="E6" s="74">
        <v>0.8</v>
      </c>
      <c r="F6" s="11" t="s">
        <v>1656</v>
      </c>
    </row>
    <row r="7">
      <c r="A7" s="11" t="s">
        <v>5</v>
      </c>
      <c r="C7" s="11" t="s">
        <v>4714</v>
      </c>
      <c r="D7" s="74">
        <v>0.8</v>
      </c>
      <c r="E7" s="74">
        <v>0.8</v>
      </c>
      <c r="F7" s="11" t="s">
        <v>1656</v>
      </c>
    </row>
    <row r="8">
      <c r="A8" s="11" t="s">
        <v>37</v>
      </c>
      <c r="B8" s="11">
        <v>8486.0</v>
      </c>
      <c r="C8" s="11" t="s">
        <v>4714</v>
      </c>
      <c r="D8" s="74">
        <v>0.8</v>
      </c>
      <c r="E8" s="74">
        <v>0.8</v>
      </c>
      <c r="F8" s="11" t="s">
        <v>1656</v>
      </c>
    </row>
    <row r="9">
      <c r="A9" s="11" t="s">
        <v>7</v>
      </c>
      <c r="B9" s="11">
        <v>6706.0</v>
      </c>
      <c r="C9" s="11" t="s">
        <v>4714</v>
      </c>
      <c r="D9" s="74">
        <v>0.8</v>
      </c>
      <c r="E9" s="74">
        <v>0.8</v>
      </c>
      <c r="F9" s="11" t="s">
        <v>1656</v>
      </c>
    </row>
    <row r="10">
      <c r="A10" s="11" t="s">
        <v>23</v>
      </c>
      <c r="C10" s="11" t="s">
        <v>4714</v>
      </c>
      <c r="D10" s="74">
        <v>0.8</v>
      </c>
      <c r="E10" s="74">
        <v>0.8</v>
      </c>
      <c r="F10" s="11" t="s">
        <v>1656</v>
      </c>
    </row>
    <row r="11">
      <c r="A11" s="11" t="s">
        <v>20</v>
      </c>
      <c r="B11" s="11">
        <v>14298.0</v>
      </c>
      <c r="C11" s="11" t="s">
        <v>4714</v>
      </c>
      <c r="D11" s="74">
        <v>0.8</v>
      </c>
      <c r="E11" s="74">
        <v>0.8</v>
      </c>
      <c r="F11" s="11" t="s">
        <v>1656</v>
      </c>
    </row>
    <row r="12">
      <c r="A12" s="11" t="s">
        <v>33</v>
      </c>
      <c r="B12" s="11">
        <v>3404.0</v>
      </c>
      <c r="C12" s="11" t="s">
        <v>4714</v>
      </c>
      <c r="D12" s="74">
        <v>0.8</v>
      </c>
      <c r="E12" s="74">
        <v>0.8</v>
      </c>
      <c r="F12" s="11" t="s">
        <v>1656</v>
      </c>
    </row>
    <row r="13">
      <c r="A13" s="11" t="s">
        <v>34</v>
      </c>
      <c r="C13" s="11" t="s">
        <v>4714</v>
      </c>
      <c r="D13" s="74">
        <v>0.8</v>
      </c>
      <c r="E13" s="74">
        <v>0.8</v>
      </c>
      <c r="F13" s="11" t="s">
        <v>1656</v>
      </c>
    </row>
    <row r="14">
      <c r="A14" s="11" t="s">
        <v>4715</v>
      </c>
      <c r="B14" s="11">
        <v>8486.0</v>
      </c>
      <c r="C14" s="11" t="s">
        <v>4714</v>
      </c>
      <c r="D14" s="74">
        <v>0.8</v>
      </c>
      <c r="E14" s="74">
        <v>0.8</v>
      </c>
      <c r="F14" s="11" t="s">
        <v>1656</v>
      </c>
    </row>
    <row r="15">
      <c r="A15" s="11" t="s">
        <v>4716</v>
      </c>
      <c r="B15" s="11">
        <v>6924.0</v>
      </c>
      <c r="C15" s="11" t="s">
        <v>4714</v>
      </c>
      <c r="D15" s="74">
        <v>0.8</v>
      </c>
      <c r="E15" s="74">
        <v>0.8</v>
      </c>
      <c r="F15" s="11" t="s">
        <v>1656</v>
      </c>
    </row>
    <row r="16">
      <c r="A16" s="11" t="s">
        <v>4717</v>
      </c>
      <c r="B16" s="11">
        <v>7083.0</v>
      </c>
      <c r="C16" s="11" t="s">
        <v>4714</v>
      </c>
      <c r="D16" s="74">
        <v>0.8</v>
      </c>
      <c r="E16" s="74">
        <v>0.8</v>
      </c>
      <c r="F16" s="11" t="s">
        <v>1656</v>
      </c>
    </row>
    <row r="17">
      <c r="A17" s="11" t="s">
        <v>4718</v>
      </c>
      <c r="B17" s="11">
        <v>7100.0</v>
      </c>
      <c r="C17" s="11" t="s">
        <v>4714</v>
      </c>
      <c r="D17" s="74">
        <v>0.8</v>
      </c>
      <c r="E17" s="74">
        <v>0.8</v>
      </c>
      <c r="F17" s="11" t="s">
        <v>1656</v>
      </c>
    </row>
    <row r="18">
      <c r="A18" s="11" t="s">
        <v>4719</v>
      </c>
      <c r="B18" s="11">
        <v>2345.0</v>
      </c>
      <c r="C18" s="11" t="s">
        <v>4714</v>
      </c>
      <c r="D18" s="74">
        <v>0.8</v>
      </c>
      <c r="E18" s="74">
        <v>0.8</v>
      </c>
      <c r="F18" s="11" t="s">
        <v>1656</v>
      </c>
    </row>
    <row r="19">
      <c r="A19" s="11" t="s">
        <v>4720</v>
      </c>
      <c r="B19" s="11">
        <v>2345.0</v>
      </c>
      <c r="C19" s="11" t="s">
        <v>4714</v>
      </c>
      <c r="D19" s="74">
        <v>0.8</v>
      </c>
      <c r="E19" s="74">
        <v>0.8</v>
      </c>
      <c r="F19" s="11" t="s">
        <v>1656</v>
      </c>
    </row>
    <row r="20">
      <c r="A20" s="11" t="s">
        <v>4721</v>
      </c>
      <c r="B20" s="11">
        <v>12932.0</v>
      </c>
      <c r="C20" s="11" t="s">
        <v>4714</v>
      </c>
      <c r="D20" s="74">
        <v>0.8</v>
      </c>
      <c r="E20" s="74">
        <v>0.8</v>
      </c>
      <c r="F20" s="11" t="s">
        <v>1656</v>
      </c>
    </row>
    <row r="21">
      <c r="A21" s="11" t="s">
        <v>4722</v>
      </c>
      <c r="B21" s="11">
        <v>7157.0</v>
      </c>
      <c r="C21" s="11" t="s">
        <v>4714</v>
      </c>
      <c r="D21" s="74">
        <v>0.8</v>
      </c>
      <c r="E21" s="74">
        <v>0.8</v>
      </c>
      <c r="F21" s="11" t="s">
        <v>1656</v>
      </c>
    </row>
    <row r="22">
      <c r="A22" s="11" t="s">
        <v>4723</v>
      </c>
      <c r="B22" s="11">
        <v>6875.0</v>
      </c>
      <c r="C22" s="11" t="s">
        <v>4714</v>
      </c>
      <c r="D22" s="74">
        <v>0.8</v>
      </c>
      <c r="E22" s="74">
        <v>0.8</v>
      </c>
      <c r="F22" s="11" t="s">
        <v>1656</v>
      </c>
    </row>
    <row r="23">
      <c r="A23" s="11" t="s">
        <v>4724</v>
      </c>
      <c r="B23" s="11">
        <v>6132.0</v>
      </c>
      <c r="C23" s="11" t="s">
        <v>4714</v>
      </c>
      <c r="D23" s="74">
        <v>0.8</v>
      </c>
      <c r="E23" s="74">
        <v>0.8</v>
      </c>
      <c r="F23" s="11" t="s">
        <v>1656</v>
      </c>
    </row>
    <row r="24">
      <c r="A24" s="11" t="s">
        <v>4725</v>
      </c>
      <c r="B24" s="11">
        <v>6669.0</v>
      </c>
      <c r="C24" s="11" t="s">
        <v>4714</v>
      </c>
      <c r="D24" s="74">
        <v>0.8</v>
      </c>
      <c r="E24" s="74">
        <v>0.8</v>
      </c>
      <c r="F24" s="11" t="s">
        <v>1656</v>
      </c>
    </row>
    <row r="25">
      <c r="A25" s="11" t="s">
        <v>4726</v>
      </c>
      <c r="B25" s="11">
        <v>12388.0</v>
      </c>
      <c r="C25" s="11" t="s">
        <v>4714</v>
      </c>
      <c r="D25" s="74">
        <v>0.8</v>
      </c>
      <c r="E25" s="74">
        <v>0.8</v>
      </c>
      <c r="F25" s="11" t="s">
        <v>1656</v>
      </c>
    </row>
    <row r="26">
      <c r="A26" s="11" t="s">
        <v>4727</v>
      </c>
      <c r="B26" s="11">
        <v>5389.0</v>
      </c>
      <c r="C26" s="11" t="s">
        <v>4714</v>
      </c>
      <c r="D26" s="74">
        <v>0.8</v>
      </c>
      <c r="E26" s="74">
        <v>0.8</v>
      </c>
      <c r="F26" s="11" t="s">
        <v>1656</v>
      </c>
    </row>
    <row r="27">
      <c r="A27" s="11" t="s">
        <v>4728</v>
      </c>
      <c r="B27" s="11">
        <v>14525.0</v>
      </c>
      <c r="C27" s="11" t="s">
        <v>4714</v>
      </c>
      <c r="D27" s="74">
        <v>0.8</v>
      </c>
      <c r="E27" s="74">
        <v>0.8</v>
      </c>
      <c r="F27" s="11" t="s">
        <v>1656</v>
      </c>
    </row>
    <row r="28">
      <c r="A28" s="11" t="s">
        <v>4729</v>
      </c>
      <c r="B28" s="11">
        <v>7031.0</v>
      </c>
      <c r="C28" s="11" t="s">
        <v>4714</v>
      </c>
      <c r="D28" s="74">
        <v>0.8</v>
      </c>
      <c r="E28" s="74">
        <v>0.8</v>
      </c>
      <c r="F28" s="11" t="s">
        <v>1656</v>
      </c>
    </row>
    <row r="29">
      <c r="A29" s="11" t="s">
        <v>4730</v>
      </c>
      <c r="B29" s="11">
        <v>2205.0</v>
      </c>
      <c r="C29" s="11" t="s">
        <v>4714</v>
      </c>
      <c r="D29" s="74">
        <v>0.8</v>
      </c>
      <c r="E29" s="74">
        <v>0.8</v>
      </c>
      <c r="F29" s="11" t="s">
        <v>1656</v>
      </c>
    </row>
    <row r="30">
      <c r="A30" s="11" t="s">
        <v>4731</v>
      </c>
      <c r="B30" s="11">
        <v>986.0</v>
      </c>
      <c r="C30" s="11" t="s">
        <v>4714</v>
      </c>
      <c r="D30" s="74">
        <v>0.85</v>
      </c>
      <c r="E30" s="74">
        <v>0.85</v>
      </c>
      <c r="F30" s="11" t="s">
        <v>1656</v>
      </c>
    </row>
    <row r="31">
      <c r="A31" s="11" t="s">
        <v>4732</v>
      </c>
      <c r="B31" s="11">
        <v>663.0</v>
      </c>
      <c r="C31" s="11" t="s">
        <v>4714</v>
      </c>
      <c r="D31" s="74">
        <v>0.8</v>
      </c>
      <c r="E31" s="74">
        <v>0.8</v>
      </c>
      <c r="F31" s="11" t="s">
        <v>1656</v>
      </c>
    </row>
    <row r="32">
      <c r="A32" s="11" t="s">
        <v>4733</v>
      </c>
      <c r="B32" s="11">
        <v>663.0</v>
      </c>
      <c r="C32" s="11" t="s">
        <v>4714</v>
      </c>
      <c r="D32" s="74">
        <v>0.8</v>
      </c>
      <c r="E32" s="74">
        <v>0.8</v>
      </c>
      <c r="F32" s="11" t="s">
        <v>1656</v>
      </c>
    </row>
    <row r="33">
      <c r="A33" s="11" t="s">
        <v>4734</v>
      </c>
      <c r="B33" s="11">
        <v>14646.0</v>
      </c>
      <c r="C33" s="11" t="s">
        <v>4714</v>
      </c>
      <c r="D33" s="74">
        <v>0.8</v>
      </c>
      <c r="E33" s="74">
        <v>0.8</v>
      </c>
      <c r="F33" s="11" t="s">
        <v>1656</v>
      </c>
    </row>
    <row r="34">
      <c r="A34" s="11" t="s">
        <v>4735</v>
      </c>
      <c r="C34" s="11" t="s">
        <v>4714</v>
      </c>
      <c r="D34" s="74">
        <v>0.8</v>
      </c>
      <c r="E34" s="74">
        <v>0.8</v>
      </c>
      <c r="F34" s="11" t="s">
        <v>1656</v>
      </c>
    </row>
    <row r="35">
      <c r="A35" s="11" t="s">
        <v>4736</v>
      </c>
      <c r="C35" s="11" t="s">
        <v>4714</v>
      </c>
      <c r="D35" s="74">
        <v>0.8</v>
      </c>
      <c r="E35" s="74">
        <v>0.8</v>
      </c>
      <c r="F35" s="11" t="s">
        <v>1656</v>
      </c>
    </row>
    <row r="36">
      <c r="A36" s="11" t="s">
        <v>4737</v>
      </c>
      <c r="B36" s="11">
        <v>14465.0</v>
      </c>
      <c r="C36" s="11" t="s">
        <v>4714</v>
      </c>
      <c r="D36" s="74">
        <v>0.9</v>
      </c>
      <c r="E36" s="74">
        <v>0.9</v>
      </c>
      <c r="F36" s="11" t="s">
        <v>1656</v>
      </c>
    </row>
    <row r="37">
      <c r="A37" s="11" t="s">
        <v>4738</v>
      </c>
      <c r="C37" s="11" t="s">
        <v>4714</v>
      </c>
      <c r="D37" s="74">
        <v>0.8</v>
      </c>
      <c r="E37" s="74">
        <v>0.8</v>
      </c>
      <c r="F37" s="11" t="s">
        <v>1656</v>
      </c>
    </row>
    <row r="38">
      <c r="A38" s="11" t="s">
        <v>4739</v>
      </c>
      <c r="B38" s="11">
        <v>7033.0</v>
      </c>
      <c r="C38" s="11" t="s">
        <v>4714</v>
      </c>
      <c r="D38" s="74">
        <v>0.8</v>
      </c>
      <c r="E38" s="74">
        <v>0.8</v>
      </c>
      <c r="F38" s="11" t="s">
        <v>1656</v>
      </c>
    </row>
    <row r="39">
      <c r="A39" s="11" t="s">
        <v>4740</v>
      </c>
      <c r="B39" s="11">
        <v>13864.0</v>
      </c>
      <c r="C39" s="11" t="s">
        <v>4714</v>
      </c>
      <c r="D39" s="74">
        <v>0.8</v>
      </c>
      <c r="E39" s="74">
        <v>0.8</v>
      </c>
      <c r="F39" s="11" t="s">
        <v>1656</v>
      </c>
    </row>
    <row r="40">
      <c r="A40" s="11" t="s">
        <v>4741</v>
      </c>
      <c r="C40" s="11" t="s">
        <v>4714</v>
      </c>
      <c r="D40" s="74">
        <v>0.8</v>
      </c>
      <c r="E40" s="74">
        <v>0.8</v>
      </c>
      <c r="F40" s="11" t="s">
        <v>1656</v>
      </c>
    </row>
    <row r="41">
      <c r="A41" s="11" t="s">
        <v>4742</v>
      </c>
      <c r="B41" s="11">
        <v>889.0</v>
      </c>
      <c r="C41" s="11" t="s">
        <v>4714</v>
      </c>
      <c r="D41" s="74">
        <v>0.8</v>
      </c>
      <c r="E41" s="74">
        <v>0.8</v>
      </c>
      <c r="F41" s="11" t="s">
        <v>1656</v>
      </c>
    </row>
    <row r="42">
      <c r="A42" s="11" t="s">
        <v>4743</v>
      </c>
      <c r="C42" s="11" t="s">
        <v>4714</v>
      </c>
      <c r="D42" s="74">
        <v>0.8</v>
      </c>
      <c r="E42" s="74">
        <v>0.8</v>
      </c>
      <c r="F42" s="11" t="s">
        <v>1656</v>
      </c>
    </row>
    <row r="43">
      <c r="A43" s="11" t="s">
        <v>4744</v>
      </c>
      <c r="C43" s="11" t="s">
        <v>4714</v>
      </c>
      <c r="D43" s="74">
        <v>0.8</v>
      </c>
      <c r="E43" s="74">
        <v>0.8</v>
      </c>
      <c r="F43" s="11" t="s">
        <v>1656</v>
      </c>
    </row>
    <row r="44">
      <c r="A44" s="11" t="s">
        <v>4745</v>
      </c>
      <c r="C44" s="11" t="s">
        <v>4714</v>
      </c>
      <c r="D44" s="74">
        <v>0.8</v>
      </c>
      <c r="E44" s="74">
        <v>0.8</v>
      </c>
      <c r="F44" s="11" t="s">
        <v>1656</v>
      </c>
    </row>
    <row r="45">
      <c r="A45" s="11" t="s">
        <v>4746</v>
      </c>
      <c r="C45" s="11" t="s">
        <v>4714</v>
      </c>
      <c r="D45" s="74">
        <v>0.8</v>
      </c>
      <c r="E45" s="74">
        <v>0.8</v>
      </c>
      <c r="F45" s="11" t="s">
        <v>1656</v>
      </c>
    </row>
    <row r="46">
      <c r="A46" s="11" t="s">
        <v>4747</v>
      </c>
      <c r="B46" s="11">
        <v>12553.0</v>
      </c>
      <c r="C46" s="11" t="s">
        <v>4714</v>
      </c>
      <c r="D46" s="74">
        <v>0.8</v>
      </c>
      <c r="E46" s="74">
        <v>0.8</v>
      </c>
      <c r="F46" s="11" t="s">
        <v>1656</v>
      </c>
    </row>
    <row r="47">
      <c r="A47" s="11" t="s">
        <v>4748</v>
      </c>
      <c r="B47" s="11">
        <v>14603.0</v>
      </c>
      <c r="C47" s="11" t="s">
        <v>4714</v>
      </c>
      <c r="D47" s="74">
        <v>0.8</v>
      </c>
      <c r="E47" s="74">
        <v>0.8</v>
      </c>
      <c r="F47" s="11" t="s">
        <v>1656</v>
      </c>
    </row>
    <row r="48">
      <c r="A48" s="11" t="s">
        <v>4749</v>
      </c>
      <c r="B48" s="11">
        <v>14603.0</v>
      </c>
      <c r="C48" s="11" t="s">
        <v>4714</v>
      </c>
      <c r="D48" s="74">
        <v>0.8</v>
      </c>
      <c r="E48" s="74">
        <v>0.8</v>
      </c>
      <c r="F48" s="11" t="s">
        <v>1656</v>
      </c>
    </row>
    <row r="49">
      <c r="A49" s="11" t="s">
        <v>4750</v>
      </c>
      <c r="B49" s="11">
        <v>14603.0</v>
      </c>
      <c r="C49" s="11" t="s">
        <v>4714</v>
      </c>
      <c r="D49" s="74">
        <v>0.8</v>
      </c>
      <c r="E49" s="74">
        <v>0.8</v>
      </c>
      <c r="F49" s="11" t="s">
        <v>1656</v>
      </c>
    </row>
    <row r="50">
      <c r="A50" s="11" t="s">
        <v>4751</v>
      </c>
      <c r="B50" s="11">
        <v>14603.0</v>
      </c>
      <c r="C50" s="11" t="s">
        <v>4714</v>
      </c>
      <c r="D50" s="74">
        <v>0.8</v>
      </c>
      <c r="E50" s="74">
        <v>0.8</v>
      </c>
      <c r="F50" s="11" t="s">
        <v>1656</v>
      </c>
    </row>
    <row r="51">
      <c r="A51" s="11" t="s">
        <v>4752</v>
      </c>
      <c r="B51" s="11">
        <v>14603.0</v>
      </c>
      <c r="C51" s="11" t="s">
        <v>4714</v>
      </c>
      <c r="D51" s="74">
        <v>0.8</v>
      </c>
      <c r="E51" s="74">
        <v>0.8</v>
      </c>
      <c r="F51" s="11" t="s">
        <v>1656</v>
      </c>
    </row>
    <row r="52">
      <c r="A52" s="11" t="s">
        <v>4753</v>
      </c>
      <c r="B52" s="11">
        <v>14603.0</v>
      </c>
      <c r="C52" s="11" t="s">
        <v>4714</v>
      </c>
      <c r="D52" s="74">
        <v>0.8</v>
      </c>
      <c r="E52" s="74">
        <v>0.8</v>
      </c>
      <c r="F52" s="11" t="s">
        <v>1656</v>
      </c>
    </row>
    <row r="53">
      <c r="A53" s="11" t="s">
        <v>4754</v>
      </c>
      <c r="B53" s="11">
        <v>14603.0</v>
      </c>
      <c r="C53" s="11" t="s">
        <v>4714</v>
      </c>
      <c r="D53" s="74">
        <v>0.8</v>
      </c>
      <c r="E53" s="74">
        <v>0.8</v>
      </c>
      <c r="F53" s="11" t="s">
        <v>1656</v>
      </c>
    </row>
    <row r="54">
      <c r="A54" s="11" t="s">
        <v>4755</v>
      </c>
      <c r="B54" s="11">
        <v>14603.0</v>
      </c>
      <c r="C54" s="11" t="s">
        <v>4714</v>
      </c>
      <c r="D54" s="74">
        <v>0.8</v>
      </c>
      <c r="E54" s="74">
        <v>0.8</v>
      </c>
      <c r="F54" s="11" t="s">
        <v>1656</v>
      </c>
    </row>
    <row r="55">
      <c r="A55" s="11" t="s">
        <v>4756</v>
      </c>
      <c r="B55" s="11">
        <v>14603.0</v>
      </c>
      <c r="C55" s="11" t="s">
        <v>4714</v>
      </c>
      <c r="D55" s="74">
        <v>0.8</v>
      </c>
      <c r="E55" s="74">
        <v>0.8</v>
      </c>
      <c r="F55" s="11" t="s">
        <v>1656</v>
      </c>
    </row>
    <row r="56">
      <c r="A56" s="11" t="s">
        <v>4757</v>
      </c>
      <c r="B56" s="11">
        <v>14603.0</v>
      </c>
      <c r="C56" s="11" t="s">
        <v>4714</v>
      </c>
      <c r="D56" s="74">
        <v>0.8</v>
      </c>
      <c r="E56" s="74">
        <v>0.8</v>
      </c>
      <c r="F56" s="11" t="s">
        <v>1656</v>
      </c>
    </row>
    <row r="57">
      <c r="A57" s="11" t="s">
        <v>4758</v>
      </c>
      <c r="C57" s="11" t="s">
        <v>4714</v>
      </c>
      <c r="D57" s="74">
        <v>0.8</v>
      </c>
      <c r="E57" s="74">
        <v>0.8</v>
      </c>
      <c r="F57" s="11" t="s">
        <v>1656</v>
      </c>
    </row>
    <row r="58">
      <c r="A58" s="11" t="s">
        <v>4759</v>
      </c>
      <c r="C58" s="11" t="s">
        <v>4714</v>
      </c>
      <c r="D58" s="74">
        <v>0.8</v>
      </c>
      <c r="E58" s="74">
        <v>0.8</v>
      </c>
      <c r="F58" s="11" t="s">
        <v>1656</v>
      </c>
    </row>
    <row r="59">
      <c r="A59" s="11" t="s">
        <v>4760</v>
      </c>
      <c r="B59" s="11">
        <v>663.0</v>
      </c>
      <c r="C59" s="11" t="s">
        <v>4714</v>
      </c>
      <c r="D59" s="74">
        <v>0.8</v>
      </c>
      <c r="E59" s="74">
        <v>0.8</v>
      </c>
      <c r="F59" s="11" t="s">
        <v>1656</v>
      </c>
    </row>
    <row r="60">
      <c r="A60" s="11" t="s">
        <v>4761</v>
      </c>
      <c r="B60" s="11">
        <v>663.0</v>
      </c>
      <c r="C60" s="11" t="s">
        <v>4714</v>
      </c>
      <c r="D60" s="74">
        <v>0.8</v>
      </c>
      <c r="E60" s="74">
        <v>0.8</v>
      </c>
      <c r="F60" s="11" t="s">
        <v>1656</v>
      </c>
    </row>
    <row r="61">
      <c r="A61" s="11" t="s">
        <v>4762</v>
      </c>
      <c r="B61" s="11">
        <v>3607.0</v>
      </c>
      <c r="C61" s="11" t="s">
        <v>4714</v>
      </c>
      <c r="D61" s="74">
        <v>0.8</v>
      </c>
      <c r="E61" s="74">
        <v>0.8</v>
      </c>
      <c r="F61" s="11" t="s">
        <v>1656</v>
      </c>
    </row>
    <row r="62">
      <c r="A62" s="11" t="s">
        <v>4763</v>
      </c>
      <c r="B62" s="11">
        <v>986.0</v>
      </c>
      <c r="C62" s="11" t="s">
        <v>4714</v>
      </c>
      <c r="D62" s="74">
        <v>0.85</v>
      </c>
      <c r="E62" s="74">
        <v>0.85</v>
      </c>
      <c r="F62" s="11" t="s">
        <v>1656</v>
      </c>
    </row>
    <row r="63">
      <c r="A63" s="11" t="s">
        <v>4764</v>
      </c>
      <c r="C63" s="11" t="s">
        <v>4714</v>
      </c>
      <c r="D63" s="74">
        <v>0.8</v>
      </c>
      <c r="E63" s="74">
        <v>0.8</v>
      </c>
      <c r="F63" s="11" t="s">
        <v>1656</v>
      </c>
    </row>
    <row r="64">
      <c r="A64" s="11" t="s">
        <v>4765</v>
      </c>
      <c r="C64" s="11" t="s">
        <v>4714</v>
      </c>
      <c r="D64" s="74">
        <v>0.8</v>
      </c>
      <c r="E64" s="74">
        <v>0.8</v>
      </c>
      <c r="F64" s="11" t="s">
        <v>1656</v>
      </c>
    </row>
    <row r="65">
      <c r="A65" s="11" t="s">
        <v>4766</v>
      </c>
      <c r="C65" s="11" t="s">
        <v>4714</v>
      </c>
      <c r="D65" s="74">
        <v>0.8</v>
      </c>
      <c r="E65" s="74">
        <v>0.8</v>
      </c>
      <c r="F65" s="11" t="s">
        <v>1656</v>
      </c>
    </row>
    <row r="66">
      <c r="A66" s="11" t="s">
        <v>4767</v>
      </c>
      <c r="B66" s="11">
        <v>6772.0</v>
      </c>
      <c r="C66" s="11" t="s">
        <v>4714</v>
      </c>
      <c r="D66" s="74">
        <v>0.8</v>
      </c>
      <c r="E66" s="74">
        <v>0.8</v>
      </c>
      <c r="F66" s="11" t="s">
        <v>1656</v>
      </c>
    </row>
    <row r="67">
      <c r="A67" s="11" t="s">
        <v>4768</v>
      </c>
      <c r="C67" s="11" t="s">
        <v>4714</v>
      </c>
      <c r="D67" s="74">
        <v>0.8</v>
      </c>
      <c r="E67" s="74">
        <v>0.8</v>
      </c>
      <c r="F67" s="11" t="s">
        <v>1656</v>
      </c>
    </row>
    <row r="68">
      <c r="A68" s="11" t="s">
        <v>4769</v>
      </c>
      <c r="C68" s="11" t="s">
        <v>4714</v>
      </c>
      <c r="D68" s="74">
        <v>0.8</v>
      </c>
      <c r="E68" s="74">
        <v>0.8</v>
      </c>
      <c r="F68" s="11" t="s">
        <v>1656</v>
      </c>
    </row>
    <row r="69">
      <c r="A69" s="11" t="s">
        <v>4770</v>
      </c>
      <c r="C69" s="11" t="s">
        <v>4714</v>
      </c>
      <c r="D69" s="74">
        <v>0.8</v>
      </c>
      <c r="E69" s="74">
        <v>0.8</v>
      </c>
      <c r="F69" s="11" t="s">
        <v>1656</v>
      </c>
    </row>
    <row r="70">
      <c r="A70" s="11" t="s">
        <v>4771</v>
      </c>
      <c r="C70" s="11" t="s">
        <v>4714</v>
      </c>
      <c r="D70" s="74">
        <v>0.8</v>
      </c>
      <c r="E70" s="74">
        <v>0.8</v>
      </c>
      <c r="F70" s="11" t="s">
        <v>1656</v>
      </c>
    </row>
    <row r="71">
      <c r="A71" s="11" t="s">
        <v>4772</v>
      </c>
      <c r="B71" s="11">
        <v>6668.0</v>
      </c>
      <c r="C71" s="11" t="s">
        <v>4714</v>
      </c>
      <c r="D71" s="74">
        <v>0.8</v>
      </c>
      <c r="E71" s="74">
        <v>0.8</v>
      </c>
      <c r="F71" s="11" t="s">
        <v>1656</v>
      </c>
    </row>
    <row r="72">
      <c r="A72" s="11" t="s">
        <v>4773</v>
      </c>
      <c r="B72" s="11">
        <v>6668.0</v>
      </c>
      <c r="C72" s="11" t="s">
        <v>4714</v>
      </c>
      <c r="D72" s="74">
        <v>0.8</v>
      </c>
      <c r="E72" s="74">
        <v>0.8</v>
      </c>
      <c r="F72" s="11" t="s">
        <v>1656</v>
      </c>
    </row>
    <row r="73">
      <c r="A73" s="11" t="s">
        <v>4774</v>
      </c>
      <c r="C73" s="11" t="s">
        <v>4714</v>
      </c>
      <c r="D73" s="74">
        <v>0.8</v>
      </c>
      <c r="E73" s="74">
        <v>0.8</v>
      </c>
      <c r="F73" s="11" t="s">
        <v>1656</v>
      </c>
    </row>
    <row r="74">
      <c r="A74" s="11" t="s">
        <v>4775</v>
      </c>
      <c r="C74" s="11" t="s">
        <v>4714</v>
      </c>
      <c r="D74" s="74">
        <v>0.8</v>
      </c>
      <c r="E74" s="74">
        <v>0.8</v>
      </c>
      <c r="F74" s="11" t="s">
        <v>1656</v>
      </c>
    </row>
    <row r="75">
      <c r="A75" s="11" t="s">
        <v>4776</v>
      </c>
      <c r="B75" s="11">
        <v>663.0</v>
      </c>
      <c r="C75" s="11" t="s">
        <v>4714</v>
      </c>
      <c r="D75" s="74">
        <v>0.8</v>
      </c>
      <c r="E75" s="74">
        <v>0.8</v>
      </c>
      <c r="F75" s="11" t="s">
        <v>1656</v>
      </c>
    </row>
    <row r="76">
      <c r="A76" s="11" t="s">
        <v>4777</v>
      </c>
      <c r="B76" s="11">
        <v>3607.0</v>
      </c>
      <c r="C76" s="11" t="s">
        <v>4714</v>
      </c>
      <c r="D76" s="74">
        <v>0.8</v>
      </c>
      <c r="E76" s="74">
        <v>0.8</v>
      </c>
      <c r="F76" s="11" t="s">
        <v>1656</v>
      </c>
    </row>
    <row r="77">
      <c r="A77" s="11" t="s">
        <v>4778</v>
      </c>
      <c r="B77" s="11">
        <v>3607.0</v>
      </c>
      <c r="C77" s="11" t="s">
        <v>4714</v>
      </c>
      <c r="D77" s="74">
        <v>0.8</v>
      </c>
      <c r="E77" s="74">
        <v>0.8</v>
      </c>
      <c r="F77" s="11" t="s">
        <v>1656</v>
      </c>
    </row>
    <row r="78">
      <c r="A78" s="11" t="s">
        <v>4779</v>
      </c>
      <c r="B78" s="11">
        <v>3607.0</v>
      </c>
      <c r="C78" s="11" t="s">
        <v>4714</v>
      </c>
      <c r="D78" s="74">
        <v>0.8</v>
      </c>
      <c r="E78" s="74">
        <v>0.8</v>
      </c>
      <c r="F78" s="11" t="s">
        <v>1656</v>
      </c>
    </row>
    <row r="79">
      <c r="A79" s="11" t="s">
        <v>4780</v>
      </c>
      <c r="B79" s="11">
        <v>3607.0</v>
      </c>
      <c r="C79" s="11" t="s">
        <v>4714</v>
      </c>
      <c r="D79" s="74">
        <v>0.8</v>
      </c>
      <c r="E79" s="74">
        <v>0.8</v>
      </c>
      <c r="F79" s="11" t="s">
        <v>1656</v>
      </c>
    </row>
    <row r="80">
      <c r="A80" s="11" t="s">
        <v>4781</v>
      </c>
      <c r="B80" s="11">
        <v>3607.0</v>
      </c>
      <c r="C80" s="11" t="s">
        <v>4714</v>
      </c>
      <c r="D80" s="74">
        <v>0.8</v>
      </c>
      <c r="E80" s="74">
        <v>0.8</v>
      </c>
      <c r="F80" s="11" t="s">
        <v>1656</v>
      </c>
    </row>
    <row r="81">
      <c r="A81" s="11" t="s">
        <v>4782</v>
      </c>
      <c r="B81" s="11">
        <v>3607.0</v>
      </c>
      <c r="C81" s="11" t="s">
        <v>4714</v>
      </c>
      <c r="D81" s="74">
        <v>0.8</v>
      </c>
      <c r="E81" s="74">
        <v>0.8</v>
      </c>
      <c r="F81" s="11" t="s">
        <v>1656</v>
      </c>
    </row>
    <row r="82">
      <c r="A82" s="11" t="s">
        <v>4783</v>
      </c>
      <c r="B82" s="11">
        <v>14575.0</v>
      </c>
      <c r="C82" s="11" t="s">
        <v>4714</v>
      </c>
      <c r="D82" s="74">
        <v>0.85</v>
      </c>
      <c r="E82" s="74">
        <v>0.85</v>
      </c>
      <c r="F82" s="11" t="s">
        <v>1656</v>
      </c>
    </row>
    <row r="83">
      <c r="A83" s="11" t="s">
        <v>4784</v>
      </c>
      <c r="B83" s="11">
        <v>14505.0</v>
      </c>
      <c r="C83" s="11" t="s">
        <v>4714</v>
      </c>
      <c r="D83" s="74">
        <v>0.8</v>
      </c>
      <c r="E83" s="74">
        <v>0.8</v>
      </c>
      <c r="F83" s="11" t="s">
        <v>1656</v>
      </c>
    </row>
    <row r="84">
      <c r="A84" s="11" t="s">
        <v>4785</v>
      </c>
      <c r="B84" s="11">
        <v>986.0</v>
      </c>
      <c r="C84" s="11" t="s">
        <v>4714</v>
      </c>
      <c r="D84" s="74">
        <v>0.85</v>
      </c>
      <c r="E84" s="74">
        <v>0.85</v>
      </c>
      <c r="F84" s="11" t="s">
        <v>1656</v>
      </c>
    </row>
    <row r="85">
      <c r="A85" s="11" t="s">
        <v>4786</v>
      </c>
      <c r="C85" s="11" t="s">
        <v>4714</v>
      </c>
      <c r="D85" s="74">
        <v>0.8</v>
      </c>
      <c r="E85" s="74">
        <v>0.8</v>
      </c>
      <c r="F85" s="11" t="s">
        <v>1656</v>
      </c>
    </row>
    <row r="86">
      <c r="A86" s="11" t="s">
        <v>4787</v>
      </c>
      <c r="B86" s="11">
        <v>283.0</v>
      </c>
      <c r="C86" s="11" t="s">
        <v>4714</v>
      </c>
      <c r="D86" s="74">
        <v>0.8</v>
      </c>
      <c r="E86" s="74">
        <v>0.8</v>
      </c>
      <c r="F86" s="11" t="s">
        <v>1656</v>
      </c>
    </row>
    <row r="87">
      <c r="A87" s="11" t="s">
        <v>4788</v>
      </c>
      <c r="B87" s="11">
        <v>283.0</v>
      </c>
      <c r="C87" s="11" t="s">
        <v>4714</v>
      </c>
      <c r="D87" s="74">
        <v>0.8</v>
      </c>
      <c r="E87" s="74">
        <v>0.8</v>
      </c>
      <c r="F87" s="11" t="s">
        <v>1656</v>
      </c>
    </row>
    <row r="88">
      <c r="A88" s="11" t="s">
        <v>4789</v>
      </c>
      <c r="B88" s="11">
        <v>283.0</v>
      </c>
      <c r="C88" s="11" t="s">
        <v>4714</v>
      </c>
      <c r="D88" s="74">
        <v>0.8</v>
      </c>
      <c r="E88" s="74">
        <v>0.8</v>
      </c>
      <c r="F88" s="11" t="s">
        <v>1656</v>
      </c>
    </row>
    <row r="89">
      <c r="A89" s="11" t="s">
        <v>4790</v>
      </c>
      <c r="C89" s="11" t="s">
        <v>4714</v>
      </c>
      <c r="D89" s="74">
        <v>0.8</v>
      </c>
      <c r="E89" s="74">
        <v>0.8</v>
      </c>
      <c r="F89" s="11" t="s">
        <v>1656</v>
      </c>
    </row>
    <row r="90">
      <c r="A90" s="11" t="s">
        <v>4791</v>
      </c>
      <c r="B90" s="11">
        <v>3307.0</v>
      </c>
      <c r="C90" s="11" t="s">
        <v>4714</v>
      </c>
      <c r="D90" s="74">
        <v>0.8</v>
      </c>
      <c r="E90" s="74">
        <v>0.8</v>
      </c>
      <c r="F90" s="11" t="s">
        <v>1656</v>
      </c>
    </row>
    <row r="91">
      <c r="A91" s="11" t="s">
        <v>4792</v>
      </c>
      <c r="B91" s="11">
        <v>3607.0</v>
      </c>
      <c r="C91" s="11" t="s">
        <v>4714</v>
      </c>
      <c r="D91" s="74">
        <v>0.8</v>
      </c>
      <c r="E91" s="74">
        <v>0.8</v>
      </c>
      <c r="F91" s="11" t="s">
        <v>1656</v>
      </c>
    </row>
    <row r="92">
      <c r="A92" s="11" t="s">
        <v>4793</v>
      </c>
      <c r="B92" s="11">
        <v>3607.0</v>
      </c>
      <c r="C92" s="11" t="s">
        <v>4714</v>
      </c>
      <c r="D92" s="74">
        <v>0.8</v>
      </c>
      <c r="E92" s="74">
        <v>0.8</v>
      </c>
      <c r="F92" s="11" t="s">
        <v>1656</v>
      </c>
    </row>
    <row r="93">
      <c r="A93" s="11" t="s">
        <v>4794</v>
      </c>
      <c r="B93" s="11">
        <v>3607.0</v>
      </c>
      <c r="C93" s="11" t="s">
        <v>4714</v>
      </c>
      <c r="D93" s="74">
        <v>0.8</v>
      </c>
      <c r="E93" s="74">
        <v>0.8</v>
      </c>
      <c r="F93" s="11" t="s">
        <v>1656</v>
      </c>
    </row>
    <row r="94">
      <c r="A94" s="11" t="s">
        <v>4795</v>
      </c>
      <c r="B94" s="11">
        <v>3607.0</v>
      </c>
      <c r="C94" s="11" t="s">
        <v>4714</v>
      </c>
      <c r="D94" s="74">
        <v>0.8</v>
      </c>
      <c r="E94" s="74">
        <v>0.8</v>
      </c>
      <c r="F94" s="11" t="s">
        <v>1656</v>
      </c>
    </row>
    <row r="95">
      <c r="A95" s="11" t="s">
        <v>4796</v>
      </c>
      <c r="B95" s="11">
        <v>3607.0</v>
      </c>
      <c r="C95" s="11" t="s">
        <v>4714</v>
      </c>
      <c r="D95" s="74">
        <v>0.8</v>
      </c>
      <c r="E95" s="74">
        <v>0.8</v>
      </c>
      <c r="F95" s="11" t="s">
        <v>1656</v>
      </c>
    </row>
    <row r="96">
      <c r="A96" s="11" t="s">
        <v>4797</v>
      </c>
      <c r="B96" s="11">
        <v>3607.0</v>
      </c>
      <c r="C96" s="11" t="s">
        <v>4714</v>
      </c>
      <c r="D96" s="74">
        <v>0.8</v>
      </c>
      <c r="E96" s="74">
        <v>0.8</v>
      </c>
      <c r="F96" s="11" t="s">
        <v>1656</v>
      </c>
    </row>
    <row r="97">
      <c r="A97" s="11" t="s">
        <v>4798</v>
      </c>
      <c r="B97" s="11">
        <v>3607.0</v>
      </c>
      <c r="C97" s="11" t="s">
        <v>4714</v>
      </c>
      <c r="D97" s="74">
        <v>0.8</v>
      </c>
      <c r="E97" s="74">
        <v>0.8</v>
      </c>
      <c r="F97" s="11" t="s">
        <v>1656</v>
      </c>
    </row>
    <row r="98">
      <c r="A98" s="11" t="s">
        <v>4799</v>
      </c>
      <c r="B98" s="11">
        <v>3607.0</v>
      </c>
      <c r="C98" s="11" t="s">
        <v>4714</v>
      </c>
      <c r="D98" s="74">
        <v>0.8</v>
      </c>
      <c r="E98" s="74">
        <v>0.8</v>
      </c>
      <c r="F98" s="11" t="s">
        <v>1656</v>
      </c>
    </row>
    <row r="99">
      <c r="A99" s="11" t="s">
        <v>4800</v>
      </c>
      <c r="B99" s="11">
        <v>3607.0</v>
      </c>
      <c r="C99" s="11" t="s">
        <v>4714</v>
      </c>
      <c r="D99" s="74">
        <v>0.8</v>
      </c>
      <c r="E99" s="74">
        <v>0.8</v>
      </c>
      <c r="F99" s="11" t="s">
        <v>1656</v>
      </c>
    </row>
    <row r="100">
      <c r="A100" s="11" t="s">
        <v>4801</v>
      </c>
      <c r="B100" s="11">
        <v>3607.0</v>
      </c>
      <c r="C100" s="11" t="s">
        <v>4714</v>
      </c>
      <c r="D100" s="74">
        <v>0.8</v>
      </c>
      <c r="E100" s="74">
        <v>0.8</v>
      </c>
      <c r="F100" s="11" t="s">
        <v>1656</v>
      </c>
    </row>
    <row r="101">
      <c r="A101" s="11" t="s">
        <v>4802</v>
      </c>
      <c r="B101" s="11">
        <v>3607.0</v>
      </c>
      <c r="C101" s="11" t="s">
        <v>4714</v>
      </c>
      <c r="D101" s="74">
        <v>0.8</v>
      </c>
      <c r="E101" s="74">
        <v>0.8</v>
      </c>
      <c r="F101" s="11" t="s">
        <v>1656</v>
      </c>
    </row>
    <row r="102">
      <c r="A102" s="11" t="s">
        <v>4803</v>
      </c>
      <c r="B102" s="11">
        <v>3607.0</v>
      </c>
      <c r="C102" s="11" t="s">
        <v>4714</v>
      </c>
      <c r="D102" s="74">
        <v>0.8</v>
      </c>
      <c r="E102" s="74">
        <v>0.8</v>
      </c>
      <c r="F102" s="11" t="s">
        <v>1656</v>
      </c>
    </row>
    <row r="103">
      <c r="A103" s="11" t="s">
        <v>4804</v>
      </c>
      <c r="B103" s="11">
        <v>3607.0</v>
      </c>
      <c r="C103" s="11" t="s">
        <v>4714</v>
      </c>
      <c r="D103" s="74">
        <v>0.8</v>
      </c>
      <c r="E103" s="74">
        <v>0.8</v>
      </c>
      <c r="F103" s="11" t="s">
        <v>1656</v>
      </c>
    </row>
    <row r="104">
      <c r="A104" s="11" t="s">
        <v>4805</v>
      </c>
      <c r="B104" s="11">
        <v>3607.0</v>
      </c>
      <c r="C104" s="11" t="s">
        <v>4714</v>
      </c>
      <c r="D104" s="74">
        <v>0.8</v>
      </c>
      <c r="E104" s="74">
        <v>0.8</v>
      </c>
      <c r="F104" s="11" t="s">
        <v>1656</v>
      </c>
    </row>
    <row r="105">
      <c r="A105" s="11" t="s">
        <v>4806</v>
      </c>
      <c r="B105" s="11">
        <v>3607.0</v>
      </c>
      <c r="C105" s="11" t="s">
        <v>4714</v>
      </c>
      <c r="D105" s="74">
        <v>0.8</v>
      </c>
      <c r="E105" s="74">
        <v>0.8</v>
      </c>
      <c r="F105" s="11" t="s">
        <v>1656</v>
      </c>
    </row>
    <row r="106">
      <c r="A106" s="11" t="s">
        <v>4807</v>
      </c>
      <c r="B106" s="11">
        <v>3607.0</v>
      </c>
      <c r="C106" s="11" t="s">
        <v>4714</v>
      </c>
      <c r="D106" s="74">
        <v>0.8</v>
      </c>
      <c r="E106" s="74">
        <v>0.8</v>
      </c>
      <c r="F106" s="11" t="s">
        <v>1656</v>
      </c>
    </row>
    <row r="107">
      <c r="A107" s="7" t="s">
        <v>4808</v>
      </c>
      <c r="B107" s="7"/>
      <c r="C107" s="11" t="s">
        <v>4714</v>
      </c>
      <c r="D107" s="74">
        <v>0.8</v>
      </c>
      <c r="E107" s="74">
        <v>0.8</v>
      </c>
      <c r="F107" s="11" t="s">
        <v>1656</v>
      </c>
      <c r="H107" s="11" t="s">
        <v>207</v>
      </c>
    </row>
    <row r="108">
      <c r="A108" s="7" t="s">
        <v>4809</v>
      </c>
      <c r="B108" s="7"/>
      <c r="C108" s="11" t="s">
        <v>4714</v>
      </c>
      <c r="D108" s="74">
        <v>0.8</v>
      </c>
      <c r="E108" s="74">
        <v>0.8</v>
      </c>
      <c r="F108" s="11" t="s">
        <v>1656</v>
      </c>
      <c r="H108" s="11" t="s">
        <v>207</v>
      </c>
    </row>
    <row r="109">
      <c r="A109" s="7" t="s">
        <v>4810</v>
      </c>
      <c r="B109" s="7"/>
      <c r="C109" s="11" t="s">
        <v>4714</v>
      </c>
      <c r="D109" s="74">
        <v>0.8</v>
      </c>
      <c r="E109" s="74">
        <v>0.8</v>
      </c>
      <c r="F109" s="11" t="s">
        <v>1656</v>
      </c>
      <c r="H109" s="11" t="s">
        <v>207</v>
      </c>
    </row>
    <row r="110">
      <c r="A110" s="7" t="s">
        <v>4811</v>
      </c>
      <c r="B110" s="7"/>
      <c r="C110" s="11" t="s">
        <v>4714</v>
      </c>
      <c r="D110" s="74">
        <v>0.8</v>
      </c>
      <c r="E110" s="74">
        <v>0.8</v>
      </c>
      <c r="F110" s="11" t="s">
        <v>1656</v>
      </c>
      <c r="H110" s="11" t="s">
        <v>207</v>
      </c>
    </row>
    <row r="111">
      <c r="A111" s="7" t="s">
        <v>4812</v>
      </c>
      <c r="B111" s="7"/>
      <c r="C111" s="11" t="s">
        <v>4714</v>
      </c>
      <c r="D111" s="74">
        <v>0.8</v>
      </c>
      <c r="E111" s="74">
        <v>0.8</v>
      </c>
      <c r="F111" s="11" t="s">
        <v>1656</v>
      </c>
      <c r="H111" s="11" t="s">
        <v>207</v>
      </c>
    </row>
    <row r="112">
      <c r="A112" s="7" t="s">
        <v>4813</v>
      </c>
      <c r="B112" s="7"/>
      <c r="C112" s="11" t="s">
        <v>4714</v>
      </c>
      <c r="D112" s="74">
        <v>0.8</v>
      </c>
      <c r="E112" s="74">
        <v>0.8</v>
      </c>
      <c r="F112" s="11" t="s">
        <v>1656</v>
      </c>
      <c r="H112" s="11" t="s">
        <v>207</v>
      </c>
    </row>
    <row r="113">
      <c r="A113" s="7" t="s">
        <v>4814</v>
      </c>
      <c r="B113" s="7"/>
      <c r="C113" s="11" t="s">
        <v>4714</v>
      </c>
      <c r="D113" s="74">
        <v>0.8</v>
      </c>
      <c r="E113" s="74">
        <v>0.8</v>
      </c>
      <c r="F113" s="11" t="s">
        <v>1656</v>
      </c>
      <c r="H113" s="11" t="s">
        <v>207</v>
      </c>
    </row>
    <row r="114">
      <c r="A114" s="11" t="s">
        <v>220</v>
      </c>
      <c r="B114" s="11">
        <v>14663.0</v>
      </c>
      <c r="C114" s="11" t="s">
        <v>4714</v>
      </c>
      <c r="D114" s="74">
        <v>0.8</v>
      </c>
      <c r="E114" s="74">
        <v>0.8</v>
      </c>
      <c r="F114" s="11" t="s">
        <v>1656</v>
      </c>
    </row>
    <row r="115">
      <c r="A115" s="11" t="s">
        <v>43</v>
      </c>
      <c r="B115" s="11">
        <v>14727.0</v>
      </c>
      <c r="C115" s="11" t="s">
        <v>4714</v>
      </c>
      <c r="D115" s="74">
        <v>0.8</v>
      </c>
      <c r="E115" s="74">
        <v>0.8</v>
      </c>
      <c r="F115" s="11" t="s">
        <v>1656</v>
      </c>
    </row>
    <row r="116">
      <c r="A116" s="11" t="s">
        <v>1729</v>
      </c>
      <c r="B116" s="11">
        <v>14727.0</v>
      </c>
      <c r="C116" s="11" t="s">
        <v>4714</v>
      </c>
      <c r="D116" s="74">
        <v>0.8</v>
      </c>
      <c r="E116" s="74">
        <v>0.8</v>
      </c>
      <c r="F116" s="11" t="s">
        <v>1656</v>
      </c>
    </row>
    <row r="117">
      <c r="A117" s="11"/>
      <c r="B117" s="11"/>
      <c r="C117" s="11"/>
    </row>
    <row r="118">
      <c r="A118" s="11"/>
      <c r="B118" s="11"/>
      <c r="C118" s="11"/>
    </row>
    <row r="119">
      <c r="A119" s="11"/>
      <c r="B119" s="11"/>
      <c r="C119" s="11"/>
    </row>
    <row r="120">
      <c r="A120" s="11"/>
      <c r="B120" s="11"/>
      <c r="C120" s="11"/>
    </row>
    <row r="121">
      <c r="A121" s="11"/>
      <c r="B121" s="11"/>
      <c r="C121" s="11"/>
    </row>
    <row r="122">
      <c r="A122" s="11"/>
      <c r="B122" s="11"/>
      <c r="C122" s="11"/>
    </row>
    <row r="123">
      <c r="A123" s="11"/>
      <c r="B123" s="11"/>
      <c r="C123" s="11"/>
    </row>
    <row r="124">
      <c r="A124" s="11"/>
      <c r="B124" s="11"/>
      <c r="C124" s="11"/>
    </row>
    <row r="125">
      <c r="A125" s="11"/>
      <c r="B125" s="11"/>
      <c r="C125" s="11"/>
    </row>
    <row r="126">
      <c r="A126" s="11"/>
      <c r="B126" s="11"/>
      <c r="C126" s="11"/>
    </row>
    <row r="127">
      <c r="A127" s="11"/>
      <c r="B127" s="11"/>
      <c r="C127" s="11"/>
    </row>
    <row r="128">
      <c r="A128" s="11"/>
      <c r="B128" s="11"/>
      <c r="C128" s="11"/>
    </row>
    <row r="129">
      <c r="A129" s="11"/>
      <c r="B129" s="11"/>
      <c r="C129" s="11"/>
    </row>
    <row r="130">
      <c r="A130" s="11"/>
      <c r="B130" s="11"/>
      <c r="C130" s="11"/>
    </row>
    <row r="131">
      <c r="A131" s="11"/>
      <c r="B131" s="11"/>
      <c r="C131" s="11"/>
    </row>
    <row r="132">
      <c r="A132" s="11"/>
      <c r="B132" s="11"/>
      <c r="C132" s="11"/>
    </row>
    <row r="133">
      <c r="A133" s="11"/>
      <c r="B133" s="11"/>
      <c r="C133" s="11"/>
    </row>
    <row r="134">
      <c r="A134" s="11"/>
      <c r="B134" s="11"/>
      <c r="C134" s="11"/>
    </row>
    <row r="135">
      <c r="A135" s="11"/>
      <c r="B135" s="11"/>
      <c r="C135" s="11"/>
    </row>
    <row r="136">
      <c r="A136" s="11"/>
      <c r="B136" s="11"/>
      <c r="C136" s="11"/>
    </row>
    <row r="137">
      <c r="A137" s="11"/>
      <c r="B137" s="11"/>
      <c r="C137" s="11"/>
    </row>
    <row r="138">
      <c r="A138" s="11"/>
      <c r="B138" s="11"/>
      <c r="C138" s="11"/>
    </row>
    <row r="139">
      <c r="A139" s="11"/>
      <c r="B139" s="11"/>
      <c r="C139" s="11"/>
    </row>
    <row r="140">
      <c r="A140" s="11"/>
      <c r="B140" s="11"/>
      <c r="C140" s="11"/>
    </row>
    <row r="141">
      <c r="A141" s="11"/>
      <c r="B141" s="11"/>
      <c r="C141" s="11"/>
    </row>
    <row r="142">
      <c r="A142" s="11"/>
      <c r="B142" s="11"/>
      <c r="C142" s="11"/>
    </row>
    <row r="143">
      <c r="A143" s="11"/>
      <c r="B143" s="11"/>
      <c r="C143" s="11"/>
    </row>
    <row r="144">
      <c r="A144" s="11"/>
      <c r="B144" s="11"/>
      <c r="C144" s="11"/>
    </row>
    <row r="145">
      <c r="A145" s="11"/>
      <c r="B145" s="11"/>
      <c r="C145" s="11"/>
    </row>
    <row r="146">
      <c r="A146" s="11"/>
      <c r="B146" s="11"/>
      <c r="C146" s="11"/>
    </row>
    <row r="147">
      <c r="A147" s="11"/>
      <c r="B147" s="11"/>
      <c r="C147" s="11"/>
    </row>
    <row r="148">
      <c r="A148" s="11"/>
      <c r="B148" s="11"/>
      <c r="C148" s="11"/>
    </row>
    <row r="149">
      <c r="A149" s="11"/>
      <c r="B149" s="11"/>
      <c r="C149" s="11"/>
    </row>
    <row r="150">
      <c r="A150" s="11"/>
      <c r="B150" s="11"/>
      <c r="C150" s="11"/>
    </row>
    <row r="151">
      <c r="A151" s="11"/>
      <c r="B151" s="11"/>
      <c r="C151" s="11"/>
    </row>
    <row r="152">
      <c r="A152" s="11"/>
      <c r="B152" s="11"/>
      <c r="C152" s="11"/>
    </row>
    <row r="153">
      <c r="A153" s="11"/>
      <c r="B153" s="11"/>
      <c r="C153" s="11"/>
    </row>
    <row r="154">
      <c r="A154" s="11"/>
      <c r="B154" s="11"/>
      <c r="C154" s="11"/>
    </row>
    <row r="155">
      <c r="A155" s="11"/>
      <c r="B155" s="11"/>
      <c r="C155" s="11"/>
    </row>
    <row r="156">
      <c r="A156" s="11"/>
      <c r="B156" s="11"/>
      <c r="C156" s="11"/>
    </row>
    <row r="157">
      <c r="A157" s="11"/>
      <c r="B157" s="11"/>
      <c r="C157" s="11"/>
    </row>
    <row r="158">
      <c r="A158" s="11"/>
      <c r="B158" s="11"/>
      <c r="C158" s="11"/>
    </row>
    <row r="159">
      <c r="A159" s="11"/>
      <c r="B159" s="11"/>
      <c r="C159" s="11"/>
    </row>
    <row r="160">
      <c r="A160" s="11"/>
      <c r="B160" s="11"/>
      <c r="C160" s="11"/>
    </row>
    <row r="161">
      <c r="A161" s="11"/>
      <c r="B161" s="11"/>
      <c r="C161" s="11"/>
    </row>
    <row r="162">
      <c r="A162" s="11"/>
      <c r="B162" s="11"/>
      <c r="C162" s="11"/>
    </row>
    <row r="163">
      <c r="A163" s="11"/>
      <c r="B163" s="11"/>
      <c r="C163" s="11"/>
    </row>
    <row r="164">
      <c r="A164" s="11"/>
      <c r="B164" s="11"/>
      <c r="C164" s="11"/>
    </row>
    <row r="165">
      <c r="A165" s="11"/>
      <c r="B165" s="11"/>
      <c r="C165" s="11"/>
    </row>
    <row r="166">
      <c r="A166" s="11"/>
      <c r="B166" s="11"/>
      <c r="C166" s="11"/>
    </row>
    <row r="167">
      <c r="A167" s="11"/>
      <c r="B167" s="11"/>
      <c r="C167" s="11"/>
    </row>
    <row r="168">
      <c r="A168" s="11"/>
      <c r="B168" s="11"/>
      <c r="C168" s="11"/>
    </row>
    <row r="169">
      <c r="A169" s="11"/>
      <c r="B169" s="11"/>
      <c r="C169" s="11"/>
    </row>
    <row r="170">
      <c r="A170" s="11"/>
      <c r="B170" s="11"/>
      <c r="C170" s="11"/>
    </row>
    <row r="171">
      <c r="A171" s="11"/>
      <c r="B171" s="11"/>
      <c r="C171" s="11"/>
    </row>
    <row r="172">
      <c r="A172" s="11"/>
      <c r="B172" s="11"/>
      <c r="C172" s="11"/>
    </row>
    <row r="173">
      <c r="A173" s="11"/>
      <c r="B173" s="11"/>
      <c r="C173" s="11"/>
    </row>
    <row r="174">
      <c r="A174" s="11"/>
      <c r="B174" s="11"/>
      <c r="C174" s="11"/>
    </row>
    <row r="175">
      <c r="A175" s="11"/>
      <c r="B175" s="11"/>
      <c r="C175" s="11"/>
    </row>
    <row r="176">
      <c r="A176" s="11"/>
      <c r="B176" s="11"/>
      <c r="C176" s="11"/>
    </row>
    <row r="177">
      <c r="A177" s="11"/>
      <c r="B177" s="11"/>
      <c r="C177" s="11"/>
    </row>
    <row r="178">
      <c r="A178" s="11"/>
      <c r="B178" s="11"/>
      <c r="C178" s="11"/>
    </row>
    <row r="179">
      <c r="A179" s="11"/>
      <c r="B179" s="11"/>
      <c r="C179" s="11"/>
    </row>
    <row r="180">
      <c r="A180" s="11"/>
      <c r="B180" s="11"/>
      <c r="C180" s="11"/>
    </row>
    <row r="181">
      <c r="A181" s="11"/>
      <c r="B181" s="11"/>
      <c r="C181" s="11"/>
    </row>
    <row r="182">
      <c r="A182" s="11"/>
      <c r="B182" s="11"/>
      <c r="C182" s="11"/>
    </row>
    <row r="183">
      <c r="A183" s="11"/>
      <c r="B183" s="11"/>
      <c r="C183" s="11"/>
    </row>
    <row r="184">
      <c r="A184" s="11"/>
      <c r="B184" s="11"/>
      <c r="C184" s="11"/>
    </row>
    <row r="185">
      <c r="A185" s="11"/>
      <c r="B185" s="11"/>
      <c r="C185" s="11"/>
    </row>
    <row r="186">
      <c r="A186" s="11"/>
      <c r="B186" s="11"/>
      <c r="C186" s="11"/>
    </row>
    <row r="187">
      <c r="A187" s="11"/>
      <c r="B187" s="11"/>
      <c r="C187" s="11"/>
    </row>
    <row r="188">
      <c r="A188" s="11"/>
      <c r="B188" s="11"/>
      <c r="C188" s="11"/>
    </row>
    <row r="189">
      <c r="A189" s="11"/>
      <c r="B189" s="11"/>
      <c r="C189" s="11"/>
    </row>
    <row r="190">
      <c r="A190" s="11"/>
      <c r="B190" s="11"/>
      <c r="C190" s="11"/>
    </row>
    <row r="191">
      <c r="A191" s="11"/>
      <c r="B191" s="11"/>
      <c r="C191" s="11"/>
    </row>
    <row r="192">
      <c r="A192" s="11"/>
      <c r="B192" s="11"/>
      <c r="C192" s="11"/>
    </row>
    <row r="193">
      <c r="A193" s="11"/>
      <c r="B193" s="11"/>
      <c r="C193" s="11"/>
    </row>
    <row r="194">
      <c r="A194" s="11"/>
      <c r="B194" s="11"/>
      <c r="C194" s="11"/>
    </row>
    <row r="195">
      <c r="A195" s="11"/>
      <c r="B195" s="11"/>
      <c r="C195" s="11"/>
    </row>
    <row r="196">
      <c r="A196" s="11"/>
      <c r="B196" s="11"/>
      <c r="C196" s="11"/>
    </row>
    <row r="197">
      <c r="A197" s="11"/>
      <c r="B197" s="11"/>
      <c r="C197" s="11"/>
    </row>
    <row r="198">
      <c r="A198" s="11"/>
      <c r="B198" s="11"/>
      <c r="C198" s="11"/>
    </row>
    <row r="199">
      <c r="A199" s="11"/>
      <c r="B199" s="11"/>
      <c r="C199" s="11"/>
    </row>
    <row r="200">
      <c r="A200" s="11"/>
      <c r="B200" s="11"/>
      <c r="C200" s="11"/>
    </row>
    <row r="201">
      <c r="A201" s="11"/>
      <c r="B201" s="11"/>
      <c r="C201" s="11"/>
    </row>
    <row r="202">
      <c r="A202" s="11"/>
      <c r="B202" s="11"/>
      <c r="C202" s="11"/>
    </row>
    <row r="203">
      <c r="A203" s="11"/>
      <c r="B203" s="11"/>
      <c r="C203" s="11"/>
    </row>
    <row r="204">
      <c r="A204" s="11"/>
      <c r="B204" s="11"/>
      <c r="C204" s="11"/>
    </row>
    <row r="205">
      <c r="A205" s="11"/>
      <c r="B205" s="11"/>
      <c r="C205" s="11"/>
    </row>
    <row r="206">
      <c r="A206" s="11"/>
      <c r="B206" s="11"/>
      <c r="C206" s="11"/>
    </row>
    <row r="207">
      <c r="A207" s="11"/>
      <c r="B207" s="11"/>
      <c r="C207" s="11"/>
    </row>
    <row r="208">
      <c r="A208" s="11"/>
      <c r="B208" s="11"/>
      <c r="C208" s="11"/>
    </row>
    <row r="209">
      <c r="A209" s="11"/>
      <c r="B209" s="11"/>
      <c r="C209" s="11"/>
    </row>
    <row r="210">
      <c r="A210" s="11"/>
      <c r="B210" s="11"/>
      <c r="C210" s="11"/>
    </row>
    <row r="211">
      <c r="A211" s="11"/>
      <c r="B211" s="11"/>
      <c r="C211" s="11"/>
    </row>
    <row r="212">
      <c r="A212" s="11"/>
      <c r="B212" s="11"/>
      <c r="C212" s="11"/>
    </row>
    <row r="213">
      <c r="A213" s="11"/>
      <c r="B213" s="11"/>
      <c r="C213" s="11"/>
    </row>
    <row r="214">
      <c r="A214" s="11"/>
      <c r="B214" s="11"/>
      <c r="C214" s="11"/>
    </row>
    <row r="215">
      <c r="A215" s="11"/>
      <c r="B215" s="11"/>
      <c r="C215" s="11"/>
    </row>
    <row r="216">
      <c r="A216" s="11"/>
      <c r="B216" s="11"/>
      <c r="C216" s="11"/>
    </row>
  </sheetData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19" t="s">
        <v>1654</v>
      </c>
      <c r="B1" s="219" t="s">
        <v>1</v>
      </c>
    </row>
    <row r="2">
      <c r="A2" s="97" t="s">
        <v>1684</v>
      </c>
      <c r="B2" s="97">
        <v>7157.0</v>
      </c>
    </row>
    <row r="3">
      <c r="A3" s="97" t="s">
        <v>1685</v>
      </c>
      <c r="B3" s="97">
        <v>5389.0</v>
      </c>
    </row>
    <row r="4">
      <c r="A4" s="97" t="s">
        <v>1687</v>
      </c>
      <c r="B4" s="97">
        <v>6924.0</v>
      </c>
    </row>
    <row r="5">
      <c r="A5" s="97" t="s">
        <v>1688</v>
      </c>
      <c r="B5" s="97">
        <v>7083.0</v>
      </c>
    </row>
    <row r="6">
      <c r="A6" s="97" t="s">
        <v>1689</v>
      </c>
      <c r="B6" s="97">
        <v>6728.0</v>
      </c>
    </row>
    <row r="7">
      <c r="A7" s="97" t="s">
        <v>1690</v>
      </c>
      <c r="B7" s="97">
        <v>6875.0</v>
      </c>
    </row>
    <row r="8">
      <c r="A8" s="97" t="s">
        <v>1692</v>
      </c>
      <c r="B8" s="97">
        <v>14298.0</v>
      </c>
    </row>
    <row r="9">
      <c r="A9" s="97" t="s">
        <v>1693</v>
      </c>
      <c r="B9" s="97">
        <v>663.0</v>
      </c>
    </row>
    <row r="10">
      <c r="A10" s="97" t="s">
        <v>1695</v>
      </c>
      <c r="B10" s="97">
        <v>189.0</v>
      </c>
    </row>
    <row r="11">
      <c r="A11" s="97" t="s">
        <v>1696</v>
      </c>
      <c r="B11" s="97">
        <v>189.0</v>
      </c>
    </row>
    <row r="12">
      <c r="A12" s="97" t="s">
        <v>1697</v>
      </c>
      <c r="B12" s="97">
        <v>12932.0</v>
      </c>
    </row>
    <row r="13">
      <c r="A13" s="97" t="s">
        <v>1720</v>
      </c>
      <c r="B13" s="97">
        <v>6675.0</v>
      </c>
    </row>
    <row r="14">
      <c r="A14" s="97" t="s">
        <v>1698</v>
      </c>
      <c r="B14" s="97">
        <v>2345.0</v>
      </c>
    </row>
    <row r="15">
      <c r="A15" s="97" t="s">
        <v>1699</v>
      </c>
      <c r="B15" s="97">
        <v>2345.0</v>
      </c>
    </row>
    <row r="16">
      <c r="A16" s="97" t="s">
        <v>1700</v>
      </c>
      <c r="B16" s="97">
        <v>14465.0</v>
      </c>
    </row>
    <row r="17">
      <c r="A17" s="97" t="s">
        <v>1701</v>
      </c>
      <c r="B17" s="97">
        <v>6706.0</v>
      </c>
    </row>
    <row r="18">
      <c r="A18" s="97" t="s">
        <v>1702</v>
      </c>
      <c r="B18" s="97">
        <v>3607.0</v>
      </c>
    </row>
    <row r="19">
      <c r="A19" s="97" t="s">
        <v>1703</v>
      </c>
      <c r="B19" s="97">
        <v>3607.0</v>
      </c>
    </row>
    <row r="20">
      <c r="A20" s="97" t="s">
        <v>1704</v>
      </c>
      <c r="B20" s="97">
        <v>3607.0</v>
      </c>
    </row>
    <row r="21">
      <c r="A21" s="97" t="s">
        <v>1705</v>
      </c>
      <c r="B21" s="97">
        <v>3607.0</v>
      </c>
    </row>
    <row r="22">
      <c r="A22" s="97" t="s">
        <v>1708</v>
      </c>
      <c r="B22" s="97">
        <v>3607.0</v>
      </c>
    </row>
    <row r="23">
      <c r="A23" s="97" t="s">
        <v>1721</v>
      </c>
      <c r="B23" s="97">
        <v>3607.0</v>
      </c>
    </row>
    <row r="24">
      <c r="A24" s="97" t="s">
        <v>1722</v>
      </c>
      <c r="B24" s="97">
        <v>3607.0</v>
      </c>
    </row>
    <row r="25">
      <c r="A25" s="97" t="s">
        <v>4815</v>
      </c>
      <c r="B25" s="97">
        <v>6706.0</v>
      </c>
    </row>
    <row r="26">
      <c r="A26" s="97" t="s">
        <v>4816</v>
      </c>
      <c r="B26" s="97">
        <v>8199.0</v>
      </c>
    </row>
    <row r="27">
      <c r="A27" s="97" t="s">
        <v>4817</v>
      </c>
      <c r="B27" s="97">
        <v>9307.0</v>
      </c>
    </row>
    <row r="28">
      <c r="A28" s="97" t="s">
        <v>4818</v>
      </c>
      <c r="B28" s="97">
        <v>7033.0</v>
      </c>
    </row>
    <row r="29">
      <c r="A29" s="97" t="s">
        <v>4819</v>
      </c>
      <c r="B29" s="97">
        <v>6829.0</v>
      </c>
    </row>
    <row r="30">
      <c r="A30" s="97" t="s">
        <v>4820</v>
      </c>
      <c r="B30" s="97">
        <v>7142.0</v>
      </c>
    </row>
    <row r="31">
      <c r="A31" s="97" t="s">
        <v>4821</v>
      </c>
      <c r="B31" s="97">
        <v>7010.0</v>
      </c>
    </row>
    <row r="32">
      <c r="A32" s="97" t="s">
        <v>4822</v>
      </c>
      <c r="B32" s="97">
        <v>7100.0</v>
      </c>
    </row>
    <row r="33">
      <c r="A33" s="97" t="s">
        <v>4823</v>
      </c>
      <c r="B33" s="97">
        <v>5125.0</v>
      </c>
    </row>
    <row r="34">
      <c r="A34" s="97" t="s">
        <v>4824</v>
      </c>
      <c r="B34" s="11">
        <v>6669.0</v>
      </c>
      <c r="C34" s="97">
        <v>6779.0</v>
      </c>
    </row>
    <row r="35">
      <c r="A35" s="97" t="s">
        <v>4825</v>
      </c>
      <c r="B35" s="97">
        <v>14505.0</v>
      </c>
    </row>
    <row r="36">
      <c r="A36" s="97" t="s">
        <v>4826</v>
      </c>
      <c r="B36" s="97">
        <v>6774.0</v>
      </c>
    </row>
    <row r="37">
      <c r="A37" s="220" t="s">
        <v>4827</v>
      </c>
      <c r="B37" s="221"/>
      <c r="C37" s="11" t="s">
        <v>207</v>
      </c>
    </row>
    <row r="38">
      <c r="A38" s="220" t="s">
        <v>4828</v>
      </c>
      <c r="B38" s="65"/>
      <c r="C38" s="11" t="s">
        <v>207</v>
      </c>
    </row>
    <row r="39">
      <c r="A39" s="220" t="s">
        <v>4829</v>
      </c>
      <c r="B39" s="65"/>
      <c r="C39" s="11" t="s">
        <v>207</v>
      </c>
    </row>
    <row r="40">
      <c r="A40" s="220" t="s">
        <v>4830</v>
      </c>
      <c r="B40" s="65"/>
      <c r="C40" s="11" t="s">
        <v>207</v>
      </c>
    </row>
    <row r="41">
      <c r="A41" s="97" t="s">
        <v>4831</v>
      </c>
      <c r="B41" s="97"/>
      <c r="C41" s="11" t="s">
        <v>4832</v>
      </c>
      <c r="D41" s="11" t="s">
        <v>4833</v>
      </c>
    </row>
    <row r="42">
      <c r="A42" s="97" t="s">
        <v>4834</v>
      </c>
      <c r="B42" s="97"/>
      <c r="C42" s="11" t="s">
        <v>4832</v>
      </c>
      <c r="D42" s="11" t="s">
        <v>4835</v>
      </c>
    </row>
    <row r="43">
      <c r="A43" s="97" t="s">
        <v>4836</v>
      </c>
      <c r="B43" s="97"/>
      <c r="C43" s="11" t="s">
        <v>4832</v>
      </c>
      <c r="D43" s="11" t="s">
        <v>4837</v>
      </c>
    </row>
    <row r="44">
      <c r="A44" s="97" t="s">
        <v>4838</v>
      </c>
      <c r="B44" s="97"/>
      <c r="C44" s="11" t="s">
        <v>4832</v>
      </c>
      <c r="D44" s="11" t="s">
        <v>4839</v>
      </c>
    </row>
    <row r="45">
      <c r="A45" s="97" t="s">
        <v>4840</v>
      </c>
      <c r="B45" s="97"/>
      <c r="C45" s="11" t="s">
        <v>4832</v>
      </c>
      <c r="D45" s="11" t="s">
        <v>4841</v>
      </c>
    </row>
    <row r="46">
      <c r="A46" s="97" t="s">
        <v>4842</v>
      </c>
      <c r="B46" s="97"/>
      <c r="C46" s="11" t="s">
        <v>4832</v>
      </c>
      <c r="D46" s="11" t="s">
        <v>4843</v>
      </c>
    </row>
    <row r="47">
      <c r="A47" s="97" t="s">
        <v>4844</v>
      </c>
      <c r="B47" s="97"/>
      <c r="C47" s="11" t="s">
        <v>4832</v>
      </c>
      <c r="D47" s="11" t="s">
        <v>4845</v>
      </c>
    </row>
    <row r="48">
      <c r="A48" s="97" t="s">
        <v>4846</v>
      </c>
      <c r="B48" s="97"/>
      <c r="C48" s="11" t="s">
        <v>4832</v>
      </c>
      <c r="D48" s="11" t="s">
        <v>4847</v>
      </c>
    </row>
    <row r="49">
      <c r="A49" s="97" t="s">
        <v>4848</v>
      </c>
      <c r="B49" s="97"/>
      <c r="C49" s="11" t="s">
        <v>4832</v>
      </c>
      <c r="D49" s="11" t="s">
        <v>4849</v>
      </c>
    </row>
    <row r="50">
      <c r="A50" s="97" t="s">
        <v>4850</v>
      </c>
      <c r="B50" s="97" t="s">
        <v>4851</v>
      </c>
      <c r="C50" s="11" t="s">
        <v>4832</v>
      </c>
      <c r="D50" s="11" t="s">
        <v>4852</v>
      </c>
    </row>
  </sheetData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7" t="s">
        <v>44</v>
      </c>
      <c r="B1" s="7" t="s">
        <v>4477</v>
      </c>
      <c r="C1" s="11" t="s">
        <v>294</v>
      </c>
      <c r="D1" s="11" t="s">
        <v>248</v>
      </c>
      <c r="E1" s="11" t="s">
        <v>249</v>
      </c>
      <c r="F1" s="11" t="s">
        <v>250</v>
      </c>
      <c r="G1" s="11" t="s">
        <v>251</v>
      </c>
    </row>
    <row r="2">
      <c r="A2" s="5" t="s">
        <v>4853</v>
      </c>
      <c r="B2" s="11">
        <v>663.0</v>
      </c>
      <c r="C2" s="74">
        <v>0.15</v>
      </c>
      <c r="D2" s="74">
        <v>0.75</v>
      </c>
      <c r="E2" s="74">
        <v>0.75</v>
      </c>
      <c r="F2" s="11" t="s">
        <v>1656</v>
      </c>
    </row>
    <row r="3">
      <c r="A3" s="5" t="s">
        <v>4854</v>
      </c>
      <c r="B3" s="11">
        <v>663.0</v>
      </c>
      <c r="C3" s="74">
        <v>0.15</v>
      </c>
      <c r="D3" s="74">
        <v>0.75</v>
      </c>
      <c r="E3" s="74">
        <v>0.75</v>
      </c>
      <c r="F3" s="11" t="s">
        <v>1656</v>
      </c>
    </row>
    <row r="4">
      <c r="A4" s="5" t="s">
        <v>4855</v>
      </c>
      <c r="B4" s="11">
        <v>663.0</v>
      </c>
      <c r="C4" s="74">
        <v>0.15</v>
      </c>
      <c r="D4" s="74">
        <v>0.75</v>
      </c>
      <c r="E4" s="74">
        <v>0.75</v>
      </c>
      <c r="F4" s="11" t="s">
        <v>1656</v>
      </c>
    </row>
    <row r="5">
      <c r="A5" s="5" t="s">
        <v>4856</v>
      </c>
      <c r="B5" s="11">
        <v>6675.0</v>
      </c>
      <c r="C5" s="74">
        <v>0.15</v>
      </c>
      <c r="D5" s="74">
        <v>0.75</v>
      </c>
      <c r="E5" s="74">
        <v>0.75</v>
      </c>
      <c r="F5" s="11" t="s">
        <v>1656</v>
      </c>
    </row>
    <row r="6">
      <c r="A6" s="5" t="s">
        <v>4857</v>
      </c>
      <c r="B6" s="11">
        <v>6675.0</v>
      </c>
      <c r="C6" s="74">
        <v>0.15</v>
      </c>
      <c r="D6" s="74">
        <v>0.75</v>
      </c>
      <c r="E6" s="74">
        <v>0.75</v>
      </c>
      <c r="F6" s="11" t="s">
        <v>1656</v>
      </c>
    </row>
    <row r="7">
      <c r="A7" s="5" t="s">
        <v>4858</v>
      </c>
      <c r="B7" s="11">
        <v>189.0</v>
      </c>
      <c r="C7" s="74">
        <v>0.15</v>
      </c>
      <c r="D7" s="74">
        <v>0.75</v>
      </c>
      <c r="E7" s="74">
        <v>0.75</v>
      </c>
      <c r="F7" s="11" t="s">
        <v>1656</v>
      </c>
    </row>
    <row r="8">
      <c r="A8" s="222" t="s">
        <v>3549</v>
      </c>
      <c r="B8" s="11">
        <v>8486.0</v>
      </c>
      <c r="C8" s="74">
        <v>0.15</v>
      </c>
      <c r="D8" s="74">
        <v>0.75</v>
      </c>
      <c r="E8" s="74">
        <v>0.75</v>
      </c>
      <c r="F8" s="11" t="s">
        <v>1656</v>
      </c>
    </row>
    <row r="9">
      <c r="A9" s="222" t="s">
        <v>3550</v>
      </c>
      <c r="B9" s="11">
        <v>8486.0</v>
      </c>
      <c r="C9" s="74">
        <v>0.15</v>
      </c>
      <c r="D9" s="74">
        <v>0.75</v>
      </c>
      <c r="E9" s="74">
        <v>0.75</v>
      </c>
      <c r="F9" s="11" t="s">
        <v>1656</v>
      </c>
    </row>
    <row r="10">
      <c r="A10" s="222" t="s">
        <v>3551</v>
      </c>
      <c r="B10" s="11">
        <v>14516.0</v>
      </c>
      <c r="C10" s="74">
        <v>0.15</v>
      </c>
      <c r="D10" s="74">
        <v>0.75</v>
      </c>
      <c r="E10" s="74">
        <v>0.75</v>
      </c>
      <c r="F10" s="11" t="s">
        <v>1656</v>
      </c>
    </row>
    <row r="11">
      <c r="A11" s="222" t="s">
        <v>3552</v>
      </c>
      <c r="B11" s="11">
        <v>189.0</v>
      </c>
      <c r="C11" s="74">
        <v>0.15</v>
      </c>
      <c r="D11" s="74">
        <v>0.75</v>
      </c>
      <c r="E11" s="74">
        <v>0.75</v>
      </c>
      <c r="F11" s="11" t="s">
        <v>1656</v>
      </c>
    </row>
    <row r="12">
      <c r="A12" s="222" t="s">
        <v>71</v>
      </c>
      <c r="B12" s="11">
        <v>7100.0</v>
      </c>
      <c r="C12" s="74">
        <v>0.15</v>
      </c>
      <c r="D12" s="74">
        <v>0.75</v>
      </c>
      <c r="E12" s="74">
        <v>0.75</v>
      </c>
      <c r="F12" s="11" t="s">
        <v>1656</v>
      </c>
    </row>
    <row r="13">
      <c r="A13" s="222" t="s">
        <v>73</v>
      </c>
      <c r="B13" s="11">
        <v>7747.0</v>
      </c>
      <c r="C13" s="74">
        <v>0.15</v>
      </c>
      <c r="D13" s="74">
        <v>0.75</v>
      </c>
      <c r="E13" s="74">
        <v>0.75</v>
      </c>
      <c r="F13" s="11" t="s">
        <v>1656</v>
      </c>
    </row>
    <row r="14">
      <c r="A14" s="222" t="s">
        <v>74</v>
      </c>
      <c r="B14" s="11">
        <v>499.0</v>
      </c>
      <c r="C14" s="74">
        <v>0.15</v>
      </c>
      <c r="D14" s="74">
        <v>0.75</v>
      </c>
      <c r="E14" s="74">
        <v>0.75</v>
      </c>
      <c r="F14" s="11" t="s">
        <v>1656</v>
      </c>
    </row>
    <row r="15">
      <c r="A15" s="222" t="s">
        <v>75</v>
      </c>
      <c r="B15" s="11">
        <v>6728.0</v>
      </c>
      <c r="C15" s="74">
        <v>0.15</v>
      </c>
      <c r="D15" s="74">
        <v>0.75</v>
      </c>
      <c r="E15" s="74">
        <v>0.75</v>
      </c>
      <c r="F15" s="11" t="s">
        <v>1656</v>
      </c>
    </row>
    <row r="16">
      <c r="A16" s="222" t="s">
        <v>76</v>
      </c>
      <c r="B16" s="11">
        <v>6831.0</v>
      </c>
      <c r="C16" s="74">
        <v>0.15</v>
      </c>
      <c r="D16" s="74">
        <v>0.75</v>
      </c>
      <c r="E16" s="74">
        <v>0.75</v>
      </c>
      <c r="F16" s="11" t="s">
        <v>1656</v>
      </c>
    </row>
    <row r="17">
      <c r="A17" s="222" t="s">
        <v>77</v>
      </c>
      <c r="B17" s="11">
        <v>12346.0</v>
      </c>
      <c r="C17" s="74">
        <v>0.15</v>
      </c>
      <c r="D17" s="74">
        <v>0.75</v>
      </c>
      <c r="E17" s="74">
        <v>0.75</v>
      </c>
      <c r="F17" s="11" t="s">
        <v>1656</v>
      </c>
    </row>
    <row r="18">
      <c r="A18" s="222" t="s">
        <v>78</v>
      </c>
      <c r="B18" s="11">
        <v>6143.0</v>
      </c>
      <c r="C18" s="74">
        <v>0.15</v>
      </c>
      <c r="D18" s="74">
        <v>0.75</v>
      </c>
      <c r="E18" s="74">
        <v>0.75</v>
      </c>
      <c r="F18" s="11" t="s">
        <v>1656</v>
      </c>
    </row>
    <row r="19">
      <c r="A19" s="222" t="s">
        <v>79</v>
      </c>
      <c r="B19" s="11">
        <v>6143.0</v>
      </c>
      <c r="C19" s="74">
        <v>0.15</v>
      </c>
      <c r="D19" s="74">
        <v>0.75</v>
      </c>
      <c r="E19" s="74">
        <v>0.75</v>
      </c>
      <c r="F19" s="11" t="s">
        <v>1656</v>
      </c>
    </row>
    <row r="20">
      <c r="A20" s="222" t="s">
        <v>80</v>
      </c>
      <c r="B20" s="11">
        <v>6728.0</v>
      </c>
      <c r="C20" s="74">
        <v>0.15</v>
      </c>
      <c r="D20" s="74">
        <v>0.75</v>
      </c>
      <c r="E20" s="74">
        <v>0.75</v>
      </c>
      <c r="F20" s="11" t="s">
        <v>1656</v>
      </c>
    </row>
    <row r="21">
      <c r="A21" s="222" t="s">
        <v>81</v>
      </c>
      <c r="B21" s="11">
        <v>14580.0</v>
      </c>
      <c r="C21" s="74">
        <v>0.15</v>
      </c>
      <c r="D21" s="74">
        <v>0.75</v>
      </c>
      <c r="E21" s="74">
        <v>0.75</v>
      </c>
      <c r="F21" s="11" t="s">
        <v>1656</v>
      </c>
    </row>
    <row r="22">
      <c r="A22" s="222" t="s">
        <v>82</v>
      </c>
      <c r="B22" s="11">
        <v>3307.0</v>
      </c>
      <c r="C22" s="74">
        <v>0.15</v>
      </c>
      <c r="D22" s="74">
        <v>0.75</v>
      </c>
      <c r="E22" s="74">
        <v>0.75</v>
      </c>
      <c r="F22" s="11" t="s">
        <v>1656</v>
      </c>
    </row>
    <row r="23">
      <c r="A23" s="222" t="s">
        <v>83</v>
      </c>
      <c r="B23" s="11">
        <v>13864.0</v>
      </c>
      <c r="C23" s="74">
        <v>0.15</v>
      </c>
      <c r="D23" s="74">
        <v>0.75</v>
      </c>
      <c r="E23" s="74">
        <v>0.75</v>
      </c>
      <c r="F23" s="11" t="s">
        <v>1656</v>
      </c>
    </row>
    <row r="24">
      <c r="A24" s="222" t="s">
        <v>84</v>
      </c>
      <c r="B24" s="11">
        <v>3404.0</v>
      </c>
      <c r="C24" s="74">
        <v>0.15</v>
      </c>
      <c r="D24" s="74">
        <v>0.75</v>
      </c>
      <c r="E24" s="74">
        <v>0.75</v>
      </c>
      <c r="F24" s="11" t="s">
        <v>1656</v>
      </c>
    </row>
    <row r="25">
      <c r="A25" s="222" t="s">
        <v>85</v>
      </c>
      <c r="B25" s="11">
        <v>7010.0</v>
      </c>
      <c r="C25" s="74">
        <v>0.15</v>
      </c>
      <c r="D25" s="74">
        <v>0.75</v>
      </c>
      <c r="E25" s="74">
        <v>0.75</v>
      </c>
      <c r="F25" s="11" t="s">
        <v>1656</v>
      </c>
    </row>
    <row r="26">
      <c r="A26" s="222" t="s">
        <v>86</v>
      </c>
      <c r="B26" s="11">
        <v>7010.0</v>
      </c>
      <c r="C26" s="74">
        <v>0.15</v>
      </c>
      <c r="D26" s="74">
        <v>0.75</v>
      </c>
      <c r="E26" s="74">
        <v>0.75</v>
      </c>
      <c r="F26" s="11" t="s">
        <v>1656</v>
      </c>
    </row>
    <row r="27">
      <c r="A27" s="222" t="s">
        <v>87</v>
      </c>
      <c r="B27" s="11">
        <v>14646.0</v>
      </c>
      <c r="C27" s="74">
        <v>0.15</v>
      </c>
      <c r="D27" s="74">
        <v>0.75</v>
      </c>
      <c r="E27" s="74">
        <v>0.75</v>
      </c>
      <c r="F27" s="11" t="s">
        <v>1656</v>
      </c>
    </row>
    <row r="28">
      <c r="A28" s="222" t="s">
        <v>88</v>
      </c>
      <c r="B28" s="11">
        <v>7023.0</v>
      </c>
      <c r="C28" s="74">
        <v>0.15</v>
      </c>
      <c r="D28" s="74">
        <v>0.75</v>
      </c>
      <c r="E28" s="74">
        <v>0.75</v>
      </c>
      <c r="F28" s="11" t="s">
        <v>1656</v>
      </c>
    </row>
    <row r="29">
      <c r="A29" s="222" t="s">
        <v>89</v>
      </c>
      <c r="C29" s="74">
        <v>0.15</v>
      </c>
      <c r="D29" s="74">
        <v>0.75</v>
      </c>
      <c r="E29" s="74">
        <v>0.75</v>
      </c>
      <c r="F29" s="11" t="s">
        <v>1656</v>
      </c>
    </row>
    <row r="30">
      <c r="A30" s="222" t="s">
        <v>90</v>
      </c>
      <c r="B30" s="11">
        <v>12932.0</v>
      </c>
      <c r="C30" s="74">
        <v>0.15</v>
      </c>
      <c r="D30" s="74">
        <v>0.75</v>
      </c>
      <c r="E30" s="74">
        <v>0.75</v>
      </c>
      <c r="F30" s="11" t="s">
        <v>1656</v>
      </c>
    </row>
    <row r="31">
      <c r="A31" s="222" t="s">
        <v>91</v>
      </c>
      <c r="B31" s="11">
        <v>12553.0</v>
      </c>
      <c r="C31" s="74">
        <v>0.15</v>
      </c>
      <c r="D31" s="74">
        <v>0.75</v>
      </c>
      <c r="E31" s="74">
        <v>0.75</v>
      </c>
      <c r="F31" s="11" t="s">
        <v>1656</v>
      </c>
    </row>
    <row r="32">
      <c r="A32" s="222" t="s">
        <v>92</v>
      </c>
      <c r="B32" s="11">
        <v>2345.0</v>
      </c>
      <c r="C32" s="74">
        <v>0.15</v>
      </c>
      <c r="D32" s="74">
        <v>0.9</v>
      </c>
      <c r="E32" s="74">
        <v>0.9</v>
      </c>
      <c r="F32" s="11" t="s">
        <v>1656</v>
      </c>
    </row>
    <row r="33">
      <c r="A33" s="222" t="s">
        <v>93</v>
      </c>
      <c r="B33" s="11">
        <v>2345.0</v>
      </c>
      <c r="C33" s="74">
        <v>0.15</v>
      </c>
      <c r="D33" s="74">
        <v>0.9</v>
      </c>
      <c r="E33" s="74">
        <v>0.9</v>
      </c>
      <c r="F33" s="11" t="s">
        <v>1656</v>
      </c>
    </row>
    <row r="34">
      <c r="A34" s="222" t="s">
        <v>94</v>
      </c>
      <c r="B34" s="11">
        <v>2345.0</v>
      </c>
      <c r="C34" s="74">
        <v>0.15</v>
      </c>
      <c r="D34" s="74">
        <v>0.9</v>
      </c>
      <c r="E34" s="74">
        <v>0.9</v>
      </c>
      <c r="F34" s="11" t="s">
        <v>1656</v>
      </c>
    </row>
    <row r="35">
      <c r="A35" s="222" t="s">
        <v>95</v>
      </c>
      <c r="B35" s="11">
        <v>2345.0</v>
      </c>
      <c r="C35" s="74">
        <v>0.15</v>
      </c>
      <c r="D35" s="74">
        <v>0.9</v>
      </c>
      <c r="E35" s="74">
        <v>0.9</v>
      </c>
      <c r="F35" s="11" t="s">
        <v>1656</v>
      </c>
    </row>
    <row r="36">
      <c r="A36" s="222" t="s">
        <v>96</v>
      </c>
      <c r="B36" s="11">
        <v>2345.0</v>
      </c>
      <c r="C36" s="74">
        <v>0.15</v>
      </c>
      <c r="D36" s="74">
        <v>0.9</v>
      </c>
      <c r="E36" s="74">
        <v>0.9</v>
      </c>
      <c r="F36" s="11" t="s">
        <v>1656</v>
      </c>
    </row>
    <row r="37">
      <c r="A37" s="222" t="s">
        <v>97</v>
      </c>
      <c r="B37" s="11">
        <v>2345.0</v>
      </c>
      <c r="C37" s="74">
        <v>0.15</v>
      </c>
      <c r="D37" s="74">
        <v>0.9</v>
      </c>
      <c r="E37" s="74">
        <v>0.9</v>
      </c>
      <c r="F37" s="11" t="s">
        <v>1656</v>
      </c>
    </row>
    <row r="38">
      <c r="A38" s="222" t="s">
        <v>98</v>
      </c>
      <c r="B38" s="11">
        <v>2345.0</v>
      </c>
      <c r="C38" s="74">
        <v>0.15</v>
      </c>
      <c r="D38" s="74">
        <v>0.9</v>
      </c>
      <c r="E38" s="74">
        <v>0.9</v>
      </c>
      <c r="F38" s="11" t="s">
        <v>1656</v>
      </c>
    </row>
    <row r="39">
      <c r="A39" s="222" t="s">
        <v>99</v>
      </c>
      <c r="B39" s="11">
        <v>14663.0</v>
      </c>
      <c r="C39" s="74">
        <v>0.15</v>
      </c>
      <c r="D39" s="74">
        <v>0.75</v>
      </c>
      <c r="E39" s="74">
        <v>0.75</v>
      </c>
      <c r="F39" s="11" t="s">
        <v>1656</v>
      </c>
    </row>
    <row r="40">
      <c r="A40" s="222" t="s">
        <v>100</v>
      </c>
      <c r="B40" s="11">
        <v>14727.0</v>
      </c>
      <c r="C40" s="74">
        <v>0.15</v>
      </c>
      <c r="D40" s="74">
        <v>0.75</v>
      </c>
      <c r="E40" s="74">
        <v>0.75</v>
      </c>
      <c r="F40" s="11" t="s">
        <v>1656</v>
      </c>
    </row>
    <row r="41">
      <c r="A41" s="222" t="s">
        <v>101</v>
      </c>
      <c r="B41" s="11">
        <v>7033.0</v>
      </c>
      <c r="C41" s="74">
        <v>0.15</v>
      </c>
      <c r="D41" s="74">
        <v>0.75</v>
      </c>
      <c r="E41" s="74">
        <v>0.75</v>
      </c>
      <c r="F41" s="11" t="s">
        <v>1656</v>
      </c>
    </row>
    <row r="42">
      <c r="A42" s="222" t="s">
        <v>102</v>
      </c>
      <c r="B42" s="11">
        <v>6903.0</v>
      </c>
      <c r="C42" s="74">
        <v>0.15</v>
      </c>
      <c r="D42" s="74">
        <v>0.75</v>
      </c>
      <c r="E42" s="74">
        <v>0.75</v>
      </c>
      <c r="F42" s="11" t="s">
        <v>1656</v>
      </c>
    </row>
    <row r="43">
      <c r="A43" s="222" t="s">
        <v>103</v>
      </c>
      <c r="B43" s="11">
        <v>5365.0</v>
      </c>
      <c r="C43" s="74">
        <v>0.15</v>
      </c>
      <c r="D43" s="74">
        <v>0.75</v>
      </c>
      <c r="E43" s="74">
        <v>0.75</v>
      </c>
      <c r="F43" s="11" t="s">
        <v>1656</v>
      </c>
    </row>
    <row r="44">
      <c r="A44" s="222" t="s">
        <v>104</v>
      </c>
      <c r="C44" s="74">
        <v>0.15</v>
      </c>
      <c r="D44" s="74">
        <v>0.75</v>
      </c>
      <c r="E44" s="74">
        <v>0.75</v>
      </c>
      <c r="F44" s="11" t="s">
        <v>1656</v>
      </c>
    </row>
    <row r="45">
      <c r="A45" s="222" t="s">
        <v>105</v>
      </c>
      <c r="B45" s="11">
        <v>14480.0</v>
      </c>
      <c r="C45" s="74">
        <v>0.15</v>
      </c>
      <c r="D45" s="74">
        <v>0.75</v>
      </c>
      <c r="E45" s="74">
        <v>0.75</v>
      </c>
      <c r="F45" s="11" t="s">
        <v>1656</v>
      </c>
    </row>
    <row r="46">
      <c r="A46" s="222" t="s">
        <v>3554</v>
      </c>
      <c r="C46" s="74">
        <v>0.15</v>
      </c>
      <c r="D46" s="74">
        <v>0.75</v>
      </c>
      <c r="E46" s="74">
        <v>0.75</v>
      </c>
      <c r="F46" s="11" t="s">
        <v>1656</v>
      </c>
    </row>
    <row r="47">
      <c r="A47" s="222" t="s">
        <v>3555</v>
      </c>
      <c r="C47" s="74">
        <v>0.15</v>
      </c>
      <c r="D47" s="74">
        <v>0.75</v>
      </c>
      <c r="E47" s="74">
        <v>0.75</v>
      </c>
      <c r="F47" s="11" t="s">
        <v>1656</v>
      </c>
    </row>
    <row r="48">
      <c r="A48" s="222" t="s">
        <v>3556</v>
      </c>
      <c r="C48" s="74">
        <v>0.15</v>
      </c>
      <c r="D48" s="74">
        <v>0.75</v>
      </c>
      <c r="E48" s="74">
        <v>0.75</v>
      </c>
      <c r="F48" s="11" t="s">
        <v>1656</v>
      </c>
    </row>
    <row r="49">
      <c r="A49" s="222" t="s">
        <v>3557</v>
      </c>
      <c r="C49" s="74">
        <v>0.15</v>
      </c>
      <c r="D49" s="74">
        <v>0.75</v>
      </c>
      <c r="E49" s="74">
        <v>0.75</v>
      </c>
      <c r="F49" s="11" t="s">
        <v>1656</v>
      </c>
    </row>
    <row r="50">
      <c r="A50" s="222" t="s">
        <v>3558</v>
      </c>
      <c r="B50" s="11">
        <v>12936.0</v>
      </c>
      <c r="C50" s="74">
        <v>0.15</v>
      </c>
      <c r="D50" s="74">
        <v>0.75</v>
      </c>
      <c r="E50" s="74">
        <v>0.75</v>
      </c>
      <c r="F50" s="11" t="s">
        <v>1656</v>
      </c>
    </row>
    <row r="51">
      <c r="A51" s="222" t="s">
        <v>3559</v>
      </c>
      <c r="C51" s="74">
        <v>0.15</v>
      </c>
      <c r="D51" s="74">
        <v>0.75</v>
      </c>
      <c r="E51" s="74">
        <v>0.75</v>
      </c>
      <c r="F51" s="11" t="s">
        <v>1656</v>
      </c>
    </row>
    <row r="52">
      <c r="A52" s="222" t="s">
        <v>3560</v>
      </c>
      <c r="C52" s="74">
        <v>0.15</v>
      </c>
      <c r="D52" s="74">
        <v>0.75</v>
      </c>
      <c r="E52" s="74">
        <v>0.75</v>
      </c>
      <c r="F52" s="11" t="s">
        <v>1656</v>
      </c>
    </row>
    <row r="53">
      <c r="A53" s="222" t="s">
        <v>3561</v>
      </c>
      <c r="B53" s="11">
        <v>6732.0</v>
      </c>
      <c r="C53" s="74">
        <v>0.15</v>
      </c>
      <c r="D53" s="74">
        <v>0.75</v>
      </c>
      <c r="E53" s="74">
        <v>0.75</v>
      </c>
      <c r="F53" s="11" t="s">
        <v>1656</v>
      </c>
    </row>
    <row r="54">
      <c r="A54" s="222" t="s">
        <v>3562</v>
      </c>
      <c r="B54" s="11">
        <v>6732.0</v>
      </c>
      <c r="C54" s="74">
        <v>0.15</v>
      </c>
      <c r="D54" s="74">
        <v>0.75</v>
      </c>
      <c r="E54" s="74">
        <v>0.75</v>
      </c>
      <c r="F54" s="11" t="s">
        <v>1656</v>
      </c>
    </row>
    <row r="55">
      <c r="A55" s="222" t="s">
        <v>3563</v>
      </c>
      <c r="B55" s="11">
        <v>6732.0</v>
      </c>
      <c r="C55" s="74">
        <v>0.15</v>
      </c>
      <c r="D55" s="74">
        <v>0.75</v>
      </c>
      <c r="E55" s="74">
        <v>0.75</v>
      </c>
      <c r="F55" s="11" t="s">
        <v>1656</v>
      </c>
    </row>
    <row r="56">
      <c r="A56" s="222" t="s">
        <v>3564</v>
      </c>
      <c r="C56" s="74">
        <v>0.15</v>
      </c>
      <c r="D56" s="74">
        <v>0.75</v>
      </c>
      <c r="E56" s="74">
        <v>0.75</v>
      </c>
      <c r="F56" s="11" t="s">
        <v>1656</v>
      </c>
    </row>
    <row r="57">
      <c r="A57" s="222" t="s">
        <v>3565</v>
      </c>
      <c r="C57" s="74">
        <v>0.15</v>
      </c>
      <c r="D57" s="74">
        <v>0.75</v>
      </c>
      <c r="E57" s="74">
        <v>0.75</v>
      </c>
      <c r="F57" s="11" t="s">
        <v>1656</v>
      </c>
    </row>
    <row r="58">
      <c r="A58" s="222" t="s">
        <v>3566</v>
      </c>
      <c r="C58" s="74">
        <v>0.15</v>
      </c>
      <c r="D58" s="74">
        <v>0.75</v>
      </c>
      <c r="E58" s="74">
        <v>0.75</v>
      </c>
      <c r="F58" s="11" t="s">
        <v>1656</v>
      </c>
    </row>
    <row r="59">
      <c r="A59" s="222" t="s">
        <v>3567</v>
      </c>
      <c r="C59" s="74">
        <v>0.15</v>
      </c>
      <c r="D59" s="74">
        <v>0.75</v>
      </c>
      <c r="E59" s="74">
        <v>0.75</v>
      </c>
      <c r="F59" s="11" t="s">
        <v>1656</v>
      </c>
    </row>
    <row r="60">
      <c r="A60" s="222" t="s">
        <v>3568</v>
      </c>
      <c r="B60" s="11">
        <v>6668.0</v>
      </c>
      <c r="C60" s="74">
        <v>0.15</v>
      </c>
      <c r="D60" s="74">
        <v>0.75</v>
      </c>
      <c r="E60" s="74">
        <v>0.75</v>
      </c>
      <c r="F60" s="11" t="s">
        <v>1656</v>
      </c>
    </row>
    <row r="61">
      <c r="A61" s="222" t="s">
        <v>3569</v>
      </c>
      <c r="B61" s="11">
        <v>6668.0</v>
      </c>
      <c r="C61" s="74">
        <v>0.15</v>
      </c>
      <c r="D61" s="74">
        <v>0.75</v>
      </c>
      <c r="E61" s="74">
        <v>0.75</v>
      </c>
      <c r="F61" s="11" t="s">
        <v>1656</v>
      </c>
    </row>
    <row r="62">
      <c r="A62" s="222" t="s">
        <v>3570</v>
      </c>
      <c r="C62" s="74">
        <v>0.15</v>
      </c>
      <c r="D62" s="74">
        <v>0.75</v>
      </c>
      <c r="E62" s="74">
        <v>0.75</v>
      </c>
      <c r="F62" s="11" t="s">
        <v>1656</v>
      </c>
    </row>
    <row r="63">
      <c r="A63" s="222" t="s">
        <v>3571</v>
      </c>
      <c r="C63" s="74">
        <v>0.15</v>
      </c>
      <c r="D63" s="74">
        <v>0.75</v>
      </c>
      <c r="E63" s="74">
        <v>0.75</v>
      </c>
      <c r="F63" s="11" t="s">
        <v>1656</v>
      </c>
    </row>
    <row r="64">
      <c r="A64" s="222" t="s">
        <v>3572</v>
      </c>
      <c r="C64" s="74">
        <v>0.15</v>
      </c>
      <c r="D64" s="74">
        <v>0.75</v>
      </c>
      <c r="E64" s="74">
        <v>0.75</v>
      </c>
      <c r="F64" s="11" t="s">
        <v>1656</v>
      </c>
    </row>
    <row r="65">
      <c r="A65" s="222" t="s">
        <v>3573</v>
      </c>
      <c r="C65" s="74">
        <v>0.15</v>
      </c>
      <c r="D65" s="74">
        <v>0.75</v>
      </c>
      <c r="E65" s="74">
        <v>0.75</v>
      </c>
      <c r="F65" s="11" t="s">
        <v>1656</v>
      </c>
    </row>
    <row r="66">
      <c r="A66" s="222" t="s">
        <v>3574</v>
      </c>
      <c r="C66" s="74">
        <v>0.15</v>
      </c>
      <c r="D66" s="74">
        <v>0.75</v>
      </c>
      <c r="E66" s="74">
        <v>0.75</v>
      </c>
      <c r="F66" s="11" t="s">
        <v>1656</v>
      </c>
    </row>
    <row r="67">
      <c r="A67" s="222" t="s">
        <v>3575</v>
      </c>
      <c r="C67" s="74">
        <v>0.15</v>
      </c>
      <c r="D67" s="74">
        <v>0.75</v>
      </c>
      <c r="E67" s="74">
        <v>0.75</v>
      </c>
      <c r="F67" s="11" t="s">
        <v>1656</v>
      </c>
    </row>
    <row r="68">
      <c r="A68" s="222" t="s">
        <v>3576</v>
      </c>
      <c r="C68" s="74">
        <v>0.15</v>
      </c>
      <c r="D68" s="74">
        <v>0.75</v>
      </c>
      <c r="E68" s="74">
        <v>0.75</v>
      </c>
      <c r="F68" s="11" t="s">
        <v>1656</v>
      </c>
    </row>
    <row r="69">
      <c r="A69" s="222" t="s">
        <v>3577</v>
      </c>
      <c r="B69" s="11">
        <v>14529.0</v>
      </c>
      <c r="C69" s="74">
        <v>0.15</v>
      </c>
      <c r="D69" s="74">
        <v>0.75</v>
      </c>
      <c r="E69" s="74">
        <v>0.75</v>
      </c>
      <c r="F69" s="11" t="s">
        <v>1656</v>
      </c>
    </row>
    <row r="70">
      <c r="A70" s="222" t="s">
        <v>3579</v>
      </c>
      <c r="C70" s="74">
        <v>0.15</v>
      </c>
      <c r="D70" s="74">
        <v>0.75</v>
      </c>
      <c r="E70" s="74">
        <v>0.75</v>
      </c>
      <c r="F70" s="11" t="s">
        <v>1656</v>
      </c>
    </row>
    <row r="71">
      <c r="A71" s="222" t="s">
        <v>3580</v>
      </c>
      <c r="B71" s="11">
        <v>14298.0</v>
      </c>
      <c r="C71" s="74">
        <v>0.15</v>
      </c>
      <c r="D71" s="74">
        <v>0.8</v>
      </c>
      <c r="E71" s="74">
        <v>0.8</v>
      </c>
      <c r="F71" s="11" t="s">
        <v>1656</v>
      </c>
    </row>
    <row r="72">
      <c r="A72" s="222" t="s">
        <v>3581</v>
      </c>
      <c r="C72" s="74">
        <v>0.15</v>
      </c>
      <c r="D72" s="74">
        <v>0.75</v>
      </c>
      <c r="E72" s="74">
        <v>0.75</v>
      </c>
      <c r="F72" s="11" t="s">
        <v>1656</v>
      </c>
    </row>
    <row r="73">
      <c r="A73" s="222" t="s">
        <v>3582</v>
      </c>
      <c r="C73" s="74">
        <v>0.15</v>
      </c>
      <c r="D73" s="74">
        <v>0.75</v>
      </c>
      <c r="E73" s="74">
        <v>0.75</v>
      </c>
      <c r="F73" s="11" t="s">
        <v>1656</v>
      </c>
    </row>
    <row r="74">
      <c r="A74" s="222" t="s">
        <v>3583</v>
      </c>
      <c r="C74" s="74">
        <v>0.15</v>
      </c>
      <c r="D74" s="74">
        <v>0.75</v>
      </c>
      <c r="E74" s="74">
        <v>0.75</v>
      </c>
      <c r="F74" s="11" t="s">
        <v>1656</v>
      </c>
    </row>
    <row r="75">
      <c r="A75" s="222" t="s">
        <v>3584</v>
      </c>
      <c r="B75" s="11">
        <v>14603.0</v>
      </c>
      <c r="C75" s="74">
        <v>0.15</v>
      </c>
      <c r="D75" s="74">
        <v>0.75</v>
      </c>
      <c r="E75" s="74">
        <v>0.75</v>
      </c>
      <c r="F75" s="11" t="s">
        <v>1656</v>
      </c>
    </row>
    <row r="76">
      <c r="A76" s="222" t="s">
        <v>3585</v>
      </c>
      <c r="B76" s="11">
        <v>14603.0</v>
      </c>
      <c r="C76" s="74">
        <v>0.15</v>
      </c>
      <c r="D76" s="74">
        <v>0.75</v>
      </c>
      <c r="E76" s="74">
        <v>0.75</v>
      </c>
      <c r="F76" s="11" t="s">
        <v>1656</v>
      </c>
    </row>
    <row r="77">
      <c r="A77" s="222" t="s">
        <v>3586</v>
      </c>
      <c r="B77" s="11">
        <v>14603.0</v>
      </c>
      <c r="C77" s="74">
        <v>0.15</v>
      </c>
      <c r="D77" s="74">
        <v>0.75</v>
      </c>
      <c r="E77" s="74">
        <v>0.75</v>
      </c>
      <c r="F77" s="11" t="s">
        <v>1656</v>
      </c>
    </row>
    <row r="78">
      <c r="A78" s="222" t="s">
        <v>3587</v>
      </c>
      <c r="B78" s="11">
        <v>14603.0</v>
      </c>
      <c r="C78" s="74">
        <v>0.15</v>
      </c>
      <c r="D78" s="74">
        <v>0.75</v>
      </c>
      <c r="E78" s="74">
        <v>0.75</v>
      </c>
      <c r="F78" s="11" t="s">
        <v>1656</v>
      </c>
    </row>
    <row r="79">
      <c r="A79" s="222" t="s">
        <v>3588</v>
      </c>
      <c r="B79" s="11">
        <v>14603.0</v>
      </c>
      <c r="C79" s="74">
        <v>0.15</v>
      </c>
      <c r="D79" s="74">
        <v>0.75</v>
      </c>
      <c r="E79" s="74">
        <v>0.75</v>
      </c>
      <c r="F79" s="11" t="s">
        <v>1656</v>
      </c>
    </row>
    <row r="80">
      <c r="A80" s="222" t="s">
        <v>3589</v>
      </c>
      <c r="B80" s="11">
        <v>14603.0</v>
      </c>
      <c r="C80" s="74">
        <v>0.15</v>
      </c>
      <c r="D80" s="74">
        <v>0.75</v>
      </c>
      <c r="E80" s="74">
        <v>0.75</v>
      </c>
      <c r="F80" s="11" t="s">
        <v>1656</v>
      </c>
    </row>
    <row r="81">
      <c r="A81" s="222" t="s">
        <v>3590</v>
      </c>
      <c r="B81" s="11">
        <v>14603.0</v>
      </c>
      <c r="C81" s="74">
        <v>0.15</v>
      </c>
      <c r="D81" s="74">
        <v>0.75</v>
      </c>
      <c r="E81" s="74">
        <v>0.75</v>
      </c>
      <c r="F81" s="11" t="s">
        <v>1656</v>
      </c>
    </row>
    <row r="82">
      <c r="A82" s="222" t="s">
        <v>3591</v>
      </c>
      <c r="B82" s="11">
        <v>14603.0</v>
      </c>
      <c r="C82" s="74">
        <v>0.15</v>
      </c>
      <c r="D82" s="74">
        <v>0.75</v>
      </c>
      <c r="E82" s="74">
        <v>0.75</v>
      </c>
      <c r="F82" s="11" t="s">
        <v>1656</v>
      </c>
    </row>
    <row r="83">
      <c r="A83" s="222" t="s">
        <v>3592</v>
      </c>
      <c r="B83" s="11">
        <v>14603.0</v>
      </c>
      <c r="C83" s="74">
        <v>0.15</v>
      </c>
      <c r="D83" s="74">
        <v>0.75</v>
      </c>
      <c r="E83" s="74">
        <v>0.75</v>
      </c>
      <c r="F83" s="11" t="s">
        <v>1656</v>
      </c>
    </row>
    <row r="84">
      <c r="A84" s="222" t="s">
        <v>3593</v>
      </c>
      <c r="B84" s="11">
        <v>14603.0</v>
      </c>
      <c r="C84" s="74">
        <v>0.15</v>
      </c>
      <c r="D84" s="74">
        <v>0.75</v>
      </c>
      <c r="E84" s="74">
        <v>0.75</v>
      </c>
      <c r="F84" s="11" t="s">
        <v>1656</v>
      </c>
    </row>
    <row r="85">
      <c r="A85" s="222" t="s">
        <v>3594</v>
      </c>
      <c r="C85" s="74">
        <v>0.15</v>
      </c>
      <c r="D85" s="74">
        <v>0.75</v>
      </c>
      <c r="E85" s="74">
        <v>0.75</v>
      </c>
      <c r="F85" s="11" t="s">
        <v>1656</v>
      </c>
    </row>
    <row r="86">
      <c r="A86" s="222" t="s">
        <v>3595</v>
      </c>
      <c r="C86" s="74">
        <v>0.15</v>
      </c>
      <c r="D86" s="74">
        <v>0.75</v>
      </c>
      <c r="E86" s="74">
        <v>0.75</v>
      </c>
      <c r="F86" s="11" t="s">
        <v>1656</v>
      </c>
    </row>
    <row r="87">
      <c r="A87" s="222" t="s">
        <v>3596</v>
      </c>
      <c r="C87" s="74">
        <v>0.15</v>
      </c>
      <c r="D87" s="74">
        <v>0.75</v>
      </c>
      <c r="E87" s="74">
        <v>0.75</v>
      </c>
      <c r="F87" s="11" t="s">
        <v>1656</v>
      </c>
    </row>
    <row r="88">
      <c r="A88" s="222" t="s">
        <v>3597</v>
      </c>
      <c r="C88" s="74">
        <v>0.15</v>
      </c>
      <c r="D88" s="74">
        <v>0.75</v>
      </c>
      <c r="E88" s="74">
        <v>0.75</v>
      </c>
      <c r="F88" s="11" t="s">
        <v>1656</v>
      </c>
    </row>
    <row r="89">
      <c r="A89" s="222" t="s">
        <v>3598</v>
      </c>
      <c r="B89" s="11">
        <v>12932.0</v>
      </c>
      <c r="C89" s="74">
        <v>0.15</v>
      </c>
      <c r="D89" s="74">
        <v>0.75</v>
      </c>
      <c r="E89" s="74">
        <v>0.75</v>
      </c>
      <c r="F89" s="11" t="s">
        <v>1656</v>
      </c>
    </row>
    <row r="90">
      <c r="A90" s="222" t="s">
        <v>3599</v>
      </c>
      <c r="B90" s="11">
        <v>12932.0</v>
      </c>
      <c r="C90" s="74">
        <v>0.15</v>
      </c>
      <c r="D90" s="74">
        <v>0.75</v>
      </c>
      <c r="E90" s="74">
        <v>0.75</v>
      </c>
      <c r="F90" s="11" t="s">
        <v>1656</v>
      </c>
    </row>
    <row r="91">
      <c r="A91" s="222" t="s">
        <v>3600</v>
      </c>
      <c r="C91" s="74">
        <v>0.15</v>
      </c>
      <c r="D91" s="74">
        <v>0.75</v>
      </c>
      <c r="E91" s="74">
        <v>0.75</v>
      </c>
      <c r="F91" s="11" t="s">
        <v>1656</v>
      </c>
    </row>
    <row r="92">
      <c r="A92" s="222" t="s">
        <v>3601</v>
      </c>
      <c r="C92" s="74">
        <v>0.15</v>
      </c>
      <c r="D92" s="74">
        <v>0.75</v>
      </c>
      <c r="E92" s="74">
        <v>0.75</v>
      </c>
      <c r="F92" s="11" t="s">
        <v>1656</v>
      </c>
    </row>
    <row r="93">
      <c r="A93" s="222" t="s">
        <v>3602</v>
      </c>
      <c r="B93" s="11">
        <v>14465.0</v>
      </c>
      <c r="C93" s="74">
        <v>0.15</v>
      </c>
      <c r="D93" s="74">
        <v>0.9</v>
      </c>
      <c r="E93" s="74">
        <v>0.9</v>
      </c>
      <c r="F93" s="11" t="s">
        <v>1656</v>
      </c>
    </row>
    <row r="94">
      <c r="A94" s="222" t="s">
        <v>3603</v>
      </c>
      <c r="B94" s="11">
        <v>7142.0</v>
      </c>
      <c r="C94" s="74">
        <v>0.15</v>
      </c>
      <c r="D94" s="74">
        <v>0.75</v>
      </c>
      <c r="E94" s="74">
        <v>0.75</v>
      </c>
      <c r="F94" s="11" t="s">
        <v>1656</v>
      </c>
    </row>
    <row r="95">
      <c r="A95" s="9" t="s">
        <v>3553</v>
      </c>
      <c r="B95" s="11">
        <v>14071.0</v>
      </c>
      <c r="C95" s="74">
        <v>0.15</v>
      </c>
      <c r="D95" s="74">
        <v>0.75</v>
      </c>
      <c r="E95" s="74">
        <v>0.75</v>
      </c>
      <c r="F95" s="11" t="s">
        <v>1656</v>
      </c>
      <c r="H95" s="11" t="s">
        <v>207</v>
      </c>
    </row>
    <row r="96">
      <c r="A96" s="9" t="s">
        <v>3704</v>
      </c>
      <c r="C96" s="74">
        <v>0.15</v>
      </c>
      <c r="D96" s="74">
        <v>0.75</v>
      </c>
      <c r="E96" s="74">
        <v>0.75</v>
      </c>
      <c r="F96" s="11" t="s">
        <v>1656</v>
      </c>
      <c r="H96" s="11" t="s">
        <v>207</v>
      </c>
    </row>
    <row r="97">
      <c r="A97" s="9" t="s">
        <v>3705</v>
      </c>
      <c r="C97" s="74">
        <v>0.15</v>
      </c>
      <c r="D97" s="74">
        <v>0.75</v>
      </c>
      <c r="E97" s="74">
        <v>0.75</v>
      </c>
      <c r="F97" s="11" t="s">
        <v>1656</v>
      </c>
      <c r="H97" s="11" t="s">
        <v>207</v>
      </c>
    </row>
    <row r="98">
      <c r="A98" s="9" t="s">
        <v>66</v>
      </c>
      <c r="C98" s="74">
        <v>0.15</v>
      </c>
      <c r="D98" s="74">
        <v>0.75</v>
      </c>
      <c r="E98" s="74">
        <v>0.75</v>
      </c>
      <c r="F98" s="11" t="s">
        <v>1656</v>
      </c>
      <c r="H98" s="11" t="s">
        <v>207</v>
      </c>
    </row>
    <row r="99">
      <c r="A99" s="9" t="s">
        <v>67</v>
      </c>
      <c r="C99" s="74">
        <v>0.15</v>
      </c>
      <c r="D99" s="74">
        <v>0.75</v>
      </c>
      <c r="E99" s="74">
        <v>0.75</v>
      </c>
      <c r="F99" s="11" t="s">
        <v>1656</v>
      </c>
      <c r="H99" s="11" t="s">
        <v>207</v>
      </c>
    </row>
    <row r="100">
      <c r="A100" s="9" t="s">
        <v>68</v>
      </c>
      <c r="C100" s="74">
        <v>0.15</v>
      </c>
      <c r="D100" s="74">
        <v>0.75</v>
      </c>
      <c r="E100" s="74">
        <v>0.75</v>
      </c>
      <c r="F100" s="11" t="s">
        <v>1656</v>
      </c>
      <c r="H100" s="11" t="s">
        <v>207</v>
      </c>
    </row>
    <row r="101">
      <c r="A101" s="9" t="s">
        <v>69</v>
      </c>
      <c r="C101" s="74">
        <v>0.15</v>
      </c>
      <c r="D101" s="74">
        <v>0.75</v>
      </c>
      <c r="E101" s="74">
        <v>0.75</v>
      </c>
      <c r="F101" s="11" t="s">
        <v>1656</v>
      </c>
      <c r="H101" s="11" t="s">
        <v>207</v>
      </c>
    </row>
    <row r="102">
      <c r="A102" s="10"/>
    </row>
    <row r="103">
      <c r="A103" s="10"/>
    </row>
    <row r="104">
      <c r="A104" s="10"/>
    </row>
    <row r="105">
      <c r="A105" s="10"/>
    </row>
    <row r="106">
      <c r="A106" s="10"/>
    </row>
    <row r="107">
      <c r="A107" s="10"/>
    </row>
    <row r="108">
      <c r="A108" s="10"/>
    </row>
    <row r="109">
      <c r="A109" s="10"/>
    </row>
    <row r="110">
      <c r="A110" s="10"/>
    </row>
    <row r="111">
      <c r="A111" s="10"/>
    </row>
    <row r="112">
      <c r="A112" s="10"/>
    </row>
    <row r="113">
      <c r="A113" s="10"/>
    </row>
    <row r="114">
      <c r="A114" s="10"/>
    </row>
    <row r="115">
      <c r="A115" s="10"/>
    </row>
    <row r="116">
      <c r="A116" s="10"/>
    </row>
    <row r="117">
      <c r="A117" s="10"/>
    </row>
    <row r="118">
      <c r="A118" s="10"/>
    </row>
    <row r="119">
      <c r="A119" s="10"/>
    </row>
    <row r="120">
      <c r="A120" s="10"/>
    </row>
    <row r="121">
      <c r="A121" s="10"/>
    </row>
    <row r="122">
      <c r="A122" s="10"/>
    </row>
    <row r="123">
      <c r="A123" s="10"/>
    </row>
    <row r="124">
      <c r="A124" s="10"/>
    </row>
    <row r="125">
      <c r="A125" s="10"/>
    </row>
    <row r="126">
      <c r="A126" s="10"/>
    </row>
    <row r="127">
      <c r="A127" s="10"/>
    </row>
    <row r="128">
      <c r="A128" s="10"/>
    </row>
    <row r="129">
      <c r="A129" s="10"/>
    </row>
    <row r="130">
      <c r="A130" s="10"/>
    </row>
    <row r="131">
      <c r="A131" s="10"/>
    </row>
    <row r="132">
      <c r="A132" s="10"/>
    </row>
    <row r="133">
      <c r="A133" s="10"/>
    </row>
    <row r="134">
      <c r="A134" s="10"/>
    </row>
    <row r="135">
      <c r="A135" s="10"/>
    </row>
    <row r="136">
      <c r="A136" s="10"/>
    </row>
    <row r="137">
      <c r="A137" s="10"/>
    </row>
    <row r="138">
      <c r="A138" s="10"/>
    </row>
    <row r="139">
      <c r="A139" s="10"/>
    </row>
    <row r="140">
      <c r="A140" s="10"/>
    </row>
    <row r="141">
      <c r="A141" s="10"/>
    </row>
    <row r="142">
      <c r="A142" s="10"/>
    </row>
    <row r="143">
      <c r="A143" s="10"/>
    </row>
    <row r="144">
      <c r="A144" s="10"/>
    </row>
    <row r="145">
      <c r="A145" s="10"/>
    </row>
    <row r="146">
      <c r="A146" s="10"/>
    </row>
    <row r="147">
      <c r="A147" s="10"/>
    </row>
    <row r="148">
      <c r="A148" s="10"/>
    </row>
    <row r="149">
      <c r="A149" s="10"/>
    </row>
    <row r="150">
      <c r="A150" s="10"/>
    </row>
    <row r="151">
      <c r="A151" s="10"/>
    </row>
    <row r="152">
      <c r="A152" s="10"/>
    </row>
    <row r="153">
      <c r="A153" s="10"/>
    </row>
    <row r="154">
      <c r="A154" s="10"/>
    </row>
    <row r="155">
      <c r="A155" s="10"/>
    </row>
    <row r="156">
      <c r="A156" s="10"/>
    </row>
    <row r="157">
      <c r="A157" s="10"/>
    </row>
    <row r="158">
      <c r="A158" s="10"/>
    </row>
    <row r="159">
      <c r="A159" s="10"/>
    </row>
    <row r="160">
      <c r="A160" s="10"/>
    </row>
    <row r="161">
      <c r="A161" s="10"/>
    </row>
    <row r="162">
      <c r="A162" s="10"/>
    </row>
    <row r="163">
      <c r="A163" s="10"/>
    </row>
    <row r="164">
      <c r="A164" s="10"/>
    </row>
    <row r="165">
      <c r="A165" s="10"/>
    </row>
    <row r="166">
      <c r="A166" s="10"/>
    </row>
    <row r="167">
      <c r="A167" s="10"/>
    </row>
    <row r="168">
      <c r="A168" s="10"/>
    </row>
    <row r="169">
      <c r="A169" s="10"/>
    </row>
    <row r="170">
      <c r="A170" s="10"/>
    </row>
    <row r="171">
      <c r="A171" s="10"/>
    </row>
    <row r="172">
      <c r="A172" s="10"/>
    </row>
    <row r="173">
      <c r="A173" s="10"/>
    </row>
    <row r="174">
      <c r="A174" s="10"/>
    </row>
    <row r="175">
      <c r="A175" s="10"/>
    </row>
    <row r="176">
      <c r="A176" s="10"/>
    </row>
    <row r="177">
      <c r="A177" s="10"/>
    </row>
    <row r="178">
      <c r="A178" s="10"/>
    </row>
    <row r="179">
      <c r="A179" s="10"/>
    </row>
    <row r="180">
      <c r="A180" s="10"/>
    </row>
    <row r="181">
      <c r="A181" s="10"/>
    </row>
    <row r="182">
      <c r="A182" s="10"/>
    </row>
    <row r="183">
      <c r="A183" s="10"/>
    </row>
    <row r="184">
      <c r="A184" s="10"/>
    </row>
    <row r="185">
      <c r="A185" s="10"/>
    </row>
    <row r="186">
      <c r="A186" s="10"/>
    </row>
    <row r="187">
      <c r="A187" s="10"/>
    </row>
    <row r="188">
      <c r="A188" s="10"/>
    </row>
    <row r="189">
      <c r="A189" s="10"/>
    </row>
    <row r="190">
      <c r="A190" s="10"/>
    </row>
    <row r="191">
      <c r="A191" s="10"/>
    </row>
    <row r="192">
      <c r="A192" s="10"/>
    </row>
    <row r="193">
      <c r="A193" s="10"/>
    </row>
    <row r="194">
      <c r="A194" s="10"/>
    </row>
    <row r="195">
      <c r="A195" s="10"/>
    </row>
    <row r="196">
      <c r="A196" s="10"/>
    </row>
    <row r="197">
      <c r="A197" s="10"/>
    </row>
    <row r="198">
      <c r="A198" s="10"/>
    </row>
    <row r="199">
      <c r="A199" s="10"/>
    </row>
    <row r="200">
      <c r="A200" s="10"/>
    </row>
    <row r="201">
      <c r="A201" s="10"/>
    </row>
    <row r="202">
      <c r="A202" s="10"/>
    </row>
    <row r="203">
      <c r="A203" s="10"/>
    </row>
    <row r="204">
      <c r="A204" s="10"/>
    </row>
    <row r="205">
      <c r="A205" s="10"/>
    </row>
    <row r="206">
      <c r="A206" s="10"/>
    </row>
    <row r="207">
      <c r="A207" s="10"/>
    </row>
    <row r="208">
      <c r="A208" s="10"/>
    </row>
    <row r="209">
      <c r="A209" s="10"/>
    </row>
    <row r="210">
      <c r="A210" s="10"/>
    </row>
    <row r="211">
      <c r="A211" s="10"/>
    </row>
    <row r="212">
      <c r="A212" s="10"/>
    </row>
    <row r="213">
      <c r="A213" s="10"/>
    </row>
    <row r="214">
      <c r="A214" s="10"/>
    </row>
    <row r="215">
      <c r="A215" s="10"/>
    </row>
    <row r="216">
      <c r="A216" s="10"/>
    </row>
    <row r="217">
      <c r="A217" s="10"/>
    </row>
    <row r="218">
      <c r="A218" s="10"/>
    </row>
    <row r="219">
      <c r="A219" s="10"/>
    </row>
    <row r="220">
      <c r="A220" s="10"/>
    </row>
    <row r="221">
      <c r="A221" s="10"/>
    </row>
    <row r="222">
      <c r="A222" s="10"/>
    </row>
    <row r="223">
      <c r="A223" s="10"/>
    </row>
    <row r="224">
      <c r="A224" s="10"/>
    </row>
    <row r="225">
      <c r="A225" s="10"/>
    </row>
    <row r="226">
      <c r="A226" s="10"/>
    </row>
    <row r="227">
      <c r="A227" s="10"/>
    </row>
    <row r="228">
      <c r="A228" s="10"/>
    </row>
    <row r="229">
      <c r="A229" s="10"/>
    </row>
    <row r="230">
      <c r="A230" s="10"/>
    </row>
    <row r="231">
      <c r="A231" s="10"/>
    </row>
    <row r="232">
      <c r="A232" s="10"/>
    </row>
    <row r="233">
      <c r="A233" s="10"/>
    </row>
    <row r="234">
      <c r="A234" s="10"/>
    </row>
    <row r="235">
      <c r="A235" s="10"/>
    </row>
    <row r="236">
      <c r="A236" s="10"/>
    </row>
    <row r="237">
      <c r="A237" s="10"/>
    </row>
    <row r="238">
      <c r="A238" s="10"/>
    </row>
    <row r="239">
      <c r="A239" s="10"/>
    </row>
    <row r="240">
      <c r="A240" s="10"/>
    </row>
    <row r="241">
      <c r="A241" s="10"/>
    </row>
    <row r="242">
      <c r="A242" s="10"/>
    </row>
    <row r="243">
      <c r="A243" s="10"/>
    </row>
    <row r="244">
      <c r="A244" s="10"/>
    </row>
    <row r="245">
      <c r="A245" s="10"/>
    </row>
    <row r="246">
      <c r="A246" s="10"/>
    </row>
    <row r="247">
      <c r="A247" s="10"/>
    </row>
    <row r="248">
      <c r="A248" s="10"/>
    </row>
    <row r="249">
      <c r="A249" s="10"/>
    </row>
    <row r="250">
      <c r="A250" s="10"/>
    </row>
    <row r="251">
      <c r="A251" s="10"/>
    </row>
    <row r="252">
      <c r="A252" s="10"/>
    </row>
    <row r="253">
      <c r="A253" s="10"/>
    </row>
    <row r="254">
      <c r="A254" s="10"/>
    </row>
    <row r="255">
      <c r="A255" s="10"/>
    </row>
    <row r="256">
      <c r="A256" s="10"/>
    </row>
    <row r="257">
      <c r="A257" s="10"/>
    </row>
    <row r="258">
      <c r="A258" s="10"/>
    </row>
    <row r="259">
      <c r="A259" s="10"/>
    </row>
    <row r="260">
      <c r="A260" s="10"/>
    </row>
    <row r="261">
      <c r="A261" s="10"/>
    </row>
    <row r="262">
      <c r="A262" s="10"/>
    </row>
    <row r="263">
      <c r="A263" s="10"/>
    </row>
    <row r="264">
      <c r="A264" s="10"/>
    </row>
    <row r="265">
      <c r="A265" s="10"/>
    </row>
    <row r="266">
      <c r="A266" s="10"/>
    </row>
    <row r="267">
      <c r="A267" s="10"/>
    </row>
    <row r="268">
      <c r="A268" s="10"/>
    </row>
    <row r="269">
      <c r="A269" s="10"/>
    </row>
    <row r="270">
      <c r="A270" s="10"/>
    </row>
    <row r="271">
      <c r="A271" s="10"/>
    </row>
    <row r="272">
      <c r="A272" s="10"/>
    </row>
    <row r="273">
      <c r="A273" s="10"/>
    </row>
    <row r="274">
      <c r="A274" s="10"/>
    </row>
    <row r="275">
      <c r="A275" s="10"/>
    </row>
    <row r="276">
      <c r="A276" s="10"/>
    </row>
    <row r="277">
      <c r="A277" s="10"/>
    </row>
    <row r="278">
      <c r="A278" s="10"/>
    </row>
    <row r="279">
      <c r="A279" s="10"/>
    </row>
    <row r="280">
      <c r="A280" s="10"/>
    </row>
    <row r="281">
      <c r="A281" s="10"/>
    </row>
    <row r="282">
      <c r="A282" s="10"/>
    </row>
    <row r="283">
      <c r="A283" s="10"/>
    </row>
    <row r="284">
      <c r="A284" s="10"/>
    </row>
    <row r="285">
      <c r="A285" s="10"/>
    </row>
    <row r="286">
      <c r="A286" s="10"/>
    </row>
    <row r="287">
      <c r="A287" s="10"/>
    </row>
    <row r="288">
      <c r="A288" s="10"/>
    </row>
    <row r="289">
      <c r="A289" s="10"/>
    </row>
    <row r="290">
      <c r="A290" s="10"/>
    </row>
    <row r="291">
      <c r="A291" s="10"/>
    </row>
    <row r="292">
      <c r="A292" s="10"/>
    </row>
    <row r="293">
      <c r="A293" s="10"/>
    </row>
    <row r="294">
      <c r="A294" s="10"/>
    </row>
    <row r="295">
      <c r="A295" s="10"/>
    </row>
    <row r="296">
      <c r="A296" s="10"/>
    </row>
    <row r="297">
      <c r="A297" s="10"/>
    </row>
    <row r="298">
      <c r="A298" s="10"/>
    </row>
    <row r="299">
      <c r="A299" s="10"/>
    </row>
    <row r="300">
      <c r="A300" s="10"/>
    </row>
    <row r="301">
      <c r="A301" s="10"/>
    </row>
    <row r="302">
      <c r="A302" s="10"/>
    </row>
    <row r="303">
      <c r="A303" s="10"/>
    </row>
    <row r="304">
      <c r="A304" s="10"/>
    </row>
    <row r="305">
      <c r="A305" s="10"/>
    </row>
    <row r="306">
      <c r="A306" s="10"/>
    </row>
    <row r="307">
      <c r="A307" s="10"/>
    </row>
    <row r="308">
      <c r="A308" s="10"/>
    </row>
    <row r="309">
      <c r="A309" s="10"/>
    </row>
    <row r="310">
      <c r="A310" s="10"/>
    </row>
    <row r="311">
      <c r="A311" s="10"/>
    </row>
    <row r="312">
      <c r="A312" s="10"/>
    </row>
    <row r="313">
      <c r="A313" s="10"/>
    </row>
    <row r="314">
      <c r="A314" s="10"/>
    </row>
    <row r="315">
      <c r="A315" s="10"/>
    </row>
    <row r="316">
      <c r="A316" s="10"/>
    </row>
    <row r="317">
      <c r="A317" s="10"/>
    </row>
    <row r="318">
      <c r="A318" s="10"/>
    </row>
    <row r="319">
      <c r="A319" s="10"/>
    </row>
    <row r="320">
      <c r="A320" s="10"/>
    </row>
    <row r="321">
      <c r="A321" s="10"/>
    </row>
    <row r="322">
      <c r="A322" s="10"/>
    </row>
    <row r="323">
      <c r="A323" s="10"/>
    </row>
    <row r="324">
      <c r="A324" s="10"/>
    </row>
    <row r="325">
      <c r="A325" s="10"/>
    </row>
    <row r="326">
      <c r="A326" s="10"/>
    </row>
    <row r="327">
      <c r="A327" s="10"/>
    </row>
    <row r="328">
      <c r="A328" s="10"/>
    </row>
    <row r="329">
      <c r="A329" s="10"/>
    </row>
    <row r="330">
      <c r="A330" s="10"/>
    </row>
    <row r="331">
      <c r="A331" s="10"/>
    </row>
    <row r="332">
      <c r="A332" s="10"/>
    </row>
    <row r="333">
      <c r="A333" s="10"/>
    </row>
    <row r="334">
      <c r="A334" s="10"/>
    </row>
    <row r="335">
      <c r="A335" s="10"/>
    </row>
    <row r="336">
      <c r="A336" s="10"/>
    </row>
    <row r="337">
      <c r="A337" s="10"/>
    </row>
    <row r="338">
      <c r="A338" s="10"/>
    </row>
    <row r="339">
      <c r="A339" s="10"/>
    </row>
    <row r="340">
      <c r="A340" s="10"/>
    </row>
    <row r="341">
      <c r="A341" s="10"/>
    </row>
    <row r="342">
      <c r="A342" s="10"/>
    </row>
    <row r="343">
      <c r="A343" s="10"/>
    </row>
    <row r="344">
      <c r="A344" s="10"/>
    </row>
    <row r="345">
      <c r="A345" s="10"/>
    </row>
    <row r="346">
      <c r="A346" s="10"/>
    </row>
    <row r="347">
      <c r="A347" s="10"/>
    </row>
    <row r="348">
      <c r="A348" s="10"/>
    </row>
    <row r="349">
      <c r="A349" s="10"/>
    </row>
    <row r="350">
      <c r="A350" s="10"/>
    </row>
    <row r="351">
      <c r="A351" s="10"/>
    </row>
    <row r="352">
      <c r="A352" s="10"/>
    </row>
    <row r="353">
      <c r="A353" s="10"/>
    </row>
    <row r="354">
      <c r="A354" s="10"/>
    </row>
    <row r="355">
      <c r="A355" s="10"/>
    </row>
    <row r="356">
      <c r="A356" s="10"/>
    </row>
    <row r="357">
      <c r="A357" s="10"/>
    </row>
    <row r="358">
      <c r="A358" s="10"/>
    </row>
    <row r="359">
      <c r="A359" s="10"/>
    </row>
    <row r="360">
      <c r="A360" s="10"/>
    </row>
    <row r="361">
      <c r="A361" s="10"/>
    </row>
    <row r="362">
      <c r="A362" s="10"/>
    </row>
    <row r="363">
      <c r="A363" s="10"/>
    </row>
    <row r="364">
      <c r="A364" s="10"/>
    </row>
    <row r="365">
      <c r="A365" s="10"/>
    </row>
    <row r="366">
      <c r="A366" s="10"/>
    </row>
    <row r="367">
      <c r="A367" s="10"/>
    </row>
    <row r="368">
      <c r="A368" s="10"/>
    </row>
    <row r="369">
      <c r="A369" s="10"/>
    </row>
    <row r="370">
      <c r="A370" s="10"/>
    </row>
    <row r="371">
      <c r="A371" s="10"/>
    </row>
    <row r="372">
      <c r="A372" s="10"/>
    </row>
    <row r="373">
      <c r="A373" s="10"/>
    </row>
    <row r="374">
      <c r="A374" s="10"/>
    </row>
    <row r="375">
      <c r="A375" s="10"/>
    </row>
    <row r="376">
      <c r="A376" s="10"/>
    </row>
    <row r="377">
      <c r="A377" s="10"/>
    </row>
    <row r="378">
      <c r="A378" s="10"/>
    </row>
    <row r="379">
      <c r="A379" s="10"/>
    </row>
    <row r="380">
      <c r="A380" s="10"/>
    </row>
    <row r="381">
      <c r="A381" s="10"/>
    </row>
    <row r="382">
      <c r="A382" s="10"/>
    </row>
    <row r="383">
      <c r="A383" s="10"/>
    </row>
    <row r="384">
      <c r="A384" s="10"/>
    </row>
    <row r="385">
      <c r="A385" s="10"/>
    </row>
    <row r="386">
      <c r="A386" s="10"/>
    </row>
    <row r="387">
      <c r="A387" s="10"/>
    </row>
    <row r="388">
      <c r="A388" s="10"/>
    </row>
    <row r="389">
      <c r="A389" s="10"/>
    </row>
    <row r="390">
      <c r="A390" s="10"/>
    </row>
    <row r="391">
      <c r="A391" s="10"/>
    </row>
    <row r="392">
      <c r="A392" s="10"/>
    </row>
    <row r="393">
      <c r="A393" s="10"/>
    </row>
    <row r="394">
      <c r="A394" s="10"/>
    </row>
    <row r="395">
      <c r="A395" s="10"/>
    </row>
    <row r="396">
      <c r="A396" s="10"/>
    </row>
    <row r="397">
      <c r="A397" s="10"/>
    </row>
    <row r="398">
      <c r="A398" s="10"/>
    </row>
    <row r="399">
      <c r="A399" s="10"/>
    </row>
    <row r="400">
      <c r="A400" s="10"/>
    </row>
    <row r="401">
      <c r="A401" s="10"/>
    </row>
    <row r="402">
      <c r="A402" s="10"/>
    </row>
    <row r="403">
      <c r="A403" s="10"/>
    </row>
    <row r="404">
      <c r="A404" s="10"/>
    </row>
    <row r="405">
      <c r="A405" s="10"/>
    </row>
    <row r="406">
      <c r="A406" s="10"/>
    </row>
    <row r="407">
      <c r="A407" s="10"/>
    </row>
    <row r="408">
      <c r="A408" s="10"/>
    </row>
    <row r="409">
      <c r="A409" s="10"/>
    </row>
    <row r="410">
      <c r="A410" s="10"/>
    </row>
    <row r="411">
      <c r="A411" s="10"/>
    </row>
    <row r="412">
      <c r="A412" s="10"/>
    </row>
    <row r="413">
      <c r="A413" s="10"/>
    </row>
    <row r="414">
      <c r="A414" s="10"/>
    </row>
    <row r="415">
      <c r="A415" s="10"/>
    </row>
    <row r="416">
      <c r="A416" s="10"/>
    </row>
    <row r="417">
      <c r="A417" s="10"/>
    </row>
    <row r="418">
      <c r="A418" s="10"/>
    </row>
    <row r="419">
      <c r="A419" s="10"/>
    </row>
    <row r="420">
      <c r="A420" s="10"/>
    </row>
    <row r="421">
      <c r="A421" s="10"/>
    </row>
    <row r="422">
      <c r="A422" s="10"/>
    </row>
    <row r="423">
      <c r="A423" s="10"/>
    </row>
    <row r="424">
      <c r="A424" s="10"/>
    </row>
    <row r="425">
      <c r="A425" s="10"/>
    </row>
    <row r="426">
      <c r="A426" s="10"/>
    </row>
    <row r="427">
      <c r="A427" s="10"/>
    </row>
    <row r="428">
      <c r="A428" s="10"/>
    </row>
    <row r="429">
      <c r="A429" s="10"/>
    </row>
    <row r="430">
      <c r="A430" s="10"/>
    </row>
    <row r="431">
      <c r="A431" s="10"/>
    </row>
    <row r="432">
      <c r="A432" s="10"/>
    </row>
    <row r="433">
      <c r="A433" s="10"/>
    </row>
    <row r="434">
      <c r="A434" s="10"/>
    </row>
    <row r="435">
      <c r="A435" s="10"/>
    </row>
    <row r="436">
      <c r="A436" s="10"/>
    </row>
    <row r="437">
      <c r="A437" s="10"/>
    </row>
    <row r="438">
      <c r="A438" s="10"/>
    </row>
    <row r="439">
      <c r="A439" s="10"/>
    </row>
    <row r="440">
      <c r="A440" s="10"/>
    </row>
    <row r="441">
      <c r="A441" s="10"/>
    </row>
    <row r="442">
      <c r="A442" s="10"/>
    </row>
    <row r="443">
      <c r="A443" s="10"/>
    </row>
    <row r="444">
      <c r="A444" s="10"/>
    </row>
    <row r="445">
      <c r="A445" s="10"/>
    </row>
    <row r="446">
      <c r="A446" s="10"/>
    </row>
    <row r="447">
      <c r="A447" s="10"/>
    </row>
    <row r="448">
      <c r="A448" s="10"/>
    </row>
    <row r="449">
      <c r="A449" s="10"/>
    </row>
    <row r="450">
      <c r="A450" s="10"/>
    </row>
    <row r="451">
      <c r="A451" s="10"/>
    </row>
    <row r="452">
      <c r="A452" s="10"/>
    </row>
    <row r="453">
      <c r="A453" s="10"/>
    </row>
    <row r="454">
      <c r="A454" s="10"/>
    </row>
    <row r="455">
      <c r="A455" s="10"/>
    </row>
    <row r="456">
      <c r="A456" s="10"/>
    </row>
    <row r="457">
      <c r="A457" s="10"/>
    </row>
    <row r="458">
      <c r="A458" s="10"/>
    </row>
    <row r="459">
      <c r="A459" s="10"/>
    </row>
    <row r="460">
      <c r="A460" s="10"/>
    </row>
    <row r="461">
      <c r="A461" s="10"/>
    </row>
    <row r="462">
      <c r="A462" s="10"/>
    </row>
    <row r="463">
      <c r="A463" s="10"/>
    </row>
    <row r="464">
      <c r="A464" s="10"/>
    </row>
    <row r="465">
      <c r="A465" s="10"/>
    </row>
    <row r="466">
      <c r="A466" s="10"/>
    </row>
    <row r="467">
      <c r="A467" s="10"/>
    </row>
    <row r="468">
      <c r="A468" s="10"/>
    </row>
    <row r="469">
      <c r="A469" s="10"/>
    </row>
    <row r="470">
      <c r="A470" s="10"/>
    </row>
    <row r="471">
      <c r="A471" s="10"/>
    </row>
    <row r="472">
      <c r="A472" s="10"/>
    </row>
    <row r="473">
      <c r="A473" s="10"/>
    </row>
    <row r="474">
      <c r="A474" s="10"/>
    </row>
    <row r="475">
      <c r="A475" s="10"/>
    </row>
    <row r="476">
      <c r="A476" s="10"/>
    </row>
    <row r="477">
      <c r="A477" s="10"/>
    </row>
    <row r="478">
      <c r="A478" s="10"/>
    </row>
    <row r="479">
      <c r="A479" s="10"/>
    </row>
    <row r="480">
      <c r="A480" s="10"/>
    </row>
    <row r="481">
      <c r="A481" s="10"/>
    </row>
    <row r="482">
      <c r="A482" s="10"/>
    </row>
    <row r="483">
      <c r="A483" s="10"/>
    </row>
    <row r="484">
      <c r="A484" s="10"/>
    </row>
    <row r="485">
      <c r="A485" s="10"/>
    </row>
    <row r="486">
      <c r="A486" s="10"/>
    </row>
    <row r="487">
      <c r="A487" s="10"/>
    </row>
    <row r="488">
      <c r="A488" s="10"/>
    </row>
    <row r="489">
      <c r="A489" s="10"/>
    </row>
    <row r="490">
      <c r="A490" s="10"/>
    </row>
    <row r="491">
      <c r="A491" s="10"/>
    </row>
    <row r="492">
      <c r="A492" s="10"/>
    </row>
    <row r="493">
      <c r="A493" s="10"/>
    </row>
    <row r="494">
      <c r="A494" s="10"/>
    </row>
    <row r="495">
      <c r="A495" s="10"/>
    </row>
    <row r="496">
      <c r="A496" s="10"/>
    </row>
    <row r="497">
      <c r="A497" s="10"/>
    </row>
    <row r="498">
      <c r="A498" s="10"/>
    </row>
    <row r="499">
      <c r="A499" s="10"/>
    </row>
    <row r="500">
      <c r="A500" s="10"/>
    </row>
    <row r="501">
      <c r="A501" s="10"/>
    </row>
    <row r="502">
      <c r="A502" s="10"/>
    </row>
    <row r="503">
      <c r="A503" s="10"/>
    </row>
    <row r="504">
      <c r="A504" s="10"/>
    </row>
    <row r="505">
      <c r="A505" s="10"/>
    </row>
    <row r="506">
      <c r="A506" s="10"/>
    </row>
    <row r="507">
      <c r="A507" s="10"/>
    </row>
    <row r="508">
      <c r="A508" s="10"/>
    </row>
    <row r="509">
      <c r="A509" s="10"/>
    </row>
    <row r="510">
      <c r="A510" s="10"/>
    </row>
    <row r="511">
      <c r="A511" s="10"/>
    </row>
    <row r="512">
      <c r="A512" s="10"/>
    </row>
    <row r="513">
      <c r="A513" s="10"/>
    </row>
    <row r="514">
      <c r="A514" s="10"/>
    </row>
    <row r="515">
      <c r="A515" s="10"/>
    </row>
    <row r="516">
      <c r="A516" s="10"/>
    </row>
    <row r="517">
      <c r="A517" s="10"/>
    </row>
    <row r="518">
      <c r="A518" s="10"/>
    </row>
    <row r="519">
      <c r="A519" s="10"/>
    </row>
    <row r="520">
      <c r="A520" s="10"/>
    </row>
    <row r="521">
      <c r="A521" s="10"/>
    </row>
    <row r="522">
      <c r="A522" s="10"/>
    </row>
    <row r="523">
      <c r="A523" s="10"/>
    </row>
    <row r="524">
      <c r="A524" s="10"/>
    </row>
    <row r="525">
      <c r="A525" s="10"/>
    </row>
    <row r="526">
      <c r="A526" s="10"/>
    </row>
    <row r="527">
      <c r="A527" s="10"/>
    </row>
    <row r="528">
      <c r="A528" s="10"/>
    </row>
    <row r="529">
      <c r="A529" s="10"/>
    </row>
    <row r="530">
      <c r="A530" s="10"/>
    </row>
    <row r="531">
      <c r="A531" s="10"/>
    </row>
    <row r="532">
      <c r="A532" s="10"/>
    </row>
    <row r="533">
      <c r="A533" s="10"/>
    </row>
    <row r="534">
      <c r="A534" s="10"/>
    </row>
    <row r="535">
      <c r="A535" s="10"/>
    </row>
    <row r="536">
      <c r="A536" s="10"/>
    </row>
    <row r="537">
      <c r="A537" s="10"/>
    </row>
    <row r="538">
      <c r="A538" s="10"/>
    </row>
    <row r="539">
      <c r="A539" s="10"/>
    </row>
    <row r="540">
      <c r="A540" s="10"/>
    </row>
    <row r="541">
      <c r="A541" s="10"/>
    </row>
    <row r="542">
      <c r="A542" s="10"/>
    </row>
    <row r="543">
      <c r="A543" s="10"/>
    </row>
    <row r="544">
      <c r="A544" s="10"/>
    </row>
    <row r="545">
      <c r="A545" s="10"/>
    </row>
    <row r="546">
      <c r="A546" s="10"/>
    </row>
    <row r="547">
      <c r="A547" s="10"/>
    </row>
    <row r="548">
      <c r="A548" s="10"/>
    </row>
    <row r="549">
      <c r="A549" s="10"/>
    </row>
    <row r="550">
      <c r="A550" s="10"/>
    </row>
    <row r="551">
      <c r="A551" s="10"/>
    </row>
    <row r="552">
      <c r="A552" s="10"/>
    </row>
    <row r="553">
      <c r="A553" s="10"/>
    </row>
    <row r="554">
      <c r="A554" s="10"/>
    </row>
    <row r="555">
      <c r="A555" s="10"/>
    </row>
    <row r="556">
      <c r="A556" s="10"/>
    </row>
    <row r="557">
      <c r="A557" s="10"/>
    </row>
    <row r="558">
      <c r="A558" s="10"/>
    </row>
    <row r="559">
      <c r="A559" s="10"/>
    </row>
    <row r="560">
      <c r="A560" s="10"/>
    </row>
    <row r="561">
      <c r="A561" s="10"/>
    </row>
    <row r="562">
      <c r="A562" s="10"/>
    </row>
    <row r="563">
      <c r="A563" s="10"/>
    </row>
    <row r="564">
      <c r="A564" s="10"/>
    </row>
    <row r="565">
      <c r="A565" s="10"/>
    </row>
    <row r="566">
      <c r="A566" s="10"/>
    </row>
    <row r="567">
      <c r="A567" s="10"/>
    </row>
    <row r="568">
      <c r="A568" s="10"/>
    </row>
    <row r="569">
      <c r="A569" s="10"/>
    </row>
    <row r="570">
      <c r="A570" s="10"/>
    </row>
    <row r="571">
      <c r="A571" s="10"/>
    </row>
    <row r="572">
      <c r="A572" s="10"/>
    </row>
    <row r="573">
      <c r="A573" s="10"/>
    </row>
    <row r="574">
      <c r="A574" s="10"/>
    </row>
    <row r="575">
      <c r="A575" s="10"/>
    </row>
    <row r="576">
      <c r="A576" s="10"/>
    </row>
    <row r="577">
      <c r="A577" s="10"/>
    </row>
    <row r="578">
      <c r="A578" s="10"/>
    </row>
    <row r="579">
      <c r="A579" s="10"/>
    </row>
    <row r="580">
      <c r="A580" s="10"/>
    </row>
    <row r="581">
      <c r="A581" s="10"/>
    </row>
    <row r="582">
      <c r="A582" s="10"/>
    </row>
    <row r="583">
      <c r="A583" s="10"/>
    </row>
    <row r="584">
      <c r="A584" s="10"/>
    </row>
    <row r="585">
      <c r="A585" s="10"/>
    </row>
    <row r="586">
      <c r="A586" s="10"/>
    </row>
    <row r="587">
      <c r="A587" s="10"/>
    </row>
    <row r="588">
      <c r="A588" s="10"/>
    </row>
    <row r="589">
      <c r="A589" s="10"/>
    </row>
    <row r="590">
      <c r="A590" s="10"/>
    </row>
    <row r="591">
      <c r="A591" s="10"/>
    </row>
    <row r="592">
      <c r="A592" s="10"/>
    </row>
    <row r="593">
      <c r="A593" s="10"/>
    </row>
    <row r="594">
      <c r="A594" s="10"/>
    </row>
    <row r="595">
      <c r="A595" s="10"/>
    </row>
    <row r="596">
      <c r="A596" s="10"/>
    </row>
    <row r="597">
      <c r="A597" s="10"/>
    </row>
    <row r="598">
      <c r="A598" s="10"/>
    </row>
    <row r="599">
      <c r="A599" s="10"/>
    </row>
    <row r="600">
      <c r="A600" s="10"/>
    </row>
    <row r="601">
      <c r="A601" s="10"/>
    </row>
    <row r="602">
      <c r="A602" s="10"/>
    </row>
    <row r="603">
      <c r="A603" s="10"/>
    </row>
    <row r="604">
      <c r="A604" s="10"/>
    </row>
    <row r="605">
      <c r="A605" s="10"/>
    </row>
    <row r="606">
      <c r="A606" s="10"/>
    </row>
    <row r="607">
      <c r="A607" s="10"/>
    </row>
    <row r="608">
      <c r="A608" s="10"/>
    </row>
    <row r="609">
      <c r="A609" s="10"/>
    </row>
    <row r="610">
      <c r="A610" s="10"/>
    </row>
    <row r="611">
      <c r="A611" s="10"/>
    </row>
    <row r="612">
      <c r="A612" s="10"/>
    </row>
    <row r="613">
      <c r="A613" s="10"/>
    </row>
    <row r="614">
      <c r="A614" s="10"/>
    </row>
    <row r="615">
      <c r="A615" s="10"/>
    </row>
    <row r="616">
      <c r="A616" s="10"/>
    </row>
    <row r="617">
      <c r="A617" s="10"/>
    </row>
    <row r="618">
      <c r="A618" s="10"/>
    </row>
    <row r="619">
      <c r="A619" s="10"/>
    </row>
    <row r="620">
      <c r="A620" s="10"/>
    </row>
    <row r="621">
      <c r="A621" s="10"/>
    </row>
    <row r="622">
      <c r="A622" s="10"/>
    </row>
    <row r="623">
      <c r="A623" s="10"/>
    </row>
    <row r="624">
      <c r="A624" s="10"/>
    </row>
    <row r="625">
      <c r="A625" s="10"/>
    </row>
    <row r="626">
      <c r="A626" s="10"/>
    </row>
    <row r="627">
      <c r="A627" s="10"/>
    </row>
    <row r="628">
      <c r="A628" s="10"/>
    </row>
    <row r="629">
      <c r="A629" s="10"/>
    </row>
    <row r="630">
      <c r="A630" s="10"/>
    </row>
    <row r="631">
      <c r="A631" s="10"/>
    </row>
    <row r="632">
      <c r="A632" s="10"/>
    </row>
    <row r="633">
      <c r="A633" s="10"/>
    </row>
    <row r="634">
      <c r="A634" s="10"/>
    </row>
    <row r="635">
      <c r="A635" s="10"/>
    </row>
    <row r="636">
      <c r="A636" s="10"/>
    </row>
    <row r="637">
      <c r="A637" s="10"/>
    </row>
    <row r="638">
      <c r="A638" s="10"/>
    </row>
    <row r="639">
      <c r="A639" s="10"/>
    </row>
    <row r="640">
      <c r="A640" s="10"/>
    </row>
    <row r="641">
      <c r="A641" s="10"/>
    </row>
    <row r="642">
      <c r="A642" s="10"/>
    </row>
    <row r="643">
      <c r="A643" s="10"/>
    </row>
    <row r="644">
      <c r="A644" s="10"/>
    </row>
    <row r="645">
      <c r="A645" s="10"/>
    </row>
    <row r="646">
      <c r="A646" s="10"/>
    </row>
    <row r="647">
      <c r="A647" s="10"/>
    </row>
    <row r="648">
      <c r="A648" s="10"/>
    </row>
    <row r="649">
      <c r="A649" s="10"/>
    </row>
    <row r="650">
      <c r="A650" s="10"/>
    </row>
    <row r="651">
      <c r="A651" s="10"/>
    </row>
    <row r="652">
      <c r="A652" s="10"/>
    </row>
    <row r="653">
      <c r="A653" s="10"/>
    </row>
    <row r="654">
      <c r="A654" s="10"/>
    </row>
    <row r="655">
      <c r="A655" s="10"/>
    </row>
    <row r="656">
      <c r="A656" s="10"/>
    </row>
    <row r="657">
      <c r="A657" s="10"/>
    </row>
    <row r="658">
      <c r="A658" s="10"/>
    </row>
    <row r="659">
      <c r="A659" s="10"/>
    </row>
    <row r="660">
      <c r="A660" s="10"/>
    </row>
    <row r="661">
      <c r="A661" s="10"/>
    </row>
    <row r="662">
      <c r="A662" s="10"/>
    </row>
    <row r="663">
      <c r="A663" s="10"/>
    </row>
    <row r="664">
      <c r="A664" s="10"/>
    </row>
    <row r="665">
      <c r="A665" s="10"/>
    </row>
    <row r="666">
      <c r="A666" s="10"/>
    </row>
    <row r="667">
      <c r="A667" s="10"/>
    </row>
    <row r="668">
      <c r="A668" s="10"/>
    </row>
    <row r="669">
      <c r="A669" s="10"/>
    </row>
    <row r="670">
      <c r="A670" s="10"/>
    </row>
    <row r="671">
      <c r="A671" s="10"/>
    </row>
    <row r="672">
      <c r="A672" s="10"/>
    </row>
    <row r="673">
      <c r="A673" s="10"/>
    </row>
    <row r="674">
      <c r="A674" s="10"/>
    </row>
    <row r="675">
      <c r="A675" s="10"/>
    </row>
    <row r="676">
      <c r="A676" s="10"/>
    </row>
    <row r="677">
      <c r="A677" s="10"/>
    </row>
    <row r="678">
      <c r="A678" s="10"/>
    </row>
    <row r="679">
      <c r="A679" s="10"/>
    </row>
    <row r="680">
      <c r="A680" s="10"/>
    </row>
    <row r="681">
      <c r="A681" s="10"/>
    </row>
    <row r="682">
      <c r="A682" s="10"/>
    </row>
    <row r="683">
      <c r="A683" s="10"/>
    </row>
    <row r="684">
      <c r="A684" s="10"/>
    </row>
    <row r="685">
      <c r="A685" s="10"/>
    </row>
    <row r="686">
      <c r="A686" s="10"/>
    </row>
    <row r="687">
      <c r="A687" s="10"/>
    </row>
    <row r="688">
      <c r="A688" s="10"/>
    </row>
    <row r="689">
      <c r="A689" s="10"/>
    </row>
    <row r="690">
      <c r="A690" s="10"/>
    </row>
    <row r="691">
      <c r="A691" s="10"/>
    </row>
    <row r="692">
      <c r="A692" s="10"/>
    </row>
    <row r="693">
      <c r="A693" s="10"/>
    </row>
    <row r="694">
      <c r="A694" s="10"/>
    </row>
    <row r="695">
      <c r="A695" s="10"/>
    </row>
    <row r="696">
      <c r="A696" s="10"/>
    </row>
    <row r="697">
      <c r="A697" s="10"/>
    </row>
    <row r="698">
      <c r="A698" s="10"/>
    </row>
    <row r="699">
      <c r="A699" s="10"/>
    </row>
    <row r="700">
      <c r="A700" s="10"/>
    </row>
    <row r="701">
      <c r="A701" s="10"/>
    </row>
    <row r="702">
      <c r="A702" s="10"/>
    </row>
    <row r="703">
      <c r="A703" s="10"/>
    </row>
    <row r="704">
      <c r="A704" s="10"/>
    </row>
    <row r="705">
      <c r="A705" s="10"/>
    </row>
    <row r="706">
      <c r="A706" s="10"/>
    </row>
    <row r="707">
      <c r="A707" s="10"/>
    </row>
    <row r="708">
      <c r="A708" s="10"/>
    </row>
    <row r="709">
      <c r="A709" s="10"/>
    </row>
    <row r="710">
      <c r="A710" s="10"/>
    </row>
    <row r="711">
      <c r="A711" s="10"/>
    </row>
    <row r="712">
      <c r="A712" s="10"/>
    </row>
    <row r="713">
      <c r="A713" s="10"/>
    </row>
    <row r="714">
      <c r="A714" s="10"/>
    </row>
    <row r="715">
      <c r="A715" s="10"/>
    </row>
    <row r="716">
      <c r="A716" s="10"/>
    </row>
    <row r="717">
      <c r="A717" s="10"/>
    </row>
    <row r="718">
      <c r="A718" s="10"/>
    </row>
    <row r="719">
      <c r="A719" s="10"/>
    </row>
    <row r="720">
      <c r="A720" s="10"/>
    </row>
    <row r="721">
      <c r="A721" s="10"/>
    </row>
    <row r="722">
      <c r="A722" s="10"/>
    </row>
    <row r="723">
      <c r="A723" s="10"/>
    </row>
    <row r="724">
      <c r="A724" s="10"/>
    </row>
    <row r="725">
      <c r="A725" s="10"/>
    </row>
    <row r="726">
      <c r="A726" s="10"/>
    </row>
    <row r="727">
      <c r="A727" s="10"/>
    </row>
    <row r="728">
      <c r="A728" s="10"/>
    </row>
    <row r="729">
      <c r="A729" s="10"/>
    </row>
    <row r="730">
      <c r="A730" s="10"/>
    </row>
    <row r="731">
      <c r="A731" s="10"/>
    </row>
    <row r="732">
      <c r="A732" s="10"/>
    </row>
    <row r="733">
      <c r="A733" s="10"/>
    </row>
    <row r="734">
      <c r="A734" s="10"/>
    </row>
    <row r="735">
      <c r="A735" s="10"/>
    </row>
    <row r="736">
      <c r="A736" s="10"/>
    </row>
    <row r="737">
      <c r="A737" s="10"/>
    </row>
    <row r="738">
      <c r="A738" s="10"/>
    </row>
    <row r="739">
      <c r="A739" s="10"/>
    </row>
    <row r="740">
      <c r="A740" s="10"/>
    </row>
    <row r="741">
      <c r="A741" s="10"/>
    </row>
    <row r="742">
      <c r="A742" s="10"/>
    </row>
    <row r="743">
      <c r="A743" s="10"/>
    </row>
    <row r="744">
      <c r="A744" s="10"/>
    </row>
    <row r="745">
      <c r="A745" s="10"/>
    </row>
    <row r="746">
      <c r="A746" s="10"/>
    </row>
    <row r="747">
      <c r="A747" s="10"/>
    </row>
    <row r="748">
      <c r="A748" s="10"/>
    </row>
    <row r="749">
      <c r="A749" s="10"/>
    </row>
    <row r="750">
      <c r="A750" s="10"/>
    </row>
    <row r="751">
      <c r="A751" s="10"/>
    </row>
    <row r="752">
      <c r="A752" s="10"/>
    </row>
    <row r="753">
      <c r="A753" s="10"/>
    </row>
    <row r="754">
      <c r="A754" s="10"/>
    </row>
    <row r="755">
      <c r="A755" s="10"/>
    </row>
    <row r="756">
      <c r="A756" s="10"/>
    </row>
    <row r="757">
      <c r="A757" s="10"/>
    </row>
    <row r="758">
      <c r="A758" s="10"/>
    </row>
    <row r="759">
      <c r="A759" s="10"/>
    </row>
    <row r="760">
      <c r="A760" s="10"/>
    </row>
    <row r="761">
      <c r="A761" s="10"/>
    </row>
    <row r="762">
      <c r="A762" s="10"/>
    </row>
    <row r="763">
      <c r="A763" s="10"/>
    </row>
    <row r="764">
      <c r="A764" s="10"/>
    </row>
    <row r="765">
      <c r="A765" s="10"/>
    </row>
    <row r="766">
      <c r="A766" s="10"/>
    </row>
    <row r="767">
      <c r="A767" s="10"/>
    </row>
    <row r="768">
      <c r="A768" s="10"/>
    </row>
    <row r="769">
      <c r="A769" s="10"/>
    </row>
    <row r="770">
      <c r="A770" s="10"/>
    </row>
    <row r="771">
      <c r="A771" s="10"/>
    </row>
    <row r="772">
      <c r="A772" s="10"/>
    </row>
    <row r="773">
      <c r="A773" s="10"/>
    </row>
    <row r="774">
      <c r="A774" s="10"/>
    </row>
    <row r="775">
      <c r="A775" s="10"/>
    </row>
    <row r="776">
      <c r="A776" s="10"/>
    </row>
    <row r="777">
      <c r="A777" s="10"/>
    </row>
    <row r="778">
      <c r="A778" s="10"/>
    </row>
    <row r="779">
      <c r="A779" s="10"/>
    </row>
    <row r="780">
      <c r="A780" s="10"/>
    </row>
    <row r="781">
      <c r="A781" s="10"/>
    </row>
    <row r="782">
      <c r="A782" s="10"/>
    </row>
    <row r="783">
      <c r="A783" s="10"/>
    </row>
    <row r="784">
      <c r="A784" s="10"/>
    </row>
    <row r="785">
      <c r="A785" s="10"/>
    </row>
    <row r="786">
      <c r="A786" s="10"/>
    </row>
    <row r="787">
      <c r="A787" s="10"/>
    </row>
    <row r="788">
      <c r="A788" s="10"/>
    </row>
    <row r="789">
      <c r="A789" s="10"/>
    </row>
    <row r="790">
      <c r="A790" s="10"/>
    </row>
    <row r="791">
      <c r="A791" s="10"/>
    </row>
    <row r="792">
      <c r="A792" s="10"/>
    </row>
    <row r="793">
      <c r="A793" s="10"/>
    </row>
    <row r="794">
      <c r="A794" s="10"/>
    </row>
    <row r="795">
      <c r="A795" s="10"/>
    </row>
    <row r="796">
      <c r="A796" s="10"/>
    </row>
    <row r="797">
      <c r="A797" s="10"/>
    </row>
    <row r="798">
      <c r="A798" s="10"/>
    </row>
    <row r="799">
      <c r="A799" s="10"/>
    </row>
    <row r="800">
      <c r="A800" s="10"/>
    </row>
    <row r="801">
      <c r="A801" s="10"/>
    </row>
    <row r="802">
      <c r="A802" s="10"/>
    </row>
    <row r="803">
      <c r="A803" s="10"/>
    </row>
    <row r="804">
      <c r="A804" s="10"/>
    </row>
    <row r="805">
      <c r="A805" s="10"/>
    </row>
    <row r="806">
      <c r="A806" s="10"/>
    </row>
    <row r="807">
      <c r="A807" s="10"/>
    </row>
    <row r="808">
      <c r="A808" s="10"/>
    </row>
    <row r="809">
      <c r="A809" s="10"/>
    </row>
    <row r="810">
      <c r="A810" s="10"/>
    </row>
    <row r="811">
      <c r="A811" s="10"/>
    </row>
    <row r="812">
      <c r="A812" s="10"/>
    </row>
    <row r="813">
      <c r="A813" s="10"/>
    </row>
    <row r="814">
      <c r="A814" s="10"/>
    </row>
    <row r="815">
      <c r="A815" s="10"/>
    </row>
    <row r="816">
      <c r="A816" s="10"/>
    </row>
    <row r="817">
      <c r="A817" s="10"/>
    </row>
    <row r="818">
      <c r="A818" s="10"/>
    </row>
    <row r="819">
      <c r="A819" s="10"/>
    </row>
    <row r="820">
      <c r="A820" s="10"/>
    </row>
    <row r="821">
      <c r="A821" s="10"/>
    </row>
    <row r="822">
      <c r="A822" s="10"/>
    </row>
    <row r="823">
      <c r="A823" s="10"/>
    </row>
    <row r="824">
      <c r="A824" s="10"/>
    </row>
    <row r="825">
      <c r="A825" s="10"/>
    </row>
    <row r="826">
      <c r="A826" s="10"/>
    </row>
    <row r="827">
      <c r="A827" s="10"/>
    </row>
    <row r="828">
      <c r="A828" s="10"/>
    </row>
    <row r="829">
      <c r="A829" s="10"/>
    </row>
    <row r="830">
      <c r="A830" s="10"/>
    </row>
    <row r="831">
      <c r="A831" s="10"/>
    </row>
    <row r="832">
      <c r="A832" s="10"/>
    </row>
    <row r="833">
      <c r="A833" s="10"/>
    </row>
    <row r="834">
      <c r="A834" s="10"/>
    </row>
    <row r="835">
      <c r="A835" s="10"/>
    </row>
    <row r="836">
      <c r="A836" s="10"/>
    </row>
    <row r="837">
      <c r="A837" s="10"/>
    </row>
    <row r="838">
      <c r="A838" s="10"/>
    </row>
    <row r="839">
      <c r="A839" s="10"/>
    </row>
    <row r="840">
      <c r="A840" s="10"/>
    </row>
    <row r="841">
      <c r="A841" s="10"/>
    </row>
    <row r="842">
      <c r="A842" s="10"/>
    </row>
    <row r="843">
      <c r="A843" s="10"/>
    </row>
    <row r="844">
      <c r="A844" s="10"/>
    </row>
    <row r="845">
      <c r="A845" s="10"/>
    </row>
    <row r="846">
      <c r="A846" s="10"/>
    </row>
    <row r="847">
      <c r="A847" s="10"/>
    </row>
    <row r="848">
      <c r="A848" s="10"/>
    </row>
    <row r="849">
      <c r="A849" s="10"/>
    </row>
    <row r="850">
      <c r="A850" s="10"/>
    </row>
    <row r="851">
      <c r="A851" s="10"/>
    </row>
    <row r="852">
      <c r="A852" s="10"/>
    </row>
    <row r="853">
      <c r="A853" s="10"/>
    </row>
    <row r="854">
      <c r="A854" s="10"/>
    </row>
    <row r="855">
      <c r="A855" s="10"/>
    </row>
    <row r="856">
      <c r="A856" s="10"/>
    </row>
    <row r="857">
      <c r="A857" s="10"/>
    </row>
    <row r="858">
      <c r="A858" s="10"/>
    </row>
    <row r="859">
      <c r="A859" s="10"/>
    </row>
    <row r="860">
      <c r="A860" s="10"/>
    </row>
    <row r="861">
      <c r="A861" s="10"/>
    </row>
    <row r="862">
      <c r="A862" s="10"/>
    </row>
    <row r="863">
      <c r="A863" s="10"/>
    </row>
    <row r="864">
      <c r="A864" s="10"/>
    </row>
    <row r="865">
      <c r="A865" s="10"/>
    </row>
    <row r="866">
      <c r="A866" s="10"/>
    </row>
    <row r="867">
      <c r="A867" s="10"/>
    </row>
    <row r="868">
      <c r="A868" s="10"/>
    </row>
    <row r="869">
      <c r="A869" s="10"/>
    </row>
    <row r="870">
      <c r="A870" s="10"/>
    </row>
    <row r="871">
      <c r="A871" s="10"/>
    </row>
    <row r="872">
      <c r="A872" s="10"/>
    </row>
    <row r="873">
      <c r="A873" s="10"/>
    </row>
    <row r="874">
      <c r="A874" s="10"/>
    </row>
    <row r="875">
      <c r="A875" s="10"/>
    </row>
    <row r="876">
      <c r="A876" s="10"/>
    </row>
    <row r="877">
      <c r="A877" s="10"/>
    </row>
    <row r="878">
      <c r="A878" s="10"/>
    </row>
    <row r="879">
      <c r="A879" s="10"/>
    </row>
    <row r="880">
      <c r="A880" s="10"/>
    </row>
    <row r="881">
      <c r="A881" s="10"/>
    </row>
    <row r="882">
      <c r="A882" s="10"/>
    </row>
    <row r="883">
      <c r="A883" s="10"/>
    </row>
    <row r="884">
      <c r="A884" s="10"/>
    </row>
    <row r="885">
      <c r="A885" s="10"/>
    </row>
    <row r="886">
      <c r="A886" s="10"/>
    </row>
    <row r="887">
      <c r="A887" s="10"/>
    </row>
    <row r="888">
      <c r="A888" s="10"/>
    </row>
    <row r="889">
      <c r="A889" s="10"/>
    </row>
    <row r="890">
      <c r="A890" s="10"/>
    </row>
    <row r="891">
      <c r="A891" s="10"/>
    </row>
    <row r="892">
      <c r="A892" s="10"/>
    </row>
    <row r="893">
      <c r="A893" s="10"/>
    </row>
    <row r="894">
      <c r="A894" s="10"/>
    </row>
    <row r="895">
      <c r="A895" s="10"/>
    </row>
    <row r="896">
      <c r="A896" s="10"/>
    </row>
    <row r="897">
      <c r="A897" s="10"/>
    </row>
    <row r="898">
      <c r="A898" s="10"/>
    </row>
    <row r="899">
      <c r="A899" s="10"/>
    </row>
    <row r="900">
      <c r="A900" s="10"/>
    </row>
    <row r="901">
      <c r="A901" s="10"/>
    </row>
    <row r="902">
      <c r="A902" s="10"/>
    </row>
    <row r="903">
      <c r="A903" s="10"/>
    </row>
    <row r="904">
      <c r="A904" s="10"/>
    </row>
    <row r="905">
      <c r="A905" s="10"/>
    </row>
    <row r="906">
      <c r="A906" s="10"/>
    </row>
    <row r="907">
      <c r="A907" s="10"/>
    </row>
    <row r="908">
      <c r="A908" s="10"/>
    </row>
    <row r="909">
      <c r="A909" s="10"/>
    </row>
    <row r="910">
      <c r="A910" s="10"/>
    </row>
    <row r="911">
      <c r="A911" s="10"/>
    </row>
    <row r="912">
      <c r="A912" s="10"/>
    </row>
    <row r="913">
      <c r="A913" s="10"/>
    </row>
    <row r="914">
      <c r="A914" s="10"/>
    </row>
    <row r="915">
      <c r="A915" s="10"/>
    </row>
    <row r="916">
      <c r="A916" s="10"/>
    </row>
    <row r="917">
      <c r="A917" s="10"/>
    </row>
    <row r="918">
      <c r="A918" s="10"/>
    </row>
    <row r="919">
      <c r="A919" s="10"/>
    </row>
    <row r="920">
      <c r="A920" s="10"/>
    </row>
    <row r="921">
      <c r="A921" s="10"/>
    </row>
    <row r="922">
      <c r="A922" s="10"/>
    </row>
    <row r="923">
      <c r="A923" s="10"/>
    </row>
    <row r="924">
      <c r="A924" s="10"/>
    </row>
    <row r="925">
      <c r="A925" s="10"/>
    </row>
    <row r="926">
      <c r="A926" s="10"/>
    </row>
    <row r="927">
      <c r="A927" s="10"/>
    </row>
    <row r="928">
      <c r="A928" s="10"/>
    </row>
    <row r="929">
      <c r="A929" s="10"/>
    </row>
    <row r="930">
      <c r="A930" s="10"/>
    </row>
    <row r="931">
      <c r="A931" s="10"/>
    </row>
    <row r="932">
      <c r="A932" s="10"/>
    </row>
    <row r="933">
      <c r="A933" s="10"/>
    </row>
    <row r="934">
      <c r="A934" s="10"/>
    </row>
    <row r="935">
      <c r="A935" s="10"/>
    </row>
    <row r="936">
      <c r="A936" s="10"/>
    </row>
    <row r="937">
      <c r="A937" s="10"/>
    </row>
    <row r="938">
      <c r="A938" s="10"/>
    </row>
    <row r="939">
      <c r="A939" s="10"/>
    </row>
    <row r="940">
      <c r="A940" s="10"/>
    </row>
    <row r="941">
      <c r="A941" s="10"/>
    </row>
    <row r="942">
      <c r="A942" s="10"/>
    </row>
    <row r="943">
      <c r="A943" s="10"/>
    </row>
    <row r="944">
      <c r="A944" s="10"/>
    </row>
    <row r="945">
      <c r="A945" s="10"/>
    </row>
    <row r="946">
      <c r="A946" s="10"/>
    </row>
    <row r="947">
      <c r="A947" s="10"/>
    </row>
    <row r="948">
      <c r="A948" s="10"/>
    </row>
    <row r="949">
      <c r="A949" s="10"/>
    </row>
    <row r="950">
      <c r="A950" s="10"/>
    </row>
    <row r="951">
      <c r="A951" s="10"/>
    </row>
    <row r="952">
      <c r="A952" s="10"/>
    </row>
    <row r="953">
      <c r="A953" s="10"/>
    </row>
    <row r="954">
      <c r="A954" s="10"/>
    </row>
    <row r="955">
      <c r="A955" s="10"/>
    </row>
    <row r="956">
      <c r="A956" s="10"/>
    </row>
    <row r="957">
      <c r="A957" s="10"/>
    </row>
    <row r="958">
      <c r="A958" s="10"/>
    </row>
    <row r="959">
      <c r="A959" s="10"/>
    </row>
    <row r="960">
      <c r="A960" s="10"/>
    </row>
    <row r="961">
      <c r="A961" s="10"/>
    </row>
    <row r="962">
      <c r="A962" s="10"/>
    </row>
    <row r="963">
      <c r="A963" s="10"/>
    </row>
    <row r="964">
      <c r="A964" s="10"/>
    </row>
    <row r="965">
      <c r="A965" s="10"/>
    </row>
    <row r="966">
      <c r="A966" s="10"/>
    </row>
    <row r="967">
      <c r="A967" s="10"/>
    </row>
    <row r="968">
      <c r="A968" s="10"/>
    </row>
    <row r="969">
      <c r="A969" s="10"/>
    </row>
    <row r="970">
      <c r="A970" s="10"/>
    </row>
    <row r="971">
      <c r="A971" s="10"/>
    </row>
    <row r="972">
      <c r="A972" s="10"/>
    </row>
    <row r="973">
      <c r="A973" s="10"/>
    </row>
    <row r="974">
      <c r="A974" s="10"/>
    </row>
    <row r="975">
      <c r="A975" s="10"/>
    </row>
    <row r="976">
      <c r="A976" s="10"/>
    </row>
    <row r="977">
      <c r="A977" s="10"/>
    </row>
    <row r="978">
      <c r="A978" s="10"/>
    </row>
    <row r="979">
      <c r="A979" s="10"/>
    </row>
    <row r="980">
      <c r="A980" s="10"/>
    </row>
    <row r="981">
      <c r="A981" s="10"/>
    </row>
    <row r="982">
      <c r="A982" s="10"/>
    </row>
    <row r="983">
      <c r="A983" s="10"/>
    </row>
    <row r="984">
      <c r="A984" s="10"/>
    </row>
    <row r="985">
      <c r="A985" s="10"/>
    </row>
    <row r="986">
      <c r="A986" s="10"/>
    </row>
    <row r="987">
      <c r="A987" s="10"/>
    </row>
    <row r="988">
      <c r="A988" s="10"/>
    </row>
    <row r="989">
      <c r="A989" s="10"/>
    </row>
    <row r="990">
      <c r="A990" s="10"/>
    </row>
    <row r="991">
      <c r="A991" s="10"/>
    </row>
    <row r="992">
      <c r="A992" s="10"/>
    </row>
    <row r="993">
      <c r="A993" s="10"/>
    </row>
    <row r="994">
      <c r="A994" s="10"/>
    </row>
    <row r="995">
      <c r="A995" s="10"/>
    </row>
    <row r="996">
      <c r="A996" s="10"/>
    </row>
    <row r="997">
      <c r="A997" s="10"/>
    </row>
    <row r="998">
      <c r="A998" s="10"/>
    </row>
    <row r="999">
      <c r="A999" s="10"/>
    </row>
    <row r="1000">
      <c r="A1000" s="10"/>
    </row>
  </sheetData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84" t="s">
        <v>1654</v>
      </c>
      <c r="B1" s="223"/>
      <c r="C1" s="184" t="s">
        <v>1</v>
      </c>
    </row>
    <row r="2">
      <c r="A2" s="11" t="s">
        <v>4859</v>
      </c>
      <c r="B2" s="223"/>
      <c r="C2" s="11">
        <v>7100.0</v>
      </c>
    </row>
    <row r="3">
      <c r="A3" s="11" t="s">
        <v>3840</v>
      </c>
      <c r="B3" s="223"/>
      <c r="C3" s="11">
        <v>2345.0</v>
      </c>
    </row>
    <row r="4">
      <c r="A4" s="11" t="s">
        <v>3841</v>
      </c>
      <c r="B4" s="223"/>
      <c r="C4" s="11">
        <v>2345.0</v>
      </c>
    </row>
    <row r="5">
      <c r="A5" s="11" t="s">
        <v>3842</v>
      </c>
      <c r="B5" s="223"/>
      <c r="C5" s="11">
        <v>5458.0</v>
      </c>
    </row>
    <row r="6">
      <c r="A6" s="11" t="s">
        <v>3843</v>
      </c>
      <c r="B6" s="223"/>
      <c r="C6" s="11">
        <v>6675.0</v>
      </c>
    </row>
    <row r="7">
      <c r="A7" s="11" t="s">
        <v>3844</v>
      </c>
      <c r="B7" s="223"/>
      <c r="C7" s="9">
        <v>6729.0</v>
      </c>
      <c r="D7" s="11">
        <v>6671.0</v>
      </c>
    </row>
    <row r="8">
      <c r="A8" s="11" t="s">
        <v>3853</v>
      </c>
      <c r="B8" s="223"/>
      <c r="C8" s="11">
        <v>6132.0</v>
      </c>
      <c r="G8" s="18">
        <f>9.6%*231</f>
        <v>22.176</v>
      </c>
    </row>
    <row r="9">
      <c r="A9" s="11" t="s">
        <v>3854</v>
      </c>
      <c r="B9" s="223"/>
      <c r="C9" s="11">
        <v>6132.0</v>
      </c>
      <c r="G9" s="18">
        <f>231*12%</f>
        <v>27.72</v>
      </c>
    </row>
    <row r="10">
      <c r="A10" s="11" t="s">
        <v>3855</v>
      </c>
      <c r="B10" s="223"/>
      <c r="C10" s="11">
        <v>6732.0</v>
      </c>
    </row>
    <row r="11">
      <c r="A11" s="11" t="s">
        <v>3856</v>
      </c>
      <c r="B11" s="223"/>
      <c r="C11" s="11">
        <v>6732.0</v>
      </c>
    </row>
    <row r="12">
      <c r="A12" s="11" t="s">
        <v>3857</v>
      </c>
      <c r="B12" s="223"/>
      <c r="C12" s="11">
        <v>6133.0</v>
      </c>
    </row>
    <row r="13">
      <c r="A13" s="11" t="s">
        <v>3858</v>
      </c>
      <c r="B13" s="223"/>
      <c r="C13" s="11">
        <v>7104.0</v>
      </c>
    </row>
    <row r="14">
      <c r="A14" s="11" t="s">
        <v>3859</v>
      </c>
      <c r="B14" s="223"/>
      <c r="C14" s="11">
        <v>6133.0</v>
      </c>
    </row>
    <row r="15">
      <c r="A15" s="11" t="s">
        <v>3860</v>
      </c>
      <c r="B15" s="223"/>
      <c r="C15" s="11">
        <v>5458.0</v>
      </c>
    </row>
    <row r="16">
      <c r="A16" s="11" t="s">
        <v>3861</v>
      </c>
      <c r="B16" s="223"/>
      <c r="C16" s="11">
        <v>7055.0</v>
      </c>
    </row>
    <row r="17">
      <c r="A17" s="11" t="s">
        <v>3862</v>
      </c>
      <c r="B17" s="223"/>
      <c r="C17" s="11">
        <v>6671.0</v>
      </c>
    </row>
    <row r="18">
      <c r="A18" s="11" t="s">
        <v>3863</v>
      </c>
      <c r="B18" s="223"/>
      <c r="C18" s="11">
        <v>663.0</v>
      </c>
    </row>
    <row r="19">
      <c r="A19" s="11" t="s">
        <v>3864</v>
      </c>
      <c r="B19" s="223"/>
      <c r="C19" s="11">
        <v>6132.0</v>
      </c>
    </row>
    <row r="20">
      <c r="A20" s="11" t="s">
        <v>3865</v>
      </c>
      <c r="B20" s="223"/>
      <c r="C20" s="11">
        <v>136.0</v>
      </c>
    </row>
    <row r="21">
      <c r="A21" s="11" t="s">
        <v>3939</v>
      </c>
      <c r="B21" s="223"/>
      <c r="C21" s="11">
        <v>6893.0</v>
      </c>
    </row>
    <row r="22">
      <c r="A22" s="11" t="s">
        <v>3940</v>
      </c>
      <c r="B22" s="223"/>
      <c r="C22" s="11">
        <v>10141.0</v>
      </c>
    </row>
    <row r="23">
      <c r="A23" s="11" t="s">
        <v>3941</v>
      </c>
      <c r="B23" s="223"/>
      <c r="C23" s="11">
        <v>6875.0</v>
      </c>
    </row>
    <row r="24">
      <c r="A24" s="11" t="s">
        <v>3942</v>
      </c>
      <c r="B24" s="223"/>
      <c r="C24" s="11">
        <v>6669.0</v>
      </c>
    </row>
    <row r="25">
      <c r="A25" s="11" t="s">
        <v>3943</v>
      </c>
      <c r="B25" s="223"/>
      <c r="C25" s="11">
        <v>6669.0</v>
      </c>
    </row>
    <row r="26">
      <c r="A26" s="11" t="s">
        <v>3944</v>
      </c>
      <c r="B26" s="223"/>
      <c r="C26" s="11">
        <v>6802.0</v>
      </c>
    </row>
    <row r="27">
      <c r="A27" s="11" t="s">
        <v>3945</v>
      </c>
      <c r="B27" s="223"/>
      <c r="C27" s="11">
        <v>6669.0</v>
      </c>
    </row>
    <row r="28">
      <c r="A28" s="11" t="s">
        <v>3946</v>
      </c>
      <c r="B28" s="223"/>
      <c r="C28" s="11">
        <v>7010.0</v>
      </c>
    </row>
    <row r="29">
      <c r="A29" s="11" t="s">
        <v>3947</v>
      </c>
      <c r="B29" s="223"/>
      <c r="C29" s="11">
        <v>7033.0</v>
      </c>
    </row>
    <row r="30">
      <c r="A30" s="11" t="s">
        <v>3948</v>
      </c>
      <c r="B30" s="223"/>
      <c r="C30" s="11">
        <v>6772.0</v>
      </c>
    </row>
    <row r="31">
      <c r="A31" s="11" t="s">
        <v>3866</v>
      </c>
      <c r="B31" s="223"/>
      <c r="C31" s="11">
        <v>7010.0</v>
      </c>
    </row>
    <row r="32">
      <c r="A32" s="11" t="s">
        <v>3867</v>
      </c>
      <c r="B32" s="223"/>
      <c r="C32" s="11">
        <v>7847.0</v>
      </c>
    </row>
    <row r="33">
      <c r="A33" s="11" t="s">
        <v>3868</v>
      </c>
      <c r="B33" s="223"/>
      <c r="C33" s="11">
        <v>3689.0</v>
      </c>
    </row>
    <row r="34">
      <c r="A34" s="11" t="s">
        <v>3869</v>
      </c>
      <c r="B34" s="223"/>
      <c r="C34" s="11">
        <v>5125.0</v>
      </c>
    </row>
    <row r="35">
      <c r="A35" s="11" t="s">
        <v>3870</v>
      </c>
      <c r="B35" s="223"/>
      <c r="C35" s="11">
        <v>10856.0</v>
      </c>
    </row>
    <row r="36">
      <c r="A36" s="11" t="s">
        <v>3871</v>
      </c>
      <c r="B36" s="223"/>
      <c r="C36" s="11">
        <v>3307.0</v>
      </c>
    </row>
    <row r="37">
      <c r="A37" s="11" t="s">
        <v>3872</v>
      </c>
      <c r="B37" s="223"/>
      <c r="C37" s="11">
        <v>7083.0</v>
      </c>
    </row>
    <row r="38">
      <c r="A38" s="11" t="s">
        <v>3873</v>
      </c>
      <c r="B38" s="223"/>
      <c r="C38" s="11">
        <v>3616.0</v>
      </c>
    </row>
    <row r="39">
      <c r="A39" s="11" t="s">
        <v>3874</v>
      </c>
      <c r="B39" s="223"/>
      <c r="C39" s="11">
        <v>11773.0</v>
      </c>
    </row>
    <row r="40">
      <c r="A40" s="11" t="s">
        <v>3875</v>
      </c>
      <c r="B40" s="223"/>
      <c r="C40" s="224">
        <v>11916.0</v>
      </c>
    </row>
    <row r="41">
      <c r="A41" s="11" t="s">
        <v>3876</v>
      </c>
      <c r="B41" s="223"/>
      <c r="C41" s="11">
        <v>14065.0</v>
      </c>
    </row>
    <row r="42">
      <c r="A42" s="11" t="s">
        <v>3877</v>
      </c>
      <c r="B42" s="223"/>
      <c r="C42" s="11">
        <v>13829.0</v>
      </c>
    </row>
    <row r="43">
      <c r="A43" s="11" t="s">
        <v>3878</v>
      </c>
      <c r="B43" s="223"/>
      <c r="C43" s="11">
        <v>8199.0</v>
      </c>
    </row>
    <row r="44">
      <c r="A44" s="11" t="s">
        <v>3879</v>
      </c>
      <c r="B44" s="223"/>
      <c r="C44" s="11">
        <v>9746.0</v>
      </c>
    </row>
    <row r="45">
      <c r="A45" s="11" t="s">
        <v>3880</v>
      </c>
      <c r="B45" s="223"/>
      <c r="C45" s="16">
        <v>12553.0</v>
      </c>
    </row>
    <row r="46">
      <c r="A46" s="11" t="s">
        <v>3881</v>
      </c>
      <c r="B46" s="223"/>
      <c r="C46" s="11">
        <v>11104.0</v>
      </c>
    </row>
    <row r="47">
      <c r="A47" s="11" t="s">
        <v>3882</v>
      </c>
      <c r="B47" s="223"/>
      <c r="C47" s="11">
        <v>12932.0</v>
      </c>
    </row>
    <row r="48">
      <c r="A48" s="11" t="s">
        <v>3883</v>
      </c>
      <c r="B48" s="223"/>
      <c r="C48" s="11">
        <v>6675.0</v>
      </c>
    </row>
    <row r="49">
      <c r="A49" s="11" t="s">
        <v>3884</v>
      </c>
      <c r="B49" s="223"/>
      <c r="C49" s="11">
        <v>7227.0</v>
      </c>
    </row>
    <row r="50">
      <c r="A50" s="11" t="s">
        <v>3885</v>
      </c>
      <c r="B50" s="223"/>
      <c r="C50" s="11">
        <v>6903.0</v>
      </c>
    </row>
    <row r="51">
      <c r="A51" s="11" t="s">
        <v>3886</v>
      </c>
      <c r="B51" s="223"/>
      <c r="C51" s="11">
        <v>7227.0</v>
      </c>
    </row>
    <row r="52">
      <c r="A52" s="11" t="s">
        <v>3887</v>
      </c>
      <c r="B52" s="223"/>
      <c r="C52" s="11">
        <v>12609.0</v>
      </c>
    </row>
    <row r="53">
      <c r="A53" s="11" t="s">
        <v>3888</v>
      </c>
      <c r="B53" s="223"/>
      <c r="C53" s="11">
        <v>8199.0</v>
      </c>
    </row>
    <row r="54">
      <c r="A54" s="11" t="s">
        <v>3889</v>
      </c>
      <c r="B54" s="223"/>
      <c r="C54" s="11">
        <v>7227.0</v>
      </c>
    </row>
    <row r="55">
      <c r="A55" s="11" t="s">
        <v>3890</v>
      </c>
      <c r="B55" s="223"/>
      <c r="C55" s="11">
        <v>7227.0</v>
      </c>
    </row>
    <row r="56">
      <c r="A56" s="11" t="s">
        <v>3891</v>
      </c>
      <c r="B56" s="223"/>
      <c r="C56" s="11">
        <v>7227.0</v>
      </c>
    </row>
    <row r="57">
      <c r="A57" s="11" t="s">
        <v>3892</v>
      </c>
      <c r="B57" s="223"/>
      <c r="C57" s="11">
        <v>6671.0</v>
      </c>
    </row>
    <row r="58">
      <c r="A58" s="11" t="s">
        <v>3893</v>
      </c>
      <c r="B58" s="223"/>
      <c r="C58" s="11">
        <v>7023.0</v>
      </c>
    </row>
    <row r="59">
      <c r="A59" s="11" t="s">
        <v>3894</v>
      </c>
      <c r="B59" s="223"/>
      <c r="C59" s="11">
        <v>6726.0</v>
      </c>
    </row>
    <row r="60">
      <c r="A60" s="11" t="s">
        <v>3895</v>
      </c>
      <c r="B60" s="223"/>
      <c r="C60" s="11">
        <v>6726.0</v>
      </c>
    </row>
    <row r="61">
      <c r="A61" s="11" t="s">
        <v>3896</v>
      </c>
      <c r="B61" s="223"/>
      <c r="C61" s="11">
        <v>7227.0</v>
      </c>
    </row>
    <row r="62">
      <c r="A62" s="11" t="s">
        <v>3897</v>
      </c>
      <c r="B62" s="223"/>
      <c r="C62" s="11">
        <v>6706.0</v>
      </c>
    </row>
    <row r="63">
      <c r="A63" s="11" t="s">
        <v>3898</v>
      </c>
      <c r="B63" s="223"/>
      <c r="C63" s="11">
        <v>9307.0</v>
      </c>
    </row>
    <row r="64">
      <c r="A64" s="11" t="s">
        <v>3899</v>
      </c>
      <c r="B64" s="223"/>
      <c r="C64" s="11">
        <v>11708.0</v>
      </c>
    </row>
    <row r="65">
      <c r="A65" s="11" t="s">
        <v>3900</v>
      </c>
      <c r="B65" s="223"/>
      <c r="C65" s="11">
        <v>7227.0</v>
      </c>
    </row>
    <row r="66">
      <c r="A66" s="11" t="s">
        <v>3901</v>
      </c>
      <c r="B66" s="223"/>
      <c r="C66" s="11">
        <v>7227.0</v>
      </c>
    </row>
    <row r="67">
      <c r="A67" s="11" t="s">
        <v>3902</v>
      </c>
      <c r="B67" s="223"/>
      <c r="C67" s="11">
        <v>7227.0</v>
      </c>
    </row>
    <row r="68">
      <c r="A68" s="11" t="s">
        <v>3903</v>
      </c>
      <c r="B68" s="223"/>
      <c r="C68" s="11">
        <v>6802.0</v>
      </c>
    </row>
    <row r="69">
      <c r="A69" s="11" t="s">
        <v>3904</v>
      </c>
      <c r="B69" s="223"/>
      <c r="C69" s="11">
        <v>12388.0</v>
      </c>
    </row>
    <row r="70">
      <c r="A70" s="11" t="s">
        <v>3905</v>
      </c>
      <c r="B70" s="223"/>
      <c r="C70" s="11">
        <v>6924.0</v>
      </c>
    </row>
    <row r="71">
      <c r="A71" s="11" t="s">
        <v>3906</v>
      </c>
      <c r="B71" s="223"/>
      <c r="C71" s="11">
        <v>12550.0</v>
      </c>
    </row>
    <row r="72">
      <c r="A72" s="11" t="s">
        <v>3907</v>
      </c>
      <c r="B72" s="223"/>
      <c r="C72" s="11">
        <v>7031.0</v>
      </c>
    </row>
    <row r="73">
      <c r="A73" s="11" t="s">
        <v>3908</v>
      </c>
      <c r="B73" s="223"/>
      <c r="C73" s="11">
        <v>4193.0</v>
      </c>
    </row>
    <row r="74">
      <c r="A74" s="11" t="s">
        <v>3909</v>
      </c>
      <c r="B74" s="223"/>
      <c r="C74" s="11">
        <v>7227.0</v>
      </c>
    </row>
    <row r="75">
      <c r="A75" s="11" t="s">
        <v>3910</v>
      </c>
      <c r="B75" s="223"/>
      <c r="C75" s="11">
        <v>6106.0</v>
      </c>
    </row>
    <row r="76">
      <c r="A76" s="11" t="s">
        <v>3911</v>
      </c>
      <c r="B76" s="223"/>
    </row>
    <row r="77">
      <c r="A77" s="11" t="s">
        <v>3912</v>
      </c>
      <c r="B77" s="223"/>
      <c r="C77" s="11">
        <v>6829.0</v>
      </c>
    </row>
    <row r="78">
      <c r="A78" s="11" t="s">
        <v>3913</v>
      </c>
      <c r="B78" s="223"/>
      <c r="C78" s="11">
        <v>6936.0</v>
      </c>
    </row>
    <row r="79">
      <c r="A79" s="11" t="s">
        <v>3914</v>
      </c>
      <c r="B79" s="223"/>
      <c r="C79" s="11">
        <v>6706.0</v>
      </c>
    </row>
    <row r="80">
      <c r="A80" s="11" t="s">
        <v>3915</v>
      </c>
      <c r="B80" s="223"/>
      <c r="C80" s="11">
        <v>7031.0</v>
      </c>
    </row>
    <row r="81">
      <c r="A81" s="11" t="s">
        <v>3916</v>
      </c>
      <c r="B81" s="223"/>
      <c r="C81" s="11">
        <v>7157.0</v>
      </c>
    </row>
    <row r="82">
      <c r="A82" s="11" t="s">
        <v>3917</v>
      </c>
      <c r="B82" s="223"/>
      <c r="C82" s="11">
        <v>315.0</v>
      </c>
    </row>
    <row r="83">
      <c r="A83" s="11" t="s">
        <v>3918</v>
      </c>
      <c r="B83" s="223"/>
      <c r="C83" s="11">
        <v>6675.0</v>
      </c>
    </row>
    <row r="84">
      <c r="A84" s="11" t="s">
        <v>3919</v>
      </c>
      <c r="B84" s="223"/>
      <c r="C84" s="11">
        <v>13951.0</v>
      </c>
    </row>
    <row r="85">
      <c r="A85" s="11" t="s">
        <v>3920</v>
      </c>
      <c r="B85" s="223"/>
    </row>
    <row r="86">
      <c r="A86" s="11" t="s">
        <v>3921</v>
      </c>
      <c r="B86" s="223"/>
      <c r="C86" s="11">
        <v>14005.0</v>
      </c>
    </row>
    <row r="87">
      <c r="A87" s="11" t="s">
        <v>3922</v>
      </c>
      <c r="B87" s="223"/>
      <c r="C87" s="11">
        <v>14004.0</v>
      </c>
    </row>
    <row r="88">
      <c r="A88" s="11" t="s">
        <v>3923</v>
      </c>
      <c r="B88" s="223"/>
      <c r="C88" s="11">
        <v>283.0</v>
      </c>
    </row>
    <row r="89">
      <c r="A89" s="11" t="s">
        <v>3924</v>
      </c>
      <c r="B89" s="223"/>
      <c r="C89" s="11">
        <v>6970.0</v>
      </c>
    </row>
    <row r="90">
      <c r="A90" s="11" t="s">
        <v>3925</v>
      </c>
      <c r="B90" s="223"/>
      <c r="C90" s="11">
        <v>7003.0</v>
      </c>
    </row>
    <row r="91">
      <c r="A91" s="11" t="s">
        <v>3926</v>
      </c>
      <c r="B91" s="223"/>
      <c r="C91" s="11">
        <v>11708.0</v>
      </c>
    </row>
    <row r="92">
      <c r="A92" s="11" t="s">
        <v>3927</v>
      </c>
      <c r="B92" s="223"/>
      <c r="C92" s="11">
        <v>14337.0</v>
      </c>
    </row>
    <row r="93">
      <c r="A93" s="11" t="s">
        <v>4860</v>
      </c>
      <c r="B93" s="223"/>
      <c r="C93" s="11">
        <v>663.0</v>
      </c>
    </row>
    <row r="94">
      <c r="A94" s="11" t="s">
        <v>11</v>
      </c>
      <c r="B94" s="223"/>
      <c r="C94" s="11">
        <v>6675.0</v>
      </c>
    </row>
    <row r="95">
      <c r="A95" s="225" t="s">
        <v>4861</v>
      </c>
      <c r="B95" s="223"/>
      <c r="C95" s="226">
        <v>663.0</v>
      </c>
      <c r="D95" s="98" t="s">
        <v>4862</v>
      </c>
    </row>
    <row r="96">
      <c r="A96" s="225" t="s">
        <v>4863</v>
      </c>
      <c r="B96" s="223"/>
      <c r="C96" s="226">
        <v>7227.0</v>
      </c>
    </row>
    <row r="97">
      <c r="A97" s="225" t="s">
        <v>4864</v>
      </c>
      <c r="B97" s="223"/>
      <c r="C97" s="226">
        <v>7227.0</v>
      </c>
    </row>
    <row r="98">
      <c r="A98" s="225" t="s">
        <v>4865</v>
      </c>
      <c r="B98" s="223"/>
      <c r="C98" s="226">
        <v>7227.0</v>
      </c>
    </row>
    <row r="99">
      <c r="A99" s="225" t="s">
        <v>4866</v>
      </c>
      <c r="B99" s="223"/>
      <c r="C99" s="226">
        <v>7227.0</v>
      </c>
    </row>
    <row r="100">
      <c r="A100" s="225" t="s">
        <v>4867</v>
      </c>
      <c r="B100" s="223"/>
      <c r="C100" s="226">
        <v>7227.0</v>
      </c>
    </row>
    <row r="101">
      <c r="A101" s="225" t="s">
        <v>4868</v>
      </c>
      <c r="B101" s="223"/>
      <c r="C101" s="226">
        <v>7227.0</v>
      </c>
    </row>
    <row r="102">
      <c r="A102" s="225" t="s">
        <v>4869</v>
      </c>
      <c r="B102" s="223"/>
      <c r="C102" s="226">
        <v>7227.0</v>
      </c>
    </row>
    <row r="103">
      <c r="A103" s="225" t="s">
        <v>4870</v>
      </c>
      <c r="B103" s="223"/>
      <c r="C103" s="226">
        <v>7227.0</v>
      </c>
    </row>
    <row r="104">
      <c r="A104" s="225" t="s">
        <v>4871</v>
      </c>
      <c r="B104" s="223"/>
      <c r="C104" s="226">
        <v>7227.0</v>
      </c>
    </row>
    <row r="105">
      <c r="A105" s="225" t="s">
        <v>4872</v>
      </c>
      <c r="B105" s="223"/>
      <c r="C105" s="226">
        <v>7227.0</v>
      </c>
    </row>
    <row r="106">
      <c r="A106" s="225" t="s">
        <v>4873</v>
      </c>
      <c r="B106" s="223"/>
      <c r="C106" s="227"/>
    </row>
    <row r="107">
      <c r="A107" s="225" t="s">
        <v>4874</v>
      </c>
      <c r="B107" s="223"/>
      <c r="C107" s="227"/>
    </row>
    <row r="108">
      <c r="A108" s="225" t="s">
        <v>4875</v>
      </c>
      <c r="B108" s="223"/>
      <c r="C108" s="227"/>
    </row>
    <row r="109">
      <c r="A109" s="225" t="s">
        <v>4876</v>
      </c>
      <c r="B109" s="223"/>
      <c r="C109" s="227"/>
    </row>
    <row r="110">
      <c r="A110" s="225" t="s">
        <v>4877</v>
      </c>
      <c r="B110" s="223"/>
      <c r="C110" s="227"/>
    </row>
    <row r="111">
      <c r="A111" s="225" t="s">
        <v>4878</v>
      </c>
      <c r="B111" s="223"/>
      <c r="C111" s="227"/>
    </row>
    <row r="112">
      <c r="A112" s="225" t="s">
        <v>4879</v>
      </c>
      <c r="B112" s="223"/>
      <c r="C112" s="227"/>
    </row>
    <row r="113">
      <c r="A113" s="225" t="s">
        <v>4880</v>
      </c>
      <c r="B113" s="223"/>
      <c r="C113" s="227"/>
    </row>
    <row r="114">
      <c r="A114" s="225" t="s">
        <v>4881</v>
      </c>
      <c r="B114" s="223"/>
      <c r="C114" s="227"/>
    </row>
    <row r="115">
      <c r="A115" s="225" t="s">
        <v>4882</v>
      </c>
      <c r="B115" s="223"/>
      <c r="C115" s="227"/>
    </row>
    <row r="116">
      <c r="A116" s="225" t="s">
        <v>4883</v>
      </c>
      <c r="B116" s="223"/>
      <c r="C116" s="227"/>
    </row>
    <row r="117">
      <c r="A117" s="225" t="s">
        <v>4884</v>
      </c>
      <c r="B117" s="223"/>
      <c r="C117" s="227"/>
    </row>
    <row r="118">
      <c r="A118" s="225" t="s">
        <v>4885</v>
      </c>
      <c r="B118" s="223"/>
      <c r="C118" s="227"/>
    </row>
    <row r="119">
      <c r="A119" s="225" t="s">
        <v>4886</v>
      </c>
      <c r="B119" s="223"/>
      <c r="C119" s="227"/>
    </row>
    <row r="120">
      <c r="A120" s="225" t="s">
        <v>4887</v>
      </c>
      <c r="B120" s="223"/>
      <c r="C120" s="227"/>
    </row>
    <row r="121">
      <c r="A121" s="225" t="s">
        <v>4888</v>
      </c>
      <c r="B121" s="223"/>
      <c r="C121" s="227"/>
    </row>
    <row r="122">
      <c r="A122" s="225" t="s">
        <v>4889</v>
      </c>
      <c r="B122" s="223"/>
      <c r="C122" s="227"/>
    </row>
    <row r="123">
      <c r="A123" s="225" t="s">
        <v>4890</v>
      </c>
      <c r="B123" s="223"/>
      <c r="C123" s="227"/>
    </row>
    <row r="124">
      <c r="A124" s="225" t="s">
        <v>4891</v>
      </c>
      <c r="B124" s="223"/>
      <c r="C124" s="227"/>
    </row>
    <row r="125">
      <c r="A125" s="225" t="s">
        <v>4892</v>
      </c>
      <c r="B125" s="223"/>
      <c r="C125" s="227"/>
    </row>
    <row r="126">
      <c r="A126" s="225" t="s">
        <v>4893</v>
      </c>
      <c r="B126" s="223"/>
      <c r="C126" s="227"/>
    </row>
    <row r="127">
      <c r="A127" s="225" t="s">
        <v>4894</v>
      </c>
      <c r="B127" s="223"/>
      <c r="C127" s="227"/>
    </row>
    <row r="128">
      <c r="A128" s="225" t="s">
        <v>4895</v>
      </c>
      <c r="B128" s="223"/>
      <c r="C128" s="227"/>
    </row>
    <row r="129">
      <c r="A129" s="225" t="s">
        <v>4896</v>
      </c>
      <c r="B129" s="223"/>
      <c r="C129" s="227"/>
    </row>
    <row r="130">
      <c r="A130" s="225" t="s">
        <v>4897</v>
      </c>
      <c r="B130" s="223"/>
      <c r="C130" s="227"/>
    </row>
    <row r="131">
      <c r="A131" s="225" t="s">
        <v>4898</v>
      </c>
      <c r="B131" s="223"/>
      <c r="C131" s="227"/>
    </row>
    <row r="132">
      <c r="A132" s="225" t="s">
        <v>4899</v>
      </c>
      <c r="B132" s="223"/>
      <c r="C132" s="227"/>
    </row>
    <row r="133">
      <c r="A133" s="225" t="s">
        <v>4900</v>
      </c>
      <c r="B133" s="223"/>
      <c r="C133" s="227"/>
    </row>
    <row r="134">
      <c r="A134" s="225" t="s">
        <v>4901</v>
      </c>
      <c r="B134" s="223"/>
      <c r="C134" s="227"/>
    </row>
    <row r="135">
      <c r="A135" s="225" t="s">
        <v>4902</v>
      </c>
      <c r="B135" s="223"/>
      <c r="C135" s="227"/>
    </row>
    <row r="136">
      <c r="A136" s="225" t="s">
        <v>4903</v>
      </c>
      <c r="B136" s="223"/>
      <c r="C136" s="227"/>
    </row>
    <row r="137">
      <c r="A137" s="225" t="s">
        <v>4904</v>
      </c>
      <c r="B137" s="223"/>
      <c r="C137" s="227"/>
    </row>
    <row r="138">
      <c r="A138" s="225" t="s">
        <v>4905</v>
      </c>
      <c r="B138" s="223"/>
      <c r="C138" s="227"/>
    </row>
    <row r="139">
      <c r="A139" s="225" t="s">
        <v>4906</v>
      </c>
      <c r="B139" s="223"/>
      <c r="C139" s="227"/>
    </row>
    <row r="140">
      <c r="A140" s="225" t="s">
        <v>4907</v>
      </c>
      <c r="B140" s="223"/>
      <c r="C140" s="227"/>
    </row>
    <row r="141">
      <c r="A141" s="225" t="s">
        <v>4908</v>
      </c>
      <c r="B141" s="223"/>
      <c r="C141" s="227"/>
    </row>
    <row r="142">
      <c r="A142" s="225" t="s">
        <v>4909</v>
      </c>
      <c r="B142" s="223"/>
      <c r="C142" s="227"/>
    </row>
    <row r="143">
      <c r="A143" s="225" t="s">
        <v>4910</v>
      </c>
      <c r="B143" s="223"/>
      <c r="C143" s="227"/>
    </row>
    <row r="144">
      <c r="A144" s="225" t="s">
        <v>4911</v>
      </c>
      <c r="B144" s="223"/>
      <c r="C144" s="227"/>
    </row>
    <row r="145">
      <c r="A145" s="225" t="s">
        <v>4912</v>
      </c>
      <c r="B145" s="223"/>
      <c r="C145" s="227"/>
    </row>
    <row r="146">
      <c r="A146" s="225" t="s">
        <v>4913</v>
      </c>
      <c r="B146" s="223"/>
      <c r="C146" s="227"/>
    </row>
    <row r="147">
      <c r="A147" s="225" t="s">
        <v>4914</v>
      </c>
      <c r="B147" s="223"/>
      <c r="C147" s="227"/>
    </row>
    <row r="148">
      <c r="A148" s="225" t="s">
        <v>4915</v>
      </c>
      <c r="B148" s="223"/>
      <c r="C148" s="227"/>
    </row>
    <row r="149">
      <c r="A149" s="225" t="s">
        <v>4916</v>
      </c>
      <c r="B149" s="223"/>
      <c r="C149" s="227"/>
    </row>
    <row r="150">
      <c r="A150" s="225" t="s">
        <v>4917</v>
      </c>
      <c r="B150" s="223"/>
      <c r="C150" s="227"/>
    </row>
    <row r="151">
      <c r="A151" s="225" t="s">
        <v>4918</v>
      </c>
      <c r="B151" s="223"/>
      <c r="C151" s="227"/>
    </row>
    <row r="152">
      <c r="A152" s="225" t="s">
        <v>4919</v>
      </c>
      <c r="B152" s="223"/>
      <c r="C152" s="227"/>
    </row>
    <row r="153">
      <c r="A153" s="225" t="s">
        <v>4920</v>
      </c>
      <c r="B153" s="223"/>
      <c r="C153" s="227"/>
    </row>
    <row r="154">
      <c r="A154" s="225" t="s">
        <v>4921</v>
      </c>
      <c r="B154" s="223"/>
      <c r="C154" s="227"/>
    </row>
    <row r="155">
      <c r="A155" s="225" t="s">
        <v>4922</v>
      </c>
      <c r="B155" s="223"/>
      <c r="C155" s="227"/>
    </row>
    <row r="156">
      <c r="A156" s="225" t="s">
        <v>4923</v>
      </c>
      <c r="B156" s="223"/>
      <c r="C156" s="227"/>
    </row>
    <row r="157">
      <c r="A157" s="225" t="s">
        <v>4924</v>
      </c>
      <c r="B157" s="223"/>
      <c r="C157" s="227"/>
    </row>
    <row r="158">
      <c r="A158" s="225" t="s">
        <v>4925</v>
      </c>
      <c r="B158" s="223"/>
      <c r="C158" s="227"/>
    </row>
    <row r="159">
      <c r="A159" s="225" t="s">
        <v>4926</v>
      </c>
      <c r="B159" s="223"/>
      <c r="C159" s="227"/>
    </row>
    <row r="160">
      <c r="A160" s="225" t="s">
        <v>4927</v>
      </c>
      <c r="B160" s="223"/>
      <c r="C160" s="227"/>
    </row>
    <row r="161">
      <c r="A161" s="225" t="s">
        <v>4928</v>
      </c>
      <c r="B161" s="223"/>
      <c r="C161" s="227"/>
    </row>
    <row r="162">
      <c r="A162" s="225" t="s">
        <v>4929</v>
      </c>
      <c r="B162" s="223"/>
      <c r="C162" s="227"/>
    </row>
    <row r="163">
      <c r="A163" s="225" t="s">
        <v>4930</v>
      </c>
      <c r="B163" s="223"/>
      <c r="C163" s="227"/>
    </row>
    <row r="164">
      <c r="A164" s="225" t="s">
        <v>4931</v>
      </c>
      <c r="B164" s="223"/>
      <c r="C164" s="227"/>
    </row>
    <row r="165">
      <c r="A165" s="225" t="s">
        <v>4932</v>
      </c>
      <c r="B165" s="223"/>
      <c r="C165" s="227"/>
    </row>
    <row r="166">
      <c r="A166" s="225" t="s">
        <v>4933</v>
      </c>
      <c r="B166" s="223"/>
      <c r="C166" s="227"/>
    </row>
    <row r="167">
      <c r="A167" s="225" t="s">
        <v>4934</v>
      </c>
      <c r="B167" s="223"/>
      <c r="C167" s="227"/>
    </row>
    <row r="168">
      <c r="A168" s="225" t="s">
        <v>4935</v>
      </c>
      <c r="B168" s="223"/>
      <c r="C168" s="227"/>
    </row>
    <row r="169">
      <c r="A169" s="225" t="s">
        <v>4936</v>
      </c>
      <c r="B169" s="223"/>
      <c r="C169" s="227"/>
    </row>
    <row r="170">
      <c r="A170" s="225" t="s">
        <v>4937</v>
      </c>
      <c r="B170" s="223"/>
      <c r="C170" s="227"/>
    </row>
    <row r="171">
      <c r="A171" s="225" t="s">
        <v>4938</v>
      </c>
      <c r="B171" s="223"/>
      <c r="C171" s="227"/>
    </row>
    <row r="172">
      <c r="A172" s="225" t="s">
        <v>4939</v>
      </c>
      <c r="B172" s="223"/>
      <c r="C172" s="227"/>
    </row>
    <row r="173">
      <c r="A173" s="225" t="s">
        <v>4940</v>
      </c>
      <c r="B173" s="223"/>
      <c r="C173" s="227"/>
    </row>
    <row r="174">
      <c r="A174" s="225" t="s">
        <v>4941</v>
      </c>
      <c r="B174" s="223"/>
      <c r="C174" s="227"/>
    </row>
    <row r="175">
      <c r="A175" s="225" t="s">
        <v>4942</v>
      </c>
      <c r="B175" s="223"/>
      <c r="C175" s="227"/>
    </row>
    <row r="176">
      <c r="A176" s="225" t="s">
        <v>4943</v>
      </c>
      <c r="B176" s="223"/>
      <c r="C176" s="227"/>
    </row>
    <row r="177">
      <c r="A177" s="225" t="s">
        <v>4944</v>
      </c>
      <c r="B177" s="223"/>
      <c r="C177" s="227"/>
    </row>
    <row r="178">
      <c r="A178" s="225" t="s">
        <v>4945</v>
      </c>
      <c r="B178" s="223"/>
      <c r="C178" s="227"/>
    </row>
    <row r="179">
      <c r="A179" s="225" t="s">
        <v>4946</v>
      </c>
      <c r="B179" s="223"/>
      <c r="C179" s="227"/>
    </row>
    <row r="180">
      <c r="A180" s="225" t="s">
        <v>4947</v>
      </c>
      <c r="B180" s="223"/>
      <c r="C180" s="227"/>
    </row>
    <row r="181">
      <c r="A181" s="225" t="s">
        <v>4948</v>
      </c>
      <c r="B181" s="223"/>
      <c r="C181" s="227"/>
    </row>
    <row r="182">
      <c r="A182" s="225" t="s">
        <v>4949</v>
      </c>
      <c r="B182" s="223"/>
      <c r="C182" s="227"/>
    </row>
    <row r="183">
      <c r="A183" s="225" t="s">
        <v>4950</v>
      </c>
      <c r="B183" s="223"/>
      <c r="C183" s="227"/>
    </row>
    <row r="184">
      <c r="A184" s="225" t="s">
        <v>4951</v>
      </c>
      <c r="B184" s="223"/>
      <c r="C184" s="226">
        <v>10393.0</v>
      </c>
    </row>
    <row r="185">
      <c r="A185" s="225" t="s">
        <v>4952</v>
      </c>
      <c r="B185" s="223"/>
      <c r="C185" s="227"/>
    </row>
    <row r="186">
      <c r="A186" s="225" t="s">
        <v>4953</v>
      </c>
      <c r="B186" s="223"/>
      <c r="C186" s="227"/>
    </row>
    <row r="187">
      <c r="A187" s="225" t="s">
        <v>4954</v>
      </c>
      <c r="B187" s="223"/>
      <c r="C187" s="227"/>
    </row>
    <row r="188">
      <c r="A188" s="225" t="s">
        <v>4955</v>
      </c>
      <c r="B188" s="223"/>
      <c r="C188" s="226">
        <v>7083.0</v>
      </c>
    </row>
    <row r="189">
      <c r="A189" s="225" t="s">
        <v>4956</v>
      </c>
      <c r="B189" s="223"/>
      <c r="C189" s="226">
        <v>9307.0</v>
      </c>
    </row>
    <row r="190">
      <c r="B190" s="223"/>
      <c r="C190" s="227"/>
    </row>
    <row r="191">
      <c r="B191" s="223"/>
      <c r="C191" s="227"/>
    </row>
    <row r="192">
      <c r="B192" s="223"/>
      <c r="C192" s="227"/>
    </row>
    <row r="193">
      <c r="B193" s="223"/>
      <c r="C193" s="227"/>
    </row>
    <row r="194">
      <c r="B194" s="223"/>
      <c r="C194" s="227"/>
    </row>
    <row r="195">
      <c r="B195" s="223"/>
    </row>
    <row r="196">
      <c r="B196" s="223"/>
    </row>
    <row r="197">
      <c r="B197" s="223"/>
    </row>
    <row r="198">
      <c r="B198" s="223"/>
    </row>
    <row r="199">
      <c r="B199" s="223"/>
    </row>
    <row r="200">
      <c r="B200" s="223"/>
    </row>
    <row r="201">
      <c r="B201" s="223"/>
    </row>
    <row r="202">
      <c r="B202" s="223"/>
    </row>
    <row r="203">
      <c r="B203" s="223"/>
    </row>
    <row r="204">
      <c r="B204" s="223"/>
    </row>
    <row r="205">
      <c r="B205" s="223"/>
    </row>
    <row r="206">
      <c r="B206" s="223"/>
    </row>
    <row r="207">
      <c r="B207" s="223"/>
    </row>
    <row r="208">
      <c r="B208" s="223"/>
    </row>
    <row r="209">
      <c r="B209" s="223"/>
    </row>
    <row r="210">
      <c r="B210" s="223"/>
    </row>
    <row r="211">
      <c r="B211" s="223"/>
    </row>
    <row r="212">
      <c r="B212" s="223"/>
    </row>
    <row r="213">
      <c r="B213" s="223"/>
    </row>
    <row r="214">
      <c r="B214" s="223"/>
    </row>
    <row r="215">
      <c r="B215" s="223"/>
    </row>
    <row r="216">
      <c r="B216" s="223"/>
    </row>
    <row r="217">
      <c r="B217" s="223"/>
    </row>
    <row r="218">
      <c r="B218" s="223"/>
    </row>
    <row r="219">
      <c r="B219" s="223"/>
    </row>
    <row r="220">
      <c r="B220" s="223"/>
    </row>
    <row r="221">
      <c r="B221" s="223"/>
    </row>
    <row r="222">
      <c r="B222" s="223"/>
    </row>
    <row r="223">
      <c r="B223" s="223"/>
    </row>
    <row r="224">
      <c r="B224" s="223"/>
    </row>
    <row r="225">
      <c r="B225" s="223"/>
    </row>
    <row r="226">
      <c r="B226" s="223"/>
    </row>
    <row r="227">
      <c r="B227" s="223"/>
    </row>
    <row r="228">
      <c r="B228" s="223"/>
    </row>
    <row r="229">
      <c r="B229" s="223"/>
    </row>
    <row r="230">
      <c r="B230" s="223"/>
    </row>
    <row r="231">
      <c r="B231" s="223"/>
    </row>
    <row r="232">
      <c r="B232" s="223"/>
    </row>
    <row r="233">
      <c r="B233" s="223"/>
    </row>
    <row r="234">
      <c r="B234" s="223"/>
    </row>
    <row r="235">
      <c r="B235" s="223"/>
    </row>
    <row r="236">
      <c r="B236" s="223"/>
    </row>
    <row r="237">
      <c r="B237" s="223"/>
    </row>
    <row r="238">
      <c r="B238" s="223"/>
    </row>
    <row r="239">
      <c r="B239" s="223"/>
    </row>
    <row r="240">
      <c r="B240" s="223"/>
    </row>
    <row r="241">
      <c r="B241" s="223"/>
    </row>
    <row r="242">
      <c r="B242" s="223"/>
    </row>
    <row r="243">
      <c r="B243" s="223"/>
    </row>
    <row r="244">
      <c r="B244" s="223"/>
    </row>
    <row r="245">
      <c r="B245" s="223"/>
    </row>
    <row r="246">
      <c r="B246" s="223"/>
    </row>
    <row r="247">
      <c r="B247" s="223"/>
    </row>
    <row r="248">
      <c r="B248" s="223"/>
    </row>
    <row r="249">
      <c r="B249" s="223"/>
    </row>
    <row r="250">
      <c r="B250" s="223"/>
    </row>
    <row r="251">
      <c r="B251" s="223"/>
    </row>
    <row r="252">
      <c r="B252" s="223"/>
    </row>
    <row r="253">
      <c r="B253" s="223"/>
    </row>
    <row r="254">
      <c r="B254" s="223"/>
    </row>
    <row r="255">
      <c r="B255" s="223"/>
    </row>
    <row r="256">
      <c r="B256" s="223"/>
    </row>
    <row r="257">
      <c r="B257" s="223"/>
    </row>
    <row r="258">
      <c r="B258" s="223"/>
    </row>
    <row r="259">
      <c r="B259" s="223"/>
    </row>
    <row r="260">
      <c r="B260" s="223"/>
    </row>
    <row r="261">
      <c r="B261" s="223"/>
    </row>
    <row r="262">
      <c r="B262" s="223"/>
    </row>
    <row r="263">
      <c r="B263" s="223"/>
    </row>
    <row r="264">
      <c r="B264" s="223"/>
    </row>
    <row r="265">
      <c r="B265" s="223"/>
    </row>
    <row r="266">
      <c r="B266" s="223"/>
    </row>
    <row r="267">
      <c r="B267" s="223"/>
    </row>
    <row r="268">
      <c r="B268" s="223"/>
    </row>
    <row r="269">
      <c r="B269" s="223"/>
    </row>
    <row r="270">
      <c r="B270" s="223"/>
    </row>
    <row r="271">
      <c r="B271" s="223"/>
    </row>
    <row r="272">
      <c r="B272" s="223"/>
    </row>
    <row r="273">
      <c r="B273" s="223"/>
    </row>
    <row r="274">
      <c r="B274" s="223"/>
    </row>
    <row r="275">
      <c r="B275" s="223"/>
    </row>
    <row r="276">
      <c r="B276" s="223"/>
    </row>
    <row r="277">
      <c r="B277" s="223"/>
    </row>
    <row r="278">
      <c r="B278" s="223"/>
    </row>
    <row r="279">
      <c r="B279" s="223"/>
    </row>
    <row r="280">
      <c r="B280" s="223"/>
    </row>
    <row r="281">
      <c r="B281" s="223"/>
    </row>
    <row r="282">
      <c r="B282" s="223"/>
    </row>
    <row r="283">
      <c r="B283" s="223"/>
    </row>
    <row r="284">
      <c r="B284" s="223"/>
    </row>
    <row r="285">
      <c r="B285" s="223"/>
    </row>
    <row r="286">
      <c r="B286" s="223"/>
    </row>
    <row r="287">
      <c r="B287" s="223"/>
    </row>
    <row r="288">
      <c r="B288" s="223"/>
    </row>
    <row r="289">
      <c r="B289" s="223"/>
    </row>
    <row r="290">
      <c r="B290" s="223"/>
    </row>
    <row r="291">
      <c r="B291" s="223"/>
    </row>
    <row r="292">
      <c r="B292" s="223"/>
    </row>
    <row r="293">
      <c r="B293" s="223"/>
    </row>
    <row r="294">
      <c r="B294" s="223"/>
    </row>
    <row r="295">
      <c r="B295" s="223"/>
    </row>
    <row r="296">
      <c r="B296" s="223"/>
    </row>
    <row r="297">
      <c r="B297" s="223"/>
    </row>
    <row r="298">
      <c r="B298" s="223"/>
    </row>
    <row r="299">
      <c r="B299" s="223"/>
    </row>
    <row r="300">
      <c r="B300" s="223"/>
    </row>
    <row r="301">
      <c r="B301" s="223"/>
    </row>
    <row r="302">
      <c r="B302" s="223"/>
    </row>
    <row r="303">
      <c r="B303" s="223"/>
    </row>
    <row r="304">
      <c r="B304" s="223"/>
    </row>
    <row r="305">
      <c r="B305" s="223"/>
    </row>
    <row r="306">
      <c r="B306" s="223"/>
    </row>
    <row r="307">
      <c r="B307" s="223"/>
    </row>
    <row r="308">
      <c r="B308" s="223"/>
    </row>
    <row r="309">
      <c r="B309" s="223"/>
    </row>
    <row r="310">
      <c r="B310" s="223"/>
    </row>
    <row r="311">
      <c r="B311" s="223"/>
    </row>
    <row r="312">
      <c r="B312" s="223"/>
    </row>
    <row r="313">
      <c r="B313" s="223"/>
    </row>
    <row r="314">
      <c r="B314" s="223"/>
    </row>
    <row r="315">
      <c r="B315" s="223"/>
    </row>
    <row r="316">
      <c r="B316" s="223"/>
    </row>
    <row r="317">
      <c r="B317" s="223"/>
    </row>
    <row r="318">
      <c r="B318" s="223"/>
    </row>
    <row r="319">
      <c r="B319" s="223"/>
    </row>
    <row r="320">
      <c r="B320" s="223"/>
    </row>
    <row r="321">
      <c r="B321" s="223"/>
    </row>
    <row r="322">
      <c r="B322" s="223"/>
    </row>
    <row r="323">
      <c r="B323" s="223"/>
    </row>
    <row r="324">
      <c r="B324" s="223"/>
    </row>
    <row r="325">
      <c r="B325" s="223"/>
    </row>
    <row r="326">
      <c r="B326" s="223"/>
    </row>
    <row r="327">
      <c r="B327" s="223"/>
    </row>
    <row r="328">
      <c r="B328" s="223"/>
    </row>
    <row r="329">
      <c r="B329" s="223"/>
    </row>
    <row r="330">
      <c r="B330" s="223"/>
    </row>
    <row r="331">
      <c r="B331" s="223"/>
    </row>
    <row r="332">
      <c r="B332" s="223"/>
    </row>
    <row r="333">
      <c r="B333" s="223"/>
    </row>
    <row r="334">
      <c r="B334" s="223"/>
    </row>
    <row r="335">
      <c r="B335" s="223"/>
    </row>
    <row r="336">
      <c r="B336" s="223"/>
    </row>
    <row r="337">
      <c r="B337" s="223"/>
    </row>
    <row r="338">
      <c r="B338" s="223"/>
    </row>
    <row r="339">
      <c r="B339" s="223"/>
    </row>
    <row r="340">
      <c r="B340" s="223"/>
    </row>
    <row r="341">
      <c r="B341" s="223"/>
    </row>
    <row r="342">
      <c r="B342" s="223"/>
    </row>
    <row r="343">
      <c r="B343" s="223"/>
    </row>
    <row r="344">
      <c r="B344" s="223"/>
    </row>
    <row r="345">
      <c r="B345" s="223"/>
    </row>
    <row r="346">
      <c r="B346" s="223"/>
    </row>
    <row r="347">
      <c r="B347" s="223"/>
    </row>
    <row r="348">
      <c r="B348" s="223"/>
    </row>
    <row r="349">
      <c r="B349" s="223"/>
    </row>
    <row r="350">
      <c r="B350" s="223"/>
    </row>
    <row r="351">
      <c r="B351" s="223"/>
    </row>
    <row r="352">
      <c r="B352" s="223"/>
    </row>
    <row r="353">
      <c r="B353" s="223"/>
    </row>
    <row r="354">
      <c r="B354" s="223"/>
    </row>
    <row r="355">
      <c r="B355" s="223"/>
    </row>
    <row r="356">
      <c r="B356" s="223"/>
    </row>
    <row r="357">
      <c r="B357" s="223"/>
    </row>
    <row r="358">
      <c r="B358" s="223"/>
    </row>
    <row r="359">
      <c r="B359" s="223"/>
    </row>
    <row r="360">
      <c r="B360" s="223"/>
    </row>
    <row r="361">
      <c r="B361" s="223"/>
    </row>
    <row r="362">
      <c r="B362" s="223"/>
    </row>
    <row r="363">
      <c r="B363" s="223"/>
    </row>
    <row r="364">
      <c r="B364" s="223"/>
    </row>
    <row r="365">
      <c r="B365" s="223"/>
    </row>
    <row r="366">
      <c r="B366" s="223"/>
    </row>
    <row r="367">
      <c r="B367" s="223"/>
    </row>
    <row r="368">
      <c r="B368" s="223"/>
    </row>
    <row r="369">
      <c r="B369" s="223"/>
    </row>
    <row r="370">
      <c r="B370" s="223"/>
    </row>
    <row r="371">
      <c r="B371" s="223"/>
    </row>
    <row r="372">
      <c r="B372" s="223"/>
    </row>
    <row r="373">
      <c r="B373" s="223"/>
    </row>
    <row r="374">
      <c r="B374" s="223"/>
    </row>
    <row r="375">
      <c r="B375" s="223"/>
    </row>
    <row r="376">
      <c r="B376" s="223"/>
    </row>
    <row r="377">
      <c r="B377" s="223"/>
    </row>
    <row r="378">
      <c r="B378" s="223"/>
    </row>
    <row r="379">
      <c r="B379" s="223"/>
    </row>
    <row r="380">
      <c r="B380" s="223"/>
    </row>
    <row r="381">
      <c r="B381" s="223"/>
    </row>
    <row r="382">
      <c r="B382" s="223"/>
    </row>
    <row r="383">
      <c r="B383" s="223"/>
    </row>
    <row r="384">
      <c r="B384" s="223"/>
    </row>
    <row r="385">
      <c r="B385" s="223"/>
    </row>
    <row r="386">
      <c r="B386" s="223"/>
    </row>
    <row r="387">
      <c r="B387" s="223"/>
    </row>
    <row r="388">
      <c r="B388" s="223"/>
    </row>
    <row r="389">
      <c r="B389" s="223"/>
    </row>
    <row r="390">
      <c r="B390" s="223"/>
    </row>
    <row r="391">
      <c r="B391" s="223"/>
    </row>
    <row r="392">
      <c r="B392" s="223"/>
    </row>
    <row r="393">
      <c r="B393" s="223"/>
    </row>
    <row r="394">
      <c r="B394" s="223"/>
    </row>
    <row r="395">
      <c r="B395" s="223"/>
    </row>
    <row r="396">
      <c r="B396" s="223"/>
    </row>
    <row r="397">
      <c r="B397" s="223"/>
    </row>
    <row r="398">
      <c r="B398" s="223"/>
    </row>
    <row r="399">
      <c r="B399" s="223"/>
    </row>
    <row r="400">
      <c r="B400" s="223"/>
    </row>
    <row r="401">
      <c r="B401" s="223"/>
    </row>
    <row r="402">
      <c r="B402" s="223"/>
    </row>
    <row r="403">
      <c r="B403" s="223"/>
    </row>
    <row r="404">
      <c r="B404" s="223"/>
    </row>
    <row r="405">
      <c r="B405" s="223"/>
    </row>
    <row r="406">
      <c r="B406" s="223"/>
    </row>
    <row r="407">
      <c r="B407" s="223"/>
    </row>
    <row r="408">
      <c r="B408" s="223"/>
    </row>
    <row r="409">
      <c r="B409" s="223"/>
    </row>
    <row r="410">
      <c r="B410" s="223"/>
    </row>
    <row r="411">
      <c r="B411" s="223"/>
    </row>
    <row r="412">
      <c r="B412" s="223"/>
    </row>
    <row r="413">
      <c r="B413" s="223"/>
    </row>
    <row r="414">
      <c r="B414" s="223"/>
    </row>
    <row r="415">
      <c r="B415" s="223"/>
    </row>
    <row r="416">
      <c r="B416" s="223"/>
    </row>
    <row r="417">
      <c r="B417" s="223"/>
    </row>
    <row r="418">
      <c r="B418" s="223"/>
    </row>
    <row r="419">
      <c r="B419" s="223"/>
    </row>
    <row r="420">
      <c r="B420" s="223"/>
    </row>
    <row r="421">
      <c r="B421" s="223"/>
    </row>
    <row r="422">
      <c r="B422" s="223"/>
    </row>
    <row r="423">
      <c r="B423" s="223"/>
    </row>
    <row r="424">
      <c r="B424" s="223"/>
    </row>
    <row r="425">
      <c r="B425" s="223"/>
    </row>
    <row r="426">
      <c r="B426" s="223"/>
    </row>
    <row r="427">
      <c r="B427" s="223"/>
    </row>
    <row r="428">
      <c r="B428" s="223"/>
    </row>
    <row r="429">
      <c r="B429" s="223"/>
    </row>
    <row r="430">
      <c r="B430" s="223"/>
    </row>
    <row r="431">
      <c r="B431" s="223"/>
    </row>
    <row r="432">
      <c r="B432" s="223"/>
    </row>
    <row r="433">
      <c r="B433" s="223"/>
    </row>
    <row r="434">
      <c r="B434" s="223"/>
    </row>
    <row r="435">
      <c r="B435" s="223"/>
    </row>
    <row r="436">
      <c r="B436" s="223"/>
    </row>
    <row r="437">
      <c r="B437" s="223"/>
    </row>
    <row r="438">
      <c r="B438" s="223"/>
    </row>
    <row r="439">
      <c r="B439" s="223"/>
    </row>
    <row r="440">
      <c r="B440" s="223"/>
    </row>
    <row r="441">
      <c r="B441" s="223"/>
    </row>
    <row r="442">
      <c r="B442" s="223"/>
    </row>
    <row r="443">
      <c r="B443" s="223"/>
    </row>
    <row r="444">
      <c r="B444" s="223"/>
    </row>
    <row r="445">
      <c r="B445" s="223"/>
    </row>
    <row r="446">
      <c r="B446" s="223"/>
    </row>
    <row r="447">
      <c r="B447" s="223"/>
    </row>
    <row r="448">
      <c r="B448" s="223"/>
    </row>
    <row r="449">
      <c r="B449" s="223"/>
    </row>
    <row r="450">
      <c r="B450" s="223"/>
    </row>
    <row r="451">
      <c r="B451" s="223"/>
    </row>
    <row r="452">
      <c r="B452" s="223"/>
    </row>
    <row r="453">
      <c r="B453" s="223"/>
    </row>
    <row r="454">
      <c r="B454" s="223"/>
    </row>
    <row r="455">
      <c r="B455" s="223"/>
    </row>
    <row r="456">
      <c r="B456" s="223"/>
    </row>
    <row r="457">
      <c r="B457" s="223"/>
    </row>
    <row r="458">
      <c r="B458" s="223"/>
    </row>
    <row r="459">
      <c r="B459" s="223"/>
    </row>
    <row r="460">
      <c r="B460" s="223"/>
    </row>
    <row r="461">
      <c r="B461" s="223"/>
    </row>
    <row r="462">
      <c r="B462" s="223"/>
    </row>
    <row r="463">
      <c r="B463" s="223"/>
    </row>
    <row r="464">
      <c r="B464" s="223"/>
    </row>
    <row r="465">
      <c r="B465" s="223"/>
    </row>
    <row r="466">
      <c r="B466" s="223"/>
    </row>
    <row r="467">
      <c r="B467" s="223"/>
    </row>
    <row r="468">
      <c r="B468" s="223"/>
    </row>
    <row r="469">
      <c r="B469" s="223"/>
    </row>
    <row r="470">
      <c r="B470" s="223"/>
    </row>
    <row r="471">
      <c r="B471" s="223"/>
    </row>
    <row r="472">
      <c r="B472" s="223"/>
    </row>
    <row r="473">
      <c r="B473" s="223"/>
    </row>
    <row r="474">
      <c r="B474" s="223"/>
    </row>
    <row r="475">
      <c r="B475" s="223"/>
    </row>
    <row r="476">
      <c r="B476" s="223"/>
    </row>
    <row r="477">
      <c r="B477" s="223"/>
    </row>
    <row r="478">
      <c r="B478" s="223"/>
    </row>
    <row r="479">
      <c r="B479" s="223"/>
    </row>
    <row r="480">
      <c r="B480" s="223"/>
    </row>
    <row r="481">
      <c r="B481" s="223"/>
    </row>
    <row r="482">
      <c r="B482" s="223"/>
    </row>
    <row r="483">
      <c r="B483" s="223"/>
    </row>
    <row r="484">
      <c r="B484" s="223"/>
    </row>
    <row r="485">
      <c r="B485" s="223"/>
    </row>
    <row r="486">
      <c r="B486" s="223"/>
    </row>
    <row r="487">
      <c r="B487" s="223"/>
    </row>
    <row r="488">
      <c r="B488" s="223"/>
    </row>
    <row r="489">
      <c r="B489" s="223"/>
    </row>
    <row r="490">
      <c r="B490" s="223"/>
    </row>
    <row r="491">
      <c r="B491" s="223"/>
    </row>
    <row r="492">
      <c r="B492" s="223"/>
    </row>
    <row r="493">
      <c r="B493" s="223"/>
    </row>
    <row r="494">
      <c r="B494" s="223"/>
    </row>
    <row r="495">
      <c r="B495" s="223"/>
    </row>
    <row r="496">
      <c r="B496" s="223"/>
    </row>
    <row r="497">
      <c r="B497" s="223"/>
    </row>
    <row r="498">
      <c r="B498" s="223"/>
    </row>
    <row r="499">
      <c r="B499" s="223"/>
    </row>
    <row r="500">
      <c r="B500" s="223"/>
    </row>
    <row r="501">
      <c r="B501" s="223"/>
    </row>
    <row r="502">
      <c r="B502" s="223"/>
    </row>
    <row r="503">
      <c r="B503" s="223"/>
    </row>
    <row r="504">
      <c r="B504" s="223"/>
    </row>
    <row r="505">
      <c r="B505" s="223"/>
    </row>
    <row r="506">
      <c r="B506" s="223"/>
    </row>
    <row r="507">
      <c r="B507" s="223"/>
    </row>
    <row r="508">
      <c r="B508" s="223"/>
    </row>
    <row r="509">
      <c r="B509" s="223"/>
    </row>
    <row r="510">
      <c r="B510" s="223"/>
    </row>
    <row r="511">
      <c r="B511" s="223"/>
    </row>
    <row r="512">
      <c r="B512" s="223"/>
    </row>
    <row r="513">
      <c r="B513" s="223"/>
    </row>
    <row r="514">
      <c r="B514" s="223"/>
    </row>
    <row r="515">
      <c r="B515" s="223"/>
    </row>
    <row r="516">
      <c r="B516" s="223"/>
    </row>
    <row r="517">
      <c r="B517" s="223"/>
    </row>
    <row r="518">
      <c r="B518" s="223"/>
    </row>
    <row r="519">
      <c r="B519" s="223"/>
    </row>
    <row r="520">
      <c r="B520" s="223"/>
    </row>
    <row r="521">
      <c r="B521" s="223"/>
    </row>
    <row r="522">
      <c r="B522" s="223"/>
    </row>
    <row r="523">
      <c r="B523" s="223"/>
    </row>
    <row r="524">
      <c r="B524" s="223"/>
    </row>
    <row r="525">
      <c r="B525" s="223"/>
    </row>
    <row r="526">
      <c r="B526" s="223"/>
    </row>
    <row r="527">
      <c r="B527" s="223"/>
    </row>
    <row r="528">
      <c r="B528" s="223"/>
    </row>
    <row r="529">
      <c r="B529" s="223"/>
    </row>
    <row r="530">
      <c r="B530" s="223"/>
    </row>
    <row r="531">
      <c r="B531" s="223"/>
    </row>
    <row r="532">
      <c r="B532" s="223"/>
    </row>
    <row r="533">
      <c r="B533" s="223"/>
    </row>
    <row r="534">
      <c r="B534" s="223"/>
    </row>
    <row r="535">
      <c r="B535" s="223"/>
    </row>
    <row r="536">
      <c r="B536" s="223"/>
    </row>
    <row r="537">
      <c r="B537" s="223"/>
    </row>
    <row r="538">
      <c r="B538" s="223"/>
    </row>
    <row r="539">
      <c r="B539" s="223"/>
    </row>
    <row r="540">
      <c r="B540" s="223"/>
    </row>
    <row r="541">
      <c r="B541" s="223"/>
    </row>
    <row r="542">
      <c r="B542" s="223"/>
    </row>
    <row r="543">
      <c r="B543" s="223"/>
    </row>
    <row r="544">
      <c r="B544" s="223"/>
    </row>
    <row r="545">
      <c r="B545" s="223"/>
    </row>
    <row r="546">
      <c r="B546" s="223"/>
    </row>
    <row r="547">
      <c r="B547" s="223"/>
    </row>
    <row r="548">
      <c r="B548" s="223"/>
    </row>
    <row r="549">
      <c r="B549" s="223"/>
    </row>
    <row r="550">
      <c r="B550" s="223"/>
    </row>
    <row r="551">
      <c r="B551" s="223"/>
    </row>
    <row r="552">
      <c r="B552" s="223"/>
    </row>
    <row r="553">
      <c r="B553" s="223"/>
    </row>
    <row r="554">
      <c r="B554" s="223"/>
    </row>
    <row r="555">
      <c r="B555" s="223"/>
    </row>
    <row r="556">
      <c r="B556" s="223"/>
    </row>
    <row r="557">
      <c r="B557" s="223"/>
    </row>
    <row r="558">
      <c r="B558" s="223"/>
    </row>
    <row r="559">
      <c r="B559" s="223"/>
    </row>
    <row r="560">
      <c r="B560" s="223"/>
    </row>
    <row r="561">
      <c r="B561" s="223"/>
    </row>
    <row r="562">
      <c r="B562" s="223"/>
    </row>
    <row r="563">
      <c r="B563" s="223"/>
    </row>
    <row r="564">
      <c r="B564" s="223"/>
    </row>
    <row r="565">
      <c r="B565" s="223"/>
    </row>
    <row r="566">
      <c r="B566" s="223"/>
    </row>
    <row r="567">
      <c r="B567" s="223"/>
    </row>
    <row r="568">
      <c r="B568" s="223"/>
    </row>
    <row r="569">
      <c r="B569" s="223"/>
    </row>
    <row r="570">
      <c r="B570" s="223"/>
    </row>
    <row r="571">
      <c r="B571" s="223"/>
    </row>
    <row r="572">
      <c r="B572" s="223"/>
    </row>
    <row r="573">
      <c r="B573" s="223"/>
    </row>
    <row r="574">
      <c r="B574" s="223"/>
    </row>
    <row r="575">
      <c r="B575" s="223"/>
    </row>
    <row r="576">
      <c r="B576" s="223"/>
    </row>
    <row r="577">
      <c r="B577" s="223"/>
    </row>
    <row r="578">
      <c r="B578" s="223"/>
    </row>
    <row r="579">
      <c r="B579" s="223"/>
    </row>
    <row r="580">
      <c r="B580" s="223"/>
    </row>
    <row r="581">
      <c r="B581" s="223"/>
    </row>
    <row r="582">
      <c r="B582" s="223"/>
    </row>
    <row r="583">
      <c r="B583" s="223"/>
    </row>
    <row r="584">
      <c r="B584" s="223"/>
    </row>
    <row r="585">
      <c r="B585" s="223"/>
    </row>
    <row r="586">
      <c r="B586" s="223"/>
    </row>
    <row r="587">
      <c r="B587" s="223"/>
    </row>
    <row r="588">
      <c r="B588" s="223"/>
    </row>
    <row r="589">
      <c r="B589" s="223"/>
    </row>
    <row r="590">
      <c r="B590" s="223"/>
    </row>
    <row r="591">
      <c r="B591" s="223"/>
    </row>
    <row r="592">
      <c r="B592" s="223"/>
    </row>
    <row r="593">
      <c r="B593" s="223"/>
    </row>
    <row r="594">
      <c r="B594" s="223"/>
    </row>
    <row r="595">
      <c r="B595" s="223"/>
    </row>
    <row r="596">
      <c r="B596" s="223"/>
    </row>
    <row r="597">
      <c r="B597" s="223"/>
    </row>
    <row r="598">
      <c r="B598" s="223"/>
    </row>
    <row r="599">
      <c r="B599" s="223"/>
    </row>
    <row r="600">
      <c r="B600" s="223"/>
    </row>
    <row r="601">
      <c r="B601" s="223"/>
    </row>
    <row r="602">
      <c r="B602" s="223"/>
    </row>
    <row r="603">
      <c r="B603" s="223"/>
    </row>
    <row r="604">
      <c r="B604" s="223"/>
    </row>
    <row r="605">
      <c r="B605" s="223"/>
    </row>
    <row r="606">
      <c r="B606" s="223"/>
    </row>
    <row r="607">
      <c r="B607" s="223"/>
    </row>
    <row r="608">
      <c r="B608" s="223"/>
    </row>
    <row r="609">
      <c r="B609" s="223"/>
    </row>
    <row r="610">
      <c r="B610" s="223"/>
    </row>
    <row r="611">
      <c r="B611" s="223"/>
    </row>
    <row r="612">
      <c r="B612" s="223"/>
    </row>
    <row r="613">
      <c r="B613" s="223"/>
    </row>
    <row r="614">
      <c r="B614" s="223"/>
    </row>
    <row r="615">
      <c r="B615" s="223"/>
    </row>
    <row r="616">
      <c r="B616" s="223"/>
    </row>
    <row r="617">
      <c r="B617" s="223"/>
    </row>
    <row r="618">
      <c r="B618" s="223"/>
    </row>
    <row r="619">
      <c r="B619" s="223"/>
    </row>
    <row r="620">
      <c r="B620" s="223"/>
    </row>
    <row r="621">
      <c r="B621" s="223"/>
    </row>
    <row r="622">
      <c r="B622" s="223"/>
    </row>
    <row r="623">
      <c r="B623" s="223"/>
    </row>
    <row r="624">
      <c r="B624" s="223"/>
    </row>
    <row r="625">
      <c r="B625" s="223"/>
    </row>
    <row r="626">
      <c r="B626" s="223"/>
    </row>
    <row r="627">
      <c r="B627" s="223"/>
    </row>
    <row r="628">
      <c r="B628" s="223"/>
    </row>
    <row r="629">
      <c r="B629" s="223"/>
    </row>
    <row r="630">
      <c r="B630" s="223"/>
    </row>
    <row r="631">
      <c r="B631" s="223"/>
    </row>
    <row r="632">
      <c r="B632" s="223"/>
    </row>
    <row r="633">
      <c r="B633" s="223"/>
    </row>
    <row r="634">
      <c r="B634" s="223"/>
    </row>
    <row r="635">
      <c r="B635" s="223"/>
    </row>
    <row r="636">
      <c r="B636" s="223"/>
    </row>
    <row r="637">
      <c r="B637" s="223"/>
    </row>
    <row r="638">
      <c r="B638" s="223"/>
    </row>
    <row r="639">
      <c r="B639" s="223"/>
    </row>
    <row r="640">
      <c r="B640" s="223"/>
    </row>
    <row r="641">
      <c r="B641" s="223"/>
    </row>
    <row r="642">
      <c r="B642" s="223"/>
    </row>
    <row r="643">
      <c r="B643" s="223"/>
    </row>
    <row r="644">
      <c r="B644" s="223"/>
    </row>
    <row r="645">
      <c r="B645" s="223"/>
    </row>
    <row r="646">
      <c r="B646" s="223"/>
    </row>
    <row r="647">
      <c r="B647" s="223"/>
    </row>
    <row r="648">
      <c r="B648" s="223"/>
    </row>
    <row r="649">
      <c r="B649" s="223"/>
    </row>
    <row r="650">
      <c r="B650" s="223"/>
    </row>
    <row r="651">
      <c r="B651" s="223"/>
    </row>
    <row r="652">
      <c r="B652" s="223"/>
    </row>
    <row r="653">
      <c r="B653" s="223"/>
    </row>
    <row r="654">
      <c r="B654" s="223"/>
    </row>
    <row r="655">
      <c r="B655" s="223"/>
    </row>
    <row r="656">
      <c r="B656" s="223"/>
    </row>
    <row r="657">
      <c r="B657" s="223"/>
    </row>
    <row r="658">
      <c r="B658" s="223"/>
    </row>
    <row r="659">
      <c r="B659" s="223"/>
    </row>
    <row r="660">
      <c r="B660" s="223"/>
    </row>
    <row r="661">
      <c r="B661" s="223"/>
    </row>
    <row r="662">
      <c r="B662" s="223"/>
    </row>
    <row r="663">
      <c r="B663" s="223"/>
    </row>
    <row r="664">
      <c r="B664" s="223"/>
    </row>
    <row r="665">
      <c r="B665" s="223"/>
    </row>
    <row r="666">
      <c r="B666" s="223"/>
    </row>
    <row r="667">
      <c r="B667" s="223"/>
    </row>
    <row r="668">
      <c r="B668" s="223"/>
    </row>
    <row r="669">
      <c r="B669" s="223"/>
    </row>
    <row r="670">
      <c r="B670" s="223"/>
    </row>
    <row r="671">
      <c r="B671" s="223"/>
    </row>
    <row r="672">
      <c r="B672" s="223"/>
    </row>
    <row r="673">
      <c r="B673" s="223"/>
    </row>
    <row r="674">
      <c r="B674" s="223"/>
    </row>
    <row r="675">
      <c r="B675" s="223"/>
    </row>
    <row r="676">
      <c r="B676" s="223"/>
    </row>
    <row r="677">
      <c r="B677" s="223"/>
    </row>
    <row r="678">
      <c r="B678" s="223"/>
    </row>
    <row r="679">
      <c r="B679" s="223"/>
    </row>
    <row r="680">
      <c r="B680" s="223"/>
    </row>
    <row r="681">
      <c r="B681" s="223"/>
    </row>
    <row r="682">
      <c r="B682" s="223"/>
    </row>
    <row r="683">
      <c r="B683" s="223"/>
    </row>
    <row r="684">
      <c r="B684" s="223"/>
    </row>
    <row r="685">
      <c r="B685" s="223"/>
    </row>
    <row r="686">
      <c r="B686" s="223"/>
    </row>
    <row r="687">
      <c r="B687" s="223"/>
    </row>
    <row r="688">
      <c r="B688" s="223"/>
    </row>
    <row r="689">
      <c r="B689" s="223"/>
    </row>
    <row r="690">
      <c r="B690" s="223"/>
    </row>
    <row r="691">
      <c r="B691" s="223"/>
    </row>
    <row r="692">
      <c r="B692" s="223"/>
    </row>
    <row r="693">
      <c r="B693" s="223"/>
    </row>
    <row r="694">
      <c r="B694" s="223"/>
    </row>
    <row r="695">
      <c r="B695" s="223"/>
    </row>
    <row r="696">
      <c r="B696" s="223"/>
    </row>
    <row r="697">
      <c r="B697" s="223"/>
    </row>
    <row r="698">
      <c r="B698" s="223"/>
    </row>
    <row r="699">
      <c r="B699" s="223"/>
    </row>
    <row r="700">
      <c r="B700" s="223"/>
    </row>
    <row r="701">
      <c r="B701" s="223"/>
    </row>
    <row r="702">
      <c r="B702" s="223"/>
    </row>
    <row r="703">
      <c r="B703" s="223"/>
    </row>
    <row r="704">
      <c r="B704" s="223"/>
    </row>
    <row r="705">
      <c r="B705" s="223"/>
    </row>
    <row r="706">
      <c r="B706" s="223"/>
    </row>
    <row r="707">
      <c r="B707" s="223"/>
    </row>
    <row r="708">
      <c r="B708" s="223"/>
    </row>
    <row r="709">
      <c r="B709" s="223"/>
    </row>
    <row r="710">
      <c r="B710" s="223"/>
    </row>
    <row r="711">
      <c r="B711" s="223"/>
    </row>
    <row r="712">
      <c r="B712" s="223"/>
    </row>
    <row r="713">
      <c r="B713" s="223"/>
    </row>
    <row r="714">
      <c r="B714" s="223"/>
    </row>
    <row r="715">
      <c r="B715" s="223"/>
    </row>
    <row r="716">
      <c r="B716" s="223"/>
    </row>
    <row r="717">
      <c r="B717" s="223"/>
    </row>
    <row r="718">
      <c r="B718" s="223"/>
    </row>
    <row r="719">
      <c r="B719" s="223"/>
    </row>
    <row r="720">
      <c r="B720" s="223"/>
    </row>
    <row r="721">
      <c r="B721" s="223"/>
    </row>
    <row r="722">
      <c r="B722" s="223"/>
    </row>
    <row r="723">
      <c r="B723" s="223"/>
    </row>
    <row r="724">
      <c r="B724" s="223"/>
    </row>
    <row r="725">
      <c r="B725" s="223"/>
    </row>
    <row r="726">
      <c r="B726" s="223"/>
    </row>
    <row r="727">
      <c r="B727" s="223"/>
    </row>
    <row r="728">
      <c r="B728" s="223"/>
    </row>
    <row r="729">
      <c r="B729" s="223"/>
    </row>
    <row r="730">
      <c r="B730" s="223"/>
    </row>
    <row r="731">
      <c r="B731" s="223"/>
    </row>
    <row r="732">
      <c r="B732" s="223"/>
    </row>
    <row r="733">
      <c r="B733" s="223"/>
    </row>
    <row r="734">
      <c r="B734" s="223"/>
    </row>
    <row r="735">
      <c r="B735" s="223"/>
    </row>
    <row r="736">
      <c r="B736" s="223"/>
    </row>
    <row r="737">
      <c r="B737" s="223"/>
    </row>
    <row r="738">
      <c r="B738" s="223"/>
    </row>
    <row r="739">
      <c r="B739" s="223"/>
    </row>
    <row r="740">
      <c r="B740" s="223"/>
    </row>
    <row r="741">
      <c r="B741" s="223"/>
    </row>
    <row r="742">
      <c r="B742" s="223"/>
    </row>
    <row r="743">
      <c r="B743" s="223"/>
    </row>
    <row r="744">
      <c r="B744" s="223"/>
    </row>
    <row r="745">
      <c r="B745" s="223"/>
    </row>
    <row r="746">
      <c r="B746" s="223"/>
    </row>
    <row r="747">
      <c r="B747" s="223"/>
    </row>
    <row r="748">
      <c r="B748" s="223"/>
    </row>
    <row r="749">
      <c r="B749" s="223"/>
    </row>
    <row r="750">
      <c r="B750" s="223"/>
    </row>
    <row r="751">
      <c r="B751" s="223"/>
    </row>
    <row r="752">
      <c r="B752" s="223"/>
    </row>
    <row r="753">
      <c r="B753" s="223"/>
    </row>
    <row r="754">
      <c r="B754" s="223"/>
    </row>
    <row r="755">
      <c r="B755" s="223"/>
    </row>
    <row r="756">
      <c r="B756" s="223"/>
    </row>
    <row r="757">
      <c r="B757" s="223"/>
    </row>
    <row r="758">
      <c r="B758" s="223"/>
    </row>
    <row r="759">
      <c r="B759" s="223"/>
    </row>
    <row r="760">
      <c r="B760" s="223"/>
    </row>
    <row r="761">
      <c r="B761" s="223"/>
    </row>
    <row r="762">
      <c r="B762" s="223"/>
    </row>
    <row r="763">
      <c r="B763" s="223"/>
    </row>
    <row r="764">
      <c r="B764" s="223"/>
    </row>
    <row r="765">
      <c r="B765" s="223"/>
    </row>
    <row r="766">
      <c r="B766" s="223"/>
    </row>
    <row r="767">
      <c r="B767" s="223"/>
    </row>
    <row r="768">
      <c r="B768" s="223"/>
    </row>
    <row r="769">
      <c r="B769" s="223"/>
    </row>
    <row r="770">
      <c r="B770" s="223"/>
    </row>
    <row r="771">
      <c r="B771" s="223"/>
    </row>
    <row r="772">
      <c r="B772" s="223"/>
    </row>
    <row r="773">
      <c r="B773" s="223"/>
    </row>
    <row r="774">
      <c r="B774" s="223"/>
    </row>
    <row r="775">
      <c r="B775" s="223"/>
    </row>
    <row r="776">
      <c r="B776" s="223"/>
    </row>
    <row r="777">
      <c r="B777" s="223"/>
    </row>
    <row r="778">
      <c r="B778" s="223"/>
    </row>
    <row r="779">
      <c r="B779" s="223"/>
    </row>
    <row r="780">
      <c r="B780" s="223"/>
    </row>
    <row r="781">
      <c r="B781" s="223"/>
    </row>
    <row r="782">
      <c r="B782" s="223"/>
    </row>
    <row r="783">
      <c r="B783" s="223"/>
    </row>
    <row r="784">
      <c r="B784" s="223"/>
    </row>
    <row r="785">
      <c r="B785" s="223"/>
    </row>
    <row r="786">
      <c r="B786" s="223"/>
    </row>
    <row r="787">
      <c r="B787" s="223"/>
    </row>
    <row r="788">
      <c r="B788" s="223"/>
    </row>
    <row r="789">
      <c r="B789" s="223"/>
    </row>
    <row r="790">
      <c r="B790" s="223"/>
    </row>
    <row r="791">
      <c r="B791" s="223"/>
    </row>
    <row r="792">
      <c r="B792" s="223"/>
    </row>
    <row r="793">
      <c r="B793" s="223"/>
    </row>
    <row r="794">
      <c r="B794" s="223"/>
    </row>
    <row r="795">
      <c r="B795" s="223"/>
    </row>
    <row r="796">
      <c r="B796" s="223"/>
    </row>
    <row r="797">
      <c r="B797" s="223"/>
    </row>
    <row r="798">
      <c r="B798" s="223"/>
    </row>
    <row r="799">
      <c r="B799" s="223"/>
    </row>
    <row r="800">
      <c r="B800" s="223"/>
    </row>
    <row r="801">
      <c r="B801" s="223"/>
    </row>
    <row r="802">
      <c r="B802" s="223"/>
    </row>
    <row r="803">
      <c r="B803" s="223"/>
    </row>
    <row r="804">
      <c r="B804" s="223"/>
    </row>
    <row r="805">
      <c r="B805" s="223"/>
    </row>
    <row r="806">
      <c r="B806" s="223"/>
    </row>
    <row r="807">
      <c r="B807" s="223"/>
    </row>
    <row r="808">
      <c r="B808" s="223"/>
    </row>
    <row r="809">
      <c r="B809" s="223"/>
    </row>
    <row r="810">
      <c r="B810" s="223"/>
    </row>
    <row r="811">
      <c r="B811" s="223"/>
    </row>
    <row r="812">
      <c r="B812" s="223"/>
    </row>
    <row r="813">
      <c r="B813" s="223"/>
    </row>
    <row r="814">
      <c r="B814" s="223"/>
    </row>
    <row r="815">
      <c r="B815" s="223"/>
    </row>
    <row r="816">
      <c r="B816" s="223"/>
    </row>
    <row r="817">
      <c r="B817" s="223"/>
    </row>
    <row r="818">
      <c r="B818" s="223"/>
    </row>
    <row r="819">
      <c r="B819" s="223"/>
    </row>
    <row r="820">
      <c r="B820" s="223"/>
    </row>
    <row r="821">
      <c r="B821" s="223"/>
    </row>
    <row r="822">
      <c r="B822" s="223"/>
    </row>
    <row r="823">
      <c r="B823" s="223"/>
    </row>
    <row r="824">
      <c r="B824" s="223"/>
    </row>
    <row r="825">
      <c r="B825" s="223"/>
    </row>
    <row r="826">
      <c r="B826" s="223"/>
    </row>
    <row r="827">
      <c r="B827" s="223"/>
    </row>
    <row r="828">
      <c r="B828" s="223"/>
    </row>
    <row r="829">
      <c r="B829" s="223"/>
    </row>
    <row r="830">
      <c r="B830" s="223"/>
    </row>
    <row r="831">
      <c r="B831" s="223"/>
    </row>
    <row r="832">
      <c r="B832" s="223"/>
    </row>
    <row r="833">
      <c r="B833" s="223"/>
    </row>
    <row r="834">
      <c r="B834" s="223"/>
    </row>
    <row r="835">
      <c r="B835" s="223"/>
    </row>
    <row r="836">
      <c r="B836" s="223"/>
    </row>
    <row r="837">
      <c r="B837" s="223"/>
    </row>
    <row r="838">
      <c r="B838" s="223"/>
    </row>
    <row r="839">
      <c r="B839" s="223"/>
    </row>
    <row r="840">
      <c r="B840" s="223"/>
    </row>
    <row r="841">
      <c r="B841" s="223"/>
    </row>
    <row r="842">
      <c r="B842" s="223"/>
    </row>
    <row r="843">
      <c r="B843" s="223"/>
    </row>
    <row r="844">
      <c r="B844" s="223"/>
    </row>
    <row r="845">
      <c r="B845" s="223"/>
    </row>
    <row r="846">
      <c r="B846" s="223"/>
    </row>
    <row r="847">
      <c r="B847" s="223"/>
    </row>
    <row r="848">
      <c r="B848" s="223"/>
    </row>
    <row r="849">
      <c r="B849" s="223"/>
    </row>
    <row r="850">
      <c r="B850" s="223"/>
    </row>
    <row r="851">
      <c r="B851" s="223"/>
    </row>
    <row r="852">
      <c r="B852" s="223"/>
    </row>
    <row r="853">
      <c r="B853" s="223"/>
    </row>
    <row r="854">
      <c r="B854" s="223"/>
    </row>
    <row r="855">
      <c r="B855" s="223"/>
    </row>
    <row r="856">
      <c r="B856" s="223"/>
    </row>
    <row r="857">
      <c r="B857" s="223"/>
    </row>
    <row r="858">
      <c r="B858" s="223"/>
    </row>
    <row r="859">
      <c r="B859" s="223"/>
    </row>
    <row r="860">
      <c r="B860" s="223"/>
    </row>
    <row r="861">
      <c r="B861" s="223"/>
    </row>
    <row r="862">
      <c r="B862" s="223"/>
    </row>
    <row r="863">
      <c r="B863" s="223"/>
    </row>
    <row r="864">
      <c r="B864" s="223"/>
    </row>
    <row r="865">
      <c r="B865" s="223"/>
    </row>
    <row r="866">
      <c r="B866" s="223"/>
    </row>
    <row r="867">
      <c r="B867" s="223"/>
    </row>
    <row r="868">
      <c r="B868" s="223"/>
    </row>
    <row r="869">
      <c r="B869" s="223"/>
    </row>
    <row r="870">
      <c r="B870" s="223"/>
    </row>
    <row r="871">
      <c r="B871" s="223"/>
    </row>
    <row r="872">
      <c r="B872" s="223"/>
    </row>
    <row r="873">
      <c r="B873" s="223"/>
    </row>
    <row r="874">
      <c r="B874" s="223"/>
    </row>
    <row r="875">
      <c r="B875" s="223"/>
    </row>
    <row r="876">
      <c r="B876" s="223"/>
    </row>
    <row r="877">
      <c r="B877" s="223"/>
    </row>
    <row r="878">
      <c r="B878" s="223"/>
    </row>
    <row r="879">
      <c r="B879" s="223"/>
    </row>
    <row r="880">
      <c r="B880" s="223"/>
    </row>
    <row r="881">
      <c r="B881" s="223"/>
    </row>
    <row r="882">
      <c r="B882" s="223"/>
    </row>
    <row r="883">
      <c r="B883" s="223"/>
    </row>
    <row r="884">
      <c r="B884" s="223"/>
    </row>
    <row r="885">
      <c r="B885" s="223"/>
    </row>
    <row r="886">
      <c r="B886" s="223"/>
    </row>
    <row r="887">
      <c r="B887" s="223"/>
    </row>
    <row r="888">
      <c r="B888" s="223"/>
    </row>
    <row r="889">
      <c r="B889" s="223"/>
    </row>
    <row r="890">
      <c r="B890" s="223"/>
    </row>
    <row r="891">
      <c r="B891" s="223"/>
    </row>
    <row r="892">
      <c r="B892" s="223"/>
    </row>
    <row r="893">
      <c r="B893" s="223"/>
    </row>
    <row r="894">
      <c r="B894" s="223"/>
    </row>
    <row r="895">
      <c r="B895" s="223"/>
    </row>
    <row r="896">
      <c r="B896" s="223"/>
    </row>
    <row r="897">
      <c r="B897" s="223"/>
    </row>
    <row r="898">
      <c r="B898" s="223"/>
    </row>
    <row r="899">
      <c r="B899" s="223"/>
    </row>
    <row r="900">
      <c r="B900" s="223"/>
    </row>
    <row r="901">
      <c r="B901" s="223"/>
    </row>
    <row r="902">
      <c r="B902" s="223"/>
    </row>
    <row r="903">
      <c r="B903" s="223"/>
    </row>
    <row r="904">
      <c r="B904" s="223"/>
    </row>
    <row r="905">
      <c r="B905" s="223"/>
    </row>
    <row r="906">
      <c r="B906" s="223"/>
    </row>
    <row r="907">
      <c r="B907" s="223"/>
    </row>
    <row r="908">
      <c r="B908" s="223"/>
    </row>
    <row r="909">
      <c r="B909" s="223"/>
    </row>
    <row r="910">
      <c r="B910" s="223"/>
    </row>
    <row r="911">
      <c r="B911" s="223"/>
    </row>
    <row r="912">
      <c r="B912" s="223"/>
    </row>
    <row r="913">
      <c r="B913" s="223"/>
    </row>
    <row r="914">
      <c r="B914" s="223"/>
    </row>
    <row r="915">
      <c r="B915" s="223"/>
    </row>
    <row r="916">
      <c r="B916" s="223"/>
    </row>
    <row r="917">
      <c r="B917" s="223"/>
    </row>
    <row r="918">
      <c r="B918" s="223"/>
    </row>
    <row r="919">
      <c r="B919" s="223"/>
    </row>
    <row r="920">
      <c r="B920" s="223"/>
    </row>
    <row r="921">
      <c r="B921" s="223"/>
    </row>
    <row r="922">
      <c r="B922" s="223"/>
    </row>
    <row r="923">
      <c r="B923" s="223"/>
    </row>
    <row r="924">
      <c r="B924" s="223"/>
    </row>
    <row r="925">
      <c r="B925" s="223"/>
    </row>
    <row r="926">
      <c r="B926" s="223"/>
    </row>
    <row r="927">
      <c r="B927" s="223"/>
    </row>
    <row r="928">
      <c r="B928" s="223"/>
    </row>
    <row r="929">
      <c r="B929" s="223"/>
    </row>
    <row r="930">
      <c r="B930" s="223"/>
    </row>
    <row r="931">
      <c r="B931" s="223"/>
    </row>
    <row r="932">
      <c r="B932" s="223"/>
    </row>
    <row r="933">
      <c r="B933" s="223"/>
    </row>
    <row r="934">
      <c r="B934" s="223"/>
    </row>
    <row r="935">
      <c r="B935" s="223"/>
    </row>
    <row r="936">
      <c r="B936" s="223"/>
    </row>
    <row r="937">
      <c r="B937" s="223"/>
    </row>
    <row r="938">
      <c r="B938" s="223"/>
    </row>
    <row r="939">
      <c r="B939" s="223"/>
    </row>
    <row r="940">
      <c r="B940" s="223"/>
    </row>
    <row r="941">
      <c r="B941" s="223"/>
    </row>
    <row r="942">
      <c r="B942" s="223"/>
    </row>
    <row r="943">
      <c r="B943" s="223"/>
    </row>
    <row r="944">
      <c r="B944" s="223"/>
    </row>
    <row r="945">
      <c r="B945" s="223"/>
    </row>
    <row r="946">
      <c r="B946" s="223"/>
    </row>
    <row r="947">
      <c r="B947" s="223"/>
    </row>
    <row r="948">
      <c r="B948" s="223"/>
    </row>
    <row r="949">
      <c r="B949" s="223"/>
    </row>
    <row r="950">
      <c r="B950" s="223"/>
    </row>
    <row r="951">
      <c r="B951" s="223"/>
    </row>
    <row r="952">
      <c r="B952" s="223"/>
    </row>
    <row r="953">
      <c r="B953" s="223"/>
    </row>
    <row r="954">
      <c r="B954" s="223"/>
    </row>
    <row r="955">
      <c r="B955" s="223"/>
    </row>
    <row r="956">
      <c r="B956" s="223"/>
    </row>
    <row r="957">
      <c r="B957" s="223"/>
    </row>
    <row r="958">
      <c r="B958" s="223"/>
    </row>
    <row r="959">
      <c r="B959" s="223"/>
    </row>
    <row r="960">
      <c r="B960" s="223"/>
    </row>
    <row r="961">
      <c r="B961" s="223"/>
    </row>
    <row r="962">
      <c r="B962" s="223"/>
    </row>
    <row r="963">
      <c r="B963" s="223"/>
    </row>
    <row r="964">
      <c r="B964" s="223"/>
    </row>
    <row r="965">
      <c r="B965" s="223"/>
    </row>
    <row r="966">
      <c r="B966" s="223"/>
    </row>
    <row r="967">
      <c r="B967" s="223"/>
    </row>
    <row r="968">
      <c r="B968" s="223"/>
    </row>
    <row r="969">
      <c r="B969" s="223"/>
    </row>
    <row r="970">
      <c r="B970" s="223"/>
    </row>
    <row r="971">
      <c r="B971" s="223"/>
    </row>
    <row r="972">
      <c r="B972" s="223"/>
    </row>
    <row r="973">
      <c r="B973" s="223"/>
    </row>
    <row r="974">
      <c r="B974" s="223"/>
    </row>
    <row r="975">
      <c r="B975" s="223"/>
    </row>
    <row r="976">
      <c r="B976" s="223"/>
    </row>
    <row r="977">
      <c r="B977" s="223"/>
    </row>
    <row r="978">
      <c r="B978" s="223"/>
    </row>
    <row r="979">
      <c r="B979" s="223"/>
    </row>
    <row r="980">
      <c r="B980" s="223"/>
    </row>
    <row r="981">
      <c r="B981" s="223"/>
    </row>
    <row r="982">
      <c r="B982" s="223"/>
    </row>
    <row r="983">
      <c r="B983" s="223"/>
    </row>
    <row r="984">
      <c r="B984" s="223"/>
    </row>
    <row r="985">
      <c r="B985" s="223"/>
    </row>
    <row r="986">
      <c r="B986" s="223"/>
    </row>
    <row r="987">
      <c r="B987" s="223"/>
    </row>
    <row r="988">
      <c r="B988" s="223"/>
    </row>
    <row r="989">
      <c r="B989" s="223"/>
    </row>
    <row r="990">
      <c r="B990" s="223"/>
    </row>
    <row r="991">
      <c r="B991" s="223"/>
    </row>
    <row r="992">
      <c r="B992" s="223"/>
    </row>
  </sheetData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9.88"/>
    <col customWidth="1" min="3" max="3" width="60.38"/>
    <col customWidth="1" min="4" max="8" width="26.13"/>
    <col customWidth="1" hidden="1" min="9" max="11" width="26.13"/>
  </cols>
  <sheetData>
    <row r="1">
      <c r="A1" s="12" t="s">
        <v>4476</v>
      </c>
      <c r="B1" s="12" t="s">
        <v>1</v>
      </c>
      <c r="C1" s="11" t="s">
        <v>294</v>
      </c>
      <c r="D1" s="11" t="s">
        <v>248</v>
      </c>
      <c r="E1" s="11" t="s">
        <v>249</v>
      </c>
      <c r="F1" s="11" t="s">
        <v>250</v>
      </c>
      <c r="G1" s="11" t="s">
        <v>251</v>
      </c>
      <c r="H1" s="228"/>
      <c r="I1" s="228"/>
      <c r="J1" s="228"/>
      <c r="K1" s="228"/>
    </row>
    <row r="2">
      <c r="A2" s="37" t="s">
        <v>4957</v>
      </c>
      <c r="B2" s="37">
        <v>7031.0</v>
      </c>
      <c r="C2" s="95">
        <v>0.1</v>
      </c>
      <c r="D2" s="105">
        <v>0.73</v>
      </c>
      <c r="E2" s="105">
        <v>0.73</v>
      </c>
      <c r="F2" s="229" t="s">
        <v>1656</v>
      </c>
      <c r="G2" s="229"/>
      <c r="H2" s="229"/>
      <c r="I2" s="230" t="s">
        <v>1655</v>
      </c>
      <c r="J2" s="195" t="s">
        <v>4958</v>
      </c>
      <c r="K2" s="175">
        <v>2345.0</v>
      </c>
    </row>
    <row r="3">
      <c r="A3" s="37" t="s">
        <v>4959</v>
      </c>
      <c r="B3" s="37">
        <v>2345.0</v>
      </c>
      <c r="C3" s="95">
        <v>0.1</v>
      </c>
      <c r="D3" s="105">
        <v>0.9</v>
      </c>
      <c r="E3" s="105">
        <v>0.9</v>
      </c>
      <c r="F3" s="229" t="s">
        <v>1656</v>
      </c>
      <c r="G3" s="229"/>
      <c r="H3" s="229"/>
      <c r="I3" s="230" t="s">
        <v>1657</v>
      </c>
      <c r="J3" s="195" t="s">
        <v>4958</v>
      </c>
      <c r="K3" s="175">
        <v>2345.0</v>
      </c>
    </row>
    <row r="4">
      <c r="A4" s="37" t="s">
        <v>4960</v>
      </c>
      <c r="B4" s="37">
        <v>6675.0</v>
      </c>
      <c r="C4" s="95">
        <v>0.1</v>
      </c>
      <c r="D4" s="105">
        <v>0.78</v>
      </c>
      <c r="E4" s="105">
        <v>0.78</v>
      </c>
      <c r="F4" s="229" t="s">
        <v>1656</v>
      </c>
      <c r="G4" s="229"/>
      <c r="H4" s="229"/>
      <c r="I4" s="230" t="s">
        <v>1658</v>
      </c>
      <c r="J4" s="195" t="s">
        <v>4958</v>
      </c>
      <c r="K4" s="175">
        <v>2345.0</v>
      </c>
    </row>
    <row r="5">
      <c r="A5" s="37" t="s">
        <v>4961</v>
      </c>
      <c r="B5" s="37">
        <v>189.0</v>
      </c>
      <c r="C5" s="95">
        <v>0.1</v>
      </c>
      <c r="D5" s="105">
        <v>0.78</v>
      </c>
      <c r="E5" s="105">
        <v>0.78</v>
      </c>
      <c r="F5" s="229" t="s">
        <v>1656</v>
      </c>
      <c r="G5" s="229"/>
      <c r="H5" s="229"/>
      <c r="I5" s="230" t="s">
        <v>1660</v>
      </c>
      <c r="J5" s="195" t="s">
        <v>4958</v>
      </c>
      <c r="K5" s="175">
        <v>2345.0</v>
      </c>
    </row>
    <row r="6">
      <c r="A6" s="37" t="s">
        <v>4962</v>
      </c>
      <c r="B6" s="37">
        <v>6675.0</v>
      </c>
      <c r="C6" s="95">
        <v>0.1</v>
      </c>
      <c r="D6" s="105">
        <v>0.78</v>
      </c>
      <c r="E6" s="105">
        <v>0.78</v>
      </c>
      <c r="F6" s="229" t="s">
        <v>1656</v>
      </c>
      <c r="G6" s="229"/>
      <c r="H6" s="229"/>
      <c r="I6" s="230" t="s">
        <v>1661</v>
      </c>
      <c r="J6" s="195" t="s">
        <v>4958</v>
      </c>
      <c r="K6" s="175">
        <v>6924.0</v>
      </c>
    </row>
    <row r="7">
      <c r="A7" s="37" t="s">
        <v>4963</v>
      </c>
      <c r="B7" s="37">
        <v>663.0</v>
      </c>
      <c r="C7" s="95">
        <v>0.1</v>
      </c>
      <c r="D7" s="105">
        <v>0.8</v>
      </c>
      <c r="E7" s="105">
        <v>0.8</v>
      </c>
      <c r="F7" s="229" t="s">
        <v>1656</v>
      </c>
      <c r="G7" s="229"/>
      <c r="H7" s="229"/>
      <c r="I7" s="230" t="s">
        <v>1662</v>
      </c>
      <c r="J7" s="195" t="s">
        <v>4958</v>
      </c>
      <c r="K7" s="175">
        <v>7023.0</v>
      </c>
    </row>
    <row r="8">
      <c r="A8" s="37" t="s">
        <v>4964</v>
      </c>
      <c r="B8" s="37">
        <v>12941.0</v>
      </c>
      <c r="C8" s="95">
        <v>0.1</v>
      </c>
      <c r="D8" s="105">
        <v>0.73</v>
      </c>
      <c r="E8" s="105">
        <v>0.73</v>
      </c>
      <c r="F8" s="229" t="s">
        <v>1656</v>
      </c>
      <c r="G8" s="229"/>
      <c r="H8" s="229"/>
      <c r="I8" s="230" t="s">
        <v>1666</v>
      </c>
      <c r="J8" s="195" t="s">
        <v>4958</v>
      </c>
      <c r="K8" s="175">
        <v>5458.0</v>
      </c>
    </row>
    <row r="9">
      <c r="A9" s="37" t="s">
        <v>4965</v>
      </c>
      <c r="B9" s="37">
        <v>663.0</v>
      </c>
      <c r="C9" s="95">
        <v>0.1</v>
      </c>
      <c r="D9" s="105">
        <v>0.8</v>
      </c>
      <c r="E9" s="105">
        <v>0.8</v>
      </c>
      <c r="F9" s="229" t="s">
        <v>1656</v>
      </c>
      <c r="G9" s="229"/>
      <c r="H9" s="229"/>
      <c r="I9" s="230" t="s">
        <v>1667</v>
      </c>
      <c r="J9" s="195" t="s">
        <v>4958</v>
      </c>
      <c r="K9" s="175">
        <v>5458.0</v>
      </c>
    </row>
    <row r="10">
      <c r="A10" s="37" t="s">
        <v>4966</v>
      </c>
      <c r="B10" s="37">
        <v>6947.0</v>
      </c>
      <c r="C10" s="95">
        <v>0.1</v>
      </c>
      <c r="D10" s="105">
        <v>0.73</v>
      </c>
      <c r="E10" s="105">
        <v>0.73</v>
      </c>
      <c r="F10" s="229" t="s">
        <v>1656</v>
      </c>
      <c r="G10" s="229"/>
      <c r="H10" s="229"/>
      <c r="I10" s="230" t="s">
        <v>1670</v>
      </c>
      <c r="J10" s="195" t="s">
        <v>4958</v>
      </c>
      <c r="K10" s="175">
        <v>6727.0</v>
      </c>
    </row>
    <row r="11">
      <c r="A11" s="37" t="s">
        <v>4967</v>
      </c>
      <c r="B11" s="37">
        <v>6729.0</v>
      </c>
      <c r="C11" s="95">
        <v>0.1</v>
      </c>
      <c r="D11" s="105">
        <v>0.78</v>
      </c>
      <c r="E11" s="105">
        <v>0.78</v>
      </c>
      <c r="F11" s="229" t="s">
        <v>1656</v>
      </c>
      <c r="G11" s="229"/>
      <c r="H11" s="229"/>
      <c r="I11" s="230" t="s">
        <v>1674</v>
      </c>
      <c r="J11" s="195" t="s">
        <v>4958</v>
      </c>
      <c r="K11" s="175">
        <v>6903.0</v>
      </c>
    </row>
    <row r="12">
      <c r="A12" s="37" t="s">
        <v>4968</v>
      </c>
      <c r="B12" s="37">
        <v>283.0</v>
      </c>
      <c r="C12" s="95">
        <v>0.1</v>
      </c>
      <c r="D12" s="105">
        <v>0.73</v>
      </c>
      <c r="E12" s="105">
        <v>0.73</v>
      </c>
      <c r="F12" s="229" t="s">
        <v>1656</v>
      </c>
      <c r="G12" s="229"/>
      <c r="H12" s="229"/>
      <c r="I12" s="230" t="s">
        <v>1675</v>
      </c>
      <c r="J12" s="195" t="s">
        <v>4958</v>
      </c>
      <c r="K12" s="175">
        <v>2345.0</v>
      </c>
    </row>
    <row r="13">
      <c r="A13" s="37" t="s">
        <v>4969</v>
      </c>
      <c r="B13" s="37">
        <v>283.0</v>
      </c>
      <c r="C13" s="95">
        <v>0.1</v>
      </c>
      <c r="D13" s="105">
        <v>0.73</v>
      </c>
      <c r="E13" s="105">
        <v>0.73</v>
      </c>
      <c r="F13" s="229" t="s">
        <v>1656</v>
      </c>
      <c r="G13" s="229"/>
      <c r="H13" s="229"/>
      <c r="I13" s="230" t="s">
        <v>1716</v>
      </c>
      <c r="J13" s="195" t="s">
        <v>4958</v>
      </c>
      <c r="K13" s="175">
        <v>2345.0</v>
      </c>
    </row>
    <row r="14">
      <c r="A14" s="37" t="s">
        <v>4970</v>
      </c>
      <c r="B14" s="45"/>
      <c r="C14" s="95">
        <v>0.1</v>
      </c>
      <c r="D14" s="105">
        <v>0.73</v>
      </c>
      <c r="E14" s="105">
        <v>0.73</v>
      </c>
      <c r="F14" s="229" t="s">
        <v>1656</v>
      </c>
      <c r="G14" s="229"/>
      <c r="H14" s="229"/>
      <c r="I14" s="230" t="s">
        <v>1676</v>
      </c>
      <c r="J14" s="195" t="s">
        <v>4958</v>
      </c>
      <c r="K14" s="175">
        <v>2345.0</v>
      </c>
    </row>
    <row r="15">
      <c r="A15" s="37" t="s">
        <v>4971</v>
      </c>
      <c r="B15" s="37">
        <v>6675.0</v>
      </c>
      <c r="C15" s="95">
        <v>0.1</v>
      </c>
      <c r="D15" s="105">
        <v>0.78</v>
      </c>
      <c r="E15" s="105">
        <v>0.78</v>
      </c>
      <c r="F15" s="229" t="s">
        <v>1656</v>
      </c>
      <c r="G15" s="229"/>
      <c r="H15" s="229"/>
      <c r="I15" s="230" t="s">
        <v>1717</v>
      </c>
      <c r="J15" s="195" t="s">
        <v>4958</v>
      </c>
      <c r="K15" s="175">
        <v>2345.0</v>
      </c>
    </row>
    <row r="16">
      <c r="A16" s="37" t="s">
        <v>4972</v>
      </c>
      <c r="B16" s="37">
        <v>6675.0</v>
      </c>
      <c r="C16" s="95">
        <v>0.1</v>
      </c>
      <c r="D16" s="105">
        <v>0.78</v>
      </c>
      <c r="E16" s="105">
        <v>0.78</v>
      </c>
      <c r="F16" s="229" t="s">
        <v>1656</v>
      </c>
      <c r="G16" s="229"/>
      <c r="H16" s="229"/>
      <c r="I16" s="230" t="s">
        <v>1677</v>
      </c>
      <c r="J16" s="195" t="s">
        <v>4958</v>
      </c>
      <c r="K16" s="175">
        <v>2345.0</v>
      </c>
    </row>
    <row r="17">
      <c r="A17" s="37" t="s">
        <v>4973</v>
      </c>
      <c r="B17" s="45"/>
      <c r="C17" s="95">
        <v>0.1</v>
      </c>
      <c r="D17" s="105">
        <v>0.73</v>
      </c>
      <c r="E17" s="105">
        <v>0.73</v>
      </c>
      <c r="F17" s="229" t="s">
        <v>1656</v>
      </c>
      <c r="G17" s="229"/>
      <c r="H17" s="229"/>
      <c r="I17" s="230" t="s">
        <v>1678</v>
      </c>
      <c r="J17" s="195" t="s">
        <v>4958</v>
      </c>
      <c r="K17" s="175">
        <v>2345.0</v>
      </c>
    </row>
    <row r="18">
      <c r="A18" s="37" t="s">
        <v>4974</v>
      </c>
      <c r="B18" s="45"/>
      <c r="C18" s="95">
        <v>0.1</v>
      </c>
      <c r="D18" s="105">
        <v>0.73</v>
      </c>
      <c r="E18" s="105">
        <v>0.73</v>
      </c>
      <c r="F18" s="229" t="s">
        <v>1656</v>
      </c>
      <c r="G18" s="229"/>
      <c r="H18" s="229"/>
      <c r="I18" s="230" t="s">
        <v>1680</v>
      </c>
      <c r="J18" s="195" t="s">
        <v>4958</v>
      </c>
      <c r="K18" s="175">
        <v>5125.0</v>
      </c>
    </row>
    <row r="19">
      <c r="A19" s="37" t="s">
        <v>4975</v>
      </c>
      <c r="B19" s="16">
        <v>14732.0</v>
      </c>
      <c r="C19" s="95">
        <v>0.1</v>
      </c>
      <c r="D19" s="105">
        <v>0.73</v>
      </c>
      <c r="E19" s="105">
        <v>0.73</v>
      </c>
      <c r="F19" s="229" t="s">
        <v>1656</v>
      </c>
      <c r="G19" s="229"/>
      <c r="H19" s="229"/>
      <c r="I19" s="230" t="s">
        <v>1682</v>
      </c>
      <c r="J19" s="195" t="s">
        <v>4958</v>
      </c>
      <c r="K19" s="175">
        <v>986.0</v>
      </c>
    </row>
    <row r="20">
      <c r="A20" s="37" t="s">
        <v>4976</v>
      </c>
      <c r="B20" s="45"/>
      <c r="C20" s="95">
        <v>0.1</v>
      </c>
      <c r="D20" s="105">
        <v>0.73</v>
      </c>
      <c r="E20" s="105">
        <v>0.73</v>
      </c>
      <c r="F20" s="229" t="s">
        <v>1656</v>
      </c>
      <c r="G20" s="229"/>
      <c r="H20" s="229"/>
      <c r="I20" s="230" t="s">
        <v>1683</v>
      </c>
      <c r="J20" s="195" t="s">
        <v>4958</v>
      </c>
      <c r="K20" s="175">
        <v>6875.0</v>
      </c>
    </row>
    <row r="21">
      <c r="A21" s="37" t="s">
        <v>4977</v>
      </c>
      <c r="B21" s="37">
        <v>2345.0</v>
      </c>
      <c r="C21" s="95">
        <v>0.1</v>
      </c>
      <c r="D21" s="105">
        <v>0.9</v>
      </c>
      <c r="E21" s="105">
        <v>0.9</v>
      </c>
      <c r="F21" s="229" t="s">
        <v>1656</v>
      </c>
      <c r="G21" s="229"/>
      <c r="H21" s="229"/>
      <c r="I21" s="230" t="s">
        <v>1684</v>
      </c>
      <c r="J21" s="195" t="s">
        <v>4958</v>
      </c>
      <c r="K21" s="175">
        <v>7036.0</v>
      </c>
    </row>
    <row r="22">
      <c r="A22" s="37" t="s">
        <v>4978</v>
      </c>
      <c r="B22" s="37">
        <v>2345.0</v>
      </c>
      <c r="C22" s="95">
        <v>0.1</v>
      </c>
      <c r="D22" s="105">
        <v>0.9</v>
      </c>
      <c r="E22" s="105">
        <v>0.9</v>
      </c>
      <c r="F22" s="229" t="s">
        <v>1656</v>
      </c>
      <c r="G22" s="229"/>
      <c r="H22" s="229"/>
      <c r="I22" s="230" t="s">
        <v>1685</v>
      </c>
      <c r="J22" s="195" t="s">
        <v>4958</v>
      </c>
      <c r="K22" s="175">
        <v>7100.0</v>
      </c>
    </row>
    <row r="23">
      <c r="A23" s="37" t="s">
        <v>4979</v>
      </c>
      <c r="B23" s="37">
        <v>2345.0</v>
      </c>
      <c r="C23" s="95">
        <v>0.1</v>
      </c>
      <c r="D23" s="105">
        <v>0.9</v>
      </c>
      <c r="E23" s="105">
        <v>0.9</v>
      </c>
      <c r="F23" s="229" t="s">
        <v>1656</v>
      </c>
      <c r="G23" s="229"/>
      <c r="H23" s="229"/>
      <c r="I23" s="230" t="s">
        <v>1686</v>
      </c>
      <c r="J23" s="195" t="s">
        <v>4958</v>
      </c>
      <c r="K23" s="175">
        <v>7031.0</v>
      </c>
    </row>
    <row r="24">
      <c r="A24" s="37" t="s">
        <v>4980</v>
      </c>
      <c r="B24" s="37">
        <v>2345.0</v>
      </c>
      <c r="C24" s="95">
        <v>0.1</v>
      </c>
      <c r="D24" s="105">
        <v>0.9</v>
      </c>
      <c r="E24" s="105">
        <v>0.9</v>
      </c>
      <c r="F24" s="229" t="s">
        <v>1656</v>
      </c>
      <c r="G24" s="229"/>
      <c r="H24" s="229"/>
      <c r="I24" s="230" t="s">
        <v>1687</v>
      </c>
      <c r="J24" s="195" t="s">
        <v>4958</v>
      </c>
      <c r="K24" s="175">
        <v>986.0</v>
      </c>
    </row>
    <row r="25">
      <c r="A25" s="37" t="s">
        <v>4981</v>
      </c>
      <c r="B25" s="37">
        <v>2345.0</v>
      </c>
      <c r="C25" s="95">
        <v>0.1</v>
      </c>
      <c r="D25" s="105">
        <v>0.9</v>
      </c>
      <c r="E25" s="105">
        <v>0.9</v>
      </c>
      <c r="F25" s="229" t="s">
        <v>1656</v>
      </c>
      <c r="G25" s="229"/>
      <c r="H25" s="229"/>
      <c r="I25" s="230" t="s">
        <v>1688</v>
      </c>
      <c r="J25" s="195" t="s">
        <v>4958</v>
      </c>
      <c r="K25" s="175">
        <v>986.0</v>
      </c>
    </row>
    <row r="26">
      <c r="A26" s="37" t="s">
        <v>4982</v>
      </c>
      <c r="B26" s="37">
        <v>2345.0</v>
      </c>
      <c r="C26" s="95">
        <v>0.1</v>
      </c>
      <c r="D26" s="105">
        <v>0.9</v>
      </c>
      <c r="E26" s="105">
        <v>0.9</v>
      </c>
      <c r="F26" s="229" t="s">
        <v>1656</v>
      </c>
      <c r="G26" s="229"/>
      <c r="H26" s="229"/>
      <c r="I26" s="230" t="s">
        <v>1689</v>
      </c>
      <c r="J26" s="195" t="s">
        <v>4958</v>
      </c>
      <c r="K26" s="175">
        <v>986.0</v>
      </c>
    </row>
    <row r="27">
      <c r="A27" s="37" t="s">
        <v>4983</v>
      </c>
      <c r="B27" s="45"/>
      <c r="C27" s="95">
        <v>0.1</v>
      </c>
      <c r="D27" s="105">
        <v>0.73</v>
      </c>
      <c r="E27" s="105">
        <v>0.73</v>
      </c>
      <c r="F27" s="229" t="s">
        <v>1656</v>
      </c>
      <c r="G27" s="229"/>
      <c r="H27" s="229"/>
      <c r="I27" s="230" t="s">
        <v>1690</v>
      </c>
      <c r="J27" s="195" t="s">
        <v>4958</v>
      </c>
      <c r="K27" s="175">
        <v>986.0</v>
      </c>
    </row>
    <row r="28">
      <c r="A28" s="37" t="s">
        <v>4984</v>
      </c>
      <c r="B28" s="45"/>
      <c r="C28" s="95">
        <v>0.1</v>
      </c>
      <c r="D28" s="105">
        <v>0.73</v>
      </c>
      <c r="E28" s="105">
        <v>0.73</v>
      </c>
      <c r="F28" s="229" t="s">
        <v>1656</v>
      </c>
      <c r="G28" s="229"/>
      <c r="H28" s="229"/>
      <c r="I28" s="230" t="s">
        <v>1692</v>
      </c>
      <c r="J28" s="195" t="s">
        <v>4958</v>
      </c>
      <c r="K28" s="175">
        <v>986.0</v>
      </c>
    </row>
    <row r="29">
      <c r="A29" s="37" t="s">
        <v>4985</v>
      </c>
      <c r="B29" s="45"/>
      <c r="C29" s="95">
        <v>0.1</v>
      </c>
      <c r="D29" s="105">
        <v>0.73</v>
      </c>
      <c r="E29" s="105">
        <v>0.73</v>
      </c>
      <c r="F29" s="229" t="s">
        <v>1656</v>
      </c>
      <c r="G29" s="229"/>
      <c r="H29" s="229"/>
      <c r="I29" s="230" t="s">
        <v>1694</v>
      </c>
      <c r="J29" s="195" t="s">
        <v>4958</v>
      </c>
      <c r="K29" s="175">
        <v>6671.0</v>
      </c>
    </row>
    <row r="30">
      <c r="A30" s="37" t="s">
        <v>4986</v>
      </c>
      <c r="B30" s="45"/>
      <c r="C30" s="95">
        <v>0.1</v>
      </c>
      <c r="D30" s="105">
        <v>0.73</v>
      </c>
      <c r="E30" s="105">
        <v>0.73</v>
      </c>
      <c r="F30" s="229" t="s">
        <v>1656</v>
      </c>
      <c r="G30" s="229"/>
      <c r="H30" s="229"/>
      <c r="I30" s="230" t="s">
        <v>1696</v>
      </c>
      <c r="J30" s="195" t="s">
        <v>4958</v>
      </c>
      <c r="K30" s="175">
        <v>986.0</v>
      </c>
    </row>
    <row r="31">
      <c r="A31" s="37" t="s">
        <v>4987</v>
      </c>
      <c r="B31" s="37">
        <v>12553.0</v>
      </c>
      <c r="C31" s="95">
        <v>0.1</v>
      </c>
      <c r="D31" s="105">
        <v>0.73</v>
      </c>
      <c r="E31" s="105">
        <v>0.73</v>
      </c>
      <c r="F31" s="229" t="s">
        <v>1656</v>
      </c>
      <c r="G31" s="229"/>
      <c r="H31" s="229"/>
      <c r="I31" s="230" t="s">
        <v>1697</v>
      </c>
      <c r="J31" s="195" t="s">
        <v>4958</v>
      </c>
      <c r="K31" s="175">
        <v>6732.0</v>
      </c>
    </row>
    <row r="32">
      <c r="A32" s="37" t="s">
        <v>4988</v>
      </c>
      <c r="B32" s="45"/>
      <c r="C32" s="95">
        <v>0.1</v>
      </c>
      <c r="D32" s="105">
        <v>0.73</v>
      </c>
      <c r="E32" s="105">
        <v>0.73</v>
      </c>
      <c r="F32" s="229" t="s">
        <v>1656</v>
      </c>
      <c r="G32" s="229"/>
      <c r="H32" s="229"/>
      <c r="I32" s="230" t="s">
        <v>1719</v>
      </c>
      <c r="J32" s="195" t="s">
        <v>4958</v>
      </c>
      <c r="K32" s="175">
        <v>7033.0</v>
      </c>
    </row>
    <row r="33">
      <c r="A33" s="37" t="s">
        <v>4989</v>
      </c>
      <c r="B33" s="45"/>
      <c r="C33" s="95">
        <v>0.1</v>
      </c>
      <c r="D33" s="105">
        <v>0.73</v>
      </c>
      <c r="E33" s="105">
        <v>0.73</v>
      </c>
      <c r="F33" s="229" t="s">
        <v>1656</v>
      </c>
      <c r="G33" s="229"/>
      <c r="H33" s="229"/>
      <c r="I33" s="230" t="s">
        <v>1720</v>
      </c>
      <c r="J33" s="195" t="s">
        <v>4958</v>
      </c>
      <c r="K33" s="175">
        <v>7142.0</v>
      </c>
    </row>
    <row r="34">
      <c r="A34" s="37" t="s">
        <v>4990</v>
      </c>
      <c r="B34" s="37">
        <v>2345.0</v>
      </c>
      <c r="C34" s="95">
        <v>0.1</v>
      </c>
      <c r="D34" s="105">
        <v>0.9</v>
      </c>
      <c r="E34" s="105">
        <v>0.9</v>
      </c>
      <c r="F34" s="229" t="s">
        <v>1656</v>
      </c>
      <c r="G34" s="229"/>
      <c r="H34" s="229"/>
      <c r="I34" s="230" t="s">
        <v>1698</v>
      </c>
      <c r="J34" s="195" t="s">
        <v>4958</v>
      </c>
      <c r="K34" s="175">
        <v>663.0</v>
      </c>
    </row>
    <row r="35">
      <c r="A35" s="37" t="s">
        <v>4991</v>
      </c>
      <c r="B35" s="37">
        <v>2345.0</v>
      </c>
      <c r="C35" s="95">
        <v>0.1</v>
      </c>
      <c r="D35" s="105">
        <v>0.9</v>
      </c>
      <c r="E35" s="105">
        <v>0.9</v>
      </c>
      <c r="F35" s="229" t="s">
        <v>1656</v>
      </c>
      <c r="G35" s="229"/>
      <c r="H35" s="229"/>
      <c r="I35" s="230" t="s">
        <v>1699</v>
      </c>
      <c r="J35" s="195" t="s">
        <v>4958</v>
      </c>
      <c r="K35" s="175">
        <v>663.0</v>
      </c>
    </row>
    <row r="36">
      <c r="A36" s="37" t="s">
        <v>4992</v>
      </c>
      <c r="B36" s="37">
        <v>2345.0</v>
      </c>
      <c r="C36" s="95">
        <v>0.1</v>
      </c>
      <c r="D36" s="105">
        <v>0.9</v>
      </c>
      <c r="E36" s="105">
        <v>0.9</v>
      </c>
      <c r="F36" s="229" t="s">
        <v>1656</v>
      </c>
      <c r="G36" s="229"/>
      <c r="H36" s="229"/>
      <c r="I36" s="230" t="s">
        <v>1700</v>
      </c>
      <c r="J36" s="195" t="s">
        <v>4958</v>
      </c>
      <c r="K36" s="175">
        <v>6132.0</v>
      </c>
    </row>
    <row r="37">
      <c r="A37" s="37" t="s">
        <v>4993</v>
      </c>
      <c r="B37" s="45"/>
      <c r="C37" s="95">
        <v>0.1</v>
      </c>
      <c r="D37" s="105">
        <v>0.73</v>
      </c>
      <c r="E37" s="105">
        <v>0.73</v>
      </c>
      <c r="F37" s="229" t="s">
        <v>1656</v>
      </c>
      <c r="G37" s="229"/>
      <c r="H37" s="229"/>
      <c r="I37" s="230" t="s">
        <v>1701</v>
      </c>
      <c r="J37" s="195" t="s">
        <v>4958</v>
      </c>
      <c r="K37" s="175">
        <v>6658.0</v>
      </c>
    </row>
    <row r="38">
      <c r="A38" s="37" t="s">
        <v>4994</v>
      </c>
      <c r="B38" s="45"/>
      <c r="C38" s="95">
        <v>0.1</v>
      </c>
      <c r="D38" s="105">
        <v>0.73</v>
      </c>
      <c r="E38" s="105">
        <v>0.73</v>
      </c>
      <c r="F38" s="229" t="s">
        <v>1656</v>
      </c>
      <c r="G38" s="229"/>
      <c r="H38" s="229"/>
      <c r="I38" s="230" t="s">
        <v>1702</v>
      </c>
      <c r="J38" s="195" t="s">
        <v>4958</v>
      </c>
      <c r="K38" s="175">
        <v>6772.0</v>
      </c>
    </row>
    <row r="39">
      <c r="A39" s="37" t="s">
        <v>4995</v>
      </c>
      <c r="B39" s="45"/>
      <c r="C39" s="95">
        <v>0.1</v>
      </c>
      <c r="D39" s="105">
        <v>0.73</v>
      </c>
      <c r="E39" s="105">
        <v>0.73</v>
      </c>
      <c r="F39" s="229" t="s">
        <v>1656</v>
      </c>
      <c r="G39" s="229"/>
      <c r="H39" s="229"/>
      <c r="I39" s="230" t="s">
        <v>1705</v>
      </c>
      <c r="J39" s="195" t="s">
        <v>4958</v>
      </c>
      <c r="K39" s="175">
        <v>7083.0</v>
      </c>
    </row>
    <row r="40">
      <c r="A40" s="37" t="s">
        <v>4996</v>
      </c>
      <c r="B40" s="45"/>
      <c r="C40" s="95">
        <v>0.1</v>
      </c>
      <c r="D40" s="105">
        <v>0.73</v>
      </c>
      <c r="E40" s="105">
        <v>0.73</v>
      </c>
      <c r="F40" s="229" t="s">
        <v>1656</v>
      </c>
      <c r="G40" s="229"/>
      <c r="H40" s="229"/>
      <c r="I40" s="230" t="s">
        <v>1707</v>
      </c>
      <c r="J40" s="195" t="s">
        <v>4958</v>
      </c>
      <c r="K40" s="175">
        <v>4933.0</v>
      </c>
    </row>
    <row r="41">
      <c r="A41" s="37" t="s">
        <v>4997</v>
      </c>
      <c r="B41" s="45"/>
      <c r="C41" s="95">
        <v>0.1</v>
      </c>
      <c r="D41" s="105">
        <v>0.73</v>
      </c>
      <c r="E41" s="105">
        <v>0.73</v>
      </c>
      <c r="F41" s="229" t="s">
        <v>1656</v>
      </c>
      <c r="G41" s="229"/>
      <c r="H41" s="229"/>
      <c r="I41" s="230" t="s">
        <v>1723</v>
      </c>
      <c r="J41" s="195" t="s">
        <v>4958</v>
      </c>
      <c r="K41" s="175">
        <v>7036.0</v>
      </c>
    </row>
    <row r="42">
      <c r="A42" s="37" t="s">
        <v>4998</v>
      </c>
      <c r="B42" s="45"/>
      <c r="C42" s="95">
        <v>0.1</v>
      </c>
      <c r="D42" s="105">
        <v>0.73</v>
      </c>
      <c r="E42" s="105">
        <v>0.73</v>
      </c>
      <c r="F42" s="229" t="s">
        <v>1656</v>
      </c>
      <c r="G42" s="229"/>
      <c r="H42" s="229"/>
      <c r="I42" s="230" t="s">
        <v>3713</v>
      </c>
      <c r="J42" s="195" t="s">
        <v>4958</v>
      </c>
      <c r="K42" s="175">
        <v>7036.0</v>
      </c>
    </row>
    <row r="43">
      <c r="A43" s="37" t="s">
        <v>4999</v>
      </c>
      <c r="B43" s="45"/>
      <c r="C43" s="95">
        <v>0.1</v>
      </c>
      <c r="D43" s="105">
        <v>0.73</v>
      </c>
      <c r="E43" s="105">
        <v>0.73</v>
      </c>
      <c r="F43" s="229" t="s">
        <v>1656</v>
      </c>
      <c r="G43" s="229"/>
      <c r="H43" s="229"/>
      <c r="I43" s="230" t="s">
        <v>3716</v>
      </c>
      <c r="J43" s="195" t="s">
        <v>4958</v>
      </c>
      <c r="K43" s="175">
        <v>7036.0</v>
      </c>
    </row>
    <row r="44">
      <c r="A44" s="37" t="s">
        <v>5000</v>
      </c>
      <c r="B44" s="45"/>
      <c r="C44" s="95">
        <v>0.1</v>
      </c>
      <c r="D44" s="105">
        <v>0.73</v>
      </c>
      <c r="E44" s="105">
        <v>0.73</v>
      </c>
      <c r="F44" s="229" t="s">
        <v>1656</v>
      </c>
      <c r="G44" s="229"/>
      <c r="H44" s="229"/>
      <c r="I44" s="230" t="s">
        <v>3721</v>
      </c>
      <c r="J44" s="195" t="s">
        <v>4958</v>
      </c>
      <c r="K44" s="175">
        <v>189.0</v>
      </c>
    </row>
    <row r="45">
      <c r="A45" s="37" t="s">
        <v>5001</v>
      </c>
      <c r="B45" s="37">
        <v>7023.0</v>
      </c>
      <c r="C45" s="95">
        <v>0.1</v>
      </c>
      <c r="D45" s="105">
        <v>0.73</v>
      </c>
      <c r="E45" s="105">
        <v>0.73</v>
      </c>
      <c r="F45" s="229" t="s">
        <v>1656</v>
      </c>
      <c r="G45" s="229"/>
      <c r="H45" s="229"/>
      <c r="I45" s="230" t="s">
        <v>3723</v>
      </c>
      <c r="J45" s="195" t="s">
        <v>4958</v>
      </c>
      <c r="K45" s="175">
        <v>6774.0</v>
      </c>
    </row>
    <row r="46">
      <c r="A46" s="37" t="s">
        <v>5002</v>
      </c>
      <c r="B46" s="45"/>
      <c r="C46" s="95">
        <v>0.1</v>
      </c>
      <c r="D46" s="105">
        <v>0.73</v>
      </c>
      <c r="E46" s="105">
        <v>0.73</v>
      </c>
      <c r="F46" s="229" t="s">
        <v>1656</v>
      </c>
      <c r="G46" s="229"/>
      <c r="H46" s="229"/>
      <c r="I46" s="230" t="s">
        <v>3724</v>
      </c>
      <c r="J46" s="195" t="s">
        <v>4958</v>
      </c>
      <c r="K46" s="175">
        <v>6675.0</v>
      </c>
    </row>
    <row r="47">
      <c r="A47" s="37" t="s">
        <v>5003</v>
      </c>
      <c r="B47" s="45"/>
      <c r="C47" s="95">
        <v>0.1</v>
      </c>
      <c r="D47" s="105">
        <v>0.73</v>
      </c>
      <c r="E47" s="105">
        <v>0.73</v>
      </c>
      <c r="F47" s="229" t="s">
        <v>1656</v>
      </c>
      <c r="G47" s="229"/>
      <c r="H47" s="229"/>
      <c r="I47" s="230" t="s">
        <v>3725</v>
      </c>
      <c r="J47" s="195" t="s">
        <v>4958</v>
      </c>
      <c r="K47" s="175">
        <v>7036.0</v>
      </c>
    </row>
    <row r="48">
      <c r="A48" s="37" t="s">
        <v>5004</v>
      </c>
      <c r="B48" s="45"/>
      <c r="C48" s="95">
        <v>0.1</v>
      </c>
      <c r="D48" s="105">
        <v>0.73</v>
      </c>
      <c r="E48" s="105">
        <v>0.73</v>
      </c>
      <c r="F48" s="229" t="s">
        <v>1656</v>
      </c>
      <c r="G48" s="229"/>
      <c r="H48" s="229"/>
      <c r="I48" s="230" t="s">
        <v>3726</v>
      </c>
      <c r="J48" s="195" t="s">
        <v>4958</v>
      </c>
      <c r="K48" s="175">
        <v>7036.0</v>
      </c>
    </row>
    <row r="49">
      <c r="A49" s="37" t="s">
        <v>5005</v>
      </c>
      <c r="B49" s="45"/>
      <c r="C49" s="95">
        <v>0.1</v>
      </c>
      <c r="D49" s="105">
        <v>0.73</v>
      </c>
      <c r="E49" s="105">
        <v>0.73</v>
      </c>
      <c r="F49" s="229" t="s">
        <v>1656</v>
      </c>
      <c r="G49" s="229"/>
      <c r="H49" s="229"/>
      <c r="I49" s="230" t="s">
        <v>3733</v>
      </c>
      <c r="J49" s="195" t="s">
        <v>4958</v>
      </c>
      <c r="K49" s="175">
        <v>6109.0</v>
      </c>
    </row>
    <row r="50">
      <c r="A50" s="37" t="s">
        <v>5006</v>
      </c>
      <c r="B50" s="45"/>
      <c r="C50" s="95">
        <v>0.1</v>
      </c>
      <c r="D50" s="105">
        <v>0.73</v>
      </c>
      <c r="E50" s="105">
        <v>0.73</v>
      </c>
      <c r="F50" s="229" t="s">
        <v>1656</v>
      </c>
      <c r="G50" s="229"/>
      <c r="H50" s="229"/>
      <c r="I50" s="230" t="s">
        <v>3734</v>
      </c>
      <c r="J50" s="195" t="s">
        <v>4958</v>
      </c>
      <c r="K50" s="175">
        <v>189.0</v>
      </c>
    </row>
    <row r="51">
      <c r="A51" s="37" t="s">
        <v>5007</v>
      </c>
      <c r="B51" s="45"/>
      <c r="C51" s="95">
        <v>0.1</v>
      </c>
      <c r="D51" s="105">
        <v>0.73</v>
      </c>
      <c r="E51" s="105">
        <v>0.73</v>
      </c>
      <c r="F51" s="229" t="s">
        <v>1656</v>
      </c>
      <c r="G51" s="229"/>
      <c r="H51" s="229"/>
      <c r="I51" s="230" t="s">
        <v>3742</v>
      </c>
      <c r="J51" s="195" t="s">
        <v>4958</v>
      </c>
      <c r="K51" s="175">
        <v>189.0</v>
      </c>
    </row>
    <row r="52">
      <c r="A52" s="37" t="s">
        <v>5008</v>
      </c>
      <c r="B52" s="45"/>
      <c r="C52" s="95">
        <v>0.1</v>
      </c>
      <c r="D52" s="105">
        <v>0.73</v>
      </c>
      <c r="E52" s="105">
        <v>0.73</v>
      </c>
      <c r="F52" s="229" t="s">
        <v>1656</v>
      </c>
      <c r="G52" s="229"/>
      <c r="H52" s="229"/>
      <c r="I52" s="230" t="s">
        <v>3743</v>
      </c>
      <c r="J52" s="195" t="s">
        <v>4958</v>
      </c>
      <c r="K52" s="175">
        <v>7137.0</v>
      </c>
    </row>
    <row r="53">
      <c r="A53" s="37" t="s">
        <v>5009</v>
      </c>
      <c r="B53" s="45"/>
      <c r="C53" s="95">
        <v>0.1</v>
      </c>
      <c r="D53" s="105">
        <v>0.73</v>
      </c>
      <c r="E53" s="105">
        <v>0.73</v>
      </c>
      <c r="F53" s="229" t="s">
        <v>1656</v>
      </c>
      <c r="G53" s="229"/>
      <c r="H53" s="229"/>
      <c r="I53" s="230" t="s">
        <v>3744</v>
      </c>
      <c r="J53" s="195" t="s">
        <v>4958</v>
      </c>
      <c r="K53" s="175">
        <v>6671.0</v>
      </c>
    </row>
    <row r="54">
      <c r="A54" s="37" t="s">
        <v>5010</v>
      </c>
      <c r="B54" s="45"/>
      <c r="C54" s="95">
        <v>0.1</v>
      </c>
      <c r="D54" s="105">
        <v>0.73</v>
      </c>
      <c r="E54" s="105">
        <v>0.73</v>
      </c>
      <c r="F54" s="229" t="s">
        <v>1656</v>
      </c>
      <c r="G54" s="229"/>
      <c r="H54" s="229"/>
      <c r="I54" s="230" t="s">
        <v>3745</v>
      </c>
      <c r="J54" s="195" t="s">
        <v>4958</v>
      </c>
      <c r="K54" s="175">
        <v>6891.0</v>
      </c>
    </row>
    <row r="55">
      <c r="A55" s="37" t="s">
        <v>5011</v>
      </c>
      <c r="B55" s="45"/>
      <c r="C55" s="95">
        <v>0.1</v>
      </c>
      <c r="D55" s="105">
        <v>0.73</v>
      </c>
      <c r="E55" s="105">
        <v>0.73</v>
      </c>
      <c r="F55" s="229" t="s">
        <v>1656</v>
      </c>
      <c r="G55" s="229"/>
      <c r="H55" s="229"/>
      <c r="I55" s="230" t="s">
        <v>3748</v>
      </c>
      <c r="J55" s="195" t="s">
        <v>4958</v>
      </c>
      <c r="K55" s="175">
        <v>7055.0</v>
      </c>
    </row>
    <row r="56">
      <c r="A56" s="37" t="s">
        <v>5012</v>
      </c>
      <c r="B56" s="45"/>
      <c r="C56" s="95">
        <v>0.1</v>
      </c>
      <c r="D56" s="105">
        <v>0.73</v>
      </c>
      <c r="E56" s="105">
        <v>0.73</v>
      </c>
      <c r="F56" s="229" t="s">
        <v>1656</v>
      </c>
      <c r="G56" s="229"/>
      <c r="H56" s="229"/>
      <c r="I56" s="230" t="s">
        <v>3749</v>
      </c>
      <c r="J56" s="195" t="s">
        <v>4958</v>
      </c>
      <c r="K56" s="175">
        <v>7157.0</v>
      </c>
    </row>
    <row r="57">
      <c r="A57" s="37" t="s">
        <v>5013</v>
      </c>
      <c r="B57" s="45"/>
      <c r="C57" s="95">
        <v>0.1</v>
      </c>
      <c r="D57" s="105">
        <v>0.73</v>
      </c>
      <c r="E57" s="105">
        <v>0.73</v>
      </c>
      <c r="F57" s="229" t="s">
        <v>1656</v>
      </c>
      <c r="G57" s="229"/>
      <c r="H57" s="229"/>
      <c r="I57" s="106" t="s">
        <v>5014</v>
      </c>
      <c r="J57" s="195" t="s">
        <v>4958</v>
      </c>
      <c r="K57" s="175">
        <v>6133.0</v>
      </c>
    </row>
    <row r="58">
      <c r="A58" s="37" t="s">
        <v>5015</v>
      </c>
      <c r="B58" s="45"/>
      <c r="C58" s="95">
        <v>0.1</v>
      </c>
      <c r="D58" s="105">
        <v>0.73</v>
      </c>
      <c r="E58" s="105">
        <v>0.73</v>
      </c>
      <c r="F58" s="229" t="s">
        <v>1656</v>
      </c>
      <c r="G58" s="229"/>
      <c r="H58" s="229"/>
      <c r="I58" s="106" t="s">
        <v>5016</v>
      </c>
      <c r="J58" s="195" t="s">
        <v>4958</v>
      </c>
      <c r="K58" s="175">
        <v>7010.0</v>
      </c>
    </row>
    <row r="59">
      <c r="A59" s="37" t="s">
        <v>5017</v>
      </c>
      <c r="B59" s="45"/>
      <c r="C59" s="95">
        <v>0.1</v>
      </c>
      <c r="D59" s="105">
        <v>0.73</v>
      </c>
      <c r="E59" s="105">
        <v>0.73</v>
      </c>
      <c r="F59" s="229" t="s">
        <v>1656</v>
      </c>
      <c r="G59" s="229"/>
      <c r="H59" s="229"/>
      <c r="I59" s="106" t="s">
        <v>5018</v>
      </c>
      <c r="J59" s="195" t="s">
        <v>4958</v>
      </c>
      <c r="K59" s="175">
        <v>12609.0</v>
      </c>
    </row>
    <row r="60">
      <c r="A60" s="37" t="s">
        <v>5019</v>
      </c>
      <c r="B60" s="45"/>
      <c r="C60" s="95">
        <v>0.1</v>
      </c>
      <c r="D60" s="105">
        <v>0.73</v>
      </c>
      <c r="E60" s="105">
        <v>0.73</v>
      </c>
      <c r="F60" s="229" t="s">
        <v>1656</v>
      </c>
      <c r="G60" s="229"/>
      <c r="H60" s="229"/>
      <c r="I60" s="106" t="s">
        <v>5020</v>
      </c>
      <c r="J60" s="195" t="s">
        <v>4958</v>
      </c>
      <c r="K60" s="175">
        <v>7137.0</v>
      </c>
    </row>
    <row r="61">
      <c r="A61" s="37" t="s">
        <v>5021</v>
      </c>
      <c r="B61" s="45"/>
      <c r="C61" s="95">
        <v>0.1</v>
      </c>
      <c r="D61" s="105">
        <v>0.73</v>
      </c>
      <c r="E61" s="105">
        <v>0.73</v>
      </c>
      <c r="F61" s="229" t="s">
        <v>1656</v>
      </c>
      <c r="G61" s="229"/>
      <c r="H61" s="229"/>
      <c r="I61" s="106" t="s">
        <v>5022</v>
      </c>
      <c r="J61" s="195" t="s">
        <v>4958</v>
      </c>
      <c r="K61" s="175">
        <v>189.0</v>
      </c>
    </row>
    <row r="62">
      <c r="A62" s="37" t="s">
        <v>5023</v>
      </c>
      <c r="B62" s="45"/>
      <c r="C62" s="95">
        <v>0.1</v>
      </c>
      <c r="D62" s="105">
        <v>0.73</v>
      </c>
      <c r="E62" s="105">
        <v>0.73</v>
      </c>
      <c r="F62" s="229" t="s">
        <v>1656</v>
      </c>
      <c r="G62" s="229"/>
      <c r="H62" s="229"/>
      <c r="I62" s="106" t="s">
        <v>5024</v>
      </c>
      <c r="J62" s="195" t="s">
        <v>4958</v>
      </c>
      <c r="K62" s="175">
        <v>6989.0</v>
      </c>
    </row>
    <row r="63">
      <c r="A63" s="37" t="s">
        <v>5025</v>
      </c>
      <c r="B63" s="45"/>
      <c r="C63" s="95">
        <v>0.1</v>
      </c>
      <c r="D63" s="105">
        <v>0.73</v>
      </c>
      <c r="E63" s="105">
        <v>0.73</v>
      </c>
      <c r="F63" s="229" t="s">
        <v>1656</v>
      </c>
      <c r="G63" s="229"/>
      <c r="H63" s="229"/>
      <c r="I63" s="106" t="s">
        <v>5026</v>
      </c>
      <c r="J63" s="195" t="s">
        <v>4958</v>
      </c>
      <c r="K63" s="175">
        <v>6669.0</v>
      </c>
    </row>
    <row r="64">
      <c r="A64" s="37" t="s">
        <v>5027</v>
      </c>
      <c r="B64" s="45"/>
      <c r="C64" s="95">
        <v>0.1</v>
      </c>
      <c r="D64" s="105">
        <v>0.73</v>
      </c>
      <c r="E64" s="105">
        <v>0.73</v>
      </c>
      <c r="F64" s="229" t="s">
        <v>1656</v>
      </c>
      <c r="G64" s="229"/>
      <c r="H64" s="229"/>
      <c r="I64" s="106" t="s">
        <v>5028</v>
      </c>
      <c r="J64" s="195" t="s">
        <v>4958</v>
      </c>
      <c r="K64" s="175">
        <v>6875.0</v>
      </c>
    </row>
    <row r="65">
      <c r="A65" s="37" t="s">
        <v>5029</v>
      </c>
      <c r="B65" s="45"/>
      <c r="C65" s="95">
        <v>0.1</v>
      </c>
      <c r="D65" s="105">
        <v>0.73</v>
      </c>
      <c r="E65" s="105">
        <v>0.73</v>
      </c>
      <c r="F65" s="229" t="s">
        <v>1656</v>
      </c>
      <c r="G65" s="229"/>
      <c r="H65" s="229"/>
      <c r="I65" s="106" t="s">
        <v>5030</v>
      </c>
      <c r="J65" s="195" t="s">
        <v>4958</v>
      </c>
      <c r="K65" s="175">
        <v>10141.0</v>
      </c>
    </row>
    <row r="66">
      <c r="A66" s="37" t="s">
        <v>5031</v>
      </c>
      <c r="B66" s="45"/>
      <c r="C66" s="95">
        <v>0.1</v>
      </c>
      <c r="D66" s="105">
        <v>0.73</v>
      </c>
      <c r="E66" s="105">
        <v>0.73</v>
      </c>
      <c r="F66" s="229" t="s">
        <v>1656</v>
      </c>
      <c r="G66" s="229"/>
      <c r="H66" s="229"/>
      <c r="I66" s="106" t="s">
        <v>5032</v>
      </c>
      <c r="J66" s="195" t="s">
        <v>4958</v>
      </c>
      <c r="K66" s="175">
        <v>7158.0</v>
      </c>
    </row>
    <row r="67">
      <c r="A67" s="37" t="s">
        <v>5033</v>
      </c>
      <c r="B67" s="45"/>
      <c r="C67" s="95">
        <v>0.1</v>
      </c>
      <c r="D67" s="105">
        <v>0.73</v>
      </c>
      <c r="E67" s="105">
        <v>0.73</v>
      </c>
      <c r="F67" s="229" t="s">
        <v>1656</v>
      </c>
      <c r="G67" s="229"/>
      <c r="H67" s="229"/>
      <c r="I67" s="106" t="s">
        <v>5034</v>
      </c>
      <c r="J67" s="195" t="s">
        <v>4958</v>
      </c>
      <c r="K67" s="175">
        <v>7010.0</v>
      </c>
    </row>
    <row r="68">
      <c r="A68" s="37" t="s">
        <v>5035</v>
      </c>
      <c r="B68" s="45"/>
      <c r="C68" s="95">
        <v>0.1</v>
      </c>
      <c r="D68" s="105">
        <v>0.73</v>
      </c>
      <c r="E68" s="105">
        <v>0.73</v>
      </c>
      <c r="F68" s="229" t="s">
        <v>1656</v>
      </c>
      <c r="G68" s="229"/>
      <c r="H68" s="229"/>
      <c r="I68" s="106" t="s">
        <v>5036</v>
      </c>
      <c r="J68" s="195" t="s">
        <v>4958</v>
      </c>
      <c r="K68" s="175">
        <v>7157.0</v>
      </c>
    </row>
    <row r="69">
      <c r="A69" s="37" t="s">
        <v>5037</v>
      </c>
      <c r="B69" s="45"/>
      <c r="C69" s="95">
        <v>0.1</v>
      </c>
      <c r="D69" s="105">
        <v>0.73</v>
      </c>
      <c r="E69" s="105">
        <v>0.73</v>
      </c>
      <c r="F69" s="229" t="s">
        <v>1656</v>
      </c>
      <c r="G69" s="229"/>
      <c r="H69" s="229"/>
      <c r="I69" s="106" t="s">
        <v>3758</v>
      </c>
      <c r="J69" s="195" t="s">
        <v>4958</v>
      </c>
      <c r="K69" s="175">
        <v>7847.0</v>
      </c>
    </row>
    <row r="70">
      <c r="A70" s="37" t="s">
        <v>5038</v>
      </c>
      <c r="B70" s="45"/>
      <c r="C70" s="95">
        <v>0.1</v>
      </c>
      <c r="D70" s="105">
        <v>0.73</v>
      </c>
      <c r="E70" s="105">
        <v>0.73</v>
      </c>
      <c r="F70" s="229" t="s">
        <v>1656</v>
      </c>
      <c r="G70" s="229"/>
      <c r="H70" s="229"/>
      <c r="I70" s="106" t="s">
        <v>5039</v>
      </c>
      <c r="J70" s="195" t="s">
        <v>4958</v>
      </c>
      <c r="K70" s="175">
        <v>11601.0</v>
      </c>
    </row>
    <row r="71">
      <c r="A71" s="37" t="s">
        <v>5040</v>
      </c>
      <c r="B71" s="45"/>
      <c r="C71" s="95">
        <v>0.1</v>
      </c>
      <c r="D71" s="105">
        <v>0.73</v>
      </c>
      <c r="E71" s="105">
        <v>0.73</v>
      </c>
      <c r="F71" s="229" t="s">
        <v>1656</v>
      </c>
      <c r="G71" s="229"/>
      <c r="H71" s="229"/>
      <c r="I71" s="106" t="s">
        <v>5041</v>
      </c>
      <c r="J71" s="195" t="s">
        <v>4958</v>
      </c>
      <c r="K71" s="175">
        <v>11708.0</v>
      </c>
    </row>
    <row r="72">
      <c r="A72" s="37" t="s">
        <v>5042</v>
      </c>
      <c r="B72" s="45"/>
      <c r="C72" s="95">
        <v>0.1</v>
      </c>
      <c r="D72" s="105">
        <v>0.73</v>
      </c>
      <c r="E72" s="105">
        <v>0.73</v>
      </c>
      <c r="F72" s="229" t="s">
        <v>1656</v>
      </c>
      <c r="G72" s="229"/>
      <c r="H72" s="229"/>
      <c r="I72" s="106" t="s">
        <v>5043</v>
      </c>
      <c r="J72" s="195" t="s">
        <v>4958</v>
      </c>
      <c r="K72" s="175">
        <v>930.0</v>
      </c>
    </row>
    <row r="73">
      <c r="A73" s="37" t="s">
        <v>5044</v>
      </c>
      <c r="B73" s="45"/>
      <c r="C73" s="95">
        <v>0.1</v>
      </c>
      <c r="D73" s="105">
        <v>0.73</v>
      </c>
      <c r="E73" s="105">
        <v>0.73</v>
      </c>
      <c r="F73" s="229" t="s">
        <v>1656</v>
      </c>
      <c r="G73" s="229"/>
      <c r="H73" s="229"/>
      <c r="I73" s="106" t="s">
        <v>5045</v>
      </c>
      <c r="J73" s="195" t="s">
        <v>4958</v>
      </c>
      <c r="K73" s="175">
        <v>7100.0</v>
      </c>
    </row>
    <row r="74">
      <c r="A74" s="37" t="s">
        <v>5046</v>
      </c>
      <c r="B74" s="45"/>
      <c r="C74" s="95">
        <v>0.1</v>
      </c>
      <c r="D74" s="105">
        <v>0.73</v>
      </c>
      <c r="E74" s="105">
        <v>0.73</v>
      </c>
      <c r="F74" s="229" t="s">
        <v>1656</v>
      </c>
      <c r="G74" s="229"/>
      <c r="H74" s="229"/>
      <c r="I74" s="106" t="s">
        <v>5047</v>
      </c>
      <c r="J74" s="195" t="s">
        <v>4958</v>
      </c>
      <c r="K74" s="175">
        <v>6924.0</v>
      </c>
    </row>
    <row r="75">
      <c r="A75" s="37" t="s">
        <v>5048</v>
      </c>
      <c r="B75" s="45"/>
      <c r="C75" s="95">
        <v>0.1</v>
      </c>
      <c r="D75" s="105">
        <v>0.73</v>
      </c>
      <c r="E75" s="105">
        <v>0.73</v>
      </c>
      <c r="F75" s="229" t="s">
        <v>1656</v>
      </c>
      <c r="G75" s="229"/>
      <c r="H75" s="229"/>
      <c r="I75" s="106" t="s">
        <v>5049</v>
      </c>
      <c r="J75" s="195" t="s">
        <v>4958</v>
      </c>
      <c r="K75" s="175">
        <v>6887.0</v>
      </c>
    </row>
    <row r="76">
      <c r="A76" s="37" t="s">
        <v>5050</v>
      </c>
      <c r="B76" s="45"/>
      <c r="C76" s="95">
        <v>0.1</v>
      </c>
      <c r="D76" s="105">
        <v>0.73</v>
      </c>
      <c r="E76" s="105">
        <v>0.73</v>
      </c>
      <c r="F76" s="229" t="s">
        <v>1656</v>
      </c>
      <c r="G76" s="229"/>
      <c r="H76" s="229"/>
      <c r="I76" s="106" t="s">
        <v>5051</v>
      </c>
      <c r="J76" s="195" t="s">
        <v>4958</v>
      </c>
      <c r="K76" s="175">
        <v>7040.0</v>
      </c>
    </row>
    <row r="77">
      <c r="A77" s="37" t="s">
        <v>5052</v>
      </c>
      <c r="B77" s="45"/>
      <c r="C77" s="95">
        <v>0.1</v>
      </c>
      <c r="D77" s="105">
        <v>0.73</v>
      </c>
      <c r="E77" s="105">
        <v>0.73</v>
      </c>
      <c r="F77" s="229" t="s">
        <v>1656</v>
      </c>
      <c r="G77" s="229"/>
      <c r="H77" s="229"/>
      <c r="I77" s="106" t="s">
        <v>5053</v>
      </c>
      <c r="J77" s="195" t="s">
        <v>4958</v>
      </c>
      <c r="K77" s="175">
        <v>14482.0</v>
      </c>
    </row>
    <row r="78">
      <c r="A78" s="37" t="s">
        <v>5054</v>
      </c>
      <c r="B78" s="45"/>
      <c r="C78" s="95">
        <v>0.1</v>
      </c>
      <c r="D78" s="105">
        <v>0.73</v>
      </c>
      <c r="E78" s="105">
        <v>0.73</v>
      </c>
      <c r="F78" s="229" t="s">
        <v>1656</v>
      </c>
      <c r="G78" s="229"/>
      <c r="H78" s="229"/>
      <c r="I78" s="106" t="s">
        <v>5055</v>
      </c>
      <c r="J78" s="195" t="s">
        <v>4958</v>
      </c>
      <c r="K78" s="175">
        <v>7142.0</v>
      </c>
    </row>
    <row r="79">
      <c r="A79" s="37" t="s">
        <v>5056</v>
      </c>
      <c r="B79" s="45"/>
      <c r="C79" s="95">
        <v>0.1</v>
      </c>
      <c r="D79" s="105">
        <v>0.73</v>
      </c>
      <c r="E79" s="105">
        <v>0.73</v>
      </c>
      <c r="F79" s="229" t="s">
        <v>1656</v>
      </c>
      <c r="G79" s="229"/>
      <c r="H79" s="229"/>
      <c r="I79" s="106" t="s">
        <v>5057</v>
      </c>
      <c r="J79" s="195" t="s">
        <v>4958</v>
      </c>
      <c r="K79" s="175">
        <v>5389.0</v>
      </c>
    </row>
    <row r="80">
      <c r="A80" s="37" t="s">
        <v>5058</v>
      </c>
      <c r="B80" s="45"/>
      <c r="C80" s="95">
        <v>0.1</v>
      </c>
      <c r="D80" s="105">
        <v>0.73</v>
      </c>
      <c r="E80" s="105">
        <v>0.73</v>
      </c>
      <c r="F80" s="229" t="s">
        <v>1656</v>
      </c>
      <c r="G80" s="229"/>
      <c r="H80" s="229"/>
      <c r="I80" s="106" t="s">
        <v>5059</v>
      </c>
      <c r="J80" s="195" t="s">
        <v>4958</v>
      </c>
      <c r="K80" s="175">
        <v>8486.0</v>
      </c>
    </row>
    <row r="81">
      <c r="A81" s="37" t="s">
        <v>5060</v>
      </c>
      <c r="B81" s="37">
        <v>189.0</v>
      </c>
      <c r="C81" s="95">
        <v>0.1</v>
      </c>
      <c r="D81" s="105">
        <v>0.78</v>
      </c>
      <c r="E81" s="105">
        <v>0.78</v>
      </c>
      <c r="F81" s="229" t="s">
        <v>1656</v>
      </c>
      <c r="G81" s="229"/>
      <c r="H81" s="229"/>
      <c r="I81" s="106" t="s">
        <v>5061</v>
      </c>
      <c r="J81" s="195" t="s">
        <v>4958</v>
      </c>
      <c r="K81" s="175">
        <v>8486.0</v>
      </c>
    </row>
    <row r="82">
      <c r="A82" s="37" t="s">
        <v>5062</v>
      </c>
      <c r="B82" s="37">
        <v>189.0</v>
      </c>
      <c r="C82" s="95">
        <v>0.1</v>
      </c>
      <c r="D82" s="105">
        <v>0.78</v>
      </c>
      <c r="E82" s="105">
        <v>0.78</v>
      </c>
      <c r="F82" s="229" t="s">
        <v>1656</v>
      </c>
      <c r="G82" s="229"/>
      <c r="H82" s="229"/>
      <c r="I82" s="106" t="s">
        <v>5063</v>
      </c>
      <c r="J82" s="195" t="s">
        <v>4958</v>
      </c>
      <c r="K82" s="175">
        <v>8199.0</v>
      </c>
    </row>
    <row r="83">
      <c r="A83" s="37" t="s">
        <v>5064</v>
      </c>
      <c r="B83" s="37">
        <v>189.0</v>
      </c>
      <c r="C83" s="95">
        <v>0.1</v>
      </c>
      <c r="D83" s="105">
        <v>0.78</v>
      </c>
      <c r="E83" s="105">
        <v>0.78</v>
      </c>
      <c r="F83" s="229" t="s">
        <v>1656</v>
      </c>
      <c r="G83" s="229"/>
      <c r="H83" s="229"/>
      <c r="I83" s="106" t="s">
        <v>5065</v>
      </c>
      <c r="J83" s="195" t="s">
        <v>4958</v>
      </c>
      <c r="K83" s="175">
        <v>5389.0</v>
      </c>
    </row>
    <row r="84">
      <c r="A84" s="37" t="s">
        <v>5066</v>
      </c>
      <c r="B84" s="45"/>
      <c r="C84" s="95">
        <v>0.1</v>
      </c>
      <c r="D84" s="105">
        <v>0.73</v>
      </c>
      <c r="E84" s="105">
        <v>0.73</v>
      </c>
      <c r="F84" s="229" t="s">
        <v>1656</v>
      </c>
      <c r="G84" s="229"/>
      <c r="H84" s="229"/>
      <c r="I84" s="106" t="s">
        <v>5067</v>
      </c>
      <c r="J84" s="195" t="s">
        <v>4958</v>
      </c>
      <c r="K84" s="175">
        <v>10923.0</v>
      </c>
    </row>
    <row r="85">
      <c r="A85" s="37" t="s">
        <v>5068</v>
      </c>
      <c r="B85" s="45"/>
      <c r="C85" s="95">
        <v>0.1</v>
      </c>
      <c r="D85" s="105">
        <v>0.73</v>
      </c>
      <c r="E85" s="105">
        <v>0.73</v>
      </c>
      <c r="F85" s="229" t="s">
        <v>1656</v>
      </c>
      <c r="G85" s="229"/>
      <c r="H85" s="229"/>
      <c r="I85" s="106" t="s">
        <v>5069</v>
      </c>
      <c r="J85" s="195" t="s">
        <v>4958</v>
      </c>
      <c r="K85" s="175">
        <v>499.0</v>
      </c>
    </row>
    <row r="86">
      <c r="A86" s="37" t="s">
        <v>5070</v>
      </c>
      <c r="B86" s="45"/>
      <c r="C86" s="95">
        <v>0.1</v>
      </c>
      <c r="D86" s="105">
        <v>0.73</v>
      </c>
      <c r="E86" s="105">
        <v>0.73</v>
      </c>
      <c r="F86" s="229" t="s">
        <v>1656</v>
      </c>
      <c r="G86" s="229"/>
      <c r="H86" s="229"/>
      <c r="I86" s="106" t="s">
        <v>5071</v>
      </c>
      <c r="J86" s="195" t="s">
        <v>4958</v>
      </c>
      <c r="K86" s="175">
        <v>13204.0</v>
      </c>
    </row>
    <row r="87">
      <c r="A87" s="37" t="s">
        <v>5072</v>
      </c>
      <c r="B87" s="45"/>
      <c r="C87" s="95">
        <v>0.1</v>
      </c>
      <c r="D87" s="105">
        <v>0.73</v>
      </c>
      <c r="E87" s="105">
        <v>0.73</v>
      </c>
      <c r="F87" s="229" t="s">
        <v>1656</v>
      </c>
      <c r="G87" s="229"/>
      <c r="H87" s="229"/>
      <c r="I87" s="106" t="s">
        <v>5073</v>
      </c>
      <c r="J87" s="195" t="s">
        <v>4958</v>
      </c>
      <c r="K87" s="175">
        <v>6706.0</v>
      </c>
    </row>
    <row r="88">
      <c r="A88" s="37" t="s">
        <v>5074</v>
      </c>
      <c r="B88" s="45"/>
      <c r="C88" s="95">
        <v>0.1</v>
      </c>
      <c r="D88" s="105">
        <v>0.73</v>
      </c>
      <c r="E88" s="105">
        <v>0.73</v>
      </c>
      <c r="F88" s="229" t="s">
        <v>1656</v>
      </c>
      <c r="G88" s="229"/>
      <c r="H88" s="229"/>
      <c r="I88" s="106" t="s">
        <v>394</v>
      </c>
      <c r="J88" s="195" t="s">
        <v>4958</v>
      </c>
      <c r="K88" s="175">
        <v>12078.0</v>
      </c>
    </row>
    <row r="89">
      <c r="A89" s="37" t="s">
        <v>5075</v>
      </c>
      <c r="B89" s="45"/>
      <c r="C89" s="95">
        <v>0.1</v>
      </c>
      <c r="D89" s="105">
        <v>0.73</v>
      </c>
      <c r="E89" s="105">
        <v>0.73</v>
      </c>
      <c r="F89" s="229" t="s">
        <v>1656</v>
      </c>
      <c r="G89" s="229"/>
      <c r="H89" s="229"/>
      <c r="I89" s="106" t="s">
        <v>5076</v>
      </c>
      <c r="J89" s="195" t="s">
        <v>4958</v>
      </c>
      <c r="K89" s="175">
        <v>7073.0</v>
      </c>
    </row>
    <row r="90">
      <c r="A90" s="37" t="s">
        <v>5077</v>
      </c>
      <c r="B90" s="37">
        <v>6669.0</v>
      </c>
      <c r="C90" s="95">
        <v>0.1</v>
      </c>
      <c r="D90" s="105">
        <v>0.73</v>
      </c>
      <c r="E90" s="105">
        <v>0.73</v>
      </c>
      <c r="F90" s="229" t="s">
        <v>1656</v>
      </c>
      <c r="G90" s="229"/>
      <c r="H90" s="229"/>
      <c r="I90" s="106" t="s">
        <v>5078</v>
      </c>
      <c r="J90" s="195" t="s">
        <v>4958</v>
      </c>
      <c r="K90" s="175">
        <v>5458.0</v>
      </c>
    </row>
    <row r="91">
      <c r="A91" s="37" t="s">
        <v>5079</v>
      </c>
      <c r="B91" s="37">
        <v>6669.0</v>
      </c>
      <c r="C91" s="95">
        <v>0.1</v>
      </c>
      <c r="D91" s="105">
        <v>0.73</v>
      </c>
      <c r="E91" s="105">
        <v>0.73</v>
      </c>
      <c r="F91" s="229" t="s">
        <v>1656</v>
      </c>
      <c r="G91" s="229"/>
      <c r="H91" s="229"/>
      <c r="I91" s="106" t="s">
        <v>5080</v>
      </c>
      <c r="J91" s="195" t="s">
        <v>4958</v>
      </c>
      <c r="K91" s="175">
        <v>6706.0</v>
      </c>
    </row>
    <row r="92">
      <c r="A92" s="37" t="s">
        <v>5081</v>
      </c>
      <c r="B92" s="37">
        <v>14646.0</v>
      </c>
      <c r="C92" s="95">
        <v>0.1</v>
      </c>
      <c r="D92" s="105">
        <v>0.73</v>
      </c>
      <c r="E92" s="105">
        <v>0.73</v>
      </c>
      <c r="F92" s="229" t="s">
        <v>1656</v>
      </c>
      <c r="G92" s="229"/>
      <c r="H92" s="229"/>
      <c r="I92" s="106" t="s">
        <v>5082</v>
      </c>
      <c r="J92" s="195" t="s">
        <v>4958</v>
      </c>
      <c r="K92" s="175">
        <v>6706.0</v>
      </c>
    </row>
    <row r="93">
      <c r="A93" s="37" t="s">
        <v>5083</v>
      </c>
      <c r="B93" s="45"/>
      <c r="C93" s="95">
        <v>0.1</v>
      </c>
      <c r="D93" s="105">
        <v>0.73</v>
      </c>
      <c r="E93" s="105">
        <v>0.73</v>
      </c>
      <c r="F93" s="229" t="s">
        <v>1656</v>
      </c>
      <c r="G93" s="229"/>
      <c r="H93" s="229"/>
      <c r="I93" s="230" t="s">
        <v>1659</v>
      </c>
      <c r="J93" s="195" t="s">
        <v>4958</v>
      </c>
      <c r="K93" s="11">
        <v>14480.0</v>
      </c>
    </row>
    <row r="94">
      <c r="A94" s="37" t="s">
        <v>5084</v>
      </c>
      <c r="B94" s="45"/>
      <c r="C94" s="95">
        <v>0.1</v>
      </c>
      <c r="D94" s="105">
        <v>0.73</v>
      </c>
      <c r="E94" s="105">
        <v>0.73</v>
      </c>
      <c r="F94" s="229" t="s">
        <v>1656</v>
      </c>
      <c r="G94" s="229"/>
      <c r="H94" s="229"/>
      <c r="I94" s="230" t="s">
        <v>1663</v>
      </c>
      <c r="J94" s="195" t="s">
        <v>4958</v>
      </c>
      <c r="K94" s="175">
        <v>6722.0</v>
      </c>
    </row>
    <row r="95">
      <c r="A95" s="37" t="s">
        <v>5084</v>
      </c>
      <c r="B95" s="37">
        <v>14594.0</v>
      </c>
      <c r="C95" s="95">
        <v>0.1</v>
      </c>
      <c r="D95" s="105">
        <v>0.73</v>
      </c>
      <c r="E95" s="105">
        <v>0.73</v>
      </c>
      <c r="F95" s="229" t="s">
        <v>1656</v>
      </c>
      <c r="G95" s="229"/>
      <c r="H95" s="229"/>
      <c r="I95" s="230" t="s">
        <v>1664</v>
      </c>
      <c r="J95" s="195" t="s">
        <v>4958</v>
      </c>
      <c r="K95" s="175">
        <v>6729.0</v>
      </c>
    </row>
    <row r="96">
      <c r="A96" s="37" t="s">
        <v>5085</v>
      </c>
      <c r="B96" s="37">
        <v>14076.0</v>
      </c>
      <c r="C96" s="95">
        <v>0.1</v>
      </c>
      <c r="D96" s="105">
        <v>0.73</v>
      </c>
      <c r="E96" s="105">
        <v>0.73</v>
      </c>
      <c r="F96" s="229" t="s">
        <v>1656</v>
      </c>
      <c r="G96" s="229"/>
      <c r="H96" s="229"/>
      <c r="I96" s="230" t="s">
        <v>1668</v>
      </c>
      <c r="J96" s="195" t="s">
        <v>4958</v>
      </c>
      <c r="K96" s="175">
        <v>12388.0</v>
      </c>
    </row>
    <row r="97">
      <c r="A97" s="37" t="s">
        <v>2070</v>
      </c>
      <c r="B97" s="37">
        <v>14076.0</v>
      </c>
      <c r="C97" s="95">
        <v>0.1</v>
      </c>
      <c r="D97" s="105">
        <v>0.73</v>
      </c>
      <c r="E97" s="105">
        <v>0.73</v>
      </c>
      <c r="F97" s="229" t="s">
        <v>1656</v>
      </c>
      <c r="G97" s="229"/>
      <c r="H97" s="229"/>
      <c r="I97" s="230" t="s">
        <v>1669</v>
      </c>
      <c r="J97" s="195" t="s">
        <v>4958</v>
      </c>
      <c r="K97" s="11">
        <v>2205.0</v>
      </c>
    </row>
    <row r="98">
      <c r="A98" s="37" t="s">
        <v>5086</v>
      </c>
      <c r="B98" s="37">
        <v>2345.0</v>
      </c>
      <c r="C98" s="95">
        <v>0.1</v>
      </c>
      <c r="D98" s="105">
        <v>0.9</v>
      </c>
      <c r="E98" s="105">
        <v>0.9</v>
      </c>
      <c r="F98" s="229" t="s">
        <v>1656</v>
      </c>
      <c r="G98" s="229"/>
      <c r="H98" s="229"/>
      <c r="I98" s="230" t="s">
        <v>1671</v>
      </c>
      <c r="J98" s="195" t="s">
        <v>4958</v>
      </c>
      <c r="K98" s="175">
        <v>3307.0</v>
      </c>
    </row>
    <row r="99">
      <c r="A99" s="37" t="s">
        <v>5087</v>
      </c>
      <c r="B99" s="37">
        <v>2345.0</v>
      </c>
      <c r="C99" s="95">
        <v>0.1</v>
      </c>
      <c r="D99" s="105">
        <v>0.9</v>
      </c>
      <c r="E99" s="105">
        <v>0.9</v>
      </c>
      <c r="F99" s="229" t="s">
        <v>1656</v>
      </c>
      <c r="G99" s="229"/>
      <c r="H99" s="229"/>
      <c r="I99" s="230" t="s">
        <v>1672</v>
      </c>
      <c r="J99" s="195" t="s">
        <v>4958</v>
      </c>
      <c r="K99" s="175">
        <v>6779.0</v>
      </c>
    </row>
    <row r="100">
      <c r="A100" s="37" t="s">
        <v>5088</v>
      </c>
      <c r="B100" s="37">
        <v>2345.0</v>
      </c>
      <c r="C100" s="95">
        <v>0.1</v>
      </c>
      <c r="D100" s="105">
        <v>0.9</v>
      </c>
      <c r="E100" s="105">
        <v>0.9</v>
      </c>
      <c r="F100" s="229" t="s">
        <v>1656</v>
      </c>
      <c r="G100" s="229"/>
      <c r="H100" s="229"/>
      <c r="I100" s="230" t="s">
        <v>1679</v>
      </c>
      <c r="J100" s="195" t="s">
        <v>4958</v>
      </c>
      <c r="K100" s="175">
        <v>14659.0</v>
      </c>
    </row>
    <row r="101">
      <c r="A101" s="37" t="s">
        <v>5089</v>
      </c>
      <c r="B101" s="37">
        <v>2345.0</v>
      </c>
      <c r="C101" s="95">
        <v>0.1</v>
      </c>
      <c r="D101" s="105">
        <v>0.9</v>
      </c>
      <c r="E101" s="105">
        <v>0.9</v>
      </c>
      <c r="F101" s="229" t="s">
        <v>1656</v>
      </c>
      <c r="G101" s="229"/>
      <c r="H101" s="229"/>
      <c r="I101" s="230" t="s">
        <v>1681</v>
      </c>
      <c r="J101" s="195" t="s">
        <v>4958</v>
      </c>
      <c r="K101" s="231"/>
    </row>
    <row r="102">
      <c r="A102" s="37" t="s">
        <v>5090</v>
      </c>
      <c r="B102" s="37">
        <v>2345.0</v>
      </c>
      <c r="C102" s="95">
        <v>0.1</v>
      </c>
      <c r="D102" s="105">
        <v>0.9</v>
      </c>
      <c r="E102" s="105">
        <v>0.9</v>
      </c>
      <c r="F102" s="229" t="s">
        <v>1656</v>
      </c>
      <c r="G102" s="229"/>
      <c r="H102" s="229"/>
      <c r="I102" s="230" t="s">
        <v>1693</v>
      </c>
      <c r="J102" s="195" t="s">
        <v>4958</v>
      </c>
      <c r="K102" s="232">
        <v>14646.0</v>
      </c>
    </row>
    <row r="103">
      <c r="A103" s="37" t="s">
        <v>5091</v>
      </c>
      <c r="B103" s="37">
        <v>2345.0</v>
      </c>
      <c r="C103" s="95">
        <v>0.1</v>
      </c>
      <c r="D103" s="105">
        <v>0.9</v>
      </c>
      <c r="E103" s="105">
        <v>0.9</v>
      </c>
      <c r="F103" s="229" t="s">
        <v>1656</v>
      </c>
      <c r="G103" s="229"/>
      <c r="H103" s="229"/>
      <c r="I103" s="230" t="s">
        <v>1695</v>
      </c>
      <c r="J103" s="195" t="s">
        <v>4958</v>
      </c>
      <c r="K103" s="231"/>
    </row>
    <row r="104">
      <c r="A104" s="37" t="s">
        <v>5092</v>
      </c>
      <c r="B104" s="37">
        <v>2345.0</v>
      </c>
      <c r="C104" s="95">
        <v>0.1</v>
      </c>
      <c r="D104" s="105">
        <v>0.9</v>
      </c>
      <c r="E104" s="105">
        <v>0.9</v>
      </c>
      <c r="F104" s="229" t="s">
        <v>1656</v>
      </c>
      <c r="G104" s="229"/>
      <c r="H104" s="229"/>
      <c r="I104" s="230" t="s">
        <v>1703</v>
      </c>
      <c r="J104" s="195" t="s">
        <v>4958</v>
      </c>
      <c r="K104" s="175">
        <v>14663.0</v>
      </c>
    </row>
    <row r="105">
      <c r="A105" s="37" t="s">
        <v>5093</v>
      </c>
      <c r="B105" s="37">
        <v>2345.0</v>
      </c>
      <c r="C105" s="95">
        <v>0.1</v>
      </c>
      <c r="D105" s="105">
        <v>0.9</v>
      </c>
      <c r="E105" s="105">
        <v>0.9</v>
      </c>
      <c r="F105" s="229" t="s">
        <v>1656</v>
      </c>
      <c r="G105" s="229"/>
      <c r="H105" s="229"/>
      <c r="I105" s="230" t="s">
        <v>1704</v>
      </c>
      <c r="J105" s="195" t="s">
        <v>4958</v>
      </c>
      <c r="K105" s="175">
        <v>14580.0</v>
      </c>
    </row>
    <row r="106">
      <c r="A106" s="37" t="s">
        <v>5094</v>
      </c>
      <c r="B106" s="45"/>
      <c r="C106" s="95">
        <v>0.1</v>
      </c>
      <c r="D106" s="105">
        <v>0.73</v>
      </c>
      <c r="E106" s="105">
        <v>0.73</v>
      </c>
      <c r="F106" s="229" t="s">
        <v>1656</v>
      </c>
      <c r="G106" s="229"/>
      <c r="H106" s="229"/>
      <c r="I106" s="230" t="s">
        <v>1706</v>
      </c>
      <c r="J106" s="195" t="s">
        <v>4958</v>
      </c>
      <c r="K106" s="231"/>
    </row>
    <row r="107">
      <c r="A107" s="37" t="s">
        <v>5095</v>
      </c>
      <c r="B107" s="45"/>
      <c r="C107" s="95">
        <v>0.1</v>
      </c>
      <c r="D107" s="105">
        <v>0.73</v>
      </c>
      <c r="E107" s="105">
        <v>0.73</v>
      </c>
      <c r="F107" s="229" t="s">
        <v>1656</v>
      </c>
      <c r="G107" s="229"/>
      <c r="H107" s="229"/>
      <c r="I107" s="230" t="s">
        <v>1708</v>
      </c>
      <c r="J107" s="195" t="s">
        <v>4958</v>
      </c>
      <c r="K107" s="175">
        <v>3404.0</v>
      </c>
    </row>
    <row r="108">
      <c r="A108" s="37" t="s">
        <v>5096</v>
      </c>
      <c r="B108" s="37">
        <v>14752.0</v>
      </c>
      <c r="C108" s="95">
        <v>0.1</v>
      </c>
      <c r="D108" s="105">
        <v>0.73</v>
      </c>
      <c r="E108" s="105">
        <v>0.73</v>
      </c>
      <c r="F108" s="229" t="s">
        <v>1656</v>
      </c>
      <c r="G108" s="229"/>
      <c r="H108" s="11" t="s">
        <v>207</v>
      </c>
      <c r="I108" s="230" t="s">
        <v>1721</v>
      </c>
      <c r="J108" s="195" t="s">
        <v>4958</v>
      </c>
      <c r="K108" s="231"/>
    </row>
    <row r="109">
      <c r="A109" s="37" t="s">
        <v>5097</v>
      </c>
      <c r="B109" s="45"/>
      <c r="C109" s="95">
        <v>0.1</v>
      </c>
      <c r="D109" s="105">
        <v>0.73</v>
      </c>
      <c r="E109" s="105">
        <v>0.73</v>
      </c>
      <c r="F109" s="229" t="s">
        <v>1656</v>
      </c>
      <c r="G109" s="229"/>
      <c r="H109" s="11" t="s">
        <v>207</v>
      </c>
      <c r="I109" s="230" t="s">
        <v>1722</v>
      </c>
      <c r="J109" s="195" t="s">
        <v>4958</v>
      </c>
      <c r="K109" s="231"/>
    </row>
    <row r="110">
      <c r="A110" s="37" t="s">
        <v>5098</v>
      </c>
      <c r="B110" s="45"/>
      <c r="C110" s="95">
        <v>0.1</v>
      </c>
      <c r="D110" s="105">
        <v>0.73</v>
      </c>
      <c r="E110" s="105">
        <v>0.73</v>
      </c>
      <c r="F110" s="229" t="s">
        <v>1656</v>
      </c>
      <c r="G110" s="229"/>
      <c r="H110" s="11" t="s">
        <v>207</v>
      </c>
      <c r="I110" s="230" t="s">
        <v>1724</v>
      </c>
      <c r="J110" s="195" t="s">
        <v>4958</v>
      </c>
      <c r="K110" s="175">
        <v>2345.0</v>
      </c>
    </row>
    <row r="111">
      <c r="A111" s="37" t="s">
        <v>5099</v>
      </c>
      <c r="B111" s="45"/>
      <c r="C111" s="95">
        <v>0.1</v>
      </c>
      <c r="D111" s="105">
        <v>0.73</v>
      </c>
      <c r="E111" s="105">
        <v>0.73</v>
      </c>
      <c r="F111" s="229" t="s">
        <v>1656</v>
      </c>
      <c r="G111" s="229"/>
      <c r="H111" s="11" t="s">
        <v>207</v>
      </c>
      <c r="I111" s="230" t="s">
        <v>1710</v>
      </c>
      <c r="J111" s="195" t="s">
        <v>4958</v>
      </c>
      <c r="K111" s="175">
        <v>2345.0</v>
      </c>
    </row>
    <row r="112">
      <c r="A112" s="37" t="s">
        <v>5100</v>
      </c>
      <c r="B112" s="45"/>
      <c r="C112" s="95">
        <v>0.1</v>
      </c>
      <c r="D112" s="105">
        <v>0.73</v>
      </c>
      <c r="E112" s="105">
        <v>0.73</v>
      </c>
      <c r="F112" s="229" t="s">
        <v>1656</v>
      </c>
      <c r="G112" s="229"/>
      <c r="H112" s="11" t="s">
        <v>207</v>
      </c>
      <c r="I112" s="230" t="s">
        <v>1711</v>
      </c>
      <c r="J112" s="195" t="s">
        <v>4958</v>
      </c>
      <c r="K112" s="175">
        <v>2345.0</v>
      </c>
    </row>
    <row r="113">
      <c r="A113" s="37" t="s">
        <v>5101</v>
      </c>
      <c r="B113" s="45"/>
      <c r="C113" s="95">
        <v>0.1</v>
      </c>
      <c r="D113" s="105">
        <v>0.73</v>
      </c>
      <c r="E113" s="105">
        <v>0.73</v>
      </c>
      <c r="F113" s="229" t="s">
        <v>1656</v>
      </c>
      <c r="G113" s="229"/>
      <c r="H113" s="11" t="s">
        <v>207</v>
      </c>
      <c r="I113" s="230" t="s">
        <v>3714</v>
      </c>
      <c r="J113" s="195" t="s">
        <v>4958</v>
      </c>
      <c r="K113" s="175">
        <v>2345.0</v>
      </c>
    </row>
    <row r="114">
      <c r="A114" s="11" t="s">
        <v>220</v>
      </c>
      <c r="B114" s="11">
        <v>14663.0</v>
      </c>
      <c r="C114" s="95">
        <v>0.1</v>
      </c>
      <c r="D114" s="105">
        <v>0.73</v>
      </c>
      <c r="E114" s="105">
        <v>0.73</v>
      </c>
      <c r="F114" s="229" t="s">
        <v>1656</v>
      </c>
      <c r="G114" s="229"/>
      <c r="H114" s="229"/>
      <c r="I114" s="230" t="s">
        <v>1713</v>
      </c>
      <c r="J114" s="195" t="s">
        <v>4958</v>
      </c>
      <c r="K114" s="175">
        <v>2345.0</v>
      </c>
    </row>
    <row r="115">
      <c r="A115" s="11" t="s">
        <v>43</v>
      </c>
      <c r="B115" s="11">
        <v>14727.0</v>
      </c>
      <c r="C115" s="95">
        <v>0.1</v>
      </c>
      <c r="D115" s="105">
        <v>0.73</v>
      </c>
      <c r="E115" s="105">
        <v>0.73</v>
      </c>
      <c r="F115" s="229" t="s">
        <v>1656</v>
      </c>
      <c r="G115" s="229"/>
      <c r="H115" s="229"/>
      <c r="I115" s="230" t="s">
        <v>3715</v>
      </c>
      <c r="J115" s="195" t="s">
        <v>4958</v>
      </c>
      <c r="K115" s="175">
        <v>2345.0</v>
      </c>
    </row>
  </sheetData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8.38"/>
    <col customWidth="1" min="2" max="2" width="50.5"/>
  </cols>
  <sheetData>
    <row r="1">
      <c r="A1" s="233" t="s">
        <v>5102</v>
      </c>
    </row>
    <row r="2">
      <c r="A2" s="234" t="s">
        <v>5103</v>
      </c>
      <c r="B2" s="11" t="s">
        <v>5104</v>
      </c>
    </row>
    <row r="3">
      <c r="A3" s="111">
        <v>2345.0</v>
      </c>
      <c r="B3" s="235" t="str">
        <f>Z3&amp;A3</f>
        <v>https://prf.hn/click/camref:1100l3HS7p/pubref:2345</v>
      </c>
      <c r="C3" s="236"/>
      <c r="Z3" s="237" t="s">
        <v>5105</v>
      </c>
    </row>
    <row r="4">
      <c r="A4" s="9">
        <v>663.0</v>
      </c>
      <c r="B4" s="238" t="s">
        <v>5106</v>
      </c>
      <c r="C4" s="236"/>
    </row>
    <row r="5">
      <c r="A5" s="9">
        <v>7747.0</v>
      </c>
      <c r="B5" s="239" t="s">
        <v>5107</v>
      </c>
      <c r="C5" s="236"/>
    </row>
    <row r="6">
      <c r="A6" s="9">
        <v>7100.0</v>
      </c>
      <c r="B6" s="240" t="s">
        <v>5108</v>
      </c>
      <c r="C6" s="236"/>
    </row>
    <row r="7">
      <c r="A7" s="9">
        <v>12932.0</v>
      </c>
      <c r="B7" s="240" t="s">
        <v>5109</v>
      </c>
      <c r="C7" s="236"/>
    </row>
    <row r="8">
      <c r="A8" s="9">
        <v>6924.0</v>
      </c>
      <c r="B8" s="240" t="s">
        <v>5110</v>
      </c>
      <c r="C8" s="236"/>
    </row>
    <row r="9">
      <c r="A9" s="9">
        <v>7157.0</v>
      </c>
      <c r="B9" s="240" t="s">
        <v>5111</v>
      </c>
      <c r="C9" s="236"/>
    </row>
    <row r="10">
      <c r="A10" s="9">
        <v>8199.0</v>
      </c>
      <c r="B10" s="239" t="s">
        <v>5112</v>
      </c>
      <c r="C10" s="236"/>
    </row>
    <row r="11">
      <c r="A11" s="9">
        <v>9307.0</v>
      </c>
      <c r="B11" s="48" t="s">
        <v>5113</v>
      </c>
    </row>
    <row r="12">
      <c r="A12" s="9">
        <v>6875.0</v>
      </c>
      <c r="B12" s="48" t="s">
        <v>5114</v>
      </c>
    </row>
    <row r="13">
      <c r="A13" s="9">
        <v>6831.0</v>
      </c>
      <c r="B13" s="48" t="s">
        <v>5115</v>
      </c>
    </row>
    <row r="14">
      <c r="A14" s="9">
        <v>2205.0</v>
      </c>
      <c r="B14" s="49" t="s">
        <v>5116</v>
      </c>
    </row>
    <row r="15">
      <c r="A15" s="9">
        <v>9307.0</v>
      </c>
      <c r="B15" s="48" t="s">
        <v>5113</v>
      </c>
    </row>
    <row r="16">
      <c r="A16" s="9">
        <v>14482.0</v>
      </c>
      <c r="B16" s="48" t="s">
        <v>5117</v>
      </c>
    </row>
    <row r="17">
      <c r="A17" s="9">
        <v>6668.0</v>
      </c>
      <c r="B17" s="48" t="s">
        <v>5118</v>
      </c>
    </row>
    <row r="18">
      <c r="A18" s="9">
        <v>7229.0</v>
      </c>
      <c r="B18" s="48" t="s">
        <v>5119</v>
      </c>
    </row>
    <row r="19">
      <c r="A19" s="9">
        <v>14560.0</v>
      </c>
      <c r="B19" s="48" t="s">
        <v>5120</v>
      </c>
    </row>
    <row r="20">
      <c r="A20" s="9">
        <v>189.0</v>
      </c>
      <c r="B20" s="49" t="s">
        <v>5121</v>
      </c>
    </row>
    <row r="21">
      <c r="A21" s="9">
        <v>12941.0</v>
      </c>
      <c r="B21" s="48" t="s">
        <v>5122</v>
      </c>
    </row>
    <row r="22">
      <c r="A22" s="9">
        <v>14298.0</v>
      </c>
      <c r="B22" s="49" t="s">
        <v>5123</v>
      </c>
    </row>
    <row r="23">
      <c r="A23" s="9">
        <v>14663.0</v>
      </c>
      <c r="B23" s="48" t="s">
        <v>5124</v>
      </c>
    </row>
    <row r="24">
      <c r="A24" s="9">
        <v>14298.0</v>
      </c>
      <c r="B24" s="48" t="s">
        <v>5125</v>
      </c>
    </row>
    <row r="25">
      <c r="A25" s="9">
        <v>14638.0</v>
      </c>
      <c r="B25" s="48" t="s">
        <v>5126</v>
      </c>
    </row>
    <row r="26">
      <c r="A26" s="11">
        <v>14727.0</v>
      </c>
      <c r="B26" s="48" t="s">
        <v>5127</v>
      </c>
    </row>
  </sheetData>
  <hyperlinks>
    <hyperlink r:id="rId1" ref="Z3"/>
    <hyperlink r:id="rId2" ref="B4"/>
    <hyperlink r:id="rId3" ref="B5"/>
    <hyperlink r:id="rId4" ref="B6"/>
    <hyperlink r:id="rId5" ref="B7"/>
    <hyperlink r:id="rId6" ref="B8"/>
    <hyperlink r:id="rId7" ref="B9"/>
    <hyperlink r:id="rId8" ref="B10"/>
    <hyperlink r:id="rId9" ref="B11"/>
    <hyperlink r:id="rId10" ref="B12"/>
    <hyperlink r:id="rId11" ref="B13"/>
    <hyperlink r:id="rId12" ref="B14"/>
    <hyperlink r:id="rId13" ref="B15"/>
    <hyperlink r:id="rId14" ref="B16"/>
    <hyperlink r:id="rId15" ref="B17"/>
    <hyperlink r:id="rId16" ref="B18"/>
    <hyperlink r:id="rId17" ref="B19"/>
    <hyperlink r:id="rId18" ref="B20"/>
    <hyperlink r:id="rId19" ref="B21"/>
    <hyperlink r:id="rId20" ref="B22"/>
    <hyperlink r:id="rId21" ref="B23"/>
    <hyperlink r:id="rId22" ref="B24"/>
    <hyperlink r:id="rId23" ref="B25"/>
    <hyperlink r:id="rId24" ref="B26"/>
  </hyperlinks>
  <drawing r:id="rId25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outlinePr summaryBelow="0" summaryRight="0"/>
  </sheetPr>
  <sheetViews>
    <sheetView workbookViewId="0"/>
  </sheetViews>
  <sheetFormatPr customHeight="1" defaultColWidth="12.63" defaultRowHeight="15.75"/>
  <cols>
    <col hidden="1" min="8" max="11" width="12.63"/>
  </cols>
  <sheetData>
    <row r="1">
      <c r="A1" s="11" t="s">
        <v>2073</v>
      </c>
      <c r="B1" s="11" t="s">
        <v>1</v>
      </c>
    </row>
    <row r="2">
      <c r="A2" s="32" t="s">
        <v>3547</v>
      </c>
      <c r="B2" s="37">
        <v>3404.0</v>
      </c>
      <c r="C2" s="45"/>
      <c r="D2" s="45"/>
      <c r="F2" s="21"/>
    </row>
    <row r="3">
      <c r="A3" s="32" t="s">
        <v>3548</v>
      </c>
      <c r="B3" s="37">
        <v>2345.0</v>
      </c>
      <c r="C3" s="45"/>
      <c r="D3" s="45"/>
      <c r="F3" s="21"/>
      <c r="I3" s="39">
        <v>1314.0</v>
      </c>
      <c r="J3" s="174" t="s">
        <v>3569</v>
      </c>
      <c r="K3" s="39">
        <v>1.0</v>
      </c>
    </row>
    <row r="4">
      <c r="A4" s="32" t="s">
        <v>3549</v>
      </c>
      <c r="B4" s="37">
        <v>189.0</v>
      </c>
      <c r="C4" s="45"/>
      <c r="D4" s="45"/>
      <c r="F4" s="21"/>
      <c r="I4" s="39">
        <v>1314.0</v>
      </c>
      <c r="J4" s="174" t="s">
        <v>1702</v>
      </c>
      <c r="K4" s="39">
        <v>1.0</v>
      </c>
    </row>
    <row r="5">
      <c r="A5" s="32" t="s">
        <v>3550</v>
      </c>
      <c r="B5" s="37">
        <v>6675.0</v>
      </c>
      <c r="C5" s="45"/>
      <c r="D5" s="45"/>
      <c r="F5" s="21"/>
      <c r="I5" s="39">
        <v>1314.0</v>
      </c>
      <c r="J5" s="174" t="s">
        <v>75</v>
      </c>
      <c r="K5" s="39">
        <v>1.0</v>
      </c>
    </row>
    <row r="6">
      <c r="A6" s="32" t="s">
        <v>3551</v>
      </c>
      <c r="B6" s="37">
        <v>6924.0</v>
      </c>
      <c r="C6" s="45"/>
      <c r="D6" s="45"/>
      <c r="F6" s="21"/>
      <c r="I6" s="39">
        <v>1314.0</v>
      </c>
      <c r="J6" s="174" t="s">
        <v>1693</v>
      </c>
      <c r="K6" s="39">
        <v>1.0</v>
      </c>
    </row>
    <row r="7">
      <c r="A7" s="32" t="s">
        <v>3552</v>
      </c>
      <c r="B7" s="37">
        <v>5458.0</v>
      </c>
      <c r="C7" s="45"/>
      <c r="D7" s="45"/>
      <c r="I7" s="39">
        <v>1314.0</v>
      </c>
      <c r="J7" s="174" t="s">
        <v>79</v>
      </c>
      <c r="K7" s="39">
        <v>2.0</v>
      </c>
    </row>
    <row r="8">
      <c r="A8" s="32" t="s">
        <v>3553</v>
      </c>
      <c r="B8" s="37">
        <v>5458.0</v>
      </c>
      <c r="C8" s="45"/>
      <c r="D8" s="45"/>
    </row>
    <row r="9">
      <c r="A9" s="32" t="s">
        <v>3704</v>
      </c>
      <c r="B9" s="37">
        <v>2345.0</v>
      </c>
      <c r="C9" s="45"/>
      <c r="D9" s="45"/>
    </row>
    <row r="10">
      <c r="A10" s="32" t="s">
        <v>3705</v>
      </c>
      <c r="B10" s="37">
        <v>2345.0</v>
      </c>
      <c r="C10" s="45"/>
      <c r="D10" s="45"/>
      <c r="H10" s="241" t="s">
        <v>1678</v>
      </c>
      <c r="I10" s="11">
        <v>1.0</v>
      </c>
    </row>
    <row r="11">
      <c r="A11" s="32" t="s">
        <v>65</v>
      </c>
      <c r="B11" s="37">
        <v>8199.0</v>
      </c>
      <c r="C11" s="45"/>
      <c r="D11" s="45"/>
      <c r="H11" s="241" t="s">
        <v>74</v>
      </c>
      <c r="I11" s="11">
        <v>1.0</v>
      </c>
    </row>
    <row r="12">
      <c r="A12" s="32" t="s">
        <v>66</v>
      </c>
      <c r="B12" s="37">
        <v>2345.0</v>
      </c>
      <c r="C12" s="45"/>
      <c r="D12" s="45"/>
      <c r="H12" s="241" t="s">
        <v>74</v>
      </c>
      <c r="I12" s="11">
        <v>1.0</v>
      </c>
    </row>
    <row r="13">
      <c r="A13" s="32" t="s">
        <v>67</v>
      </c>
      <c r="B13" s="37">
        <v>6106.0</v>
      </c>
      <c r="C13" s="45"/>
      <c r="D13" s="45"/>
      <c r="H13" s="241" t="s">
        <v>79</v>
      </c>
      <c r="I13" s="11">
        <v>1.0</v>
      </c>
    </row>
    <row r="14">
      <c r="A14" s="32" t="s">
        <v>68</v>
      </c>
      <c r="B14" s="37">
        <v>9746.0</v>
      </c>
      <c r="C14" s="45"/>
      <c r="D14" s="45"/>
      <c r="H14" s="241" t="s">
        <v>88</v>
      </c>
      <c r="I14" s="11">
        <v>1.0</v>
      </c>
    </row>
    <row r="15">
      <c r="A15" s="32" t="s">
        <v>69</v>
      </c>
      <c r="B15" s="37">
        <v>9746.0</v>
      </c>
      <c r="C15" s="45"/>
      <c r="D15" s="45"/>
      <c r="H15" s="241" t="s">
        <v>3568</v>
      </c>
      <c r="I15" s="11">
        <v>1.0</v>
      </c>
    </row>
    <row r="16">
      <c r="A16" s="32" t="s">
        <v>70</v>
      </c>
      <c r="B16" s="37">
        <v>7157.0</v>
      </c>
      <c r="C16" s="45"/>
      <c r="D16" s="45"/>
      <c r="H16" s="241" t="s">
        <v>3568</v>
      </c>
      <c r="I16" s="11">
        <v>1.0</v>
      </c>
    </row>
    <row r="17">
      <c r="A17" s="32" t="s">
        <v>71</v>
      </c>
      <c r="B17" s="37">
        <v>7747.0</v>
      </c>
      <c r="C17" s="45"/>
      <c r="D17" s="45"/>
      <c r="H17" s="241" t="s">
        <v>3568</v>
      </c>
      <c r="I17" s="11">
        <v>1.0</v>
      </c>
    </row>
    <row r="18">
      <c r="A18" s="32" t="s">
        <v>72</v>
      </c>
      <c r="B18" s="37">
        <v>14482.0</v>
      </c>
      <c r="C18" s="45"/>
      <c r="D18" s="45"/>
      <c r="H18" s="241" t="s">
        <v>3568</v>
      </c>
      <c r="I18" s="11">
        <v>1.0</v>
      </c>
    </row>
    <row r="19">
      <c r="A19" s="32" t="s">
        <v>73</v>
      </c>
      <c r="B19" s="37">
        <v>7073.0</v>
      </c>
      <c r="C19" s="45"/>
      <c r="D19" s="45"/>
      <c r="H19" s="241" t="s">
        <v>3568</v>
      </c>
      <c r="I19" s="11">
        <v>1.0</v>
      </c>
    </row>
    <row r="20">
      <c r="A20" s="32" t="s">
        <v>74</v>
      </c>
      <c r="B20" s="37">
        <v>7031.0</v>
      </c>
      <c r="C20" s="45"/>
      <c r="D20" s="45"/>
      <c r="H20" s="241" t="s">
        <v>3568</v>
      </c>
      <c r="I20" s="11">
        <v>1.0</v>
      </c>
    </row>
    <row r="21">
      <c r="A21" s="32" t="s">
        <v>75</v>
      </c>
      <c r="B21" s="37">
        <v>6802.0</v>
      </c>
      <c r="C21" s="45"/>
      <c r="D21" s="45"/>
      <c r="H21" s="241" t="s">
        <v>3568</v>
      </c>
      <c r="I21" s="11">
        <v>1.0</v>
      </c>
    </row>
    <row r="22">
      <c r="A22" s="32" t="s">
        <v>76</v>
      </c>
      <c r="B22" s="37">
        <v>14659.0</v>
      </c>
      <c r="C22" s="45"/>
      <c r="D22" s="45"/>
      <c r="H22" s="241" t="s">
        <v>3568</v>
      </c>
      <c r="I22" s="11">
        <v>1.0</v>
      </c>
    </row>
    <row r="23">
      <c r="A23" s="32" t="s">
        <v>77</v>
      </c>
      <c r="B23" s="37">
        <v>6722.0</v>
      </c>
      <c r="C23" s="45"/>
      <c r="D23" s="45"/>
      <c r="H23" s="241" t="s">
        <v>3568</v>
      </c>
      <c r="I23" s="11">
        <v>1.0</v>
      </c>
    </row>
    <row r="24">
      <c r="A24" s="32" t="s">
        <v>78</v>
      </c>
      <c r="B24" s="37">
        <v>6887.0</v>
      </c>
      <c r="C24" s="45"/>
      <c r="D24" s="45"/>
      <c r="H24" s="241" t="s">
        <v>3568</v>
      </c>
      <c r="I24" s="11">
        <v>1.0</v>
      </c>
    </row>
    <row r="25">
      <c r="A25" s="32" t="s">
        <v>79</v>
      </c>
      <c r="B25" s="37">
        <v>7033.0</v>
      </c>
      <c r="C25" s="45"/>
      <c r="D25" s="45"/>
      <c r="H25" s="241" t="s">
        <v>3580</v>
      </c>
      <c r="I25" s="11">
        <v>1.0</v>
      </c>
    </row>
    <row r="26">
      <c r="A26" s="32" t="s">
        <v>80</v>
      </c>
      <c r="B26" s="37">
        <v>11708.0</v>
      </c>
      <c r="C26" s="45"/>
      <c r="D26" s="45"/>
    </row>
    <row r="27">
      <c r="A27" s="32" t="s">
        <v>81</v>
      </c>
      <c r="B27" s="37">
        <v>14337.0</v>
      </c>
      <c r="C27" s="45"/>
      <c r="D27" s="45"/>
    </row>
    <row r="28">
      <c r="A28" s="32" t="s">
        <v>82</v>
      </c>
      <c r="B28" s="37">
        <v>6772.0</v>
      </c>
      <c r="C28" s="45"/>
      <c r="D28" s="45"/>
    </row>
    <row r="29">
      <c r="A29" s="32" t="s">
        <v>83</v>
      </c>
      <c r="B29" s="37">
        <v>14646.0</v>
      </c>
      <c r="C29" s="45"/>
      <c r="D29" s="45"/>
    </row>
    <row r="30">
      <c r="A30" s="32" t="s">
        <v>84</v>
      </c>
      <c r="B30" s="45"/>
      <c r="C30" s="45"/>
      <c r="D30" s="45"/>
    </row>
    <row r="31">
      <c r="A31" s="32" t="s">
        <v>85</v>
      </c>
      <c r="B31" s="37">
        <v>6727.0</v>
      </c>
      <c r="C31" s="45"/>
      <c r="D31" s="45"/>
    </row>
    <row r="32">
      <c r="A32" s="32" t="s">
        <v>86</v>
      </c>
      <c r="B32" s="37">
        <v>6727.0</v>
      </c>
      <c r="C32" s="45"/>
      <c r="D32" s="45"/>
    </row>
    <row r="33">
      <c r="A33" s="32" t="s">
        <v>87</v>
      </c>
      <c r="B33" s="37">
        <v>6727.0</v>
      </c>
      <c r="C33" s="45"/>
      <c r="D33" s="45"/>
    </row>
    <row r="34">
      <c r="A34" s="32" t="s">
        <v>88</v>
      </c>
      <c r="B34" s="37">
        <v>6727.0</v>
      </c>
      <c r="C34" s="45"/>
      <c r="D34" s="45"/>
    </row>
    <row r="35">
      <c r="A35" s="32" t="s">
        <v>89</v>
      </c>
      <c r="B35" s="37">
        <v>5421.0</v>
      </c>
      <c r="C35" s="45"/>
      <c r="D35" s="45"/>
    </row>
    <row r="36">
      <c r="A36" s="32" t="s">
        <v>90</v>
      </c>
      <c r="B36" s="37">
        <v>5421.0</v>
      </c>
      <c r="C36" s="45"/>
      <c r="D36" s="45"/>
    </row>
    <row r="37">
      <c r="A37" s="32" t="s">
        <v>91</v>
      </c>
      <c r="B37" s="37">
        <v>5421.0</v>
      </c>
      <c r="C37" s="45"/>
      <c r="D37" s="45"/>
    </row>
    <row r="38">
      <c r="A38" s="32" t="s">
        <v>92</v>
      </c>
      <c r="B38" s="37">
        <v>5421.0</v>
      </c>
      <c r="C38" s="45"/>
      <c r="D38" s="45"/>
    </row>
    <row r="39">
      <c r="A39" s="32" t="s">
        <v>93</v>
      </c>
      <c r="B39" s="37">
        <v>5421.0</v>
      </c>
      <c r="C39" s="45"/>
      <c r="D39" s="45"/>
    </row>
    <row r="40">
      <c r="A40" s="32" t="s">
        <v>94</v>
      </c>
      <c r="B40" s="37">
        <v>5421.0</v>
      </c>
      <c r="C40" s="45"/>
      <c r="D40" s="45"/>
    </row>
    <row r="41">
      <c r="A41" s="32" t="s">
        <v>95</v>
      </c>
      <c r="B41" s="37">
        <v>189.0</v>
      </c>
      <c r="C41" s="45"/>
      <c r="D41" s="45"/>
    </row>
    <row r="42">
      <c r="A42" s="32" t="s">
        <v>96</v>
      </c>
      <c r="B42" s="37">
        <v>6726.0</v>
      </c>
      <c r="C42" s="45"/>
      <c r="D42" s="45"/>
    </row>
    <row r="43">
      <c r="A43" s="32" t="s">
        <v>97</v>
      </c>
      <c r="B43" s="37">
        <v>6726.0</v>
      </c>
      <c r="C43" s="45"/>
      <c r="D43" s="45"/>
    </row>
    <row r="44">
      <c r="A44" s="32" t="s">
        <v>98</v>
      </c>
      <c r="B44" s="37">
        <v>14480.0</v>
      </c>
      <c r="C44" s="45"/>
      <c r="D44" s="45"/>
    </row>
    <row r="45">
      <c r="A45" s="32" t="s">
        <v>99</v>
      </c>
      <c r="B45" s="37">
        <v>189.0</v>
      </c>
      <c r="C45" s="45"/>
      <c r="D45" s="45"/>
    </row>
    <row r="46">
      <c r="A46" s="32" t="s">
        <v>100</v>
      </c>
      <c r="B46" s="37">
        <v>14575.0</v>
      </c>
      <c r="C46" s="45"/>
      <c r="D46" s="45"/>
    </row>
    <row r="47">
      <c r="A47" s="32" t="s">
        <v>101</v>
      </c>
      <c r="B47" s="45"/>
      <c r="C47" s="45"/>
      <c r="D47" s="45"/>
    </row>
    <row r="48">
      <c r="A48" s="32" t="s">
        <v>102</v>
      </c>
      <c r="B48" s="45"/>
      <c r="C48" s="45"/>
      <c r="D48" s="45"/>
    </row>
    <row r="49">
      <c r="A49" s="32" t="s">
        <v>103</v>
      </c>
      <c r="B49" s="45"/>
      <c r="C49" s="45"/>
      <c r="D49" s="45"/>
    </row>
    <row r="50">
      <c r="A50" s="32" t="s">
        <v>104</v>
      </c>
      <c r="B50" s="45"/>
      <c r="C50" s="45"/>
      <c r="D50" s="45"/>
    </row>
    <row r="51">
      <c r="A51" s="32" t="s">
        <v>105</v>
      </c>
      <c r="B51" s="37">
        <v>14482.0</v>
      </c>
      <c r="C51" s="45"/>
      <c r="D51" s="45"/>
    </row>
    <row r="52">
      <c r="A52" s="32" t="s">
        <v>3554</v>
      </c>
      <c r="B52" s="45"/>
      <c r="C52" s="45"/>
      <c r="D52" s="45"/>
    </row>
    <row r="53">
      <c r="A53" s="32" t="s">
        <v>3555</v>
      </c>
      <c r="B53" s="45"/>
      <c r="C53" s="45"/>
      <c r="D53" s="45"/>
    </row>
    <row r="54">
      <c r="A54" s="32" t="s">
        <v>3556</v>
      </c>
      <c r="B54" s="45"/>
      <c r="C54" s="45"/>
      <c r="D54" s="45"/>
    </row>
    <row r="55">
      <c r="A55" s="32" t="s">
        <v>3557</v>
      </c>
      <c r="B55" s="45"/>
      <c r="C55" s="45"/>
      <c r="D55" s="45"/>
    </row>
    <row r="56">
      <c r="A56" s="32" t="s">
        <v>3558</v>
      </c>
      <c r="B56" s="37">
        <v>12932.0</v>
      </c>
      <c r="C56" s="45"/>
      <c r="D56" s="45"/>
    </row>
    <row r="57">
      <c r="A57" s="32" t="s">
        <v>3559</v>
      </c>
      <c r="B57" s="45"/>
      <c r="C57" s="45"/>
      <c r="D57" s="45"/>
    </row>
    <row r="58">
      <c r="A58" s="32" t="s">
        <v>3560</v>
      </c>
      <c r="B58" s="45"/>
      <c r="C58" s="45"/>
      <c r="D58" s="45"/>
    </row>
    <row r="59">
      <c r="A59" s="32" t="s">
        <v>3561</v>
      </c>
      <c r="B59" s="45"/>
      <c r="C59" s="45"/>
      <c r="D59" s="45"/>
    </row>
    <row r="60">
      <c r="A60" s="32" t="s">
        <v>3562</v>
      </c>
      <c r="B60" s="45"/>
      <c r="C60" s="45"/>
      <c r="D60" s="45"/>
    </row>
    <row r="61">
      <c r="A61" s="32" t="s">
        <v>3563</v>
      </c>
      <c r="B61" s="45"/>
      <c r="C61" s="45"/>
      <c r="D61" s="45"/>
    </row>
    <row r="62">
      <c r="A62" s="32" t="s">
        <v>3564</v>
      </c>
      <c r="B62" s="45"/>
      <c r="C62" s="45"/>
      <c r="D62" s="45"/>
    </row>
    <row r="63">
      <c r="A63" s="32" t="s">
        <v>3565</v>
      </c>
      <c r="B63" s="45"/>
      <c r="C63" s="45"/>
      <c r="D63" s="45"/>
    </row>
    <row r="64">
      <c r="A64" s="32" t="s">
        <v>3566</v>
      </c>
      <c r="B64" s="45"/>
      <c r="C64" s="45"/>
      <c r="D64" s="45"/>
    </row>
    <row r="65">
      <c r="A65" s="32" t="s">
        <v>3567</v>
      </c>
      <c r="B65" s="45"/>
      <c r="C65" s="45"/>
      <c r="D65" s="45"/>
    </row>
    <row r="66">
      <c r="A66" s="32" t="s">
        <v>3568</v>
      </c>
      <c r="B66" s="37">
        <v>14465.0</v>
      </c>
      <c r="C66" s="45"/>
      <c r="D66" s="45"/>
    </row>
    <row r="67">
      <c r="A67" s="32" t="s">
        <v>3569</v>
      </c>
      <c r="B67" s="45"/>
      <c r="C67" s="45"/>
      <c r="D67" s="45"/>
    </row>
    <row r="68">
      <c r="A68" s="32" t="s">
        <v>3570</v>
      </c>
      <c r="B68" s="25">
        <v>11049.0</v>
      </c>
      <c r="C68" s="45"/>
      <c r="D68" s="45"/>
    </row>
    <row r="69">
      <c r="A69" s="32" t="s">
        <v>3571</v>
      </c>
      <c r="B69" s="25">
        <v>11049.0</v>
      </c>
      <c r="C69" s="45"/>
      <c r="D69" s="45"/>
    </row>
    <row r="70">
      <c r="A70" s="32" t="s">
        <v>3581</v>
      </c>
      <c r="B70" s="25">
        <v>11049.0</v>
      </c>
      <c r="C70" s="45"/>
      <c r="D70" s="45"/>
    </row>
    <row r="71">
      <c r="A71" s="32" t="s">
        <v>3582</v>
      </c>
      <c r="B71" s="25">
        <v>11049.0</v>
      </c>
      <c r="C71" s="45"/>
      <c r="D71" s="45"/>
    </row>
    <row r="72">
      <c r="A72" s="32" t="s">
        <v>3583</v>
      </c>
      <c r="B72" s="25">
        <v>11049.0</v>
      </c>
      <c r="C72" s="45"/>
      <c r="D72" s="45"/>
    </row>
    <row r="73">
      <c r="A73" s="32" t="s">
        <v>3584</v>
      </c>
      <c r="B73" s="25">
        <v>11049.0</v>
      </c>
      <c r="C73" s="45"/>
      <c r="D73" s="45"/>
    </row>
    <row r="74">
      <c r="A74" s="32" t="s">
        <v>3585</v>
      </c>
      <c r="B74" s="25">
        <v>11049.0</v>
      </c>
      <c r="C74" s="45"/>
      <c r="D74" s="45"/>
    </row>
    <row r="75">
      <c r="A75" s="32" t="s">
        <v>3586</v>
      </c>
      <c r="B75" s="25">
        <v>11049.0</v>
      </c>
      <c r="C75" s="45"/>
      <c r="D75" s="45"/>
    </row>
    <row r="76">
      <c r="A76" s="32" t="s">
        <v>3587</v>
      </c>
      <c r="B76" s="25">
        <v>11049.0</v>
      </c>
      <c r="C76" s="45"/>
      <c r="D76" s="45"/>
    </row>
    <row r="77">
      <c r="A77" s="32" t="s">
        <v>3588</v>
      </c>
      <c r="B77" s="25">
        <v>11049.0</v>
      </c>
      <c r="C77" s="45"/>
      <c r="D77" s="45"/>
    </row>
    <row r="78">
      <c r="A78" s="32" t="s">
        <v>3589</v>
      </c>
      <c r="B78" s="25">
        <v>11049.0</v>
      </c>
      <c r="C78" s="45"/>
      <c r="D78" s="45"/>
    </row>
    <row r="79">
      <c r="A79" s="32" t="s">
        <v>3590</v>
      </c>
      <c r="B79" s="25">
        <v>11049.0</v>
      </c>
      <c r="C79" s="45"/>
      <c r="D79" s="45"/>
    </row>
    <row r="80">
      <c r="A80" s="32" t="s">
        <v>3591</v>
      </c>
      <c r="B80" s="25">
        <v>11049.0</v>
      </c>
      <c r="C80" s="45"/>
      <c r="D80" s="45"/>
    </row>
    <row r="81">
      <c r="A81" s="32" t="s">
        <v>3592</v>
      </c>
      <c r="B81" s="25">
        <v>11049.0</v>
      </c>
      <c r="C81" s="45"/>
      <c r="D81" s="45"/>
    </row>
    <row r="82">
      <c r="A82" s="32" t="s">
        <v>3593</v>
      </c>
      <c r="B82" s="25">
        <v>11049.0</v>
      </c>
      <c r="C82" s="45"/>
      <c r="D82" s="45"/>
    </row>
    <row r="83">
      <c r="A83" s="32" t="s">
        <v>3594</v>
      </c>
      <c r="B83" s="25">
        <v>11049.0</v>
      </c>
      <c r="C83" s="45"/>
      <c r="D83" s="45"/>
    </row>
    <row r="84">
      <c r="A84" s="32" t="s">
        <v>3595</v>
      </c>
      <c r="B84" s="25">
        <v>11049.0</v>
      </c>
      <c r="C84" s="45"/>
      <c r="D84" s="45"/>
    </row>
    <row r="85">
      <c r="A85" s="32" t="s">
        <v>3596</v>
      </c>
      <c r="B85" s="25">
        <v>11049.0</v>
      </c>
      <c r="C85" s="45"/>
      <c r="D85" s="45"/>
    </row>
    <row r="86">
      <c r="A86" s="32" t="s">
        <v>3597</v>
      </c>
      <c r="B86" s="25">
        <v>11049.0</v>
      </c>
      <c r="C86" s="45"/>
      <c r="D86" s="45"/>
    </row>
    <row r="87">
      <c r="A87" s="32" t="s">
        <v>3598</v>
      </c>
      <c r="B87" s="25">
        <v>11049.0</v>
      </c>
      <c r="C87" s="45"/>
      <c r="D87" s="45"/>
    </row>
    <row r="88">
      <c r="A88" s="32" t="s">
        <v>3599</v>
      </c>
      <c r="B88" s="25">
        <v>11049.0</v>
      </c>
      <c r="C88" s="45"/>
      <c r="D88" s="45"/>
    </row>
    <row r="89">
      <c r="A89" s="32" t="s">
        <v>3600</v>
      </c>
      <c r="B89" s="25">
        <v>11049.0</v>
      </c>
      <c r="C89" s="45"/>
      <c r="D89" s="45"/>
    </row>
    <row r="90">
      <c r="A90" s="32" t="s">
        <v>3601</v>
      </c>
      <c r="B90" s="25">
        <v>11049.0</v>
      </c>
      <c r="C90" s="45"/>
      <c r="D90" s="45"/>
    </row>
    <row r="91">
      <c r="A91" s="32" t="s">
        <v>3602</v>
      </c>
      <c r="B91" s="25">
        <v>11049.0</v>
      </c>
      <c r="C91" s="45"/>
      <c r="D91" s="45"/>
    </row>
    <row r="92">
      <c r="A92" s="32" t="s">
        <v>3603</v>
      </c>
      <c r="B92" s="25">
        <v>11049.0</v>
      </c>
      <c r="C92" s="45"/>
      <c r="D92" s="45"/>
    </row>
    <row r="93">
      <c r="A93" s="37" t="s">
        <v>1655</v>
      </c>
      <c r="B93" s="37">
        <v>7100.0</v>
      </c>
      <c r="C93" s="45"/>
      <c r="D93" s="45"/>
    </row>
    <row r="94">
      <c r="A94" s="37" t="s">
        <v>1657</v>
      </c>
      <c r="B94" s="45"/>
      <c r="C94" s="45"/>
      <c r="D94" s="45"/>
    </row>
    <row r="95">
      <c r="A95" s="37" t="s">
        <v>1658</v>
      </c>
      <c r="B95" s="45"/>
      <c r="C95" s="45"/>
      <c r="D95" s="45"/>
    </row>
    <row r="96">
      <c r="A96" s="37" t="s">
        <v>1659</v>
      </c>
      <c r="B96" s="45"/>
      <c r="C96" s="45"/>
      <c r="D96" s="45"/>
    </row>
    <row r="97">
      <c r="A97" s="37" t="s">
        <v>1660</v>
      </c>
      <c r="B97" s="45"/>
      <c r="C97" s="45"/>
      <c r="D97" s="45"/>
    </row>
    <row r="98">
      <c r="A98" s="37" t="s">
        <v>1661</v>
      </c>
      <c r="B98" s="45"/>
      <c r="C98" s="45"/>
      <c r="D98" s="45"/>
    </row>
    <row r="99">
      <c r="A99" s="37" t="s">
        <v>1662</v>
      </c>
      <c r="B99" s="45"/>
      <c r="C99" s="45"/>
      <c r="D99" s="45"/>
    </row>
    <row r="100">
      <c r="A100" s="37" t="s">
        <v>1663</v>
      </c>
      <c r="B100" s="45"/>
      <c r="C100" s="45"/>
      <c r="D100" s="45"/>
    </row>
    <row r="101">
      <c r="A101" s="37" t="s">
        <v>1664</v>
      </c>
      <c r="B101" s="37"/>
      <c r="C101" s="45"/>
      <c r="D101" s="45"/>
    </row>
    <row r="102">
      <c r="A102" s="37" t="s">
        <v>1665</v>
      </c>
      <c r="B102" s="45"/>
      <c r="C102" s="45"/>
      <c r="D102" s="45"/>
    </row>
    <row r="103">
      <c r="A103" s="37" t="s">
        <v>1666</v>
      </c>
      <c r="B103" s="45"/>
      <c r="C103" s="45"/>
      <c r="D103" s="45"/>
    </row>
    <row r="104">
      <c r="A104" s="37" t="s">
        <v>1667</v>
      </c>
      <c r="B104" s="45"/>
      <c r="C104" s="45"/>
      <c r="D104" s="45"/>
    </row>
    <row r="105">
      <c r="A105" s="37" t="s">
        <v>1668</v>
      </c>
      <c r="B105" s="45"/>
      <c r="C105" s="45"/>
      <c r="D105" s="45"/>
    </row>
    <row r="106">
      <c r="A106" s="37" t="s">
        <v>1669</v>
      </c>
      <c r="B106" s="45"/>
      <c r="C106" s="45"/>
      <c r="D106" s="45"/>
    </row>
    <row r="107">
      <c r="A107" s="37" t="s">
        <v>1670</v>
      </c>
      <c r="B107" s="45"/>
      <c r="C107" s="45"/>
      <c r="D107" s="45"/>
    </row>
    <row r="108">
      <c r="A108" s="37" t="s">
        <v>1671</v>
      </c>
      <c r="B108" s="45"/>
      <c r="C108" s="45"/>
      <c r="D108" s="45"/>
    </row>
    <row r="109">
      <c r="A109" s="37" t="s">
        <v>1672</v>
      </c>
      <c r="B109" s="45"/>
      <c r="C109" s="45"/>
      <c r="D109" s="45"/>
    </row>
    <row r="110">
      <c r="A110" s="37" t="s">
        <v>1673</v>
      </c>
      <c r="B110" s="45"/>
      <c r="C110" s="45"/>
      <c r="D110" s="45"/>
    </row>
    <row r="111">
      <c r="A111" s="37" t="s">
        <v>1674</v>
      </c>
      <c r="B111" s="45"/>
      <c r="C111" s="45"/>
      <c r="D111" s="45"/>
    </row>
    <row r="112">
      <c r="A112" s="37" t="s">
        <v>1675</v>
      </c>
      <c r="B112" s="37">
        <v>1.0</v>
      </c>
      <c r="C112" s="45"/>
      <c r="D112" s="45"/>
    </row>
    <row r="113">
      <c r="A113" s="37" t="s">
        <v>1716</v>
      </c>
      <c r="B113" s="45"/>
      <c r="C113" s="45"/>
      <c r="D113" s="45"/>
    </row>
    <row r="114">
      <c r="A114" s="37" t="s">
        <v>1676</v>
      </c>
      <c r="B114" s="45"/>
      <c r="C114" s="45"/>
      <c r="D114" s="45"/>
    </row>
    <row r="115">
      <c r="A115" s="37" t="s">
        <v>1717</v>
      </c>
      <c r="B115" s="45"/>
      <c r="C115" s="45"/>
      <c r="D115" s="45"/>
    </row>
    <row r="116">
      <c r="A116" s="37" t="s">
        <v>1677</v>
      </c>
      <c r="B116" s="45"/>
      <c r="C116" s="45"/>
      <c r="D116" s="45"/>
    </row>
    <row r="117">
      <c r="A117" s="37" t="s">
        <v>1678</v>
      </c>
      <c r="B117" s="45"/>
      <c r="C117" s="45"/>
      <c r="D117" s="45"/>
    </row>
    <row r="118">
      <c r="A118" s="37" t="s">
        <v>1679</v>
      </c>
      <c r="B118" s="45"/>
      <c r="C118" s="45"/>
      <c r="D118" s="45"/>
    </row>
    <row r="119">
      <c r="A119" s="37" t="s">
        <v>1680</v>
      </c>
      <c r="B119" s="45"/>
      <c r="C119" s="45"/>
      <c r="D119" s="45"/>
    </row>
    <row r="120">
      <c r="A120" s="37" t="s">
        <v>1681</v>
      </c>
      <c r="B120" s="45"/>
      <c r="C120" s="45"/>
      <c r="D120" s="45"/>
    </row>
    <row r="121">
      <c r="A121" s="37" t="s">
        <v>1682</v>
      </c>
      <c r="B121" s="45"/>
      <c r="C121" s="45"/>
      <c r="D121" s="45"/>
    </row>
    <row r="122">
      <c r="A122" s="37" t="s">
        <v>1683</v>
      </c>
      <c r="B122" s="45"/>
      <c r="C122" s="45"/>
      <c r="D122" s="45"/>
    </row>
    <row r="123">
      <c r="A123" s="37" t="s">
        <v>1694</v>
      </c>
      <c r="B123" s="45"/>
      <c r="C123" s="45"/>
      <c r="D123" s="45"/>
    </row>
    <row r="124">
      <c r="A124" s="37" t="s">
        <v>1695</v>
      </c>
      <c r="B124" s="45"/>
      <c r="C124" s="45"/>
      <c r="D124" s="45"/>
    </row>
    <row r="125">
      <c r="A125" s="37" t="s">
        <v>1696</v>
      </c>
      <c r="B125" s="45"/>
      <c r="C125" s="45"/>
      <c r="D125" s="45"/>
    </row>
    <row r="126">
      <c r="A126" s="37" t="s">
        <v>1697</v>
      </c>
      <c r="B126" s="45"/>
      <c r="C126" s="45"/>
      <c r="D126" s="45"/>
    </row>
    <row r="127">
      <c r="A127" s="37" t="s">
        <v>1719</v>
      </c>
      <c r="B127" s="45"/>
      <c r="C127" s="45"/>
      <c r="D127" s="45"/>
    </row>
    <row r="128">
      <c r="A128" s="37" t="s">
        <v>1720</v>
      </c>
      <c r="B128" s="45"/>
      <c r="C128" s="45"/>
      <c r="D128" s="45"/>
    </row>
    <row r="129">
      <c r="A129" s="37" t="s">
        <v>1698</v>
      </c>
      <c r="B129" s="45"/>
      <c r="C129" s="45"/>
      <c r="D129" s="45"/>
    </row>
    <row r="130">
      <c r="A130" s="37" t="s">
        <v>1699</v>
      </c>
      <c r="B130" s="45"/>
      <c r="C130" s="45"/>
      <c r="D130" s="45"/>
    </row>
    <row r="131">
      <c r="A131" s="37" t="s">
        <v>1700</v>
      </c>
      <c r="B131" s="45"/>
      <c r="C131" s="45"/>
      <c r="D131" s="45"/>
    </row>
    <row r="132">
      <c r="A132" s="37" t="s">
        <v>1701</v>
      </c>
      <c r="B132" s="45"/>
      <c r="C132" s="45"/>
      <c r="D132" s="45"/>
    </row>
    <row r="133">
      <c r="A133" s="37" t="s">
        <v>1702</v>
      </c>
      <c r="B133" s="45"/>
      <c r="C133" s="45"/>
      <c r="D133" s="45"/>
    </row>
    <row r="134">
      <c r="A134" s="37" t="s">
        <v>1703</v>
      </c>
      <c r="B134" s="45"/>
      <c r="C134" s="45"/>
      <c r="D134" s="45"/>
    </row>
    <row r="135">
      <c r="A135" s="37" t="s">
        <v>1704</v>
      </c>
      <c r="B135" s="45"/>
      <c r="C135" s="45"/>
      <c r="D135" s="45"/>
    </row>
    <row r="136">
      <c r="A136" s="37" t="s">
        <v>1705</v>
      </c>
      <c r="B136" s="45"/>
      <c r="C136" s="45"/>
      <c r="D136" s="45"/>
    </row>
    <row r="137">
      <c r="A137" s="37" t="s">
        <v>1706</v>
      </c>
      <c r="B137" s="45"/>
      <c r="C137" s="45"/>
      <c r="D137" s="45"/>
    </row>
    <row r="138">
      <c r="A138" s="37" t="s">
        <v>1707</v>
      </c>
      <c r="B138" s="45"/>
      <c r="C138" s="45"/>
      <c r="D138" s="45"/>
    </row>
    <row r="139">
      <c r="A139" s="37" t="s">
        <v>1708</v>
      </c>
      <c r="B139" s="45"/>
      <c r="C139" s="45"/>
      <c r="D139" s="45"/>
    </row>
    <row r="140">
      <c r="A140" s="37" t="s">
        <v>1721</v>
      </c>
      <c r="B140" s="45"/>
      <c r="C140" s="45"/>
      <c r="D140" s="45"/>
    </row>
    <row r="141">
      <c r="A141" s="37" t="s">
        <v>1722</v>
      </c>
      <c r="B141" s="45"/>
      <c r="C141" s="45"/>
      <c r="D141" s="45"/>
    </row>
    <row r="142">
      <c r="A142" s="37" t="s">
        <v>1723</v>
      </c>
      <c r="B142" s="45"/>
      <c r="C142" s="45"/>
      <c r="D142" s="45"/>
    </row>
    <row r="143">
      <c r="A143" s="37" t="s">
        <v>1724</v>
      </c>
      <c r="B143" s="45"/>
      <c r="C143" s="45"/>
      <c r="D143" s="45"/>
    </row>
    <row r="144">
      <c r="A144" s="37" t="s">
        <v>3713</v>
      </c>
      <c r="B144" s="45"/>
      <c r="C144" s="45"/>
      <c r="D144" s="45"/>
    </row>
    <row r="145">
      <c r="A145" s="37" t="s">
        <v>1710</v>
      </c>
      <c r="B145" s="45"/>
      <c r="C145" s="45"/>
      <c r="D145" s="45"/>
    </row>
    <row r="146">
      <c r="A146" s="37" t="s">
        <v>1711</v>
      </c>
      <c r="B146" s="45"/>
      <c r="C146" s="45"/>
      <c r="D146" s="45"/>
    </row>
    <row r="147">
      <c r="A147" s="37" t="s">
        <v>3714</v>
      </c>
      <c r="B147" s="45"/>
      <c r="C147" s="45"/>
      <c r="D147" s="45"/>
    </row>
    <row r="148">
      <c r="A148" s="37" t="s">
        <v>1713</v>
      </c>
      <c r="B148" s="45"/>
      <c r="C148" s="45"/>
      <c r="D148" s="45"/>
    </row>
    <row r="149">
      <c r="A149" s="37" t="s">
        <v>3715</v>
      </c>
      <c r="B149" s="45"/>
      <c r="C149" s="45"/>
      <c r="D149" s="45"/>
    </row>
    <row r="150">
      <c r="A150" s="37" t="s">
        <v>3716</v>
      </c>
      <c r="B150" s="45"/>
      <c r="C150" s="45"/>
      <c r="D150" s="45"/>
    </row>
    <row r="151">
      <c r="A151" s="37" t="s">
        <v>3717</v>
      </c>
      <c r="B151" s="45"/>
      <c r="C151" s="45"/>
      <c r="D151" s="45"/>
    </row>
    <row r="152">
      <c r="A152" s="37" t="s">
        <v>3718</v>
      </c>
      <c r="B152" s="45"/>
      <c r="C152" s="45"/>
      <c r="D152" s="45"/>
    </row>
    <row r="153">
      <c r="A153" s="37" t="s">
        <v>3719</v>
      </c>
      <c r="B153" s="45"/>
      <c r="C153" s="45"/>
      <c r="D153" s="45"/>
    </row>
    <row r="154">
      <c r="A154" s="37" t="s">
        <v>3720</v>
      </c>
      <c r="B154" s="45"/>
      <c r="C154" s="45"/>
      <c r="D154" s="45"/>
    </row>
    <row r="155">
      <c r="A155" s="37" t="s">
        <v>3721</v>
      </c>
      <c r="B155" s="45"/>
      <c r="C155" s="45"/>
      <c r="D155" s="45"/>
    </row>
    <row r="156">
      <c r="A156" s="37" t="s">
        <v>3722</v>
      </c>
      <c r="B156" s="45"/>
      <c r="C156" s="45"/>
      <c r="D156" s="45"/>
    </row>
    <row r="157">
      <c r="A157" s="37" t="s">
        <v>3723</v>
      </c>
      <c r="B157" s="45"/>
      <c r="C157" s="45"/>
      <c r="D157" s="45"/>
    </row>
    <row r="158">
      <c r="A158" s="37" t="s">
        <v>3724</v>
      </c>
      <c r="B158" s="45"/>
      <c r="C158" s="45"/>
      <c r="D158" s="45"/>
    </row>
    <row r="159">
      <c r="A159" s="37" t="s">
        <v>3725</v>
      </c>
      <c r="B159" s="45"/>
      <c r="C159" s="45"/>
      <c r="D159" s="45"/>
    </row>
    <row r="160">
      <c r="A160" s="37" t="s">
        <v>3726</v>
      </c>
      <c r="B160" s="45"/>
      <c r="C160" s="45"/>
      <c r="D160" s="45"/>
    </row>
    <row r="161">
      <c r="A161" s="37" t="s">
        <v>3727</v>
      </c>
      <c r="B161" s="45"/>
      <c r="C161" s="45"/>
      <c r="D161" s="45"/>
    </row>
    <row r="162">
      <c r="A162" s="37" t="s">
        <v>3728</v>
      </c>
      <c r="B162" s="45"/>
      <c r="C162" s="45"/>
      <c r="D162" s="45"/>
    </row>
    <row r="163">
      <c r="A163" s="37" t="s">
        <v>3729</v>
      </c>
      <c r="B163" s="45"/>
      <c r="C163" s="45"/>
      <c r="D163" s="45"/>
    </row>
    <row r="164">
      <c r="A164" s="37" t="s">
        <v>3730</v>
      </c>
      <c r="B164" s="45"/>
      <c r="C164" s="45"/>
      <c r="D164" s="45"/>
    </row>
    <row r="165">
      <c r="A165" s="37" t="s">
        <v>3731</v>
      </c>
      <c r="B165" s="45"/>
      <c r="C165" s="45"/>
      <c r="D165" s="45"/>
    </row>
    <row r="166">
      <c r="A166" s="37" t="s">
        <v>3732</v>
      </c>
      <c r="B166" s="45"/>
      <c r="C166" s="45"/>
      <c r="D166" s="45"/>
    </row>
    <row r="167">
      <c r="A167" s="37" t="s">
        <v>3733</v>
      </c>
      <c r="B167" s="45"/>
      <c r="C167" s="45"/>
      <c r="D167" s="45"/>
    </row>
    <row r="168">
      <c r="A168" s="37" t="s">
        <v>3734</v>
      </c>
      <c r="B168" s="45"/>
      <c r="C168" s="45"/>
      <c r="D168" s="45"/>
    </row>
    <row r="169">
      <c r="A169" s="37" t="s">
        <v>3735</v>
      </c>
      <c r="B169" s="45"/>
      <c r="C169" s="45"/>
      <c r="D169" s="45"/>
    </row>
    <row r="170">
      <c r="A170" s="37" t="s">
        <v>3736</v>
      </c>
      <c r="B170" s="45"/>
      <c r="C170" s="45"/>
      <c r="D170" s="45"/>
    </row>
    <row r="171">
      <c r="A171" s="37" t="s">
        <v>3737</v>
      </c>
      <c r="B171" s="45"/>
      <c r="C171" s="45"/>
      <c r="D171" s="45"/>
    </row>
    <row r="172">
      <c r="A172" s="37" t="s">
        <v>3738</v>
      </c>
      <c r="B172" s="45"/>
      <c r="C172" s="45"/>
      <c r="D172" s="45"/>
    </row>
    <row r="173">
      <c r="A173" s="37" t="s">
        <v>3739</v>
      </c>
      <c r="B173" s="45"/>
      <c r="C173" s="45"/>
      <c r="D173" s="45"/>
    </row>
    <row r="174">
      <c r="A174" s="37" t="s">
        <v>3740</v>
      </c>
      <c r="B174" s="45"/>
      <c r="C174" s="45"/>
      <c r="D174" s="45"/>
    </row>
    <row r="175">
      <c r="A175" s="37" t="s">
        <v>3741</v>
      </c>
      <c r="B175" s="45"/>
      <c r="C175" s="45"/>
      <c r="D175" s="45"/>
    </row>
    <row r="176">
      <c r="A176" s="37" t="s">
        <v>3742</v>
      </c>
      <c r="B176" s="45"/>
      <c r="C176" s="45"/>
      <c r="D176" s="45"/>
    </row>
    <row r="177">
      <c r="A177" s="37" t="s">
        <v>3743</v>
      </c>
      <c r="B177" s="45"/>
      <c r="C177" s="45"/>
      <c r="D177" s="45"/>
    </row>
    <row r="178">
      <c r="A178" s="37" t="s">
        <v>3744</v>
      </c>
      <c r="B178" s="45"/>
      <c r="C178" s="45"/>
      <c r="D178" s="45"/>
    </row>
    <row r="179">
      <c r="A179" s="37" t="s">
        <v>3745</v>
      </c>
      <c r="B179" s="45"/>
      <c r="C179" s="45"/>
      <c r="D179" s="45"/>
    </row>
    <row r="180">
      <c r="A180" s="37" t="s">
        <v>3746</v>
      </c>
      <c r="B180" s="45"/>
      <c r="C180" s="45"/>
      <c r="D180" s="45"/>
    </row>
    <row r="181">
      <c r="A181" s="37" t="s">
        <v>3747</v>
      </c>
      <c r="B181" s="45"/>
      <c r="C181" s="45"/>
      <c r="D181" s="45"/>
    </row>
    <row r="182">
      <c r="A182" s="37" t="s">
        <v>3748</v>
      </c>
      <c r="B182" s="45"/>
      <c r="C182" s="45"/>
      <c r="D182" s="45"/>
    </row>
    <row r="183">
      <c r="A183" s="37" t="s">
        <v>3749</v>
      </c>
      <c r="B183" s="37">
        <v>7142.0</v>
      </c>
      <c r="C183" s="45"/>
      <c r="D183" s="45"/>
    </row>
    <row r="184">
      <c r="A184" s="202" t="s">
        <v>1684</v>
      </c>
      <c r="B184" s="188">
        <v>7416.0</v>
      </c>
      <c r="C184" s="37" t="s">
        <v>207</v>
      </c>
      <c r="D184" s="45"/>
    </row>
    <row r="185">
      <c r="A185" s="202" t="s">
        <v>1685</v>
      </c>
      <c r="B185" s="242"/>
      <c r="C185" s="37" t="s">
        <v>207</v>
      </c>
      <c r="D185" s="45"/>
    </row>
    <row r="186">
      <c r="A186" s="202" t="s">
        <v>1686</v>
      </c>
      <c r="B186" s="187"/>
      <c r="C186" s="37" t="s">
        <v>207</v>
      </c>
      <c r="D186" s="45"/>
    </row>
    <row r="187">
      <c r="A187" s="202" t="s">
        <v>1687</v>
      </c>
      <c r="B187" s="187"/>
      <c r="C187" s="37" t="s">
        <v>207</v>
      </c>
      <c r="D187" s="45"/>
    </row>
    <row r="188">
      <c r="A188" s="202" t="s">
        <v>1688</v>
      </c>
      <c r="B188" s="187"/>
      <c r="C188" s="37" t="s">
        <v>207</v>
      </c>
      <c r="D188" s="45"/>
    </row>
    <row r="189">
      <c r="A189" s="202" t="s">
        <v>1689</v>
      </c>
      <c r="B189" s="187"/>
      <c r="C189" s="37" t="s">
        <v>207</v>
      </c>
      <c r="D189" s="45"/>
    </row>
    <row r="190">
      <c r="A190" s="202" t="s">
        <v>1690</v>
      </c>
      <c r="B190" s="187"/>
      <c r="C190" s="37" t="s">
        <v>207</v>
      </c>
      <c r="D190" s="45"/>
    </row>
    <row r="191">
      <c r="A191" s="202" t="s">
        <v>1692</v>
      </c>
      <c r="B191" s="187"/>
      <c r="C191" s="37" t="s">
        <v>207</v>
      </c>
      <c r="D191" s="45"/>
    </row>
    <row r="192">
      <c r="A192" s="202" t="s">
        <v>1693</v>
      </c>
      <c r="B192" s="187"/>
      <c r="C192" s="37" t="s">
        <v>207</v>
      </c>
      <c r="D192" s="45"/>
    </row>
    <row r="193">
      <c r="A193" s="243" t="s">
        <v>3572</v>
      </c>
      <c r="B193" s="187"/>
      <c r="C193" s="37" t="s">
        <v>207</v>
      </c>
      <c r="D193" s="45"/>
    </row>
    <row r="194">
      <c r="A194" s="243" t="s">
        <v>3573</v>
      </c>
      <c r="B194" s="187"/>
      <c r="C194" s="37" t="s">
        <v>207</v>
      </c>
      <c r="D194" s="45"/>
    </row>
    <row r="195">
      <c r="A195" s="243" t="s">
        <v>3574</v>
      </c>
      <c r="B195" s="187"/>
      <c r="C195" s="37" t="s">
        <v>207</v>
      </c>
      <c r="D195" s="45"/>
    </row>
    <row r="196">
      <c r="A196" s="243" t="s">
        <v>3575</v>
      </c>
      <c r="B196" s="187"/>
      <c r="C196" s="37" t="s">
        <v>207</v>
      </c>
      <c r="D196" s="45"/>
    </row>
    <row r="197">
      <c r="A197" s="243" t="s">
        <v>3576</v>
      </c>
      <c r="B197" s="187"/>
      <c r="C197" s="37" t="s">
        <v>207</v>
      </c>
      <c r="D197" s="45"/>
    </row>
    <row r="198">
      <c r="A198" s="243" t="s">
        <v>3577</v>
      </c>
      <c r="B198" s="187"/>
      <c r="C198" s="37" t="s">
        <v>207</v>
      </c>
      <c r="D198" s="45"/>
    </row>
    <row r="199">
      <c r="A199" s="243" t="s">
        <v>3578</v>
      </c>
      <c r="B199" s="187"/>
      <c r="C199" s="37" t="s">
        <v>207</v>
      </c>
      <c r="D199" s="45"/>
    </row>
    <row r="200">
      <c r="A200" s="243" t="s">
        <v>3579</v>
      </c>
      <c r="B200" s="187"/>
      <c r="C200" s="37" t="s">
        <v>207</v>
      </c>
      <c r="D200" s="45"/>
    </row>
    <row r="201">
      <c r="A201" s="197" t="s">
        <v>3580</v>
      </c>
      <c r="B201" s="199">
        <v>14031.0</v>
      </c>
      <c r="C201" s="11" t="s">
        <v>207</v>
      </c>
    </row>
    <row r="202">
      <c r="A202" s="244" t="s">
        <v>1726</v>
      </c>
      <c r="B202" s="198"/>
      <c r="C202" s="11" t="s">
        <v>207</v>
      </c>
    </row>
  </sheetData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20.5"/>
    <col customWidth="1" min="4" max="4" width="13.88"/>
    <col hidden="1" min="10" max="26" width="12.63"/>
  </cols>
  <sheetData>
    <row r="1">
      <c r="A1" s="12" t="s">
        <v>5128</v>
      </c>
      <c r="B1" s="12" t="s">
        <v>1</v>
      </c>
      <c r="C1" s="11" t="s">
        <v>294</v>
      </c>
      <c r="D1" s="11" t="s">
        <v>248</v>
      </c>
      <c r="E1" s="11" t="s">
        <v>249</v>
      </c>
      <c r="F1" s="11" t="s">
        <v>250</v>
      </c>
      <c r="G1" s="11" t="s">
        <v>251</v>
      </c>
      <c r="K1" s="11" t="s">
        <v>5128</v>
      </c>
      <c r="L1" s="11" t="s">
        <v>1</v>
      </c>
      <c r="S1" s="11" t="s">
        <v>5128</v>
      </c>
      <c r="T1" s="11" t="s">
        <v>1</v>
      </c>
      <c r="V1" s="11" t="s">
        <v>5128</v>
      </c>
      <c r="W1" s="11" t="s">
        <v>1</v>
      </c>
      <c r="X1" s="11" t="s">
        <v>252</v>
      </c>
      <c r="Y1" s="11" t="str">
        <f>"Empty codes:"&amp; COUNTBLANK(W2:W79)</f>
        <v>Empty codes:3</v>
      </c>
    </row>
    <row r="2">
      <c r="A2" s="101" t="s">
        <v>5129</v>
      </c>
      <c r="B2" s="25">
        <v>3404.0</v>
      </c>
      <c r="C2" s="62">
        <v>0.1</v>
      </c>
      <c r="D2" s="74">
        <v>0.7</v>
      </c>
      <c r="E2" s="74">
        <v>0.7</v>
      </c>
      <c r="F2" s="229" t="s">
        <v>1656</v>
      </c>
      <c r="G2" s="21"/>
      <c r="H2" s="21"/>
      <c r="I2" s="21"/>
      <c r="K2" s="11" t="s">
        <v>5130</v>
      </c>
      <c r="L2" s="11">
        <v>986.0</v>
      </c>
      <c r="S2" s="245" t="s">
        <v>5131</v>
      </c>
      <c r="T2" s="11">
        <v>6875.0</v>
      </c>
      <c r="V2" s="246" t="s">
        <v>5129</v>
      </c>
      <c r="W2" s="36"/>
      <c r="X2" s="36" t="e">
        <v>#N/A</v>
      </c>
      <c r="Y2" s="45"/>
    </row>
    <row r="3">
      <c r="A3" s="101" t="s">
        <v>5132</v>
      </c>
      <c r="B3" s="25">
        <v>14516.0</v>
      </c>
      <c r="C3" s="62">
        <v>0.1</v>
      </c>
      <c r="D3" s="74">
        <v>0.7</v>
      </c>
      <c r="E3" s="74">
        <v>0.7</v>
      </c>
      <c r="F3" s="229" t="s">
        <v>1656</v>
      </c>
      <c r="G3" s="21"/>
      <c r="H3" s="21"/>
      <c r="I3" s="21"/>
      <c r="K3" s="11" t="s">
        <v>5133</v>
      </c>
      <c r="L3" s="11">
        <v>986.0</v>
      </c>
      <c r="S3" s="245" t="s">
        <v>5134</v>
      </c>
      <c r="V3" s="244" t="s">
        <v>5132</v>
      </c>
      <c r="W3" s="11">
        <v>7847.0</v>
      </c>
      <c r="X3" s="36" t="e">
        <v>#N/A</v>
      </c>
    </row>
    <row r="4">
      <c r="A4" s="101" t="s">
        <v>5135</v>
      </c>
      <c r="B4" s="25">
        <v>6669.0</v>
      </c>
      <c r="C4" s="62">
        <v>0.1</v>
      </c>
      <c r="D4" s="74">
        <v>0.7</v>
      </c>
      <c r="E4" s="74">
        <v>0.7</v>
      </c>
      <c r="F4" s="229" t="s">
        <v>1656</v>
      </c>
      <c r="G4" s="21"/>
      <c r="H4" s="21"/>
      <c r="I4" s="21"/>
      <c r="K4" s="11" t="s">
        <v>5136</v>
      </c>
      <c r="L4" s="11">
        <v>986.0</v>
      </c>
      <c r="S4" s="245" t="s">
        <v>5137</v>
      </c>
      <c r="V4" s="246" t="s">
        <v>5135</v>
      </c>
      <c r="W4" s="35">
        <v>6669.0</v>
      </c>
      <c r="X4" s="36" t="e">
        <v>#N/A</v>
      </c>
      <c r="Y4" s="45"/>
    </row>
    <row r="5">
      <c r="A5" s="101" t="s">
        <v>5138</v>
      </c>
      <c r="B5" s="25">
        <v>14580.0</v>
      </c>
      <c r="C5" s="62">
        <v>0.1</v>
      </c>
      <c r="D5" s="74">
        <v>0.7</v>
      </c>
      <c r="E5" s="74">
        <v>0.7</v>
      </c>
      <c r="F5" s="229" t="s">
        <v>1656</v>
      </c>
      <c r="G5" s="21"/>
      <c r="H5" s="21"/>
      <c r="I5" s="21"/>
      <c r="K5" s="11" t="s">
        <v>5139</v>
      </c>
      <c r="L5" s="11">
        <v>986.0</v>
      </c>
      <c r="S5" s="245" t="s">
        <v>5140</v>
      </c>
      <c r="T5" s="11">
        <v>6669.0</v>
      </c>
      <c r="V5" s="246" t="s">
        <v>5138</v>
      </c>
      <c r="W5" s="35">
        <v>6669.0</v>
      </c>
      <c r="X5" s="36" t="e">
        <v>#N/A</v>
      </c>
      <c r="Y5" s="45"/>
    </row>
    <row r="6">
      <c r="A6" s="101" t="s">
        <v>5141</v>
      </c>
      <c r="B6" s="25">
        <v>6669.0</v>
      </c>
      <c r="C6" s="62">
        <v>0.1</v>
      </c>
      <c r="D6" s="74">
        <v>0.7</v>
      </c>
      <c r="E6" s="74">
        <v>0.7</v>
      </c>
      <c r="F6" s="229" t="s">
        <v>1656</v>
      </c>
      <c r="G6" s="21"/>
      <c r="H6" s="21"/>
      <c r="I6" s="21"/>
      <c r="K6" s="11" t="s">
        <v>5142</v>
      </c>
      <c r="L6" s="11">
        <v>6539.0</v>
      </c>
      <c r="S6" s="245" t="s">
        <v>5143</v>
      </c>
      <c r="V6" s="246" t="s">
        <v>5141</v>
      </c>
      <c r="W6" s="35">
        <v>6669.0</v>
      </c>
      <c r="X6" s="36" t="e">
        <v>#N/A</v>
      </c>
      <c r="Y6" s="45"/>
    </row>
    <row r="7">
      <c r="A7" s="101" t="s">
        <v>5144</v>
      </c>
      <c r="B7" s="25">
        <v>499.0</v>
      </c>
      <c r="C7" s="62">
        <v>0.1</v>
      </c>
      <c r="D7" s="74">
        <v>0.7</v>
      </c>
      <c r="E7" s="74">
        <v>0.7</v>
      </c>
      <c r="F7" s="229" t="s">
        <v>1656</v>
      </c>
      <c r="G7" s="21"/>
      <c r="H7" s="21"/>
      <c r="I7" s="21"/>
      <c r="K7" s="11" t="s">
        <v>5145</v>
      </c>
      <c r="L7" s="11">
        <v>6671.0</v>
      </c>
      <c r="S7" s="245" t="s">
        <v>5146</v>
      </c>
      <c r="T7" s="11">
        <v>189.0</v>
      </c>
      <c r="V7" s="246" t="s">
        <v>5144</v>
      </c>
      <c r="W7" s="35">
        <v>9701.0</v>
      </c>
      <c r="X7" s="36" t="e">
        <v>#N/A</v>
      </c>
      <c r="Y7" s="45"/>
    </row>
    <row r="8">
      <c r="A8" s="101" t="s">
        <v>5147</v>
      </c>
      <c r="B8" s="25">
        <v>10141.0</v>
      </c>
      <c r="C8" s="62">
        <v>0.1</v>
      </c>
      <c r="D8" s="74">
        <v>0.7</v>
      </c>
      <c r="E8" s="74">
        <v>0.7</v>
      </c>
      <c r="F8" s="229" t="s">
        <v>1656</v>
      </c>
      <c r="G8" s="21"/>
      <c r="H8" s="21"/>
      <c r="I8" s="21"/>
      <c r="K8" s="11" t="s">
        <v>5148</v>
      </c>
      <c r="S8" s="245" t="s">
        <v>5149</v>
      </c>
      <c r="T8" s="11">
        <v>986.0</v>
      </c>
      <c r="V8" s="244" t="s">
        <v>5147</v>
      </c>
      <c r="W8" s="11">
        <v>10141.0</v>
      </c>
      <c r="X8" s="45">
        <v>1.0</v>
      </c>
    </row>
    <row r="9">
      <c r="A9" s="101" t="s">
        <v>5150</v>
      </c>
      <c r="B9" s="25">
        <v>3307.0</v>
      </c>
      <c r="C9" s="62">
        <v>0.1</v>
      </c>
      <c r="D9" s="74">
        <v>0.7</v>
      </c>
      <c r="E9" s="74">
        <v>0.7</v>
      </c>
      <c r="F9" s="229" t="s">
        <v>1656</v>
      </c>
      <c r="G9" s="21"/>
      <c r="H9" s="21"/>
      <c r="I9" s="21"/>
      <c r="K9" s="11" t="s">
        <v>5151</v>
      </c>
      <c r="L9" s="11">
        <v>986.0</v>
      </c>
      <c r="S9" s="245" t="s">
        <v>5152</v>
      </c>
      <c r="T9" s="11">
        <v>986.0</v>
      </c>
      <c r="V9" s="246" t="s">
        <v>5150</v>
      </c>
      <c r="W9" s="35">
        <v>3307.0</v>
      </c>
      <c r="X9" s="36" t="e">
        <v>#N/A</v>
      </c>
      <c r="Y9" s="45"/>
    </row>
    <row r="10">
      <c r="A10" s="101" t="s">
        <v>5153</v>
      </c>
      <c r="B10" s="25">
        <v>6779.0</v>
      </c>
      <c r="C10" s="62">
        <v>0.1</v>
      </c>
      <c r="D10" s="74">
        <v>0.7</v>
      </c>
      <c r="E10" s="74">
        <v>0.7</v>
      </c>
      <c r="F10" s="229" t="s">
        <v>1656</v>
      </c>
      <c r="G10" s="21"/>
      <c r="H10" s="21"/>
      <c r="I10" s="21"/>
      <c r="K10" s="11" t="s">
        <v>5154</v>
      </c>
      <c r="L10" s="11">
        <v>986.0</v>
      </c>
      <c r="S10" s="245" t="s">
        <v>940</v>
      </c>
      <c r="T10" s="11">
        <v>986.0</v>
      </c>
      <c r="V10" s="246" t="s">
        <v>5153</v>
      </c>
      <c r="W10" s="35">
        <v>9363.0</v>
      </c>
      <c r="X10" s="36" t="e">
        <v>#N/A</v>
      </c>
      <c r="Y10" s="45"/>
    </row>
    <row r="11">
      <c r="A11" s="101" t="s">
        <v>5155</v>
      </c>
      <c r="B11" s="25">
        <v>10856.0</v>
      </c>
      <c r="C11" s="62">
        <v>0.1</v>
      </c>
      <c r="D11" s="74">
        <v>0.7</v>
      </c>
      <c r="E11" s="74">
        <v>0.7</v>
      </c>
      <c r="F11" s="229" t="s">
        <v>1656</v>
      </c>
      <c r="G11" s="21"/>
      <c r="H11" s="21"/>
      <c r="I11" s="21"/>
      <c r="K11" s="11" t="s">
        <v>5156</v>
      </c>
      <c r="L11" s="11">
        <v>897.0</v>
      </c>
      <c r="S11" s="245" t="s">
        <v>5157</v>
      </c>
      <c r="T11" s="11">
        <v>986.0</v>
      </c>
      <c r="V11" s="244" t="s">
        <v>5155</v>
      </c>
      <c r="W11" s="11">
        <v>10856.0</v>
      </c>
      <c r="X11" s="45">
        <v>1.0</v>
      </c>
    </row>
    <row r="12">
      <c r="A12" s="101" t="s">
        <v>5158</v>
      </c>
      <c r="B12" s="25">
        <v>12553.0</v>
      </c>
      <c r="C12" s="62">
        <v>0.1</v>
      </c>
      <c r="D12" s="74">
        <v>0.7</v>
      </c>
      <c r="E12" s="74">
        <v>0.7</v>
      </c>
      <c r="F12" s="229" t="s">
        <v>1656</v>
      </c>
      <c r="G12" s="21"/>
      <c r="H12" s="21"/>
      <c r="I12" s="21"/>
      <c r="K12" s="11" t="s">
        <v>5159</v>
      </c>
      <c r="L12" s="11">
        <v>897.0</v>
      </c>
      <c r="S12" s="245" t="s">
        <v>2492</v>
      </c>
      <c r="T12" s="11">
        <v>986.0</v>
      </c>
      <c r="V12" s="246" t="s">
        <v>5158</v>
      </c>
      <c r="W12" s="35">
        <v>6726.0</v>
      </c>
      <c r="X12" s="36" t="e">
        <v>#N/A</v>
      </c>
      <c r="Y12" s="45"/>
    </row>
    <row r="13">
      <c r="A13" s="101" t="s">
        <v>5160</v>
      </c>
      <c r="B13" s="25">
        <v>7747.0</v>
      </c>
      <c r="C13" s="62">
        <v>0.1</v>
      </c>
      <c r="D13" s="74">
        <v>0.7</v>
      </c>
      <c r="E13" s="74">
        <v>0.7</v>
      </c>
      <c r="F13" s="229" t="s">
        <v>1656</v>
      </c>
      <c r="G13" s="21"/>
      <c r="H13" s="21"/>
      <c r="I13" s="21"/>
      <c r="K13" s="11" t="s">
        <v>2438</v>
      </c>
      <c r="L13" s="11">
        <v>6770.0</v>
      </c>
      <c r="S13" s="245" t="s">
        <v>5161</v>
      </c>
      <c r="T13" s="11">
        <v>986.0</v>
      </c>
      <c r="V13" s="246" t="s">
        <v>5160</v>
      </c>
      <c r="W13" s="35">
        <v>6726.0</v>
      </c>
      <c r="X13" s="36" t="e">
        <v>#N/A</v>
      </c>
      <c r="Y13" s="45"/>
    </row>
    <row r="14">
      <c r="A14" s="101" t="s">
        <v>5162</v>
      </c>
      <c r="B14" s="25">
        <v>14248.0</v>
      </c>
      <c r="C14" s="62">
        <v>0.1</v>
      </c>
      <c r="D14" s="74">
        <v>0.7</v>
      </c>
      <c r="E14" s="74">
        <v>0.7</v>
      </c>
      <c r="F14" s="229" t="s">
        <v>1656</v>
      </c>
      <c r="G14" s="21"/>
      <c r="H14" s="21"/>
      <c r="I14" s="21"/>
      <c r="K14" s="11" t="s">
        <v>5163</v>
      </c>
      <c r="L14" s="11">
        <v>6770.0</v>
      </c>
      <c r="S14" s="245" t="s">
        <v>5164</v>
      </c>
      <c r="T14" s="11">
        <v>986.0</v>
      </c>
      <c r="V14" s="246" t="s">
        <v>5162</v>
      </c>
      <c r="W14" s="35">
        <v>6893.0</v>
      </c>
      <c r="X14" s="36" t="e">
        <v>#N/A</v>
      </c>
      <c r="Y14" s="45"/>
    </row>
    <row r="15">
      <c r="A15" s="101" t="s">
        <v>5165</v>
      </c>
      <c r="B15" s="25">
        <v>14646.0</v>
      </c>
      <c r="C15" s="62">
        <v>0.1</v>
      </c>
      <c r="D15" s="74">
        <v>0.7</v>
      </c>
      <c r="E15" s="74">
        <v>0.7</v>
      </c>
      <c r="F15" s="229" t="s">
        <v>1656</v>
      </c>
      <c r="G15" s="21"/>
      <c r="H15" s="21"/>
      <c r="I15" s="21"/>
      <c r="K15" s="11" t="s">
        <v>5166</v>
      </c>
      <c r="L15" s="11">
        <v>6669.0</v>
      </c>
      <c r="S15" s="245" t="s">
        <v>5167</v>
      </c>
      <c r="T15" s="11">
        <v>986.0</v>
      </c>
      <c r="V15" s="246" t="s">
        <v>5165</v>
      </c>
      <c r="W15" s="35">
        <v>6903.0</v>
      </c>
      <c r="X15" s="36" t="e">
        <v>#N/A</v>
      </c>
      <c r="Y15" s="45"/>
    </row>
    <row r="16">
      <c r="A16" s="101" t="s">
        <v>5168</v>
      </c>
      <c r="B16" s="25">
        <v>12932.0</v>
      </c>
      <c r="C16" s="62">
        <v>0.1</v>
      </c>
      <c r="D16" s="74">
        <v>0.7</v>
      </c>
      <c r="E16" s="74">
        <v>0.7</v>
      </c>
      <c r="F16" s="229" t="s">
        <v>1656</v>
      </c>
      <c r="G16" s="21"/>
      <c r="H16" s="21"/>
      <c r="I16" s="21"/>
      <c r="K16" s="11" t="s">
        <v>5169</v>
      </c>
      <c r="L16" s="11">
        <v>489.0</v>
      </c>
      <c r="S16" s="245" t="s">
        <v>5170</v>
      </c>
      <c r="T16" s="11">
        <v>986.0</v>
      </c>
      <c r="V16" s="246" t="s">
        <v>5168</v>
      </c>
      <c r="W16" s="35">
        <v>7073.0</v>
      </c>
      <c r="X16" s="36" t="e">
        <v>#N/A</v>
      </c>
      <c r="Y16" s="45"/>
    </row>
    <row r="17">
      <c r="A17" s="101" t="s">
        <v>1461</v>
      </c>
      <c r="B17" s="25"/>
      <c r="C17" s="62">
        <v>0.1</v>
      </c>
      <c r="D17" s="74">
        <v>0.7</v>
      </c>
      <c r="E17" s="74">
        <v>0.7</v>
      </c>
      <c r="F17" s="229" t="s">
        <v>1656</v>
      </c>
      <c r="G17" s="21"/>
      <c r="H17" s="21"/>
      <c r="I17" s="21"/>
      <c r="K17" s="11" t="s">
        <v>5171</v>
      </c>
      <c r="L17" s="11">
        <v>489.0</v>
      </c>
      <c r="S17" s="245" t="s">
        <v>5172</v>
      </c>
      <c r="T17" s="11">
        <v>986.0</v>
      </c>
      <c r="V17" s="246" t="s">
        <v>1461</v>
      </c>
      <c r="W17" s="109">
        <v>14055.0</v>
      </c>
      <c r="X17" s="36" t="e">
        <v>#N/A</v>
      </c>
      <c r="Y17" s="45"/>
    </row>
    <row r="18">
      <c r="A18" s="101" t="s">
        <v>5173</v>
      </c>
      <c r="B18" s="25">
        <v>6132.0</v>
      </c>
      <c r="C18" s="62">
        <v>0.1</v>
      </c>
      <c r="D18" s="74">
        <v>0.7</v>
      </c>
      <c r="E18" s="74">
        <v>0.7</v>
      </c>
      <c r="F18" s="229" t="s">
        <v>1656</v>
      </c>
      <c r="G18" s="21"/>
      <c r="H18" s="21"/>
      <c r="I18" s="21"/>
      <c r="K18" s="11" t="s">
        <v>5174</v>
      </c>
      <c r="L18" s="11">
        <v>489.0</v>
      </c>
      <c r="S18" s="245" t="s">
        <v>5175</v>
      </c>
      <c r="T18" s="11">
        <v>986.0</v>
      </c>
      <c r="V18" s="246" t="s">
        <v>5173</v>
      </c>
      <c r="W18" s="35">
        <v>3689.0</v>
      </c>
      <c r="X18" s="36" t="e">
        <v>#N/A</v>
      </c>
      <c r="Y18" s="45"/>
    </row>
    <row r="19">
      <c r="A19" s="101" t="s">
        <v>5176</v>
      </c>
      <c r="B19" s="25">
        <v>7023.0</v>
      </c>
      <c r="C19" s="62">
        <v>0.1</v>
      </c>
      <c r="D19" s="74">
        <v>0.7</v>
      </c>
      <c r="E19" s="74">
        <v>0.7</v>
      </c>
      <c r="F19" s="229" t="s">
        <v>1656</v>
      </c>
      <c r="G19" s="21"/>
      <c r="H19" s="21"/>
      <c r="I19" s="21"/>
      <c r="K19" s="11" t="s">
        <v>5177</v>
      </c>
      <c r="S19" s="245" t="s">
        <v>2513</v>
      </c>
      <c r="T19" s="11">
        <v>986.0</v>
      </c>
      <c r="V19" s="246" t="s">
        <v>5176</v>
      </c>
      <c r="W19" s="35">
        <v>6557.0</v>
      </c>
      <c r="X19" s="36" t="e">
        <v>#N/A</v>
      </c>
      <c r="Y19" s="45"/>
    </row>
    <row r="20">
      <c r="A20" s="101" t="s">
        <v>5178</v>
      </c>
      <c r="B20" s="25"/>
      <c r="C20" s="62">
        <v>0.1</v>
      </c>
      <c r="D20" s="74">
        <v>0.7</v>
      </c>
      <c r="E20" s="74">
        <v>0.7</v>
      </c>
      <c r="F20" s="229" t="s">
        <v>1656</v>
      </c>
      <c r="G20" s="21"/>
      <c r="H20" s="21"/>
      <c r="I20" s="21"/>
      <c r="K20" s="11" t="s">
        <v>5179</v>
      </c>
      <c r="L20" s="11">
        <v>6824.0</v>
      </c>
      <c r="P20" s="11" t="s">
        <v>1</v>
      </c>
      <c r="Q20" s="11" t="s">
        <v>5180</v>
      </c>
      <c r="S20" s="245" t="s">
        <v>5181</v>
      </c>
      <c r="V20" s="246" t="s">
        <v>5178</v>
      </c>
      <c r="W20" s="35">
        <v>11708.0</v>
      </c>
      <c r="X20" s="36" t="e">
        <v>#N/A</v>
      </c>
      <c r="Y20" s="45"/>
    </row>
    <row r="21">
      <c r="A21" s="101" t="s">
        <v>5182</v>
      </c>
      <c r="B21" s="25">
        <v>10923.0</v>
      </c>
      <c r="C21" s="62">
        <v>0.1</v>
      </c>
      <c r="D21" s="74">
        <v>0.7</v>
      </c>
      <c r="E21" s="74">
        <v>0.7</v>
      </c>
      <c r="F21" s="229" t="s">
        <v>1656</v>
      </c>
      <c r="G21" s="21"/>
      <c r="H21" s="21"/>
      <c r="I21" s="21"/>
      <c r="K21" s="11" t="s">
        <v>5183</v>
      </c>
      <c r="S21" s="245" t="s">
        <v>5184</v>
      </c>
      <c r="V21" s="244" t="s">
        <v>5182</v>
      </c>
      <c r="W21" s="11">
        <v>10923.0</v>
      </c>
      <c r="X21" s="45">
        <v>1.0</v>
      </c>
    </row>
    <row r="22">
      <c r="A22" s="101" t="s">
        <v>5185</v>
      </c>
      <c r="B22" s="25"/>
      <c r="C22" s="62">
        <v>0.1</v>
      </c>
      <c r="D22" s="74">
        <v>0.7</v>
      </c>
      <c r="E22" s="74">
        <v>0.7</v>
      </c>
      <c r="F22" s="229" t="s">
        <v>1656</v>
      </c>
      <c r="G22" s="21"/>
      <c r="H22" s="21"/>
      <c r="I22" s="21"/>
      <c r="K22" s="11" t="s">
        <v>5186</v>
      </c>
      <c r="S22" s="245" t="s">
        <v>5187</v>
      </c>
      <c r="V22" s="246" t="s">
        <v>5185</v>
      </c>
      <c r="W22" s="111">
        <v>6729.0</v>
      </c>
      <c r="X22" s="36" t="e">
        <v>#N/A</v>
      </c>
      <c r="Y22" s="45"/>
    </row>
    <row r="23">
      <c r="A23" s="101" t="s">
        <v>5188</v>
      </c>
      <c r="B23" s="25">
        <v>7083.0</v>
      </c>
      <c r="C23" s="62">
        <v>0.1</v>
      </c>
      <c r="D23" s="74">
        <v>0.7</v>
      </c>
      <c r="E23" s="74">
        <v>0.7</v>
      </c>
      <c r="F23" s="229" t="s">
        <v>1656</v>
      </c>
      <c r="G23" s="21"/>
      <c r="H23" s="21"/>
      <c r="I23" s="21"/>
      <c r="K23" s="11" t="s">
        <v>5189</v>
      </c>
      <c r="S23" s="245" t="s">
        <v>5190</v>
      </c>
      <c r="V23" s="244" t="s">
        <v>5188</v>
      </c>
      <c r="W23" s="11">
        <v>7083.0</v>
      </c>
      <c r="X23" s="45">
        <v>1.0</v>
      </c>
    </row>
    <row r="24">
      <c r="A24" s="101" t="s">
        <v>5191</v>
      </c>
      <c r="B24" s="25"/>
      <c r="C24" s="62">
        <v>0.1</v>
      </c>
      <c r="D24" s="74">
        <v>0.7</v>
      </c>
      <c r="E24" s="74">
        <v>0.7</v>
      </c>
      <c r="F24" s="229" t="s">
        <v>1656</v>
      </c>
      <c r="G24" s="21"/>
      <c r="H24" s="21"/>
      <c r="I24" s="21"/>
      <c r="K24" s="11" t="s">
        <v>5192</v>
      </c>
      <c r="L24" s="11">
        <v>189.0</v>
      </c>
      <c r="S24" s="245" t="s">
        <v>5193</v>
      </c>
      <c r="V24" s="246" t="s">
        <v>5191</v>
      </c>
      <c r="W24" s="35">
        <v>3616.0</v>
      </c>
      <c r="X24" s="36" t="e">
        <v>#N/A</v>
      </c>
      <c r="Y24" s="45"/>
    </row>
    <row r="25">
      <c r="A25" s="101" t="s">
        <v>5194</v>
      </c>
      <c r="B25" s="37">
        <v>14480.0</v>
      </c>
      <c r="C25" s="62">
        <v>0.1</v>
      </c>
      <c r="D25" s="74">
        <v>0.7</v>
      </c>
      <c r="E25" s="74">
        <v>0.7</v>
      </c>
      <c r="F25" s="229" t="s">
        <v>1656</v>
      </c>
      <c r="G25" s="21"/>
      <c r="H25" s="21"/>
      <c r="I25" s="21"/>
      <c r="K25" s="11" t="s">
        <v>5195</v>
      </c>
      <c r="L25" s="11">
        <v>189.0</v>
      </c>
      <c r="S25" s="245" t="s">
        <v>5196</v>
      </c>
      <c r="V25" s="246" t="s">
        <v>5194</v>
      </c>
      <c r="W25" s="36"/>
      <c r="X25" s="36" t="e">
        <v>#N/A</v>
      </c>
      <c r="Y25" s="45"/>
    </row>
    <row r="26">
      <c r="A26" s="101" t="s">
        <v>5197</v>
      </c>
      <c r="B26" s="25">
        <v>7157.0</v>
      </c>
      <c r="C26" s="62">
        <v>0.1</v>
      </c>
      <c r="D26" s="74">
        <v>0.7</v>
      </c>
      <c r="E26" s="74">
        <v>0.7</v>
      </c>
      <c r="F26" s="229" t="s">
        <v>1656</v>
      </c>
      <c r="G26" s="21"/>
      <c r="H26" s="21"/>
      <c r="I26" s="21"/>
      <c r="K26" s="11" t="s">
        <v>5198</v>
      </c>
      <c r="L26" s="11">
        <v>189.0</v>
      </c>
      <c r="S26" s="245" t="s">
        <v>5199</v>
      </c>
      <c r="V26" s="244" t="s">
        <v>5197</v>
      </c>
      <c r="W26" s="11">
        <v>7157.0</v>
      </c>
      <c r="X26" s="45">
        <v>1.0</v>
      </c>
    </row>
    <row r="27">
      <c r="A27" s="101" t="s">
        <v>5200</v>
      </c>
      <c r="B27" s="25">
        <v>14482.0</v>
      </c>
      <c r="C27" s="62">
        <v>0.1</v>
      </c>
      <c r="D27" s="74">
        <v>0.7</v>
      </c>
      <c r="E27" s="74">
        <v>0.7</v>
      </c>
      <c r="F27" s="229" t="s">
        <v>1656</v>
      </c>
      <c r="K27" s="11" t="s">
        <v>5201</v>
      </c>
      <c r="L27" s="11">
        <v>189.0</v>
      </c>
      <c r="S27" s="245" t="s">
        <v>5202</v>
      </c>
      <c r="V27" s="246" t="s">
        <v>5200</v>
      </c>
      <c r="W27" s="35">
        <v>6675.0</v>
      </c>
      <c r="X27" s="36" t="e">
        <v>#N/A</v>
      </c>
      <c r="Y27" s="45"/>
    </row>
    <row r="28">
      <c r="A28" s="101" t="s">
        <v>5203</v>
      </c>
      <c r="B28" s="25"/>
      <c r="C28" s="62">
        <v>0.1</v>
      </c>
      <c r="D28" s="74">
        <v>0.7</v>
      </c>
      <c r="E28" s="74">
        <v>0.7</v>
      </c>
      <c r="F28" s="229" t="s">
        <v>1656</v>
      </c>
      <c r="K28" s="11" t="s">
        <v>5204</v>
      </c>
      <c r="S28" s="245" t="s">
        <v>5205</v>
      </c>
      <c r="V28" s="246" t="s">
        <v>5203</v>
      </c>
      <c r="W28" s="35">
        <v>14065.0</v>
      </c>
      <c r="X28" s="36" t="e">
        <v>#N/A</v>
      </c>
      <c r="Y28" s="45"/>
    </row>
    <row r="29">
      <c r="A29" s="101" t="s">
        <v>5206</v>
      </c>
      <c r="B29" s="25">
        <v>6675.0</v>
      </c>
      <c r="C29" s="62">
        <v>0.1</v>
      </c>
      <c r="D29" s="179">
        <v>0.85</v>
      </c>
      <c r="E29" s="179">
        <v>0.85</v>
      </c>
      <c r="F29" s="229" t="s">
        <v>1656</v>
      </c>
      <c r="K29" s="11" t="s">
        <v>5207</v>
      </c>
      <c r="S29" s="245" t="s">
        <v>5208</v>
      </c>
      <c r="T29" s="11">
        <v>6132.0</v>
      </c>
      <c r="V29" s="246" t="s">
        <v>5206</v>
      </c>
      <c r="W29" s="35">
        <v>6675.0</v>
      </c>
      <c r="X29" s="36" t="e">
        <v>#N/A</v>
      </c>
      <c r="Y29" s="45"/>
    </row>
    <row r="30">
      <c r="A30" s="101" t="s">
        <v>5209</v>
      </c>
      <c r="B30" s="25"/>
      <c r="C30" s="62">
        <v>0.1</v>
      </c>
      <c r="D30" s="74">
        <v>0.7</v>
      </c>
      <c r="E30" s="74">
        <v>0.7</v>
      </c>
      <c r="F30" s="229" t="s">
        <v>1656</v>
      </c>
      <c r="K30" s="11" t="s">
        <v>5210</v>
      </c>
      <c r="S30" s="245" t="s">
        <v>5211</v>
      </c>
      <c r="T30" s="11">
        <v>6132.0</v>
      </c>
      <c r="V30" s="246" t="s">
        <v>5209</v>
      </c>
      <c r="W30" s="35">
        <v>14337.0</v>
      </c>
      <c r="X30" s="36" t="e">
        <v>#N/A</v>
      </c>
      <c r="Y30" s="45"/>
    </row>
    <row r="31">
      <c r="A31" s="101" t="s">
        <v>5212</v>
      </c>
      <c r="B31" s="25"/>
      <c r="C31" s="62">
        <v>0.1</v>
      </c>
      <c r="D31" s="74">
        <v>0.7</v>
      </c>
      <c r="E31" s="74">
        <v>0.7</v>
      </c>
      <c r="F31" s="229" t="s">
        <v>1656</v>
      </c>
      <c r="K31" s="11" t="s">
        <v>5213</v>
      </c>
      <c r="S31" s="245" t="s">
        <v>5214</v>
      </c>
      <c r="V31" s="246" t="s">
        <v>5212</v>
      </c>
      <c r="W31" s="35">
        <v>4193.0</v>
      </c>
      <c r="X31" s="36" t="e">
        <v>#N/A</v>
      </c>
      <c r="Y31" s="45"/>
    </row>
    <row r="32">
      <c r="A32" s="101" t="s">
        <v>5215</v>
      </c>
      <c r="B32" s="25">
        <v>7100.0</v>
      </c>
      <c r="C32" s="62">
        <v>0.1</v>
      </c>
      <c r="D32" s="74">
        <v>0.7</v>
      </c>
      <c r="E32" s="74">
        <v>0.7</v>
      </c>
      <c r="F32" s="229" t="s">
        <v>1656</v>
      </c>
      <c r="K32" s="11" t="s">
        <v>5216</v>
      </c>
      <c r="S32" s="245" t="s">
        <v>5217</v>
      </c>
      <c r="V32" s="244" t="s">
        <v>5215</v>
      </c>
      <c r="W32" s="11">
        <v>7100.0</v>
      </c>
      <c r="X32" s="45">
        <v>1.0</v>
      </c>
    </row>
    <row r="33">
      <c r="A33" s="101" t="s">
        <v>5218</v>
      </c>
      <c r="B33" s="25">
        <v>6947.0</v>
      </c>
      <c r="C33" s="62">
        <v>0.1</v>
      </c>
      <c r="D33" s="74">
        <v>0.7</v>
      </c>
      <c r="E33" s="74">
        <v>0.7</v>
      </c>
      <c r="F33" s="229" t="s">
        <v>1656</v>
      </c>
      <c r="K33" s="11" t="s">
        <v>5219</v>
      </c>
      <c r="S33" s="245" t="s">
        <v>5220</v>
      </c>
      <c r="V33" s="246" t="s">
        <v>5218</v>
      </c>
      <c r="W33" s="35">
        <v>6106.0</v>
      </c>
      <c r="X33" s="36" t="e">
        <v>#N/A</v>
      </c>
      <c r="Y33" s="45"/>
    </row>
    <row r="34">
      <c r="A34" s="101" t="s">
        <v>5221</v>
      </c>
      <c r="B34" s="25"/>
      <c r="C34" s="62">
        <v>0.1</v>
      </c>
      <c r="D34" s="74">
        <v>0.7</v>
      </c>
      <c r="E34" s="74">
        <v>0.7</v>
      </c>
      <c r="F34" s="229" t="s">
        <v>1656</v>
      </c>
      <c r="K34" s="11" t="s">
        <v>5222</v>
      </c>
      <c r="L34" s="11">
        <v>2345.0</v>
      </c>
      <c r="S34" s="245" t="s">
        <v>5223</v>
      </c>
      <c r="V34" s="246" t="s">
        <v>5221</v>
      </c>
      <c r="W34" s="35">
        <v>7040.0</v>
      </c>
      <c r="X34" s="36" t="e">
        <v>#N/A</v>
      </c>
      <c r="Y34" s="45"/>
    </row>
    <row r="35">
      <c r="A35" s="101" t="s">
        <v>5224</v>
      </c>
      <c r="B35" s="78"/>
      <c r="C35" s="62">
        <v>0.1</v>
      </c>
      <c r="D35" s="74">
        <v>0.7</v>
      </c>
      <c r="E35" s="74">
        <v>0.7</v>
      </c>
      <c r="F35" s="229" t="s">
        <v>1656</v>
      </c>
      <c r="K35" s="11" t="s">
        <v>5225</v>
      </c>
      <c r="L35" s="11">
        <v>2345.0</v>
      </c>
      <c r="S35" s="245" t="s">
        <v>5226</v>
      </c>
      <c r="V35" s="246" t="s">
        <v>5224</v>
      </c>
      <c r="W35" s="36"/>
      <c r="X35" s="36" t="e">
        <v>#N/A</v>
      </c>
      <c r="Y35" s="45"/>
    </row>
    <row r="36">
      <c r="A36" s="101" t="s">
        <v>5227</v>
      </c>
      <c r="B36" s="25">
        <v>6936.0</v>
      </c>
      <c r="C36" s="62">
        <v>0.1</v>
      </c>
      <c r="D36" s="74">
        <v>0.7</v>
      </c>
      <c r="E36" s="74">
        <v>0.7</v>
      </c>
      <c r="F36" s="229" t="s">
        <v>1656</v>
      </c>
      <c r="K36" s="11" t="s">
        <v>5228</v>
      </c>
      <c r="S36" s="245" t="s">
        <v>5229</v>
      </c>
      <c r="V36" s="244" t="s">
        <v>5227</v>
      </c>
      <c r="W36" s="11">
        <v>6936.0</v>
      </c>
      <c r="X36" s="45">
        <v>1.0</v>
      </c>
    </row>
    <row r="37">
      <c r="A37" s="101" t="s">
        <v>5230</v>
      </c>
      <c r="B37" s="25"/>
      <c r="C37" s="62">
        <v>0.1</v>
      </c>
      <c r="D37" s="74">
        <v>0.7</v>
      </c>
      <c r="E37" s="74">
        <v>0.7</v>
      </c>
      <c r="F37" s="229" t="s">
        <v>1656</v>
      </c>
      <c r="K37" s="11" t="s">
        <v>5231</v>
      </c>
      <c r="S37" s="245" t="s">
        <v>5232</v>
      </c>
      <c r="V37" s="246" t="s">
        <v>5230</v>
      </c>
      <c r="W37" s="35">
        <v>12941.0</v>
      </c>
      <c r="X37" s="36" t="e">
        <v>#N/A</v>
      </c>
      <c r="Y37" s="45"/>
    </row>
    <row r="38">
      <c r="A38" s="101" t="s">
        <v>5233</v>
      </c>
      <c r="B38" s="25">
        <v>7031.0</v>
      </c>
      <c r="C38" s="62">
        <v>0.1</v>
      </c>
      <c r="D38" s="74">
        <v>0.7</v>
      </c>
      <c r="E38" s="74">
        <v>0.7</v>
      </c>
      <c r="F38" s="229" t="s">
        <v>1656</v>
      </c>
      <c r="K38" s="11" t="s">
        <v>5234</v>
      </c>
      <c r="S38" s="245" t="s">
        <v>5235</v>
      </c>
      <c r="V38" s="246" t="s">
        <v>5233</v>
      </c>
      <c r="W38" s="35">
        <v>12941.0</v>
      </c>
      <c r="X38" s="36" t="e">
        <v>#N/A</v>
      </c>
      <c r="Y38" s="45"/>
    </row>
    <row r="39">
      <c r="A39" s="101" t="s">
        <v>5236</v>
      </c>
      <c r="B39" s="25"/>
      <c r="C39" s="62">
        <v>0.1</v>
      </c>
      <c r="D39" s="74">
        <v>0.7</v>
      </c>
      <c r="E39" s="74">
        <v>0.7</v>
      </c>
      <c r="F39" s="229" t="s">
        <v>1656</v>
      </c>
      <c r="K39" s="11" t="s">
        <v>5237</v>
      </c>
      <c r="S39" s="245" t="s">
        <v>5238</v>
      </c>
      <c r="V39" s="246" t="s">
        <v>5236</v>
      </c>
      <c r="W39" s="35">
        <v>12941.0</v>
      </c>
      <c r="X39" s="36" t="e">
        <v>#N/A</v>
      </c>
      <c r="Y39" s="45"/>
    </row>
    <row r="40">
      <c r="A40" s="101" t="s">
        <v>5239</v>
      </c>
      <c r="B40" s="25">
        <v>14638.0</v>
      </c>
      <c r="C40" s="62">
        <v>0.1</v>
      </c>
      <c r="D40" s="74">
        <v>0.7</v>
      </c>
      <c r="E40" s="74">
        <v>0.7</v>
      </c>
      <c r="F40" s="229" t="s">
        <v>1656</v>
      </c>
      <c r="K40" s="11" t="s">
        <v>5240</v>
      </c>
      <c r="S40" s="245" t="s">
        <v>2633</v>
      </c>
      <c r="V40" s="246" t="s">
        <v>5239</v>
      </c>
      <c r="W40" s="35">
        <v>12941.0</v>
      </c>
      <c r="X40" s="36" t="e">
        <v>#N/A</v>
      </c>
      <c r="Y40" s="45"/>
    </row>
    <row r="41">
      <c r="A41" s="101" t="s">
        <v>5241</v>
      </c>
      <c r="B41" s="25">
        <v>6829.0</v>
      </c>
      <c r="C41" s="62">
        <v>0.1</v>
      </c>
      <c r="D41" s="74">
        <v>0.7</v>
      </c>
      <c r="E41" s="74">
        <v>0.7</v>
      </c>
      <c r="F41" s="229" t="s">
        <v>1656</v>
      </c>
      <c r="K41" s="11" t="s">
        <v>5242</v>
      </c>
      <c r="L41" s="11">
        <v>2345.0</v>
      </c>
      <c r="S41" s="245" t="s">
        <v>5243</v>
      </c>
      <c r="V41" s="246" t="s">
        <v>5241</v>
      </c>
      <c r="W41" s="35">
        <v>12941.0</v>
      </c>
      <c r="X41" s="36" t="e">
        <v>#N/A</v>
      </c>
      <c r="Y41" s="45"/>
    </row>
    <row r="42">
      <c r="A42" s="101" t="s">
        <v>5244</v>
      </c>
      <c r="B42" s="25">
        <v>6875.0</v>
      </c>
      <c r="C42" s="62">
        <v>0.1</v>
      </c>
      <c r="D42" s="74">
        <v>0.7</v>
      </c>
      <c r="E42" s="74">
        <v>0.7</v>
      </c>
      <c r="F42" s="229" t="s">
        <v>1656</v>
      </c>
      <c r="K42" s="11" t="s">
        <v>884</v>
      </c>
      <c r="S42" s="245" t="s">
        <v>5245</v>
      </c>
      <c r="V42" s="246" t="s">
        <v>5244</v>
      </c>
      <c r="W42" s="35">
        <v>6875.0</v>
      </c>
      <c r="X42" s="36" t="e">
        <v>#N/A</v>
      </c>
      <c r="Y42" s="45"/>
    </row>
    <row r="43">
      <c r="A43" s="101" t="s">
        <v>5246</v>
      </c>
      <c r="B43" s="25"/>
      <c r="C43" s="62">
        <v>0.1</v>
      </c>
      <c r="D43" s="74">
        <v>0.7</v>
      </c>
      <c r="E43" s="74">
        <v>0.7</v>
      </c>
      <c r="F43" s="229" t="s">
        <v>1656</v>
      </c>
      <c r="K43" s="11" t="s">
        <v>5247</v>
      </c>
      <c r="S43" s="245" t="s">
        <v>5248</v>
      </c>
      <c r="V43" s="246" t="s">
        <v>5246</v>
      </c>
      <c r="W43" s="35">
        <v>12941.0</v>
      </c>
      <c r="X43" s="36" t="e">
        <v>#N/A</v>
      </c>
      <c r="Y43" s="45"/>
    </row>
    <row r="44">
      <c r="A44" s="101" t="s">
        <v>5249</v>
      </c>
      <c r="B44" s="25">
        <v>6947.0</v>
      </c>
      <c r="C44" s="62">
        <v>0.1</v>
      </c>
      <c r="D44" s="74">
        <v>0.7</v>
      </c>
      <c r="E44" s="74">
        <v>0.7</v>
      </c>
      <c r="F44" s="229" t="s">
        <v>1656</v>
      </c>
      <c r="K44" s="11" t="s">
        <v>5250</v>
      </c>
      <c r="S44" s="245" t="s">
        <v>5251</v>
      </c>
      <c r="V44" s="246" t="s">
        <v>5249</v>
      </c>
      <c r="W44" s="35">
        <v>12941.0</v>
      </c>
      <c r="X44" s="36" t="e">
        <v>#N/A</v>
      </c>
      <c r="Y44" s="45"/>
    </row>
    <row r="45">
      <c r="A45" s="101" t="s">
        <v>5252</v>
      </c>
      <c r="B45" s="25">
        <v>14663.0</v>
      </c>
      <c r="C45" s="62">
        <v>0.1</v>
      </c>
      <c r="D45" s="74">
        <v>0.7</v>
      </c>
      <c r="E45" s="74">
        <v>0.7</v>
      </c>
      <c r="F45" s="229" t="s">
        <v>1656</v>
      </c>
      <c r="K45" s="11" t="s">
        <v>5253</v>
      </c>
      <c r="S45" s="245" t="s">
        <v>5254</v>
      </c>
      <c r="V45" s="246" t="s">
        <v>5252</v>
      </c>
      <c r="W45" s="35">
        <v>12941.0</v>
      </c>
      <c r="X45" s="36" t="e">
        <v>#N/A</v>
      </c>
      <c r="Y45" s="45"/>
    </row>
    <row r="46">
      <c r="A46" s="101" t="s">
        <v>5255</v>
      </c>
      <c r="B46" s="25"/>
      <c r="C46" s="62">
        <v>0.1</v>
      </c>
      <c r="D46" s="74">
        <v>0.7</v>
      </c>
      <c r="E46" s="74">
        <v>0.7</v>
      </c>
      <c r="F46" s="229" t="s">
        <v>1656</v>
      </c>
      <c r="K46" s="11" t="s">
        <v>5256</v>
      </c>
      <c r="S46" s="245" t="s">
        <v>5257</v>
      </c>
      <c r="V46" s="246" t="s">
        <v>5255</v>
      </c>
      <c r="W46" s="35">
        <v>11104.0</v>
      </c>
      <c r="X46" s="36" t="e">
        <v>#N/A</v>
      </c>
      <c r="Y46" s="45"/>
    </row>
    <row r="47">
      <c r="A47" s="101" t="s">
        <v>5258</v>
      </c>
      <c r="B47" s="25">
        <v>6675.0</v>
      </c>
      <c r="C47" s="62">
        <v>0.1</v>
      </c>
      <c r="D47" s="179">
        <v>0.85</v>
      </c>
      <c r="E47" s="179">
        <v>0.85</v>
      </c>
      <c r="F47" s="229" t="s">
        <v>1656</v>
      </c>
      <c r="K47" s="11" t="s">
        <v>5259</v>
      </c>
      <c r="S47" s="245" t="s">
        <v>5260</v>
      </c>
      <c r="V47" s="246" t="s">
        <v>5258</v>
      </c>
      <c r="W47" s="35">
        <v>6675.0</v>
      </c>
      <c r="X47" s="36" t="e">
        <v>#N/A</v>
      </c>
      <c r="Y47" s="45"/>
    </row>
    <row r="48">
      <c r="A48" s="101" t="s">
        <v>5261</v>
      </c>
      <c r="B48" s="25">
        <v>12388.0</v>
      </c>
      <c r="C48" s="62">
        <v>0.1</v>
      </c>
      <c r="D48" s="74">
        <v>0.7</v>
      </c>
      <c r="E48" s="74">
        <v>0.7</v>
      </c>
      <c r="F48" s="229" t="s">
        <v>1656</v>
      </c>
      <c r="K48" s="11" t="s">
        <v>5262</v>
      </c>
      <c r="S48" s="245" t="s">
        <v>5263</v>
      </c>
      <c r="V48" s="246" t="s">
        <v>5261</v>
      </c>
      <c r="W48" s="35">
        <v>12941.0</v>
      </c>
      <c r="X48" s="36" t="e">
        <v>#N/A</v>
      </c>
      <c r="Y48" s="45"/>
    </row>
    <row r="49">
      <c r="A49" s="101" t="s">
        <v>5264</v>
      </c>
      <c r="B49" s="25"/>
      <c r="C49" s="62">
        <v>0.1</v>
      </c>
      <c r="D49" s="74">
        <v>0.7</v>
      </c>
      <c r="E49" s="74">
        <v>0.7</v>
      </c>
      <c r="F49" s="229" t="s">
        <v>1656</v>
      </c>
      <c r="K49" s="11" t="s">
        <v>5265</v>
      </c>
      <c r="S49" s="245" t="s">
        <v>5266</v>
      </c>
      <c r="V49" s="246" t="s">
        <v>5264</v>
      </c>
      <c r="W49" s="35">
        <v>13951.0</v>
      </c>
      <c r="X49" s="36" t="e">
        <v>#N/A</v>
      </c>
      <c r="Y49" s="45"/>
    </row>
    <row r="50">
      <c r="A50" s="101" t="s">
        <v>5267</v>
      </c>
      <c r="B50" s="25">
        <v>6936.0</v>
      </c>
      <c r="C50" s="62">
        <v>0.1</v>
      </c>
      <c r="D50" s="74">
        <v>0.7</v>
      </c>
      <c r="E50" s="74">
        <v>0.7</v>
      </c>
      <c r="F50" s="229" t="s">
        <v>1656</v>
      </c>
      <c r="K50" s="11" t="s">
        <v>2875</v>
      </c>
      <c r="L50" s="11">
        <v>2345.0</v>
      </c>
      <c r="S50" s="245" t="s">
        <v>5268</v>
      </c>
      <c r="V50" s="244" t="s">
        <v>5267</v>
      </c>
      <c r="W50" s="11">
        <v>6936.0</v>
      </c>
      <c r="X50" s="45">
        <v>1.0</v>
      </c>
    </row>
    <row r="51">
      <c r="A51" s="101" t="s">
        <v>5269</v>
      </c>
      <c r="B51" s="25">
        <v>6936.0</v>
      </c>
      <c r="C51" s="62">
        <v>0.1</v>
      </c>
      <c r="D51" s="74">
        <v>0.7</v>
      </c>
      <c r="E51" s="74">
        <v>0.7</v>
      </c>
      <c r="F51" s="229" t="s">
        <v>1656</v>
      </c>
      <c r="K51" s="11" t="s">
        <v>5270</v>
      </c>
      <c r="S51" s="245" t="s">
        <v>5271</v>
      </c>
      <c r="T51" s="11">
        <v>663.0</v>
      </c>
      <c r="V51" s="244" t="s">
        <v>5269</v>
      </c>
      <c r="W51" s="11">
        <v>6936.0</v>
      </c>
      <c r="X51" s="45">
        <v>1.0</v>
      </c>
    </row>
    <row r="52">
      <c r="A52" s="101" t="s">
        <v>5272</v>
      </c>
      <c r="B52" s="25">
        <v>2345.0</v>
      </c>
      <c r="C52" s="62">
        <v>0.1</v>
      </c>
      <c r="D52" s="74">
        <v>0.9</v>
      </c>
      <c r="E52" s="74">
        <v>0.9</v>
      </c>
      <c r="F52" s="229" t="s">
        <v>1656</v>
      </c>
      <c r="K52" s="11" t="s">
        <v>5273</v>
      </c>
      <c r="S52" s="245" t="s">
        <v>5274</v>
      </c>
      <c r="T52" s="11">
        <v>663.0</v>
      </c>
      <c r="V52" s="244" t="s">
        <v>5272</v>
      </c>
      <c r="W52" s="11">
        <v>2345.0</v>
      </c>
      <c r="X52" s="45">
        <v>1.0</v>
      </c>
    </row>
    <row r="53">
      <c r="A53" s="101" t="s">
        <v>5275</v>
      </c>
      <c r="B53" s="25"/>
      <c r="C53" s="62">
        <v>0.1</v>
      </c>
      <c r="D53" s="74">
        <v>0.7</v>
      </c>
      <c r="E53" s="74">
        <v>0.7</v>
      </c>
      <c r="F53" s="229" t="s">
        <v>1656</v>
      </c>
      <c r="K53" s="11" t="s">
        <v>2107</v>
      </c>
      <c r="S53" s="245" t="s">
        <v>5276</v>
      </c>
      <c r="V53" s="246" t="s">
        <v>5275</v>
      </c>
      <c r="W53" s="35">
        <v>12932.0</v>
      </c>
      <c r="X53" s="36" t="e">
        <v>#N/A</v>
      </c>
      <c r="Y53" s="45"/>
    </row>
    <row r="54">
      <c r="A54" s="101" t="s">
        <v>5277</v>
      </c>
      <c r="B54" s="25">
        <v>2345.0</v>
      </c>
      <c r="C54" s="62">
        <v>0.1</v>
      </c>
      <c r="D54" s="74">
        <v>0.9</v>
      </c>
      <c r="E54" s="74">
        <v>0.9</v>
      </c>
      <c r="F54" s="229" t="s">
        <v>1656</v>
      </c>
      <c r="K54" s="11" t="s">
        <v>5278</v>
      </c>
      <c r="S54" s="245" t="s">
        <v>5279</v>
      </c>
      <c r="V54" s="244" t="s">
        <v>5277</v>
      </c>
      <c r="W54" s="11">
        <v>2345.0</v>
      </c>
      <c r="X54" s="45">
        <v>1.0</v>
      </c>
    </row>
    <row r="55">
      <c r="A55" s="101" t="s">
        <v>5280</v>
      </c>
      <c r="B55" s="25">
        <v>14727.0</v>
      </c>
      <c r="C55" s="62">
        <v>0.1</v>
      </c>
      <c r="D55" s="74">
        <v>0.7</v>
      </c>
      <c r="E55" s="74">
        <v>0.7</v>
      </c>
      <c r="F55" s="229" t="s">
        <v>1656</v>
      </c>
      <c r="K55" s="11" t="s">
        <v>5281</v>
      </c>
      <c r="S55" s="245" t="s">
        <v>5282</v>
      </c>
      <c r="V55" s="246" t="s">
        <v>5280</v>
      </c>
      <c r="W55" s="35">
        <v>9746.0</v>
      </c>
      <c r="X55" s="36" t="e">
        <v>#N/A</v>
      </c>
      <c r="Y55" s="45"/>
    </row>
    <row r="56">
      <c r="A56" s="101" t="s">
        <v>5283</v>
      </c>
      <c r="B56" s="25"/>
      <c r="C56" s="62">
        <v>0.1</v>
      </c>
      <c r="D56" s="74">
        <v>0.7</v>
      </c>
      <c r="E56" s="74">
        <v>0.7</v>
      </c>
      <c r="F56" s="229" t="s">
        <v>1656</v>
      </c>
      <c r="K56" s="11" t="s">
        <v>5284</v>
      </c>
      <c r="S56" s="245" t="s">
        <v>3455</v>
      </c>
      <c r="V56" s="246" t="s">
        <v>5283</v>
      </c>
      <c r="W56" s="35">
        <v>14440.0</v>
      </c>
      <c r="X56" s="36" t="e">
        <v>#N/A</v>
      </c>
      <c r="Y56" s="45"/>
    </row>
    <row r="57">
      <c r="A57" s="101" t="s">
        <v>1099</v>
      </c>
      <c r="B57" s="25"/>
      <c r="C57" s="62">
        <v>0.1</v>
      </c>
      <c r="D57" s="74">
        <v>0.7</v>
      </c>
      <c r="E57" s="74">
        <v>0.7</v>
      </c>
      <c r="F57" s="229" t="s">
        <v>1656</v>
      </c>
      <c r="K57" s="11" t="s">
        <v>5285</v>
      </c>
      <c r="S57" s="245" t="s">
        <v>5286</v>
      </c>
      <c r="V57" s="246" t="s">
        <v>1099</v>
      </c>
      <c r="W57" s="35">
        <v>13858.0</v>
      </c>
      <c r="X57" s="36" t="e">
        <v>#N/A</v>
      </c>
      <c r="Y57" s="45"/>
    </row>
    <row r="58">
      <c r="A58" s="101" t="s">
        <v>5287</v>
      </c>
      <c r="B58" s="25">
        <v>6668.0</v>
      </c>
      <c r="C58" s="62">
        <v>0.1</v>
      </c>
      <c r="D58" s="74">
        <v>0.7</v>
      </c>
      <c r="E58" s="74">
        <v>0.7</v>
      </c>
      <c r="F58" s="229" t="s">
        <v>1656</v>
      </c>
      <c r="K58" s="11" t="s">
        <v>5288</v>
      </c>
      <c r="L58" s="11">
        <v>6132.0</v>
      </c>
      <c r="S58" s="245" t="s">
        <v>5289</v>
      </c>
      <c r="V58" s="246" t="s">
        <v>5287</v>
      </c>
      <c r="W58" s="35">
        <v>6706.0</v>
      </c>
      <c r="X58" s="36" t="e">
        <v>#N/A</v>
      </c>
      <c r="Y58" s="45"/>
    </row>
    <row r="59">
      <c r="A59" s="101" t="s">
        <v>5290</v>
      </c>
      <c r="B59" s="25">
        <v>6668.0</v>
      </c>
      <c r="C59" s="62">
        <v>0.1</v>
      </c>
      <c r="D59" s="74">
        <v>0.7</v>
      </c>
      <c r="E59" s="74">
        <v>0.7</v>
      </c>
      <c r="F59" s="229" t="s">
        <v>1656</v>
      </c>
      <c r="K59" s="11" t="s">
        <v>5291</v>
      </c>
      <c r="S59" s="245" t="s">
        <v>5292</v>
      </c>
      <c r="V59" s="246" t="s">
        <v>5290</v>
      </c>
      <c r="W59" s="35">
        <v>13829.0</v>
      </c>
      <c r="X59" s="36" t="e">
        <v>#N/A</v>
      </c>
      <c r="Y59" s="45"/>
    </row>
    <row r="60">
      <c r="A60" s="101" t="s">
        <v>5293</v>
      </c>
      <c r="B60" s="25">
        <v>7142.0</v>
      </c>
      <c r="C60" s="62">
        <v>0.1</v>
      </c>
      <c r="D60" s="74">
        <v>0.7</v>
      </c>
      <c r="E60" s="74">
        <v>0.7</v>
      </c>
      <c r="F60" s="229" t="s">
        <v>1656</v>
      </c>
      <c r="K60" s="11" t="s">
        <v>5294</v>
      </c>
      <c r="S60" s="245" t="s">
        <v>5295</v>
      </c>
      <c r="V60" s="244" t="s">
        <v>5293</v>
      </c>
      <c r="W60" s="11">
        <v>7142.0</v>
      </c>
      <c r="X60" s="45">
        <v>1.0</v>
      </c>
    </row>
    <row r="61">
      <c r="A61" s="101" t="s">
        <v>5296</v>
      </c>
      <c r="B61" s="25">
        <v>11875.0</v>
      </c>
      <c r="C61" s="62">
        <v>0.1</v>
      </c>
      <c r="D61" s="74">
        <v>0.7</v>
      </c>
      <c r="E61" s="74">
        <v>0.7</v>
      </c>
      <c r="F61" s="229" t="s">
        <v>1656</v>
      </c>
      <c r="K61" s="11" t="s">
        <v>5297</v>
      </c>
      <c r="S61" s="245" t="s">
        <v>5298</v>
      </c>
      <c r="V61" s="244" t="s">
        <v>5296</v>
      </c>
      <c r="W61" s="11">
        <v>11875.0</v>
      </c>
      <c r="X61" s="45">
        <v>1.0</v>
      </c>
    </row>
    <row r="62">
      <c r="A62" s="101" t="s">
        <v>5299</v>
      </c>
      <c r="B62" s="25"/>
      <c r="C62" s="62">
        <v>0.1</v>
      </c>
      <c r="D62" s="74">
        <v>0.7</v>
      </c>
      <c r="E62" s="74">
        <v>0.7</v>
      </c>
      <c r="F62" s="229" t="s">
        <v>1656</v>
      </c>
      <c r="K62" s="11" t="s">
        <v>5300</v>
      </c>
      <c r="S62" s="245" t="s">
        <v>5301</v>
      </c>
      <c r="T62" s="11">
        <v>6824.0</v>
      </c>
      <c r="V62" s="246" t="s">
        <v>5299</v>
      </c>
      <c r="W62" s="35">
        <v>13204.0</v>
      </c>
      <c r="X62" s="36" t="e">
        <v>#N/A</v>
      </c>
      <c r="Y62" s="45"/>
    </row>
    <row r="63">
      <c r="A63" s="101" t="s">
        <v>5302</v>
      </c>
      <c r="B63" s="25"/>
      <c r="C63" s="62">
        <v>0.1</v>
      </c>
      <c r="D63" s="74">
        <v>0.7</v>
      </c>
      <c r="E63" s="74">
        <v>0.7</v>
      </c>
      <c r="F63" s="229" t="s">
        <v>1656</v>
      </c>
      <c r="K63" s="11" t="s">
        <v>5303</v>
      </c>
      <c r="S63" s="245" t="s">
        <v>5304</v>
      </c>
      <c r="V63" s="246" t="s">
        <v>5302</v>
      </c>
      <c r="W63" s="35">
        <v>12932.0</v>
      </c>
      <c r="X63" s="36" t="e">
        <v>#N/A</v>
      </c>
      <c r="Y63" s="45"/>
    </row>
    <row r="64">
      <c r="A64" s="101" t="s">
        <v>5305</v>
      </c>
      <c r="B64" s="25">
        <v>14659.0</v>
      </c>
      <c r="C64" s="62">
        <v>0.1</v>
      </c>
      <c r="D64" s="74">
        <v>0.7</v>
      </c>
      <c r="E64" s="74">
        <v>0.7</v>
      </c>
      <c r="F64" s="229" t="s">
        <v>1656</v>
      </c>
      <c r="K64" s="11" t="s">
        <v>5306</v>
      </c>
      <c r="S64" s="245" t="s">
        <v>5307</v>
      </c>
      <c r="V64" s="246" t="s">
        <v>5305</v>
      </c>
      <c r="W64" s="35">
        <v>6706.0</v>
      </c>
      <c r="X64" s="36" t="e">
        <v>#N/A</v>
      </c>
      <c r="Y64" s="45"/>
    </row>
    <row r="65">
      <c r="A65" s="101" t="s">
        <v>5308</v>
      </c>
      <c r="B65" s="25">
        <v>11708.0</v>
      </c>
      <c r="C65" s="62">
        <v>0.1</v>
      </c>
      <c r="D65" s="74">
        <v>0.7</v>
      </c>
      <c r="E65" s="74">
        <v>0.7</v>
      </c>
      <c r="F65" s="229" t="s">
        <v>1656</v>
      </c>
      <c r="K65" s="11" t="s">
        <v>5309</v>
      </c>
      <c r="S65" s="245" t="s">
        <v>5310</v>
      </c>
      <c r="V65" s="244" t="s">
        <v>5308</v>
      </c>
      <c r="W65" s="11">
        <v>11708.0</v>
      </c>
      <c r="X65" s="45">
        <v>1.0</v>
      </c>
    </row>
    <row r="66">
      <c r="A66" s="101" t="s">
        <v>5311</v>
      </c>
      <c r="B66" s="25">
        <v>2345.0</v>
      </c>
      <c r="C66" s="62">
        <v>0.1</v>
      </c>
      <c r="D66" s="74">
        <v>0.9</v>
      </c>
      <c r="E66" s="74">
        <v>0.9</v>
      </c>
      <c r="F66" s="229" t="s">
        <v>1656</v>
      </c>
      <c r="K66" s="11" t="s">
        <v>5312</v>
      </c>
      <c r="S66" s="245" t="s">
        <v>5313</v>
      </c>
      <c r="V66" s="244" t="s">
        <v>5311</v>
      </c>
      <c r="W66" s="11">
        <v>2345.0</v>
      </c>
      <c r="X66" s="45">
        <v>1.0</v>
      </c>
    </row>
    <row r="67">
      <c r="A67" s="101" t="s">
        <v>5314</v>
      </c>
      <c r="B67" s="25">
        <v>14575.0</v>
      </c>
      <c r="C67" s="62">
        <v>0.1</v>
      </c>
      <c r="D67" s="179">
        <v>0.85</v>
      </c>
      <c r="E67" s="179">
        <v>0.85</v>
      </c>
      <c r="F67" s="229" t="s">
        <v>1656</v>
      </c>
      <c r="K67" s="11" t="s">
        <v>5315</v>
      </c>
      <c r="S67" s="245" t="s">
        <v>2299</v>
      </c>
      <c r="V67" s="246" t="s">
        <v>5314</v>
      </c>
      <c r="W67" s="35">
        <v>2095.0</v>
      </c>
      <c r="X67" s="36" t="e">
        <v>#N/A</v>
      </c>
      <c r="Y67" s="45"/>
    </row>
    <row r="68">
      <c r="A68" s="101" t="s">
        <v>5316</v>
      </c>
      <c r="B68" s="25"/>
      <c r="C68" s="62">
        <v>0.1</v>
      </c>
      <c r="D68" s="74">
        <v>0.7</v>
      </c>
      <c r="E68" s="74">
        <v>0.7</v>
      </c>
      <c r="F68" s="229" t="s">
        <v>1656</v>
      </c>
      <c r="K68" s="11" t="s">
        <v>5317</v>
      </c>
      <c r="S68" s="245" t="s">
        <v>5318</v>
      </c>
      <c r="V68" s="246" t="s">
        <v>5316</v>
      </c>
      <c r="W68" s="35">
        <v>8199.0</v>
      </c>
      <c r="X68" s="36" t="e">
        <v>#N/A</v>
      </c>
      <c r="Y68" s="45"/>
    </row>
    <row r="69">
      <c r="A69" s="101" t="s">
        <v>5319</v>
      </c>
      <c r="B69" s="25"/>
      <c r="C69" s="62">
        <v>0.1</v>
      </c>
      <c r="D69" s="74">
        <v>0.7</v>
      </c>
      <c r="E69" s="74">
        <v>0.7</v>
      </c>
      <c r="F69" s="229" t="s">
        <v>1656</v>
      </c>
      <c r="K69" s="11" t="s">
        <v>5320</v>
      </c>
      <c r="S69" s="245" t="s">
        <v>5321</v>
      </c>
      <c r="V69" s="246" t="s">
        <v>5319</v>
      </c>
      <c r="W69" s="35">
        <v>12609.0</v>
      </c>
      <c r="X69" s="36" t="e">
        <v>#N/A</v>
      </c>
      <c r="Y69" s="45"/>
    </row>
    <row r="70">
      <c r="A70" s="101" t="s">
        <v>5322</v>
      </c>
      <c r="B70" s="25"/>
      <c r="C70" s="62">
        <v>0.1</v>
      </c>
      <c r="D70" s="74">
        <v>0.7</v>
      </c>
      <c r="E70" s="74">
        <v>0.7</v>
      </c>
      <c r="F70" s="229" t="s">
        <v>1656</v>
      </c>
      <c r="K70" s="11" t="s">
        <v>5323</v>
      </c>
      <c r="S70" s="245" t="s">
        <v>5324</v>
      </c>
      <c r="V70" s="246" t="s">
        <v>5322</v>
      </c>
      <c r="W70" s="35">
        <v>14248.0</v>
      </c>
      <c r="X70" s="36" t="e">
        <v>#N/A</v>
      </c>
      <c r="Y70" s="45"/>
    </row>
    <row r="71">
      <c r="A71" s="101" t="s">
        <v>5325</v>
      </c>
      <c r="B71" s="25">
        <v>14465.0</v>
      </c>
      <c r="C71" s="62">
        <v>0.1</v>
      </c>
      <c r="D71" s="74">
        <v>0.9</v>
      </c>
      <c r="E71" s="74">
        <v>0.9</v>
      </c>
      <c r="F71" s="229" t="s">
        <v>1656</v>
      </c>
      <c r="K71" s="11" t="s">
        <v>5326</v>
      </c>
      <c r="S71" s="245" t="s">
        <v>5327</v>
      </c>
      <c r="V71" s="246" t="s">
        <v>5325</v>
      </c>
      <c r="W71" s="35">
        <v>8199.0</v>
      </c>
      <c r="X71" s="36" t="e">
        <v>#N/A</v>
      </c>
      <c r="Y71" s="45"/>
    </row>
    <row r="72">
      <c r="A72" s="101" t="s">
        <v>5328</v>
      </c>
      <c r="B72" s="25"/>
      <c r="C72" s="62">
        <v>0.1</v>
      </c>
      <c r="D72" s="74">
        <v>0.7</v>
      </c>
      <c r="E72" s="74">
        <v>0.7</v>
      </c>
      <c r="F72" s="229" t="s">
        <v>1656</v>
      </c>
      <c r="K72" s="11" t="s">
        <v>5329</v>
      </c>
      <c r="S72" s="245" t="s">
        <v>960</v>
      </c>
      <c r="V72" s="246" t="s">
        <v>5328</v>
      </c>
      <c r="W72" s="35">
        <v>6924.0</v>
      </c>
      <c r="X72" s="36" t="e">
        <v>#N/A</v>
      </c>
      <c r="Y72" s="37">
        <v>2345.0</v>
      </c>
    </row>
    <row r="73">
      <c r="A73" s="101" t="s">
        <v>5330</v>
      </c>
      <c r="B73" s="25">
        <v>2345.0</v>
      </c>
      <c r="C73" s="62">
        <v>0.1</v>
      </c>
      <c r="D73" s="74">
        <v>0.9</v>
      </c>
      <c r="E73" s="74">
        <v>0.9</v>
      </c>
      <c r="F73" s="229" t="s">
        <v>1656</v>
      </c>
      <c r="K73" s="11" t="s">
        <v>5331</v>
      </c>
      <c r="S73" s="245" t="s">
        <v>5332</v>
      </c>
      <c r="V73" s="244" t="s">
        <v>5330</v>
      </c>
      <c r="W73" s="11">
        <v>2345.0</v>
      </c>
      <c r="X73" s="36" t="e">
        <v>#N/A</v>
      </c>
    </row>
    <row r="74">
      <c r="A74" s="101" t="s">
        <v>5333</v>
      </c>
      <c r="B74" s="25">
        <v>14529.0</v>
      </c>
      <c r="C74" s="62">
        <v>0.1</v>
      </c>
      <c r="D74" s="74">
        <v>0.7</v>
      </c>
      <c r="E74" s="74">
        <v>0.7</v>
      </c>
      <c r="F74" s="229" t="s">
        <v>1656</v>
      </c>
      <c r="K74" s="11" t="s">
        <v>5334</v>
      </c>
      <c r="S74" s="245" t="s">
        <v>2920</v>
      </c>
      <c r="V74" s="246" t="s">
        <v>5333</v>
      </c>
      <c r="W74" s="35">
        <v>2345.0</v>
      </c>
      <c r="X74" s="36" t="e">
        <v>#N/A</v>
      </c>
      <c r="Y74" s="36"/>
    </row>
    <row r="75">
      <c r="A75" s="101" t="s">
        <v>5335</v>
      </c>
      <c r="B75" s="25">
        <v>2345.0</v>
      </c>
      <c r="C75" s="62">
        <v>0.1</v>
      </c>
      <c r="D75" s="74">
        <v>0.9</v>
      </c>
      <c r="E75" s="74">
        <v>0.9</v>
      </c>
      <c r="F75" s="229" t="s">
        <v>1656</v>
      </c>
      <c r="K75" s="11" t="s">
        <v>5336</v>
      </c>
      <c r="S75" s="245" t="s">
        <v>5337</v>
      </c>
      <c r="V75" s="244" t="s">
        <v>5335</v>
      </c>
      <c r="W75" s="11">
        <v>2345.0</v>
      </c>
      <c r="X75" s="45">
        <v>1.0</v>
      </c>
    </row>
    <row r="76">
      <c r="A76" s="101" t="s">
        <v>5338</v>
      </c>
      <c r="B76" s="25"/>
      <c r="C76" s="62">
        <v>0.1</v>
      </c>
      <c r="D76" s="74">
        <v>0.7</v>
      </c>
      <c r="E76" s="74">
        <v>0.7</v>
      </c>
      <c r="F76" s="229" t="s">
        <v>1656</v>
      </c>
      <c r="K76" s="11" t="s">
        <v>5339</v>
      </c>
      <c r="S76" s="245" t="s">
        <v>5340</v>
      </c>
      <c r="V76" s="246" t="s">
        <v>5338</v>
      </c>
      <c r="W76" s="35">
        <v>2345.0</v>
      </c>
      <c r="X76" s="36" t="e">
        <v>#N/A</v>
      </c>
      <c r="Y76" s="36"/>
    </row>
    <row r="77">
      <c r="A77" s="101" t="s">
        <v>5341</v>
      </c>
      <c r="B77" s="25">
        <v>2345.0</v>
      </c>
      <c r="C77" s="62">
        <v>0.1</v>
      </c>
      <c r="D77" s="74">
        <v>0.9</v>
      </c>
      <c r="E77" s="74">
        <v>0.9</v>
      </c>
      <c r="F77" s="229" t="s">
        <v>1656</v>
      </c>
      <c r="K77" s="11" t="s">
        <v>5342</v>
      </c>
      <c r="L77" s="122">
        <v>6728.0</v>
      </c>
      <c r="S77" s="245" t="s">
        <v>5343</v>
      </c>
      <c r="T77" s="122"/>
      <c r="V77" s="244" t="s">
        <v>5341</v>
      </c>
      <c r="W77" s="11">
        <v>2345.0</v>
      </c>
      <c r="X77" s="45">
        <v>1.0</v>
      </c>
    </row>
    <row r="78">
      <c r="A78" s="101" t="s">
        <v>5344</v>
      </c>
      <c r="B78" s="25"/>
      <c r="C78" s="62">
        <v>0.1</v>
      </c>
      <c r="D78" s="74">
        <v>0.7</v>
      </c>
      <c r="E78" s="74">
        <v>0.7</v>
      </c>
      <c r="F78" s="229" t="s">
        <v>1656</v>
      </c>
      <c r="K78" s="11" t="s">
        <v>5345</v>
      </c>
      <c r="L78" s="122">
        <v>6728.0</v>
      </c>
      <c r="S78" s="245" t="s">
        <v>5346</v>
      </c>
      <c r="T78" s="122"/>
      <c r="V78" s="246" t="s">
        <v>5344</v>
      </c>
      <c r="W78" s="35">
        <v>2345.0</v>
      </c>
      <c r="X78" s="36" t="e">
        <v>#N/A</v>
      </c>
      <c r="Y78" s="36"/>
    </row>
    <row r="79">
      <c r="A79" s="101" t="s">
        <v>5347</v>
      </c>
      <c r="B79" s="25"/>
      <c r="C79" s="62">
        <v>0.1</v>
      </c>
      <c r="D79" s="74">
        <v>0.7</v>
      </c>
      <c r="E79" s="74">
        <v>0.7</v>
      </c>
      <c r="F79" s="229" t="s">
        <v>1656</v>
      </c>
      <c r="K79" s="11" t="s">
        <v>5348</v>
      </c>
      <c r="S79" s="245" t="s">
        <v>5349</v>
      </c>
      <c r="T79" s="11">
        <v>6772.0</v>
      </c>
      <c r="V79" s="244" t="s">
        <v>5347</v>
      </c>
      <c r="W79" s="11">
        <v>2345.0</v>
      </c>
      <c r="X79" s="36" t="e">
        <v>#N/A</v>
      </c>
    </row>
    <row r="80">
      <c r="A80" s="247" t="s">
        <v>5350</v>
      </c>
      <c r="B80" s="188">
        <v>7670.0</v>
      </c>
      <c r="C80" s="62">
        <v>0.1</v>
      </c>
      <c r="D80" s="74">
        <v>0.7</v>
      </c>
      <c r="E80" s="74">
        <v>0.7</v>
      </c>
      <c r="F80" s="229" t="s">
        <v>1656</v>
      </c>
      <c r="H80" s="37" t="s">
        <v>207</v>
      </c>
      <c r="K80" s="11" t="s">
        <v>5351</v>
      </c>
      <c r="S80" s="245" t="s">
        <v>737</v>
      </c>
    </row>
    <row r="81">
      <c r="A81" s="247" t="s">
        <v>5352</v>
      </c>
      <c r="B81" s="188">
        <v>9596.0</v>
      </c>
      <c r="C81" s="62">
        <v>0.1</v>
      </c>
      <c r="D81" s="74">
        <v>0.7</v>
      </c>
      <c r="E81" s="74">
        <v>0.7</v>
      </c>
      <c r="F81" s="229" t="s">
        <v>1656</v>
      </c>
      <c r="H81" s="37" t="s">
        <v>207</v>
      </c>
      <c r="K81" s="11" t="s">
        <v>5353</v>
      </c>
      <c r="S81" s="245" t="s">
        <v>5354</v>
      </c>
    </row>
    <row r="82">
      <c r="A82" s="247" t="s">
        <v>5355</v>
      </c>
      <c r="B82" s="188">
        <v>8486.0</v>
      </c>
      <c r="C82" s="62">
        <v>0.1</v>
      </c>
      <c r="D82" s="74">
        <v>0.8</v>
      </c>
      <c r="E82" s="74">
        <v>0.8</v>
      </c>
      <c r="F82" s="229" t="s">
        <v>1656</v>
      </c>
      <c r="H82" s="37" t="s">
        <v>207</v>
      </c>
      <c r="K82" s="11" t="s">
        <v>5356</v>
      </c>
      <c r="L82" s="11">
        <v>6726.0</v>
      </c>
      <c r="S82" s="245" t="s">
        <v>5357</v>
      </c>
    </row>
    <row r="83">
      <c r="A83" s="247" t="s">
        <v>5358</v>
      </c>
      <c r="B83" s="188">
        <v>9602.0</v>
      </c>
      <c r="C83" s="62">
        <v>0.1</v>
      </c>
      <c r="D83" s="74">
        <v>0.7</v>
      </c>
      <c r="E83" s="74">
        <v>0.7</v>
      </c>
      <c r="F83" s="229" t="s">
        <v>1656</v>
      </c>
      <c r="H83" s="37" t="s">
        <v>207</v>
      </c>
      <c r="K83" s="11" t="s">
        <v>5359</v>
      </c>
      <c r="L83" s="11">
        <v>6726.0</v>
      </c>
      <c r="S83" s="245" t="s">
        <v>1141</v>
      </c>
    </row>
    <row r="84">
      <c r="A84" s="247" t="s">
        <v>5360</v>
      </c>
      <c r="B84" s="188">
        <v>9066.0</v>
      </c>
      <c r="C84" s="62">
        <v>0.1</v>
      </c>
      <c r="D84" s="74">
        <v>0.7</v>
      </c>
      <c r="E84" s="74">
        <v>0.7</v>
      </c>
      <c r="F84" s="229" t="s">
        <v>1656</v>
      </c>
      <c r="H84" s="37" t="s">
        <v>207</v>
      </c>
      <c r="K84" s="11" t="s">
        <v>5361</v>
      </c>
      <c r="L84" s="11">
        <v>6726.0</v>
      </c>
      <c r="S84" s="245" t="s">
        <v>5362</v>
      </c>
    </row>
    <row r="85">
      <c r="A85" s="247" t="s">
        <v>5363</v>
      </c>
      <c r="B85" s="188">
        <v>7523.0</v>
      </c>
      <c r="C85" s="62">
        <v>0.1</v>
      </c>
      <c r="D85" s="74">
        <v>0.7</v>
      </c>
      <c r="E85" s="74">
        <v>0.7</v>
      </c>
      <c r="F85" s="229" t="s">
        <v>1656</v>
      </c>
      <c r="H85" s="37" t="s">
        <v>207</v>
      </c>
      <c r="K85" s="11" t="s">
        <v>5364</v>
      </c>
      <c r="L85" s="11">
        <v>6726.0</v>
      </c>
      <c r="S85" s="245" t="s">
        <v>5365</v>
      </c>
    </row>
    <row r="86">
      <c r="A86" s="247" t="s">
        <v>5366</v>
      </c>
      <c r="B86" s="188">
        <v>8486.0</v>
      </c>
      <c r="C86" s="62">
        <v>0.1</v>
      </c>
      <c r="D86" s="74">
        <v>0.8</v>
      </c>
      <c r="E86" s="74">
        <v>0.8</v>
      </c>
      <c r="F86" s="229" t="s">
        <v>1656</v>
      </c>
      <c r="H86" s="37" t="s">
        <v>207</v>
      </c>
      <c r="K86" s="11" t="s">
        <v>5367</v>
      </c>
      <c r="L86" s="11">
        <v>6726.0</v>
      </c>
      <c r="S86" s="245" t="s">
        <v>5368</v>
      </c>
    </row>
    <row r="87">
      <c r="A87" s="202" t="s">
        <v>5369</v>
      </c>
      <c r="B87" s="188">
        <v>10861.0</v>
      </c>
      <c r="C87" s="62">
        <v>0.1</v>
      </c>
      <c r="D87" s="74">
        <v>0.8</v>
      </c>
      <c r="E87" s="74">
        <v>0.8</v>
      </c>
      <c r="F87" s="229" t="s">
        <v>1656</v>
      </c>
      <c r="H87" s="37" t="s">
        <v>207</v>
      </c>
      <c r="K87" s="11" t="s">
        <v>5370</v>
      </c>
      <c r="L87" s="11">
        <v>6726.0</v>
      </c>
      <c r="S87" s="245" t="s">
        <v>5371</v>
      </c>
    </row>
    <row r="88">
      <c r="A88" s="202" t="s">
        <v>5372</v>
      </c>
      <c r="B88" s="188">
        <v>10368.0</v>
      </c>
      <c r="C88" s="62">
        <v>0.1</v>
      </c>
      <c r="D88" s="74">
        <v>0.7</v>
      </c>
      <c r="E88" s="74">
        <v>0.7</v>
      </c>
      <c r="F88" s="229" t="s">
        <v>1656</v>
      </c>
      <c r="H88" s="37" t="s">
        <v>207</v>
      </c>
      <c r="K88" s="11" t="s">
        <v>5373</v>
      </c>
      <c r="L88" s="11">
        <v>6726.0</v>
      </c>
      <c r="S88" s="245" t="s">
        <v>5374</v>
      </c>
    </row>
    <row r="89">
      <c r="A89" s="202" t="s">
        <v>5375</v>
      </c>
      <c r="B89" s="188">
        <v>12259.0</v>
      </c>
      <c r="C89" s="62">
        <v>0.1</v>
      </c>
      <c r="D89" s="74">
        <v>0.7</v>
      </c>
      <c r="E89" s="74">
        <v>0.7</v>
      </c>
      <c r="F89" s="229" t="s">
        <v>1656</v>
      </c>
      <c r="H89" s="37" t="s">
        <v>207</v>
      </c>
      <c r="K89" s="11" t="s">
        <v>5376</v>
      </c>
      <c r="S89" s="245" t="s">
        <v>5377</v>
      </c>
      <c r="V89" s="244"/>
    </row>
    <row r="90">
      <c r="A90" s="202" t="s">
        <v>5378</v>
      </c>
      <c r="B90" s="188">
        <v>12277.0</v>
      </c>
      <c r="C90" s="62">
        <v>0.1</v>
      </c>
      <c r="D90" s="74">
        <v>0.7</v>
      </c>
      <c r="E90" s="74">
        <v>0.7</v>
      </c>
      <c r="F90" s="229" t="s">
        <v>1656</v>
      </c>
      <c r="H90" s="37" t="s">
        <v>207</v>
      </c>
      <c r="K90" s="11" t="s">
        <v>5379</v>
      </c>
      <c r="S90" s="245" t="s">
        <v>5380</v>
      </c>
      <c r="V90" s="244"/>
    </row>
    <row r="91">
      <c r="A91" s="202" t="s">
        <v>5381</v>
      </c>
      <c r="B91" s="188">
        <v>11768.0</v>
      </c>
      <c r="C91" s="62">
        <v>0.1</v>
      </c>
      <c r="D91" s="74">
        <v>0.7</v>
      </c>
      <c r="E91" s="74">
        <v>0.7</v>
      </c>
      <c r="F91" s="229" t="s">
        <v>1656</v>
      </c>
      <c r="H91" s="37" t="s">
        <v>207</v>
      </c>
      <c r="K91" s="11" t="s">
        <v>5382</v>
      </c>
      <c r="S91" s="245" t="s">
        <v>5383</v>
      </c>
      <c r="V91" s="244"/>
    </row>
    <row r="92">
      <c r="A92" s="202" t="s">
        <v>5384</v>
      </c>
      <c r="B92" s="188">
        <v>11553.0</v>
      </c>
      <c r="C92" s="62">
        <v>0.1</v>
      </c>
      <c r="D92" s="74">
        <v>0.7</v>
      </c>
      <c r="E92" s="74">
        <v>0.7</v>
      </c>
      <c r="F92" s="229" t="s">
        <v>1656</v>
      </c>
      <c r="H92" s="37" t="s">
        <v>207</v>
      </c>
      <c r="K92" s="11" t="s">
        <v>5385</v>
      </c>
      <c r="S92" s="245" t="s">
        <v>5386</v>
      </c>
      <c r="V92" s="244"/>
    </row>
    <row r="93">
      <c r="A93" s="247" t="s">
        <v>5387</v>
      </c>
      <c r="B93" s="187"/>
      <c r="C93" s="62">
        <v>0.1</v>
      </c>
      <c r="D93" s="74">
        <v>0.7</v>
      </c>
      <c r="E93" s="74">
        <v>0.7</v>
      </c>
      <c r="F93" s="229" t="s">
        <v>1656</v>
      </c>
      <c r="H93" s="37" t="s">
        <v>207</v>
      </c>
      <c r="K93" s="11" t="s">
        <v>5388</v>
      </c>
      <c r="S93" s="245" t="s">
        <v>5389</v>
      </c>
      <c r="V93" s="244"/>
    </row>
    <row r="94">
      <c r="A94" s="247" t="s">
        <v>5390</v>
      </c>
      <c r="B94" s="188">
        <v>13895.0</v>
      </c>
      <c r="C94" s="62">
        <v>0.1</v>
      </c>
      <c r="D94" s="74">
        <v>0.7</v>
      </c>
      <c r="E94" s="74">
        <v>0.7</v>
      </c>
      <c r="F94" s="229" t="s">
        <v>1656</v>
      </c>
      <c r="H94" s="37" t="s">
        <v>207</v>
      </c>
      <c r="K94" s="11" t="s">
        <v>5391</v>
      </c>
      <c r="S94" s="245" t="s">
        <v>5392</v>
      </c>
      <c r="V94" s="244"/>
    </row>
    <row r="95">
      <c r="A95" s="247" t="s">
        <v>5393</v>
      </c>
      <c r="B95" s="187"/>
      <c r="C95" s="62">
        <v>0.1</v>
      </c>
      <c r="D95" s="74">
        <v>0.7</v>
      </c>
      <c r="E95" s="74">
        <v>0.7</v>
      </c>
      <c r="F95" s="229" t="s">
        <v>1656</v>
      </c>
      <c r="H95" s="37" t="s">
        <v>207</v>
      </c>
      <c r="K95" s="11" t="s">
        <v>5394</v>
      </c>
      <c r="L95" s="11">
        <v>5458.0</v>
      </c>
      <c r="S95" s="245" t="s">
        <v>5395</v>
      </c>
      <c r="V95" s="244"/>
    </row>
    <row r="96">
      <c r="A96" s="247" t="s">
        <v>5396</v>
      </c>
      <c r="B96" s="188">
        <v>14173.0</v>
      </c>
      <c r="C96" s="62">
        <v>0.1</v>
      </c>
      <c r="D96" s="74">
        <v>0.7</v>
      </c>
      <c r="E96" s="74">
        <v>0.7</v>
      </c>
      <c r="F96" s="229" t="s">
        <v>1656</v>
      </c>
      <c r="H96" s="37" t="s">
        <v>207</v>
      </c>
      <c r="K96" s="11" t="s">
        <v>5397</v>
      </c>
      <c r="S96" s="245" t="s">
        <v>5398</v>
      </c>
    </row>
    <row r="97">
      <c r="A97" s="247" t="s">
        <v>5399</v>
      </c>
      <c r="B97" s="187"/>
      <c r="C97" s="62">
        <v>0.1</v>
      </c>
      <c r="D97" s="74">
        <v>0.7</v>
      </c>
      <c r="E97" s="74">
        <v>0.7</v>
      </c>
      <c r="F97" s="229" t="s">
        <v>1656</v>
      </c>
      <c r="H97" s="37" t="s">
        <v>207</v>
      </c>
      <c r="K97" s="11" t="s">
        <v>5400</v>
      </c>
      <c r="S97" s="245" t="s">
        <v>5401</v>
      </c>
      <c r="T97" s="11">
        <v>5458.0</v>
      </c>
    </row>
    <row r="98">
      <c r="A98" s="247" t="s">
        <v>5402</v>
      </c>
      <c r="B98" s="188">
        <v>7416.0</v>
      </c>
      <c r="C98" s="62">
        <v>0.1</v>
      </c>
      <c r="D98" s="74">
        <v>0.7</v>
      </c>
      <c r="E98" s="74">
        <v>0.7</v>
      </c>
      <c r="F98" s="229" t="s">
        <v>1656</v>
      </c>
      <c r="H98" s="37" t="s">
        <v>207</v>
      </c>
      <c r="K98" s="11" t="s">
        <v>5403</v>
      </c>
      <c r="S98" s="245" t="s">
        <v>5404</v>
      </c>
      <c r="T98" s="11">
        <v>5458.0</v>
      </c>
    </row>
    <row r="99">
      <c r="A99" s="247" t="s">
        <v>5405</v>
      </c>
      <c r="B99" s="242">
        <v>14771.0</v>
      </c>
      <c r="C99" s="62">
        <v>0.1</v>
      </c>
      <c r="D99" s="74">
        <v>0.7</v>
      </c>
      <c r="E99" s="74">
        <v>0.7</v>
      </c>
      <c r="F99" s="229" t="s">
        <v>1656</v>
      </c>
      <c r="H99" s="37" t="s">
        <v>207</v>
      </c>
      <c r="K99" s="11" t="s">
        <v>5406</v>
      </c>
      <c r="S99" s="245" t="s">
        <v>5407</v>
      </c>
    </row>
    <row r="100">
      <c r="A100" s="247" t="s">
        <v>5408</v>
      </c>
      <c r="B100" s="188">
        <v>11271.0</v>
      </c>
      <c r="C100" s="62">
        <v>0.1</v>
      </c>
      <c r="D100" s="74">
        <v>0.7</v>
      </c>
      <c r="E100" s="74">
        <v>0.7</v>
      </c>
      <c r="F100" s="229" t="s">
        <v>1656</v>
      </c>
      <c r="H100" s="37" t="s">
        <v>207</v>
      </c>
      <c r="K100" s="11" t="s">
        <v>5409</v>
      </c>
      <c r="S100" s="245" t="s">
        <v>5410</v>
      </c>
    </row>
    <row r="101">
      <c r="A101" s="247" t="s">
        <v>5411</v>
      </c>
      <c r="B101" s="188">
        <v>13988.0</v>
      </c>
      <c r="C101" s="62">
        <v>0.1</v>
      </c>
      <c r="D101" s="74">
        <v>0.7</v>
      </c>
      <c r="E101" s="74">
        <v>0.7</v>
      </c>
      <c r="F101" s="229" t="s">
        <v>1656</v>
      </c>
      <c r="H101" s="37" t="s">
        <v>207</v>
      </c>
      <c r="K101" s="11" t="s">
        <v>5412</v>
      </c>
      <c r="S101" s="245" t="s">
        <v>5413</v>
      </c>
    </row>
  </sheetData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4" width="22.13"/>
    <col customWidth="1" min="5" max="5" width="26.13"/>
    <col customWidth="1" min="6" max="7" width="22.13"/>
    <col customWidth="1" hidden="1" min="8" max="8" width="22.13"/>
    <col hidden="1" min="9" max="11" width="12.63"/>
    <col customWidth="1" hidden="1" min="12" max="12" width="22.13"/>
  </cols>
  <sheetData>
    <row r="1">
      <c r="A1" s="56" t="s">
        <v>44</v>
      </c>
      <c r="B1" s="56" t="s">
        <v>1</v>
      </c>
      <c r="C1" s="248" t="s">
        <v>294</v>
      </c>
      <c r="D1" s="55" t="s">
        <v>248</v>
      </c>
      <c r="E1" s="58" t="s">
        <v>249</v>
      </c>
      <c r="F1" s="58" t="s">
        <v>250</v>
      </c>
      <c r="G1" s="58"/>
      <c r="H1" s="11" t="s">
        <v>251</v>
      </c>
      <c r="I1" s="249" t="s">
        <v>44</v>
      </c>
      <c r="J1" s="115" t="s">
        <v>1</v>
      </c>
      <c r="L1" s="11" t="s">
        <v>252</v>
      </c>
    </row>
    <row r="2">
      <c r="A2" s="25" t="s">
        <v>1738</v>
      </c>
      <c r="B2" s="25">
        <v>5458.0</v>
      </c>
      <c r="C2" s="62">
        <v>0.1</v>
      </c>
      <c r="D2" s="95">
        <v>0.77</v>
      </c>
      <c r="E2" s="95">
        <v>0.77</v>
      </c>
      <c r="F2" s="229" t="s">
        <v>1656</v>
      </c>
      <c r="G2" s="64"/>
      <c r="I2" s="37" t="s">
        <v>1738</v>
      </c>
      <c r="J2" s="37">
        <v>5458.0</v>
      </c>
      <c r="K2" s="45"/>
      <c r="L2" s="45">
        <v>1.0</v>
      </c>
    </row>
    <row r="3">
      <c r="A3" s="25" t="s">
        <v>1736</v>
      </c>
      <c r="B3" s="25">
        <v>14659.0</v>
      </c>
      <c r="C3" s="62">
        <v>0.1</v>
      </c>
      <c r="D3" s="95">
        <v>0.77</v>
      </c>
      <c r="E3" s="95">
        <v>0.77</v>
      </c>
      <c r="F3" s="229" t="s">
        <v>1656</v>
      </c>
      <c r="G3" s="64"/>
      <c r="I3" s="35" t="s">
        <v>1736</v>
      </c>
      <c r="J3" s="35">
        <v>986.0</v>
      </c>
      <c r="K3" s="36"/>
      <c r="L3" s="36" t="e">
        <v>#N/A</v>
      </c>
    </row>
    <row r="4">
      <c r="A4" s="25" t="s">
        <v>1739</v>
      </c>
      <c r="B4" s="25">
        <v>6729.0</v>
      </c>
      <c r="C4" s="62">
        <v>0.1</v>
      </c>
      <c r="D4" s="95">
        <v>0.85</v>
      </c>
      <c r="E4" s="95">
        <v>0.85</v>
      </c>
      <c r="F4" s="229" t="s">
        <v>1656</v>
      </c>
      <c r="G4" s="64"/>
      <c r="I4" s="37" t="s">
        <v>1739</v>
      </c>
      <c r="J4" s="37">
        <v>6729.0</v>
      </c>
      <c r="K4" s="37">
        <v>5458.0</v>
      </c>
      <c r="L4" s="45">
        <v>1.0</v>
      </c>
    </row>
    <row r="5">
      <c r="A5" s="25" t="s">
        <v>1740</v>
      </c>
      <c r="B5" s="25">
        <v>6875.0</v>
      </c>
      <c r="C5" s="62">
        <v>0.1</v>
      </c>
      <c r="D5" s="95">
        <v>0.77</v>
      </c>
      <c r="E5" s="95">
        <v>0.77</v>
      </c>
      <c r="F5" s="229" t="s">
        <v>1656</v>
      </c>
      <c r="G5" s="112"/>
      <c r="I5" s="37" t="s">
        <v>1740</v>
      </c>
      <c r="J5" s="37">
        <v>6875.0</v>
      </c>
      <c r="K5" s="45"/>
      <c r="L5" s="45">
        <v>1.0</v>
      </c>
    </row>
    <row r="6">
      <c r="A6" s="25" t="s">
        <v>1741</v>
      </c>
      <c r="B6" s="25">
        <v>2345.0</v>
      </c>
      <c r="C6" s="62">
        <v>0.1</v>
      </c>
      <c r="D6" s="95">
        <v>0.9</v>
      </c>
      <c r="E6" s="95">
        <v>0.9</v>
      </c>
      <c r="F6" s="229" t="s">
        <v>1656</v>
      </c>
      <c r="G6" s="64"/>
      <c r="I6" s="35" t="s">
        <v>1741</v>
      </c>
      <c r="J6" s="35">
        <v>663.0</v>
      </c>
      <c r="K6" s="36"/>
      <c r="L6" s="36" t="e">
        <v>#N/A</v>
      </c>
    </row>
    <row r="7">
      <c r="A7" s="25" t="s">
        <v>1742</v>
      </c>
      <c r="B7" s="25">
        <v>2345.0</v>
      </c>
      <c r="C7" s="62">
        <v>0.1</v>
      </c>
      <c r="D7" s="95">
        <v>0.9</v>
      </c>
      <c r="E7" s="95">
        <v>0.9</v>
      </c>
      <c r="F7" s="229" t="s">
        <v>1656</v>
      </c>
      <c r="I7" s="35" t="s">
        <v>1742</v>
      </c>
      <c r="J7" s="35">
        <v>986.0</v>
      </c>
      <c r="K7" s="36"/>
      <c r="L7" s="36" t="e">
        <v>#N/A</v>
      </c>
    </row>
    <row r="8">
      <c r="A8" s="25" t="s">
        <v>1745</v>
      </c>
      <c r="B8" s="25">
        <v>2345.0</v>
      </c>
      <c r="C8" s="62">
        <v>0.1</v>
      </c>
      <c r="D8" s="95">
        <v>0.9</v>
      </c>
      <c r="E8" s="95">
        <v>0.9</v>
      </c>
      <c r="F8" s="229" t="s">
        <v>1656</v>
      </c>
      <c r="I8" s="35" t="s">
        <v>1745</v>
      </c>
      <c r="J8" s="35">
        <v>6924.0</v>
      </c>
      <c r="K8" s="35">
        <v>663.0</v>
      </c>
      <c r="L8" s="36" t="e">
        <v>#N/A</v>
      </c>
    </row>
    <row r="9">
      <c r="A9" s="25" t="s">
        <v>1747</v>
      </c>
      <c r="B9" s="25">
        <v>986.0</v>
      </c>
      <c r="C9" s="62">
        <v>0.1</v>
      </c>
      <c r="D9" s="95">
        <v>0.85</v>
      </c>
      <c r="E9" s="95">
        <v>0.85</v>
      </c>
      <c r="F9" s="229" t="s">
        <v>1656</v>
      </c>
      <c r="I9" s="37" t="s">
        <v>1747</v>
      </c>
      <c r="J9" s="37">
        <v>986.0</v>
      </c>
      <c r="K9" s="45"/>
      <c r="L9" s="45">
        <v>1.0</v>
      </c>
    </row>
    <row r="10">
      <c r="A10" s="25" t="s">
        <v>1749</v>
      </c>
      <c r="B10" s="25">
        <v>2345.0</v>
      </c>
      <c r="C10" s="62">
        <v>0.1</v>
      </c>
      <c r="D10" s="95">
        <v>0.9</v>
      </c>
      <c r="E10" s="95">
        <v>0.9</v>
      </c>
      <c r="F10" s="229" t="s">
        <v>1656</v>
      </c>
      <c r="I10" s="35" t="s">
        <v>1749</v>
      </c>
      <c r="J10" s="35">
        <v>2345.0</v>
      </c>
      <c r="K10" s="36"/>
      <c r="L10" s="36" t="e">
        <v>#N/A</v>
      </c>
    </row>
    <row r="11">
      <c r="A11" s="25" t="s">
        <v>1743</v>
      </c>
      <c r="B11" s="25">
        <v>2345.0</v>
      </c>
      <c r="C11" s="62">
        <v>0.1</v>
      </c>
      <c r="D11" s="95">
        <v>0.9</v>
      </c>
      <c r="E11" s="95">
        <v>0.9</v>
      </c>
      <c r="F11" s="229" t="s">
        <v>1656</v>
      </c>
      <c r="I11" s="35" t="s">
        <v>1743</v>
      </c>
      <c r="J11" s="35">
        <v>986.0</v>
      </c>
      <c r="K11" s="36"/>
      <c r="L11" s="36" t="e">
        <v>#N/A</v>
      </c>
    </row>
    <row r="12">
      <c r="A12" s="25" t="s">
        <v>1744</v>
      </c>
      <c r="B12" s="25">
        <v>2345.0</v>
      </c>
      <c r="C12" s="62">
        <v>0.1</v>
      </c>
      <c r="D12" s="95">
        <v>0.9</v>
      </c>
      <c r="E12" s="95">
        <v>0.9</v>
      </c>
      <c r="F12" s="229" t="s">
        <v>1656</v>
      </c>
      <c r="I12" s="35" t="s">
        <v>1744</v>
      </c>
      <c r="J12" s="35">
        <v>2345.0</v>
      </c>
      <c r="K12" s="36"/>
      <c r="L12" s="36" t="e">
        <v>#N/A</v>
      </c>
    </row>
    <row r="13">
      <c r="A13" s="25" t="s">
        <v>1746</v>
      </c>
      <c r="B13" s="25">
        <v>7747.0</v>
      </c>
      <c r="C13" s="62">
        <v>0.1</v>
      </c>
      <c r="D13" s="95">
        <v>0.77</v>
      </c>
      <c r="E13" s="95">
        <v>0.77</v>
      </c>
      <c r="F13" s="229" t="s">
        <v>1656</v>
      </c>
      <c r="I13" s="35" t="s">
        <v>1746</v>
      </c>
      <c r="J13" s="35">
        <v>986.0</v>
      </c>
      <c r="K13" s="36"/>
      <c r="L13" s="36" t="e">
        <v>#N/A</v>
      </c>
    </row>
    <row r="14">
      <c r="A14" s="25" t="s">
        <v>1748</v>
      </c>
      <c r="B14" s="25">
        <v>12553.0</v>
      </c>
      <c r="C14" s="62">
        <v>0.1</v>
      </c>
      <c r="D14" s="95">
        <v>0.77</v>
      </c>
      <c r="E14" s="95">
        <v>0.77</v>
      </c>
      <c r="F14" s="229" t="s">
        <v>1656</v>
      </c>
      <c r="I14" s="35" t="s">
        <v>1748</v>
      </c>
      <c r="J14" s="35">
        <v>14337.0</v>
      </c>
      <c r="K14" s="35">
        <v>2345.0</v>
      </c>
      <c r="L14" s="36" t="e">
        <v>#N/A</v>
      </c>
    </row>
    <row r="15">
      <c r="A15" s="25" t="s">
        <v>1750</v>
      </c>
      <c r="B15" s="25">
        <v>499.0</v>
      </c>
      <c r="C15" s="62">
        <v>0.1</v>
      </c>
      <c r="D15" s="95">
        <v>0.77</v>
      </c>
      <c r="E15" s="95">
        <v>0.77</v>
      </c>
      <c r="F15" s="229" t="s">
        <v>1656</v>
      </c>
      <c r="I15" s="35" t="s">
        <v>1750</v>
      </c>
      <c r="J15" s="35">
        <v>986.0</v>
      </c>
      <c r="K15" s="36"/>
      <c r="L15" s="36" t="e">
        <v>#N/A</v>
      </c>
    </row>
    <row r="16">
      <c r="A16" s="25" t="s">
        <v>1751</v>
      </c>
      <c r="B16" s="25">
        <v>14516.0</v>
      </c>
      <c r="C16" s="62">
        <v>0.1</v>
      </c>
      <c r="D16" s="95">
        <v>0.77</v>
      </c>
      <c r="E16" s="95">
        <v>0.77</v>
      </c>
      <c r="F16" s="229" t="s">
        <v>1656</v>
      </c>
      <c r="I16" s="35" t="s">
        <v>1751</v>
      </c>
      <c r="J16" s="35">
        <v>189.0</v>
      </c>
      <c r="K16" s="36"/>
      <c r="L16" s="36" t="e">
        <v>#N/A</v>
      </c>
    </row>
    <row r="17">
      <c r="A17" s="25" t="s">
        <v>1752</v>
      </c>
      <c r="B17" s="16">
        <v>14646.0</v>
      </c>
      <c r="C17" s="62">
        <v>0.1</v>
      </c>
      <c r="D17" s="95">
        <v>0.77</v>
      </c>
      <c r="E17" s="95">
        <v>0.77</v>
      </c>
      <c r="F17" s="229" t="s">
        <v>1656</v>
      </c>
      <c r="I17" s="35" t="s">
        <v>1752</v>
      </c>
      <c r="J17" s="35">
        <v>986.0</v>
      </c>
      <c r="K17" s="36"/>
      <c r="L17" s="36" t="e">
        <v>#N/A</v>
      </c>
    </row>
    <row r="18">
      <c r="A18" s="25" t="s">
        <v>1758</v>
      </c>
      <c r="B18" s="25"/>
      <c r="C18" s="62">
        <v>0.1</v>
      </c>
      <c r="D18" s="95">
        <v>0.77</v>
      </c>
      <c r="E18" s="95">
        <v>0.77</v>
      </c>
      <c r="F18" s="229" t="s">
        <v>1656</v>
      </c>
      <c r="I18" s="35" t="s">
        <v>1758</v>
      </c>
      <c r="J18" s="35">
        <v>2345.0</v>
      </c>
      <c r="K18" s="36"/>
      <c r="L18" s="36" t="e">
        <v>#N/A</v>
      </c>
    </row>
    <row r="19">
      <c r="A19" s="25" t="s">
        <v>1753</v>
      </c>
      <c r="B19" s="16">
        <v>14646.0</v>
      </c>
      <c r="C19" s="62">
        <v>0.1</v>
      </c>
      <c r="D19" s="95">
        <v>0.77</v>
      </c>
      <c r="E19" s="95">
        <v>0.77</v>
      </c>
      <c r="F19" s="229" t="s">
        <v>1656</v>
      </c>
      <c r="I19" s="35" t="s">
        <v>1753</v>
      </c>
      <c r="J19" s="35">
        <v>986.0</v>
      </c>
      <c r="K19" s="36"/>
      <c r="L19" s="36" t="e">
        <v>#N/A</v>
      </c>
    </row>
    <row r="20">
      <c r="A20" s="25" t="s">
        <v>1754</v>
      </c>
      <c r="B20" s="25">
        <v>6668.0</v>
      </c>
      <c r="C20" s="62">
        <v>0.1</v>
      </c>
      <c r="D20" s="95">
        <v>0.77</v>
      </c>
      <c r="E20" s="95">
        <v>0.77</v>
      </c>
      <c r="F20" s="229" t="s">
        <v>1656</v>
      </c>
      <c r="I20" s="35" t="s">
        <v>1754</v>
      </c>
      <c r="J20" s="35">
        <v>2345.0</v>
      </c>
      <c r="K20" s="36"/>
      <c r="L20" s="36" t="e">
        <v>#N/A</v>
      </c>
    </row>
    <row r="21">
      <c r="A21" s="25" t="s">
        <v>1755</v>
      </c>
      <c r="B21" s="25">
        <v>6668.0</v>
      </c>
      <c r="C21" s="62">
        <v>0.1</v>
      </c>
      <c r="D21" s="95">
        <v>0.77</v>
      </c>
      <c r="E21" s="95">
        <v>0.77</v>
      </c>
      <c r="F21" s="229" t="s">
        <v>1656</v>
      </c>
      <c r="I21" s="35" t="s">
        <v>1755</v>
      </c>
      <c r="J21" s="35">
        <v>986.0</v>
      </c>
      <c r="K21" s="36"/>
      <c r="L21" s="36" t="e">
        <v>#N/A</v>
      </c>
    </row>
    <row r="22">
      <c r="A22" s="25" t="s">
        <v>1756</v>
      </c>
      <c r="B22" s="25"/>
      <c r="C22" s="62">
        <v>0.1</v>
      </c>
      <c r="D22" s="95">
        <v>0.77</v>
      </c>
      <c r="E22" s="95">
        <v>0.77</v>
      </c>
      <c r="F22" s="229" t="s">
        <v>1656</v>
      </c>
      <c r="I22" s="35" t="s">
        <v>1756</v>
      </c>
      <c r="J22" s="35">
        <v>2345.0</v>
      </c>
      <c r="K22" s="36"/>
      <c r="L22" s="36" t="e">
        <v>#N/A</v>
      </c>
    </row>
    <row r="23">
      <c r="A23" s="25" t="s">
        <v>1757</v>
      </c>
      <c r="B23" s="25">
        <v>14663.0</v>
      </c>
      <c r="C23" s="62">
        <v>0.1</v>
      </c>
      <c r="D23" s="95">
        <v>0.77</v>
      </c>
      <c r="E23" s="95">
        <v>0.77</v>
      </c>
      <c r="F23" s="229" t="s">
        <v>1656</v>
      </c>
      <c r="I23" s="35" t="s">
        <v>1757</v>
      </c>
      <c r="J23" s="35">
        <v>986.0</v>
      </c>
      <c r="K23" s="36"/>
      <c r="L23" s="36" t="e">
        <v>#N/A</v>
      </c>
    </row>
    <row r="24">
      <c r="A24" s="25" t="s">
        <v>1759</v>
      </c>
      <c r="B24" s="25"/>
      <c r="C24" s="62">
        <v>0.1</v>
      </c>
      <c r="D24" s="95">
        <v>0.77</v>
      </c>
      <c r="E24" s="95">
        <v>0.77</v>
      </c>
      <c r="F24" s="229" t="s">
        <v>1656</v>
      </c>
      <c r="I24" s="35" t="s">
        <v>1759</v>
      </c>
      <c r="J24" s="35">
        <v>6463.0</v>
      </c>
      <c r="K24" s="36"/>
      <c r="L24" s="36" t="e">
        <v>#N/A</v>
      </c>
    </row>
    <row r="25">
      <c r="A25" s="25" t="s">
        <v>1760</v>
      </c>
      <c r="B25" s="25"/>
      <c r="C25" s="62">
        <v>0.1</v>
      </c>
      <c r="D25" s="95">
        <v>0.77</v>
      </c>
      <c r="E25" s="95">
        <v>0.77</v>
      </c>
      <c r="F25" s="229" t="s">
        <v>1656</v>
      </c>
      <c r="I25" s="35" t="s">
        <v>1760</v>
      </c>
      <c r="J25" s="35">
        <v>986.0</v>
      </c>
      <c r="K25" s="36"/>
      <c r="L25" s="36" t="e">
        <v>#N/A</v>
      </c>
    </row>
    <row r="26">
      <c r="A26" s="25" t="s">
        <v>1761</v>
      </c>
      <c r="B26" s="25"/>
      <c r="C26" s="62">
        <v>0.1</v>
      </c>
      <c r="D26" s="95">
        <v>0.77</v>
      </c>
      <c r="E26" s="95">
        <v>0.77</v>
      </c>
      <c r="F26" s="229" t="s">
        <v>1656</v>
      </c>
      <c r="I26" s="35" t="s">
        <v>1761</v>
      </c>
      <c r="J26" s="35">
        <v>2345.0</v>
      </c>
      <c r="K26" s="36"/>
      <c r="L26" s="36" t="e">
        <v>#N/A</v>
      </c>
    </row>
    <row r="27">
      <c r="A27" s="25" t="s">
        <v>1762</v>
      </c>
      <c r="B27" s="25"/>
      <c r="C27" s="62">
        <v>0.1</v>
      </c>
      <c r="D27" s="95">
        <v>0.77</v>
      </c>
      <c r="E27" s="95">
        <v>0.77</v>
      </c>
      <c r="F27" s="229" t="s">
        <v>1656</v>
      </c>
      <c r="I27" s="35" t="s">
        <v>1762</v>
      </c>
      <c r="J27" s="35">
        <v>986.0</v>
      </c>
      <c r="K27" s="36"/>
      <c r="L27" s="36" t="e">
        <v>#N/A</v>
      </c>
    </row>
    <row r="28">
      <c r="A28" s="25" t="s">
        <v>1763</v>
      </c>
      <c r="B28" s="25"/>
      <c r="C28" s="62">
        <v>0.1</v>
      </c>
      <c r="D28" s="95">
        <v>0.77</v>
      </c>
      <c r="E28" s="95">
        <v>0.77</v>
      </c>
      <c r="F28" s="229" t="s">
        <v>1656</v>
      </c>
      <c r="I28" s="35" t="s">
        <v>1763</v>
      </c>
      <c r="J28" s="35">
        <v>2345.0</v>
      </c>
      <c r="K28" s="36"/>
      <c r="L28" s="36" t="e">
        <v>#N/A</v>
      </c>
    </row>
    <row r="29">
      <c r="A29" s="25" t="s">
        <v>1764</v>
      </c>
      <c r="B29" s="25"/>
      <c r="C29" s="62">
        <v>0.1</v>
      </c>
      <c r="D29" s="95">
        <v>0.77</v>
      </c>
      <c r="E29" s="95">
        <v>0.77</v>
      </c>
      <c r="F29" s="229" t="s">
        <v>1656</v>
      </c>
      <c r="I29" s="35" t="s">
        <v>1764</v>
      </c>
      <c r="J29" s="35">
        <v>986.0</v>
      </c>
      <c r="K29" s="36"/>
      <c r="L29" s="36" t="e">
        <v>#N/A</v>
      </c>
    </row>
    <row r="30">
      <c r="A30" s="25" t="s">
        <v>1765</v>
      </c>
      <c r="B30" s="25"/>
      <c r="C30" s="62">
        <v>0.1</v>
      </c>
      <c r="D30" s="95">
        <v>0.77</v>
      </c>
      <c r="E30" s="95">
        <v>0.77</v>
      </c>
      <c r="F30" s="229" t="s">
        <v>1656</v>
      </c>
      <c r="I30" s="35" t="s">
        <v>1765</v>
      </c>
      <c r="J30" s="35">
        <v>2345.0</v>
      </c>
      <c r="K30" s="35" t="s">
        <v>5414</v>
      </c>
      <c r="L30" s="36" t="e">
        <v>#N/A</v>
      </c>
    </row>
    <row r="31">
      <c r="A31" s="25" t="s">
        <v>1766</v>
      </c>
      <c r="B31" s="25"/>
      <c r="C31" s="62">
        <v>0.1</v>
      </c>
      <c r="D31" s="95">
        <v>0.77</v>
      </c>
      <c r="E31" s="95">
        <v>0.77</v>
      </c>
      <c r="F31" s="229" t="s">
        <v>1656</v>
      </c>
      <c r="I31" s="35" t="s">
        <v>1766</v>
      </c>
      <c r="J31" s="35">
        <v>986.0</v>
      </c>
      <c r="K31" s="36"/>
      <c r="L31" s="36" t="e">
        <v>#N/A</v>
      </c>
    </row>
    <row r="32">
      <c r="A32" s="25" t="s">
        <v>1767</v>
      </c>
      <c r="B32" s="25"/>
      <c r="C32" s="62">
        <v>0.1</v>
      </c>
      <c r="D32" s="95">
        <v>0.77</v>
      </c>
      <c r="E32" s="95">
        <v>0.77</v>
      </c>
      <c r="F32" s="229" t="s">
        <v>1656</v>
      </c>
      <c r="I32" s="35" t="s">
        <v>1767</v>
      </c>
      <c r="J32" s="35">
        <v>189.0</v>
      </c>
      <c r="K32" s="36"/>
      <c r="L32" s="36" t="e">
        <v>#N/A</v>
      </c>
    </row>
    <row r="33">
      <c r="A33" s="25" t="s">
        <v>1768</v>
      </c>
      <c r="B33" s="25"/>
      <c r="C33" s="62">
        <v>0.1</v>
      </c>
      <c r="D33" s="95">
        <v>0.77</v>
      </c>
      <c r="E33" s="95">
        <v>0.77</v>
      </c>
      <c r="F33" s="229" t="s">
        <v>1656</v>
      </c>
      <c r="I33" s="35" t="s">
        <v>1768</v>
      </c>
      <c r="J33" s="35">
        <v>189.0</v>
      </c>
      <c r="K33" s="36"/>
      <c r="L33" s="36" t="e">
        <v>#N/A</v>
      </c>
    </row>
    <row r="34">
      <c r="A34" s="25" t="s">
        <v>1769</v>
      </c>
      <c r="B34" s="25">
        <v>14575.0</v>
      </c>
      <c r="C34" s="62">
        <v>0.1</v>
      </c>
      <c r="D34" s="95">
        <v>0.85</v>
      </c>
      <c r="E34" s="95">
        <v>0.85</v>
      </c>
      <c r="F34" s="229" t="s">
        <v>1656</v>
      </c>
      <c r="I34" s="35" t="s">
        <v>1769</v>
      </c>
      <c r="J34" s="35">
        <v>897.0</v>
      </c>
      <c r="K34" s="36"/>
      <c r="L34" s="36" t="e">
        <v>#N/A</v>
      </c>
    </row>
    <row r="35">
      <c r="A35" s="25" t="s">
        <v>1770</v>
      </c>
      <c r="B35" s="25"/>
      <c r="C35" s="62">
        <v>0.1</v>
      </c>
      <c r="D35" s="95">
        <v>0.77</v>
      </c>
      <c r="E35" s="95">
        <v>0.77</v>
      </c>
      <c r="F35" s="229" t="s">
        <v>1656</v>
      </c>
      <c r="I35" s="35" t="s">
        <v>1770</v>
      </c>
      <c r="J35" s="35">
        <v>6697.0</v>
      </c>
      <c r="K35" s="36"/>
      <c r="L35" s="36" t="e">
        <v>#N/A</v>
      </c>
    </row>
    <row r="36">
      <c r="A36" s="25" t="s">
        <v>1771</v>
      </c>
      <c r="B36" s="25"/>
      <c r="C36" s="62">
        <v>0.1</v>
      </c>
      <c r="D36" s="95">
        <v>0.77</v>
      </c>
      <c r="E36" s="95">
        <v>0.77</v>
      </c>
      <c r="F36" s="229" t="s">
        <v>1656</v>
      </c>
      <c r="I36" s="35" t="s">
        <v>1771</v>
      </c>
      <c r="J36" s="35">
        <v>1610.0</v>
      </c>
      <c r="K36" s="36"/>
      <c r="L36" s="36" t="e">
        <v>#N/A</v>
      </c>
    </row>
    <row r="37">
      <c r="A37" s="25" t="s">
        <v>1772</v>
      </c>
      <c r="B37" s="25"/>
      <c r="C37" s="62">
        <v>0.1</v>
      </c>
      <c r="D37" s="95">
        <v>0.77</v>
      </c>
      <c r="E37" s="95">
        <v>0.77</v>
      </c>
      <c r="F37" s="229" t="s">
        <v>1656</v>
      </c>
      <c r="I37" s="35" t="s">
        <v>1772</v>
      </c>
      <c r="J37" s="35">
        <v>189.0</v>
      </c>
      <c r="K37" s="36"/>
      <c r="L37" s="36" t="e">
        <v>#N/A</v>
      </c>
    </row>
    <row r="38">
      <c r="A38" s="25" t="s">
        <v>1773</v>
      </c>
      <c r="B38" s="25"/>
      <c r="C38" s="62">
        <v>0.1</v>
      </c>
      <c r="D38" s="95">
        <v>0.77</v>
      </c>
      <c r="E38" s="95">
        <v>0.77</v>
      </c>
      <c r="F38" s="229" t="s">
        <v>1656</v>
      </c>
      <c r="I38" s="35" t="s">
        <v>1773</v>
      </c>
      <c r="J38" s="35">
        <v>6463.0</v>
      </c>
      <c r="K38" s="36"/>
      <c r="L38" s="36" t="e">
        <v>#N/A</v>
      </c>
    </row>
    <row r="39">
      <c r="A39" s="25" t="s">
        <v>1774</v>
      </c>
      <c r="B39" s="25"/>
      <c r="C39" s="62">
        <v>0.1</v>
      </c>
      <c r="D39" s="95">
        <v>0.77</v>
      </c>
      <c r="E39" s="95">
        <v>0.77</v>
      </c>
      <c r="F39" s="229" t="s">
        <v>1656</v>
      </c>
      <c r="I39" s="35" t="s">
        <v>1774</v>
      </c>
      <c r="J39" s="35">
        <v>6463.0</v>
      </c>
      <c r="K39" s="36"/>
      <c r="L39" s="36" t="e">
        <v>#N/A</v>
      </c>
    </row>
    <row r="40">
      <c r="A40" s="25" t="s">
        <v>1775</v>
      </c>
      <c r="B40" s="25"/>
      <c r="C40" s="62">
        <v>0.1</v>
      </c>
      <c r="D40" s="95">
        <v>0.77</v>
      </c>
      <c r="E40" s="95">
        <v>0.77</v>
      </c>
      <c r="F40" s="229" t="s">
        <v>1656</v>
      </c>
      <c r="I40" s="35" t="s">
        <v>1775</v>
      </c>
      <c r="J40" s="35">
        <v>6727.0</v>
      </c>
      <c r="K40" s="36"/>
      <c r="L40" s="36" t="e">
        <v>#N/A</v>
      </c>
    </row>
    <row r="41">
      <c r="A41" s="25" t="s">
        <v>1776</v>
      </c>
      <c r="B41" s="25"/>
      <c r="C41" s="62">
        <v>0.1</v>
      </c>
      <c r="D41" s="95">
        <v>0.77</v>
      </c>
      <c r="E41" s="95">
        <v>0.77</v>
      </c>
      <c r="F41" s="229" t="s">
        <v>1656</v>
      </c>
      <c r="I41" s="35" t="s">
        <v>1776</v>
      </c>
      <c r="J41" s="35">
        <v>6530.0</v>
      </c>
      <c r="K41" s="36"/>
      <c r="L41" s="36" t="e">
        <v>#N/A</v>
      </c>
    </row>
    <row r="42">
      <c r="A42" s="25" t="s">
        <v>1783</v>
      </c>
      <c r="B42" s="25"/>
      <c r="C42" s="62">
        <v>0.1</v>
      </c>
      <c r="D42" s="95">
        <v>0.77</v>
      </c>
      <c r="E42" s="95">
        <v>0.77</v>
      </c>
      <c r="F42" s="229" t="s">
        <v>1656</v>
      </c>
      <c r="I42" s="35" t="s">
        <v>1783</v>
      </c>
      <c r="J42" s="35">
        <v>6530.0</v>
      </c>
      <c r="K42" s="36"/>
      <c r="L42" s="36" t="e">
        <v>#N/A</v>
      </c>
    </row>
    <row r="43">
      <c r="A43" s="25" t="s">
        <v>1777</v>
      </c>
      <c r="B43" s="25"/>
      <c r="C43" s="62">
        <v>0.1</v>
      </c>
      <c r="D43" s="95">
        <v>0.77</v>
      </c>
      <c r="E43" s="95">
        <v>0.77</v>
      </c>
      <c r="F43" s="229" t="s">
        <v>1656</v>
      </c>
      <c r="I43" s="35" t="s">
        <v>1777</v>
      </c>
      <c r="J43" s="35">
        <v>6710.0</v>
      </c>
      <c r="K43" s="36"/>
      <c r="L43" s="36" t="e">
        <v>#N/A</v>
      </c>
    </row>
    <row r="44">
      <c r="A44" s="25" t="s">
        <v>1778</v>
      </c>
      <c r="B44" s="25"/>
      <c r="C44" s="62">
        <v>0.1</v>
      </c>
      <c r="D44" s="95">
        <v>0.77</v>
      </c>
      <c r="E44" s="95">
        <v>0.77</v>
      </c>
      <c r="F44" s="229" t="s">
        <v>1656</v>
      </c>
      <c r="I44" s="35" t="s">
        <v>1778</v>
      </c>
      <c r="J44" s="35">
        <v>6669.0</v>
      </c>
      <c r="K44" s="36"/>
      <c r="L44" s="36" t="e">
        <v>#N/A</v>
      </c>
    </row>
    <row r="45">
      <c r="A45" s="25" t="s">
        <v>1787</v>
      </c>
      <c r="B45" s="25"/>
      <c r="C45" s="62">
        <v>0.1</v>
      </c>
      <c r="D45" s="95">
        <v>0.77</v>
      </c>
      <c r="E45" s="95">
        <v>0.77</v>
      </c>
      <c r="F45" s="229" t="s">
        <v>1656</v>
      </c>
      <c r="I45" s="35" t="s">
        <v>1787</v>
      </c>
      <c r="J45" s="35">
        <v>6707.0</v>
      </c>
      <c r="K45" s="36"/>
      <c r="L45" s="36" t="e">
        <v>#N/A</v>
      </c>
    </row>
    <row r="46">
      <c r="A46" s="25" t="s">
        <v>1779</v>
      </c>
      <c r="B46" s="25"/>
      <c r="C46" s="62">
        <v>0.1</v>
      </c>
      <c r="D46" s="95">
        <v>0.77</v>
      </c>
      <c r="E46" s="95">
        <v>0.77</v>
      </c>
      <c r="F46" s="229" t="s">
        <v>1656</v>
      </c>
      <c r="I46" s="35" t="s">
        <v>1779</v>
      </c>
      <c r="J46" s="35">
        <v>5125.0</v>
      </c>
      <c r="K46" s="36"/>
      <c r="L46" s="36" t="e">
        <v>#N/A</v>
      </c>
    </row>
    <row r="47">
      <c r="A47" s="25" t="s">
        <v>1780</v>
      </c>
      <c r="B47" s="25">
        <v>6675.0</v>
      </c>
      <c r="C47" s="62">
        <v>0.1</v>
      </c>
      <c r="D47" s="95">
        <v>0.85</v>
      </c>
      <c r="E47" s="95">
        <v>0.85</v>
      </c>
      <c r="F47" s="229" t="s">
        <v>1656</v>
      </c>
      <c r="I47" s="35" t="s">
        <v>1780</v>
      </c>
      <c r="J47" s="35">
        <v>6675.0</v>
      </c>
      <c r="K47" s="36"/>
      <c r="L47" s="36" t="e">
        <v>#N/A</v>
      </c>
    </row>
    <row r="48">
      <c r="A48" s="25" t="s">
        <v>1781</v>
      </c>
      <c r="B48" s="25"/>
      <c r="C48" s="62">
        <v>0.1</v>
      </c>
      <c r="D48" s="95">
        <v>0.77</v>
      </c>
      <c r="E48" s="95">
        <v>0.77</v>
      </c>
      <c r="F48" s="229" t="s">
        <v>1656</v>
      </c>
      <c r="I48" s="35" t="s">
        <v>1781</v>
      </c>
      <c r="J48" s="35">
        <v>6557.0</v>
      </c>
      <c r="K48" s="36"/>
      <c r="L48" s="36" t="e">
        <v>#N/A</v>
      </c>
    </row>
    <row r="49">
      <c r="A49" s="25" t="s">
        <v>1782</v>
      </c>
      <c r="B49" s="25"/>
      <c r="C49" s="62">
        <v>0.1</v>
      </c>
      <c r="D49" s="95">
        <v>0.77</v>
      </c>
      <c r="E49" s="95">
        <v>0.77</v>
      </c>
      <c r="F49" s="229" t="s">
        <v>1656</v>
      </c>
      <c r="I49" s="35" t="s">
        <v>1782</v>
      </c>
      <c r="J49" s="35">
        <v>6557.0</v>
      </c>
      <c r="K49" s="36"/>
      <c r="L49" s="36" t="e">
        <v>#N/A</v>
      </c>
    </row>
    <row r="50">
      <c r="A50" s="25" t="s">
        <v>1784</v>
      </c>
      <c r="B50" s="25">
        <v>6722.0</v>
      </c>
      <c r="C50" s="62">
        <v>0.1</v>
      </c>
      <c r="D50" s="95">
        <v>0.77</v>
      </c>
      <c r="E50" s="95">
        <v>0.77</v>
      </c>
      <c r="F50" s="229" t="s">
        <v>1656</v>
      </c>
      <c r="I50" s="35" t="s">
        <v>1784</v>
      </c>
      <c r="J50" s="35">
        <v>6722.0</v>
      </c>
      <c r="K50" s="36"/>
      <c r="L50" s="36" t="e">
        <v>#N/A</v>
      </c>
    </row>
    <row r="51">
      <c r="A51" s="25" t="s">
        <v>1785</v>
      </c>
      <c r="B51" s="25"/>
      <c r="C51" s="62">
        <v>0.1</v>
      </c>
      <c r="D51" s="95">
        <v>0.77</v>
      </c>
      <c r="E51" s="95">
        <v>0.77</v>
      </c>
      <c r="F51" s="229" t="s">
        <v>1656</v>
      </c>
      <c r="I51" s="35" t="s">
        <v>1785</v>
      </c>
      <c r="J51" s="35">
        <v>3616.0</v>
      </c>
      <c r="K51" s="36"/>
      <c r="L51" s="36" t="e">
        <v>#N/A</v>
      </c>
    </row>
    <row r="52">
      <c r="A52" s="25" t="s">
        <v>5415</v>
      </c>
      <c r="B52" s="25">
        <v>2345.0</v>
      </c>
      <c r="C52" s="62">
        <v>0.1</v>
      </c>
      <c r="D52" s="95">
        <v>0.9</v>
      </c>
      <c r="E52" s="95">
        <v>0.9</v>
      </c>
      <c r="F52" s="229" t="s">
        <v>1656</v>
      </c>
      <c r="I52" s="35" t="s">
        <v>5415</v>
      </c>
      <c r="J52" s="35">
        <v>2345.0</v>
      </c>
      <c r="K52" s="36"/>
      <c r="L52" s="36" t="e">
        <v>#N/A</v>
      </c>
    </row>
    <row r="53">
      <c r="A53" s="25" t="s">
        <v>5416</v>
      </c>
      <c r="B53" s="25"/>
      <c r="C53" s="62">
        <v>0.1</v>
      </c>
      <c r="D53" s="95">
        <v>0.77</v>
      </c>
      <c r="E53" s="95">
        <v>0.77</v>
      </c>
      <c r="F53" s="229" t="s">
        <v>1656</v>
      </c>
      <c r="I53" s="35" t="s">
        <v>5416</v>
      </c>
      <c r="J53" s="35">
        <v>2345.0</v>
      </c>
      <c r="K53" s="36"/>
      <c r="L53" s="36" t="e">
        <v>#N/A</v>
      </c>
    </row>
    <row r="54">
      <c r="A54" s="25" t="s">
        <v>5417</v>
      </c>
      <c r="B54" s="25"/>
      <c r="C54" s="62">
        <v>0.1</v>
      </c>
      <c r="D54" s="95">
        <v>0.77</v>
      </c>
      <c r="E54" s="95">
        <v>0.77</v>
      </c>
      <c r="F54" s="229" t="s">
        <v>1656</v>
      </c>
      <c r="I54" s="35" t="s">
        <v>5417</v>
      </c>
      <c r="J54" s="35">
        <v>2345.0</v>
      </c>
      <c r="K54" s="36"/>
      <c r="L54" s="36" t="e">
        <v>#N/A</v>
      </c>
    </row>
    <row r="55">
      <c r="A55" s="25" t="s">
        <v>5418</v>
      </c>
      <c r="B55" s="25">
        <v>14298.0</v>
      </c>
      <c r="C55" s="62">
        <v>0.1</v>
      </c>
      <c r="D55" s="95">
        <v>0.77</v>
      </c>
      <c r="E55" s="95">
        <v>0.77</v>
      </c>
      <c r="F55" s="229" t="s">
        <v>1656</v>
      </c>
      <c r="I55" s="35" t="s">
        <v>5418</v>
      </c>
      <c r="J55" s="35">
        <v>2345.0</v>
      </c>
      <c r="K55" s="36"/>
      <c r="L55" s="36" t="e">
        <v>#N/A</v>
      </c>
    </row>
    <row r="56">
      <c r="A56" s="25" t="s">
        <v>5419</v>
      </c>
      <c r="B56" s="25">
        <v>6675.0</v>
      </c>
      <c r="C56" s="62">
        <v>0.1</v>
      </c>
      <c r="D56" s="95">
        <v>0.85</v>
      </c>
      <c r="E56" s="95">
        <v>0.85</v>
      </c>
      <c r="F56" s="229" t="s">
        <v>1656</v>
      </c>
      <c r="I56" s="35" t="s">
        <v>5419</v>
      </c>
      <c r="J56" s="35">
        <v>2345.0</v>
      </c>
      <c r="K56" s="36"/>
      <c r="L56" s="36" t="e">
        <v>#N/A</v>
      </c>
    </row>
    <row r="57">
      <c r="A57" s="25" t="s">
        <v>5420</v>
      </c>
      <c r="B57" s="25">
        <v>6675.0</v>
      </c>
      <c r="C57" s="62">
        <v>0.1</v>
      </c>
      <c r="D57" s="95">
        <v>0.85</v>
      </c>
      <c r="E57" s="95">
        <v>0.85</v>
      </c>
      <c r="F57" s="229" t="s">
        <v>1656</v>
      </c>
      <c r="I57" s="35" t="s">
        <v>5420</v>
      </c>
      <c r="J57" s="35">
        <v>2345.0</v>
      </c>
      <c r="K57" s="36"/>
      <c r="L57" s="36" t="e">
        <v>#N/A</v>
      </c>
    </row>
    <row r="58">
      <c r="A58" s="25" t="s">
        <v>5421</v>
      </c>
      <c r="B58" s="25"/>
      <c r="C58" s="62">
        <v>0.1</v>
      </c>
      <c r="D58" s="95">
        <v>0.77</v>
      </c>
      <c r="E58" s="95">
        <v>0.77</v>
      </c>
      <c r="F58" s="229" t="s">
        <v>1656</v>
      </c>
      <c r="I58" s="35" t="s">
        <v>5421</v>
      </c>
      <c r="J58" s="35">
        <v>283.0</v>
      </c>
      <c r="K58" s="36"/>
      <c r="L58" s="36" t="e">
        <v>#N/A</v>
      </c>
    </row>
    <row r="59">
      <c r="A59" s="25" t="s">
        <v>5422</v>
      </c>
      <c r="B59" s="25"/>
      <c r="C59" s="62">
        <v>0.1</v>
      </c>
      <c r="D59" s="95">
        <v>0.77</v>
      </c>
      <c r="E59" s="95">
        <v>0.77</v>
      </c>
      <c r="F59" s="229" t="s">
        <v>1656</v>
      </c>
      <c r="I59" s="35" t="s">
        <v>5422</v>
      </c>
      <c r="J59" s="35">
        <v>663.0</v>
      </c>
      <c r="K59" s="36"/>
      <c r="L59" s="36" t="e">
        <v>#N/A</v>
      </c>
    </row>
    <row r="60">
      <c r="A60" s="25" t="s">
        <v>5423</v>
      </c>
      <c r="B60" s="25"/>
      <c r="C60" s="62">
        <v>0.1</v>
      </c>
      <c r="D60" s="95">
        <v>0.77</v>
      </c>
      <c r="E60" s="95">
        <v>0.77</v>
      </c>
      <c r="F60" s="229" t="s">
        <v>1656</v>
      </c>
      <c r="I60" s="35" t="s">
        <v>5423</v>
      </c>
      <c r="J60" s="35">
        <v>986.0</v>
      </c>
      <c r="K60" s="36"/>
      <c r="L60" s="36" t="e">
        <v>#N/A</v>
      </c>
    </row>
    <row r="61">
      <c r="A61" s="25" t="s">
        <v>5424</v>
      </c>
      <c r="B61" s="25"/>
      <c r="C61" s="62">
        <v>0.1</v>
      </c>
      <c r="D61" s="95">
        <v>0.77</v>
      </c>
      <c r="E61" s="95">
        <v>0.77</v>
      </c>
      <c r="F61" s="229" t="s">
        <v>1656</v>
      </c>
      <c r="I61" s="35" t="s">
        <v>5424</v>
      </c>
      <c r="J61" s="35">
        <v>986.0</v>
      </c>
      <c r="K61" s="36"/>
      <c r="L61" s="36" t="e">
        <v>#N/A</v>
      </c>
    </row>
    <row r="62">
      <c r="A62" s="25" t="s">
        <v>5425</v>
      </c>
      <c r="B62" s="25"/>
      <c r="C62" s="62">
        <v>0.1</v>
      </c>
      <c r="D62" s="95">
        <v>0.77</v>
      </c>
      <c r="E62" s="95">
        <v>0.77</v>
      </c>
      <c r="F62" s="229" t="s">
        <v>1656</v>
      </c>
      <c r="I62" s="35" t="s">
        <v>5425</v>
      </c>
      <c r="J62" s="35">
        <v>986.0</v>
      </c>
      <c r="K62" s="36"/>
      <c r="L62" s="36" t="e">
        <v>#N/A</v>
      </c>
    </row>
    <row r="63">
      <c r="A63" s="25" t="s">
        <v>5426</v>
      </c>
      <c r="B63" s="25"/>
      <c r="C63" s="62">
        <v>0.1</v>
      </c>
      <c r="D63" s="95">
        <v>0.77</v>
      </c>
      <c r="E63" s="95">
        <v>0.77</v>
      </c>
      <c r="F63" s="229" t="s">
        <v>1656</v>
      </c>
      <c r="I63" s="35" t="s">
        <v>5426</v>
      </c>
      <c r="J63" s="35">
        <v>986.0</v>
      </c>
      <c r="K63" s="36"/>
      <c r="L63" s="36" t="e">
        <v>#N/A</v>
      </c>
    </row>
    <row r="64">
      <c r="A64" s="25" t="s">
        <v>5427</v>
      </c>
      <c r="B64" s="25"/>
      <c r="C64" s="62">
        <v>0.1</v>
      </c>
      <c r="D64" s="95">
        <v>0.77</v>
      </c>
      <c r="E64" s="95">
        <v>0.77</v>
      </c>
      <c r="F64" s="229" t="s">
        <v>1656</v>
      </c>
      <c r="I64" s="35" t="s">
        <v>5427</v>
      </c>
      <c r="J64" s="35">
        <v>986.0</v>
      </c>
      <c r="K64" s="36"/>
      <c r="L64" s="36" t="e">
        <v>#N/A</v>
      </c>
    </row>
    <row r="65">
      <c r="A65" s="25" t="s">
        <v>5428</v>
      </c>
      <c r="B65" s="25"/>
      <c r="C65" s="62">
        <v>0.1</v>
      </c>
      <c r="D65" s="95">
        <v>0.77</v>
      </c>
      <c r="E65" s="95">
        <v>0.77</v>
      </c>
      <c r="F65" s="229" t="s">
        <v>1656</v>
      </c>
      <c r="I65" s="35" t="s">
        <v>5428</v>
      </c>
      <c r="J65" s="35">
        <v>6732.0</v>
      </c>
      <c r="K65" s="36"/>
      <c r="L65" s="36" t="e">
        <v>#N/A</v>
      </c>
    </row>
    <row r="66">
      <c r="A66" s="25" t="s">
        <v>5429</v>
      </c>
      <c r="B66" s="25"/>
      <c r="C66" s="62">
        <v>0.1</v>
      </c>
      <c r="D66" s="95">
        <v>0.77</v>
      </c>
      <c r="E66" s="95">
        <v>0.77</v>
      </c>
      <c r="F66" s="229" t="s">
        <v>1656</v>
      </c>
      <c r="I66" s="35" t="s">
        <v>5429</v>
      </c>
      <c r="J66" s="35">
        <v>6732.0</v>
      </c>
      <c r="K66" s="36"/>
      <c r="L66" s="36" t="e">
        <v>#N/A</v>
      </c>
    </row>
    <row r="67">
      <c r="A67" s="25" t="s">
        <v>5430</v>
      </c>
      <c r="B67" s="25"/>
      <c r="C67" s="62">
        <v>0.1</v>
      </c>
      <c r="D67" s="95">
        <v>0.77</v>
      </c>
      <c r="E67" s="95">
        <v>0.77</v>
      </c>
      <c r="F67" s="229" t="s">
        <v>1656</v>
      </c>
      <c r="I67" s="35" t="s">
        <v>5430</v>
      </c>
      <c r="J67" s="35">
        <v>6732.0</v>
      </c>
      <c r="K67" s="36"/>
      <c r="L67" s="36" t="e">
        <v>#N/A</v>
      </c>
    </row>
    <row r="68">
      <c r="A68" s="25" t="s">
        <v>5431</v>
      </c>
      <c r="B68" s="25"/>
      <c r="C68" s="62">
        <v>0.1</v>
      </c>
      <c r="D68" s="95">
        <v>0.77</v>
      </c>
      <c r="E68" s="95">
        <v>0.77</v>
      </c>
      <c r="F68" s="229" t="s">
        <v>1656</v>
      </c>
      <c r="I68" s="35" t="s">
        <v>5431</v>
      </c>
      <c r="J68" s="35">
        <v>6732.0</v>
      </c>
      <c r="K68" s="36"/>
      <c r="L68" s="36" t="e">
        <v>#N/A</v>
      </c>
    </row>
    <row r="69">
      <c r="A69" s="25" t="s">
        <v>5432</v>
      </c>
      <c r="B69" s="25"/>
      <c r="C69" s="62">
        <v>0.1</v>
      </c>
      <c r="D69" s="95">
        <v>0.77</v>
      </c>
      <c r="E69" s="95">
        <v>0.77</v>
      </c>
      <c r="F69" s="229" t="s">
        <v>1656</v>
      </c>
      <c r="I69" s="35" t="s">
        <v>5432</v>
      </c>
      <c r="J69" s="35">
        <v>6732.0</v>
      </c>
      <c r="K69" s="36"/>
      <c r="L69" s="36" t="e">
        <v>#N/A</v>
      </c>
    </row>
    <row r="70">
      <c r="A70" s="25" t="s">
        <v>5433</v>
      </c>
      <c r="B70" s="25"/>
      <c r="C70" s="62">
        <v>0.1</v>
      </c>
      <c r="D70" s="95">
        <v>0.77</v>
      </c>
      <c r="E70" s="95">
        <v>0.77</v>
      </c>
      <c r="F70" s="229" t="s">
        <v>1656</v>
      </c>
      <c r="I70" s="35" t="s">
        <v>5433</v>
      </c>
      <c r="J70" s="35">
        <v>6732.0</v>
      </c>
      <c r="K70" s="36"/>
      <c r="L70" s="36" t="e">
        <v>#N/A</v>
      </c>
    </row>
    <row r="71">
      <c r="A71" s="25" t="s">
        <v>5434</v>
      </c>
      <c r="B71" s="25"/>
      <c r="C71" s="62">
        <v>0.1</v>
      </c>
      <c r="D71" s="95">
        <v>0.77</v>
      </c>
      <c r="E71" s="95">
        <v>0.77</v>
      </c>
      <c r="F71" s="229" t="s">
        <v>1656</v>
      </c>
      <c r="I71" s="35" t="s">
        <v>5434</v>
      </c>
      <c r="J71" s="35">
        <v>6732.0</v>
      </c>
      <c r="K71" s="36"/>
      <c r="L71" s="36" t="e">
        <v>#N/A</v>
      </c>
    </row>
    <row r="72">
      <c r="A72" s="25" t="s">
        <v>5435</v>
      </c>
      <c r="B72" s="25"/>
      <c r="C72" s="62">
        <v>0.1</v>
      </c>
      <c r="D72" s="95">
        <v>0.77</v>
      </c>
      <c r="E72" s="95">
        <v>0.77</v>
      </c>
      <c r="F72" s="229" t="s">
        <v>1656</v>
      </c>
      <c r="I72" s="37" t="s">
        <v>5435</v>
      </c>
      <c r="J72" s="37">
        <v>669.0</v>
      </c>
      <c r="K72" s="37">
        <v>283.0</v>
      </c>
      <c r="L72" s="45">
        <v>1.0</v>
      </c>
    </row>
    <row r="73">
      <c r="A73" s="25" t="s">
        <v>5436</v>
      </c>
      <c r="B73" s="25"/>
      <c r="C73" s="62">
        <v>0.1</v>
      </c>
      <c r="D73" s="95">
        <v>0.77</v>
      </c>
      <c r="E73" s="95">
        <v>0.77</v>
      </c>
      <c r="F73" s="229" t="s">
        <v>1656</v>
      </c>
      <c r="I73" s="35" t="s">
        <v>5436</v>
      </c>
      <c r="J73" s="35">
        <v>669.0</v>
      </c>
      <c r="K73" s="35">
        <v>283.0</v>
      </c>
      <c r="L73" s="36" t="e">
        <v>#N/A</v>
      </c>
    </row>
    <row r="74">
      <c r="A74" s="25" t="s">
        <v>5437</v>
      </c>
      <c r="B74" s="25"/>
      <c r="C74" s="62">
        <v>0.1</v>
      </c>
      <c r="D74" s="95">
        <v>0.77</v>
      </c>
      <c r="E74" s="95">
        <v>0.77</v>
      </c>
      <c r="F74" s="229" t="s">
        <v>1656</v>
      </c>
      <c r="I74" s="35" t="s">
        <v>5437</v>
      </c>
      <c r="J74" s="35">
        <v>669.0</v>
      </c>
      <c r="K74" s="35">
        <v>283.0</v>
      </c>
      <c r="L74" s="36" t="e">
        <v>#N/A</v>
      </c>
    </row>
    <row r="75">
      <c r="A75" s="25" t="s">
        <v>5438</v>
      </c>
      <c r="B75" s="25">
        <v>5125.0</v>
      </c>
      <c r="C75" s="62">
        <v>0.1</v>
      </c>
      <c r="D75" s="95">
        <v>0.77</v>
      </c>
      <c r="E75" s="95">
        <v>0.77</v>
      </c>
      <c r="F75" s="229" t="s">
        <v>1656</v>
      </c>
      <c r="I75" s="37" t="s">
        <v>5438</v>
      </c>
      <c r="J75" s="37">
        <v>5125.0</v>
      </c>
      <c r="K75" s="45"/>
      <c r="L75" s="45">
        <v>1.0</v>
      </c>
    </row>
    <row r="76">
      <c r="A76" s="25" t="s">
        <v>5439</v>
      </c>
      <c r="B76" s="25">
        <v>2345.0</v>
      </c>
      <c r="C76" s="62">
        <v>0.1</v>
      </c>
      <c r="D76" s="95">
        <v>0.9</v>
      </c>
      <c r="E76" s="95">
        <v>0.9</v>
      </c>
      <c r="F76" s="229" t="s">
        <v>1656</v>
      </c>
      <c r="I76" s="37" t="s">
        <v>5439</v>
      </c>
      <c r="J76" s="37">
        <v>2345.0</v>
      </c>
      <c r="K76" s="45"/>
      <c r="L76" s="45">
        <v>1.0</v>
      </c>
    </row>
    <row r="77">
      <c r="A77" s="25" t="s">
        <v>5440</v>
      </c>
      <c r="B77" s="25">
        <v>2345.0</v>
      </c>
      <c r="C77" s="62">
        <v>0.1</v>
      </c>
      <c r="D77" s="95">
        <v>0.9</v>
      </c>
      <c r="E77" s="95">
        <v>0.9</v>
      </c>
      <c r="F77" s="229" t="s">
        <v>1656</v>
      </c>
      <c r="I77" s="37" t="s">
        <v>5440</v>
      </c>
      <c r="J77" s="37">
        <v>2345.0</v>
      </c>
      <c r="K77" s="45"/>
      <c r="L77" s="45">
        <v>1.0</v>
      </c>
    </row>
    <row r="78">
      <c r="A78" s="25" t="s">
        <v>5441</v>
      </c>
      <c r="B78" s="25"/>
      <c r="C78" s="62">
        <v>0.1</v>
      </c>
      <c r="D78" s="95">
        <v>0.77</v>
      </c>
      <c r="E78" s="95">
        <v>0.77</v>
      </c>
      <c r="F78" s="229" t="s">
        <v>1656</v>
      </c>
      <c r="I78" s="35" t="s">
        <v>5441</v>
      </c>
      <c r="J78" s="35">
        <v>2345.0</v>
      </c>
      <c r="K78" s="36"/>
      <c r="L78" s="36" t="e">
        <v>#N/A</v>
      </c>
    </row>
    <row r="79">
      <c r="A79" s="25" t="s">
        <v>5442</v>
      </c>
      <c r="B79" s="25"/>
      <c r="C79" s="62">
        <v>0.1</v>
      </c>
      <c r="D79" s="95">
        <v>0.77</v>
      </c>
      <c r="E79" s="95">
        <v>0.77</v>
      </c>
      <c r="F79" s="229" t="s">
        <v>1656</v>
      </c>
      <c r="I79" s="35" t="s">
        <v>5442</v>
      </c>
      <c r="J79" s="35">
        <v>2345.0</v>
      </c>
      <c r="K79" s="36"/>
      <c r="L79" s="36" t="e">
        <v>#N/A</v>
      </c>
    </row>
    <row r="80">
      <c r="A80" s="25" t="s">
        <v>5443</v>
      </c>
      <c r="B80" s="25">
        <v>6779.0</v>
      </c>
      <c r="C80" s="62">
        <v>0.1</v>
      </c>
      <c r="D80" s="95">
        <v>0.77</v>
      </c>
      <c r="E80" s="95">
        <v>0.77</v>
      </c>
      <c r="F80" s="229" t="s">
        <v>1656</v>
      </c>
      <c r="I80" s="35" t="s">
        <v>5443</v>
      </c>
      <c r="J80" s="35">
        <v>14248.0</v>
      </c>
      <c r="K80" s="35">
        <v>2345.0</v>
      </c>
      <c r="L80" s="36" t="e">
        <v>#N/A</v>
      </c>
    </row>
    <row r="81">
      <c r="A81" s="25" t="s">
        <v>1823</v>
      </c>
      <c r="B81" s="25"/>
      <c r="C81" s="62">
        <v>0.1</v>
      </c>
      <c r="D81" s="95">
        <v>0.77</v>
      </c>
      <c r="E81" s="95">
        <v>0.77</v>
      </c>
      <c r="F81" s="229" t="s">
        <v>1656</v>
      </c>
      <c r="I81" s="35" t="s">
        <v>1823</v>
      </c>
      <c r="J81" s="35">
        <v>189.0</v>
      </c>
      <c r="K81" s="36"/>
      <c r="L81" s="36" t="e">
        <v>#N/A</v>
      </c>
    </row>
    <row r="82">
      <c r="A82" s="25" t="s">
        <v>1808</v>
      </c>
      <c r="B82" s="25"/>
      <c r="C82" s="62">
        <v>0.1</v>
      </c>
      <c r="D82" s="95">
        <v>0.77</v>
      </c>
      <c r="E82" s="95">
        <v>0.77</v>
      </c>
      <c r="F82" s="229" t="s">
        <v>1656</v>
      </c>
      <c r="I82" s="35" t="s">
        <v>1808</v>
      </c>
      <c r="J82" s="35">
        <v>189.0</v>
      </c>
      <c r="K82" s="36"/>
      <c r="L82" s="36" t="e">
        <v>#N/A</v>
      </c>
    </row>
    <row r="83">
      <c r="A83" s="25" t="s">
        <v>1809</v>
      </c>
      <c r="B83" s="25"/>
      <c r="C83" s="62">
        <v>0.1</v>
      </c>
      <c r="D83" s="95">
        <v>0.77</v>
      </c>
      <c r="E83" s="95">
        <v>0.77</v>
      </c>
      <c r="F83" s="229" t="s">
        <v>1656</v>
      </c>
      <c r="I83" s="35" t="s">
        <v>1809</v>
      </c>
      <c r="J83" s="35">
        <v>189.0</v>
      </c>
      <c r="K83" s="36"/>
      <c r="L83" s="36" t="e">
        <v>#N/A</v>
      </c>
    </row>
    <row r="84">
      <c r="A84" s="25" t="s">
        <v>1810</v>
      </c>
      <c r="B84" s="25"/>
      <c r="C84" s="62">
        <v>0.1</v>
      </c>
      <c r="D84" s="95">
        <v>0.77</v>
      </c>
      <c r="E84" s="95">
        <v>0.77</v>
      </c>
      <c r="F84" s="229" t="s">
        <v>1656</v>
      </c>
      <c r="I84" s="35" t="s">
        <v>1810</v>
      </c>
      <c r="J84" s="35">
        <v>6132.0</v>
      </c>
      <c r="K84" s="36"/>
      <c r="L84" s="36" t="e">
        <v>#N/A</v>
      </c>
    </row>
    <row r="85">
      <c r="A85" s="25" t="s">
        <v>1812</v>
      </c>
      <c r="B85" s="25">
        <v>189.0</v>
      </c>
      <c r="C85" s="62">
        <v>0.1</v>
      </c>
      <c r="D85" s="95">
        <v>0.85</v>
      </c>
      <c r="E85" s="95">
        <v>0.85</v>
      </c>
      <c r="F85" s="229" t="s">
        <v>1656</v>
      </c>
      <c r="I85" s="37" t="s">
        <v>1812</v>
      </c>
      <c r="J85" s="37">
        <v>189.0</v>
      </c>
      <c r="K85" s="45"/>
      <c r="L85" s="45">
        <v>1.0</v>
      </c>
    </row>
    <row r="86">
      <c r="A86" s="25" t="s">
        <v>1813</v>
      </c>
      <c r="B86" s="25">
        <v>189.0</v>
      </c>
      <c r="C86" s="62">
        <v>0.1</v>
      </c>
      <c r="D86" s="95">
        <v>0.85</v>
      </c>
      <c r="E86" s="95">
        <v>0.85</v>
      </c>
      <c r="F86" s="229" t="s">
        <v>1656</v>
      </c>
      <c r="I86" s="37" t="s">
        <v>1813</v>
      </c>
      <c r="J86" s="37">
        <v>189.0</v>
      </c>
      <c r="K86" s="45"/>
      <c r="L86" s="45">
        <v>1.0</v>
      </c>
    </row>
    <row r="87">
      <c r="A87" s="25" t="s">
        <v>1830</v>
      </c>
      <c r="B87" s="25"/>
      <c r="C87" s="62">
        <v>0.1</v>
      </c>
      <c r="D87" s="95">
        <v>0.77</v>
      </c>
      <c r="E87" s="95">
        <v>0.77</v>
      </c>
      <c r="F87" s="229" t="s">
        <v>1656</v>
      </c>
      <c r="I87" s="35" t="s">
        <v>1830</v>
      </c>
      <c r="J87" s="35">
        <v>189.0</v>
      </c>
      <c r="K87" s="36"/>
      <c r="L87" s="36" t="e">
        <v>#N/A</v>
      </c>
    </row>
    <row r="88">
      <c r="A88" s="25" t="s">
        <v>1814</v>
      </c>
      <c r="B88" s="25"/>
      <c r="C88" s="62">
        <v>0.1</v>
      </c>
      <c r="D88" s="95">
        <v>0.77</v>
      </c>
      <c r="E88" s="95">
        <v>0.77</v>
      </c>
      <c r="F88" s="229" t="s">
        <v>1656</v>
      </c>
      <c r="I88" s="35" t="s">
        <v>1814</v>
      </c>
      <c r="J88" s="35">
        <v>189.0</v>
      </c>
      <c r="K88" s="36"/>
      <c r="L88" s="36" t="e">
        <v>#N/A</v>
      </c>
    </row>
    <row r="89">
      <c r="A89" s="25" t="s">
        <v>1815</v>
      </c>
      <c r="B89" s="25">
        <v>14535.0</v>
      </c>
      <c r="C89" s="62">
        <v>0.1</v>
      </c>
      <c r="D89" s="95">
        <v>0.77</v>
      </c>
      <c r="E89" s="95">
        <v>0.77</v>
      </c>
      <c r="F89" s="229" t="s">
        <v>1656</v>
      </c>
      <c r="I89" s="35" t="s">
        <v>1815</v>
      </c>
      <c r="J89" s="35">
        <v>189.0</v>
      </c>
      <c r="K89" s="36"/>
      <c r="L89" s="36" t="e">
        <v>#N/A</v>
      </c>
    </row>
    <row r="90">
      <c r="A90" s="25" t="s">
        <v>1816</v>
      </c>
      <c r="B90" s="25">
        <v>189.0</v>
      </c>
      <c r="C90" s="62">
        <v>0.1</v>
      </c>
      <c r="D90" s="95">
        <v>0.85</v>
      </c>
      <c r="E90" s="95">
        <v>0.85</v>
      </c>
      <c r="F90" s="229" t="s">
        <v>1656</v>
      </c>
      <c r="I90" s="35" t="s">
        <v>1816</v>
      </c>
      <c r="J90" s="35">
        <v>189.0</v>
      </c>
      <c r="K90" s="36"/>
      <c r="L90" s="36" t="e">
        <v>#N/A</v>
      </c>
    </row>
    <row r="91">
      <c r="A91" s="25" t="s">
        <v>1817</v>
      </c>
      <c r="B91" s="25"/>
      <c r="C91" s="62">
        <v>0.1</v>
      </c>
      <c r="D91" s="95">
        <v>0.77</v>
      </c>
      <c r="E91" s="95">
        <v>0.77</v>
      </c>
      <c r="F91" s="229" t="s">
        <v>1656</v>
      </c>
      <c r="I91" s="35" t="s">
        <v>1817</v>
      </c>
      <c r="J91" s="35">
        <v>189.0</v>
      </c>
      <c r="K91" s="36"/>
      <c r="L91" s="36" t="e">
        <v>#N/A</v>
      </c>
    </row>
    <row r="92">
      <c r="A92" s="25" t="s">
        <v>1818</v>
      </c>
      <c r="B92" s="25"/>
      <c r="C92" s="62">
        <v>0.1</v>
      </c>
      <c r="D92" s="95">
        <v>0.77</v>
      </c>
      <c r="E92" s="95">
        <v>0.77</v>
      </c>
      <c r="F92" s="229" t="s">
        <v>1656</v>
      </c>
      <c r="I92" s="35" t="s">
        <v>1818</v>
      </c>
      <c r="J92" s="35">
        <v>5389.0</v>
      </c>
      <c r="K92" s="36"/>
      <c r="L92" s="36" t="e">
        <v>#N/A</v>
      </c>
    </row>
    <row r="93">
      <c r="A93" s="25" t="s">
        <v>1819</v>
      </c>
      <c r="B93" s="25">
        <v>6802.0</v>
      </c>
      <c r="C93" s="62">
        <v>0.1</v>
      </c>
      <c r="D93" s="95">
        <v>0.77</v>
      </c>
      <c r="E93" s="95">
        <v>0.77</v>
      </c>
      <c r="F93" s="229" t="s">
        <v>1656</v>
      </c>
      <c r="I93" s="37" t="s">
        <v>1819</v>
      </c>
      <c r="J93" s="37">
        <v>6802.0</v>
      </c>
      <c r="K93" s="45"/>
      <c r="L93" s="45">
        <v>1.0</v>
      </c>
    </row>
    <row r="94">
      <c r="A94" s="25" t="s">
        <v>1820</v>
      </c>
      <c r="B94" s="25"/>
      <c r="C94" s="62">
        <v>0.1</v>
      </c>
      <c r="D94" s="95">
        <v>0.77</v>
      </c>
      <c r="E94" s="95">
        <v>0.77</v>
      </c>
      <c r="F94" s="229" t="s">
        <v>1656</v>
      </c>
      <c r="I94" s="35" t="s">
        <v>1820</v>
      </c>
      <c r="J94" s="35">
        <v>6671.0</v>
      </c>
      <c r="K94" s="36"/>
      <c r="L94" s="36" t="e">
        <v>#N/A</v>
      </c>
    </row>
    <row r="95">
      <c r="A95" s="25" t="s">
        <v>1821</v>
      </c>
      <c r="B95" s="25"/>
      <c r="C95" s="62">
        <v>0.1</v>
      </c>
      <c r="D95" s="95">
        <v>0.77</v>
      </c>
      <c r="E95" s="95">
        <v>0.77</v>
      </c>
      <c r="F95" s="229" t="s">
        <v>1656</v>
      </c>
      <c r="I95" s="35" t="s">
        <v>1821</v>
      </c>
      <c r="J95" s="35">
        <v>2345.0</v>
      </c>
      <c r="K95" s="36"/>
      <c r="L95" s="36" t="e">
        <v>#N/A</v>
      </c>
    </row>
    <row r="96">
      <c r="A96" s="25" t="s">
        <v>1840</v>
      </c>
      <c r="B96" s="25"/>
      <c r="C96" s="62">
        <v>0.1</v>
      </c>
      <c r="D96" s="95">
        <v>0.77</v>
      </c>
      <c r="E96" s="95">
        <v>0.77</v>
      </c>
      <c r="F96" s="229" t="s">
        <v>1656</v>
      </c>
      <c r="I96" s="35" t="s">
        <v>1840</v>
      </c>
      <c r="J96" s="35">
        <v>2345.0</v>
      </c>
      <c r="K96" s="36"/>
      <c r="L96" s="36" t="e">
        <v>#N/A</v>
      </c>
    </row>
    <row r="97">
      <c r="A97" s="25" t="s">
        <v>1822</v>
      </c>
      <c r="B97" s="25"/>
      <c r="C97" s="62">
        <v>0.1</v>
      </c>
      <c r="D97" s="95">
        <v>0.77</v>
      </c>
      <c r="E97" s="95">
        <v>0.77</v>
      </c>
      <c r="F97" s="229" t="s">
        <v>1656</v>
      </c>
      <c r="I97" s="35" t="s">
        <v>1822</v>
      </c>
      <c r="J97" s="35">
        <v>2345.0</v>
      </c>
      <c r="K97" s="36"/>
      <c r="L97" s="36" t="e">
        <v>#N/A</v>
      </c>
    </row>
    <row r="98">
      <c r="A98" s="25" t="s">
        <v>1824</v>
      </c>
      <c r="B98" s="25"/>
      <c r="C98" s="62">
        <v>0.1</v>
      </c>
      <c r="D98" s="95">
        <v>0.77</v>
      </c>
      <c r="E98" s="95">
        <v>0.77</v>
      </c>
      <c r="F98" s="229" t="s">
        <v>1656</v>
      </c>
      <c r="I98" s="35" t="s">
        <v>1824</v>
      </c>
      <c r="J98" s="35">
        <v>6671.0</v>
      </c>
      <c r="K98" s="36"/>
      <c r="L98" s="36" t="e">
        <v>#N/A</v>
      </c>
    </row>
    <row r="99">
      <c r="A99" s="25" t="s">
        <v>1825</v>
      </c>
      <c r="B99" s="25">
        <v>7100.0</v>
      </c>
      <c r="C99" s="62">
        <v>0.1</v>
      </c>
      <c r="D99" s="95">
        <v>0.77</v>
      </c>
      <c r="E99" s="95">
        <v>0.77</v>
      </c>
      <c r="F99" s="229" t="s">
        <v>1656</v>
      </c>
      <c r="I99" s="37" t="s">
        <v>1825</v>
      </c>
      <c r="J99" s="37">
        <v>7100.0</v>
      </c>
      <c r="K99" s="37">
        <v>6779.0</v>
      </c>
      <c r="L99" s="45">
        <v>1.0</v>
      </c>
    </row>
    <row r="100">
      <c r="A100" s="25" t="s">
        <v>1826</v>
      </c>
      <c r="B100" s="25"/>
      <c r="C100" s="62">
        <v>0.1</v>
      </c>
      <c r="D100" s="95">
        <v>0.77</v>
      </c>
      <c r="E100" s="95">
        <v>0.77</v>
      </c>
      <c r="F100" s="229" t="s">
        <v>1656</v>
      </c>
      <c r="I100" s="35" t="s">
        <v>1826</v>
      </c>
      <c r="J100" s="35">
        <v>6107.0</v>
      </c>
      <c r="K100" s="36"/>
      <c r="L100" s="36" t="e">
        <v>#N/A</v>
      </c>
    </row>
    <row r="101">
      <c r="A101" s="25" t="s">
        <v>1827</v>
      </c>
      <c r="B101" s="25"/>
      <c r="C101" s="62">
        <v>0.1</v>
      </c>
      <c r="D101" s="95">
        <v>0.77</v>
      </c>
      <c r="E101" s="95">
        <v>0.77</v>
      </c>
      <c r="F101" s="229" t="s">
        <v>1656</v>
      </c>
      <c r="I101" s="35" t="s">
        <v>1827</v>
      </c>
      <c r="J101" s="35">
        <v>6107.0</v>
      </c>
      <c r="K101" s="36"/>
      <c r="L101" s="36" t="e">
        <v>#N/A</v>
      </c>
    </row>
    <row r="102">
      <c r="A102" s="25" t="s">
        <v>1828</v>
      </c>
      <c r="B102" s="25"/>
      <c r="C102" s="62">
        <v>0.1</v>
      </c>
      <c r="D102" s="95">
        <v>0.77</v>
      </c>
      <c r="E102" s="95">
        <v>0.77</v>
      </c>
      <c r="F102" s="229" t="s">
        <v>1656</v>
      </c>
      <c r="I102" s="35" t="s">
        <v>1828</v>
      </c>
      <c r="J102" s="35">
        <v>6788.0</v>
      </c>
      <c r="K102" s="36"/>
      <c r="L102" s="36" t="e">
        <v>#N/A</v>
      </c>
    </row>
    <row r="103">
      <c r="A103" s="25" t="s">
        <v>1829</v>
      </c>
      <c r="B103" s="25"/>
      <c r="C103" s="62">
        <v>0.1</v>
      </c>
      <c r="D103" s="95">
        <v>0.77</v>
      </c>
      <c r="E103" s="95">
        <v>0.77</v>
      </c>
      <c r="F103" s="229" t="s">
        <v>1656</v>
      </c>
      <c r="I103" s="35" t="s">
        <v>1829</v>
      </c>
      <c r="J103" s="35">
        <v>6772.0</v>
      </c>
      <c r="K103" s="36"/>
      <c r="L103" s="36" t="e">
        <v>#N/A</v>
      </c>
    </row>
    <row r="104">
      <c r="A104" s="25" t="s">
        <v>1831</v>
      </c>
      <c r="B104" s="25">
        <v>12932.0</v>
      </c>
      <c r="C104" s="62">
        <v>0.1</v>
      </c>
      <c r="D104" s="95">
        <v>0.77</v>
      </c>
      <c r="E104" s="95">
        <v>0.77</v>
      </c>
      <c r="F104" s="229" t="s">
        <v>1656</v>
      </c>
      <c r="I104" s="35" t="s">
        <v>1831</v>
      </c>
      <c r="J104" s="35">
        <v>6671.0</v>
      </c>
      <c r="K104" s="36"/>
      <c r="L104" s="36" t="e">
        <v>#N/A</v>
      </c>
    </row>
    <row r="105">
      <c r="A105" s="25" t="s">
        <v>1832</v>
      </c>
      <c r="B105" s="25">
        <v>5458.0</v>
      </c>
      <c r="C105" s="62">
        <v>0.1</v>
      </c>
      <c r="D105" s="95">
        <v>0.77</v>
      </c>
      <c r="E105" s="95">
        <v>0.77</v>
      </c>
      <c r="F105" s="229" t="s">
        <v>1656</v>
      </c>
      <c r="I105" s="37" t="s">
        <v>1832</v>
      </c>
      <c r="J105" s="37">
        <v>5458.0</v>
      </c>
      <c r="K105" s="45"/>
      <c r="L105" s="45">
        <v>1.0</v>
      </c>
    </row>
    <row r="106">
      <c r="A106" s="25" t="s">
        <v>1833</v>
      </c>
      <c r="B106" s="25"/>
      <c r="C106" s="62">
        <v>0.1</v>
      </c>
      <c r="D106" s="95">
        <v>0.77</v>
      </c>
      <c r="E106" s="95">
        <v>0.77</v>
      </c>
      <c r="F106" s="229" t="s">
        <v>1656</v>
      </c>
      <c r="I106" s="35" t="s">
        <v>1833</v>
      </c>
      <c r="J106" s="35">
        <v>6803.0</v>
      </c>
      <c r="K106" s="36"/>
      <c r="L106" s="36" t="e">
        <v>#N/A</v>
      </c>
    </row>
    <row r="107">
      <c r="A107" s="25" t="s">
        <v>1834</v>
      </c>
      <c r="B107" s="25"/>
      <c r="C107" s="62">
        <v>0.1</v>
      </c>
      <c r="D107" s="95">
        <v>0.77</v>
      </c>
      <c r="E107" s="95">
        <v>0.77</v>
      </c>
      <c r="F107" s="229" t="s">
        <v>1656</v>
      </c>
      <c r="I107" s="35" t="s">
        <v>1834</v>
      </c>
      <c r="J107" s="35">
        <v>6671.0</v>
      </c>
      <c r="K107" s="36"/>
      <c r="L107" s="36" t="e">
        <v>#N/A</v>
      </c>
    </row>
    <row r="108">
      <c r="A108" s="25" t="s">
        <v>1853</v>
      </c>
      <c r="B108" s="25"/>
      <c r="C108" s="62">
        <v>0.1</v>
      </c>
      <c r="D108" s="95">
        <v>0.77</v>
      </c>
      <c r="E108" s="95">
        <v>0.77</v>
      </c>
      <c r="F108" s="229" t="s">
        <v>1656</v>
      </c>
      <c r="I108" s="35" t="s">
        <v>1853</v>
      </c>
      <c r="J108" s="35">
        <v>6732.0</v>
      </c>
      <c r="K108" s="36"/>
      <c r="L108" s="36" t="e">
        <v>#N/A</v>
      </c>
    </row>
    <row r="109">
      <c r="A109" s="25" t="s">
        <v>1835</v>
      </c>
      <c r="B109" s="25"/>
      <c r="C109" s="62">
        <v>0.1</v>
      </c>
      <c r="D109" s="95">
        <v>0.77</v>
      </c>
      <c r="E109" s="95">
        <v>0.77</v>
      </c>
      <c r="F109" s="229" t="s">
        <v>1656</v>
      </c>
      <c r="I109" s="35" t="s">
        <v>1835</v>
      </c>
      <c r="J109" s="35">
        <v>6732.0</v>
      </c>
      <c r="K109" s="36"/>
      <c r="L109" s="36" t="e">
        <v>#N/A</v>
      </c>
    </row>
    <row r="110">
      <c r="A110" s="25" t="s">
        <v>1856</v>
      </c>
      <c r="B110" s="25"/>
      <c r="C110" s="62">
        <v>0.1</v>
      </c>
      <c r="D110" s="95">
        <v>0.77</v>
      </c>
      <c r="E110" s="95">
        <v>0.77</v>
      </c>
      <c r="F110" s="229" t="s">
        <v>1656</v>
      </c>
      <c r="I110" s="35" t="s">
        <v>1856</v>
      </c>
      <c r="J110" s="35">
        <v>6732.0</v>
      </c>
      <c r="K110" s="36"/>
      <c r="L110" s="36" t="e">
        <v>#N/A</v>
      </c>
    </row>
    <row r="111">
      <c r="A111" s="25" t="s">
        <v>5444</v>
      </c>
      <c r="B111" s="25"/>
      <c r="C111" s="62">
        <v>0.1</v>
      </c>
      <c r="D111" s="95">
        <v>0.77</v>
      </c>
      <c r="E111" s="95">
        <v>0.77</v>
      </c>
      <c r="F111" s="229" t="s">
        <v>1656</v>
      </c>
      <c r="I111" s="35" t="s">
        <v>5444</v>
      </c>
      <c r="J111" s="35">
        <v>2345.0</v>
      </c>
      <c r="K111" s="36"/>
      <c r="L111" s="36" t="e">
        <v>#N/A</v>
      </c>
    </row>
    <row r="112">
      <c r="A112" s="25" t="s">
        <v>5445</v>
      </c>
      <c r="B112" s="25"/>
      <c r="C112" s="62">
        <v>0.1</v>
      </c>
      <c r="D112" s="95">
        <v>0.77</v>
      </c>
      <c r="E112" s="95">
        <v>0.77</v>
      </c>
      <c r="F112" s="229" t="s">
        <v>1656</v>
      </c>
      <c r="I112" s="35" t="s">
        <v>5445</v>
      </c>
      <c r="J112" s="35">
        <v>2345.0</v>
      </c>
      <c r="K112" s="36"/>
      <c r="L112" s="36" t="e">
        <v>#N/A</v>
      </c>
    </row>
    <row r="113">
      <c r="A113" s="25" t="s">
        <v>5446</v>
      </c>
      <c r="B113" s="25"/>
      <c r="C113" s="62">
        <v>0.1</v>
      </c>
      <c r="D113" s="95">
        <v>0.77</v>
      </c>
      <c r="E113" s="95">
        <v>0.77</v>
      </c>
      <c r="F113" s="229" t="s">
        <v>1656</v>
      </c>
      <c r="I113" s="35" t="s">
        <v>5446</v>
      </c>
      <c r="J113" s="35">
        <v>2345.0</v>
      </c>
      <c r="K113" s="36"/>
      <c r="L113" s="36" t="e">
        <v>#N/A</v>
      </c>
    </row>
    <row r="114">
      <c r="A114" s="25" t="s">
        <v>5447</v>
      </c>
      <c r="B114" s="25"/>
      <c r="C114" s="62">
        <v>0.1</v>
      </c>
      <c r="D114" s="95">
        <v>0.77</v>
      </c>
      <c r="E114" s="95">
        <v>0.77</v>
      </c>
      <c r="F114" s="229" t="s">
        <v>1656</v>
      </c>
      <c r="I114" s="35" t="s">
        <v>5447</v>
      </c>
      <c r="J114" s="35">
        <v>2345.0</v>
      </c>
      <c r="K114" s="36"/>
      <c r="L114" s="36" t="e">
        <v>#N/A</v>
      </c>
    </row>
    <row r="115">
      <c r="A115" s="25" t="s">
        <v>5448</v>
      </c>
      <c r="B115" s="25"/>
      <c r="C115" s="62">
        <v>0.1</v>
      </c>
      <c r="D115" s="95">
        <v>0.77</v>
      </c>
      <c r="E115" s="95">
        <v>0.77</v>
      </c>
      <c r="F115" s="229" t="s">
        <v>1656</v>
      </c>
      <c r="I115" s="35" t="s">
        <v>5448</v>
      </c>
      <c r="J115" s="35">
        <v>2345.0</v>
      </c>
      <c r="K115" s="36"/>
      <c r="L115" s="36" t="e">
        <v>#N/A</v>
      </c>
    </row>
    <row r="116">
      <c r="A116" s="25" t="s">
        <v>5449</v>
      </c>
      <c r="B116" s="25"/>
      <c r="C116" s="62">
        <v>0.1</v>
      </c>
      <c r="D116" s="95">
        <v>0.77</v>
      </c>
      <c r="E116" s="95">
        <v>0.77</v>
      </c>
      <c r="F116" s="229" t="s">
        <v>1656</v>
      </c>
      <c r="I116" s="35" t="s">
        <v>5449</v>
      </c>
      <c r="J116" s="35">
        <v>2345.0</v>
      </c>
      <c r="K116" s="36"/>
      <c r="L116" s="36" t="e">
        <v>#N/A</v>
      </c>
    </row>
    <row r="117">
      <c r="A117" s="25" t="s">
        <v>5450</v>
      </c>
      <c r="B117" s="25"/>
      <c r="C117" s="62">
        <v>0.1</v>
      </c>
      <c r="D117" s="95">
        <v>0.77</v>
      </c>
      <c r="E117" s="95">
        <v>0.77</v>
      </c>
      <c r="F117" s="229" t="s">
        <v>1656</v>
      </c>
      <c r="I117" s="35" t="s">
        <v>5450</v>
      </c>
      <c r="J117" s="35">
        <v>2345.0</v>
      </c>
      <c r="K117" s="36"/>
      <c r="L117" s="36" t="e">
        <v>#N/A</v>
      </c>
    </row>
    <row r="118">
      <c r="A118" s="25" t="s">
        <v>5451</v>
      </c>
      <c r="B118" s="25"/>
      <c r="C118" s="62">
        <v>0.1</v>
      </c>
      <c r="D118" s="95">
        <v>0.77</v>
      </c>
      <c r="E118" s="95">
        <v>0.77</v>
      </c>
      <c r="F118" s="229" t="s">
        <v>1656</v>
      </c>
      <c r="I118" s="35" t="s">
        <v>5451</v>
      </c>
      <c r="J118" s="35">
        <v>2345.0</v>
      </c>
      <c r="K118" s="36"/>
      <c r="L118" s="36" t="e">
        <v>#N/A</v>
      </c>
    </row>
    <row r="119">
      <c r="A119" s="25" t="s">
        <v>5452</v>
      </c>
      <c r="B119" s="25"/>
      <c r="C119" s="62">
        <v>0.1</v>
      </c>
      <c r="D119" s="95">
        <v>0.77</v>
      </c>
      <c r="E119" s="95">
        <v>0.77</v>
      </c>
      <c r="F119" s="229" t="s">
        <v>1656</v>
      </c>
      <c r="I119" s="35" t="s">
        <v>5452</v>
      </c>
      <c r="J119" s="35">
        <v>2345.0</v>
      </c>
      <c r="K119" s="36"/>
      <c r="L119" s="36" t="e">
        <v>#N/A</v>
      </c>
    </row>
    <row r="120">
      <c r="A120" s="25" t="s">
        <v>5453</v>
      </c>
      <c r="B120" s="25"/>
      <c r="C120" s="62">
        <v>0.1</v>
      </c>
      <c r="D120" s="95">
        <v>0.77</v>
      </c>
      <c r="E120" s="95">
        <v>0.77</v>
      </c>
      <c r="F120" s="229" t="s">
        <v>1656</v>
      </c>
      <c r="I120" s="35" t="s">
        <v>5453</v>
      </c>
      <c r="J120" s="35">
        <v>2345.0</v>
      </c>
      <c r="K120" s="36"/>
      <c r="L120" s="36" t="e">
        <v>#N/A</v>
      </c>
    </row>
    <row r="121">
      <c r="A121" s="25" t="s">
        <v>5454</v>
      </c>
      <c r="B121" s="37">
        <v>14480.0</v>
      </c>
      <c r="C121" s="62">
        <v>0.1</v>
      </c>
      <c r="D121" s="95">
        <v>0.77</v>
      </c>
      <c r="E121" s="95">
        <v>0.77</v>
      </c>
      <c r="F121" s="229" t="s">
        <v>1656</v>
      </c>
      <c r="I121" s="35" t="s">
        <v>5454</v>
      </c>
      <c r="J121" s="35">
        <v>2345.0</v>
      </c>
      <c r="K121" s="36"/>
      <c r="L121" s="36" t="e">
        <v>#N/A</v>
      </c>
    </row>
    <row r="122">
      <c r="A122" s="25" t="s">
        <v>5455</v>
      </c>
      <c r="B122" s="25"/>
      <c r="C122" s="62">
        <v>0.1</v>
      </c>
      <c r="D122" s="95">
        <v>0.77</v>
      </c>
      <c r="E122" s="95">
        <v>0.77</v>
      </c>
      <c r="F122" s="229" t="s">
        <v>1656</v>
      </c>
      <c r="I122" s="35" t="s">
        <v>5455</v>
      </c>
      <c r="J122" s="35">
        <v>2345.0</v>
      </c>
      <c r="K122" s="36"/>
      <c r="L122" s="36" t="e">
        <v>#N/A</v>
      </c>
    </row>
    <row r="123">
      <c r="A123" s="25" t="s">
        <v>5456</v>
      </c>
      <c r="B123" s="25"/>
      <c r="C123" s="62">
        <v>0.1</v>
      </c>
      <c r="D123" s="95">
        <v>0.77</v>
      </c>
      <c r="E123" s="95">
        <v>0.77</v>
      </c>
      <c r="F123" s="229" t="s">
        <v>1656</v>
      </c>
      <c r="I123" s="37" t="s">
        <v>5456</v>
      </c>
      <c r="J123" s="37">
        <v>2345.0</v>
      </c>
      <c r="K123" s="45"/>
      <c r="L123" s="45">
        <v>1.0</v>
      </c>
    </row>
    <row r="124">
      <c r="A124" s="25" t="s">
        <v>5457</v>
      </c>
      <c r="B124" s="25">
        <v>189.0</v>
      </c>
      <c r="C124" s="62">
        <v>0.1</v>
      </c>
      <c r="D124" s="95">
        <v>0.85</v>
      </c>
      <c r="E124" s="95">
        <v>0.85</v>
      </c>
      <c r="F124" s="229" t="s">
        <v>1656</v>
      </c>
      <c r="I124" s="37" t="s">
        <v>5457</v>
      </c>
      <c r="J124" s="37">
        <v>189.0</v>
      </c>
      <c r="K124" s="37">
        <v>6732.0</v>
      </c>
      <c r="L124" s="45">
        <v>1.0</v>
      </c>
    </row>
    <row r="125">
      <c r="A125" s="25" t="s">
        <v>5458</v>
      </c>
      <c r="B125" s="25">
        <v>189.0</v>
      </c>
      <c r="C125" s="62">
        <v>0.1</v>
      </c>
      <c r="D125" s="95">
        <v>0.85</v>
      </c>
      <c r="E125" s="95">
        <v>0.85</v>
      </c>
      <c r="F125" s="229" t="s">
        <v>1656</v>
      </c>
      <c r="I125" s="37" t="s">
        <v>5458</v>
      </c>
      <c r="J125" s="37">
        <v>189.0</v>
      </c>
      <c r="K125" s="37">
        <v>6732.0</v>
      </c>
      <c r="L125" s="45">
        <v>1.0</v>
      </c>
    </row>
    <row r="126">
      <c r="A126" s="25" t="s">
        <v>5459</v>
      </c>
      <c r="B126" s="25">
        <v>189.0</v>
      </c>
      <c r="C126" s="62">
        <v>0.1</v>
      </c>
      <c r="D126" s="95">
        <v>0.85</v>
      </c>
      <c r="E126" s="95">
        <v>0.85</v>
      </c>
      <c r="F126" s="229" t="s">
        <v>1656</v>
      </c>
      <c r="I126" s="37" t="s">
        <v>5459</v>
      </c>
      <c r="J126" s="37">
        <v>189.0</v>
      </c>
      <c r="K126" s="37">
        <v>6732.0</v>
      </c>
      <c r="L126" s="45">
        <v>1.0</v>
      </c>
    </row>
    <row r="127">
      <c r="A127" s="25" t="s">
        <v>5460</v>
      </c>
      <c r="B127" s="25">
        <v>189.0</v>
      </c>
      <c r="C127" s="62">
        <v>0.1</v>
      </c>
      <c r="D127" s="95">
        <v>0.85</v>
      </c>
      <c r="E127" s="95">
        <v>0.85</v>
      </c>
      <c r="F127" s="229" t="s">
        <v>1656</v>
      </c>
      <c r="I127" s="37" t="s">
        <v>5460</v>
      </c>
      <c r="J127" s="37">
        <v>189.0</v>
      </c>
      <c r="K127" s="37">
        <v>6732.0</v>
      </c>
      <c r="L127" s="45">
        <v>1.0</v>
      </c>
    </row>
    <row r="128">
      <c r="A128" s="25" t="s">
        <v>5461</v>
      </c>
      <c r="B128" s="25"/>
      <c r="C128" s="62">
        <v>0.1</v>
      </c>
      <c r="D128" s="95">
        <v>0.77</v>
      </c>
      <c r="E128" s="95">
        <v>0.77</v>
      </c>
      <c r="F128" s="229" t="s">
        <v>1656</v>
      </c>
      <c r="I128" s="35" t="s">
        <v>5461</v>
      </c>
      <c r="J128" s="35">
        <v>6732.0</v>
      </c>
      <c r="K128" s="36"/>
      <c r="L128" s="36" t="e">
        <v>#N/A</v>
      </c>
    </row>
    <row r="129">
      <c r="A129" s="25" t="s">
        <v>5462</v>
      </c>
      <c r="B129" s="25"/>
      <c r="C129" s="62">
        <v>0.1</v>
      </c>
      <c r="D129" s="95">
        <v>0.77</v>
      </c>
      <c r="E129" s="95">
        <v>0.77</v>
      </c>
      <c r="F129" s="229" t="s">
        <v>1656</v>
      </c>
      <c r="I129" s="35" t="s">
        <v>5462</v>
      </c>
      <c r="J129" s="35">
        <v>6732.0</v>
      </c>
      <c r="K129" s="36"/>
      <c r="L129" s="36" t="e">
        <v>#N/A</v>
      </c>
    </row>
    <row r="130">
      <c r="A130" s="25" t="s">
        <v>5463</v>
      </c>
      <c r="B130" s="25"/>
      <c r="C130" s="62">
        <v>0.1</v>
      </c>
      <c r="D130" s="95">
        <v>0.77</v>
      </c>
      <c r="E130" s="95">
        <v>0.77</v>
      </c>
      <c r="F130" s="229" t="s">
        <v>1656</v>
      </c>
      <c r="I130" s="35" t="s">
        <v>5463</v>
      </c>
      <c r="J130" s="35">
        <v>6732.0</v>
      </c>
      <c r="K130" s="36"/>
      <c r="L130" s="36" t="e">
        <v>#N/A</v>
      </c>
    </row>
    <row r="131">
      <c r="A131" s="25" t="s">
        <v>5464</v>
      </c>
      <c r="B131" s="25"/>
      <c r="C131" s="62">
        <v>0.1</v>
      </c>
      <c r="D131" s="95">
        <v>0.77</v>
      </c>
      <c r="E131" s="95">
        <v>0.77</v>
      </c>
      <c r="F131" s="229" t="s">
        <v>1656</v>
      </c>
      <c r="I131" s="35" t="s">
        <v>5464</v>
      </c>
      <c r="J131" s="35">
        <v>6732.0</v>
      </c>
      <c r="K131" s="36"/>
      <c r="L131" s="36" t="e">
        <v>#N/A</v>
      </c>
    </row>
    <row r="132">
      <c r="A132" s="25" t="s">
        <v>5465</v>
      </c>
      <c r="B132" s="25"/>
      <c r="C132" s="62">
        <v>0.1</v>
      </c>
      <c r="D132" s="95">
        <v>0.77</v>
      </c>
      <c r="E132" s="95">
        <v>0.77</v>
      </c>
      <c r="F132" s="229" t="s">
        <v>1656</v>
      </c>
      <c r="I132" s="35" t="s">
        <v>5465</v>
      </c>
      <c r="J132" s="35">
        <v>6732.0</v>
      </c>
      <c r="K132" s="36"/>
      <c r="L132" s="36" t="e">
        <v>#N/A</v>
      </c>
    </row>
    <row r="133">
      <c r="A133" s="25" t="s">
        <v>5466</v>
      </c>
      <c r="B133" s="25"/>
      <c r="C133" s="62">
        <v>0.1</v>
      </c>
      <c r="D133" s="95">
        <v>0.77</v>
      </c>
      <c r="E133" s="95">
        <v>0.77</v>
      </c>
      <c r="F133" s="229" t="s">
        <v>1656</v>
      </c>
      <c r="I133" s="35" t="s">
        <v>5466</v>
      </c>
      <c r="J133" s="35">
        <v>6732.0</v>
      </c>
      <c r="K133" s="36"/>
      <c r="L133" s="36" t="e">
        <v>#N/A</v>
      </c>
    </row>
    <row r="134">
      <c r="A134" s="25" t="s">
        <v>5467</v>
      </c>
      <c r="B134" s="25">
        <v>6732.0</v>
      </c>
      <c r="C134" s="62">
        <v>0.1</v>
      </c>
      <c r="D134" s="95">
        <v>0.77</v>
      </c>
      <c r="E134" s="95">
        <v>0.77</v>
      </c>
      <c r="F134" s="229" t="s">
        <v>1656</v>
      </c>
      <c r="I134" s="35" t="s">
        <v>5467</v>
      </c>
      <c r="J134" s="35">
        <v>6732.0</v>
      </c>
      <c r="K134" s="36"/>
      <c r="L134" s="36" t="e">
        <v>#N/A</v>
      </c>
    </row>
    <row r="135">
      <c r="A135" s="25" t="s">
        <v>5468</v>
      </c>
      <c r="B135" s="25"/>
      <c r="C135" s="62">
        <v>0.1</v>
      </c>
      <c r="D135" s="95">
        <v>0.77</v>
      </c>
      <c r="E135" s="95">
        <v>0.77</v>
      </c>
      <c r="F135" s="229" t="s">
        <v>1656</v>
      </c>
      <c r="I135" s="35" t="s">
        <v>5468</v>
      </c>
      <c r="J135" s="35">
        <v>6831.0</v>
      </c>
      <c r="K135" s="36"/>
      <c r="L135" s="36" t="e">
        <v>#N/A</v>
      </c>
    </row>
    <row r="136">
      <c r="A136" s="25" t="s">
        <v>5469</v>
      </c>
      <c r="B136" s="25"/>
      <c r="C136" s="62">
        <v>0.1</v>
      </c>
      <c r="D136" s="95">
        <v>0.77</v>
      </c>
      <c r="E136" s="95">
        <v>0.77</v>
      </c>
      <c r="F136" s="229" t="s">
        <v>1656</v>
      </c>
      <c r="I136" s="35" t="s">
        <v>5469</v>
      </c>
      <c r="J136" s="35">
        <v>6831.0</v>
      </c>
      <c r="K136" s="36"/>
      <c r="L136" s="36" t="e">
        <v>#N/A</v>
      </c>
    </row>
    <row r="137">
      <c r="A137" s="25" t="s">
        <v>5470</v>
      </c>
      <c r="B137" s="25"/>
      <c r="C137" s="62">
        <v>0.1</v>
      </c>
      <c r="D137" s="95">
        <v>0.77</v>
      </c>
      <c r="E137" s="95">
        <v>0.77</v>
      </c>
      <c r="F137" s="229" t="s">
        <v>1656</v>
      </c>
      <c r="I137" s="35" t="s">
        <v>5470</v>
      </c>
      <c r="J137" s="35">
        <v>6750.0</v>
      </c>
      <c r="K137" s="36"/>
      <c r="L137" s="36" t="e">
        <v>#N/A</v>
      </c>
    </row>
    <row r="138">
      <c r="A138" s="25" t="s">
        <v>5471</v>
      </c>
      <c r="B138" s="25">
        <v>6887.0</v>
      </c>
      <c r="C138" s="62">
        <v>0.1</v>
      </c>
      <c r="D138" s="95">
        <v>0.77</v>
      </c>
      <c r="E138" s="95">
        <v>0.77</v>
      </c>
      <c r="F138" s="229" t="s">
        <v>1656</v>
      </c>
      <c r="I138" s="37" t="s">
        <v>5471</v>
      </c>
      <c r="J138" s="37">
        <v>6887.0</v>
      </c>
      <c r="K138" s="45"/>
      <c r="L138" s="45">
        <v>1.0</v>
      </c>
    </row>
    <row r="139">
      <c r="A139" s="25" t="s">
        <v>5472</v>
      </c>
      <c r="B139" s="25"/>
      <c r="C139" s="62">
        <v>0.1</v>
      </c>
      <c r="D139" s="95">
        <v>0.77</v>
      </c>
      <c r="E139" s="95">
        <v>0.77</v>
      </c>
      <c r="F139" s="229" t="s">
        <v>1656</v>
      </c>
      <c r="I139" s="35" t="s">
        <v>5472</v>
      </c>
      <c r="J139" s="35">
        <v>6557.0</v>
      </c>
      <c r="K139" s="36"/>
      <c r="L139" s="36" t="e">
        <v>#N/A</v>
      </c>
    </row>
    <row r="140">
      <c r="A140" s="25" t="s">
        <v>5473</v>
      </c>
      <c r="B140" s="25">
        <v>189.0</v>
      </c>
      <c r="C140" s="62">
        <v>0.1</v>
      </c>
      <c r="D140" s="95">
        <v>0.85</v>
      </c>
      <c r="E140" s="95">
        <v>0.85</v>
      </c>
      <c r="F140" s="229" t="s">
        <v>1656</v>
      </c>
      <c r="I140" s="37" t="s">
        <v>5473</v>
      </c>
      <c r="J140" s="37">
        <v>189.0</v>
      </c>
      <c r="K140" s="37">
        <v>6779.0</v>
      </c>
      <c r="L140" s="45">
        <v>1.0</v>
      </c>
    </row>
    <row r="141">
      <c r="A141" s="25" t="s">
        <v>5474</v>
      </c>
      <c r="B141" s="25"/>
      <c r="C141" s="62">
        <v>0.1</v>
      </c>
      <c r="D141" s="95">
        <v>0.77</v>
      </c>
      <c r="E141" s="95">
        <v>0.77</v>
      </c>
      <c r="F141" s="229" t="s">
        <v>1656</v>
      </c>
      <c r="I141" s="35" t="s">
        <v>5474</v>
      </c>
      <c r="J141" s="35">
        <v>6557.0</v>
      </c>
      <c r="K141" s="36"/>
      <c r="L141" s="36" t="e">
        <v>#N/A</v>
      </c>
    </row>
    <row r="142">
      <c r="A142" s="25" t="s">
        <v>5475</v>
      </c>
      <c r="B142" s="25"/>
      <c r="C142" s="62">
        <v>0.1</v>
      </c>
      <c r="D142" s="95">
        <v>0.77</v>
      </c>
      <c r="E142" s="95">
        <v>0.77</v>
      </c>
      <c r="F142" s="229" t="s">
        <v>1656</v>
      </c>
      <c r="I142" s="35" t="s">
        <v>5475</v>
      </c>
      <c r="J142" s="35">
        <v>6557.0</v>
      </c>
      <c r="K142" s="36"/>
      <c r="L142" s="36" t="e">
        <v>#N/A</v>
      </c>
    </row>
    <row r="143">
      <c r="A143" s="25" t="s">
        <v>5476</v>
      </c>
      <c r="B143" s="25"/>
      <c r="C143" s="62">
        <v>0.1</v>
      </c>
      <c r="D143" s="95">
        <v>0.77</v>
      </c>
      <c r="E143" s="95">
        <v>0.77</v>
      </c>
      <c r="F143" s="229" t="s">
        <v>1656</v>
      </c>
      <c r="I143" s="35" t="s">
        <v>5476</v>
      </c>
      <c r="J143" s="35">
        <v>6557.0</v>
      </c>
      <c r="K143" s="36"/>
      <c r="L143" s="36" t="e">
        <v>#N/A</v>
      </c>
    </row>
    <row r="144">
      <c r="A144" s="25" t="s">
        <v>5477</v>
      </c>
      <c r="B144" s="25"/>
      <c r="C144" s="62">
        <v>0.1</v>
      </c>
      <c r="D144" s="95">
        <v>0.77</v>
      </c>
      <c r="E144" s="95">
        <v>0.77</v>
      </c>
      <c r="F144" s="229" t="s">
        <v>1656</v>
      </c>
      <c r="I144" s="35" t="s">
        <v>5477</v>
      </c>
      <c r="J144" s="35">
        <v>6557.0</v>
      </c>
      <c r="K144" s="36"/>
      <c r="L144" s="36" t="e">
        <v>#N/A</v>
      </c>
    </row>
    <row r="145">
      <c r="A145" s="25" t="s">
        <v>5478</v>
      </c>
      <c r="B145" s="25"/>
      <c r="C145" s="62">
        <v>0.1</v>
      </c>
      <c r="D145" s="95">
        <v>0.77</v>
      </c>
      <c r="E145" s="95">
        <v>0.77</v>
      </c>
      <c r="F145" s="229" t="s">
        <v>1656</v>
      </c>
      <c r="I145" s="35" t="s">
        <v>5478</v>
      </c>
      <c r="J145" s="35">
        <v>6557.0</v>
      </c>
      <c r="K145" s="36"/>
      <c r="L145" s="36" t="e">
        <v>#N/A</v>
      </c>
    </row>
    <row r="146">
      <c r="A146" s="25" t="s">
        <v>5479</v>
      </c>
      <c r="B146" s="25"/>
      <c r="C146" s="62">
        <v>0.1</v>
      </c>
      <c r="D146" s="95">
        <v>0.77</v>
      </c>
      <c r="E146" s="95">
        <v>0.77</v>
      </c>
      <c r="F146" s="229" t="s">
        <v>1656</v>
      </c>
      <c r="I146" s="35" t="s">
        <v>5479</v>
      </c>
      <c r="J146" s="35">
        <v>6557.0</v>
      </c>
      <c r="K146" s="36"/>
      <c r="L146" s="36" t="e">
        <v>#N/A</v>
      </c>
    </row>
    <row r="147">
      <c r="A147" s="25" t="s">
        <v>5480</v>
      </c>
      <c r="B147" s="25"/>
      <c r="C147" s="62">
        <v>0.1</v>
      </c>
      <c r="D147" s="95">
        <v>0.77</v>
      </c>
      <c r="E147" s="95">
        <v>0.77</v>
      </c>
      <c r="F147" s="229" t="s">
        <v>1656</v>
      </c>
      <c r="I147" s="35" t="s">
        <v>5480</v>
      </c>
      <c r="J147" s="35">
        <v>6557.0</v>
      </c>
      <c r="K147" s="36"/>
      <c r="L147" s="36" t="e">
        <v>#N/A</v>
      </c>
    </row>
    <row r="148">
      <c r="A148" s="25" t="s">
        <v>5481</v>
      </c>
      <c r="B148" s="25"/>
      <c r="C148" s="62">
        <v>0.1</v>
      </c>
      <c r="D148" s="95">
        <v>0.77</v>
      </c>
      <c r="E148" s="95">
        <v>0.77</v>
      </c>
      <c r="F148" s="229" t="s">
        <v>1656</v>
      </c>
      <c r="I148" s="35" t="s">
        <v>5481</v>
      </c>
      <c r="J148" s="35">
        <v>14065.0</v>
      </c>
      <c r="K148" s="35">
        <v>6727.0</v>
      </c>
      <c r="L148" s="36" t="e">
        <v>#N/A</v>
      </c>
    </row>
    <row r="149">
      <c r="A149" s="25" t="s">
        <v>5482</v>
      </c>
      <c r="B149" s="25"/>
      <c r="C149" s="62">
        <v>0.1</v>
      </c>
      <c r="D149" s="95">
        <v>0.77</v>
      </c>
      <c r="E149" s="95">
        <v>0.77</v>
      </c>
      <c r="F149" s="229" t="s">
        <v>1656</v>
      </c>
      <c r="I149" s="35" t="s">
        <v>5482</v>
      </c>
      <c r="J149" s="35">
        <v>13862.0</v>
      </c>
      <c r="K149" s="35">
        <v>6727.0</v>
      </c>
      <c r="L149" s="36" t="e">
        <v>#N/A</v>
      </c>
    </row>
    <row r="150">
      <c r="A150" s="25" t="s">
        <v>5483</v>
      </c>
      <c r="B150" s="25"/>
      <c r="C150" s="62">
        <v>0.1</v>
      </c>
      <c r="D150" s="95">
        <v>0.77</v>
      </c>
      <c r="E150" s="95">
        <v>0.77</v>
      </c>
      <c r="F150" s="229" t="s">
        <v>1656</v>
      </c>
      <c r="I150" s="35" t="s">
        <v>5483</v>
      </c>
      <c r="J150" s="35">
        <v>6727.0</v>
      </c>
      <c r="K150" s="36"/>
      <c r="L150" s="36" t="e">
        <v>#N/A</v>
      </c>
    </row>
    <row r="151">
      <c r="A151" s="25" t="s">
        <v>5484</v>
      </c>
      <c r="B151" s="25">
        <v>6727.0</v>
      </c>
      <c r="C151" s="62">
        <v>0.1</v>
      </c>
      <c r="D151" s="95">
        <v>0.77</v>
      </c>
      <c r="E151" s="95">
        <v>0.77</v>
      </c>
      <c r="F151" s="229" t="s">
        <v>1656</v>
      </c>
      <c r="I151" s="37" t="s">
        <v>5484</v>
      </c>
      <c r="J151" s="37">
        <v>6727.0</v>
      </c>
      <c r="K151" s="45"/>
      <c r="L151" s="45">
        <v>1.0</v>
      </c>
    </row>
    <row r="152">
      <c r="A152" s="25" t="s">
        <v>5485</v>
      </c>
      <c r="B152" s="25">
        <v>6727.0</v>
      </c>
      <c r="C152" s="62">
        <v>0.1</v>
      </c>
      <c r="D152" s="95">
        <v>0.77</v>
      </c>
      <c r="E152" s="95">
        <v>0.77</v>
      </c>
      <c r="F152" s="229" t="s">
        <v>1656</v>
      </c>
      <c r="I152" s="37" t="s">
        <v>5485</v>
      </c>
      <c r="J152" s="37">
        <v>6727.0</v>
      </c>
      <c r="K152" s="45"/>
      <c r="L152" s="45">
        <v>1.0</v>
      </c>
    </row>
    <row r="153">
      <c r="A153" s="25" t="s">
        <v>5486</v>
      </c>
      <c r="B153" s="25"/>
      <c r="C153" s="62">
        <v>0.1</v>
      </c>
      <c r="D153" s="95">
        <v>0.77</v>
      </c>
      <c r="E153" s="95">
        <v>0.77</v>
      </c>
      <c r="F153" s="229" t="s">
        <v>1656</v>
      </c>
      <c r="I153" s="35" t="s">
        <v>5486</v>
      </c>
      <c r="J153" s="35">
        <v>6891.0</v>
      </c>
      <c r="K153" s="36"/>
      <c r="L153" s="36" t="e">
        <v>#N/A</v>
      </c>
    </row>
    <row r="154">
      <c r="A154" s="25" t="s">
        <v>5487</v>
      </c>
      <c r="B154" s="25"/>
      <c r="C154" s="62">
        <v>0.1</v>
      </c>
      <c r="D154" s="95">
        <v>0.77</v>
      </c>
      <c r="E154" s="95">
        <v>0.77</v>
      </c>
      <c r="F154" s="229" t="s">
        <v>1656</v>
      </c>
      <c r="I154" s="35" t="s">
        <v>5487</v>
      </c>
      <c r="J154" s="35">
        <v>986.0</v>
      </c>
      <c r="K154" s="36"/>
      <c r="L154" s="36" t="e">
        <v>#N/A</v>
      </c>
    </row>
    <row r="155">
      <c r="A155" s="25" t="s">
        <v>5488</v>
      </c>
      <c r="B155" s="25"/>
      <c r="C155" s="62">
        <v>0.1</v>
      </c>
      <c r="D155" s="95">
        <v>0.77</v>
      </c>
      <c r="E155" s="95">
        <v>0.77</v>
      </c>
      <c r="F155" s="229" t="s">
        <v>1656</v>
      </c>
      <c r="I155" s="35" t="s">
        <v>5488</v>
      </c>
      <c r="J155" s="35">
        <v>7142.0</v>
      </c>
      <c r="K155" s="35">
        <v>2095.0</v>
      </c>
      <c r="L155" s="36" t="e">
        <v>#N/A</v>
      </c>
    </row>
    <row r="156">
      <c r="A156" s="25" t="s">
        <v>5489</v>
      </c>
      <c r="B156" s="25"/>
      <c r="C156" s="62">
        <v>0.1</v>
      </c>
      <c r="D156" s="95">
        <v>0.77</v>
      </c>
      <c r="E156" s="95">
        <v>0.77</v>
      </c>
      <c r="F156" s="229" t="s">
        <v>1656</v>
      </c>
      <c r="I156" s="35" t="s">
        <v>5489</v>
      </c>
      <c r="J156" s="35">
        <v>7871.0</v>
      </c>
      <c r="K156" s="35">
        <v>2095.0</v>
      </c>
      <c r="L156" s="36" t="e">
        <v>#N/A</v>
      </c>
    </row>
    <row r="157">
      <c r="A157" s="25" t="s">
        <v>5490</v>
      </c>
      <c r="B157" s="25"/>
      <c r="C157" s="62">
        <v>0.1</v>
      </c>
      <c r="D157" s="95">
        <v>0.77</v>
      </c>
      <c r="E157" s="95">
        <v>0.77</v>
      </c>
      <c r="F157" s="229" t="s">
        <v>1656</v>
      </c>
      <c r="I157" s="35" t="s">
        <v>5490</v>
      </c>
      <c r="J157" s="35">
        <v>6671.0</v>
      </c>
      <c r="K157" s="35">
        <v>2095.0</v>
      </c>
      <c r="L157" s="36" t="e">
        <v>#N/A</v>
      </c>
    </row>
    <row r="158">
      <c r="A158" s="25" t="s">
        <v>5491</v>
      </c>
      <c r="B158" s="25"/>
      <c r="C158" s="62">
        <v>0.1</v>
      </c>
      <c r="D158" s="95">
        <v>0.77</v>
      </c>
      <c r="E158" s="95">
        <v>0.77</v>
      </c>
      <c r="F158" s="229" t="s">
        <v>1656</v>
      </c>
      <c r="I158" s="35" t="s">
        <v>5491</v>
      </c>
      <c r="J158" s="35">
        <v>986.0</v>
      </c>
      <c r="K158" s="36"/>
      <c r="L158" s="36" t="e">
        <v>#N/A</v>
      </c>
    </row>
    <row r="159">
      <c r="A159" s="25" t="s">
        <v>5492</v>
      </c>
      <c r="B159" s="25"/>
      <c r="C159" s="62">
        <v>0.1</v>
      </c>
      <c r="D159" s="95">
        <v>0.77</v>
      </c>
      <c r="E159" s="95">
        <v>0.77</v>
      </c>
      <c r="F159" s="229" t="s">
        <v>1656</v>
      </c>
      <c r="I159" s="35" t="s">
        <v>5492</v>
      </c>
      <c r="J159" s="35">
        <v>986.0</v>
      </c>
      <c r="K159" s="36"/>
      <c r="L159" s="36" t="e">
        <v>#N/A</v>
      </c>
    </row>
    <row r="160">
      <c r="A160" s="25" t="s">
        <v>5493</v>
      </c>
      <c r="B160" s="25">
        <v>6891.0</v>
      </c>
      <c r="C160" s="62">
        <v>0.1</v>
      </c>
      <c r="D160" s="95">
        <v>0.77</v>
      </c>
      <c r="E160" s="95">
        <v>0.77</v>
      </c>
      <c r="F160" s="229" t="s">
        <v>1656</v>
      </c>
      <c r="I160" s="37" t="s">
        <v>5493</v>
      </c>
      <c r="J160" s="37">
        <v>6891.0</v>
      </c>
      <c r="K160" s="45"/>
      <c r="L160" s="45">
        <v>1.0</v>
      </c>
    </row>
    <row r="161">
      <c r="A161" s="25" t="s">
        <v>5494</v>
      </c>
      <c r="B161" s="25"/>
      <c r="C161" s="62">
        <v>0.1</v>
      </c>
      <c r="D161" s="95">
        <v>0.77</v>
      </c>
      <c r="E161" s="95">
        <v>0.77</v>
      </c>
      <c r="F161" s="229" t="s">
        <v>1656</v>
      </c>
      <c r="I161" s="35" t="s">
        <v>5494</v>
      </c>
      <c r="J161" s="35">
        <v>6905.0</v>
      </c>
      <c r="K161" s="36"/>
      <c r="L161" s="36" t="e">
        <v>#N/A</v>
      </c>
    </row>
    <row r="162">
      <c r="A162" s="25" t="s">
        <v>5495</v>
      </c>
      <c r="B162" s="25"/>
      <c r="C162" s="62">
        <v>0.1</v>
      </c>
      <c r="D162" s="95">
        <v>0.77</v>
      </c>
      <c r="E162" s="95">
        <v>0.77</v>
      </c>
      <c r="F162" s="229" t="s">
        <v>1656</v>
      </c>
      <c r="I162" s="35" t="s">
        <v>5495</v>
      </c>
      <c r="J162" s="35">
        <v>6905.0</v>
      </c>
      <c r="K162" s="36"/>
      <c r="L162" s="36" t="e">
        <v>#N/A</v>
      </c>
    </row>
    <row r="163">
      <c r="A163" s="25" t="s">
        <v>5496</v>
      </c>
      <c r="B163" s="25"/>
      <c r="C163" s="62">
        <v>0.1</v>
      </c>
      <c r="D163" s="95">
        <v>0.77</v>
      </c>
      <c r="E163" s="95">
        <v>0.77</v>
      </c>
      <c r="F163" s="229" t="s">
        <v>1656</v>
      </c>
      <c r="I163" s="35" t="s">
        <v>5496</v>
      </c>
      <c r="J163" s="35">
        <v>6905.0</v>
      </c>
      <c r="K163" s="36"/>
      <c r="L163" s="36" t="e">
        <v>#N/A</v>
      </c>
    </row>
    <row r="164">
      <c r="A164" s="25" t="s">
        <v>5497</v>
      </c>
      <c r="B164" s="25"/>
      <c r="C164" s="62">
        <v>0.1</v>
      </c>
      <c r="D164" s="95">
        <v>0.77</v>
      </c>
      <c r="E164" s="95">
        <v>0.77</v>
      </c>
      <c r="F164" s="229" t="s">
        <v>1656</v>
      </c>
      <c r="I164" s="35" t="s">
        <v>5497</v>
      </c>
      <c r="J164" s="35">
        <v>6824.0</v>
      </c>
      <c r="K164" s="36"/>
      <c r="L164" s="36" t="e">
        <v>#N/A</v>
      </c>
    </row>
    <row r="165">
      <c r="A165" s="25" t="s">
        <v>5498</v>
      </c>
      <c r="B165" s="25"/>
      <c r="C165" s="62">
        <v>0.1</v>
      </c>
      <c r="D165" s="95">
        <v>0.77</v>
      </c>
      <c r="E165" s="95">
        <v>0.77</v>
      </c>
      <c r="F165" s="229" t="s">
        <v>1656</v>
      </c>
      <c r="I165" s="35" t="s">
        <v>5498</v>
      </c>
      <c r="J165" s="35">
        <v>6824.0</v>
      </c>
      <c r="K165" s="36"/>
      <c r="L165" s="36" t="e">
        <v>#N/A</v>
      </c>
    </row>
    <row r="166">
      <c r="A166" s="25" t="s">
        <v>5499</v>
      </c>
      <c r="B166" s="25"/>
      <c r="C166" s="62">
        <v>0.1</v>
      </c>
      <c r="D166" s="95">
        <v>0.77</v>
      </c>
      <c r="E166" s="95">
        <v>0.77</v>
      </c>
      <c r="F166" s="229" t="s">
        <v>1656</v>
      </c>
      <c r="I166" s="35" t="s">
        <v>5499</v>
      </c>
      <c r="J166" s="35">
        <v>5125.0</v>
      </c>
      <c r="K166" s="36"/>
      <c r="L166" s="36" t="e">
        <v>#N/A</v>
      </c>
    </row>
    <row r="167">
      <c r="A167" s="25" t="s">
        <v>5500</v>
      </c>
      <c r="B167" s="25"/>
      <c r="C167" s="62">
        <v>0.1</v>
      </c>
      <c r="D167" s="95">
        <v>0.77</v>
      </c>
      <c r="E167" s="95">
        <v>0.77</v>
      </c>
      <c r="F167" s="229" t="s">
        <v>1656</v>
      </c>
      <c r="I167" s="35" t="s">
        <v>5500</v>
      </c>
      <c r="J167" s="35">
        <v>6106.0</v>
      </c>
      <c r="K167" s="36"/>
      <c r="L167" s="36" t="e">
        <v>#N/A</v>
      </c>
    </row>
    <row r="168">
      <c r="A168" s="25" t="s">
        <v>5501</v>
      </c>
      <c r="B168" s="25"/>
      <c r="C168" s="62">
        <v>0.1</v>
      </c>
      <c r="D168" s="95">
        <v>0.77</v>
      </c>
      <c r="E168" s="95">
        <v>0.77</v>
      </c>
      <c r="F168" s="229" t="s">
        <v>1656</v>
      </c>
      <c r="I168" s="35" t="s">
        <v>5501</v>
      </c>
      <c r="J168" s="35">
        <v>930.0</v>
      </c>
      <c r="K168" s="36"/>
      <c r="L168" s="36" t="e">
        <v>#N/A</v>
      </c>
    </row>
    <row r="169">
      <c r="A169" s="25" t="s">
        <v>5502</v>
      </c>
      <c r="B169" s="25"/>
      <c r="C169" s="62">
        <v>0.1</v>
      </c>
      <c r="D169" s="95">
        <v>0.77</v>
      </c>
      <c r="E169" s="95">
        <v>0.77</v>
      </c>
      <c r="F169" s="229" t="s">
        <v>1656</v>
      </c>
      <c r="I169" s="35" t="s">
        <v>5502</v>
      </c>
      <c r="J169" s="35">
        <v>6676.0</v>
      </c>
      <c r="K169" s="36"/>
      <c r="L169" s="36" t="e">
        <v>#N/A</v>
      </c>
    </row>
    <row r="170">
      <c r="A170" s="25" t="s">
        <v>5503</v>
      </c>
      <c r="B170" s="25">
        <v>986.0</v>
      </c>
      <c r="C170" s="62">
        <v>0.1</v>
      </c>
      <c r="D170" s="95">
        <v>0.85</v>
      </c>
      <c r="E170" s="95">
        <v>0.85</v>
      </c>
      <c r="F170" s="229" t="s">
        <v>1656</v>
      </c>
      <c r="I170" s="37" t="s">
        <v>5503</v>
      </c>
      <c r="J170" s="37">
        <v>986.0</v>
      </c>
      <c r="K170" s="45"/>
      <c r="L170" s="45">
        <v>1.0</v>
      </c>
    </row>
    <row r="171">
      <c r="A171" s="25" t="s">
        <v>5504</v>
      </c>
      <c r="B171" s="25"/>
      <c r="C171" s="62">
        <v>0.1</v>
      </c>
      <c r="D171" s="95">
        <v>0.77</v>
      </c>
      <c r="E171" s="95">
        <v>0.77</v>
      </c>
      <c r="F171" s="229" t="s">
        <v>1656</v>
      </c>
      <c r="I171" s="35" t="s">
        <v>5504</v>
      </c>
      <c r="J171" s="35">
        <v>6924.0</v>
      </c>
      <c r="K171" s="36"/>
      <c r="L171" s="36" t="e">
        <v>#N/A</v>
      </c>
    </row>
    <row r="172">
      <c r="A172" s="25" t="s">
        <v>5505</v>
      </c>
      <c r="B172" s="25"/>
      <c r="C172" s="62">
        <v>0.1</v>
      </c>
      <c r="D172" s="95">
        <v>0.77</v>
      </c>
      <c r="E172" s="95">
        <v>0.77</v>
      </c>
      <c r="F172" s="229" t="s">
        <v>1656</v>
      </c>
      <c r="I172" s="35" t="s">
        <v>5505</v>
      </c>
      <c r="J172" s="35">
        <v>6133.0</v>
      </c>
      <c r="K172" s="36"/>
      <c r="L172" s="36" t="e">
        <v>#N/A</v>
      </c>
    </row>
    <row r="173">
      <c r="A173" s="25" t="s">
        <v>5506</v>
      </c>
      <c r="B173" s="25"/>
      <c r="C173" s="62">
        <v>0.1</v>
      </c>
      <c r="D173" s="95">
        <v>0.77</v>
      </c>
      <c r="E173" s="95">
        <v>0.77</v>
      </c>
      <c r="F173" s="229" t="s">
        <v>1656</v>
      </c>
      <c r="I173" s="35" t="s">
        <v>5506</v>
      </c>
      <c r="J173" s="35">
        <v>6133.0</v>
      </c>
      <c r="K173" s="36"/>
      <c r="L173" s="36" t="e">
        <v>#N/A</v>
      </c>
    </row>
    <row r="174">
      <c r="A174" s="25" t="s">
        <v>5507</v>
      </c>
      <c r="B174" s="25"/>
      <c r="C174" s="62">
        <v>0.1</v>
      </c>
      <c r="D174" s="95">
        <v>0.77</v>
      </c>
      <c r="E174" s="95">
        <v>0.77</v>
      </c>
      <c r="F174" s="229" t="s">
        <v>1656</v>
      </c>
      <c r="I174" s="35" t="s">
        <v>5507</v>
      </c>
      <c r="J174" s="35">
        <v>3920.0</v>
      </c>
      <c r="K174" s="36"/>
      <c r="L174" s="36" t="e">
        <v>#N/A</v>
      </c>
    </row>
    <row r="175">
      <c r="A175" s="25" t="s">
        <v>5508</v>
      </c>
      <c r="B175" s="25"/>
      <c r="C175" s="62">
        <v>0.1</v>
      </c>
      <c r="D175" s="95">
        <v>0.77</v>
      </c>
      <c r="E175" s="95">
        <v>0.77</v>
      </c>
      <c r="F175" s="229" t="s">
        <v>1656</v>
      </c>
      <c r="I175" s="35" t="s">
        <v>5508</v>
      </c>
      <c r="J175" s="35">
        <v>136.0</v>
      </c>
      <c r="K175" s="36"/>
      <c r="L175" s="36" t="e">
        <v>#N/A</v>
      </c>
    </row>
    <row r="176">
      <c r="A176" s="25" t="s">
        <v>5509</v>
      </c>
      <c r="B176" s="25">
        <v>6947.0</v>
      </c>
      <c r="C176" s="62">
        <v>0.1</v>
      </c>
      <c r="D176" s="95">
        <v>0.77</v>
      </c>
      <c r="E176" s="95">
        <v>0.77</v>
      </c>
      <c r="F176" s="229" t="s">
        <v>1656</v>
      </c>
      <c r="I176" s="37" t="s">
        <v>5509</v>
      </c>
      <c r="J176" s="37">
        <v>6947.0</v>
      </c>
      <c r="K176" s="45"/>
      <c r="L176" s="45">
        <v>1.0</v>
      </c>
    </row>
    <row r="177">
      <c r="A177" s="25" t="s">
        <v>5510</v>
      </c>
      <c r="B177" s="250"/>
      <c r="C177" s="62">
        <v>0.1</v>
      </c>
      <c r="D177" s="95">
        <v>0.77</v>
      </c>
      <c r="E177" s="95">
        <v>0.77</v>
      </c>
      <c r="F177" s="229" t="s">
        <v>1656</v>
      </c>
      <c r="I177" s="35" t="s">
        <v>5510</v>
      </c>
      <c r="J177" s="251">
        <v>7023.0</v>
      </c>
      <c r="K177" s="36"/>
      <c r="L177" s="36" t="e">
        <v>#N/A</v>
      </c>
    </row>
    <row r="178">
      <c r="A178" s="25" t="s">
        <v>5511</v>
      </c>
      <c r="B178" s="25">
        <v>6675.0</v>
      </c>
      <c r="C178" s="62">
        <v>0.1</v>
      </c>
      <c r="D178" s="95">
        <v>0.85</v>
      </c>
      <c r="E178" s="95">
        <v>0.85</v>
      </c>
      <c r="F178" s="229" t="s">
        <v>1656</v>
      </c>
      <c r="I178" s="35" t="s">
        <v>5511</v>
      </c>
      <c r="J178" s="35">
        <v>6675.0</v>
      </c>
      <c r="K178" s="36"/>
      <c r="L178" s="36" t="e">
        <v>#N/A</v>
      </c>
    </row>
    <row r="179">
      <c r="A179" s="25" t="s">
        <v>5512</v>
      </c>
      <c r="B179" s="25">
        <v>7031.0</v>
      </c>
      <c r="C179" s="62">
        <v>0.1</v>
      </c>
      <c r="D179" s="95">
        <v>0.77</v>
      </c>
      <c r="E179" s="95">
        <v>0.77</v>
      </c>
      <c r="F179" s="229" t="s">
        <v>1656</v>
      </c>
      <c r="I179" s="37" t="s">
        <v>5512</v>
      </c>
      <c r="J179" s="37">
        <v>7031.0</v>
      </c>
      <c r="K179" s="45"/>
      <c r="L179" s="45">
        <v>1.0</v>
      </c>
    </row>
    <row r="180">
      <c r="A180" s="25" t="s">
        <v>5513</v>
      </c>
      <c r="B180" s="25"/>
      <c r="C180" s="62">
        <v>0.1</v>
      </c>
      <c r="D180" s="95">
        <v>0.77</v>
      </c>
      <c r="E180" s="95">
        <v>0.77</v>
      </c>
      <c r="F180" s="229" t="s">
        <v>1656</v>
      </c>
      <c r="I180" s="35" t="s">
        <v>5513</v>
      </c>
      <c r="J180" s="35">
        <v>6827.0</v>
      </c>
      <c r="K180" s="36"/>
      <c r="L180" s="36" t="e">
        <v>#N/A</v>
      </c>
    </row>
    <row r="181">
      <c r="A181" s="25" t="s">
        <v>5514</v>
      </c>
      <c r="B181" s="25"/>
      <c r="C181" s="62">
        <v>0.1</v>
      </c>
      <c r="D181" s="95">
        <v>0.77</v>
      </c>
      <c r="E181" s="95">
        <v>0.77</v>
      </c>
      <c r="F181" s="229" t="s">
        <v>1656</v>
      </c>
      <c r="I181" s="35" t="s">
        <v>5514</v>
      </c>
      <c r="J181" s="35">
        <v>7046.0</v>
      </c>
      <c r="K181" s="36"/>
      <c r="L181" s="36" t="e">
        <v>#N/A</v>
      </c>
    </row>
    <row r="182">
      <c r="A182" s="25" t="s">
        <v>5515</v>
      </c>
      <c r="B182" s="25"/>
      <c r="C182" s="62">
        <v>0.1</v>
      </c>
      <c r="D182" s="95">
        <v>0.77</v>
      </c>
      <c r="E182" s="95">
        <v>0.77</v>
      </c>
      <c r="F182" s="229" t="s">
        <v>1656</v>
      </c>
      <c r="I182" s="35" t="s">
        <v>5515</v>
      </c>
      <c r="J182" s="35">
        <v>7051.0</v>
      </c>
      <c r="K182" s="36"/>
      <c r="L182" s="36" t="e">
        <v>#N/A</v>
      </c>
    </row>
    <row r="183">
      <c r="A183" s="25" t="s">
        <v>5516</v>
      </c>
      <c r="B183" s="25"/>
      <c r="C183" s="62">
        <v>0.1</v>
      </c>
      <c r="D183" s="95">
        <v>0.77</v>
      </c>
      <c r="E183" s="95">
        <v>0.77</v>
      </c>
      <c r="F183" s="229" t="s">
        <v>1656</v>
      </c>
      <c r="I183" s="35" t="s">
        <v>5516</v>
      </c>
      <c r="J183" s="35">
        <v>6928.0</v>
      </c>
      <c r="K183" s="36"/>
      <c r="L183" s="36" t="e">
        <v>#N/A</v>
      </c>
    </row>
    <row r="184">
      <c r="A184" s="25" t="s">
        <v>5517</v>
      </c>
      <c r="B184" s="25"/>
      <c r="C184" s="62">
        <v>0.1</v>
      </c>
      <c r="D184" s="95">
        <v>0.77</v>
      </c>
      <c r="E184" s="95">
        <v>0.77</v>
      </c>
      <c r="F184" s="229" t="s">
        <v>1656</v>
      </c>
      <c r="I184" s="35" t="s">
        <v>5517</v>
      </c>
      <c r="J184" s="35">
        <v>6998.0</v>
      </c>
      <c r="K184" s="36"/>
      <c r="L184" s="36" t="e">
        <v>#N/A</v>
      </c>
    </row>
    <row r="185">
      <c r="A185" s="25" t="s">
        <v>5518</v>
      </c>
      <c r="B185" s="25"/>
      <c r="C185" s="62">
        <v>0.1</v>
      </c>
      <c r="D185" s="95">
        <v>0.77</v>
      </c>
      <c r="E185" s="95">
        <v>0.77</v>
      </c>
      <c r="F185" s="229" t="s">
        <v>1656</v>
      </c>
      <c r="I185" s="35" t="s">
        <v>5518</v>
      </c>
      <c r="J185" s="35">
        <v>7080.0</v>
      </c>
      <c r="K185" s="35">
        <v>1360.0</v>
      </c>
      <c r="L185" s="36" t="e">
        <v>#N/A</v>
      </c>
    </row>
    <row r="186">
      <c r="A186" s="25" t="s">
        <v>5519</v>
      </c>
      <c r="B186" s="25"/>
      <c r="C186" s="62">
        <v>0.1</v>
      </c>
      <c r="D186" s="95">
        <v>0.77</v>
      </c>
      <c r="E186" s="95">
        <v>0.77</v>
      </c>
      <c r="F186" s="229" t="s">
        <v>1656</v>
      </c>
      <c r="I186" s="35" t="s">
        <v>5519</v>
      </c>
      <c r="J186" s="35">
        <v>6873.0</v>
      </c>
      <c r="K186" s="35">
        <v>136.0</v>
      </c>
      <c r="L186" s="36" t="e">
        <v>#N/A</v>
      </c>
    </row>
    <row r="187">
      <c r="A187" s="25" t="s">
        <v>5520</v>
      </c>
      <c r="B187" s="25"/>
      <c r="C187" s="62">
        <v>0.1</v>
      </c>
      <c r="D187" s="95">
        <v>0.77</v>
      </c>
      <c r="E187" s="95">
        <v>0.77</v>
      </c>
      <c r="F187" s="229" t="s">
        <v>1656</v>
      </c>
      <c r="I187" s="35" t="s">
        <v>5520</v>
      </c>
      <c r="J187" s="35">
        <v>7104.0</v>
      </c>
      <c r="K187" s="35">
        <v>7040.0</v>
      </c>
      <c r="L187" s="36" t="e">
        <v>#N/A</v>
      </c>
    </row>
    <row r="188">
      <c r="A188" s="25" t="s">
        <v>5521</v>
      </c>
      <c r="B188" s="25"/>
      <c r="C188" s="62">
        <v>0.1</v>
      </c>
      <c r="D188" s="95">
        <v>0.77</v>
      </c>
      <c r="E188" s="95">
        <v>0.77</v>
      </c>
      <c r="F188" s="229" t="s">
        <v>1656</v>
      </c>
      <c r="I188" s="35" t="s">
        <v>5521</v>
      </c>
      <c r="J188" s="35">
        <v>6887.0</v>
      </c>
      <c r="K188" s="36"/>
      <c r="L188" s="36" t="e">
        <v>#N/A</v>
      </c>
    </row>
    <row r="189">
      <c r="A189" s="25" t="s">
        <v>5522</v>
      </c>
      <c r="B189" s="252"/>
      <c r="C189" s="62">
        <v>0.1</v>
      </c>
      <c r="D189" s="95">
        <v>0.77</v>
      </c>
      <c r="E189" s="95">
        <v>0.77</v>
      </c>
      <c r="F189" s="229" t="s">
        <v>1656</v>
      </c>
      <c r="I189" s="35" t="s">
        <v>5522</v>
      </c>
      <c r="J189" s="124">
        <v>6780.0</v>
      </c>
      <c r="K189" s="36"/>
      <c r="L189" s="36" t="e">
        <v>#N/A</v>
      </c>
    </row>
    <row r="190">
      <c r="A190" s="25" t="s">
        <v>5523</v>
      </c>
      <c r="B190" s="25"/>
      <c r="C190" s="62">
        <v>0.1</v>
      </c>
      <c r="D190" s="95">
        <v>0.77</v>
      </c>
      <c r="E190" s="95">
        <v>0.77</v>
      </c>
      <c r="F190" s="229" t="s">
        <v>1656</v>
      </c>
      <c r="I190" s="35" t="s">
        <v>5523</v>
      </c>
      <c r="J190" s="35">
        <v>6772.0</v>
      </c>
      <c r="K190" s="36"/>
      <c r="L190" s="36" t="e">
        <v>#N/A</v>
      </c>
    </row>
    <row r="191">
      <c r="A191" s="25" t="s">
        <v>5524</v>
      </c>
      <c r="B191" s="252"/>
      <c r="C191" s="62">
        <v>0.1</v>
      </c>
      <c r="D191" s="95">
        <v>0.77</v>
      </c>
      <c r="E191" s="95">
        <v>0.77</v>
      </c>
      <c r="F191" s="229" t="s">
        <v>1656</v>
      </c>
      <c r="I191" s="35" t="s">
        <v>5524</v>
      </c>
      <c r="J191" s="124">
        <v>6697.0</v>
      </c>
      <c r="K191" s="36"/>
      <c r="L191" s="36" t="e">
        <v>#N/A</v>
      </c>
    </row>
    <row r="192">
      <c r="A192" s="25" t="s">
        <v>5525</v>
      </c>
      <c r="B192" s="25"/>
      <c r="C192" s="62">
        <v>0.1</v>
      </c>
      <c r="D192" s="95">
        <v>0.77</v>
      </c>
      <c r="E192" s="95">
        <v>0.77</v>
      </c>
      <c r="F192" s="229" t="s">
        <v>1656</v>
      </c>
      <c r="I192" s="35" t="s">
        <v>5525</v>
      </c>
      <c r="J192" s="35">
        <v>7070.0</v>
      </c>
      <c r="K192" s="36"/>
      <c r="L192" s="36" t="e">
        <v>#N/A</v>
      </c>
    </row>
    <row r="193">
      <c r="A193" s="25" t="s">
        <v>5526</v>
      </c>
      <c r="B193" s="25"/>
      <c r="C193" s="62">
        <v>0.1</v>
      </c>
      <c r="D193" s="95">
        <v>0.77</v>
      </c>
      <c r="E193" s="95">
        <v>0.77</v>
      </c>
      <c r="F193" s="229" t="s">
        <v>1656</v>
      </c>
      <c r="I193" s="35" t="s">
        <v>5526</v>
      </c>
      <c r="J193" s="35">
        <v>7070.0</v>
      </c>
      <c r="K193" s="36"/>
      <c r="L193" s="36" t="e">
        <v>#N/A</v>
      </c>
    </row>
    <row r="194">
      <c r="A194" s="25" t="s">
        <v>5527</v>
      </c>
      <c r="B194" s="25"/>
      <c r="C194" s="62">
        <v>0.1</v>
      </c>
      <c r="D194" s="95">
        <v>0.77</v>
      </c>
      <c r="E194" s="95">
        <v>0.77</v>
      </c>
      <c r="F194" s="229" t="s">
        <v>1656</v>
      </c>
      <c r="I194" s="35" t="s">
        <v>5527</v>
      </c>
      <c r="J194" s="35">
        <v>7070.0</v>
      </c>
      <c r="K194" s="36"/>
      <c r="L194" s="36" t="e">
        <v>#N/A</v>
      </c>
    </row>
    <row r="195">
      <c r="A195" s="25" t="s">
        <v>5528</v>
      </c>
      <c r="B195" s="25"/>
      <c r="C195" s="62">
        <v>0.1</v>
      </c>
      <c r="D195" s="95">
        <v>0.77</v>
      </c>
      <c r="E195" s="95">
        <v>0.77</v>
      </c>
      <c r="F195" s="229" t="s">
        <v>1656</v>
      </c>
      <c r="I195" s="35" t="s">
        <v>5528</v>
      </c>
      <c r="J195" s="35">
        <v>7033.0</v>
      </c>
      <c r="K195" s="36"/>
      <c r="L195" s="36" t="e">
        <v>#N/A</v>
      </c>
    </row>
    <row r="196">
      <c r="A196" s="25" t="s">
        <v>5529</v>
      </c>
      <c r="B196" s="25"/>
      <c r="C196" s="62">
        <v>0.1</v>
      </c>
      <c r="D196" s="95">
        <v>0.77</v>
      </c>
      <c r="E196" s="95">
        <v>0.77</v>
      </c>
      <c r="F196" s="229" t="s">
        <v>1656</v>
      </c>
      <c r="I196" s="35" t="s">
        <v>5529</v>
      </c>
      <c r="J196" s="35">
        <v>6530.0</v>
      </c>
      <c r="K196" s="36"/>
      <c r="L196" s="36" t="e">
        <v>#N/A</v>
      </c>
    </row>
    <row r="197">
      <c r="A197" s="25" t="s">
        <v>5530</v>
      </c>
      <c r="B197" s="25"/>
      <c r="C197" s="62">
        <v>0.1</v>
      </c>
      <c r="D197" s="95">
        <v>0.77</v>
      </c>
      <c r="E197" s="95">
        <v>0.77</v>
      </c>
      <c r="F197" s="229" t="s">
        <v>1656</v>
      </c>
      <c r="I197" s="35" t="s">
        <v>5530</v>
      </c>
      <c r="J197" s="35">
        <v>6530.0</v>
      </c>
      <c r="K197" s="36"/>
      <c r="L197" s="36" t="e">
        <v>#N/A</v>
      </c>
    </row>
    <row r="198">
      <c r="A198" s="25" t="s">
        <v>5531</v>
      </c>
      <c r="B198" s="25"/>
      <c r="C198" s="62">
        <v>0.1</v>
      </c>
      <c r="D198" s="95">
        <v>0.77</v>
      </c>
      <c r="E198" s="95">
        <v>0.77</v>
      </c>
      <c r="F198" s="229" t="s">
        <v>1656</v>
      </c>
      <c r="I198" s="35" t="s">
        <v>5531</v>
      </c>
      <c r="J198" s="35">
        <v>136.0</v>
      </c>
      <c r="K198" s="36"/>
      <c r="L198" s="36" t="e">
        <v>#N/A</v>
      </c>
    </row>
    <row r="199">
      <c r="A199" s="25" t="s">
        <v>5532</v>
      </c>
      <c r="B199" s="25"/>
      <c r="C199" s="62">
        <v>0.1</v>
      </c>
      <c r="D199" s="95">
        <v>0.77</v>
      </c>
      <c r="E199" s="95">
        <v>0.77</v>
      </c>
      <c r="F199" s="229" t="s">
        <v>1656</v>
      </c>
      <c r="I199" s="35" t="s">
        <v>5532</v>
      </c>
      <c r="J199" s="35">
        <v>7168.0</v>
      </c>
      <c r="K199" s="35">
        <v>7098.0</v>
      </c>
      <c r="L199" s="36" t="e">
        <v>#N/A</v>
      </c>
    </row>
    <row r="200">
      <c r="A200" s="25" t="s">
        <v>5533</v>
      </c>
      <c r="B200" s="25"/>
      <c r="C200" s="62">
        <v>0.1</v>
      </c>
      <c r="D200" s="95">
        <v>0.77</v>
      </c>
      <c r="E200" s="95">
        <v>0.77</v>
      </c>
      <c r="F200" s="229" t="s">
        <v>1656</v>
      </c>
      <c r="I200" s="35" t="s">
        <v>5533</v>
      </c>
      <c r="J200" s="35">
        <v>7129.0</v>
      </c>
      <c r="K200" s="35">
        <v>6998.0</v>
      </c>
      <c r="L200" s="36" t="e">
        <v>#N/A</v>
      </c>
    </row>
    <row r="201">
      <c r="A201" s="25" t="s">
        <v>5534</v>
      </c>
      <c r="B201" s="25"/>
      <c r="C201" s="62">
        <v>0.1</v>
      </c>
      <c r="D201" s="95">
        <v>0.77</v>
      </c>
      <c r="E201" s="95">
        <v>0.77</v>
      </c>
      <c r="F201" s="229" t="s">
        <v>1656</v>
      </c>
      <c r="I201" s="35" t="s">
        <v>5534</v>
      </c>
      <c r="J201" s="35">
        <v>7113.0</v>
      </c>
      <c r="K201" s="35">
        <v>1360.0</v>
      </c>
      <c r="L201" s="36" t="e">
        <v>#N/A</v>
      </c>
    </row>
    <row r="202">
      <c r="A202" s="25" t="s">
        <v>5535</v>
      </c>
      <c r="B202" s="25">
        <v>7083.0</v>
      </c>
      <c r="C202" s="62">
        <v>0.1</v>
      </c>
      <c r="D202" s="95">
        <v>0.77</v>
      </c>
      <c r="E202" s="95">
        <v>0.77</v>
      </c>
      <c r="F202" s="229" t="s">
        <v>1656</v>
      </c>
      <c r="I202" s="37" t="s">
        <v>5535</v>
      </c>
      <c r="J202" s="37">
        <v>7083.0</v>
      </c>
      <c r="K202" s="45"/>
      <c r="L202" s="45">
        <v>1.0</v>
      </c>
    </row>
    <row r="203">
      <c r="A203" s="25" t="s">
        <v>5536</v>
      </c>
      <c r="B203" s="25"/>
      <c r="C203" s="62">
        <v>0.1</v>
      </c>
      <c r="D203" s="95">
        <v>0.77</v>
      </c>
      <c r="E203" s="95">
        <v>0.77</v>
      </c>
      <c r="F203" s="229" t="s">
        <v>1656</v>
      </c>
      <c r="I203" s="35" t="s">
        <v>5536</v>
      </c>
      <c r="J203" s="35">
        <v>6530.0</v>
      </c>
      <c r="K203" s="36"/>
      <c r="L203" s="36" t="e">
        <v>#N/A</v>
      </c>
    </row>
    <row r="204">
      <c r="A204" s="25" t="s">
        <v>5537</v>
      </c>
      <c r="B204" s="25">
        <v>3307.0</v>
      </c>
      <c r="C204" s="62">
        <v>0.1</v>
      </c>
      <c r="D204" s="95">
        <v>0.77</v>
      </c>
      <c r="E204" s="95">
        <v>0.77</v>
      </c>
      <c r="F204" s="229" t="s">
        <v>1656</v>
      </c>
      <c r="I204" s="35" t="s">
        <v>5537</v>
      </c>
      <c r="J204" s="35">
        <v>3307.0</v>
      </c>
      <c r="K204" s="36"/>
      <c r="L204" s="36" t="e">
        <v>#N/A</v>
      </c>
    </row>
    <row r="205">
      <c r="A205" s="25" t="s">
        <v>5538</v>
      </c>
      <c r="B205" s="25"/>
      <c r="C205" s="62">
        <v>0.1</v>
      </c>
      <c r="D205" s="95">
        <v>0.77</v>
      </c>
      <c r="E205" s="95">
        <v>0.77</v>
      </c>
      <c r="F205" s="229" t="s">
        <v>1656</v>
      </c>
      <c r="I205" s="35" t="s">
        <v>5538</v>
      </c>
      <c r="J205" s="35">
        <v>6908.0</v>
      </c>
      <c r="K205" s="36"/>
      <c r="L205" s="36" t="e">
        <v>#N/A</v>
      </c>
    </row>
    <row r="206">
      <c r="A206" s="25" t="s">
        <v>5539</v>
      </c>
      <c r="B206" s="25"/>
      <c r="C206" s="62">
        <v>0.1</v>
      </c>
      <c r="D206" s="95">
        <v>0.77</v>
      </c>
      <c r="E206" s="95">
        <v>0.77</v>
      </c>
      <c r="F206" s="229" t="s">
        <v>1656</v>
      </c>
      <c r="I206" s="35" t="s">
        <v>5539</v>
      </c>
      <c r="J206" s="35">
        <v>986.0</v>
      </c>
      <c r="K206" s="36"/>
      <c r="L206" s="36" t="e">
        <v>#N/A</v>
      </c>
    </row>
    <row r="207">
      <c r="A207" s="25" t="s">
        <v>5540</v>
      </c>
      <c r="B207" s="25"/>
      <c r="C207" s="62">
        <v>0.1</v>
      </c>
      <c r="D207" s="95">
        <v>0.77</v>
      </c>
      <c r="E207" s="95">
        <v>0.77</v>
      </c>
      <c r="F207" s="229" t="s">
        <v>1656</v>
      </c>
      <c r="I207" s="35" t="s">
        <v>5540</v>
      </c>
      <c r="J207" s="35">
        <v>986.0</v>
      </c>
      <c r="K207" s="36"/>
      <c r="L207" s="36" t="e">
        <v>#N/A</v>
      </c>
    </row>
    <row r="208">
      <c r="A208" s="25" t="s">
        <v>5541</v>
      </c>
      <c r="B208" s="25"/>
      <c r="C208" s="62">
        <v>0.1</v>
      </c>
      <c r="D208" s="95">
        <v>0.77</v>
      </c>
      <c r="E208" s="95">
        <v>0.77</v>
      </c>
      <c r="F208" s="229" t="s">
        <v>1656</v>
      </c>
      <c r="I208" s="35" t="s">
        <v>5541</v>
      </c>
      <c r="J208" s="35">
        <v>986.0</v>
      </c>
      <c r="K208" s="36"/>
      <c r="L208" s="36" t="e">
        <v>#N/A</v>
      </c>
    </row>
    <row r="209">
      <c r="A209" s="25" t="s">
        <v>5542</v>
      </c>
      <c r="B209" s="25"/>
      <c r="C209" s="62">
        <v>0.1</v>
      </c>
      <c r="D209" s="95">
        <v>0.77</v>
      </c>
      <c r="E209" s="95">
        <v>0.77</v>
      </c>
      <c r="F209" s="229" t="s">
        <v>1656</v>
      </c>
      <c r="I209" s="35" t="s">
        <v>5542</v>
      </c>
      <c r="J209" s="35">
        <v>986.0</v>
      </c>
      <c r="K209" s="36"/>
      <c r="L209" s="36" t="e">
        <v>#N/A</v>
      </c>
    </row>
    <row r="210">
      <c r="A210" s="25" t="s">
        <v>5543</v>
      </c>
      <c r="B210" s="25">
        <v>986.0</v>
      </c>
      <c r="C210" s="62">
        <v>0.1</v>
      </c>
      <c r="D210" s="95">
        <v>0.85</v>
      </c>
      <c r="E210" s="95">
        <v>0.85</v>
      </c>
      <c r="F210" s="229" t="s">
        <v>1656</v>
      </c>
      <c r="I210" s="37" t="s">
        <v>5543</v>
      </c>
      <c r="J210" s="37">
        <v>986.0</v>
      </c>
      <c r="K210" s="45"/>
      <c r="L210" s="45">
        <v>1.0</v>
      </c>
    </row>
    <row r="211">
      <c r="A211" s="25" t="s">
        <v>1956</v>
      </c>
      <c r="B211" s="25"/>
      <c r="C211" s="62">
        <v>0.1</v>
      </c>
      <c r="D211" s="95">
        <v>0.77</v>
      </c>
      <c r="E211" s="95">
        <v>0.77</v>
      </c>
      <c r="F211" s="229" t="s">
        <v>1656</v>
      </c>
      <c r="I211" s="35" t="s">
        <v>1956</v>
      </c>
      <c r="J211" s="35">
        <v>7055.0</v>
      </c>
      <c r="K211" s="36"/>
      <c r="L211" s="36" t="e">
        <v>#N/A</v>
      </c>
    </row>
    <row r="212">
      <c r="A212" s="25" t="s">
        <v>9</v>
      </c>
      <c r="B212" s="253">
        <v>6671.0</v>
      </c>
      <c r="C212" s="62">
        <v>0.1</v>
      </c>
      <c r="D212" s="95">
        <v>0.77</v>
      </c>
      <c r="E212" s="95">
        <v>0.77</v>
      </c>
      <c r="F212" s="229" t="s">
        <v>1656</v>
      </c>
      <c r="I212" s="35" t="s">
        <v>9</v>
      </c>
      <c r="J212" s="35">
        <v>6671.0</v>
      </c>
      <c r="K212" s="36"/>
      <c r="L212" s="36" t="e">
        <v>#N/A</v>
      </c>
    </row>
    <row r="213">
      <c r="A213" s="25" t="s">
        <v>1959</v>
      </c>
      <c r="B213" s="253">
        <v>7132.0</v>
      </c>
      <c r="C213" s="62">
        <v>0.1</v>
      </c>
      <c r="D213" s="95">
        <v>0.77</v>
      </c>
      <c r="E213" s="95">
        <v>0.77</v>
      </c>
      <c r="F213" s="229" t="s">
        <v>1656</v>
      </c>
      <c r="I213" s="35" t="s">
        <v>1959</v>
      </c>
      <c r="J213" s="35">
        <v>7132.0</v>
      </c>
      <c r="K213" s="36"/>
      <c r="L213" s="36" t="e">
        <v>#N/A</v>
      </c>
    </row>
    <row r="214">
      <c r="A214" s="254" t="s">
        <v>1994</v>
      </c>
      <c r="B214" s="25"/>
      <c r="C214" s="62">
        <v>0.1</v>
      </c>
      <c r="D214" s="95">
        <v>0.77</v>
      </c>
      <c r="E214" s="95">
        <v>0.77</v>
      </c>
      <c r="F214" s="229" t="s">
        <v>1656</v>
      </c>
      <c r="I214" s="127" t="s">
        <v>1994</v>
      </c>
      <c r="J214" s="35">
        <v>7416.0</v>
      </c>
      <c r="K214" s="36"/>
      <c r="L214" s="36" t="e">
        <v>#N/A</v>
      </c>
    </row>
    <row r="215">
      <c r="A215" s="254" t="s">
        <v>1996</v>
      </c>
      <c r="B215" s="25"/>
      <c r="C215" s="62">
        <v>0.1</v>
      </c>
      <c r="D215" s="95">
        <v>0.77</v>
      </c>
      <c r="E215" s="95">
        <v>0.77</v>
      </c>
      <c r="F215" s="229" t="s">
        <v>1656</v>
      </c>
      <c r="I215" s="127" t="s">
        <v>1996</v>
      </c>
      <c r="J215" s="35">
        <v>6936.0</v>
      </c>
      <c r="K215" s="36"/>
      <c r="L215" s="36" t="e">
        <v>#N/A</v>
      </c>
    </row>
    <row r="216">
      <c r="A216" s="254" t="s">
        <v>1960</v>
      </c>
      <c r="B216" s="25"/>
      <c r="C216" s="62">
        <v>0.1</v>
      </c>
      <c r="D216" s="95">
        <v>0.77</v>
      </c>
      <c r="E216" s="95">
        <v>0.77</v>
      </c>
      <c r="F216" s="229" t="s">
        <v>1656</v>
      </c>
      <c r="I216" s="127" t="s">
        <v>1960</v>
      </c>
      <c r="J216" s="35">
        <v>7414.0</v>
      </c>
      <c r="K216" s="36"/>
      <c r="L216" s="36" t="e">
        <v>#N/A</v>
      </c>
    </row>
    <row r="217">
      <c r="A217" s="254" t="s">
        <v>1999</v>
      </c>
      <c r="B217" s="25"/>
      <c r="C217" s="62">
        <v>0.1</v>
      </c>
      <c r="D217" s="95">
        <v>0.77</v>
      </c>
      <c r="E217" s="95">
        <v>0.77</v>
      </c>
      <c r="F217" s="229" t="s">
        <v>1656</v>
      </c>
      <c r="I217" s="127" t="s">
        <v>1999</v>
      </c>
      <c r="J217" s="35">
        <v>6658.0</v>
      </c>
      <c r="K217" s="36"/>
      <c r="L217" s="36" t="e">
        <v>#N/A</v>
      </c>
    </row>
    <row r="218">
      <c r="A218" s="254" t="s">
        <v>1961</v>
      </c>
      <c r="B218" s="25"/>
      <c r="C218" s="62">
        <v>0.1</v>
      </c>
      <c r="D218" s="95">
        <v>0.77</v>
      </c>
      <c r="E218" s="95">
        <v>0.77</v>
      </c>
      <c r="F218" s="229" t="s">
        <v>1656</v>
      </c>
      <c r="I218" s="125" t="s">
        <v>1961</v>
      </c>
      <c r="J218" s="37">
        <v>3381.0</v>
      </c>
      <c r="K218" s="45"/>
      <c r="L218" s="45">
        <v>1.0</v>
      </c>
    </row>
    <row r="219">
      <c r="A219" s="254" t="s">
        <v>1962</v>
      </c>
      <c r="B219" s="25"/>
      <c r="C219" s="62">
        <v>0.1</v>
      </c>
      <c r="D219" s="95">
        <v>0.77</v>
      </c>
      <c r="E219" s="95">
        <v>0.77</v>
      </c>
      <c r="F219" s="229" t="s">
        <v>1656</v>
      </c>
      <c r="I219" s="127" t="s">
        <v>1962</v>
      </c>
      <c r="J219" s="35">
        <v>6669.0</v>
      </c>
      <c r="K219" s="36"/>
      <c r="L219" s="36" t="e">
        <v>#N/A</v>
      </c>
    </row>
    <row r="220">
      <c r="A220" s="254" t="s">
        <v>1963</v>
      </c>
      <c r="B220" s="25"/>
      <c r="C220" s="62">
        <v>0.1</v>
      </c>
      <c r="D220" s="95">
        <v>0.77</v>
      </c>
      <c r="E220" s="95">
        <v>0.77</v>
      </c>
      <c r="F220" s="229" t="s">
        <v>1656</v>
      </c>
      <c r="I220" s="127" t="s">
        <v>1963</v>
      </c>
      <c r="J220" s="35">
        <v>6940.0</v>
      </c>
      <c r="K220" s="36"/>
      <c r="L220" s="36" t="e">
        <v>#N/A</v>
      </c>
    </row>
    <row r="221">
      <c r="A221" s="254" t="s">
        <v>1964</v>
      </c>
      <c r="B221" s="25"/>
      <c r="C221" s="62">
        <v>0.1</v>
      </c>
      <c r="D221" s="95">
        <v>0.77</v>
      </c>
      <c r="E221" s="95">
        <v>0.77</v>
      </c>
      <c r="F221" s="229" t="s">
        <v>1656</v>
      </c>
      <c r="I221" s="127" t="s">
        <v>1964</v>
      </c>
      <c r="J221" s="35">
        <v>6669.0</v>
      </c>
      <c r="K221" s="36"/>
      <c r="L221" s="36" t="e">
        <v>#N/A</v>
      </c>
    </row>
    <row r="222">
      <c r="A222" s="254" t="s">
        <v>1965</v>
      </c>
      <c r="B222" s="25">
        <v>189.0</v>
      </c>
      <c r="C222" s="62">
        <v>0.1</v>
      </c>
      <c r="D222" s="95">
        <v>0.85</v>
      </c>
      <c r="E222" s="95">
        <v>0.85</v>
      </c>
      <c r="F222" s="229" t="s">
        <v>1656</v>
      </c>
      <c r="I222" s="125" t="s">
        <v>1965</v>
      </c>
      <c r="J222" s="37">
        <v>189.0</v>
      </c>
      <c r="K222" s="45"/>
      <c r="L222" s="45">
        <v>1.0</v>
      </c>
    </row>
    <row r="223">
      <c r="A223" s="254" t="s">
        <v>1966</v>
      </c>
      <c r="B223" s="25"/>
      <c r="C223" s="62">
        <v>0.1</v>
      </c>
      <c r="D223" s="95">
        <v>0.77</v>
      </c>
      <c r="E223" s="95">
        <v>0.77</v>
      </c>
      <c r="F223" s="229" t="s">
        <v>1656</v>
      </c>
      <c r="I223" s="127" t="s">
        <v>1966</v>
      </c>
      <c r="J223" s="35">
        <v>6669.0</v>
      </c>
      <c r="K223" s="36"/>
      <c r="L223" s="36" t="e">
        <v>#N/A</v>
      </c>
    </row>
    <row r="224">
      <c r="A224" s="254" t="s">
        <v>2071</v>
      </c>
      <c r="B224" s="25"/>
      <c r="C224" s="62">
        <v>0.1</v>
      </c>
      <c r="D224" s="95">
        <v>0.77</v>
      </c>
      <c r="E224" s="95">
        <v>0.77</v>
      </c>
      <c r="F224" s="229" t="s">
        <v>1656</v>
      </c>
      <c r="I224" s="127" t="s">
        <v>2071</v>
      </c>
      <c r="J224" s="35">
        <v>7246.0</v>
      </c>
      <c r="K224" s="36"/>
      <c r="L224" s="36" t="e">
        <v>#N/A</v>
      </c>
    </row>
    <row r="225">
      <c r="A225" s="254" t="s">
        <v>1967</v>
      </c>
      <c r="B225" s="25">
        <v>14465.0</v>
      </c>
      <c r="C225" s="62">
        <v>0.1</v>
      </c>
      <c r="D225" s="95">
        <v>0.9</v>
      </c>
      <c r="E225" s="95">
        <v>0.9</v>
      </c>
      <c r="F225" s="229" t="s">
        <v>1656</v>
      </c>
      <c r="I225" s="127" t="s">
        <v>1967</v>
      </c>
      <c r="J225" s="35">
        <v>10141.0</v>
      </c>
      <c r="K225" s="36"/>
      <c r="L225" s="36" t="e">
        <v>#N/A</v>
      </c>
    </row>
    <row r="226">
      <c r="A226" s="254" t="s">
        <v>1969</v>
      </c>
      <c r="B226" s="25"/>
      <c r="C226" s="62">
        <v>0.1</v>
      </c>
      <c r="D226" s="95">
        <v>0.77</v>
      </c>
      <c r="E226" s="95">
        <v>0.77</v>
      </c>
      <c r="F226" s="229" t="s">
        <v>1656</v>
      </c>
      <c r="I226" s="127" t="s">
        <v>1969</v>
      </c>
      <c r="J226" s="35">
        <v>7158.0</v>
      </c>
      <c r="K226" s="36"/>
      <c r="L226" s="36" t="e">
        <v>#N/A</v>
      </c>
    </row>
    <row r="227">
      <c r="A227" s="254" t="s">
        <v>1971</v>
      </c>
      <c r="B227" s="25"/>
      <c r="C227" s="62">
        <v>0.1</v>
      </c>
      <c r="D227" s="95">
        <v>0.77</v>
      </c>
      <c r="E227" s="95">
        <v>0.77</v>
      </c>
      <c r="F227" s="229" t="s">
        <v>1656</v>
      </c>
      <c r="I227" s="127" t="s">
        <v>1971</v>
      </c>
      <c r="J227" s="35">
        <v>3689.0</v>
      </c>
      <c r="K227" s="36"/>
      <c r="L227" s="36" t="e">
        <v>#N/A</v>
      </c>
    </row>
    <row r="228">
      <c r="A228" s="254" t="s">
        <v>1972</v>
      </c>
      <c r="B228" s="25"/>
      <c r="C228" s="62">
        <v>0.1</v>
      </c>
      <c r="D228" s="95">
        <v>0.77</v>
      </c>
      <c r="E228" s="95">
        <v>0.77</v>
      </c>
      <c r="F228" s="229" t="s">
        <v>1656</v>
      </c>
      <c r="I228" s="127" t="s">
        <v>1972</v>
      </c>
      <c r="J228" s="35">
        <v>6893.0</v>
      </c>
      <c r="K228" s="36"/>
      <c r="L228" s="36" t="e">
        <v>#N/A</v>
      </c>
    </row>
    <row r="229">
      <c r="A229" s="254" t="s">
        <v>1973</v>
      </c>
      <c r="B229" s="25"/>
      <c r="C229" s="62">
        <v>0.1</v>
      </c>
      <c r="D229" s="95">
        <v>0.77</v>
      </c>
      <c r="E229" s="95">
        <v>0.77</v>
      </c>
      <c r="F229" s="229" t="s">
        <v>1656</v>
      </c>
      <c r="I229" s="127" t="s">
        <v>1973</v>
      </c>
      <c r="J229" s="35">
        <v>11708.0</v>
      </c>
      <c r="K229" s="36"/>
      <c r="L229" s="36" t="e">
        <v>#N/A</v>
      </c>
    </row>
    <row r="230">
      <c r="A230" s="254" t="s">
        <v>1974</v>
      </c>
      <c r="B230" s="253">
        <v>1.0</v>
      </c>
      <c r="C230" s="62">
        <v>0.1</v>
      </c>
      <c r="D230" s="95">
        <v>0.77</v>
      </c>
      <c r="E230" s="95">
        <v>0.77</v>
      </c>
      <c r="F230" s="229" t="s">
        <v>1656</v>
      </c>
      <c r="I230" s="127" t="s">
        <v>1974</v>
      </c>
      <c r="J230" s="109">
        <v>1.0</v>
      </c>
      <c r="K230" s="36"/>
      <c r="L230" s="36" t="e">
        <v>#N/A</v>
      </c>
    </row>
    <row r="231">
      <c r="A231" s="254" t="s">
        <v>1975</v>
      </c>
      <c r="B231" s="25"/>
      <c r="C231" s="62">
        <v>0.1</v>
      </c>
      <c r="D231" s="95">
        <v>0.77</v>
      </c>
      <c r="E231" s="95">
        <v>0.77</v>
      </c>
      <c r="F231" s="229" t="s">
        <v>1656</v>
      </c>
      <c r="I231" s="127" t="s">
        <v>1975</v>
      </c>
      <c r="J231" s="35">
        <v>11104.0</v>
      </c>
      <c r="K231" s="36"/>
      <c r="L231" s="36" t="e">
        <v>#N/A</v>
      </c>
    </row>
    <row r="232">
      <c r="A232" s="254" t="s">
        <v>1976</v>
      </c>
      <c r="B232" s="25"/>
      <c r="C232" s="62">
        <v>0.1</v>
      </c>
      <c r="D232" s="95">
        <v>0.77</v>
      </c>
      <c r="E232" s="95">
        <v>0.77</v>
      </c>
      <c r="F232" s="229" t="s">
        <v>1656</v>
      </c>
      <c r="I232" s="127" t="s">
        <v>1976</v>
      </c>
      <c r="J232" s="35">
        <v>12262.0</v>
      </c>
      <c r="K232" s="36"/>
      <c r="L232" s="36" t="e">
        <v>#N/A</v>
      </c>
    </row>
    <row r="233">
      <c r="A233" s="254" t="s">
        <v>1977</v>
      </c>
      <c r="B233" s="25"/>
      <c r="C233" s="62">
        <v>0.1</v>
      </c>
      <c r="D233" s="95">
        <v>0.77</v>
      </c>
      <c r="E233" s="95">
        <v>0.77</v>
      </c>
      <c r="F233" s="229" t="s">
        <v>1656</v>
      </c>
      <c r="I233" s="127" t="s">
        <v>1977</v>
      </c>
      <c r="J233" s="35">
        <v>7183.0</v>
      </c>
      <c r="K233" s="36"/>
      <c r="L233" s="36" t="e">
        <v>#N/A</v>
      </c>
    </row>
    <row r="234">
      <c r="A234" s="254" t="s">
        <v>1978</v>
      </c>
      <c r="B234" s="25"/>
      <c r="C234" s="62">
        <v>0.1</v>
      </c>
      <c r="D234" s="95">
        <v>0.77</v>
      </c>
      <c r="E234" s="95">
        <v>0.77</v>
      </c>
      <c r="F234" s="229" t="s">
        <v>1656</v>
      </c>
      <c r="I234" s="127" t="s">
        <v>1978</v>
      </c>
      <c r="J234" s="35">
        <v>10856.0</v>
      </c>
      <c r="K234" s="36"/>
      <c r="L234" s="36" t="e">
        <v>#N/A</v>
      </c>
    </row>
    <row r="235">
      <c r="A235" s="254" t="s">
        <v>1979</v>
      </c>
      <c r="B235" s="25"/>
      <c r="C235" s="62">
        <v>0.1</v>
      </c>
      <c r="D235" s="95">
        <v>0.77</v>
      </c>
      <c r="E235" s="95">
        <v>0.77</v>
      </c>
      <c r="F235" s="229" t="s">
        <v>1656</v>
      </c>
      <c r="I235" s="127" t="s">
        <v>1979</v>
      </c>
      <c r="J235" s="35">
        <v>7186.0</v>
      </c>
      <c r="K235" s="36"/>
      <c r="L235" s="36" t="e">
        <v>#N/A</v>
      </c>
    </row>
    <row r="236">
      <c r="A236" s="254" t="s">
        <v>1980</v>
      </c>
      <c r="B236" s="25"/>
      <c r="C236" s="62">
        <v>0.1</v>
      </c>
      <c r="D236" s="95">
        <v>0.77</v>
      </c>
      <c r="E236" s="95">
        <v>0.77</v>
      </c>
      <c r="F236" s="229" t="s">
        <v>1656</v>
      </c>
      <c r="I236" s="127" t="s">
        <v>1980</v>
      </c>
      <c r="J236" s="35">
        <v>315.0</v>
      </c>
      <c r="K236" s="36"/>
      <c r="L236" s="36" t="e">
        <v>#N/A</v>
      </c>
    </row>
    <row r="237">
      <c r="A237" s="254" t="s">
        <v>1981</v>
      </c>
      <c r="B237" s="25"/>
      <c r="C237" s="62">
        <v>0.1</v>
      </c>
      <c r="D237" s="95">
        <v>0.77</v>
      </c>
      <c r="E237" s="95">
        <v>0.77</v>
      </c>
      <c r="F237" s="229" t="s">
        <v>1656</v>
      </c>
      <c r="I237" s="127" t="s">
        <v>1981</v>
      </c>
      <c r="J237" s="35">
        <v>6903.0</v>
      </c>
      <c r="K237" s="36"/>
      <c r="L237" s="36" t="e">
        <v>#N/A</v>
      </c>
    </row>
    <row r="238">
      <c r="A238" s="254" t="s">
        <v>1983</v>
      </c>
      <c r="B238" s="255"/>
      <c r="C238" s="62">
        <v>0.1</v>
      </c>
      <c r="D238" s="95">
        <v>0.77</v>
      </c>
      <c r="E238" s="95">
        <v>0.77</v>
      </c>
      <c r="F238" s="229" t="s">
        <v>1656</v>
      </c>
      <c r="I238" s="127" t="s">
        <v>1983</v>
      </c>
      <c r="J238" s="256">
        <v>12078.0</v>
      </c>
      <c r="K238" s="36"/>
      <c r="L238" s="36" t="e">
        <v>#N/A</v>
      </c>
    </row>
    <row r="239">
      <c r="A239" s="254" t="s">
        <v>1984</v>
      </c>
      <c r="B239" s="255"/>
      <c r="C239" s="62">
        <v>0.1</v>
      </c>
      <c r="D239" s="95">
        <v>0.77</v>
      </c>
      <c r="E239" s="95">
        <v>0.77</v>
      </c>
      <c r="F239" s="229" t="s">
        <v>1656</v>
      </c>
      <c r="I239" s="127" t="s">
        <v>1984</v>
      </c>
      <c r="J239" s="257">
        <v>6557.0</v>
      </c>
      <c r="K239" s="36"/>
      <c r="L239" s="36" t="e">
        <v>#N/A</v>
      </c>
    </row>
    <row r="240">
      <c r="A240" s="254" t="s">
        <v>1985</v>
      </c>
      <c r="B240" s="25"/>
      <c r="C240" s="62">
        <v>0.1</v>
      </c>
      <c r="D240" s="95">
        <v>0.77</v>
      </c>
      <c r="E240" s="95">
        <v>0.77</v>
      </c>
      <c r="F240" s="229" t="s">
        <v>1656</v>
      </c>
      <c r="I240" s="127" t="s">
        <v>1985</v>
      </c>
      <c r="J240" s="35">
        <v>6706.0</v>
      </c>
      <c r="K240" s="36"/>
      <c r="L240" s="36" t="e">
        <v>#N/A</v>
      </c>
    </row>
    <row r="241">
      <c r="A241" s="254" t="s">
        <v>2006</v>
      </c>
      <c r="B241" s="25"/>
      <c r="C241" s="62">
        <v>0.1</v>
      </c>
      <c r="D241" s="95">
        <v>0.77</v>
      </c>
      <c r="E241" s="95">
        <v>0.77</v>
      </c>
      <c r="F241" s="229" t="s">
        <v>1656</v>
      </c>
      <c r="I241" s="127" t="s">
        <v>2006</v>
      </c>
      <c r="J241" s="35">
        <v>6706.0</v>
      </c>
      <c r="K241" s="36"/>
      <c r="L241" s="36" t="e">
        <v>#N/A</v>
      </c>
    </row>
    <row r="242">
      <c r="A242" s="254" t="s">
        <v>2007</v>
      </c>
      <c r="B242" s="25"/>
      <c r="C242" s="62">
        <v>0.1</v>
      </c>
      <c r="D242" s="95">
        <v>0.77</v>
      </c>
      <c r="E242" s="95">
        <v>0.77</v>
      </c>
      <c r="F242" s="229" t="s">
        <v>1656</v>
      </c>
      <c r="I242" s="127" t="s">
        <v>2007</v>
      </c>
      <c r="J242" s="35">
        <v>5125.0</v>
      </c>
      <c r="K242" s="36"/>
      <c r="L242" s="36" t="e">
        <v>#N/A</v>
      </c>
    </row>
    <row r="243">
      <c r="A243" s="254" t="s">
        <v>2009</v>
      </c>
      <c r="B243" s="25"/>
      <c r="C243" s="62">
        <v>0.1</v>
      </c>
      <c r="D243" s="95">
        <v>0.77</v>
      </c>
      <c r="E243" s="95">
        <v>0.77</v>
      </c>
      <c r="F243" s="229" t="s">
        <v>1656</v>
      </c>
      <c r="I243" s="127" t="s">
        <v>2009</v>
      </c>
      <c r="J243" s="35">
        <v>7158.0</v>
      </c>
      <c r="K243" s="36"/>
      <c r="L243" s="36" t="e">
        <v>#N/A</v>
      </c>
    </row>
    <row r="244">
      <c r="A244" s="254" t="s">
        <v>2010</v>
      </c>
      <c r="B244" s="25"/>
      <c r="C244" s="62">
        <v>0.1</v>
      </c>
      <c r="D244" s="95">
        <v>0.77</v>
      </c>
      <c r="E244" s="95">
        <v>0.77</v>
      </c>
      <c r="F244" s="229" t="s">
        <v>1656</v>
      </c>
      <c r="I244" s="127" t="s">
        <v>2010</v>
      </c>
      <c r="J244" s="35">
        <v>12609.0</v>
      </c>
      <c r="K244" s="36"/>
      <c r="L244" s="36" t="e">
        <v>#N/A</v>
      </c>
    </row>
    <row r="245">
      <c r="A245" s="254" t="s">
        <v>2029</v>
      </c>
      <c r="B245" s="25"/>
      <c r="C245" s="62">
        <v>0.1</v>
      </c>
      <c r="D245" s="95">
        <v>0.77</v>
      </c>
      <c r="E245" s="95">
        <v>0.77</v>
      </c>
      <c r="F245" s="229" t="s">
        <v>1656</v>
      </c>
      <c r="I245" s="127" t="s">
        <v>2029</v>
      </c>
      <c r="J245" s="35">
        <v>7003.0</v>
      </c>
      <c r="K245" s="36"/>
      <c r="L245" s="36" t="e">
        <v>#N/A</v>
      </c>
    </row>
    <row r="246">
      <c r="A246" s="202" t="s">
        <v>1986</v>
      </c>
      <c r="B246" s="188">
        <v>9596.0</v>
      </c>
      <c r="C246" s="62">
        <v>0.1</v>
      </c>
      <c r="D246" s="95">
        <v>0.77</v>
      </c>
      <c r="E246" s="95">
        <v>0.77</v>
      </c>
      <c r="F246" s="229" t="s">
        <v>1656</v>
      </c>
      <c r="G246" s="25" t="s">
        <v>207</v>
      </c>
    </row>
    <row r="247">
      <c r="A247" s="202" t="s">
        <v>1987</v>
      </c>
      <c r="B247" s="188">
        <v>9602.0</v>
      </c>
      <c r="C247" s="62">
        <v>0.1</v>
      </c>
      <c r="D247" s="95">
        <v>0.77</v>
      </c>
      <c r="E247" s="95">
        <v>0.77</v>
      </c>
      <c r="F247" s="229" t="s">
        <v>1656</v>
      </c>
      <c r="G247" s="25" t="s">
        <v>207</v>
      </c>
    </row>
    <row r="248">
      <c r="A248" s="202" t="s">
        <v>1988</v>
      </c>
      <c r="B248" s="188">
        <v>9768.0</v>
      </c>
      <c r="C248" s="62">
        <v>0.1</v>
      </c>
      <c r="D248" s="95">
        <v>0.77</v>
      </c>
      <c r="E248" s="95">
        <v>0.77</v>
      </c>
      <c r="F248" s="229" t="s">
        <v>1656</v>
      </c>
      <c r="G248" s="25" t="s">
        <v>207</v>
      </c>
    </row>
    <row r="249">
      <c r="A249" s="202" t="s">
        <v>1989</v>
      </c>
      <c r="B249" s="188">
        <v>10352.0</v>
      </c>
      <c r="C249" s="62">
        <v>0.1</v>
      </c>
      <c r="D249" s="95">
        <v>0.77</v>
      </c>
      <c r="E249" s="95">
        <v>0.77</v>
      </c>
      <c r="F249" s="229" t="s">
        <v>1656</v>
      </c>
      <c r="G249" s="25" t="s">
        <v>207</v>
      </c>
    </row>
    <row r="250">
      <c r="A250" s="202" t="s">
        <v>1990</v>
      </c>
      <c r="B250" s="188">
        <v>10368.0</v>
      </c>
      <c r="C250" s="62">
        <v>0.1</v>
      </c>
      <c r="D250" s="95">
        <v>0.77</v>
      </c>
      <c r="E250" s="95">
        <v>0.77</v>
      </c>
      <c r="F250" s="229" t="s">
        <v>1656</v>
      </c>
      <c r="G250" s="25" t="s">
        <v>207</v>
      </c>
    </row>
    <row r="251">
      <c r="A251" s="202" t="s">
        <v>2018</v>
      </c>
      <c r="B251" s="188">
        <v>8623.0</v>
      </c>
      <c r="C251" s="62">
        <v>0.1</v>
      </c>
      <c r="D251" s="95">
        <v>0.85</v>
      </c>
      <c r="E251" s="95">
        <v>0.85</v>
      </c>
      <c r="F251" s="229" t="s">
        <v>1656</v>
      </c>
      <c r="G251" s="25" t="s">
        <v>207</v>
      </c>
    </row>
    <row r="252">
      <c r="A252" s="202" t="s">
        <v>1991</v>
      </c>
      <c r="B252" s="188">
        <v>13988.0</v>
      </c>
      <c r="C252" s="62">
        <v>0.1</v>
      </c>
      <c r="D252" s="95">
        <v>0.77</v>
      </c>
      <c r="E252" s="95">
        <v>0.77</v>
      </c>
      <c r="F252" s="229" t="s">
        <v>1656</v>
      </c>
      <c r="G252" s="25" t="s">
        <v>207</v>
      </c>
    </row>
    <row r="253">
      <c r="A253" s="202" t="s">
        <v>1992</v>
      </c>
      <c r="B253" s="188">
        <v>11768.0</v>
      </c>
      <c r="C253" s="62">
        <v>0.1</v>
      </c>
      <c r="D253" s="95">
        <v>0.77</v>
      </c>
      <c r="E253" s="95">
        <v>0.77</v>
      </c>
      <c r="F253" s="229" t="s">
        <v>1656</v>
      </c>
      <c r="G253" s="25" t="s">
        <v>207</v>
      </c>
    </row>
    <row r="254">
      <c r="A254" s="202" t="s">
        <v>1993</v>
      </c>
      <c r="B254" s="188">
        <v>12259.0</v>
      </c>
      <c r="C254" s="62">
        <v>0.1</v>
      </c>
      <c r="D254" s="95">
        <v>0.77</v>
      </c>
      <c r="E254" s="95">
        <v>0.77</v>
      </c>
      <c r="F254" s="229" t="s">
        <v>1656</v>
      </c>
      <c r="G254" s="25" t="s">
        <v>207</v>
      </c>
    </row>
    <row r="255">
      <c r="A255" s="202" t="s">
        <v>1995</v>
      </c>
      <c r="B255" s="188">
        <v>12277.0</v>
      </c>
      <c r="C255" s="62">
        <v>0.1</v>
      </c>
      <c r="D255" s="95">
        <v>0.77</v>
      </c>
      <c r="E255" s="95">
        <v>0.77</v>
      </c>
      <c r="F255" s="229" t="s">
        <v>1656</v>
      </c>
      <c r="G255" s="25" t="s">
        <v>207</v>
      </c>
    </row>
    <row r="256">
      <c r="A256" s="202" t="s">
        <v>1997</v>
      </c>
      <c r="B256" s="188">
        <v>9814.0</v>
      </c>
      <c r="C256" s="62">
        <v>0.1</v>
      </c>
      <c r="D256" s="95">
        <v>0.77</v>
      </c>
      <c r="E256" s="95">
        <v>0.77</v>
      </c>
      <c r="F256" s="229" t="s">
        <v>1656</v>
      </c>
      <c r="G256" s="25" t="s">
        <v>207</v>
      </c>
    </row>
    <row r="257">
      <c r="A257" s="202" t="s">
        <v>1998</v>
      </c>
      <c r="B257" s="188">
        <v>13895.0</v>
      </c>
      <c r="C257" s="62">
        <v>0.1</v>
      </c>
      <c r="D257" s="95">
        <v>0.77</v>
      </c>
      <c r="E257" s="95">
        <v>0.77</v>
      </c>
      <c r="F257" s="229" t="s">
        <v>1656</v>
      </c>
      <c r="G257" s="25" t="s">
        <v>207</v>
      </c>
    </row>
    <row r="258">
      <c r="A258" s="202" t="s">
        <v>2000</v>
      </c>
      <c r="B258" s="188">
        <v>12163.0</v>
      </c>
      <c r="C258" s="62">
        <v>0.1</v>
      </c>
      <c r="D258" s="95">
        <v>0.77</v>
      </c>
      <c r="E258" s="95">
        <v>0.77</v>
      </c>
      <c r="F258" s="229" t="s">
        <v>1656</v>
      </c>
      <c r="G258" s="25" t="s">
        <v>207</v>
      </c>
    </row>
    <row r="259">
      <c r="A259" s="202" t="s">
        <v>2001</v>
      </c>
      <c r="B259" s="188">
        <v>12221.0</v>
      </c>
      <c r="C259" s="62">
        <v>0.1</v>
      </c>
      <c r="D259" s="95">
        <v>0.77</v>
      </c>
      <c r="E259" s="95">
        <v>0.77</v>
      </c>
      <c r="F259" s="229" t="s">
        <v>1656</v>
      </c>
      <c r="G259" s="25" t="s">
        <v>207</v>
      </c>
    </row>
    <row r="260">
      <c r="A260" s="202" t="s">
        <v>2002</v>
      </c>
      <c r="B260" s="188">
        <v>11775.0</v>
      </c>
      <c r="C260" s="62">
        <v>0.1</v>
      </c>
      <c r="D260" s="95">
        <v>0.77</v>
      </c>
      <c r="E260" s="95">
        <v>0.77</v>
      </c>
      <c r="F260" s="229" t="s">
        <v>1656</v>
      </c>
      <c r="G260" s="25" t="s">
        <v>207</v>
      </c>
    </row>
    <row r="261">
      <c r="A261" s="202" t="s">
        <v>2003</v>
      </c>
      <c r="B261" s="188">
        <v>12575.0</v>
      </c>
      <c r="C261" s="62">
        <v>0.1</v>
      </c>
      <c r="D261" s="95">
        <v>0.77</v>
      </c>
      <c r="E261" s="95">
        <v>0.77</v>
      </c>
      <c r="F261" s="229" t="s">
        <v>1656</v>
      </c>
      <c r="G261" s="25" t="s">
        <v>207</v>
      </c>
    </row>
    <row r="262">
      <c r="A262" s="202" t="s">
        <v>2004</v>
      </c>
      <c r="B262" s="188">
        <v>8163.0</v>
      </c>
      <c r="C262" s="62">
        <v>0.1</v>
      </c>
      <c r="D262" s="95">
        <v>0.77</v>
      </c>
      <c r="E262" s="95">
        <v>0.77</v>
      </c>
      <c r="F262" s="229" t="s">
        <v>1656</v>
      </c>
      <c r="G262" s="25" t="s">
        <v>207</v>
      </c>
    </row>
    <row r="263">
      <c r="A263" s="202" t="s">
        <v>2005</v>
      </c>
      <c r="B263" s="188">
        <v>7646.0</v>
      </c>
      <c r="C263" s="62">
        <v>0.1</v>
      </c>
      <c r="D263" s="95">
        <v>0.77</v>
      </c>
      <c r="E263" s="95">
        <v>0.77</v>
      </c>
      <c r="F263" s="229" t="s">
        <v>1656</v>
      </c>
      <c r="G263" s="25" t="s">
        <v>207</v>
      </c>
    </row>
    <row r="264">
      <c r="A264" s="231"/>
      <c r="B264" s="231"/>
      <c r="C264" s="231"/>
    </row>
    <row r="265">
      <c r="A265" s="231"/>
      <c r="B265" s="231"/>
      <c r="C265" s="231"/>
    </row>
    <row r="266">
      <c r="A266" s="231"/>
      <c r="B266" s="231"/>
      <c r="C266" s="231"/>
    </row>
    <row r="267">
      <c r="A267" s="231"/>
      <c r="B267" s="231"/>
      <c r="C267" s="231"/>
    </row>
    <row r="268">
      <c r="A268" s="231"/>
      <c r="B268" s="231"/>
      <c r="C268" s="231"/>
    </row>
    <row r="269">
      <c r="A269" s="231"/>
      <c r="B269" s="231"/>
      <c r="C269" s="231"/>
    </row>
    <row r="270">
      <c r="A270" s="231"/>
      <c r="B270" s="231"/>
      <c r="C270" s="231"/>
    </row>
    <row r="271">
      <c r="A271" s="231"/>
      <c r="B271" s="231"/>
      <c r="C271" s="231"/>
    </row>
    <row r="272">
      <c r="A272" s="231"/>
      <c r="B272" s="231"/>
      <c r="C272" s="231"/>
    </row>
    <row r="273">
      <c r="A273" s="231"/>
      <c r="B273" s="231"/>
      <c r="C273" s="231"/>
    </row>
    <row r="274">
      <c r="A274" s="231"/>
      <c r="B274" s="231"/>
      <c r="C274" s="231"/>
    </row>
    <row r="275">
      <c r="A275" s="231"/>
      <c r="B275" s="231"/>
      <c r="C275" s="231"/>
    </row>
    <row r="276">
      <c r="A276" s="231"/>
      <c r="B276" s="231"/>
      <c r="C276" s="231"/>
    </row>
    <row r="277">
      <c r="A277" s="231"/>
      <c r="B277" s="231"/>
      <c r="C277" s="231"/>
    </row>
    <row r="278">
      <c r="A278" s="231"/>
      <c r="B278" s="231"/>
      <c r="C278" s="231"/>
    </row>
    <row r="279">
      <c r="A279" s="231"/>
      <c r="B279" s="231"/>
      <c r="C279" s="231"/>
    </row>
    <row r="280">
      <c r="A280" s="231"/>
      <c r="B280" s="231"/>
      <c r="C280" s="231"/>
    </row>
    <row r="281">
      <c r="A281" s="231"/>
      <c r="B281" s="231"/>
      <c r="C281" s="231"/>
    </row>
    <row r="282">
      <c r="A282" s="231"/>
      <c r="B282" s="231"/>
      <c r="C282" s="231"/>
    </row>
    <row r="283">
      <c r="A283" s="231"/>
      <c r="B283" s="231"/>
      <c r="C283" s="231"/>
    </row>
    <row r="284">
      <c r="A284" s="231"/>
      <c r="B284" s="231"/>
      <c r="C284" s="231"/>
    </row>
    <row r="285">
      <c r="A285" s="231"/>
      <c r="B285" s="231"/>
      <c r="C285" s="231"/>
    </row>
    <row r="286">
      <c r="A286" s="231"/>
      <c r="B286" s="231"/>
      <c r="C286" s="231"/>
    </row>
    <row r="287">
      <c r="A287" s="231"/>
      <c r="B287" s="231"/>
      <c r="C287" s="231"/>
    </row>
    <row r="288">
      <c r="A288" s="231"/>
      <c r="B288" s="231"/>
      <c r="C288" s="231"/>
    </row>
    <row r="289">
      <c r="A289" s="231"/>
      <c r="B289" s="231"/>
      <c r="C289" s="231"/>
    </row>
    <row r="290">
      <c r="A290" s="231"/>
      <c r="B290" s="231"/>
      <c r="C290" s="231"/>
    </row>
    <row r="291">
      <c r="A291" s="231"/>
      <c r="B291" s="231"/>
      <c r="C291" s="231"/>
    </row>
    <row r="292">
      <c r="A292" s="231"/>
      <c r="B292" s="231"/>
      <c r="C292" s="231"/>
    </row>
    <row r="293">
      <c r="A293" s="231"/>
      <c r="B293" s="231"/>
      <c r="C293" s="231"/>
    </row>
    <row r="294">
      <c r="A294" s="231"/>
      <c r="B294" s="231"/>
      <c r="C294" s="231"/>
    </row>
    <row r="295">
      <c r="A295" s="231"/>
      <c r="B295" s="231"/>
      <c r="C295" s="231"/>
    </row>
    <row r="296">
      <c r="A296" s="231"/>
      <c r="B296" s="231"/>
      <c r="C296" s="231"/>
    </row>
    <row r="297">
      <c r="A297" s="231"/>
      <c r="B297" s="231"/>
      <c r="C297" s="231"/>
    </row>
    <row r="298">
      <c r="A298" s="231"/>
      <c r="B298" s="231"/>
      <c r="C298" s="231"/>
    </row>
    <row r="299">
      <c r="A299" s="231"/>
      <c r="B299" s="231"/>
      <c r="C299" s="231"/>
    </row>
    <row r="300">
      <c r="A300" s="231"/>
      <c r="B300" s="231"/>
      <c r="C300" s="231"/>
    </row>
    <row r="301">
      <c r="A301" s="231"/>
      <c r="B301" s="231"/>
      <c r="C301" s="231"/>
    </row>
    <row r="302">
      <c r="A302" s="231"/>
      <c r="B302" s="231"/>
      <c r="C302" s="231"/>
    </row>
    <row r="303">
      <c r="A303" s="231"/>
      <c r="B303" s="231"/>
      <c r="C303" s="231"/>
    </row>
    <row r="304">
      <c r="A304" s="231"/>
      <c r="B304" s="231"/>
      <c r="C304" s="231"/>
    </row>
    <row r="305">
      <c r="A305" s="231"/>
      <c r="B305" s="231"/>
      <c r="C305" s="231"/>
    </row>
    <row r="306">
      <c r="A306" s="231"/>
      <c r="B306" s="231"/>
      <c r="C306" s="231"/>
    </row>
    <row r="307">
      <c r="A307" s="231"/>
      <c r="B307" s="231"/>
      <c r="C307" s="231"/>
    </row>
    <row r="308">
      <c r="A308" s="231"/>
      <c r="B308" s="231"/>
      <c r="C308" s="231"/>
    </row>
    <row r="309">
      <c r="A309" s="231"/>
      <c r="B309" s="231"/>
      <c r="C309" s="231"/>
    </row>
    <row r="310">
      <c r="A310" s="231"/>
      <c r="B310" s="231"/>
      <c r="C310" s="231"/>
    </row>
    <row r="311">
      <c r="A311" s="231"/>
      <c r="B311" s="231"/>
      <c r="C311" s="231"/>
    </row>
    <row r="312">
      <c r="A312" s="231"/>
      <c r="B312" s="231"/>
      <c r="C312" s="231"/>
    </row>
    <row r="313">
      <c r="A313" s="231"/>
      <c r="B313" s="231"/>
      <c r="C313" s="231"/>
    </row>
    <row r="314">
      <c r="A314" s="231"/>
      <c r="B314" s="231"/>
      <c r="C314" s="231"/>
    </row>
    <row r="315">
      <c r="A315" s="231"/>
      <c r="B315" s="231"/>
      <c r="C315" s="231"/>
    </row>
    <row r="316">
      <c r="A316" s="231"/>
      <c r="B316" s="231"/>
      <c r="C316" s="231"/>
    </row>
    <row r="317">
      <c r="A317" s="231"/>
      <c r="B317" s="231"/>
      <c r="C317" s="231"/>
    </row>
    <row r="318">
      <c r="A318" s="231"/>
      <c r="B318" s="231"/>
      <c r="C318" s="231"/>
    </row>
    <row r="319">
      <c r="A319" s="231"/>
      <c r="B319" s="231"/>
      <c r="C319" s="231"/>
    </row>
    <row r="320">
      <c r="A320" s="231"/>
      <c r="B320" s="231"/>
      <c r="C320" s="231"/>
    </row>
    <row r="321">
      <c r="A321" s="231"/>
      <c r="B321" s="231"/>
      <c r="C321" s="231"/>
    </row>
    <row r="322">
      <c r="A322" s="231"/>
      <c r="B322" s="231"/>
      <c r="C322" s="231"/>
    </row>
    <row r="323">
      <c r="A323" s="231"/>
      <c r="B323" s="231"/>
      <c r="C323" s="231"/>
    </row>
    <row r="324">
      <c r="A324" s="231"/>
      <c r="B324" s="231"/>
      <c r="C324" s="231"/>
    </row>
    <row r="325">
      <c r="A325" s="231"/>
      <c r="B325" s="231"/>
      <c r="C325" s="231"/>
    </row>
    <row r="326">
      <c r="A326" s="231"/>
      <c r="B326" s="231"/>
      <c r="C326" s="231"/>
    </row>
    <row r="327">
      <c r="A327" s="231"/>
      <c r="B327" s="231"/>
      <c r="C327" s="231"/>
    </row>
    <row r="328">
      <c r="A328" s="231"/>
      <c r="B328" s="231"/>
      <c r="C328" s="231"/>
    </row>
    <row r="329">
      <c r="A329" s="231"/>
      <c r="B329" s="231"/>
      <c r="C329" s="231"/>
    </row>
    <row r="330">
      <c r="A330" s="231"/>
      <c r="B330" s="231"/>
      <c r="C330" s="231"/>
    </row>
    <row r="331">
      <c r="A331" s="231"/>
      <c r="B331" s="231"/>
      <c r="C331" s="231"/>
    </row>
    <row r="332">
      <c r="A332" s="231"/>
      <c r="B332" s="231"/>
      <c r="C332" s="231"/>
    </row>
    <row r="333">
      <c r="A333" s="231"/>
      <c r="B333" s="231"/>
      <c r="C333" s="231"/>
    </row>
    <row r="334">
      <c r="A334" s="231"/>
      <c r="B334" s="231"/>
      <c r="C334" s="231"/>
    </row>
    <row r="335">
      <c r="A335" s="231"/>
      <c r="B335" s="231"/>
      <c r="C335" s="231"/>
    </row>
    <row r="336">
      <c r="A336" s="231"/>
      <c r="B336" s="231"/>
      <c r="C336" s="231"/>
    </row>
    <row r="337">
      <c r="A337" s="231"/>
      <c r="B337" s="231"/>
      <c r="C337" s="231"/>
    </row>
    <row r="338">
      <c r="A338" s="231"/>
      <c r="B338" s="231"/>
      <c r="C338" s="231"/>
    </row>
    <row r="339">
      <c r="A339" s="231"/>
      <c r="B339" s="231"/>
      <c r="C339" s="231"/>
    </row>
    <row r="340">
      <c r="A340" s="231"/>
      <c r="B340" s="231"/>
      <c r="C340" s="231"/>
    </row>
    <row r="341">
      <c r="A341" s="231"/>
      <c r="B341" s="231"/>
      <c r="C341" s="231"/>
    </row>
    <row r="342">
      <c r="A342" s="231"/>
      <c r="B342" s="231"/>
      <c r="C342" s="231"/>
    </row>
    <row r="343">
      <c r="A343" s="231"/>
      <c r="B343" s="231"/>
      <c r="C343" s="231"/>
    </row>
    <row r="344">
      <c r="A344" s="231"/>
      <c r="B344" s="231"/>
      <c r="C344" s="231"/>
    </row>
    <row r="345">
      <c r="A345" s="231"/>
      <c r="B345" s="231"/>
      <c r="C345" s="231"/>
    </row>
    <row r="346">
      <c r="A346" s="231"/>
      <c r="B346" s="231"/>
      <c r="C346" s="231"/>
    </row>
    <row r="347">
      <c r="A347" s="231"/>
      <c r="B347" s="231"/>
      <c r="C347" s="231"/>
    </row>
    <row r="348">
      <c r="A348" s="231"/>
      <c r="B348" s="231"/>
      <c r="C348" s="231"/>
    </row>
    <row r="349">
      <c r="A349" s="231"/>
      <c r="B349" s="231"/>
      <c r="C349" s="231"/>
    </row>
    <row r="350">
      <c r="A350" s="231"/>
      <c r="B350" s="231"/>
      <c r="C350" s="231"/>
    </row>
    <row r="351">
      <c r="A351" s="231"/>
      <c r="B351" s="231"/>
      <c r="C351" s="231"/>
    </row>
    <row r="352">
      <c r="A352" s="231"/>
      <c r="B352" s="231"/>
      <c r="C352" s="231"/>
    </row>
    <row r="353">
      <c r="A353" s="231"/>
      <c r="B353" s="231"/>
      <c r="C353" s="231"/>
    </row>
    <row r="354">
      <c r="A354" s="231"/>
      <c r="B354" s="231"/>
      <c r="C354" s="231"/>
    </row>
    <row r="355">
      <c r="A355" s="231"/>
      <c r="B355" s="231"/>
      <c r="C355" s="231"/>
    </row>
    <row r="356">
      <c r="A356" s="231"/>
      <c r="B356" s="231"/>
      <c r="C356" s="231"/>
    </row>
    <row r="357">
      <c r="A357" s="231"/>
      <c r="B357" s="231"/>
      <c r="C357" s="231"/>
    </row>
    <row r="358">
      <c r="A358" s="231"/>
      <c r="B358" s="231"/>
      <c r="C358" s="231"/>
    </row>
    <row r="359">
      <c r="A359" s="231"/>
      <c r="B359" s="231"/>
      <c r="C359" s="231"/>
    </row>
    <row r="360">
      <c r="A360" s="231"/>
      <c r="B360" s="231"/>
      <c r="C360" s="231"/>
    </row>
    <row r="361">
      <c r="A361" s="231"/>
      <c r="B361" s="231"/>
      <c r="C361" s="231"/>
    </row>
    <row r="362">
      <c r="A362" s="231"/>
      <c r="B362" s="231"/>
      <c r="C362" s="231"/>
    </row>
    <row r="363">
      <c r="A363" s="231"/>
      <c r="B363" s="231"/>
      <c r="C363" s="231"/>
    </row>
    <row r="364">
      <c r="A364" s="231"/>
      <c r="B364" s="231"/>
      <c r="C364" s="231"/>
    </row>
    <row r="365">
      <c r="A365" s="231"/>
      <c r="B365" s="231"/>
      <c r="C365" s="231"/>
    </row>
    <row r="366">
      <c r="A366" s="231"/>
      <c r="B366" s="231"/>
      <c r="C366" s="231"/>
    </row>
    <row r="367">
      <c r="A367" s="231"/>
      <c r="B367" s="231"/>
      <c r="C367" s="231"/>
    </row>
    <row r="368">
      <c r="A368" s="231"/>
      <c r="B368" s="231"/>
      <c r="C368" s="231"/>
    </row>
    <row r="369">
      <c r="A369" s="231"/>
      <c r="B369" s="231"/>
      <c r="C369" s="231"/>
    </row>
    <row r="370">
      <c r="A370" s="231"/>
      <c r="B370" s="231"/>
      <c r="C370" s="231"/>
    </row>
    <row r="371">
      <c r="A371" s="231"/>
      <c r="B371" s="231"/>
      <c r="C371" s="231"/>
    </row>
    <row r="372">
      <c r="A372" s="231"/>
      <c r="B372" s="231"/>
      <c r="C372" s="231"/>
    </row>
    <row r="373">
      <c r="A373" s="231"/>
      <c r="B373" s="231"/>
      <c r="C373" s="231"/>
    </row>
    <row r="374">
      <c r="A374" s="231"/>
      <c r="B374" s="231"/>
      <c r="C374" s="231"/>
    </row>
    <row r="375">
      <c r="A375" s="231"/>
      <c r="B375" s="231"/>
      <c r="C375" s="231"/>
    </row>
    <row r="376">
      <c r="A376" s="231"/>
      <c r="B376" s="231"/>
      <c r="C376" s="231"/>
    </row>
    <row r="377">
      <c r="A377" s="231"/>
      <c r="B377" s="231"/>
      <c r="C377" s="231"/>
    </row>
    <row r="378">
      <c r="A378" s="231"/>
      <c r="B378" s="231"/>
      <c r="C378" s="231"/>
    </row>
    <row r="379">
      <c r="A379" s="231"/>
      <c r="B379" s="231"/>
      <c r="C379" s="231"/>
    </row>
    <row r="380">
      <c r="A380" s="231"/>
      <c r="B380" s="231"/>
      <c r="C380" s="231"/>
    </row>
    <row r="381">
      <c r="A381" s="231"/>
      <c r="B381" s="231"/>
      <c r="C381" s="231"/>
    </row>
    <row r="382">
      <c r="A382" s="231"/>
      <c r="B382" s="231"/>
      <c r="C382" s="231"/>
    </row>
    <row r="383">
      <c r="A383" s="231"/>
      <c r="B383" s="231"/>
      <c r="C383" s="231"/>
    </row>
    <row r="384">
      <c r="A384" s="231"/>
      <c r="B384" s="231"/>
      <c r="C384" s="231"/>
    </row>
    <row r="385">
      <c r="A385" s="231"/>
      <c r="B385" s="231"/>
      <c r="C385" s="231"/>
    </row>
    <row r="386">
      <c r="A386" s="231"/>
      <c r="B386" s="231"/>
      <c r="C386" s="231"/>
    </row>
    <row r="387">
      <c r="A387" s="231"/>
      <c r="B387" s="231"/>
      <c r="C387" s="231"/>
    </row>
    <row r="388">
      <c r="A388" s="231"/>
      <c r="B388" s="231"/>
      <c r="C388" s="231"/>
    </row>
    <row r="389">
      <c r="A389" s="231"/>
      <c r="B389" s="231"/>
      <c r="C389" s="231"/>
    </row>
    <row r="390">
      <c r="A390" s="231"/>
      <c r="B390" s="231"/>
      <c r="C390" s="231"/>
    </row>
    <row r="391">
      <c r="A391" s="231"/>
      <c r="B391" s="231"/>
      <c r="C391" s="231"/>
    </row>
    <row r="392">
      <c r="A392" s="231"/>
      <c r="B392" s="231"/>
      <c r="C392" s="231"/>
    </row>
    <row r="393">
      <c r="A393" s="231"/>
      <c r="B393" s="231"/>
      <c r="C393" s="231"/>
    </row>
    <row r="394">
      <c r="A394" s="231"/>
      <c r="B394" s="231"/>
      <c r="C394" s="231"/>
    </row>
    <row r="395">
      <c r="A395" s="231"/>
      <c r="B395" s="231"/>
      <c r="C395" s="231"/>
    </row>
    <row r="396">
      <c r="A396" s="231"/>
      <c r="B396" s="231"/>
      <c r="C396" s="231"/>
    </row>
    <row r="397">
      <c r="A397" s="231"/>
      <c r="B397" s="231"/>
      <c r="C397" s="231"/>
    </row>
    <row r="398">
      <c r="A398" s="231"/>
      <c r="B398" s="231"/>
      <c r="C398" s="231"/>
    </row>
    <row r="399">
      <c r="A399" s="231"/>
      <c r="B399" s="231"/>
      <c r="C399" s="231"/>
    </row>
    <row r="400">
      <c r="A400" s="231"/>
      <c r="B400" s="231"/>
      <c r="C400" s="231"/>
    </row>
    <row r="401">
      <c r="A401" s="231"/>
      <c r="B401" s="231"/>
      <c r="C401" s="231"/>
    </row>
    <row r="402">
      <c r="A402" s="231"/>
      <c r="B402" s="231"/>
      <c r="C402" s="231"/>
    </row>
    <row r="403">
      <c r="A403" s="231"/>
      <c r="B403" s="231"/>
      <c r="C403" s="231"/>
    </row>
    <row r="404">
      <c r="A404" s="231"/>
      <c r="B404" s="231"/>
      <c r="C404" s="231"/>
    </row>
    <row r="405">
      <c r="A405" s="231"/>
      <c r="B405" s="231"/>
      <c r="C405" s="231"/>
    </row>
    <row r="406">
      <c r="A406" s="231"/>
      <c r="B406" s="231"/>
      <c r="C406" s="231"/>
    </row>
    <row r="407">
      <c r="A407" s="231"/>
      <c r="B407" s="231"/>
      <c r="C407" s="231"/>
    </row>
    <row r="408">
      <c r="A408" s="231"/>
      <c r="B408" s="231"/>
      <c r="C408" s="231"/>
    </row>
    <row r="409">
      <c r="A409" s="231"/>
      <c r="B409" s="231"/>
      <c r="C409" s="231"/>
    </row>
    <row r="410">
      <c r="A410" s="231"/>
      <c r="B410" s="231"/>
      <c r="C410" s="231"/>
    </row>
    <row r="411">
      <c r="A411" s="231"/>
      <c r="B411" s="231"/>
      <c r="C411" s="231"/>
    </row>
    <row r="412">
      <c r="A412" s="231"/>
      <c r="B412" s="231"/>
      <c r="C412" s="231"/>
    </row>
    <row r="413">
      <c r="A413" s="231"/>
      <c r="B413" s="231"/>
      <c r="C413" s="231"/>
    </row>
    <row r="414">
      <c r="A414" s="231"/>
      <c r="B414" s="231"/>
      <c r="C414" s="231"/>
    </row>
    <row r="415">
      <c r="A415" s="231"/>
      <c r="B415" s="231"/>
      <c r="C415" s="231"/>
    </row>
    <row r="416">
      <c r="A416" s="231"/>
      <c r="B416" s="231"/>
      <c r="C416" s="231"/>
    </row>
    <row r="417">
      <c r="A417" s="231"/>
      <c r="B417" s="231"/>
      <c r="C417" s="231"/>
    </row>
    <row r="418">
      <c r="A418" s="231"/>
      <c r="B418" s="231"/>
      <c r="C418" s="231"/>
    </row>
    <row r="419">
      <c r="A419" s="231"/>
      <c r="B419" s="231"/>
      <c r="C419" s="231"/>
    </row>
    <row r="420">
      <c r="A420" s="231"/>
      <c r="B420" s="231"/>
      <c r="C420" s="231"/>
    </row>
    <row r="421">
      <c r="A421" s="231"/>
      <c r="B421" s="231"/>
      <c r="C421" s="231"/>
    </row>
    <row r="422">
      <c r="A422" s="231"/>
      <c r="B422" s="231"/>
      <c r="C422" s="231"/>
    </row>
    <row r="423">
      <c r="A423" s="231"/>
      <c r="B423" s="231"/>
      <c r="C423" s="231"/>
    </row>
    <row r="424">
      <c r="A424" s="231"/>
      <c r="B424" s="231"/>
      <c r="C424" s="231"/>
    </row>
    <row r="425">
      <c r="A425" s="231"/>
      <c r="B425" s="231"/>
      <c r="C425" s="231"/>
    </row>
    <row r="426">
      <c r="A426" s="231"/>
      <c r="B426" s="231"/>
      <c r="C426" s="231"/>
    </row>
    <row r="427">
      <c r="A427" s="231"/>
      <c r="B427" s="231"/>
      <c r="C427" s="231"/>
    </row>
    <row r="428">
      <c r="A428" s="231"/>
      <c r="B428" s="231"/>
      <c r="C428" s="231"/>
    </row>
    <row r="429">
      <c r="A429" s="231"/>
      <c r="B429" s="231"/>
      <c r="C429" s="231"/>
    </row>
    <row r="430">
      <c r="A430" s="231"/>
      <c r="B430" s="231"/>
      <c r="C430" s="231"/>
    </row>
    <row r="431">
      <c r="A431" s="231"/>
      <c r="B431" s="231"/>
      <c r="C431" s="231"/>
    </row>
    <row r="432">
      <c r="A432" s="231"/>
      <c r="B432" s="231"/>
      <c r="C432" s="231"/>
    </row>
    <row r="433">
      <c r="A433" s="231"/>
      <c r="B433" s="231"/>
      <c r="C433" s="231"/>
    </row>
    <row r="434">
      <c r="A434" s="231"/>
      <c r="B434" s="231"/>
      <c r="C434" s="231"/>
    </row>
    <row r="435">
      <c r="A435" s="231"/>
      <c r="B435" s="231"/>
      <c r="C435" s="231"/>
    </row>
    <row r="436">
      <c r="A436" s="231"/>
      <c r="B436" s="231"/>
      <c r="C436" s="231"/>
    </row>
    <row r="437">
      <c r="A437" s="231"/>
      <c r="B437" s="231"/>
      <c r="C437" s="231"/>
    </row>
    <row r="438">
      <c r="A438" s="231"/>
      <c r="B438" s="231"/>
      <c r="C438" s="231"/>
    </row>
    <row r="439">
      <c r="A439" s="231"/>
      <c r="B439" s="231"/>
      <c r="C439" s="231"/>
    </row>
    <row r="440">
      <c r="A440" s="231"/>
      <c r="B440" s="231"/>
      <c r="C440" s="231"/>
    </row>
    <row r="441">
      <c r="A441" s="231"/>
      <c r="B441" s="231"/>
      <c r="C441" s="231"/>
    </row>
    <row r="442">
      <c r="A442" s="231"/>
      <c r="B442" s="231"/>
      <c r="C442" s="231"/>
    </row>
    <row r="443">
      <c r="A443" s="231"/>
      <c r="B443" s="231"/>
      <c r="C443" s="231"/>
    </row>
    <row r="444">
      <c r="A444" s="231"/>
      <c r="B444" s="231"/>
      <c r="C444" s="231"/>
    </row>
    <row r="445">
      <c r="A445" s="231"/>
      <c r="B445" s="231"/>
      <c r="C445" s="231"/>
    </row>
    <row r="446">
      <c r="A446" s="231"/>
      <c r="B446" s="231"/>
      <c r="C446" s="231"/>
    </row>
    <row r="447">
      <c r="A447" s="231"/>
      <c r="B447" s="231"/>
      <c r="C447" s="231"/>
    </row>
    <row r="448">
      <c r="A448" s="231"/>
      <c r="B448" s="231"/>
      <c r="C448" s="231"/>
    </row>
    <row r="449">
      <c r="A449" s="231"/>
      <c r="B449" s="231"/>
      <c r="C449" s="231"/>
    </row>
    <row r="450">
      <c r="A450" s="231"/>
      <c r="B450" s="231"/>
      <c r="C450" s="231"/>
    </row>
    <row r="451">
      <c r="A451" s="231"/>
      <c r="B451" s="231"/>
      <c r="C451" s="231"/>
    </row>
    <row r="452">
      <c r="A452" s="231"/>
      <c r="B452" s="231"/>
      <c r="C452" s="231"/>
    </row>
    <row r="453">
      <c r="A453" s="231"/>
      <c r="B453" s="231"/>
      <c r="C453" s="231"/>
    </row>
    <row r="454">
      <c r="A454" s="231"/>
      <c r="B454" s="231"/>
      <c r="C454" s="231"/>
    </row>
    <row r="455">
      <c r="A455" s="231"/>
      <c r="B455" s="231"/>
      <c r="C455" s="231"/>
    </row>
    <row r="456">
      <c r="A456" s="231"/>
      <c r="B456" s="231"/>
      <c r="C456" s="231"/>
    </row>
    <row r="457">
      <c r="A457" s="231"/>
      <c r="B457" s="231"/>
      <c r="C457" s="231"/>
    </row>
    <row r="458">
      <c r="A458" s="231"/>
      <c r="B458" s="231"/>
      <c r="C458" s="231"/>
    </row>
    <row r="459">
      <c r="A459" s="231"/>
      <c r="B459" s="231"/>
      <c r="C459" s="231"/>
    </row>
    <row r="460">
      <c r="A460" s="231"/>
      <c r="B460" s="231"/>
      <c r="C460" s="231"/>
    </row>
    <row r="461">
      <c r="A461" s="231"/>
      <c r="B461" s="231"/>
      <c r="C461" s="231"/>
    </row>
    <row r="462">
      <c r="A462" s="231"/>
      <c r="B462" s="231"/>
      <c r="C462" s="231"/>
    </row>
    <row r="463">
      <c r="A463" s="231"/>
      <c r="B463" s="231"/>
      <c r="C463" s="231"/>
    </row>
    <row r="464">
      <c r="A464" s="231"/>
      <c r="B464" s="231"/>
      <c r="C464" s="231"/>
    </row>
    <row r="465">
      <c r="A465" s="231"/>
      <c r="B465" s="231"/>
      <c r="C465" s="231"/>
    </row>
    <row r="466">
      <c r="A466" s="231"/>
      <c r="B466" s="231"/>
      <c r="C466" s="231"/>
    </row>
    <row r="467">
      <c r="A467" s="231"/>
      <c r="B467" s="231"/>
      <c r="C467" s="231"/>
    </row>
    <row r="468">
      <c r="A468" s="231"/>
      <c r="B468" s="231"/>
      <c r="C468" s="231"/>
    </row>
    <row r="469">
      <c r="A469" s="231"/>
      <c r="B469" s="231"/>
      <c r="C469" s="231"/>
    </row>
    <row r="470">
      <c r="A470" s="231"/>
      <c r="B470" s="231"/>
      <c r="C470" s="231"/>
    </row>
    <row r="471">
      <c r="A471" s="231"/>
      <c r="B471" s="231"/>
      <c r="C471" s="231"/>
    </row>
    <row r="472">
      <c r="A472" s="231"/>
      <c r="B472" s="231"/>
      <c r="C472" s="231"/>
    </row>
    <row r="473">
      <c r="A473" s="231"/>
      <c r="B473" s="231"/>
      <c r="C473" s="231"/>
    </row>
    <row r="474">
      <c r="A474" s="231"/>
      <c r="B474" s="231"/>
      <c r="C474" s="231"/>
    </row>
    <row r="475">
      <c r="A475" s="231"/>
      <c r="B475" s="231"/>
      <c r="C475" s="231"/>
    </row>
    <row r="476">
      <c r="A476" s="231"/>
      <c r="B476" s="231"/>
      <c r="C476" s="231"/>
    </row>
    <row r="477">
      <c r="A477" s="231"/>
      <c r="B477" s="231"/>
      <c r="C477" s="231"/>
    </row>
    <row r="478">
      <c r="A478" s="231"/>
      <c r="B478" s="231"/>
      <c r="C478" s="231"/>
    </row>
    <row r="479">
      <c r="A479" s="231"/>
      <c r="B479" s="231"/>
      <c r="C479" s="231"/>
    </row>
    <row r="480">
      <c r="A480" s="231"/>
      <c r="B480" s="231"/>
      <c r="C480" s="231"/>
    </row>
    <row r="481">
      <c r="A481" s="231"/>
      <c r="B481" s="231"/>
      <c r="C481" s="231"/>
    </row>
    <row r="482">
      <c r="A482" s="231"/>
      <c r="B482" s="231"/>
      <c r="C482" s="231"/>
    </row>
    <row r="483">
      <c r="A483" s="231"/>
      <c r="B483" s="231"/>
      <c r="C483" s="231"/>
    </row>
    <row r="484">
      <c r="A484" s="231"/>
      <c r="B484" s="231"/>
      <c r="C484" s="231"/>
    </row>
    <row r="485">
      <c r="A485" s="231"/>
      <c r="B485" s="231"/>
      <c r="C485" s="231"/>
    </row>
    <row r="486">
      <c r="A486" s="231"/>
      <c r="B486" s="231"/>
      <c r="C486" s="231"/>
    </row>
    <row r="487">
      <c r="A487" s="231"/>
      <c r="B487" s="231"/>
      <c r="C487" s="231"/>
    </row>
    <row r="488">
      <c r="A488" s="231"/>
      <c r="B488" s="231"/>
      <c r="C488" s="231"/>
    </row>
    <row r="489">
      <c r="A489" s="231"/>
      <c r="B489" s="231"/>
      <c r="C489" s="231"/>
    </row>
    <row r="490">
      <c r="A490" s="231"/>
      <c r="B490" s="231"/>
      <c r="C490" s="231"/>
    </row>
    <row r="491">
      <c r="A491" s="231"/>
      <c r="B491" s="231"/>
      <c r="C491" s="231"/>
    </row>
    <row r="492">
      <c r="A492" s="231"/>
      <c r="B492" s="231"/>
      <c r="C492" s="231"/>
    </row>
    <row r="493">
      <c r="A493" s="231"/>
      <c r="B493" s="231"/>
      <c r="C493" s="231"/>
    </row>
    <row r="494">
      <c r="A494" s="231"/>
      <c r="B494" s="231"/>
      <c r="C494" s="231"/>
    </row>
    <row r="495">
      <c r="A495" s="231"/>
      <c r="B495" s="231"/>
      <c r="C495" s="231"/>
    </row>
    <row r="496">
      <c r="A496" s="231"/>
      <c r="B496" s="231"/>
      <c r="C496" s="231"/>
    </row>
    <row r="497">
      <c r="A497" s="231"/>
      <c r="B497" s="231"/>
      <c r="C497" s="231"/>
    </row>
    <row r="498">
      <c r="A498" s="231"/>
      <c r="B498" s="231"/>
      <c r="C498" s="231"/>
    </row>
    <row r="499">
      <c r="A499" s="231"/>
      <c r="B499" s="231"/>
      <c r="C499" s="231"/>
    </row>
    <row r="500">
      <c r="A500" s="231"/>
      <c r="B500" s="231"/>
      <c r="C500" s="231"/>
    </row>
    <row r="501">
      <c r="A501" s="231"/>
      <c r="B501" s="231"/>
      <c r="C501" s="231"/>
    </row>
    <row r="502">
      <c r="A502" s="231"/>
      <c r="B502" s="231"/>
      <c r="C502" s="231"/>
    </row>
    <row r="503">
      <c r="A503" s="231"/>
      <c r="B503" s="231"/>
      <c r="C503" s="231"/>
    </row>
    <row r="504">
      <c r="A504" s="231"/>
      <c r="B504" s="231"/>
      <c r="C504" s="231"/>
    </row>
    <row r="505">
      <c r="A505" s="231"/>
      <c r="B505" s="231"/>
      <c r="C505" s="231"/>
    </row>
    <row r="506">
      <c r="A506" s="231"/>
      <c r="B506" s="231"/>
      <c r="C506" s="231"/>
    </row>
    <row r="507">
      <c r="A507" s="231"/>
      <c r="B507" s="231"/>
      <c r="C507" s="231"/>
    </row>
    <row r="508">
      <c r="A508" s="231"/>
      <c r="B508" s="231"/>
      <c r="C508" s="231"/>
    </row>
    <row r="509">
      <c r="A509" s="231"/>
      <c r="B509" s="231"/>
      <c r="C509" s="231"/>
    </row>
    <row r="510">
      <c r="A510" s="231"/>
      <c r="B510" s="231"/>
      <c r="C510" s="231"/>
    </row>
    <row r="511">
      <c r="A511" s="231"/>
      <c r="B511" s="231"/>
      <c r="C511" s="231"/>
    </row>
    <row r="512">
      <c r="A512" s="231"/>
      <c r="B512" s="231"/>
      <c r="C512" s="231"/>
    </row>
    <row r="513">
      <c r="A513" s="231"/>
      <c r="B513" s="231"/>
      <c r="C513" s="231"/>
    </row>
    <row r="514">
      <c r="A514" s="231"/>
      <c r="B514" s="231"/>
      <c r="C514" s="231"/>
    </row>
    <row r="515">
      <c r="A515" s="231"/>
      <c r="B515" s="231"/>
      <c r="C515" s="231"/>
    </row>
    <row r="516">
      <c r="A516" s="231"/>
      <c r="B516" s="231"/>
      <c r="C516" s="231"/>
    </row>
    <row r="517">
      <c r="A517" s="231"/>
      <c r="B517" s="231"/>
      <c r="C517" s="231"/>
    </row>
    <row r="518">
      <c r="A518" s="231"/>
      <c r="B518" s="231"/>
      <c r="C518" s="231"/>
    </row>
    <row r="519">
      <c r="A519" s="231"/>
      <c r="B519" s="231"/>
      <c r="C519" s="231"/>
    </row>
    <row r="520">
      <c r="A520" s="231"/>
      <c r="B520" s="231"/>
      <c r="C520" s="231"/>
    </row>
    <row r="521">
      <c r="A521" s="231"/>
      <c r="B521" s="231"/>
      <c r="C521" s="231"/>
    </row>
    <row r="522">
      <c r="A522" s="231"/>
      <c r="B522" s="231"/>
      <c r="C522" s="231"/>
    </row>
    <row r="523">
      <c r="A523" s="231"/>
      <c r="B523" s="231"/>
      <c r="C523" s="231"/>
    </row>
    <row r="524">
      <c r="A524" s="231"/>
      <c r="B524" s="231"/>
      <c r="C524" s="231"/>
    </row>
    <row r="525">
      <c r="A525" s="231"/>
      <c r="B525" s="231"/>
      <c r="C525" s="231"/>
    </row>
    <row r="526">
      <c r="A526" s="231"/>
      <c r="B526" s="231"/>
      <c r="C526" s="231"/>
    </row>
    <row r="527">
      <c r="A527" s="231"/>
      <c r="B527" s="231"/>
      <c r="C527" s="231"/>
    </row>
    <row r="528">
      <c r="A528" s="231"/>
      <c r="B528" s="231"/>
      <c r="C528" s="231"/>
    </row>
    <row r="529">
      <c r="A529" s="231"/>
      <c r="B529" s="231"/>
      <c r="C529" s="231"/>
    </row>
    <row r="530">
      <c r="A530" s="231"/>
      <c r="B530" s="231"/>
      <c r="C530" s="231"/>
    </row>
    <row r="531">
      <c r="A531" s="231"/>
      <c r="B531" s="231"/>
      <c r="C531" s="231"/>
    </row>
    <row r="532">
      <c r="A532" s="231"/>
      <c r="B532" s="231"/>
      <c r="C532" s="231"/>
    </row>
    <row r="533">
      <c r="A533" s="231"/>
      <c r="B533" s="231"/>
      <c r="C533" s="231"/>
    </row>
    <row r="534">
      <c r="A534" s="231"/>
      <c r="B534" s="231"/>
      <c r="C534" s="231"/>
    </row>
    <row r="535">
      <c r="A535" s="231"/>
      <c r="B535" s="231"/>
      <c r="C535" s="231"/>
    </row>
    <row r="536">
      <c r="A536" s="231"/>
      <c r="B536" s="231"/>
      <c r="C536" s="231"/>
    </row>
    <row r="537">
      <c r="A537" s="231"/>
      <c r="B537" s="231"/>
      <c r="C537" s="231"/>
    </row>
    <row r="538">
      <c r="A538" s="231"/>
      <c r="B538" s="231"/>
      <c r="C538" s="231"/>
    </row>
    <row r="539">
      <c r="A539" s="231"/>
      <c r="B539" s="231"/>
      <c r="C539" s="231"/>
    </row>
    <row r="540">
      <c r="A540" s="231"/>
      <c r="B540" s="231"/>
      <c r="C540" s="231"/>
    </row>
    <row r="541">
      <c r="A541" s="231"/>
      <c r="B541" s="231"/>
      <c r="C541" s="231"/>
    </row>
    <row r="542">
      <c r="A542" s="231"/>
      <c r="B542" s="231"/>
      <c r="C542" s="231"/>
    </row>
    <row r="543">
      <c r="A543" s="231"/>
      <c r="B543" s="231"/>
      <c r="C543" s="231"/>
    </row>
    <row r="544">
      <c r="A544" s="231"/>
      <c r="B544" s="231"/>
      <c r="C544" s="231"/>
    </row>
    <row r="545">
      <c r="A545" s="231"/>
      <c r="B545" s="231"/>
      <c r="C545" s="231"/>
    </row>
    <row r="546">
      <c r="A546" s="231"/>
      <c r="B546" s="231"/>
      <c r="C546" s="231"/>
    </row>
    <row r="547">
      <c r="A547" s="231"/>
      <c r="B547" s="231"/>
      <c r="C547" s="231"/>
    </row>
    <row r="548">
      <c r="A548" s="231"/>
      <c r="B548" s="231"/>
      <c r="C548" s="231"/>
    </row>
    <row r="549">
      <c r="A549" s="231"/>
      <c r="B549" s="231"/>
      <c r="C549" s="231"/>
    </row>
    <row r="550">
      <c r="A550" s="231"/>
      <c r="B550" s="231"/>
      <c r="C550" s="231"/>
    </row>
    <row r="551">
      <c r="A551" s="231"/>
      <c r="B551" s="231"/>
      <c r="C551" s="231"/>
    </row>
    <row r="552">
      <c r="A552" s="231"/>
      <c r="B552" s="231"/>
      <c r="C552" s="231"/>
    </row>
    <row r="553">
      <c r="A553" s="231"/>
      <c r="B553" s="231"/>
      <c r="C553" s="231"/>
    </row>
    <row r="554">
      <c r="A554" s="231"/>
      <c r="B554" s="231"/>
      <c r="C554" s="231"/>
    </row>
    <row r="555">
      <c r="A555" s="231"/>
      <c r="B555" s="231"/>
      <c r="C555" s="231"/>
    </row>
    <row r="556">
      <c r="A556" s="231"/>
      <c r="B556" s="231"/>
      <c r="C556" s="231"/>
    </row>
    <row r="557">
      <c r="A557" s="231"/>
      <c r="B557" s="231"/>
      <c r="C557" s="231"/>
    </row>
    <row r="558">
      <c r="A558" s="231"/>
      <c r="B558" s="231"/>
      <c r="C558" s="231"/>
    </row>
    <row r="559">
      <c r="A559" s="231"/>
      <c r="B559" s="231"/>
      <c r="C559" s="231"/>
    </row>
    <row r="560">
      <c r="A560" s="231"/>
      <c r="B560" s="231"/>
      <c r="C560" s="231"/>
    </row>
    <row r="561">
      <c r="A561" s="231"/>
      <c r="B561" s="231"/>
      <c r="C561" s="231"/>
    </row>
    <row r="562">
      <c r="A562" s="231"/>
      <c r="B562" s="231"/>
      <c r="C562" s="231"/>
    </row>
    <row r="563">
      <c r="A563" s="231"/>
      <c r="B563" s="231"/>
      <c r="C563" s="231"/>
    </row>
    <row r="564">
      <c r="A564" s="231"/>
      <c r="B564" s="231"/>
      <c r="C564" s="231"/>
    </row>
    <row r="565">
      <c r="A565" s="231"/>
      <c r="B565" s="231"/>
      <c r="C565" s="231"/>
    </row>
    <row r="566">
      <c r="A566" s="231"/>
      <c r="B566" s="231"/>
      <c r="C566" s="231"/>
    </row>
    <row r="567">
      <c r="A567" s="231"/>
      <c r="B567" s="231"/>
      <c r="C567" s="231"/>
    </row>
    <row r="568">
      <c r="A568" s="231"/>
      <c r="B568" s="231"/>
      <c r="C568" s="231"/>
    </row>
    <row r="569">
      <c r="A569" s="231"/>
      <c r="B569" s="231"/>
      <c r="C569" s="231"/>
    </row>
    <row r="570">
      <c r="A570" s="231"/>
      <c r="B570" s="231"/>
      <c r="C570" s="231"/>
    </row>
    <row r="571">
      <c r="A571" s="231"/>
      <c r="B571" s="231"/>
      <c r="C571" s="231"/>
    </row>
    <row r="572">
      <c r="A572" s="231"/>
      <c r="B572" s="231"/>
      <c r="C572" s="231"/>
    </row>
    <row r="573">
      <c r="A573" s="231"/>
      <c r="B573" s="231"/>
      <c r="C573" s="231"/>
    </row>
    <row r="574">
      <c r="A574" s="231"/>
      <c r="B574" s="231"/>
      <c r="C574" s="231"/>
    </row>
    <row r="575">
      <c r="A575" s="231"/>
      <c r="B575" s="231"/>
      <c r="C575" s="231"/>
    </row>
    <row r="576">
      <c r="A576" s="231"/>
      <c r="B576" s="231"/>
      <c r="C576" s="231"/>
    </row>
    <row r="577">
      <c r="A577" s="231"/>
      <c r="B577" s="231"/>
      <c r="C577" s="231"/>
    </row>
    <row r="578">
      <c r="A578" s="231"/>
      <c r="B578" s="231"/>
      <c r="C578" s="231"/>
    </row>
    <row r="579">
      <c r="A579" s="231"/>
      <c r="B579" s="231"/>
      <c r="C579" s="231"/>
    </row>
    <row r="580">
      <c r="A580" s="231"/>
      <c r="B580" s="231"/>
      <c r="C580" s="231"/>
    </row>
    <row r="581">
      <c r="A581" s="231"/>
      <c r="B581" s="231"/>
      <c r="C581" s="231"/>
    </row>
    <row r="582">
      <c r="A582" s="231"/>
      <c r="B582" s="231"/>
      <c r="C582" s="231"/>
    </row>
    <row r="583">
      <c r="A583" s="231"/>
      <c r="B583" s="231"/>
      <c r="C583" s="231"/>
    </row>
    <row r="584">
      <c r="A584" s="231"/>
      <c r="B584" s="231"/>
      <c r="C584" s="231"/>
    </row>
    <row r="585">
      <c r="A585" s="231"/>
      <c r="B585" s="231"/>
      <c r="C585" s="231"/>
    </row>
    <row r="586">
      <c r="A586" s="231"/>
      <c r="B586" s="231"/>
      <c r="C586" s="231"/>
    </row>
    <row r="587">
      <c r="A587" s="231"/>
      <c r="B587" s="231"/>
      <c r="C587" s="231"/>
    </row>
    <row r="588">
      <c r="A588" s="231"/>
      <c r="B588" s="231"/>
      <c r="C588" s="231"/>
    </row>
    <row r="589">
      <c r="A589" s="231"/>
      <c r="B589" s="231"/>
      <c r="C589" s="231"/>
    </row>
    <row r="590">
      <c r="A590" s="231"/>
      <c r="B590" s="231"/>
      <c r="C590" s="231"/>
    </row>
    <row r="591">
      <c r="A591" s="231"/>
      <c r="B591" s="231"/>
      <c r="C591" s="231"/>
    </row>
    <row r="592">
      <c r="A592" s="231"/>
      <c r="B592" s="231"/>
      <c r="C592" s="231"/>
    </row>
    <row r="593">
      <c r="A593" s="231"/>
      <c r="B593" s="231"/>
      <c r="C593" s="231"/>
    </row>
    <row r="594">
      <c r="A594" s="231"/>
      <c r="B594" s="231"/>
      <c r="C594" s="231"/>
    </row>
    <row r="595">
      <c r="A595" s="231"/>
      <c r="B595" s="231"/>
      <c r="C595" s="231"/>
    </row>
    <row r="596">
      <c r="A596" s="231"/>
      <c r="B596" s="231"/>
      <c r="C596" s="231"/>
    </row>
    <row r="597">
      <c r="A597" s="231"/>
      <c r="B597" s="231"/>
      <c r="C597" s="231"/>
    </row>
    <row r="598">
      <c r="A598" s="231"/>
      <c r="B598" s="231"/>
      <c r="C598" s="231"/>
    </row>
    <row r="599">
      <c r="A599" s="231"/>
      <c r="B599" s="231"/>
      <c r="C599" s="231"/>
    </row>
    <row r="600">
      <c r="A600" s="231"/>
      <c r="B600" s="231"/>
      <c r="C600" s="231"/>
    </row>
    <row r="601">
      <c r="A601" s="231"/>
      <c r="B601" s="231"/>
      <c r="C601" s="231"/>
    </row>
    <row r="602">
      <c r="A602" s="231"/>
      <c r="B602" s="231"/>
      <c r="C602" s="231"/>
    </row>
    <row r="603">
      <c r="A603" s="231"/>
      <c r="B603" s="231"/>
      <c r="C603" s="231"/>
    </row>
    <row r="604">
      <c r="A604" s="231"/>
      <c r="B604" s="231"/>
      <c r="C604" s="231"/>
    </row>
    <row r="605">
      <c r="A605" s="231"/>
      <c r="B605" s="231"/>
      <c r="C605" s="231"/>
    </row>
    <row r="606">
      <c r="A606" s="231"/>
      <c r="B606" s="231"/>
      <c r="C606" s="231"/>
    </row>
    <row r="607">
      <c r="A607" s="231"/>
      <c r="B607" s="231"/>
      <c r="C607" s="231"/>
    </row>
    <row r="608">
      <c r="A608" s="231"/>
      <c r="B608" s="231"/>
      <c r="C608" s="231"/>
    </row>
    <row r="609">
      <c r="A609" s="231"/>
      <c r="B609" s="231"/>
      <c r="C609" s="231"/>
    </row>
    <row r="610">
      <c r="A610" s="231"/>
      <c r="B610" s="231"/>
      <c r="C610" s="231"/>
    </row>
    <row r="611">
      <c r="A611" s="231"/>
      <c r="B611" s="231"/>
      <c r="C611" s="231"/>
    </row>
    <row r="612">
      <c r="A612" s="231"/>
      <c r="B612" s="231"/>
      <c r="C612" s="231"/>
    </row>
    <row r="613">
      <c r="A613" s="231"/>
      <c r="B613" s="231"/>
      <c r="C613" s="231"/>
    </row>
    <row r="614">
      <c r="A614" s="231"/>
      <c r="B614" s="231"/>
      <c r="C614" s="231"/>
    </row>
    <row r="615">
      <c r="A615" s="231"/>
      <c r="B615" s="231"/>
      <c r="C615" s="231"/>
    </row>
    <row r="616">
      <c r="A616" s="231"/>
      <c r="B616" s="231"/>
      <c r="C616" s="231"/>
    </row>
    <row r="617">
      <c r="A617" s="231"/>
      <c r="B617" s="231"/>
      <c r="C617" s="231"/>
    </row>
    <row r="618">
      <c r="A618" s="231"/>
      <c r="B618" s="231"/>
      <c r="C618" s="231"/>
    </row>
    <row r="619">
      <c r="A619" s="231"/>
      <c r="B619" s="231"/>
      <c r="C619" s="231"/>
    </row>
    <row r="620">
      <c r="A620" s="231"/>
      <c r="B620" s="231"/>
      <c r="C620" s="231"/>
    </row>
    <row r="621">
      <c r="A621" s="231"/>
      <c r="B621" s="231"/>
      <c r="C621" s="231"/>
    </row>
    <row r="622">
      <c r="A622" s="231"/>
      <c r="B622" s="231"/>
      <c r="C622" s="231"/>
    </row>
    <row r="623">
      <c r="A623" s="231"/>
      <c r="B623" s="231"/>
      <c r="C623" s="231"/>
    </row>
    <row r="624">
      <c r="A624" s="231"/>
      <c r="B624" s="231"/>
      <c r="C624" s="231"/>
    </row>
    <row r="625">
      <c r="A625" s="231"/>
      <c r="B625" s="231"/>
      <c r="C625" s="231"/>
    </row>
    <row r="626">
      <c r="A626" s="231"/>
      <c r="B626" s="231"/>
      <c r="C626" s="231"/>
    </row>
    <row r="627">
      <c r="A627" s="231"/>
      <c r="B627" s="231"/>
      <c r="C627" s="231"/>
    </row>
    <row r="628">
      <c r="A628" s="231"/>
      <c r="B628" s="231"/>
      <c r="C628" s="231"/>
    </row>
    <row r="629">
      <c r="A629" s="231"/>
      <c r="B629" s="231"/>
      <c r="C629" s="231"/>
    </row>
    <row r="630">
      <c r="A630" s="231"/>
      <c r="B630" s="231"/>
      <c r="C630" s="231"/>
    </row>
    <row r="631">
      <c r="A631" s="231"/>
      <c r="B631" s="231"/>
      <c r="C631" s="231"/>
    </row>
    <row r="632">
      <c r="A632" s="231"/>
      <c r="B632" s="231"/>
      <c r="C632" s="231"/>
    </row>
    <row r="633">
      <c r="A633" s="231"/>
      <c r="B633" s="231"/>
      <c r="C633" s="231"/>
    </row>
    <row r="634">
      <c r="A634" s="231"/>
      <c r="B634" s="231"/>
      <c r="C634" s="231"/>
    </row>
    <row r="635">
      <c r="A635" s="231"/>
      <c r="B635" s="231"/>
      <c r="C635" s="231"/>
    </row>
    <row r="636">
      <c r="A636" s="231"/>
      <c r="B636" s="231"/>
      <c r="C636" s="231"/>
    </row>
    <row r="637">
      <c r="A637" s="231"/>
      <c r="B637" s="231"/>
      <c r="C637" s="231"/>
    </row>
    <row r="638">
      <c r="A638" s="231"/>
      <c r="B638" s="231"/>
      <c r="C638" s="231"/>
    </row>
    <row r="639">
      <c r="A639" s="231"/>
      <c r="B639" s="231"/>
      <c r="C639" s="231"/>
    </row>
    <row r="640">
      <c r="A640" s="231"/>
      <c r="B640" s="231"/>
      <c r="C640" s="231"/>
    </row>
    <row r="641">
      <c r="A641" s="231"/>
      <c r="B641" s="231"/>
      <c r="C641" s="231"/>
    </row>
    <row r="642">
      <c r="A642" s="231"/>
      <c r="B642" s="231"/>
      <c r="C642" s="231"/>
    </row>
    <row r="643">
      <c r="A643" s="231"/>
      <c r="B643" s="231"/>
      <c r="C643" s="231"/>
    </row>
    <row r="644">
      <c r="A644" s="231"/>
      <c r="B644" s="231"/>
      <c r="C644" s="231"/>
    </row>
    <row r="645">
      <c r="A645" s="231"/>
      <c r="B645" s="231"/>
      <c r="C645" s="231"/>
    </row>
    <row r="646">
      <c r="A646" s="231"/>
      <c r="B646" s="231"/>
      <c r="C646" s="231"/>
    </row>
    <row r="647">
      <c r="A647" s="231"/>
      <c r="B647" s="231"/>
      <c r="C647" s="231"/>
    </row>
    <row r="648">
      <c r="A648" s="231"/>
      <c r="B648" s="231"/>
      <c r="C648" s="231"/>
    </row>
    <row r="649">
      <c r="A649" s="231"/>
      <c r="B649" s="231"/>
      <c r="C649" s="231"/>
    </row>
    <row r="650">
      <c r="A650" s="231"/>
      <c r="B650" s="231"/>
      <c r="C650" s="231"/>
    </row>
    <row r="651">
      <c r="A651" s="231"/>
      <c r="B651" s="231"/>
      <c r="C651" s="231"/>
    </row>
    <row r="652">
      <c r="A652" s="231"/>
      <c r="B652" s="231"/>
      <c r="C652" s="231"/>
    </row>
    <row r="653">
      <c r="A653" s="231"/>
      <c r="B653" s="231"/>
      <c r="C653" s="231"/>
    </row>
    <row r="654">
      <c r="A654" s="231"/>
      <c r="B654" s="231"/>
      <c r="C654" s="231"/>
    </row>
    <row r="655">
      <c r="A655" s="231"/>
      <c r="B655" s="231"/>
      <c r="C655" s="231"/>
    </row>
    <row r="656">
      <c r="A656" s="231"/>
      <c r="B656" s="231"/>
      <c r="C656" s="231"/>
    </row>
    <row r="657">
      <c r="A657" s="231"/>
      <c r="B657" s="231"/>
      <c r="C657" s="231"/>
    </row>
    <row r="658">
      <c r="A658" s="231"/>
      <c r="B658" s="231"/>
      <c r="C658" s="231"/>
    </row>
    <row r="659">
      <c r="A659" s="231"/>
      <c r="B659" s="231"/>
      <c r="C659" s="231"/>
    </row>
    <row r="660">
      <c r="A660" s="231"/>
      <c r="B660" s="231"/>
      <c r="C660" s="231"/>
    </row>
    <row r="661">
      <c r="A661" s="231"/>
      <c r="B661" s="231"/>
      <c r="C661" s="231"/>
    </row>
    <row r="662">
      <c r="A662" s="231"/>
      <c r="B662" s="231"/>
      <c r="C662" s="231"/>
    </row>
    <row r="663">
      <c r="A663" s="231"/>
      <c r="B663" s="231"/>
      <c r="C663" s="231"/>
    </row>
    <row r="664">
      <c r="A664" s="231"/>
      <c r="B664" s="231"/>
      <c r="C664" s="231"/>
    </row>
    <row r="665">
      <c r="A665" s="231"/>
      <c r="B665" s="231"/>
      <c r="C665" s="231"/>
    </row>
    <row r="666">
      <c r="A666" s="231"/>
      <c r="B666" s="231"/>
      <c r="C666" s="231"/>
    </row>
    <row r="667">
      <c r="A667" s="231"/>
      <c r="B667" s="231"/>
      <c r="C667" s="231"/>
    </row>
    <row r="668">
      <c r="A668" s="231"/>
      <c r="B668" s="231"/>
      <c r="C668" s="231"/>
    </row>
    <row r="669">
      <c r="A669" s="231"/>
      <c r="B669" s="231"/>
      <c r="C669" s="231"/>
    </row>
    <row r="670">
      <c r="A670" s="231"/>
      <c r="B670" s="231"/>
      <c r="C670" s="231"/>
    </row>
    <row r="671">
      <c r="A671" s="231"/>
      <c r="B671" s="231"/>
      <c r="C671" s="231"/>
    </row>
    <row r="672">
      <c r="A672" s="231"/>
      <c r="B672" s="231"/>
      <c r="C672" s="231"/>
    </row>
    <row r="673">
      <c r="A673" s="231"/>
      <c r="B673" s="231"/>
      <c r="C673" s="231"/>
    </row>
    <row r="674">
      <c r="A674" s="231"/>
      <c r="B674" s="231"/>
      <c r="C674" s="231"/>
    </row>
    <row r="675">
      <c r="A675" s="231"/>
      <c r="B675" s="231"/>
      <c r="C675" s="231"/>
    </row>
    <row r="676">
      <c r="A676" s="231"/>
      <c r="B676" s="231"/>
      <c r="C676" s="231"/>
    </row>
    <row r="677">
      <c r="A677" s="231"/>
      <c r="B677" s="231"/>
      <c r="C677" s="231"/>
    </row>
    <row r="678">
      <c r="A678" s="231"/>
      <c r="B678" s="231"/>
      <c r="C678" s="231"/>
    </row>
    <row r="679">
      <c r="A679" s="231"/>
      <c r="B679" s="231"/>
      <c r="C679" s="231"/>
    </row>
    <row r="680">
      <c r="A680" s="231"/>
      <c r="B680" s="231"/>
      <c r="C680" s="231"/>
    </row>
    <row r="681">
      <c r="A681" s="231"/>
      <c r="B681" s="231"/>
      <c r="C681" s="231"/>
    </row>
    <row r="682">
      <c r="A682" s="231"/>
      <c r="B682" s="231"/>
      <c r="C682" s="231"/>
    </row>
    <row r="683">
      <c r="A683" s="231"/>
      <c r="B683" s="231"/>
      <c r="C683" s="231"/>
    </row>
    <row r="684">
      <c r="A684" s="231"/>
      <c r="B684" s="231"/>
      <c r="C684" s="231"/>
    </row>
    <row r="685">
      <c r="A685" s="231"/>
      <c r="B685" s="231"/>
      <c r="C685" s="231"/>
    </row>
    <row r="686">
      <c r="A686" s="231"/>
      <c r="B686" s="231"/>
      <c r="C686" s="231"/>
    </row>
    <row r="687">
      <c r="A687" s="231"/>
      <c r="B687" s="231"/>
      <c r="C687" s="231"/>
    </row>
    <row r="688">
      <c r="A688" s="231"/>
      <c r="B688" s="231"/>
      <c r="C688" s="231"/>
    </row>
    <row r="689">
      <c r="A689" s="231"/>
      <c r="B689" s="231"/>
      <c r="C689" s="231"/>
    </row>
    <row r="690">
      <c r="A690" s="231"/>
      <c r="B690" s="231"/>
      <c r="C690" s="231"/>
    </row>
    <row r="691">
      <c r="A691" s="231"/>
      <c r="B691" s="231"/>
      <c r="C691" s="231"/>
    </row>
    <row r="692">
      <c r="A692" s="231"/>
      <c r="B692" s="231"/>
      <c r="C692" s="231"/>
    </row>
    <row r="693">
      <c r="A693" s="231"/>
      <c r="B693" s="231"/>
      <c r="C693" s="231"/>
    </row>
    <row r="694">
      <c r="A694" s="231"/>
      <c r="B694" s="231"/>
      <c r="C694" s="231"/>
    </row>
    <row r="695">
      <c r="A695" s="231"/>
      <c r="B695" s="231"/>
      <c r="C695" s="231"/>
    </row>
    <row r="696">
      <c r="A696" s="231"/>
      <c r="B696" s="231"/>
      <c r="C696" s="231"/>
    </row>
    <row r="697">
      <c r="A697" s="231"/>
      <c r="B697" s="231"/>
      <c r="C697" s="231"/>
    </row>
    <row r="698">
      <c r="A698" s="231"/>
      <c r="B698" s="231"/>
      <c r="C698" s="231"/>
    </row>
    <row r="699">
      <c r="A699" s="231"/>
      <c r="B699" s="231"/>
      <c r="C699" s="231"/>
    </row>
    <row r="700">
      <c r="A700" s="231"/>
      <c r="B700" s="231"/>
      <c r="C700" s="231"/>
    </row>
    <row r="701">
      <c r="A701" s="231"/>
      <c r="B701" s="231"/>
      <c r="C701" s="231"/>
    </row>
    <row r="702">
      <c r="A702" s="231"/>
      <c r="B702" s="231"/>
      <c r="C702" s="231"/>
    </row>
    <row r="703">
      <c r="A703" s="231"/>
      <c r="B703" s="231"/>
      <c r="C703" s="231"/>
    </row>
    <row r="704">
      <c r="A704" s="231"/>
      <c r="B704" s="231"/>
      <c r="C704" s="231"/>
    </row>
    <row r="705">
      <c r="A705" s="231"/>
      <c r="B705" s="231"/>
      <c r="C705" s="231"/>
    </row>
    <row r="706">
      <c r="A706" s="231"/>
      <c r="B706" s="231"/>
      <c r="C706" s="231"/>
    </row>
    <row r="707">
      <c r="A707" s="231"/>
      <c r="B707" s="231"/>
      <c r="C707" s="231"/>
    </row>
    <row r="708">
      <c r="A708" s="231"/>
      <c r="B708" s="231"/>
      <c r="C708" s="231"/>
    </row>
    <row r="709">
      <c r="A709" s="231"/>
      <c r="B709" s="231"/>
      <c r="C709" s="231"/>
    </row>
    <row r="710">
      <c r="A710" s="231"/>
      <c r="B710" s="231"/>
      <c r="C710" s="231"/>
    </row>
    <row r="711">
      <c r="A711" s="231"/>
      <c r="B711" s="231"/>
      <c r="C711" s="231"/>
    </row>
    <row r="712">
      <c r="A712" s="231"/>
      <c r="B712" s="231"/>
      <c r="C712" s="231"/>
    </row>
    <row r="713">
      <c r="A713" s="231"/>
      <c r="B713" s="231"/>
      <c r="C713" s="231"/>
    </row>
    <row r="714">
      <c r="A714" s="231"/>
      <c r="B714" s="231"/>
      <c r="C714" s="231"/>
    </row>
    <row r="715">
      <c r="A715" s="231"/>
      <c r="B715" s="231"/>
      <c r="C715" s="231"/>
    </row>
    <row r="716">
      <c r="A716" s="231"/>
      <c r="B716" s="231"/>
      <c r="C716" s="231"/>
    </row>
    <row r="717">
      <c r="A717" s="231"/>
      <c r="B717" s="231"/>
      <c r="C717" s="231"/>
    </row>
    <row r="718">
      <c r="A718" s="231"/>
      <c r="B718" s="231"/>
      <c r="C718" s="231"/>
    </row>
    <row r="719">
      <c r="A719" s="231"/>
      <c r="B719" s="231"/>
      <c r="C719" s="231"/>
    </row>
    <row r="720">
      <c r="A720" s="231"/>
      <c r="B720" s="231"/>
      <c r="C720" s="231"/>
    </row>
    <row r="721">
      <c r="A721" s="231"/>
      <c r="B721" s="231"/>
      <c r="C721" s="231"/>
    </row>
    <row r="722">
      <c r="A722" s="231"/>
      <c r="B722" s="231"/>
      <c r="C722" s="231"/>
    </row>
    <row r="723">
      <c r="A723" s="231"/>
      <c r="B723" s="231"/>
      <c r="C723" s="231"/>
    </row>
    <row r="724">
      <c r="A724" s="231"/>
      <c r="B724" s="231"/>
      <c r="C724" s="231"/>
    </row>
    <row r="725">
      <c r="A725" s="231"/>
      <c r="B725" s="231"/>
      <c r="C725" s="231"/>
    </row>
    <row r="726">
      <c r="A726" s="231"/>
      <c r="B726" s="231"/>
      <c r="C726" s="231"/>
    </row>
    <row r="727">
      <c r="A727" s="231"/>
      <c r="B727" s="231"/>
      <c r="C727" s="231"/>
    </row>
    <row r="728">
      <c r="A728" s="231"/>
      <c r="B728" s="231"/>
      <c r="C728" s="231"/>
    </row>
    <row r="729">
      <c r="A729" s="231"/>
      <c r="B729" s="231"/>
      <c r="C729" s="231"/>
    </row>
    <row r="730">
      <c r="A730" s="231"/>
      <c r="B730" s="231"/>
      <c r="C730" s="231"/>
    </row>
    <row r="731">
      <c r="A731" s="231"/>
      <c r="B731" s="231"/>
      <c r="C731" s="231"/>
    </row>
    <row r="732">
      <c r="A732" s="231"/>
      <c r="B732" s="231"/>
      <c r="C732" s="231"/>
    </row>
    <row r="733">
      <c r="A733" s="231"/>
      <c r="B733" s="231"/>
      <c r="C733" s="231"/>
    </row>
    <row r="734">
      <c r="A734" s="231"/>
      <c r="B734" s="231"/>
      <c r="C734" s="231"/>
    </row>
    <row r="735">
      <c r="A735" s="231"/>
      <c r="B735" s="231"/>
      <c r="C735" s="231"/>
    </row>
    <row r="736">
      <c r="A736" s="231"/>
      <c r="B736" s="231"/>
      <c r="C736" s="231"/>
    </row>
    <row r="737">
      <c r="A737" s="231"/>
      <c r="B737" s="231"/>
      <c r="C737" s="231"/>
    </row>
    <row r="738">
      <c r="A738" s="231"/>
      <c r="B738" s="231"/>
      <c r="C738" s="231"/>
    </row>
    <row r="739">
      <c r="A739" s="231"/>
      <c r="B739" s="231"/>
      <c r="C739" s="231"/>
    </row>
    <row r="740">
      <c r="A740" s="231"/>
      <c r="B740" s="231"/>
      <c r="C740" s="231"/>
    </row>
    <row r="741">
      <c r="A741" s="231"/>
      <c r="B741" s="231"/>
      <c r="C741" s="231"/>
    </row>
    <row r="742">
      <c r="A742" s="231"/>
      <c r="B742" s="231"/>
      <c r="C742" s="231"/>
    </row>
    <row r="743">
      <c r="A743" s="231"/>
      <c r="B743" s="231"/>
      <c r="C743" s="231"/>
    </row>
    <row r="744">
      <c r="A744" s="231"/>
      <c r="B744" s="231"/>
      <c r="C744" s="231"/>
    </row>
    <row r="745">
      <c r="A745" s="231"/>
      <c r="B745" s="231"/>
      <c r="C745" s="231"/>
    </row>
    <row r="746">
      <c r="A746" s="231"/>
      <c r="B746" s="231"/>
      <c r="C746" s="231"/>
    </row>
    <row r="747">
      <c r="A747" s="231"/>
      <c r="B747" s="231"/>
      <c r="C747" s="231"/>
    </row>
    <row r="748">
      <c r="A748" s="231"/>
      <c r="B748" s="231"/>
      <c r="C748" s="231"/>
    </row>
    <row r="749">
      <c r="A749" s="231"/>
      <c r="B749" s="231"/>
      <c r="C749" s="231"/>
    </row>
    <row r="750">
      <c r="A750" s="231"/>
      <c r="B750" s="231"/>
      <c r="C750" s="231"/>
    </row>
    <row r="751">
      <c r="A751" s="231"/>
      <c r="B751" s="231"/>
      <c r="C751" s="231"/>
    </row>
    <row r="752">
      <c r="A752" s="231"/>
      <c r="B752" s="231"/>
      <c r="C752" s="231"/>
    </row>
    <row r="753">
      <c r="A753" s="231"/>
      <c r="B753" s="231"/>
      <c r="C753" s="231"/>
    </row>
    <row r="754">
      <c r="A754" s="231"/>
      <c r="B754" s="231"/>
      <c r="C754" s="231"/>
    </row>
    <row r="755">
      <c r="A755" s="231"/>
      <c r="B755" s="231"/>
      <c r="C755" s="231"/>
    </row>
    <row r="756">
      <c r="A756" s="231"/>
      <c r="B756" s="231"/>
      <c r="C756" s="231"/>
    </row>
    <row r="757">
      <c r="A757" s="231"/>
      <c r="B757" s="231"/>
      <c r="C757" s="231"/>
    </row>
    <row r="758">
      <c r="A758" s="231"/>
      <c r="B758" s="231"/>
      <c r="C758" s="231"/>
    </row>
    <row r="759">
      <c r="A759" s="231"/>
      <c r="B759" s="231"/>
      <c r="C759" s="231"/>
    </row>
    <row r="760">
      <c r="A760" s="231"/>
      <c r="B760" s="231"/>
      <c r="C760" s="231"/>
    </row>
    <row r="761">
      <c r="A761" s="231"/>
      <c r="B761" s="231"/>
      <c r="C761" s="231"/>
    </row>
    <row r="762">
      <c r="A762" s="231"/>
      <c r="B762" s="231"/>
      <c r="C762" s="231"/>
    </row>
    <row r="763">
      <c r="A763" s="231"/>
      <c r="B763" s="231"/>
      <c r="C763" s="231"/>
    </row>
    <row r="764">
      <c r="A764" s="231"/>
      <c r="B764" s="231"/>
      <c r="C764" s="231"/>
    </row>
    <row r="765">
      <c r="A765" s="231"/>
      <c r="B765" s="231"/>
      <c r="C765" s="231"/>
    </row>
    <row r="766">
      <c r="A766" s="231"/>
      <c r="B766" s="231"/>
      <c r="C766" s="231"/>
    </row>
    <row r="767">
      <c r="A767" s="231"/>
      <c r="B767" s="231"/>
      <c r="C767" s="231"/>
    </row>
    <row r="768">
      <c r="A768" s="231"/>
      <c r="B768" s="231"/>
      <c r="C768" s="231"/>
    </row>
    <row r="769">
      <c r="A769" s="231"/>
      <c r="B769" s="231"/>
      <c r="C769" s="231"/>
    </row>
    <row r="770">
      <c r="A770" s="231"/>
      <c r="B770" s="231"/>
      <c r="C770" s="231"/>
    </row>
    <row r="771">
      <c r="A771" s="231"/>
      <c r="B771" s="231"/>
      <c r="C771" s="231"/>
    </row>
    <row r="772">
      <c r="A772" s="231"/>
      <c r="B772" s="231"/>
      <c r="C772" s="231"/>
    </row>
    <row r="773">
      <c r="A773" s="231"/>
      <c r="B773" s="231"/>
      <c r="C773" s="231"/>
    </row>
    <row r="774">
      <c r="A774" s="231"/>
      <c r="B774" s="231"/>
      <c r="C774" s="231"/>
    </row>
    <row r="775">
      <c r="A775" s="231"/>
      <c r="B775" s="231"/>
      <c r="C775" s="231"/>
    </row>
    <row r="776">
      <c r="A776" s="231"/>
      <c r="B776" s="231"/>
      <c r="C776" s="231"/>
    </row>
    <row r="777">
      <c r="A777" s="231"/>
      <c r="B777" s="231"/>
      <c r="C777" s="231"/>
    </row>
    <row r="778">
      <c r="A778" s="231"/>
      <c r="B778" s="231"/>
      <c r="C778" s="231"/>
    </row>
    <row r="779">
      <c r="A779" s="231"/>
      <c r="B779" s="231"/>
      <c r="C779" s="231"/>
    </row>
    <row r="780">
      <c r="A780" s="231"/>
      <c r="B780" s="231"/>
      <c r="C780" s="231"/>
    </row>
    <row r="781">
      <c r="A781" s="231"/>
      <c r="B781" s="231"/>
      <c r="C781" s="231"/>
    </row>
    <row r="782">
      <c r="A782" s="231"/>
      <c r="B782" s="231"/>
      <c r="C782" s="231"/>
    </row>
    <row r="783">
      <c r="A783" s="231"/>
      <c r="B783" s="231"/>
      <c r="C783" s="231"/>
    </row>
    <row r="784">
      <c r="A784" s="231"/>
      <c r="B784" s="231"/>
      <c r="C784" s="231"/>
    </row>
    <row r="785">
      <c r="A785" s="231"/>
      <c r="B785" s="231"/>
      <c r="C785" s="231"/>
    </row>
    <row r="786">
      <c r="A786" s="231"/>
      <c r="B786" s="231"/>
      <c r="C786" s="231"/>
    </row>
    <row r="787">
      <c r="A787" s="231"/>
      <c r="B787" s="231"/>
      <c r="C787" s="231"/>
    </row>
    <row r="788">
      <c r="A788" s="231"/>
      <c r="B788" s="231"/>
      <c r="C788" s="231"/>
    </row>
    <row r="789">
      <c r="A789" s="231"/>
      <c r="B789" s="231"/>
      <c r="C789" s="231"/>
    </row>
    <row r="790">
      <c r="A790" s="231"/>
      <c r="B790" s="231"/>
      <c r="C790" s="231"/>
    </row>
    <row r="791">
      <c r="A791" s="231"/>
      <c r="B791" s="231"/>
      <c r="C791" s="231"/>
    </row>
    <row r="792">
      <c r="A792" s="231"/>
      <c r="B792" s="231"/>
      <c r="C792" s="231"/>
    </row>
    <row r="793">
      <c r="A793" s="231"/>
      <c r="B793" s="231"/>
      <c r="C793" s="231"/>
    </row>
    <row r="794">
      <c r="A794" s="231"/>
      <c r="B794" s="231"/>
      <c r="C794" s="231"/>
    </row>
    <row r="795">
      <c r="A795" s="231"/>
      <c r="B795" s="231"/>
      <c r="C795" s="231"/>
    </row>
    <row r="796">
      <c r="A796" s="231"/>
      <c r="B796" s="231"/>
      <c r="C796" s="231"/>
    </row>
    <row r="797">
      <c r="A797" s="231"/>
      <c r="B797" s="231"/>
      <c r="C797" s="231"/>
    </row>
    <row r="798">
      <c r="A798" s="231"/>
      <c r="B798" s="231"/>
      <c r="C798" s="231"/>
    </row>
    <row r="799">
      <c r="A799" s="231"/>
      <c r="B799" s="231"/>
      <c r="C799" s="231"/>
    </row>
    <row r="800">
      <c r="A800" s="231"/>
      <c r="B800" s="231"/>
      <c r="C800" s="231"/>
    </row>
    <row r="801">
      <c r="A801" s="231"/>
      <c r="B801" s="231"/>
      <c r="C801" s="231"/>
    </row>
    <row r="802">
      <c r="A802" s="231"/>
      <c r="B802" s="231"/>
      <c r="C802" s="231"/>
    </row>
    <row r="803">
      <c r="A803" s="231"/>
      <c r="B803" s="231"/>
      <c r="C803" s="231"/>
    </row>
    <row r="804">
      <c r="A804" s="231"/>
      <c r="B804" s="231"/>
      <c r="C804" s="231"/>
    </row>
    <row r="805">
      <c r="A805" s="231"/>
      <c r="B805" s="231"/>
      <c r="C805" s="231"/>
    </row>
    <row r="806">
      <c r="A806" s="231"/>
      <c r="B806" s="231"/>
      <c r="C806" s="231"/>
    </row>
    <row r="807">
      <c r="A807" s="231"/>
      <c r="B807" s="231"/>
      <c r="C807" s="231"/>
    </row>
    <row r="808">
      <c r="A808" s="231"/>
      <c r="B808" s="231"/>
      <c r="C808" s="231"/>
    </row>
    <row r="809">
      <c r="A809" s="231"/>
      <c r="B809" s="231"/>
      <c r="C809" s="231"/>
    </row>
    <row r="810">
      <c r="A810" s="231"/>
      <c r="B810" s="231"/>
      <c r="C810" s="231"/>
    </row>
    <row r="811">
      <c r="A811" s="231"/>
      <c r="B811" s="231"/>
      <c r="C811" s="231"/>
    </row>
    <row r="812">
      <c r="A812" s="231"/>
      <c r="B812" s="231"/>
      <c r="C812" s="231"/>
    </row>
    <row r="813">
      <c r="A813" s="231"/>
      <c r="B813" s="231"/>
      <c r="C813" s="231"/>
    </row>
    <row r="814">
      <c r="A814" s="231"/>
      <c r="B814" s="231"/>
      <c r="C814" s="231"/>
    </row>
    <row r="815">
      <c r="A815" s="231"/>
      <c r="B815" s="231"/>
      <c r="C815" s="231"/>
    </row>
    <row r="816">
      <c r="A816" s="231"/>
      <c r="B816" s="231"/>
      <c r="C816" s="231"/>
    </row>
    <row r="817">
      <c r="A817" s="231"/>
      <c r="B817" s="231"/>
      <c r="C817" s="231"/>
    </row>
    <row r="818">
      <c r="A818" s="231"/>
      <c r="B818" s="231"/>
      <c r="C818" s="231"/>
    </row>
    <row r="819">
      <c r="A819" s="231"/>
      <c r="B819" s="231"/>
      <c r="C819" s="231"/>
    </row>
    <row r="820">
      <c r="A820" s="231"/>
      <c r="B820" s="231"/>
      <c r="C820" s="231"/>
    </row>
    <row r="821">
      <c r="A821" s="231"/>
      <c r="B821" s="231"/>
      <c r="C821" s="231"/>
    </row>
    <row r="822">
      <c r="A822" s="231"/>
      <c r="B822" s="231"/>
      <c r="C822" s="231"/>
    </row>
    <row r="823">
      <c r="A823" s="231"/>
      <c r="B823" s="231"/>
      <c r="C823" s="231"/>
    </row>
    <row r="824">
      <c r="A824" s="231"/>
      <c r="B824" s="231"/>
      <c r="C824" s="231"/>
    </row>
    <row r="825">
      <c r="A825" s="231"/>
      <c r="B825" s="231"/>
      <c r="C825" s="231"/>
    </row>
    <row r="826">
      <c r="A826" s="231"/>
      <c r="B826" s="231"/>
      <c r="C826" s="231"/>
    </row>
    <row r="827">
      <c r="A827" s="231"/>
      <c r="B827" s="231"/>
      <c r="C827" s="231"/>
    </row>
    <row r="828">
      <c r="A828" s="231"/>
      <c r="B828" s="231"/>
      <c r="C828" s="231"/>
    </row>
    <row r="829">
      <c r="A829" s="231"/>
      <c r="B829" s="231"/>
      <c r="C829" s="231"/>
    </row>
    <row r="830">
      <c r="A830" s="231"/>
      <c r="B830" s="231"/>
      <c r="C830" s="231"/>
    </row>
    <row r="831">
      <c r="A831" s="231"/>
      <c r="B831" s="231"/>
      <c r="C831" s="231"/>
    </row>
    <row r="832">
      <c r="A832" s="231"/>
      <c r="B832" s="231"/>
      <c r="C832" s="231"/>
    </row>
    <row r="833">
      <c r="A833" s="231"/>
      <c r="B833" s="231"/>
      <c r="C833" s="231"/>
    </row>
    <row r="834">
      <c r="A834" s="231"/>
      <c r="B834" s="231"/>
      <c r="C834" s="231"/>
    </row>
    <row r="835">
      <c r="A835" s="231"/>
      <c r="B835" s="231"/>
      <c r="C835" s="231"/>
    </row>
    <row r="836">
      <c r="A836" s="231"/>
      <c r="B836" s="231"/>
      <c r="C836" s="231"/>
    </row>
    <row r="837">
      <c r="A837" s="231"/>
      <c r="B837" s="231"/>
      <c r="C837" s="231"/>
    </row>
    <row r="838">
      <c r="A838" s="231"/>
      <c r="B838" s="231"/>
      <c r="C838" s="231"/>
    </row>
    <row r="839">
      <c r="A839" s="231"/>
      <c r="B839" s="231"/>
      <c r="C839" s="231"/>
    </row>
    <row r="840">
      <c r="A840" s="231"/>
      <c r="B840" s="231"/>
      <c r="C840" s="231"/>
    </row>
    <row r="841">
      <c r="A841" s="231"/>
      <c r="B841" s="231"/>
      <c r="C841" s="231"/>
    </row>
    <row r="842">
      <c r="A842" s="231"/>
      <c r="B842" s="231"/>
      <c r="C842" s="231"/>
    </row>
    <row r="843">
      <c r="A843" s="231"/>
      <c r="B843" s="231"/>
      <c r="C843" s="231"/>
    </row>
    <row r="844">
      <c r="A844" s="231"/>
      <c r="B844" s="231"/>
      <c r="C844" s="231"/>
    </row>
    <row r="845">
      <c r="A845" s="231"/>
      <c r="B845" s="231"/>
      <c r="C845" s="231"/>
    </row>
    <row r="846">
      <c r="A846" s="231"/>
      <c r="B846" s="231"/>
      <c r="C846" s="231"/>
    </row>
    <row r="847">
      <c r="A847" s="231"/>
      <c r="B847" s="231"/>
      <c r="C847" s="231"/>
    </row>
    <row r="848">
      <c r="A848" s="231"/>
      <c r="B848" s="231"/>
      <c r="C848" s="231"/>
    </row>
    <row r="849">
      <c r="A849" s="231"/>
      <c r="B849" s="231"/>
      <c r="C849" s="231"/>
    </row>
    <row r="850">
      <c r="A850" s="231"/>
      <c r="B850" s="231"/>
      <c r="C850" s="231"/>
    </row>
    <row r="851">
      <c r="A851" s="231"/>
      <c r="B851" s="231"/>
      <c r="C851" s="231"/>
    </row>
    <row r="852">
      <c r="A852" s="231"/>
      <c r="B852" s="231"/>
      <c r="C852" s="231"/>
    </row>
    <row r="853">
      <c r="A853" s="231"/>
      <c r="B853" s="231"/>
      <c r="C853" s="231"/>
    </row>
    <row r="854">
      <c r="A854" s="231"/>
      <c r="B854" s="231"/>
      <c r="C854" s="231"/>
    </row>
    <row r="855">
      <c r="A855" s="231"/>
      <c r="B855" s="231"/>
      <c r="C855" s="231"/>
    </row>
    <row r="856">
      <c r="A856" s="231"/>
      <c r="B856" s="231"/>
      <c r="C856" s="231"/>
    </row>
    <row r="857">
      <c r="A857" s="231"/>
      <c r="B857" s="231"/>
      <c r="C857" s="231"/>
    </row>
    <row r="858">
      <c r="A858" s="231"/>
      <c r="B858" s="231"/>
      <c r="C858" s="231"/>
    </row>
    <row r="859">
      <c r="A859" s="231"/>
      <c r="B859" s="231"/>
      <c r="C859" s="231"/>
    </row>
    <row r="860">
      <c r="A860" s="231"/>
      <c r="B860" s="231"/>
      <c r="C860" s="231"/>
    </row>
    <row r="861">
      <c r="A861" s="231"/>
      <c r="B861" s="231"/>
      <c r="C861" s="231"/>
    </row>
    <row r="862">
      <c r="A862" s="231"/>
      <c r="B862" s="231"/>
      <c r="C862" s="231"/>
    </row>
    <row r="863">
      <c r="A863" s="231"/>
      <c r="B863" s="231"/>
      <c r="C863" s="231"/>
    </row>
    <row r="864">
      <c r="A864" s="231"/>
      <c r="B864" s="231"/>
      <c r="C864" s="231"/>
    </row>
    <row r="865">
      <c r="A865" s="231"/>
      <c r="B865" s="231"/>
      <c r="C865" s="231"/>
    </row>
    <row r="866">
      <c r="A866" s="231"/>
      <c r="B866" s="231"/>
      <c r="C866" s="231"/>
    </row>
    <row r="867">
      <c r="A867" s="231"/>
      <c r="B867" s="231"/>
      <c r="C867" s="231"/>
    </row>
    <row r="868">
      <c r="A868" s="231"/>
      <c r="B868" s="231"/>
      <c r="C868" s="231"/>
    </row>
    <row r="869">
      <c r="A869" s="231"/>
      <c r="B869" s="231"/>
      <c r="C869" s="231"/>
    </row>
    <row r="870">
      <c r="A870" s="231"/>
      <c r="B870" s="231"/>
      <c r="C870" s="231"/>
    </row>
    <row r="871">
      <c r="A871" s="231"/>
      <c r="B871" s="231"/>
      <c r="C871" s="231"/>
    </row>
    <row r="872">
      <c r="A872" s="231"/>
      <c r="B872" s="231"/>
      <c r="C872" s="231"/>
    </row>
    <row r="873">
      <c r="A873" s="231"/>
      <c r="B873" s="231"/>
      <c r="C873" s="231"/>
    </row>
    <row r="874">
      <c r="A874" s="231"/>
      <c r="B874" s="231"/>
      <c r="C874" s="231"/>
    </row>
    <row r="875">
      <c r="A875" s="231"/>
      <c r="B875" s="231"/>
      <c r="C875" s="231"/>
    </row>
    <row r="876">
      <c r="A876" s="231"/>
      <c r="B876" s="231"/>
      <c r="C876" s="231"/>
    </row>
    <row r="877">
      <c r="A877" s="231"/>
      <c r="B877" s="231"/>
      <c r="C877" s="231"/>
    </row>
    <row r="878">
      <c r="A878" s="231"/>
      <c r="B878" s="231"/>
      <c r="C878" s="231"/>
    </row>
    <row r="879">
      <c r="A879" s="231"/>
      <c r="B879" s="231"/>
      <c r="C879" s="231"/>
    </row>
    <row r="880">
      <c r="A880" s="231"/>
      <c r="B880" s="231"/>
      <c r="C880" s="231"/>
    </row>
    <row r="881">
      <c r="A881" s="231"/>
      <c r="B881" s="231"/>
      <c r="C881" s="231"/>
    </row>
    <row r="882">
      <c r="A882" s="231"/>
      <c r="B882" s="231"/>
      <c r="C882" s="231"/>
    </row>
    <row r="883">
      <c r="A883" s="231"/>
      <c r="B883" s="231"/>
      <c r="C883" s="231"/>
    </row>
    <row r="884">
      <c r="A884" s="231"/>
      <c r="B884" s="231"/>
      <c r="C884" s="231"/>
    </row>
    <row r="885">
      <c r="A885" s="231"/>
      <c r="B885" s="231"/>
      <c r="C885" s="231"/>
    </row>
    <row r="886">
      <c r="A886" s="231"/>
      <c r="B886" s="231"/>
      <c r="C886" s="231"/>
    </row>
    <row r="887">
      <c r="A887" s="231"/>
      <c r="B887" s="231"/>
      <c r="C887" s="231"/>
    </row>
    <row r="888">
      <c r="A888" s="231"/>
      <c r="B888" s="231"/>
      <c r="C888" s="231"/>
    </row>
    <row r="889">
      <c r="A889" s="231"/>
      <c r="B889" s="231"/>
      <c r="C889" s="231"/>
    </row>
    <row r="890">
      <c r="A890" s="231"/>
      <c r="B890" s="231"/>
      <c r="C890" s="231"/>
    </row>
    <row r="891">
      <c r="A891" s="231"/>
      <c r="B891" s="231"/>
      <c r="C891" s="231"/>
    </row>
    <row r="892">
      <c r="A892" s="231"/>
      <c r="B892" s="231"/>
      <c r="C892" s="231"/>
    </row>
    <row r="893">
      <c r="A893" s="231"/>
      <c r="B893" s="231"/>
      <c r="C893" s="231"/>
    </row>
    <row r="894">
      <c r="A894" s="231"/>
      <c r="B894" s="231"/>
      <c r="C894" s="231"/>
    </row>
    <row r="895">
      <c r="A895" s="231"/>
      <c r="B895" s="231"/>
      <c r="C895" s="231"/>
    </row>
    <row r="896">
      <c r="A896" s="231"/>
      <c r="B896" s="231"/>
      <c r="C896" s="231"/>
    </row>
    <row r="897">
      <c r="A897" s="231"/>
      <c r="B897" s="231"/>
      <c r="C897" s="231"/>
    </row>
    <row r="898">
      <c r="A898" s="231"/>
      <c r="B898" s="231"/>
      <c r="C898" s="231"/>
    </row>
    <row r="899">
      <c r="A899" s="231"/>
      <c r="B899" s="231"/>
      <c r="C899" s="231"/>
    </row>
    <row r="900">
      <c r="A900" s="231"/>
      <c r="B900" s="231"/>
      <c r="C900" s="231"/>
    </row>
    <row r="901">
      <c r="A901" s="231"/>
      <c r="B901" s="231"/>
      <c r="C901" s="231"/>
    </row>
    <row r="902">
      <c r="A902" s="231"/>
      <c r="B902" s="231"/>
      <c r="C902" s="231"/>
    </row>
    <row r="903">
      <c r="A903" s="231"/>
      <c r="B903" s="231"/>
      <c r="C903" s="231"/>
    </row>
    <row r="904">
      <c r="A904" s="231"/>
      <c r="B904" s="231"/>
      <c r="C904" s="231"/>
    </row>
    <row r="905">
      <c r="A905" s="231"/>
      <c r="B905" s="231"/>
      <c r="C905" s="231"/>
    </row>
    <row r="906">
      <c r="A906" s="231"/>
      <c r="B906" s="231"/>
      <c r="C906" s="231"/>
    </row>
    <row r="907">
      <c r="A907" s="231"/>
      <c r="B907" s="231"/>
      <c r="C907" s="231"/>
    </row>
    <row r="908">
      <c r="A908" s="231"/>
      <c r="B908" s="231"/>
      <c r="C908" s="231"/>
    </row>
    <row r="909">
      <c r="A909" s="231"/>
      <c r="B909" s="231"/>
      <c r="C909" s="231"/>
    </row>
    <row r="910">
      <c r="A910" s="231"/>
      <c r="B910" s="231"/>
      <c r="C910" s="231"/>
    </row>
    <row r="911">
      <c r="A911" s="231"/>
      <c r="B911" s="231"/>
      <c r="C911" s="231"/>
    </row>
    <row r="912">
      <c r="A912" s="231"/>
      <c r="B912" s="231"/>
      <c r="C912" s="231"/>
    </row>
    <row r="913">
      <c r="A913" s="231"/>
      <c r="B913" s="231"/>
      <c r="C913" s="231"/>
    </row>
    <row r="914">
      <c r="A914" s="231"/>
      <c r="B914" s="231"/>
      <c r="C914" s="231"/>
    </row>
    <row r="915">
      <c r="A915" s="231"/>
      <c r="B915" s="231"/>
      <c r="C915" s="231"/>
    </row>
    <row r="916">
      <c r="A916" s="231"/>
      <c r="B916" s="231"/>
      <c r="C916" s="231"/>
    </row>
    <row r="917">
      <c r="A917" s="231"/>
      <c r="B917" s="231"/>
      <c r="C917" s="231"/>
    </row>
    <row r="918">
      <c r="A918" s="231"/>
      <c r="B918" s="231"/>
      <c r="C918" s="231"/>
    </row>
    <row r="919">
      <c r="A919" s="231"/>
      <c r="B919" s="231"/>
      <c r="C919" s="231"/>
    </row>
    <row r="920">
      <c r="A920" s="231"/>
      <c r="B920" s="231"/>
      <c r="C920" s="231"/>
    </row>
    <row r="921">
      <c r="A921" s="231"/>
      <c r="B921" s="231"/>
      <c r="C921" s="231"/>
    </row>
    <row r="922">
      <c r="A922" s="231"/>
      <c r="B922" s="231"/>
      <c r="C922" s="231"/>
    </row>
    <row r="923">
      <c r="A923" s="231"/>
      <c r="B923" s="231"/>
      <c r="C923" s="231"/>
    </row>
    <row r="924">
      <c r="A924" s="231"/>
      <c r="B924" s="231"/>
      <c r="C924" s="231"/>
    </row>
    <row r="925">
      <c r="A925" s="231"/>
      <c r="B925" s="231"/>
      <c r="C925" s="231"/>
    </row>
    <row r="926">
      <c r="A926" s="231"/>
      <c r="B926" s="231"/>
      <c r="C926" s="231"/>
    </row>
    <row r="927">
      <c r="A927" s="231"/>
      <c r="B927" s="231"/>
      <c r="C927" s="231"/>
    </row>
    <row r="928">
      <c r="A928" s="231"/>
      <c r="B928" s="231"/>
      <c r="C928" s="231"/>
    </row>
    <row r="929">
      <c r="A929" s="231"/>
      <c r="B929" s="231"/>
      <c r="C929" s="231"/>
    </row>
    <row r="930">
      <c r="A930" s="231"/>
      <c r="B930" s="231"/>
      <c r="C930" s="231"/>
    </row>
    <row r="931">
      <c r="A931" s="231"/>
      <c r="B931" s="231"/>
      <c r="C931" s="231"/>
    </row>
    <row r="932">
      <c r="A932" s="231"/>
      <c r="B932" s="231"/>
      <c r="C932" s="231"/>
    </row>
    <row r="933">
      <c r="A933" s="231"/>
      <c r="B933" s="231"/>
      <c r="C933" s="231"/>
    </row>
    <row r="934">
      <c r="A934" s="231"/>
      <c r="B934" s="231"/>
      <c r="C934" s="231"/>
    </row>
    <row r="935">
      <c r="A935" s="231"/>
      <c r="B935" s="231"/>
      <c r="C935" s="231"/>
    </row>
    <row r="936">
      <c r="A936" s="231"/>
      <c r="B936" s="231"/>
      <c r="C936" s="231"/>
    </row>
    <row r="937">
      <c r="A937" s="231"/>
      <c r="B937" s="231"/>
      <c r="C937" s="231"/>
    </row>
    <row r="938">
      <c r="A938" s="231"/>
      <c r="B938" s="231"/>
      <c r="C938" s="231"/>
    </row>
    <row r="939">
      <c r="A939" s="231"/>
      <c r="B939" s="231"/>
      <c r="C939" s="231"/>
    </row>
    <row r="940">
      <c r="A940" s="231"/>
      <c r="B940" s="231"/>
      <c r="C940" s="231"/>
    </row>
    <row r="941">
      <c r="A941" s="231"/>
      <c r="B941" s="231"/>
      <c r="C941" s="231"/>
    </row>
    <row r="942">
      <c r="A942" s="231"/>
      <c r="B942" s="231"/>
      <c r="C942" s="231"/>
    </row>
    <row r="943">
      <c r="A943" s="231"/>
      <c r="B943" s="231"/>
      <c r="C943" s="231"/>
    </row>
    <row r="944">
      <c r="A944" s="231"/>
      <c r="B944" s="231"/>
      <c r="C944" s="231"/>
    </row>
    <row r="945">
      <c r="A945" s="231"/>
      <c r="B945" s="231"/>
      <c r="C945" s="231"/>
    </row>
    <row r="946">
      <c r="A946" s="231"/>
      <c r="B946" s="231"/>
      <c r="C946" s="231"/>
    </row>
    <row r="947">
      <c r="A947" s="231"/>
      <c r="B947" s="231"/>
      <c r="C947" s="231"/>
    </row>
    <row r="948">
      <c r="A948" s="231"/>
      <c r="B948" s="231"/>
      <c r="C948" s="231"/>
    </row>
    <row r="949">
      <c r="A949" s="231"/>
      <c r="B949" s="231"/>
      <c r="C949" s="231"/>
    </row>
    <row r="950">
      <c r="A950" s="231"/>
      <c r="B950" s="231"/>
      <c r="C950" s="231"/>
    </row>
    <row r="951">
      <c r="A951" s="231"/>
      <c r="B951" s="231"/>
      <c r="C951" s="231"/>
    </row>
    <row r="952">
      <c r="A952" s="231"/>
      <c r="B952" s="231"/>
      <c r="C952" s="231"/>
    </row>
    <row r="953">
      <c r="A953" s="231"/>
      <c r="B953" s="231"/>
      <c r="C953" s="231"/>
    </row>
    <row r="954">
      <c r="A954" s="231"/>
      <c r="B954" s="231"/>
      <c r="C954" s="231"/>
    </row>
    <row r="955">
      <c r="A955" s="231"/>
      <c r="B955" s="231"/>
      <c r="C955" s="231"/>
    </row>
    <row r="956">
      <c r="A956" s="231"/>
      <c r="B956" s="231"/>
      <c r="C956" s="231"/>
    </row>
    <row r="957">
      <c r="A957" s="231"/>
      <c r="B957" s="231"/>
      <c r="C957" s="231"/>
    </row>
    <row r="958">
      <c r="A958" s="231"/>
      <c r="B958" s="231"/>
      <c r="C958" s="231"/>
    </row>
    <row r="959">
      <c r="A959" s="231"/>
      <c r="B959" s="231"/>
      <c r="C959" s="231"/>
    </row>
    <row r="960">
      <c r="A960" s="231"/>
      <c r="B960" s="231"/>
      <c r="C960" s="231"/>
    </row>
    <row r="961">
      <c r="A961" s="231"/>
      <c r="B961" s="231"/>
      <c r="C961" s="231"/>
    </row>
    <row r="962">
      <c r="A962" s="231"/>
      <c r="B962" s="231"/>
      <c r="C962" s="231"/>
    </row>
    <row r="963">
      <c r="A963" s="231"/>
      <c r="B963" s="231"/>
      <c r="C963" s="231"/>
    </row>
    <row r="964">
      <c r="A964" s="231"/>
      <c r="B964" s="231"/>
      <c r="C964" s="231"/>
    </row>
    <row r="965">
      <c r="A965" s="231"/>
      <c r="B965" s="231"/>
      <c r="C965" s="231"/>
    </row>
    <row r="966">
      <c r="A966" s="231"/>
      <c r="B966" s="231"/>
      <c r="C966" s="231"/>
    </row>
    <row r="967">
      <c r="A967" s="231"/>
      <c r="B967" s="231"/>
      <c r="C967" s="231"/>
    </row>
    <row r="968">
      <c r="A968" s="231"/>
      <c r="B968" s="231"/>
      <c r="C968" s="231"/>
    </row>
    <row r="969">
      <c r="A969" s="231"/>
      <c r="B969" s="231"/>
      <c r="C969" s="231"/>
    </row>
    <row r="970">
      <c r="A970" s="231"/>
      <c r="B970" s="231"/>
      <c r="C970" s="231"/>
    </row>
    <row r="971">
      <c r="A971" s="231"/>
      <c r="B971" s="231"/>
      <c r="C971" s="231"/>
    </row>
    <row r="972">
      <c r="A972" s="231"/>
      <c r="B972" s="231"/>
      <c r="C972" s="231"/>
    </row>
    <row r="973">
      <c r="A973" s="231"/>
      <c r="B973" s="231"/>
      <c r="C973" s="231"/>
    </row>
    <row r="974">
      <c r="A974" s="231"/>
      <c r="B974" s="231"/>
      <c r="C974" s="231"/>
    </row>
    <row r="975">
      <c r="A975" s="231"/>
      <c r="B975" s="231"/>
      <c r="C975" s="231"/>
    </row>
    <row r="976">
      <c r="A976" s="231"/>
      <c r="B976" s="231"/>
      <c r="C976" s="231"/>
    </row>
    <row r="977">
      <c r="A977" s="231"/>
      <c r="B977" s="231"/>
      <c r="C977" s="231"/>
    </row>
    <row r="978">
      <c r="A978" s="231"/>
      <c r="B978" s="231"/>
      <c r="C978" s="231"/>
    </row>
    <row r="979">
      <c r="A979" s="231"/>
      <c r="B979" s="231"/>
      <c r="C979" s="231"/>
    </row>
    <row r="980">
      <c r="A980" s="231"/>
      <c r="B980" s="231"/>
      <c r="C980" s="231"/>
    </row>
    <row r="981">
      <c r="A981" s="231"/>
      <c r="B981" s="231"/>
      <c r="C981" s="231"/>
    </row>
    <row r="982">
      <c r="A982" s="231"/>
      <c r="B982" s="231"/>
      <c r="C982" s="231"/>
    </row>
  </sheetData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outlinePr summaryBelow="0" summaryRight="0"/>
  </sheetPr>
  <sheetViews>
    <sheetView workbookViewId="0"/>
  </sheetViews>
  <sheetFormatPr customHeight="1" defaultColWidth="12.63" defaultRowHeight="15.75"/>
  <sheetData>
    <row r="1">
      <c r="A1" s="249" t="s">
        <v>44</v>
      </c>
      <c r="B1" s="115" t="s">
        <v>1</v>
      </c>
    </row>
    <row r="2">
      <c r="A2" s="37" t="s">
        <v>1655</v>
      </c>
      <c r="B2" s="37">
        <v>2345.0</v>
      </c>
      <c r="C2" s="45"/>
      <c r="G2" s="39"/>
      <c r="H2" s="174"/>
      <c r="I2" s="39"/>
    </row>
    <row r="3">
      <c r="A3" s="37" t="s">
        <v>1657</v>
      </c>
      <c r="B3" s="37">
        <v>6675.0</v>
      </c>
      <c r="C3" s="45"/>
      <c r="E3" s="21"/>
    </row>
    <row r="4">
      <c r="A4" s="37" t="s">
        <v>1658</v>
      </c>
      <c r="B4" s="37">
        <v>2345.0</v>
      </c>
      <c r="C4" s="45"/>
    </row>
    <row r="5">
      <c r="A5" s="37" t="s">
        <v>1738</v>
      </c>
      <c r="B5" s="37">
        <v>2345.0</v>
      </c>
      <c r="C5" s="45"/>
    </row>
    <row r="6">
      <c r="A6" s="37" t="s">
        <v>1736</v>
      </c>
      <c r="B6" s="37">
        <v>6729.0</v>
      </c>
      <c r="C6" s="45"/>
    </row>
    <row r="7">
      <c r="A7" s="37" t="s">
        <v>1739</v>
      </c>
      <c r="B7" s="37">
        <v>6924.0</v>
      </c>
      <c r="C7" s="45"/>
    </row>
    <row r="8">
      <c r="A8" s="37" t="s">
        <v>1740</v>
      </c>
      <c r="B8" s="37">
        <v>7229.0</v>
      </c>
      <c r="C8" s="45"/>
    </row>
    <row r="9">
      <c r="A9" s="37" t="s">
        <v>1741</v>
      </c>
      <c r="B9" s="37">
        <v>2345.0</v>
      </c>
      <c r="C9" s="45"/>
    </row>
    <row r="10">
      <c r="A10" s="37" t="s">
        <v>1742</v>
      </c>
      <c r="B10" s="37">
        <v>14065.0</v>
      </c>
      <c r="C10" s="45"/>
    </row>
    <row r="11">
      <c r="A11" s="37" t="s">
        <v>1752</v>
      </c>
      <c r="B11" s="37">
        <v>9746.0</v>
      </c>
      <c r="C11" s="45"/>
    </row>
    <row r="12">
      <c r="A12" s="37" t="s">
        <v>1758</v>
      </c>
      <c r="B12" s="37">
        <v>6106.0</v>
      </c>
      <c r="C12" s="45"/>
    </row>
    <row r="13">
      <c r="A13" s="37" t="s">
        <v>1753</v>
      </c>
      <c r="B13" s="37">
        <v>11104.0</v>
      </c>
      <c r="C13" s="45"/>
    </row>
    <row r="14">
      <c r="A14" s="37" t="s">
        <v>1754</v>
      </c>
      <c r="B14" s="37">
        <v>14337.0</v>
      </c>
      <c r="C14" s="45"/>
    </row>
    <row r="15">
      <c r="A15" s="37" t="s">
        <v>1755</v>
      </c>
      <c r="B15" s="37">
        <v>11708.0</v>
      </c>
      <c r="C15" s="45"/>
    </row>
    <row r="16">
      <c r="A16" s="37" t="s">
        <v>1756</v>
      </c>
      <c r="B16" s="37">
        <v>9701.0</v>
      </c>
      <c r="C16" s="45"/>
    </row>
    <row r="17">
      <c r="A17" s="37" t="s">
        <v>1757</v>
      </c>
      <c r="B17" s="37">
        <v>5125.0</v>
      </c>
      <c r="C17" s="45"/>
    </row>
    <row r="18">
      <c r="A18" s="37" t="s">
        <v>1759</v>
      </c>
      <c r="B18" s="37">
        <v>13829.0</v>
      </c>
      <c r="C18" s="45"/>
    </row>
    <row r="19">
      <c r="A19" s="37" t="s">
        <v>1760</v>
      </c>
      <c r="B19" s="37">
        <v>12553.0</v>
      </c>
      <c r="C19" s="45"/>
    </row>
    <row r="20">
      <c r="A20" s="37" t="s">
        <v>1761</v>
      </c>
      <c r="B20" s="37">
        <v>12609.0</v>
      </c>
      <c r="C20" s="45"/>
    </row>
    <row r="21">
      <c r="A21" s="37" t="s">
        <v>1762</v>
      </c>
      <c r="B21" s="37">
        <v>14646.0</v>
      </c>
      <c r="C21" s="45"/>
    </row>
    <row r="22">
      <c r="A22" s="37" t="s">
        <v>1763</v>
      </c>
      <c r="B22" s="45"/>
      <c r="C22" s="45"/>
    </row>
    <row r="23">
      <c r="A23" s="37" t="s">
        <v>1764</v>
      </c>
      <c r="B23" s="45"/>
      <c r="C23" s="45"/>
    </row>
    <row r="24">
      <c r="A24" s="37" t="s">
        <v>1765</v>
      </c>
      <c r="B24" s="37">
        <v>13951.0</v>
      </c>
      <c r="C24" s="45"/>
    </row>
    <row r="25">
      <c r="A25" s="37" t="s">
        <v>1766</v>
      </c>
      <c r="B25" s="37">
        <v>11875.0</v>
      </c>
      <c r="C25" s="45"/>
    </row>
    <row r="26">
      <c r="A26" s="37" t="s">
        <v>1767</v>
      </c>
      <c r="B26" s="45"/>
      <c r="C26" s="45"/>
    </row>
    <row r="27">
      <c r="A27" s="37" t="s">
        <v>1768</v>
      </c>
      <c r="B27" s="37">
        <v>12932.0</v>
      </c>
      <c r="C27" s="45"/>
    </row>
    <row r="28">
      <c r="A28" s="37" t="s">
        <v>1769</v>
      </c>
      <c r="B28" s="37">
        <v>7023.0</v>
      </c>
      <c r="C28" s="45"/>
    </row>
    <row r="29">
      <c r="A29" s="37" t="s">
        <v>1770</v>
      </c>
      <c r="B29" s="37">
        <v>7747.0</v>
      </c>
      <c r="C29" s="45"/>
    </row>
    <row r="30">
      <c r="A30" s="37" t="s">
        <v>1771</v>
      </c>
      <c r="B30" s="37">
        <v>9742.0</v>
      </c>
      <c r="C30" s="45"/>
    </row>
    <row r="31">
      <c r="A31" s="37" t="s">
        <v>1772</v>
      </c>
      <c r="B31" s="37">
        <v>14516.0</v>
      </c>
      <c r="C31" s="45"/>
    </row>
    <row r="32">
      <c r="A32" s="37" t="s">
        <v>1773</v>
      </c>
      <c r="B32" s="37">
        <v>4514.0</v>
      </c>
      <c r="C32" s="45"/>
    </row>
    <row r="33">
      <c r="A33" s="37" t="s">
        <v>1774</v>
      </c>
      <c r="B33" s="37">
        <v>6903.0</v>
      </c>
      <c r="C33" s="45"/>
    </row>
    <row r="34">
      <c r="A34" s="37" t="s">
        <v>1775</v>
      </c>
      <c r="B34" s="45"/>
      <c r="C34" s="45"/>
    </row>
    <row r="35">
      <c r="A35" s="37" t="s">
        <v>1776</v>
      </c>
      <c r="B35" s="37">
        <v>14482.0</v>
      </c>
      <c r="C35" s="45"/>
    </row>
    <row r="36">
      <c r="A36" s="37" t="s">
        <v>1783</v>
      </c>
      <c r="B36" s="45"/>
      <c r="C36" s="45"/>
    </row>
    <row r="37">
      <c r="A37" s="37" t="s">
        <v>1777</v>
      </c>
      <c r="B37" s="45"/>
      <c r="C37" s="45"/>
    </row>
    <row r="38">
      <c r="A38" s="37" t="s">
        <v>1778</v>
      </c>
      <c r="B38" s="45"/>
      <c r="C38" s="45"/>
    </row>
    <row r="39">
      <c r="A39" s="37" t="s">
        <v>1787</v>
      </c>
      <c r="B39" s="37">
        <v>6671.0</v>
      </c>
      <c r="C39" s="45"/>
    </row>
    <row r="40">
      <c r="A40" s="37" t="s">
        <v>1779</v>
      </c>
      <c r="B40" s="37">
        <v>6722.0</v>
      </c>
      <c r="C40" s="45"/>
    </row>
    <row r="41">
      <c r="A41" s="37" t="s">
        <v>1780</v>
      </c>
      <c r="B41" s="45"/>
      <c r="C41" s="45"/>
    </row>
    <row r="42">
      <c r="A42" s="37" t="s">
        <v>1781</v>
      </c>
      <c r="B42" s="45"/>
      <c r="C42" s="45"/>
    </row>
    <row r="43">
      <c r="A43" s="37" t="s">
        <v>1782</v>
      </c>
      <c r="B43" s="45"/>
      <c r="C43" s="45"/>
    </row>
    <row r="44">
      <c r="A44" s="37" t="s">
        <v>1784</v>
      </c>
      <c r="B44" s="45"/>
      <c r="C44" s="45"/>
    </row>
    <row r="45">
      <c r="A45" s="37" t="s">
        <v>1785</v>
      </c>
      <c r="B45" s="37">
        <v>13858.0</v>
      </c>
      <c r="C45" s="45"/>
    </row>
    <row r="46">
      <c r="A46" s="37" t="s">
        <v>5544</v>
      </c>
      <c r="B46" s="45"/>
      <c r="C46" s="45"/>
    </row>
    <row r="47">
      <c r="A47" s="37" t="s">
        <v>5545</v>
      </c>
      <c r="B47" s="45"/>
      <c r="C47" s="45"/>
    </row>
    <row r="48">
      <c r="A48" s="37" t="s">
        <v>5546</v>
      </c>
      <c r="B48" s="45"/>
      <c r="C48" s="45"/>
    </row>
    <row r="49">
      <c r="A49" s="37" t="s">
        <v>5547</v>
      </c>
      <c r="B49" s="45"/>
      <c r="C49" s="45"/>
    </row>
    <row r="50">
      <c r="A50" s="37" t="s">
        <v>5548</v>
      </c>
      <c r="B50" s="37">
        <v>6829.0</v>
      </c>
      <c r="C50" s="45"/>
    </row>
    <row r="51">
      <c r="A51" s="37" t="s">
        <v>5549</v>
      </c>
      <c r="B51" s="45"/>
      <c r="C51" s="45"/>
    </row>
    <row r="52">
      <c r="A52" s="37" t="s">
        <v>5550</v>
      </c>
      <c r="B52" s="37">
        <v>6133.0</v>
      </c>
      <c r="C52" s="45"/>
    </row>
    <row r="53">
      <c r="A53" s="37" t="s">
        <v>5551</v>
      </c>
      <c r="B53" s="37">
        <v>6133.0</v>
      </c>
      <c r="C53" s="45"/>
    </row>
    <row r="54">
      <c r="A54" s="37" t="s">
        <v>5552</v>
      </c>
      <c r="B54" s="37">
        <v>6133.0</v>
      </c>
      <c r="C54" s="45"/>
    </row>
    <row r="55">
      <c r="A55" s="37" t="s">
        <v>5553</v>
      </c>
      <c r="B55" s="37">
        <v>6133.0</v>
      </c>
      <c r="C55" s="45"/>
    </row>
    <row r="56">
      <c r="A56" s="37" t="s">
        <v>5554</v>
      </c>
      <c r="B56" s="45"/>
      <c r="C56" s="45"/>
    </row>
    <row r="57">
      <c r="A57" s="37" t="s">
        <v>5555</v>
      </c>
      <c r="B57" s="45"/>
      <c r="C57" s="45"/>
    </row>
    <row r="58">
      <c r="A58" s="37" t="s">
        <v>5556</v>
      </c>
      <c r="B58" s="37">
        <v>6779.0</v>
      </c>
      <c r="C58" s="45"/>
    </row>
    <row r="59">
      <c r="A59" s="37" t="s">
        <v>5557</v>
      </c>
      <c r="B59" s="37">
        <v>6675.0</v>
      </c>
      <c r="C59" s="45"/>
    </row>
    <row r="60">
      <c r="A60" s="37" t="s">
        <v>5558</v>
      </c>
      <c r="B60" s="37">
        <v>6675.0</v>
      </c>
      <c r="C60" s="45"/>
    </row>
    <row r="61">
      <c r="A61" s="37" t="s">
        <v>5559</v>
      </c>
      <c r="B61" s="37">
        <v>7100.0</v>
      </c>
      <c r="C61" s="45"/>
    </row>
    <row r="62">
      <c r="A62" s="37" t="s">
        <v>5560</v>
      </c>
      <c r="B62" s="37">
        <v>6669.0</v>
      </c>
      <c r="C62" s="45"/>
    </row>
    <row r="63">
      <c r="A63" s="37" t="s">
        <v>5561</v>
      </c>
      <c r="B63" s="37">
        <v>11049.0</v>
      </c>
      <c r="C63" s="45"/>
    </row>
    <row r="64">
      <c r="A64" s="37" t="s">
        <v>5562</v>
      </c>
      <c r="B64" s="37">
        <v>11049.0</v>
      </c>
      <c r="C64" s="45"/>
    </row>
    <row r="65">
      <c r="A65" s="37" t="s">
        <v>5563</v>
      </c>
      <c r="B65" s="37">
        <v>11049.0</v>
      </c>
      <c r="C65" s="45"/>
    </row>
    <row r="66">
      <c r="A66" s="37" t="s">
        <v>5564</v>
      </c>
      <c r="B66" s="37">
        <v>11049.0</v>
      </c>
      <c r="C66" s="45"/>
    </row>
    <row r="67">
      <c r="A67" s="37" t="s">
        <v>5565</v>
      </c>
      <c r="B67" s="37">
        <v>11049.0</v>
      </c>
      <c r="C67" s="45"/>
    </row>
    <row r="68">
      <c r="A68" s="37" t="s">
        <v>5566</v>
      </c>
      <c r="B68" s="37">
        <v>11049.0</v>
      </c>
      <c r="C68" s="45"/>
    </row>
    <row r="69">
      <c r="A69" s="37" t="s">
        <v>5567</v>
      </c>
      <c r="B69" s="37">
        <v>11049.0</v>
      </c>
      <c r="C69" s="45"/>
    </row>
    <row r="70">
      <c r="A70" s="37" t="s">
        <v>5568</v>
      </c>
      <c r="B70" s="37">
        <v>8199.0</v>
      </c>
      <c r="C70" s="45"/>
    </row>
    <row r="71">
      <c r="A71" s="37" t="s">
        <v>5569</v>
      </c>
      <c r="B71" s="45"/>
      <c r="C71" s="45"/>
    </row>
    <row r="72">
      <c r="A72" s="37" t="s">
        <v>5570</v>
      </c>
      <c r="B72" s="37">
        <v>6875.0</v>
      </c>
      <c r="C72" s="45"/>
    </row>
    <row r="73">
      <c r="A73" s="37" t="s">
        <v>5571</v>
      </c>
      <c r="B73" s="37">
        <v>11049.0</v>
      </c>
      <c r="C73" s="45"/>
    </row>
    <row r="74">
      <c r="A74" s="37" t="s">
        <v>5572</v>
      </c>
      <c r="B74" s="37">
        <v>11049.0</v>
      </c>
      <c r="C74" s="45"/>
    </row>
    <row r="75">
      <c r="A75" s="37" t="s">
        <v>5573</v>
      </c>
      <c r="B75" s="37">
        <v>315.0</v>
      </c>
      <c r="C75" s="45"/>
    </row>
    <row r="76">
      <c r="A76" s="37" t="s">
        <v>5574</v>
      </c>
      <c r="B76" s="37">
        <v>11049.0</v>
      </c>
      <c r="C76" s="45"/>
    </row>
    <row r="77">
      <c r="A77" s="37" t="s">
        <v>5575</v>
      </c>
      <c r="B77" s="37">
        <v>11049.0</v>
      </c>
      <c r="C77" s="45"/>
    </row>
    <row r="78">
      <c r="A78" s="37" t="s">
        <v>5576</v>
      </c>
      <c r="B78" s="37">
        <v>11049.0</v>
      </c>
      <c r="C78" s="45"/>
    </row>
    <row r="79">
      <c r="A79" s="37" t="s">
        <v>5577</v>
      </c>
      <c r="B79" s="37">
        <v>11049.0</v>
      </c>
      <c r="C79" s="45"/>
    </row>
    <row r="80">
      <c r="A80" s="37" t="s">
        <v>5578</v>
      </c>
      <c r="B80" s="37">
        <v>12078.0</v>
      </c>
      <c r="C80" s="45"/>
    </row>
    <row r="81">
      <c r="A81" s="37" t="s">
        <v>5579</v>
      </c>
      <c r="B81" s="37">
        <v>14575.0</v>
      </c>
      <c r="C81" s="45"/>
    </row>
    <row r="82">
      <c r="A82" s="37" t="s">
        <v>5580</v>
      </c>
      <c r="B82" s="37">
        <v>7031.0</v>
      </c>
      <c r="C82" s="45"/>
    </row>
    <row r="83">
      <c r="A83" s="37" t="s">
        <v>5581</v>
      </c>
      <c r="B83" s="37">
        <v>6132.0</v>
      </c>
      <c r="C83" s="45"/>
    </row>
    <row r="84">
      <c r="A84" s="37" t="s">
        <v>5582</v>
      </c>
      <c r="B84" s="45"/>
      <c r="C84" s="45"/>
    </row>
    <row r="85">
      <c r="A85" s="37" t="s">
        <v>5583</v>
      </c>
      <c r="B85" s="37">
        <v>7010.0</v>
      </c>
      <c r="C85" s="45"/>
    </row>
    <row r="86">
      <c r="A86" s="37" t="s">
        <v>5584</v>
      </c>
      <c r="B86" s="37">
        <v>6772.0</v>
      </c>
      <c r="C86" s="45"/>
    </row>
    <row r="87">
      <c r="A87" s="37" t="s">
        <v>5585</v>
      </c>
      <c r="B87" s="37">
        <v>7033.0</v>
      </c>
      <c r="C87" s="45"/>
    </row>
    <row r="88">
      <c r="A88" s="37" t="s">
        <v>5586</v>
      </c>
      <c r="B88" s="45"/>
      <c r="C88" s="45"/>
    </row>
    <row r="89">
      <c r="A89" s="37" t="s">
        <v>5587</v>
      </c>
      <c r="B89" s="37">
        <v>14465.0</v>
      </c>
      <c r="C89" s="45"/>
    </row>
    <row r="90">
      <c r="A90" s="37" t="s">
        <v>5588</v>
      </c>
      <c r="B90" s="37">
        <v>10856.0</v>
      </c>
      <c r="C90" s="45"/>
    </row>
    <row r="91">
      <c r="A91" s="37" t="s">
        <v>5589</v>
      </c>
      <c r="B91" s="37">
        <v>6668.0</v>
      </c>
      <c r="C91" s="45"/>
    </row>
    <row r="92">
      <c r="A92" s="37" t="s">
        <v>5590</v>
      </c>
      <c r="B92" s="37">
        <v>6668.0</v>
      </c>
      <c r="C92" s="45"/>
    </row>
    <row r="93">
      <c r="A93" s="37" t="s">
        <v>5591</v>
      </c>
      <c r="B93" s="37">
        <v>14480.0</v>
      </c>
      <c r="C93" s="45"/>
    </row>
    <row r="94">
      <c r="A94" s="37" t="s">
        <v>5592</v>
      </c>
      <c r="B94" s="37">
        <v>7083.0</v>
      </c>
      <c r="C94" s="45"/>
    </row>
    <row r="95">
      <c r="A95" s="37" t="s">
        <v>5593</v>
      </c>
      <c r="B95" s="37">
        <v>8199.0</v>
      </c>
      <c r="C95" s="45"/>
    </row>
    <row r="96">
      <c r="A96" s="202" t="s">
        <v>1745</v>
      </c>
      <c r="B96" s="72">
        <v>13988.0</v>
      </c>
      <c r="C96" s="37" t="s">
        <v>207</v>
      </c>
    </row>
    <row r="97">
      <c r="A97" s="202" t="s">
        <v>1747</v>
      </c>
      <c r="B97" s="202"/>
      <c r="C97" s="37" t="s">
        <v>207</v>
      </c>
    </row>
    <row r="98">
      <c r="A98" s="202" t="s">
        <v>1749</v>
      </c>
      <c r="B98" s="72">
        <v>12277.0</v>
      </c>
      <c r="C98" s="37" t="s">
        <v>207</v>
      </c>
    </row>
    <row r="99">
      <c r="A99" s="202" t="s">
        <v>1743</v>
      </c>
      <c r="B99" s="202"/>
      <c r="C99" s="37" t="s">
        <v>207</v>
      </c>
    </row>
    <row r="100">
      <c r="A100" s="202" t="s">
        <v>1744</v>
      </c>
      <c r="B100" s="72">
        <v>14003.0</v>
      </c>
      <c r="C100" s="37" t="s">
        <v>207</v>
      </c>
    </row>
    <row r="101">
      <c r="A101" s="202" t="s">
        <v>1746</v>
      </c>
      <c r="B101" s="72">
        <v>7416.0</v>
      </c>
      <c r="C101" s="37" t="s">
        <v>207</v>
      </c>
    </row>
    <row r="102">
      <c r="A102" s="202" t="s">
        <v>1748</v>
      </c>
      <c r="B102" s="202"/>
      <c r="C102" s="37" t="s">
        <v>207</v>
      </c>
    </row>
    <row r="103">
      <c r="A103" s="202" t="s">
        <v>1750</v>
      </c>
      <c r="B103" s="202"/>
      <c r="C103" s="37" t="s">
        <v>207</v>
      </c>
    </row>
    <row r="104">
      <c r="A104" s="202" t="s">
        <v>1751</v>
      </c>
      <c r="B104" s="202"/>
      <c r="C104" s="37" t="s">
        <v>207</v>
      </c>
    </row>
    <row r="105">
      <c r="A105" s="258" t="s">
        <v>1726</v>
      </c>
      <c r="B105" s="202"/>
      <c r="C105" s="37" t="s">
        <v>207</v>
      </c>
    </row>
    <row r="106">
      <c r="A106" s="258" t="s">
        <v>5594</v>
      </c>
      <c r="B106" s="202"/>
      <c r="C106" s="37" t="s">
        <v>207</v>
      </c>
    </row>
  </sheetData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FF"/>
    <outlinePr summaryBelow="0" summaryRight="0"/>
  </sheetPr>
  <sheetViews>
    <sheetView workbookViewId="0"/>
  </sheetViews>
  <sheetFormatPr customHeight="1" defaultColWidth="12.63" defaultRowHeight="15.75"/>
  <cols>
    <col customWidth="1" min="3" max="3" width="19.75"/>
    <col customWidth="1" min="4" max="4" width="16.88"/>
    <col customWidth="1" min="5" max="5" width="16.0"/>
  </cols>
  <sheetData>
    <row r="1">
      <c r="A1" s="56" t="s">
        <v>44</v>
      </c>
      <c r="B1" s="115" t="s">
        <v>1</v>
      </c>
      <c r="C1" s="11" t="s">
        <v>294</v>
      </c>
      <c r="D1" s="11" t="s">
        <v>248</v>
      </c>
      <c r="E1" s="11" t="s">
        <v>249</v>
      </c>
      <c r="F1" s="11" t="s">
        <v>250</v>
      </c>
    </row>
    <row r="2">
      <c r="A2" s="37" t="s">
        <v>45</v>
      </c>
      <c r="B2" s="37"/>
      <c r="C2" s="37" t="s">
        <v>5595</v>
      </c>
      <c r="D2" s="74">
        <v>0.75</v>
      </c>
      <c r="E2" s="74">
        <v>0.75</v>
      </c>
      <c r="F2" s="229" t="s">
        <v>1656</v>
      </c>
      <c r="G2" s="39"/>
      <c r="H2" s="174"/>
      <c r="I2" s="39"/>
    </row>
    <row r="3">
      <c r="A3" s="37" t="s">
        <v>7</v>
      </c>
      <c r="B3" s="37"/>
      <c r="C3" s="37" t="s">
        <v>5595</v>
      </c>
      <c r="D3" s="74">
        <v>0.75</v>
      </c>
      <c r="E3" s="74">
        <v>0.75</v>
      </c>
      <c r="F3" s="229" t="s">
        <v>1656</v>
      </c>
    </row>
    <row r="4">
      <c r="A4" s="37" t="s">
        <v>501</v>
      </c>
      <c r="B4" s="37"/>
      <c r="C4" s="37" t="s">
        <v>5595</v>
      </c>
      <c r="D4" s="74">
        <v>0.75</v>
      </c>
      <c r="E4" s="74">
        <v>0.75</v>
      </c>
      <c r="F4" s="229" t="s">
        <v>1656</v>
      </c>
    </row>
    <row r="5">
      <c r="A5" s="37" t="s">
        <v>48</v>
      </c>
      <c r="B5" s="37">
        <v>6675.0</v>
      </c>
      <c r="C5" s="37" t="s">
        <v>5595</v>
      </c>
      <c r="D5" s="74">
        <v>0.75</v>
      </c>
      <c r="E5" s="74">
        <v>0.75</v>
      </c>
      <c r="F5" s="229" t="s">
        <v>1656</v>
      </c>
    </row>
    <row r="6">
      <c r="A6" s="37" t="s">
        <v>13</v>
      </c>
      <c r="B6" s="37"/>
      <c r="C6" s="37" t="s">
        <v>5595</v>
      </c>
      <c r="D6" s="74">
        <v>0.75</v>
      </c>
      <c r="E6" s="74">
        <v>0.75</v>
      </c>
      <c r="F6" s="229" t="s">
        <v>1656</v>
      </c>
    </row>
    <row r="7">
      <c r="A7" s="37" t="s">
        <v>15</v>
      </c>
      <c r="B7" s="37"/>
      <c r="C7" s="37" t="s">
        <v>5595</v>
      </c>
      <c r="D7" s="74">
        <v>0.75</v>
      </c>
      <c r="E7" s="74">
        <v>0.75</v>
      </c>
      <c r="F7" s="229" t="s">
        <v>1656</v>
      </c>
    </row>
    <row r="8">
      <c r="A8" s="37" t="s">
        <v>49</v>
      </c>
      <c r="B8" s="37">
        <v>6729.0</v>
      </c>
      <c r="C8" s="37" t="s">
        <v>5595</v>
      </c>
      <c r="D8" s="74">
        <v>0.75</v>
      </c>
      <c r="E8" s="74">
        <v>0.75</v>
      </c>
      <c r="F8" s="229" t="s">
        <v>1656</v>
      </c>
    </row>
    <row r="9">
      <c r="A9" s="37" t="s">
        <v>18</v>
      </c>
      <c r="B9" s="37"/>
      <c r="C9" s="37" t="s">
        <v>5595</v>
      </c>
      <c r="D9" s="74">
        <v>0.75</v>
      </c>
      <c r="E9" s="74">
        <v>0.75</v>
      </c>
      <c r="F9" s="229" t="s">
        <v>1656</v>
      </c>
    </row>
    <row r="10">
      <c r="A10" s="37" t="s">
        <v>20</v>
      </c>
      <c r="B10" s="37"/>
      <c r="C10" s="37" t="s">
        <v>5595</v>
      </c>
      <c r="D10" s="74">
        <v>0.75</v>
      </c>
      <c r="E10" s="74">
        <v>0.75</v>
      </c>
      <c r="F10" s="229" t="s">
        <v>1656</v>
      </c>
    </row>
    <row r="11">
      <c r="A11" s="37" t="s">
        <v>21</v>
      </c>
      <c r="B11" s="37">
        <v>14298.0</v>
      </c>
      <c r="C11" s="37" t="s">
        <v>5595</v>
      </c>
      <c r="D11" s="74">
        <v>0.8</v>
      </c>
      <c r="E11" s="74">
        <v>0.8</v>
      </c>
      <c r="F11" s="229" t="s">
        <v>1656</v>
      </c>
    </row>
    <row r="12">
      <c r="A12" s="37" t="s">
        <v>23</v>
      </c>
      <c r="B12" s="37"/>
      <c r="C12" s="37" t="s">
        <v>5595</v>
      </c>
      <c r="D12" s="74">
        <v>0.75</v>
      </c>
      <c r="E12" s="74">
        <v>0.75</v>
      </c>
      <c r="F12" s="229" t="s">
        <v>1656</v>
      </c>
    </row>
    <row r="13">
      <c r="A13" s="37" t="s">
        <v>25</v>
      </c>
      <c r="B13" s="37"/>
      <c r="C13" s="37" t="s">
        <v>5595</v>
      </c>
      <c r="D13" s="74">
        <v>0.75</v>
      </c>
      <c r="E13" s="74">
        <v>0.75</v>
      </c>
      <c r="F13" s="229" t="s">
        <v>1656</v>
      </c>
    </row>
    <row r="14">
      <c r="A14" s="37" t="s">
        <v>27</v>
      </c>
      <c r="B14" s="37">
        <v>2345.0</v>
      </c>
      <c r="C14" s="37" t="s">
        <v>5595</v>
      </c>
      <c r="D14" s="74">
        <v>0.75</v>
      </c>
      <c r="E14" s="74">
        <v>0.75</v>
      </c>
      <c r="F14" s="229" t="s">
        <v>1656</v>
      </c>
    </row>
    <row r="15">
      <c r="A15" s="37" t="s">
        <v>29</v>
      </c>
      <c r="B15" s="37"/>
      <c r="C15" s="37" t="s">
        <v>5595</v>
      </c>
      <c r="D15" s="74">
        <v>0.75</v>
      </c>
      <c r="E15" s="74">
        <v>0.75</v>
      </c>
      <c r="F15" s="229" t="s">
        <v>1656</v>
      </c>
    </row>
    <row r="16">
      <c r="A16" s="37" t="s">
        <v>31</v>
      </c>
      <c r="B16" s="37"/>
      <c r="C16" s="37" t="s">
        <v>5595</v>
      </c>
      <c r="D16" s="74">
        <v>0.75</v>
      </c>
      <c r="E16" s="74">
        <v>0.75</v>
      </c>
      <c r="F16" s="229" t="s">
        <v>1656</v>
      </c>
    </row>
    <row r="17">
      <c r="A17" s="37" t="s">
        <v>33</v>
      </c>
      <c r="B17" s="37"/>
      <c r="C17" s="37" t="s">
        <v>5595</v>
      </c>
      <c r="D17" s="74">
        <v>0.75</v>
      </c>
      <c r="E17" s="74">
        <v>0.75</v>
      </c>
      <c r="F17" s="229" t="s">
        <v>1656</v>
      </c>
    </row>
    <row r="18">
      <c r="A18" s="37" t="s">
        <v>34</v>
      </c>
      <c r="B18" s="37"/>
      <c r="C18" s="37" t="s">
        <v>5595</v>
      </c>
      <c r="D18" s="74">
        <v>0.75</v>
      </c>
      <c r="E18" s="74">
        <v>0.75</v>
      </c>
      <c r="F18" s="229" t="s">
        <v>1656</v>
      </c>
    </row>
    <row r="19">
      <c r="A19" s="37" t="s">
        <v>35</v>
      </c>
      <c r="B19" s="37"/>
      <c r="C19" s="37" t="s">
        <v>5595</v>
      </c>
      <c r="D19" s="74">
        <v>0.75</v>
      </c>
      <c r="E19" s="74">
        <v>0.75</v>
      </c>
      <c r="F19" s="229" t="s">
        <v>1656</v>
      </c>
    </row>
    <row r="20">
      <c r="A20" s="37" t="s">
        <v>37</v>
      </c>
      <c r="B20" s="37"/>
      <c r="C20" s="37" t="s">
        <v>5595</v>
      </c>
      <c r="D20" s="74">
        <v>0.75</v>
      </c>
      <c r="E20" s="74">
        <v>0.75</v>
      </c>
      <c r="F20" s="229" t="s">
        <v>1656</v>
      </c>
    </row>
    <row r="21">
      <c r="A21" s="37" t="s">
        <v>39</v>
      </c>
      <c r="B21" s="37">
        <v>6722.0</v>
      </c>
      <c r="C21" s="37" t="s">
        <v>5595</v>
      </c>
      <c r="D21" s="74">
        <v>0.75</v>
      </c>
      <c r="E21" s="74">
        <v>0.75</v>
      </c>
      <c r="F21" s="229" t="s">
        <v>1656</v>
      </c>
    </row>
    <row r="22">
      <c r="A22" s="37" t="s">
        <v>41</v>
      </c>
      <c r="B22" s="37">
        <v>14465.0</v>
      </c>
      <c r="C22" s="37" t="s">
        <v>5595</v>
      </c>
      <c r="D22" s="74">
        <v>0.75</v>
      </c>
      <c r="E22" s="74">
        <v>0.75</v>
      </c>
      <c r="F22" s="229" t="s">
        <v>1656</v>
      </c>
    </row>
    <row r="23">
      <c r="A23" s="37" t="s">
        <v>42</v>
      </c>
      <c r="B23" s="45"/>
      <c r="C23" s="37" t="s">
        <v>5595</v>
      </c>
      <c r="D23" s="74">
        <v>0.75</v>
      </c>
      <c r="E23" s="74">
        <v>0.75</v>
      </c>
      <c r="F23" s="229" t="s">
        <v>1656</v>
      </c>
    </row>
    <row r="24">
      <c r="A24" s="37" t="s">
        <v>503</v>
      </c>
      <c r="B24" s="37"/>
      <c r="C24" s="37" t="s">
        <v>5595</v>
      </c>
      <c r="D24" s="74">
        <v>0.75</v>
      </c>
      <c r="E24" s="74">
        <v>0.75</v>
      </c>
      <c r="F24" s="229" t="s">
        <v>1656</v>
      </c>
    </row>
    <row r="25">
      <c r="A25" s="37" t="s">
        <v>56</v>
      </c>
      <c r="B25" s="37">
        <v>6924.0</v>
      </c>
      <c r="C25" s="37" t="s">
        <v>5595</v>
      </c>
      <c r="D25" s="74">
        <v>0.75</v>
      </c>
      <c r="E25" s="74">
        <v>0.75</v>
      </c>
      <c r="F25" s="229" t="s">
        <v>1656</v>
      </c>
    </row>
    <row r="26">
      <c r="A26" s="37" t="s">
        <v>57</v>
      </c>
      <c r="B26" s="37">
        <v>14638.0</v>
      </c>
      <c r="C26" s="37" t="s">
        <v>5595</v>
      </c>
      <c r="D26" s="74">
        <v>0.75</v>
      </c>
      <c r="E26" s="74">
        <v>0.75</v>
      </c>
      <c r="F26" s="229" t="s">
        <v>1656</v>
      </c>
    </row>
    <row r="27">
      <c r="A27" s="37" t="s">
        <v>58</v>
      </c>
      <c r="B27" s="37">
        <v>7083.0</v>
      </c>
      <c r="C27" s="37" t="s">
        <v>5595</v>
      </c>
      <c r="D27" s="74">
        <v>0.75</v>
      </c>
      <c r="E27" s="74">
        <v>0.75</v>
      </c>
      <c r="F27" s="229" t="s">
        <v>1656</v>
      </c>
    </row>
    <row r="28">
      <c r="A28" s="37" t="s">
        <v>59</v>
      </c>
      <c r="B28" s="37">
        <v>6728.0</v>
      </c>
      <c r="C28" s="37" t="s">
        <v>5595</v>
      </c>
      <c r="D28" s="74">
        <v>0.75</v>
      </c>
      <c r="E28" s="74">
        <v>0.75</v>
      </c>
      <c r="F28" s="229" t="s">
        <v>1656</v>
      </c>
    </row>
    <row r="29">
      <c r="A29" s="37" t="s">
        <v>60</v>
      </c>
      <c r="B29" s="37">
        <v>663.0</v>
      </c>
      <c r="C29" s="37" t="s">
        <v>5595</v>
      </c>
      <c r="D29" s="74">
        <v>0.75</v>
      </c>
      <c r="E29" s="74">
        <v>0.75</v>
      </c>
      <c r="F29" s="229" t="s">
        <v>1656</v>
      </c>
    </row>
    <row r="30">
      <c r="A30" s="37" t="s">
        <v>61</v>
      </c>
      <c r="B30" s="37">
        <v>663.0</v>
      </c>
      <c r="C30" s="37" t="s">
        <v>5595</v>
      </c>
      <c r="D30" s="74">
        <v>0.75</v>
      </c>
      <c r="E30" s="74">
        <v>0.75</v>
      </c>
      <c r="F30" s="229" t="s">
        <v>1656</v>
      </c>
    </row>
    <row r="31">
      <c r="A31" s="37" t="s">
        <v>62</v>
      </c>
      <c r="B31" s="37">
        <v>986.0</v>
      </c>
      <c r="C31" s="37" t="s">
        <v>5595</v>
      </c>
      <c r="D31" s="74">
        <v>0.75</v>
      </c>
      <c r="E31" s="74">
        <v>0.75</v>
      </c>
      <c r="F31" s="229" t="s">
        <v>1656</v>
      </c>
    </row>
    <row r="32">
      <c r="A32" s="37" t="s">
        <v>63</v>
      </c>
      <c r="B32" s="37">
        <v>986.0</v>
      </c>
      <c r="C32" s="37" t="s">
        <v>5595</v>
      </c>
      <c r="D32" s="74">
        <v>0.75</v>
      </c>
      <c r="E32" s="74">
        <v>0.75</v>
      </c>
      <c r="F32" s="229" t="s">
        <v>1656</v>
      </c>
    </row>
    <row r="33">
      <c r="A33" s="37" t="s">
        <v>64</v>
      </c>
      <c r="B33" s="37">
        <v>6774.0</v>
      </c>
      <c r="C33" s="37" t="s">
        <v>5595</v>
      </c>
      <c r="D33" s="74">
        <v>0.75</v>
      </c>
      <c r="E33" s="74">
        <v>0.75</v>
      </c>
      <c r="F33" s="229" t="s">
        <v>1656</v>
      </c>
    </row>
    <row r="34">
      <c r="A34" s="37" t="s">
        <v>504</v>
      </c>
      <c r="B34" s="45"/>
      <c r="C34" s="37" t="s">
        <v>5595</v>
      </c>
      <c r="D34" s="74">
        <v>0.75</v>
      </c>
      <c r="E34" s="74">
        <v>0.75</v>
      </c>
      <c r="F34" s="229" t="s">
        <v>1656</v>
      </c>
    </row>
    <row r="35">
      <c r="A35" s="37" t="s">
        <v>505</v>
      </c>
      <c r="B35" s="37">
        <v>6132.0</v>
      </c>
      <c r="C35" s="37" t="s">
        <v>5595</v>
      </c>
      <c r="D35" s="74">
        <v>0.75</v>
      </c>
      <c r="E35" s="74">
        <v>0.75</v>
      </c>
      <c r="F35" s="229" t="s">
        <v>1656</v>
      </c>
    </row>
    <row r="36">
      <c r="A36" s="37" t="s">
        <v>506</v>
      </c>
      <c r="B36" s="45"/>
      <c r="C36" s="37" t="s">
        <v>5595</v>
      </c>
      <c r="D36" s="74">
        <v>0.75</v>
      </c>
      <c r="E36" s="74">
        <v>0.75</v>
      </c>
      <c r="F36" s="229" t="s">
        <v>1656</v>
      </c>
    </row>
    <row r="37">
      <c r="A37" s="37" t="s">
        <v>507</v>
      </c>
      <c r="B37" s="45"/>
      <c r="C37" s="37" t="s">
        <v>5595</v>
      </c>
      <c r="D37" s="74">
        <v>0.75</v>
      </c>
      <c r="E37" s="74">
        <v>0.75</v>
      </c>
      <c r="F37" s="229" t="s">
        <v>1656</v>
      </c>
    </row>
    <row r="38">
      <c r="A38" s="37" t="s">
        <v>508</v>
      </c>
      <c r="B38" s="37">
        <v>12932.0</v>
      </c>
      <c r="C38" s="37" t="s">
        <v>5595</v>
      </c>
      <c r="D38" s="74">
        <v>0.75</v>
      </c>
      <c r="E38" s="74">
        <v>0.75</v>
      </c>
      <c r="F38" s="229" t="s">
        <v>1656</v>
      </c>
    </row>
    <row r="39">
      <c r="A39" s="37" t="s">
        <v>509</v>
      </c>
      <c r="B39" s="37">
        <v>5389.0</v>
      </c>
      <c r="C39" s="37" t="s">
        <v>5595</v>
      </c>
      <c r="D39" s="74">
        <v>0.75</v>
      </c>
      <c r="E39" s="74">
        <v>0.75</v>
      </c>
      <c r="F39" s="229" t="s">
        <v>1656</v>
      </c>
    </row>
    <row r="40">
      <c r="A40" s="37" t="s">
        <v>510</v>
      </c>
      <c r="B40" s="37"/>
      <c r="C40" s="37" t="s">
        <v>5595</v>
      </c>
      <c r="D40" s="74">
        <v>0.75</v>
      </c>
      <c r="E40" s="74">
        <v>0.75</v>
      </c>
      <c r="F40" s="229" t="s">
        <v>1656</v>
      </c>
    </row>
    <row r="41">
      <c r="A41" s="37" t="s">
        <v>511</v>
      </c>
      <c r="B41" s="45"/>
      <c r="C41" s="37" t="s">
        <v>5595</v>
      </c>
      <c r="D41" s="74">
        <v>0.75</v>
      </c>
      <c r="E41" s="74">
        <v>0.75</v>
      </c>
      <c r="F41" s="229" t="s">
        <v>1656</v>
      </c>
    </row>
    <row r="42">
      <c r="A42" s="37" t="s">
        <v>512</v>
      </c>
      <c r="B42" s="45"/>
      <c r="C42" s="37" t="s">
        <v>5595</v>
      </c>
      <c r="D42" s="74">
        <v>0.75</v>
      </c>
      <c r="E42" s="74">
        <v>0.75</v>
      </c>
      <c r="F42" s="229" t="s">
        <v>1656</v>
      </c>
    </row>
    <row r="43">
      <c r="A43" s="37" t="s">
        <v>513</v>
      </c>
      <c r="B43" s="45"/>
      <c r="C43" s="37" t="s">
        <v>5595</v>
      </c>
      <c r="D43" s="74">
        <v>0.75</v>
      </c>
      <c r="E43" s="74">
        <v>0.75</v>
      </c>
      <c r="F43" s="229" t="s">
        <v>1656</v>
      </c>
    </row>
    <row r="44">
      <c r="A44" s="37" t="s">
        <v>514</v>
      </c>
      <c r="B44" s="37">
        <v>7157.0</v>
      </c>
      <c r="C44" s="37" t="s">
        <v>5595</v>
      </c>
      <c r="D44" s="74">
        <v>0.75</v>
      </c>
      <c r="E44" s="74">
        <v>0.75</v>
      </c>
      <c r="F44" s="229" t="s">
        <v>1656</v>
      </c>
    </row>
    <row r="45">
      <c r="A45" s="37" t="s">
        <v>515</v>
      </c>
      <c r="B45" s="37">
        <v>6875.0</v>
      </c>
      <c r="C45" s="37" t="s">
        <v>5595</v>
      </c>
      <c r="D45" s="74">
        <v>0.75</v>
      </c>
      <c r="E45" s="74">
        <v>0.75</v>
      </c>
      <c r="F45" s="229" t="s">
        <v>1656</v>
      </c>
    </row>
    <row r="46">
      <c r="A46" s="37" t="s">
        <v>516</v>
      </c>
      <c r="B46" s="37">
        <v>7100.0</v>
      </c>
      <c r="C46" s="37" t="s">
        <v>5595</v>
      </c>
      <c r="D46" s="74">
        <v>0.75</v>
      </c>
      <c r="E46" s="74">
        <v>0.75</v>
      </c>
      <c r="F46" s="229" t="s">
        <v>1656</v>
      </c>
    </row>
    <row r="47">
      <c r="A47" s="37" t="s">
        <v>517</v>
      </c>
      <c r="B47" s="37">
        <v>11708.0</v>
      </c>
      <c r="C47" s="37" t="s">
        <v>5595</v>
      </c>
      <c r="D47" s="74">
        <v>0.75</v>
      </c>
      <c r="E47" s="74">
        <v>0.75</v>
      </c>
      <c r="F47" s="229" t="s">
        <v>1656</v>
      </c>
    </row>
    <row r="48">
      <c r="A48" s="37" t="s">
        <v>518</v>
      </c>
      <c r="B48" s="37">
        <v>7023.0</v>
      </c>
      <c r="C48" s="37" t="s">
        <v>5595</v>
      </c>
      <c r="D48" s="74">
        <v>0.75</v>
      </c>
      <c r="E48" s="74">
        <v>0.75</v>
      </c>
      <c r="F48" s="229" t="s">
        <v>1656</v>
      </c>
    </row>
    <row r="49">
      <c r="A49" s="37" t="s">
        <v>519</v>
      </c>
      <c r="B49" s="37">
        <v>6675.0</v>
      </c>
      <c r="C49" s="37" t="s">
        <v>5595</v>
      </c>
      <c r="D49" s="74">
        <v>0.75</v>
      </c>
      <c r="E49" s="74">
        <v>0.75</v>
      </c>
      <c r="F49" s="229" t="s">
        <v>1656</v>
      </c>
    </row>
    <row r="50">
      <c r="A50" s="37" t="s">
        <v>520</v>
      </c>
      <c r="B50" s="37">
        <v>6675.0</v>
      </c>
      <c r="C50" s="37" t="s">
        <v>5595</v>
      </c>
      <c r="D50" s="74">
        <v>0.75</v>
      </c>
      <c r="E50" s="74">
        <v>0.75</v>
      </c>
      <c r="F50" s="229" t="s">
        <v>1656</v>
      </c>
    </row>
    <row r="51">
      <c r="A51" s="37" t="s">
        <v>521</v>
      </c>
      <c r="B51" s="37">
        <v>6675.0</v>
      </c>
      <c r="C51" s="37" t="s">
        <v>5595</v>
      </c>
      <c r="D51" s="74">
        <v>0.75</v>
      </c>
      <c r="E51" s="74">
        <v>0.75</v>
      </c>
      <c r="F51" s="229" t="s">
        <v>1656</v>
      </c>
    </row>
    <row r="52">
      <c r="A52" s="37" t="s">
        <v>522</v>
      </c>
      <c r="B52" s="37">
        <v>6675.0</v>
      </c>
      <c r="C52" s="37" t="s">
        <v>5595</v>
      </c>
      <c r="D52" s="74">
        <v>0.75</v>
      </c>
      <c r="E52" s="74">
        <v>0.75</v>
      </c>
      <c r="F52" s="229" t="s">
        <v>1656</v>
      </c>
    </row>
    <row r="53">
      <c r="A53" s="37" t="s">
        <v>523</v>
      </c>
      <c r="B53" s="37">
        <v>6779.0</v>
      </c>
      <c r="C53" s="37" t="s">
        <v>5595</v>
      </c>
      <c r="D53" s="74">
        <v>0.75</v>
      </c>
      <c r="E53" s="74">
        <v>0.75</v>
      </c>
      <c r="F53" s="229" t="s">
        <v>1656</v>
      </c>
    </row>
    <row r="54">
      <c r="A54" s="37" t="s">
        <v>524</v>
      </c>
      <c r="B54" s="37">
        <v>2345.0</v>
      </c>
      <c r="C54" s="37" t="s">
        <v>5595</v>
      </c>
      <c r="D54" s="74">
        <v>0.75</v>
      </c>
      <c r="E54" s="74">
        <v>0.75</v>
      </c>
      <c r="F54" s="229" t="s">
        <v>1656</v>
      </c>
    </row>
    <row r="55">
      <c r="A55" s="37" t="s">
        <v>525</v>
      </c>
      <c r="B55" s="37">
        <v>2345.0</v>
      </c>
      <c r="C55" s="37" t="s">
        <v>5595</v>
      </c>
      <c r="D55" s="74">
        <v>0.75</v>
      </c>
      <c r="E55" s="74">
        <v>0.75</v>
      </c>
      <c r="F55" s="229" t="s">
        <v>1656</v>
      </c>
    </row>
    <row r="56">
      <c r="A56" s="37" t="s">
        <v>526</v>
      </c>
      <c r="B56" s="37">
        <v>2345.0</v>
      </c>
      <c r="C56" s="37" t="s">
        <v>5595</v>
      </c>
      <c r="D56" s="74">
        <v>0.75</v>
      </c>
      <c r="E56" s="74">
        <v>0.75</v>
      </c>
      <c r="F56" s="229" t="s">
        <v>1656</v>
      </c>
    </row>
    <row r="57">
      <c r="A57" s="37" t="s">
        <v>527</v>
      </c>
      <c r="B57" s="37">
        <v>2345.0</v>
      </c>
      <c r="C57" s="37" t="s">
        <v>5595</v>
      </c>
      <c r="D57" s="74">
        <v>0.75</v>
      </c>
      <c r="E57" s="74">
        <v>0.75</v>
      </c>
      <c r="F57" s="229" t="s">
        <v>1656</v>
      </c>
    </row>
    <row r="58">
      <c r="A58" s="37" t="s">
        <v>528</v>
      </c>
      <c r="B58" s="37">
        <v>2345.0</v>
      </c>
      <c r="C58" s="37" t="s">
        <v>5595</v>
      </c>
      <c r="D58" s="74">
        <v>0.75</v>
      </c>
      <c r="E58" s="74">
        <v>0.75</v>
      </c>
      <c r="F58" s="229" t="s">
        <v>1656</v>
      </c>
    </row>
    <row r="59">
      <c r="A59" s="37" t="s">
        <v>529</v>
      </c>
      <c r="B59" s="37">
        <v>2345.0</v>
      </c>
      <c r="C59" s="37" t="s">
        <v>5595</v>
      </c>
      <c r="D59" s="74">
        <v>0.75</v>
      </c>
      <c r="E59" s="74">
        <v>0.75</v>
      </c>
      <c r="F59" s="229" t="s">
        <v>1656</v>
      </c>
    </row>
    <row r="60">
      <c r="A60" s="37" t="s">
        <v>530</v>
      </c>
      <c r="B60" s="37"/>
      <c r="C60" s="37" t="s">
        <v>5595</v>
      </c>
      <c r="D60" s="74">
        <v>0.75</v>
      </c>
      <c r="E60" s="74">
        <v>0.75</v>
      </c>
      <c r="F60" s="229" t="s">
        <v>1656</v>
      </c>
    </row>
    <row r="61">
      <c r="A61" s="37" t="s">
        <v>531</v>
      </c>
      <c r="B61" s="37"/>
      <c r="C61" s="37" t="s">
        <v>5595</v>
      </c>
      <c r="D61" s="74">
        <v>0.75</v>
      </c>
      <c r="E61" s="74">
        <v>0.75</v>
      </c>
      <c r="F61" s="229" t="s">
        <v>1656</v>
      </c>
    </row>
    <row r="62">
      <c r="A62" s="37" t="s">
        <v>532</v>
      </c>
      <c r="B62" s="37"/>
      <c r="C62" s="37" t="s">
        <v>5595</v>
      </c>
      <c r="D62" s="74">
        <v>0.75</v>
      </c>
      <c r="E62" s="74">
        <v>0.75</v>
      </c>
      <c r="F62" s="229" t="s">
        <v>1656</v>
      </c>
    </row>
    <row r="63">
      <c r="A63" s="37" t="s">
        <v>533</v>
      </c>
      <c r="B63" s="37"/>
      <c r="C63" s="37" t="s">
        <v>5595</v>
      </c>
      <c r="D63" s="74">
        <v>0.75</v>
      </c>
      <c r="E63" s="74">
        <v>0.75</v>
      </c>
      <c r="F63" s="229" t="s">
        <v>1656</v>
      </c>
    </row>
    <row r="64">
      <c r="A64" s="37" t="s">
        <v>534</v>
      </c>
      <c r="B64" s="37"/>
      <c r="C64" s="37" t="s">
        <v>5595</v>
      </c>
      <c r="D64" s="74">
        <v>0.75</v>
      </c>
      <c r="E64" s="74">
        <v>0.75</v>
      </c>
      <c r="F64" s="229" t="s">
        <v>1656</v>
      </c>
    </row>
    <row r="65">
      <c r="A65" s="37" t="s">
        <v>535</v>
      </c>
      <c r="B65" s="37"/>
      <c r="C65" s="37" t="s">
        <v>5595</v>
      </c>
      <c r="D65" s="74">
        <v>0.75</v>
      </c>
      <c r="E65" s="74">
        <v>0.75</v>
      </c>
      <c r="F65" s="229" t="s">
        <v>1656</v>
      </c>
    </row>
    <row r="66">
      <c r="A66" s="37" t="s">
        <v>536</v>
      </c>
      <c r="B66" s="37"/>
      <c r="C66" s="37" t="s">
        <v>5595</v>
      </c>
      <c r="D66" s="74">
        <v>0.75</v>
      </c>
      <c r="E66" s="74">
        <v>0.75</v>
      </c>
      <c r="F66" s="229" t="s">
        <v>1656</v>
      </c>
    </row>
    <row r="67">
      <c r="A67" s="37" t="s">
        <v>537</v>
      </c>
      <c r="B67" s="37"/>
      <c r="C67" s="37" t="s">
        <v>5595</v>
      </c>
      <c r="D67" s="74">
        <v>0.75</v>
      </c>
      <c r="E67" s="74">
        <v>0.75</v>
      </c>
      <c r="F67" s="229" t="s">
        <v>1656</v>
      </c>
    </row>
    <row r="68">
      <c r="A68" s="37" t="s">
        <v>538</v>
      </c>
      <c r="B68" s="37"/>
      <c r="C68" s="37" t="s">
        <v>5595</v>
      </c>
      <c r="D68" s="74">
        <v>0.75</v>
      </c>
      <c r="E68" s="74">
        <v>0.75</v>
      </c>
      <c r="F68" s="229" t="s">
        <v>1656</v>
      </c>
    </row>
    <row r="69">
      <c r="A69" s="37" t="s">
        <v>539</v>
      </c>
      <c r="B69" s="37"/>
      <c r="C69" s="37" t="s">
        <v>5595</v>
      </c>
      <c r="D69" s="74">
        <v>0.75</v>
      </c>
      <c r="E69" s="74">
        <v>0.75</v>
      </c>
      <c r="F69" s="229" t="s">
        <v>1656</v>
      </c>
    </row>
    <row r="70">
      <c r="A70" s="37" t="s">
        <v>540</v>
      </c>
      <c r="B70" s="37"/>
      <c r="C70" s="37" t="s">
        <v>5595</v>
      </c>
      <c r="D70" s="74">
        <v>0.75</v>
      </c>
      <c r="E70" s="74">
        <v>0.75</v>
      </c>
      <c r="F70" s="229" t="s">
        <v>1656</v>
      </c>
    </row>
    <row r="71">
      <c r="A71" s="37" t="s">
        <v>541</v>
      </c>
      <c r="B71" s="37">
        <v>7847.0</v>
      </c>
      <c r="C71" s="37" t="s">
        <v>5595</v>
      </c>
      <c r="D71" s="74">
        <v>0.75</v>
      </c>
      <c r="E71" s="74">
        <v>0.75</v>
      </c>
      <c r="F71" s="229" t="s">
        <v>1656</v>
      </c>
    </row>
    <row r="72">
      <c r="A72" s="37" t="s">
        <v>542</v>
      </c>
      <c r="B72" s="37"/>
      <c r="C72" s="37" t="s">
        <v>5595</v>
      </c>
      <c r="D72" s="74">
        <v>0.75</v>
      </c>
      <c r="E72" s="74">
        <v>0.75</v>
      </c>
      <c r="F72" s="229" t="s">
        <v>1656</v>
      </c>
    </row>
    <row r="73">
      <c r="A73" s="37" t="s">
        <v>543</v>
      </c>
      <c r="B73" s="37">
        <v>7142.0</v>
      </c>
      <c r="C73" s="37" t="s">
        <v>5595</v>
      </c>
      <c r="D73" s="74">
        <v>0.75</v>
      </c>
      <c r="E73" s="74">
        <v>0.75</v>
      </c>
      <c r="F73" s="229" t="s">
        <v>1656</v>
      </c>
    </row>
    <row r="74">
      <c r="A74" s="37" t="s">
        <v>544</v>
      </c>
      <c r="B74" s="37">
        <v>189.0</v>
      </c>
      <c r="C74" s="37" t="s">
        <v>5595</v>
      </c>
      <c r="D74" s="74">
        <v>0.75</v>
      </c>
      <c r="E74" s="74">
        <v>0.75</v>
      </c>
      <c r="F74" s="229" t="s">
        <v>1656</v>
      </c>
    </row>
    <row r="75">
      <c r="A75" s="37" t="s">
        <v>545</v>
      </c>
      <c r="B75" s="37">
        <v>189.0</v>
      </c>
      <c r="C75" s="37" t="s">
        <v>5595</v>
      </c>
      <c r="D75" s="74">
        <v>0.75</v>
      </c>
      <c r="E75" s="74">
        <v>0.75</v>
      </c>
      <c r="F75" s="229" t="s">
        <v>1656</v>
      </c>
    </row>
    <row r="76">
      <c r="A76" s="37" t="s">
        <v>546</v>
      </c>
      <c r="B76" s="37">
        <v>189.0</v>
      </c>
      <c r="C76" s="37" t="s">
        <v>5595</v>
      </c>
      <c r="D76" s="74">
        <v>0.75</v>
      </c>
      <c r="E76" s="74">
        <v>0.75</v>
      </c>
      <c r="F76" s="229" t="s">
        <v>1656</v>
      </c>
    </row>
    <row r="77">
      <c r="A77" s="37" t="s">
        <v>547</v>
      </c>
      <c r="B77" s="37">
        <v>189.0</v>
      </c>
      <c r="C77" s="37" t="s">
        <v>5595</v>
      </c>
      <c r="D77" s="74">
        <v>0.75</v>
      </c>
      <c r="E77" s="74">
        <v>0.75</v>
      </c>
      <c r="F77" s="229" t="s">
        <v>1656</v>
      </c>
    </row>
    <row r="78">
      <c r="A78" s="37" t="s">
        <v>548</v>
      </c>
      <c r="B78" s="37">
        <v>189.0</v>
      </c>
      <c r="C78" s="37" t="s">
        <v>5595</v>
      </c>
      <c r="D78" s="74">
        <v>0.75</v>
      </c>
      <c r="E78" s="74">
        <v>0.75</v>
      </c>
      <c r="F78" s="229" t="s">
        <v>1656</v>
      </c>
    </row>
    <row r="79">
      <c r="A79" s="37" t="s">
        <v>549</v>
      </c>
      <c r="B79" s="37">
        <v>189.0</v>
      </c>
      <c r="C79" s="37" t="s">
        <v>5595</v>
      </c>
      <c r="D79" s="74">
        <v>0.75</v>
      </c>
      <c r="E79" s="74">
        <v>0.75</v>
      </c>
      <c r="F79" s="229" t="s">
        <v>1656</v>
      </c>
    </row>
    <row r="80">
      <c r="A80" s="37" t="s">
        <v>550</v>
      </c>
      <c r="B80" s="37">
        <v>7010.0</v>
      </c>
      <c r="C80" s="37" t="s">
        <v>5595</v>
      </c>
      <c r="D80" s="74">
        <v>0.75</v>
      </c>
      <c r="E80" s="74">
        <v>0.75</v>
      </c>
      <c r="F80" s="229" t="s">
        <v>1656</v>
      </c>
    </row>
    <row r="81">
      <c r="A81" s="37" t="s">
        <v>551</v>
      </c>
      <c r="B81" s="37"/>
      <c r="C81" s="37" t="s">
        <v>5595</v>
      </c>
      <c r="D81" s="74">
        <v>0.75</v>
      </c>
      <c r="E81" s="74">
        <v>0.75</v>
      </c>
      <c r="F81" s="229" t="s">
        <v>1656</v>
      </c>
    </row>
    <row r="82">
      <c r="A82" s="37" t="s">
        <v>552</v>
      </c>
      <c r="B82" s="37"/>
      <c r="C82" s="37" t="s">
        <v>5595</v>
      </c>
      <c r="D82" s="74">
        <v>0.75</v>
      </c>
      <c r="E82" s="74">
        <v>0.75</v>
      </c>
      <c r="F82" s="229" t="s">
        <v>1656</v>
      </c>
    </row>
    <row r="83">
      <c r="A83" s="37" t="s">
        <v>553</v>
      </c>
      <c r="B83" s="37"/>
      <c r="C83" s="37" t="s">
        <v>5595</v>
      </c>
      <c r="D83" s="74">
        <v>0.75</v>
      </c>
      <c r="E83" s="74">
        <v>0.75</v>
      </c>
      <c r="F83" s="229" t="s">
        <v>1656</v>
      </c>
    </row>
    <row r="84">
      <c r="A84" s="37" t="s">
        <v>554</v>
      </c>
      <c r="B84" s="37">
        <v>10856.0</v>
      </c>
      <c r="C84" s="37" t="s">
        <v>5595</v>
      </c>
      <c r="D84" s="74">
        <v>0.75</v>
      </c>
      <c r="E84" s="74">
        <v>0.75</v>
      </c>
      <c r="F84" s="229" t="s">
        <v>1656</v>
      </c>
    </row>
    <row r="85">
      <c r="A85" s="37" t="s">
        <v>555</v>
      </c>
      <c r="B85" s="37"/>
      <c r="C85" s="37" t="s">
        <v>5595</v>
      </c>
      <c r="D85" s="74">
        <v>0.75</v>
      </c>
      <c r="E85" s="74">
        <v>0.75</v>
      </c>
      <c r="F85" s="229" t="s">
        <v>1656</v>
      </c>
    </row>
    <row r="86">
      <c r="A86" s="37" t="s">
        <v>556</v>
      </c>
      <c r="B86" s="37"/>
      <c r="C86" s="37" t="s">
        <v>5595</v>
      </c>
      <c r="D86" s="74">
        <v>0.75</v>
      </c>
      <c r="E86" s="74">
        <v>0.75</v>
      </c>
      <c r="F86" s="229" t="s">
        <v>1656</v>
      </c>
    </row>
    <row r="87">
      <c r="A87" s="37" t="s">
        <v>557</v>
      </c>
      <c r="B87" s="37"/>
      <c r="C87" s="37" t="s">
        <v>5595</v>
      </c>
      <c r="D87" s="74">
        <v>0.75</v>
      </c>
      <c r="E87" s="74">
        <v>0.75</v>
      </c>
      <c r="F87" s="229" t="s">
        <v>1656</v>
      </c>
    </row>
    <row r="88">
      <c r="A88" s="37" t="s">
        <v>558</v>
      </c>
      <c r="B88" s="45"/>
      <c r="C88" s="37" t="s">
        <v>5595</v>
      </c>
      <c r="D88" s="74">
        <v>0.75</v>
      </c>
      <c r="E88" s="74">
        <v>0.75</v>
      </c>
      <c r="F88" s="229" t="s">
        <v>1656</v>
      </c>
    </row>
    <row r="89">
      <c r="A89" s="37" t="s">
        <v>559</v>
      </c>
      <c r="B89" s="37"/>
      <c r="C89" s="37" t="s">
        <v>5595</v>
      </c>
      <c r="D89" s="74">
        <v>0.75</v>
      </c>
      <c r="E89" s="74">
        <v>0.75</v>
      </c>
      <c r="F89" s="229" t="s">
        <v>1656</v>
      </c>
    </row>
    <row r="90">
      <c r="A90" s="37" t="s">
        <v>560</v>
      </c>
      <c r="B90" s="37"/>
      <c r="C90" s="37" t="s">
        <v>5595</v>
      </c>
      <c r="D90" s="74">
        <v>0.75</v>
      </c>
      <c r="E90" s="74">
        <v>0.75</v>
      </c>
      <c r="F90" s="229" t="s">
        <v>1656</v>
      </c>
    </row>
    <row r="91">
      <c r="A91" s="37" t="s">
        <v>561</v>
      </c>
      <c r="B91" s="37"/>
      <c r="C91" s="37" t="s">
        <v>5595</v>
      </c>
      <c r="D91" s="74">
        <v>0.75</v>
      </c>
      <c r="E91" s="74">
        <v>0.75</v>
      </c>
      <c r="F91" s="229" t="s">
        <v>1656</v>
      </c>
    </row>
    <row r="92">
      <c r="A92" s="37" t="s">
        <v>562</v>
      </c>
      <c r="B92" s="37"/>
      <c r="C92" s="37" t="s">
        <v>5595</v>
      </c>
      <c r="D92" s="74">
        <v>0.75</v>
      </c>
      <c r="E92" s="74">
        <v>0.75</v>
      </c>
      <c r="F92" s="229" t="s">
        <v>1656</v>
      </c>
    </row>
    <row r="93">
      <c r="A93" s="37" t="s">
        <v>563</v>
      </c>
      <c r="B93" s="37"/>
      <c r="C93" s="37" t="s">
        <v>5595</v>
      </c>
      <c r="D93" s="74">
        <v>0.75</v>
      </c>
      <c r="E93" s="74">
        <v>0.75</v>
      </c>
      <c r="F93" s="229" t="s">
        <v>1656</v>
      </c>
    </row>
    <row r="94">
      <c r="A94" s="37" t="s">
        <v>564</v>
      </c>
      <c r="B94" s="37"/>
      <c r="C94" s="37" t="s">
        <v>5595</v>
      </c>
      <c r="D94" s="74">
        <v>0.75</v>
      </c>
      <c r="E94" s="74">
        <v>0.75</v>
      </c>
      <c r="F94" s="229" t="s">
        <v>1656</v>
      </c>
    </row>
    <row r="95">
      <c r="A95" s="37" t="s">
        <v>565</v>
      </c>
      <c r="B95" s="37"/>
      <c r="C95" s="37" t="s">
        <v>5595</v>
      </c>
      <c r="D95" s="74">
        <v>0.75</v>
      </c>
      <c r="E95" s="74">
        <v>0.75</v>
      </c>
      <c r="F95" s="229" t="s">
        <v>1656</v>
      </c>
    </row>
    <row r="96">
      <c r="A96" s="112" t="s">
        <v>566</v>
      </c>
      <c r="B96" s="72"/>
      <c r="C96" s="37" t="s">
        <v>5595</v>
      </c>
      <c r="D96" s="74">
        <v>0.75</v>
      </c>
      <c r="E96" s="74">
        <v>0.75</v>
      </c>
      <c r="F96" s="229" t="s">
        <v>1656</v>
      </c>
    </row>
    <row r="97">
      <c r="A97" s="112" t="s">
        <v>567</v>
      </c>
      <c r="B97" s="202"/>
      <c r="C97" s="37" t="s">
        <v>5595</v>
      </c>
      <c r="D97" s="74">
        <v>0.75</v>
      </c>
      <c r="E97" s="74">
        <v>0.75</v>
      </c>
      <c r="F97" s="229" t="s">
        <v>1656</v>
      </c>
    </row>
    <row r="98">
      <c r="A98" s="112" t="s">
        <v>568</v>
      </c>
      <c r="B98" s="72"/>
      <c r="C98" s="37" t="s">
        <v>5595</v>
      </c>
      <c r="D98" s="74">
        <v>0.75</v>
      </c>
      <c r="E98" s="74">
        <v>0.75</v>
      </c>
      <c r="F98" s="229" t="s">
        <v>1656</v>
      </c>
    </row>
    <row r="99">
      <c r="A99" s="112" t="s">
        <v>569</v>
      </c>
      <c r="B99" s="202"/>
      <c r="C99" s="37" t="s">
        <v>5595</v>
      </c>
      <c r="D99" s="74">
        <v>0.75</v>
      </c>
      <c r="E99" s="74">
        <v>0.75</v>
      </c>
      <c r="F99" s="229" t="s">
        <v>1656</v>
      </c>
    </row>
    <row r="100">
      <c r="A100" s="112" t="s">
        <v>570</v>
      </c>
      <c r="B100" s="72"/>
      <c r="C100" s="37" t="s">
        <v>5595</v>
      </c>
      <c r="D100" s="74">
        <v>0.75</v>
      </c>
      <c r="E100" s="74">
        <v>0.75</v>
      </c>
      <c r="F100" s="229" t="s">
        <v>1656</v>
      </c>
    </row>
    <row r="101">
      <c r="A101" s="112" t="s">
        <v>571</v>
      </c>
      <c r="B101" s="72"/>
      <c r="C101" s="37" t="s">
        <v>5595</v>
      </c>
      <c r="D101" s="74">
        <v>0.75</v>
      </c>
      <c r="E101" s="74">
        <v>0.75</v>
      </c>
      <c r="F101" s="229" t="s">
        <v>1656</v>
      </c>
    </row>
    <row r="102">
      <c r="A102" s="112" t="s">
        <v>572</v>
      </c>
      <c r="B102" s="202"/>
      <c r="C102" s="37" t="s">
        <v>5595</v>
      </c>
      <c r="D102" s="74">
        <v>0.75</v>
      </c>
      <c r="E102" s="74">
        <v>0.75</v>
      </c>
      <c r="F102" s="229" t="s">
        <v>1656</v>
      </c>
    </row>
    <row r="103">
      <c r="A103" s="112" t="s">
        <v>573</v>
      </c>
      <c r="B103" s="202"/>
      <c r="C103" s="37" t="s">
        <v>5595</v>
      </c>
      <c r="D103" s="74">
        <v>0.75</v>
      </c>
      <c r="E103" s="74">
        <v>0.75</v>
      </c>
      <c r="F103" s="229" t="s">
        <v>1656</v>
      </c>
    </row>
    <row r="104">
      <c r="A104" s="112" t="s">
        <v>574</v>
      </c>
      <c r="B104" s="202"/>
      <c r="C104" s="37" t="s">
        <v>5595</v>
      </c>
      <c r="D104" s="74">
        <v>0.75</v>
      </c>
      <c r="E104" s="74">
        <v>0.75</v>
      </c>
      <c r="F104" s="229" t="s">
        <v>1656</v>
      </c>
    </row>
    <row r="105">
      <c r="A105" s="259" t="s">
        <v>575</v>
      </c>
      <c r="B105" s="202"/>
      <c r="C105" s="37" t="s">
        <v>5595</v>
      </c>
      <c r="D105" s="74">
        <v>0.75</v>
      </c>
      <c r="E105" s="74">
        <v>0.75</v>
      </c>
      <c r="F105" s="229" t="s">
        <v>1656</v>
      </c>
    </row>
    <row r="106">
      <c r="A106" s="259" t="s">
        <v>576</v>
      </c>
      <c r="B106" s="202"/>
      <c r="C106" s="37" t="s">
        <v>5595</v>
      </c>
      <c r="D106" s="74">
        <v>0.75</v>
      </c>
      <c r="E106" s="74">
        <v>0.75</v>
      </c>
      <c r="F106" s="229" t="s">
        <v>1656</v>
      </c>
    </row>
    <row r="107">
      <c r="A107" s="11" t="s">
        <v>577</v>
      </c>
      <c r="C107" s="37" t="s">
        <v>5595</v>
      </c>
      <c r="D107" s="74">
        <v>0.75</v>
      </c>
      <c r="E107" s="74">
        <v>0.75</v>
      </c>
      <c r="F107" s="229" t="s">
        <v>1656</v>
      </c>
    </row>
    <row r="108">
      <c r="A108" s="11" t="s">
        <v>578</v>
      </c>
      <c r="C108" s="37" t="s">
        <v>5595</v>
      </c>
      <c r="D108" s="74">
        <v>0.75</v>
      </c>
      <c r="E108" s="74">
        <v>0.75</v>
      </c>
      <c r="F108" s="229" t="s">
        <v>1656</v>
      </c>
    </row>
    <row r="109">
      <c r="A109" s="11" t="s">
        <v>579</v>
      </c>
      <c r="C109" s="37" t="s">
        <v>5595</v>
      </c>
      <c r="D109" s="74">
        <v>0.75</v>
      </c>
      <c r="E109" s="74">
        <v>0.75</v>
      </c>
      <c r="F109" s="229" t="s">
        <v>1656</v>
      </c>
    </row>
    <row r="110">
      <c r="A110" s="11" t="s">
        <v>580</v>
      </c>
      <c r="C110" s="37" t="s">
        <v>5595</v>
      </c>
      <c r="D110" s="74">
        <v>0.75</v>
      </c>
      <c r="E110" s="74">
        <v>0.75</v>
      </c>
      <c r="F110" s="229" t="s">
        <v>1656</v>
      </c>
    </row>
    <row r="111">
      <c r="A111" s="11" t="s">
        <v>581</v>
      </c>
      <c r="C111" s="37" t="s">
        <v>5595</v>
      </c>
      <c r="D111" s="74">
        <v>0.75</v>
      </c>
      <c r="E111" s="74">
        <v>0.75</v>
      </c>
      <c r="F111" s="229" t="s">
        <v>1656</v>
      </c>
    </row>
    <row r="112">
      <c r="A112" s="11" t="s">
        <v>582</v>
      </c>
      <c r="C112" s="37" t="s">
        <v>5595</v>
      </c>
      <c r="D112" s="74">
        <v>0.75</v>
      </c>
      <c r="E112" s="74">
        <v>0.75</v>
      </c>
      <c r="F112" s="229" t="s">
        <v>1656</v>
      </c>
    </row>
    <row r="113">
      <c r="A113" s="11" t="s">
        <v>583</v>
      </c>
      <c r="C113" s="37" t="s">
        <v>5595</v>
      </c>
      <c r="D113" s="74">
        <v>0.75</v>
      </c>
      <c r="E113" s="74">
        <v>0.75</v>
      </c>
      <c r="F113" s="229" t="s">
        <v>1656</v>
      </c>
    </row>
    <row r="114">
      <c r="A114" s="11" t="s">
        <v>584</v>
      </c>
      <c r="C114" s="37" t="s">
        <v>5595</v>
      </c>
      <c r="D114" s="74">
        <v>0.75</v>
      </c>
      <c r="E114" s="74">
        <v>0.75</v>
      </c>
      <c r="F114" s="229" t="s">
        <v>1656</v>
      </c>
    </row>
    <row r="115">
      <c r="A115" s="11" t="s">
        <v>585</v>
      </c>
      <c r="C115" s="37" t="s">
        <v>5595</v>
      </c>
      <c r="D115" s="74">
        <v>0.75</v>
      </c>
      <c r="E115" s="74">
        <v>0.75</v>
      </c>
      <c r="F115" s="229" t="s">
        <v>1656</v>
      </c>
    </row>
    <row r="116">
      <c r="A116" s="11" t="s">
        <v>586</v>
      </c>
      <c r="C116" s="37" t="s">
        <v>5595</v>
      </c>
      <c r="D116" s="74">
        <v>0.75</v>
      </c>
      <c r="E116" s="74">
        <v>0.75</v>
      </c>
      <c r="F116" s="229" t="s">
        <v>1656</v>
      </c>
    </row>
    <row r="117">
      <c r="A117" s="11" t="s">
        <v>587</v>
      </c>
      <c r="C117" s="37" t="s">
        <v>5595</v>
      </c>
      <c r="D117" s="74">
        <v>0.75</v>
      </c>
      <c r="E117" s="74">
        <v>0.75</v>
      </c>
      <c r="F117" s="229" t="s">
        <v>1656</v>
      </c>
    </row>
    <row r="118">
      <c r="A118" s="11" t="s">
        <v>588</v>
      </c>
      <c r="C118" s="37" t="s">
        <v>5595</v>
      </c>
      <c r="D118" s="74">
        <v>0.75</v>
      </c>
      <c r="E118" s="74">
        <v>0.75</v>
      </c>
      <c r="F118" s="229" t="s">
        <v>1656</v>
      </c>
    </row>
    <row r="119">
      <c r="A119" s="11" t="s">
        <v>589</v>
      </c>
      <c r="B119" s="11">
        <v>3607.0</v>
      </c>
      <c r="C119" s="37" t="s">
        <v>5595</v>
      </c>
      <c r="D119" s="74">
        <v>0.75</v>
      </c>
      <c r="E119" s="74">
        <v>0.75</v>
      </c>
      <c r="F119" s="229" t="s">
        <v>1656</v>
      </c>
    </row>
    <row r="120">
      <c r="A120" s="11" t="s">
        <v>590</v>
      </c>
      <c r="B120" s="11">
        <v>3607.0</v>
      </c>
      <c r="C120" s="37" t="s">
        <v>5595</v>
      </c>
      <c r="D120" s="74">
        <v>0.75</v>
      </c>
      <c r="E120" s="74">
        <v>0.75</v>
      </c>
      <c r="F120" s="229" t="s">
        <v>1656</v>
      </c>
    </row>
    <row r="121">
      <c r="A121" s="11" t="s">
        <v>591</v>
      </c>
      <c r="B121" s="11">
        <v>3607.0</v>
      </c>
      <c r="C121" s="37" t="s">
        <v>5595</v>
      </c>
      <c r="D121" s="74">
        <v>0.75</v>
      </c>
      <c r="E121" s="74">
        <v>0.75</v>
      </c>
      <c r="F121" s="229" t="s">
        <v>1656</v>
      </c>
    </row>
    <row r="122">
      <c r="A122" s="11" t="s">
        <v>592</v>
      </c>
      <c r="B122" s="11">
        <v>3607.0</v>
      </c>
      <c r="C122" s="37" t="s">
        <v>5595</v>
      </c>
      <c r="D122" s="74">
        <v>0.75</v>
      </c>
      <c r="E122" s="74">
        <v>0.75</v>
      </c>
      <c r="F122" s="229" t="s">
        <v>1656</v>
      </c>
    </row>
    <row r="123">
      <c r="A123" s="11" t="s">
        <v>593</v>
      </c>
      <c r="B123" s="11">
        <v>3607.0</v>
      </c>
      <c r="C123" s="37" t="s">
        <v>5595</v>
      </c>
      <c r="D123" s="74">
        <v>0.75</v>
      </c>
      <c r="E123" s="74">
        <v>0.75</v>
      </c>
      <c r="F123" s="229" t="s">
        <v>1656</v>
      </c>
    </row>
    <row r="124">
      <c r="A124" s="11" t="s">
        <v>594</v>
      </c>
      <c r="B124" s="11">
        <v>3607.0</v>
      </c>
      <c r="C124" s="37" t="s">
        <v>5595</v>
      </c>
      <c r="D124" s="74">
        <v>0.75</v>
      </c>
      <c r="E124" s="74">
        <v>0.75</v>
      </c>
      <c r="F124" s="229" t="s">
        <v>1656</v>
      </c>
    </row>
  </sheetData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21.75"/>
  </cols>
  <sheetData>
    <row r="1">
      <c r="A1" s="116" t="s">
        <v>44</v>
      </c>
      <c r="B1" s="115" t="s">
        <v>1</v>
      </c>
      <c r="C1" s="11" t="s">
        <v>294</v>
      </c>
      <c r="D1" s="11" t="s">
        <v>248</v>
      </c>
      <c r="E1" s="11" t="s">
        <v>249</v>
      </c>
      <c r="F1" s="11" t="s">
        <v>250</v>
      </c>
    </row>
    <row r="2">
      <c r="A2" s="11" t="s">
        <v>5596</v>
      </c>
      <c r="B2" s="11">
        <v>7040.0</v>
      </c>
      <c r="C2" s="11" t="s">
        <v>5597</v>
      </c>
      <c r="D2" s="74">
        <v>0.65</v>
      </c>
      <c r="E2" s="74">
        <v>0.65</v>
      </c>
      <c r="F2" s="229" t="s">
        <v>1656</v>
      </c>
    </row>
    <row r="3">
      <c r="A3" s="11" t="s">
        <v>5598</v>
      </c>
      <c r="B3" s="11">
        <v>6675.0</v>
      </c>
      <c r="C3" s="11" t="s">
        <v>5597</v>
      </c>
      <c r="D3" s="74">
        <v>0.65</v>
      </c>
      <c r="E3" s="74">
        <v>0.65</v>
      </c>
      <c r="F3" s="229" t="s">
        <v>1656</v>
      </c>
    </row>
    <row r="4">
      <c r="A4" s="11" t="s">
        <v>5599</v>
      </c>
      <c r="B4" s="11">
        <v>2205.0</v>
      </c>
      <c r="C4" s="11" t="s">
        <v>5597</v>
      </c>
      <c r="D4" s="74">
        <v>0.65</v>
      </c>
      <c r="E4" s="74">
        <v>0.65</v>
      </c>
      <c r="F4" s="229" t="s">
        <v>1656</v>
      </c>
    </row>
    <row r="5">
      <c r="A5" s="11" t="s">
        <v>5600</v>
      </c>
      <c r="B5" s="11">
        <v>10856.0</v>
      </c>
      <c r="C5" s="11" t="s">
        <v>5597</v>
      </c>
      <c r="D5" s="74">
        <v>0.65</v>
      </c>
      <c r="E5" s="74">
        <v>0.65</v>
      </c>
      <c r="F5" s="229" t="s">
        <v>1656</v>
      </c>
    </row>
    <row r="6">
      <c r="A6" s="192" t="s">
        <v>5601</v>
      </c>
      <c r="B6" s="223"/>
      <c r="C6" s="11" t="s">
        <v>5597</v>
      </c>
      <c r="D6" s="74">
        <v>0.65</v>
      </c>
      <c r="E6" s="74">
        <v>0.65</v>
      </c>
      <c r="F6" s="229" t="s">
        <v>1656</v>
      </c>
    </row>
    <row r="7">
      <c r="A7" s="11" t="s">
        <v>5602</v>
      </c>
      <c r="B7" s="11">
        <v>14571.0</v>
      </c>
      <c r="C7" s="11" t="s">
        <v>5597</v>
      </c>
      <c r="D7" s="74">
        <v>0.65</v>
      </c>
      <c r="E7" s="74">
        <v>0.65</v>
      </c>
      <c r="F7" s="229" t="s">
        <v>1656</v>
      </c>
    </row>
    <row r="8">
      <c r="A8" s="11" t="s">
        <v>5603</v>
      </c>
      <c r="B8" s="11">
        <v>14571.0</v>
      </c>
      <c r="C8" s="11" t="s">
        <v>5597</v>
      </c>
      <c r="D8" s="74">
        <v>0.65</v>
      </c>
      <c r="E8" s="74">
        <v>0.65</v>
      </c>
      <c r="F8" s="229" t="s">
        <v>1656</v>
      </c>
    </row>
    <row r="9">
      <c r="A9" s="11" t="s">
        <v>5604</v>
      </c>
      <c r="B9" s="11">
        <v>14482.0</v>
      </c>
      <c r="C9" s="11" t="s">
        <v>5597</v>
      </c>
      <c r="D9" s="74">
        <v>0.65</v>
      </c>
      <c r="E9" s="74">
        <v>0.65</v>
      </c>
      <c r="F9" s="229" t="s">
        <v>1656</v>
      </c>
    </row>
    <row r="10">
      <c r="A10" s="11" t="s">
        <v>5605</v>
      </c>
      <c r="B10" s="11">
        <v>6947.0</v>
      </c>
      <c r="C10" s="11" t="s">
        <v>5597</v>
      </c>
      <c r="D10" s="74">
        <v>0.65</v>
      </c>
      <c r="E10" s="74">
        <v>0.65</v>
      </c>
      <c r="F10" s="229" t="s">
        <v>1656</v>
      </c>
    </row>
    <row r="11">
      <c r="A11" s="11" t="s">
        <v>5606</v>
      </c>
      <c r="B11" s="11">
        <v>3381.0</v>
      </c>
      <c r="C11" s="11" t="s">
        <v>5597</v>
      </c>
      <c r="D11" s="74">
        <v>0.65</v>
      </c>
      <c r="E11" s="74">
        <v>0.65</v>
      </c>
      <c r="F11" s="229" t="s">
        <v>1656</v>
      </c>
    </row>
    <row r="12">
      <c r="A12" s="11" t="s">
        <v>5607</v>
      </c>
      <c r="B12" s="11">
        <v>12346.0</v>
      </c>
      <c r="C12" s="11" t="s">
        <v>5597</v>
      </c>
      <c r="D12" s="74">
        <v>0.9</v>
      </c>
      <c r="E12" s="74">
        <v>0.9</v>
      </c>
      <c r="F12" s="229" t="s">
        <v>1656</v>
      </c>
    </row>
    <row r="13">
      <c r="A13" s="11" t="s">
        <v>5608</v>
      </c>
      <c r="B13" s="11">
        <v>14298.0</v>
      </c>
      <c r="C13" s="11" t="s">
        <v>5597</v>
      </c>
      <c r="D13" s="74">
        <v>0.8</v>
      </c>
      <c r="E13" s="74">
        <v>0.8</v>
      </c>
      <c r="F13" s="229" t="s">
        <v>1656</v>
      </c>
    </row>
    <row r="14">
      <c r="A14" s="11" t="s">
        <v>5609</v>
      </c>
      <c r="B14" s="11">
        <v>5125.0</v>
      </c>
      <c r="C14" s="11" t="s">
        <v>5597</v>
      </c>
      <c r="D14" s="74">
        <v>0.65</v>
      </c>
      <c r="E14" s="74">
        <v>0.65</v>
      </c>
      <c r="F14" s="229" t="s">
        <v>1656</v>
      </c>
    </row>
    <row r="15">
      <c r="A15" s="7" t="s">
        <v>5610</v>
      </c>
      <c r="B15" s="11">
        <v>13864.0</v>
      </c>
      <c r="C15" s="11" t="s">
        <v>5597</v>
      </c>
      <c r="D15" s="74">
        <v>0.65</v>
      </c>
      <c r="E15" s="74">
        <v>0.65</v>
      </c>
      <c r="F15" s="229" t="s">
        <v>1656</v>
      </c>
    </row>
    <row r="16">
      <c r="A16" s="7" t="s">
        <v>5611</v>
      </c>
      <c r="B16" s="11">
        <v>6729.0</v>
      </c>
      <c r="C16" s="11" t="s">
        <v>5597</v>
      </c>
      <c r="D16" s="74">
        <v>0.9</v>
      </c>
      <c r="E16" s="74">
        <v>0.9</v>
      </c>
      <c r="F16" s="229" t="s">
        <v>1656</v>
      </c>
    </row>
    <row r="17">
      <c r="A17" s="7" t="s">
        <v>5612</v>
      </c>
      <c r="B17" s="11">
        <v>7010.0</v>
      </c>
      <c r="C17" s="11" t="s">
        <v>5597</v>
      </c>
      <c r="D17" s="74">
        <v>0.65</v>
      </c>
      <c r="E17" s="74">
        <v>0.65</v>
      </c>
      <c r="F17" s="229" t="s">
        <v>1656</v>
      </c>
    </row>
    <row r="18">
      <c r="A18" s="7" t="s">
        <v>5613</v>
      </c>
      <c r="B18" s="11">
        <v>14076.0</v>
      </c>
      <c r="C18" s="11" t="s">
        <v>5597</v>
      </c>
      <c r="D18" s="74">
        <v>0.9</v>
      </c>
      <c r="E18" s="74">
        <v>0.9</v>
      </c>
      <c r="F18" s="229" t="s">
        <v>1656</v>
      </c>
    </row>
    <row r="19">
      <c r="A19" s="7" t="s">
        <v>5614</v>
      </c>
      <c r="B19" s="11">
        <v>14580.0</v>
      </c>
      <c r="C19" s="11" t="s">
        <v>5597</v>
      </c>
      <c r="D19" s="74">
        <v>0.65</v>
      </c>
      <c r="E19" s="74">
        <v>0.65</v>
      </c>
      <c r="F19" s="229" t="s">
        <v>1656</v>
      </c>
    </row>
    <row r="20">
      <c r="A20" s="7" t="s">
        <v>5615</v>
      </c>
      <c r="B20" s="11">
        <v>6729.0</v>
      </c>
      <c r="C20" s="11" t="s">
        <v>5597</v>
      </c>
      <c r="D20" s="74">
        <v>0.9</v>
      </c>
      <c r="E20" s="74">
        <v>0.9</v>
      </c>
      <c r="F20" s="229" t="s">
        <v>1656</v>
      </c>
    </row>
    <row r="21">
      <c r="A21" s="7" t="s">
        <v>5616</v>
      </c>
      <c r="B21" s="11">
        <v>5421.0</v>
      </c>
      <c r="C21" s="11" t="s">
        <v>5597</v>
      </c>
      <c r="D21" s="74">
        <v>0.65</v>
      </c>
      <c r="E21" s="74">
        <v>0.65</v>
      </c>
      <c r="F21" s="229" t="s">
        <v>1656</v>
      </c>
    </row>
    <row r="22">
      <c r="A22" s="7" t="s">
        <v>5617</v>
      </c>
      <c r="B22" s="66">
        <v>6658.0</v>
      </c>
      <c r="C22" s="11" t="s">
        <v>5597</v>
      </c>
      <c r="D22" s="74">
        <v>0.65</v>
      </c>
      <c r="E22" s="74">
        <v>0.65</v>
      </c>
      <c r="F22" s="229" t="s">
        <v>1656</v>
      </c>
    </row>
    <row r="23">
      <c r="A23" s="7" t="s">
        <v>5618</v>
      </c>
      <c r="B23" s="7"/>
      <c r="C23" s="11" t="s">
        <v>5597</v>
      </c>
      <c r="D23" s="74">
        <v>0.65</v>
      </c>
      <c r="E23" s="74">
        <v>0.65</v>
      </c>
      <c r="F23" s="229" t="s">
        <v>1656</v>
      </c>
      <c r="I23" s="11" t="s">
        <v>5619</v>
      </c>
    </row>
    <row r="24">
      <c r="A24" s="7" t="s">
        <v>5620</v>
      </c>
      <c r="B24" s="66">
        <v>14465.0</v>
      </c>
      <c r="C24" s="11" t="s">
        <v>5597</v>
      </c>
      <c r="D24" s="74">
        <v>0.9</v>
      </c>
      <c r="E24" s="74">
        <v>0.9</v>
      </c>
      <c r="F24" s="229" t="s">
        <v>1656</v>
      </c>
      <c r="I24" s="11" t="s">
        <v>5619</v>
      </c>
    </row>
    <row r="25">
      <c r="A25" s="7" t="s">
        <v>5621</v>
      </c>
      <c r="B25" s="7"/>
      <c r="C25" s="11" t="s">
        <v>5597</v>
      </c>
      <c r="D25" s="74">
        <v>0.65</v>
      </c>
      <c r="E25" s="74">
        <v>0.65</v>
      </c>
      <c r="F25" s="229" t="s">
        <v>1656</v>
      </c>
      <c r="I25" s="11" t="s">
        <v>5619</v>
      </c>
    </row>
    <row r="26">
      <c r="A26" s="7" t="s">
        <v>5622</v>
      </c>
      <c r="B26" s="195">
        <v>14746.0</v>
      </c>
      <c r="C26" s="11" t="s">
        <v>5597</v>
      </c>
      <c r="D26" s="74">
        <v>0.65</v>
      </c>
      <c r="E26" s="74">
        <v>0.65</v>
      </c>
      <c r="F26" s="229" t="s">
        <v>1656</v>
      </c>
      <c r="I26" s="11" t="s">
        <v>5619</v>
      </c>
    </row>
    <row r="27">
      <c r="A27" s="7" t="s">
        <v>5623</v>
      </c>
      <c r="B27" s="7"/>
      <c r="C27" s="11" t="s">
        <v>5597</v>
      </c>
      <c r="D27" s="74">
        <v>0.65</v>
      </c>
      <c r="E27" s="74">
        <v>0.65</v>
      </c>
      <c r="F27" s="229" t="s">
        <v>1656</v>
      </c>
      <c r="I27" s="11" t="s">
        <v>5619</v>
      </c>
    </row>
    <row r="28">
      <c r="A28" s="7" t="s">
        <v>5624</v>
      </c>
      <c r="B28" s="66">
        <v>5458.0</v>
      </c>
      <c r="C28" s="11" t="s">
        <v>5597</v>
      </c>
      <c r="D28" s="74">
        <v>0.65</v>
      </c>
      <c r="E28" s="74">
        <v>0.65</v>
      </c>
      <c r="F28" s="229" t="s">
        <v>1656</v>
      </c>
      <c r="I28" s="11" t="s">
        <v>5619</v>
      </c>
    </row>
    <row r="29">
      <c r="A29" s="7" t="s">
        <v>5625</v>
      </c>
      <c r="B29" s="66">
        <v>6706.0</v>
      </c>
      <c r="C29" s="11" t="s">
        <v>5597</v>
      </c>
      <c r="D29" s="74">
        <v>0.65</v>
      </c>
      <c r="E29" s="74">
        <v>0.65</v>
      </c>
      <c r="F29" s="229" t="s">
        <v>1656</v>
      </c>
      <c r="I29" s="11" t="s">
        <v>5619</v>
      </c>
    </row>
    <row r="30">
      <c r="A30" s="7" t="s">
        <v>5626</v>
      </c>
      <c r="B30" s="195">
        <v>3307.0</v>
      </c>
      <c r="C30" s="11" t="s">
        <v>5597</v>
      </c>
      <c r="D30" s="74">
        <v>0.65</v>
      </c>
      <c r="E30" s="74">
        <v>0.65</v>
      </c>
      <c r="F30" s="229" t="s">
        <v>1656</v>
      </c>
      <c r="I30" s="11" t="s">
        <v>5619</v>
      </c>
    </row>
    <row r="31">
      <c r="A31" s="7" t="s">
        <v>5627</v>
      </c>
      <c r="B31" s="195">
        <v>6811.0</v>
      </c>
      <c r="C31" s="11" t="s">
        <v>5597</v>
      </c>
      <c r="D31" s="74">
        <v>0.65</v>
      </c>
      <c r="E31" s="74">
        <v>0.65</v>
      </c>
      <c r="F31" s="229" t="s">
        <v>1656</v>
      </c>
      <c r="I31" s="11" t="s">
        <v>5619</v>
      </c>
    </row>
    <row r="32">
      <c r="A32" s="7" t="s">
        <v>5628</v>
      </c>
      <c r="B32" s="66">
        <v>6706.0</v>
      </c>
      <c r="C32" s="11" t="s">
        <v>5597</v>
      </c>
      <c r="D32" s="74">
        <v>0.65</v>
      </c>
      <c r="E32" s="74">
        <v>0.65</v>
      </c>
      <c r="F32" s="229" t="s">
        <v>1656</v>
      </c>
      <c r="I32" s="11" t="s">
        <v>5619</v>
      </c>
    </row>
    <row r="33">
      <c r="A33" s="7" t="s">
        <v>5629</v>
      </c>
      <c r="B33" s="7"/>
      <c r="C33" s="11" t="s">
        <v>5597</v>
      </c>
      <c r="D33" s="74">
        <v>0.65</v>
      </c>
      <c r="E33" s="74">
        <v>0.65</v>
      </c>
      <c r="F33" s="229" t="s">
        <v>1656</v>
      </c>
      <c r="I33" s="11" t="s">
        <v>5619</v>
      </c>
    </row>
    <row r="34">
      <c r="A34" s="7" t="s">
        <v>5630</v>
      </c>
      <c r="B34" s="66">
        <v>6706.0</v>
      </c>
      <c r="C34" s="11" t="s">
        <v>5597</v>
      </c>
      <c r="D34" s="74">
        <v>0.65</v>
      </c>
      <c r="E34" s="74">
        <v>0.65</v>
      </c>
      <c r="F34" s="229" t="s">
        <v>1656</v>
      </c>
      <c r="I34" s="11" t="s">
        <v>5619</v>
      </c>
    </row>
    <row r="35">
      <c r="A35" s="7" t="s">
        <v>5631</v>
      </c>
      <c r="B35" s="7"/>
      <c r="C35" s="11" t="s">
        <v>5597</v>
      </c>
      <c r="D35" s="74">
        <v>0.65</v>
      </c>
      <c r="E35" s="74">
        <v>0.65</v>
      </c>
      <c r="F35" s="229" t="s">
        <v>1656</v>
      </c>
      <c r="I35" s="11" t="s">
        <v>5619</v>
      </c>
    </row>
    <row r="36">
      <c r="A36" s="7" t="s">
        <v>5632</v>
      </c>
      <c r="B36" s="7"/>
      <c r="C36" s="11" t="s">
        <v>5597</v>
      </c>
      <c r="D36" s="74">
        <v>0.65</v>
      </c>
      <c r="E36" s="74">
        <v>0.65</v>
      </c>
      <c r="F36" s="229" t="s">
        <v>1656</v>
      </c>
      <c r="I36" s="11" t="s">
        <v>5619</v>
      </c>
    </row>
    <row r="37">
      <c r="A37" s="7" t="s">
        <v>5633</v>
      </c>
      <c r="B37" s="7"/>
      <c r="C37" s="11" t="s">
        <v>5597</v>
      </c>
      <c r="D37" s="74">
        <v>0.65</v>
      </c>
      <c r="E37" s="74">
        <v>0.65</v>
      </c>
      <c r="F37" s="229" t="s">
        <v>1656</v>
      </c>
      <c r="I37" s="11" t="s">
        <v>5619</v>
      </c>
    </row>
    <row r="38">
      <c r="A38" s="7" t="s">
        <v>5634</v>
      </c>
      <c r="B38" s="195">
        <v>5365.0</v>
      </c>
      <c r="C38" s="11" t="s">
        <v>5597</v>
      </c>
      <c r="D38" s="74">
        <v>0.65</v>
      </c>
      <c r="E38" s="74">
        <v>0.65</v>
      </c>
      <c r="F38" s="229" t="s">
        <v>1656</v>
      </c>
      <c r="I38" s="11" t="s">
        <v>5619</v>
      </c>
    </row>
    <row r="39">
      <c r="A39" s="7" t="s">
        <v>5635</v>
      </c>
      <c r="B39" s="7"/>
      <c r="C39" s="11" t="s">
        <v>5597</v>
      </c>
      <c r="D39" s="74">
        <v>0.65</v>
      </c>
      <c r="E39" s="74">
        <v>0.65</v>
      </c>
      <c r="F39" s="229" t="s">
        <v>1656</v>
      </c>
      <c r="I39" s="11" t="s">
        <v>5619</v>
      </c>
    </row>
    <row r="40">
      <c r="A40" s="7" t="s">
        <v>5636</v>
      </c>
      <c r="B40" s="66">
        <v>6706.0</v>
      </c>
      <c r="C40" s="11" t="s">
        <v>5597</v>
      </c>
      <c r="D40" s="74">
        <v>0.65</v>
      </c>
      <c r="E40" s="74">
        <v>0.65</v>
      </c>
      <c r="F40" s="229" t="s">
        <v>1656</v>
      </c>
      <c r="I40" s="11" t="s">
        <v>5619</v>
      </c>
    </row>
    <row r="41">
      <c r="A41" s="11" t="s">
        <v>5637</v>
      </c>
      <c r="C41" s="11" t="s">
        <v>5597</v>
      </c>
      <c r="D41" s="74">
        <v>0.65</v>
      </c>
      <c r="E41" s="74">
        <v>0.65</v>
      </c>
      <c r="F41" s="229" t="s">
        <v>1656</v>
      </c>
    </row>
    <row r="42">
      <c r="A42" s="11" t="s">
        <v>5638</v>
      </c>
      <c r="B42" s="11">
        <v>14659.0</v>
      </c>
      <c r="C42" s="11" t="s">
        <v>5597</v>
      </c>
      <c r="D42" s="74">
        <v>0.65</v>
      </c>
      <c r="E42" s="74">
        <v>0.65</v>
      </c>
      <c r="F42" s="229" t="s">
        <v>1656</v>
      </c>
    </row>
    <row r="43">
      <c r="A43" s="11" t="s">
        <v>5639</v>
      </c>
      <c r="C43" s="11" t="s">
        <v>5597</v>
      </c>
      <c r="D43" s="74">
        <v>0.65</v>
      </c>
      <c r="E43" s="74">
        <v>0.65</v>
      </c>
      <c r="F43" s="229" t="s">
        <v>1656</v>
      </c>
    </row>
    <row r="44">
      <c r="A44" s="11" t="s">
        <v>5640</v>
      </c>
      <c r="C44" s="11" t="s">
        <v>5597</v>
      </c>
      <c r="D44" s="74">
        <v>0.65</v>
      </c>
      <c r="E44" s="74">
        <v>0.65</v>
      </c>
      <c r="F44" s="229" t="s">
        <v>1656</v>
      </c>
    </row>
    <row r="45">
      <c r="A45" s="11" t="s">
        <v>5641</v>
      </c>
      <c r="B45" s="18">
        <v>6143.0</v>
      </c>
      <c r="C45" s="11" t="s">
        <v>5597</v>
      </c>
      <c r="D45" s="74">
        <v>0.65</v>
      </c>
      <c r="E45" s="74">
        <v>0.65</v>
      </c>
      <c r="F45" s="229" t="s">
        <v>1656</v>
      </c>
    </row>
    <row r="46">
      <c r="A46" s="11" t="s">
        <v>5642</v>
      </c>
      <c r="B46" s="18">
        <v>6143.0</v>
      </c>
      <c r="C46" s="11" t="s">
        <v>5597</v>
      </c>
      <c r="D46" s="74">
        <v>0.65</v>
      </c>
      <c r="E46" s="74">
        <v>0.65</v>
      </c>
      <c r="F46" s="229" t="s">
        <v>1656</v>
      </c>
    </row>
    <row r="47">
      <c r="A47" s="11" t="s">
        <v>5643</v>
      </c>
      <c r="C47" s="11" t="s">
        <v>5597</v>
      </c>
      <c r="D47" s="74">
        <v>0.65</v>
      </c>
      <c r="E47" s="74">
        <v>0.65</v>
      </c>
      <c r="F47" s="229" t="s">
        <v>1656</v>
      </c>
    </row>
    <row r="48">
      <c r="A48" s="11" t="s">
        <v>5644</v>
      </c>
      <c r="B48" s="11">
        <v>6772.0</v>
      </c>
      <c r="C48" s="11" t="s">
        <v>5597</v>
      </c>
      <c r="D48" s="74">
        <v>0.65</v>
      </c>
      <c r="E48" s="74">
        <v>0.65</v>
      </c>
      <c r="F48" s="229" t="s">
        <v>1656</v>
      </c>
    </row>
    <row r="49">
      <c r="A49" s="11" t="s">
        <v>5645</v>
      </c>
      <c r="C49" s="11" t="s">
        <v>5597</v>
      </c>
      <c r="D49" s="74">
        <v>0.65</v>
      </c>
      <c r="E49" s="74">
        <v>0.65</v>
      </c>
      <c r="F49" s="229" t="s">
        <v>1656</v>
      </c>
    </row>
    <row r="50">
      <c r="A50" s="11" t="s">
        <v>5646</v>
      </c>
      <c r="B50" s="11">
        <v>14575.0</v>
      </c>
      <c r="C50" s="11" t="s">
        <v>5597</v>
      </c>
      <c r="D50" s="74">
        <v>0.85</v>
      </c>
      <c r="E50" s="74">
        <v>0.85</v>
      </c>
      <c r="F50" s="229" t="s">
        <v>1656</v>
      </c>
    </row>
    <row r="51">
      <c r="A51" s="11" t="s">
        <v>5647</v>
      </c>
      <c r="C51" s="11" t="s">
        <v>5597</v>
      </c>
      <c r="D51" s="74">
        <v>0.65</v>
      </c>
      <c r="E51" s="74">
        <v>0.65</v>
      </c>
      <c r="F51" s="229" t="s">
        <v>1656</v>
      </c>
    </row>
    <row r="52">
      <c r="A52" s="11" t="s">
        <v>5648</v>
      </c>
      <c r="C52" s="11" t="s">
        <v>5597</v>
      </c>
      <c r="D52" s="74">
        <v>0.65</v>
      </c>
      <c r="E52" s="74">
        <v>0.65</v>
      </c>
      <c r="F52" s="229" t="s">
        <v>1656</v>
      </c>
    </row>
    <row r="53">
      <c r="A53" s="11" t="s">
        <v>5649</v>
      </c>
      <c r="C53" s="11" t="s">
        <v>5597</v>
      </c>
      <c r="D53" s="74">
        <v>0.65</v>
      </c>
      <c r="E53" s="74">
        <v>0.65</v>
      </c>
      <c r="F53" s="229" t="s">
        <v>1656</v>
      </c>
    </row>
    <row r="54">
      <c r="A54" s="11" t="s">
        <v>5650</v>
      </c>
      <c r="B54" s="260">
        <v>13945.0</v>
      </c>
      <c r="C54" s="11" t="s">
        <v>5597</v>
      </c>
      <c r="D54" s="74">
        <v>0.65</v>
      </c>
      <c r="E54" s="74">
        <v>0.65</v>
      </c>
      <c r="F54" s="229" t="s">
        <v>1656</v>
      </c>
    </row>
    <row r="55">
      <c r="A55" s="11" t="s">
        <v>5651</v>
      </c>
      <c r="C55" s="11" t="s">
        <v>5597</v>
      </c>
      <c r="D55" s="74">
        <v>0.65</v>
      </c>
      <c r="E55" s="74">
        <v>0.65</v>
      </c>
      <c r="F55" s="229" t="s">
        <v>1656</v>
      </c>
    </row>
    <row r="56">
      <c r="A56" s="11" t="s">
        <v>5652</v>
      </c>
      <c r="C56" s="11" t="s">
        <v>5597</v>
      </c>
      <c r="D56" s="74">
        <v>0.65</v>
      </c>
      <c r="E56" s="74">
        <v>0.65</v>
      </c>
      <c r="F56" s="229" t="s">
        <v>1656</v>
      </c>
    </row>
    <row r="57">
      <c r="A57" s="11" t="s">
        <v>5653</v>
      </c>
      <c r="B57" s="11">
        <v>6706.0</v>
      </c>
      <c r="C57" s="11" t="s">
        <v>5597</v>
      </c>
      <c r="D57" s="74">
        <v>0.65</v>
      </c>
      <c r="E57" s="74">
        <v>0.65</v>
      </c>
      <c r="F57" s="229" t="s">
        <v>1656</v>
      </c>
    </row>
    <row r="58">
      <c r="A58" s="11" t="s">
        <v>5654</v>
      </c>
      <c r="C58" s="11" t="s">
        <v>5597</v>
      </c>
      <c r="D58" s="74">
        <v>0.65</v>
      </c>
      <c r="E58" s="74">
        <v>0.65</v>
      </c>
      <c r="F58" s="229" t="s">
        <v>1656</v>
      </c>
    </row>
    <row r="59">
      <c r="A59" s="11" t="s">
        <v>5655</v>
      </c>
      <c r="C59" s="11" t="s">
        <v>5597</v>
      </c>
      <c r="D59" s="74">
        <v>0.65</v>
      </c>
      <c r="E59" s="74">
        <v>0.65</v>
      </c>
      <c r="F59" s="229" t="s">
        <v>1656</v>
      </c>
    </row>
    <row r="60">
      <c r="A60" s="11" t="s">
        <v>5656</v>
      </c>
      <c r="B60" s="11">
        <v>189.0</v>
      </c>
      <c r="C60" s="11" t="s">
        <v>5597</v>
      </c>
      <c r="D60" s="74">
        <v>0.65</v>
      </c>
      <c r="E60" s="74">
        <v>0.65</v>
      </c>
      <c r="F60" s="229" t="s">
        <v>1656</v>
      </c>
    </row>
    <row r="61">
      <c r="A61" s="11" t="s">
        <v>5657</v>
      </c>
      <c r="B61" s="11">
        <v>189.0</v>
      </c>
      <c r="C61" s="11" t="s">
        <v>5597</v>
      </c>
      <c r="D61" s="74">
        <v>0.65</v>
      </c>
      <c r="E61" s="74">
        <v>0.65</v>
      </c>
      <c r="F61" s="229" t="s">
        <v>1656</v>
      </c>
    </row>
    <row r="62">
      <c r="A62" s="11" t="s">
        <v>5658</v>
      </c>
      <c r="C62" s="11" t="s">
        <v>5597</v>
      </c>
      <c r="D62" s="74">
        <v>0.65</v>
      </c>
      <c r="E62" s="74">
        <v>0.65</v>
      </c>
      <c r="F62" s="229" t="s">
        <v>1656</v>
      </c>
    </row>
    <row r="63">
      <c r="A63" s="11" t="s">
        <v>5659</v>
      </c>
      <c r="B63" s="11">
        <v>14193.0</v>
      </c>
      <c r="C63" s="11" t="s">
        <v>5597</v>
      </c>
      <c r="D63" s="74">
        <v>0.65</v>
      </c>
      <c r="E63" s="74">
        <v>0.65</v>
      </c>
      <c r="F63" s="229" t="s">
        <v>1656</v>
      </c>
    </row>
    <row r="64">
      <c r="A64" s="11" t="s">
        <v>5660</v>
      </c>
      <c r="C64" s="11" t="s">
        <v>5597</v>
      </c>
      <c r="D64" s="74">
        <v>0.65</v>
      </c>
      <c r="E64" s="74">
        <v>0.65</v>
      </c>
      <c r="F64" s="229" t="s">
        <v>1656</v>
      </c>
    </row>
    <row r="65">
      <c r="A65" s="11" t="s">
        <v>5661</v>
      </c>
      <c r="B65" s="11">
        <v>6669.0</v>
      </c>
      <c r="C65" s="11" t="s">
        <v>5597</v>
      </c>
      <c r="D65" s="74">
        <v>0.65</v>
      </c>
      <c r="E65" s="74">
        <v>0.65</v>
      </c>
      <c r="F65" s="229" t="s">
        <v>1656</v>
      </c>
    </row>
    <row r="66">
      <c r="A66" s="11" t="s">
        <v>5662</v>
      </c>
      <c r="C66" s="11" t="s">
        <v>5597</v>
      </c>
      <c r="D66" s="74">
        <v>0.65</v>
      </c>
      <c r="E66" s="74">
        <v>0.65</v>
      </c>
      <c r="F66" s="229" t="s">
        <v>1656</v>
      </c>
    </row>
    <row r="67">
      <c r="A67" s="11" t="s">
        <v>5663</v>
      </c>
      <c r="C67" s="11" t="s">
        <v>5597</v>
      </c>
      <c r="D67" s="74">
        <v>0.65</v>
      </c>
      <c r="E67" s="74">
        <v>0.65</v>
      </c>
      <c r="F67" s="229" t="s">
        <v>1656</v>
      </c>
    </row>
    <row r="68">
      <c r="A68" s="11" t="s">
        <v>1672</v>
      </c>
      <c r="B68" s="11">
        <v>6675.0</v>
      </c>
      <c r="C68" s="11" t="s">
        <v>5597</v>
      </c>
      <c r="D68" s="74">
        <v>0.65</v>
      </c>
      <c r="E68" s="74">
        <v>0.65</v>
      </c>
      <c r="F68" s="229" t="s">
        <v>1656</v>
      </c>
    </row>
    <row r="69">
      <c r="A69" s="11" t="s">
        <v>5664</v>
      </c>
      <c r="C69" s="11" t="s">
        <v>5597</v>
      </c>
      <c r="D69" s="74">
        <v>0.65</v>
      </c>
      <c r="E69" s="74">
        <v>0.65</v>
      </c>
      <c r="F69" s="229" t="s">
        <v>1656</v>
      </c>
    </row>
    <row r="70">
      <c r="A70" s="11" t="s">
        <v>5665</v>
      </c>
      <c r="C70" s="11" t="s">
        <v>5597</v>
      </c>
      <c r="D70" s="74">
        <v>0.65</v>
      </c>
      <c r="E70" s="74">
        <v>0.65</v>
      </c>
      <c r="F70" s="229" t="s">
        <v>1656</v>
      </c>
    </row>
    <row r="71">
      <c r="A71" s="11" t="s">
        <v>5666</v>
      </c>
      <c r="C71" s="11" t="s">
        <v>5597</v>
      </c>
      <c r="D71" s="74">
        <v>0.65</v>
      </c>
      <c r="E71" s="74">
        <v>0.65</v>
      </c>
      <c r="F71" s="229" t="s">
        <v>1656</v>
      </c>
    </row>
    <row r="72">
      <c r="A72" s="11" t="s">
        <v>5667</v>
      </c>
      <c r="B72" s="11">
        <v>14727.0</v>
      </c>
      <c r="C72" s="11" t="s">
        <v>5597</v>
      </c>
      <c r="D72" s="74">
        <v>0.65</v>
      </c>
      <c r="E72" s="74">
        <v>0.65</v>
      </c>
      <c r="F72" s="229" t="s">
        <v>1656</v>
      </c>
    </row>
    <row r="73">
      <c r="A73" s="11" t="s">
        <v>5668</v>
      </c>
      <c r="B73" s="11">
        <v>6675.0</v>
      </c>
      <c r="C73" s="11" t="s">
        <v>5597</v>
      </c>
      <c r="D73" s="74">
        <v>0.65</v>
      </c>
      <c r="E73" s="74">
        <v>0.65</v>
      </c>
      <c r="F73" s="229" t="s">
        <v>1656</v>
      </c>
    </row>
    <row r="74">
      <c r="A74" s="11" t="s">
        <v>5669</v>
      </c>
      <c r="C74" s="11" t="s">
        <v>5597</v>
      </c>
      <c r="D74" s="74">
        <v>0.65</v>
      </c>
      <c r="E74" s="74">
        <v>0.65</v>
      </c>
      <c r="F74" s="229" t="s">
        <v>1656</v>
      </c>
    </row>
    <row r="75">
      <c r="A75" s="11" t="s">
        <v>5670</v>
      </c>
      <c r="C75" s="11" t="s">
        <v>5597</v>
      </c>
      <c r="D75" s="74">
        <v>0.65</v>
      </c>
      <c r="E75" s="74">
        <v>0.65</v>
      </c>
      <c r="F75" s="229" t="s">
        <v>1656</v>
      </c>
    </row>
    <row r="76">
      <c r="A76" s="11" t="s">
        <v>5671</v>
      </c>
      <c r="C76" s="11" t="s">
        <v>5597</v>
      </c>
      <c r="D76" s="74">
        <v>0.65</v>
      </c>
      <c r="E76" s="74">
        <v>0.65</v>
      </c>
      <c r="F76" s="229" t="s">
        <v>1656</v>
      </c>
    </row>
    <row r="77">
      <c r="A77" s="11" t="s">
        <v>1683</v>
      </c>
      <c r="B77" s="11">
        <v>6675.0</v>
      </c>
      <c r="C77" s="11" t="s">
        <v>5597</v>
      </c>
      <c r="D77" s="74">
        <v>0.65</v>
      </c>
      <c r="E77" s="74">
        <v>0.65</v>
      </c>
      <c r="F77" s="229" t="s">
        <v>1656</v>
      </c>
    </row>
    <row r="78">
      <c r="A78" s="11" t="s">
        <v>5672</v>
      </c>
      <c r="C78" s="11" t="s">
        <v>5597</v>
      </c>
      <c r="D78" s="74">
        <v>0.65</v>
      </c>
      <c r="E78" s="74">
        <v>0.65</v>
      </c>
      <c r="F78" s="229" t="s">
        <v>1656</v>
      </c>
    </row>
    <row r="79">
      <c r="A79" s="11" t="s">
        <v>5673</v>
      </c>
      <c r="C79" s="11" t="s">
        <v>5597</v>
      </c>
      <c r="D79" s="74">
        <v>0.65</v>
      </c>
      <c r="E79" s="74">
        <v>0.65</v>
      </c>
      <c r="F79" s="229" t="s">
        <v>1656</v>
      </c>
    </row>
    <row r="80">
      <c r="A80" s="11" t="s">
        <v>5674</v>
      </c>
      <c r="C80" s="11" t="s">
        <v>5597</v>
      </c>
      <c r="D80" s="74">
        <v>0.65</v>
      </c>
      <c r="E80" s="74">
        <v>0.65</v>
      </c>
      <c r="F80" s="229" t="s">
        <v>1656</v>
      </c>
    </row>
    <row r="81">
      <c r="A81" s="11" t="s">
        <v>5675</v>
      </c>
      <c r="B81" s="261"/>
      <c r="C81" s="11" t="s">
        <v>5597</v>
      </c>
      <c r="D81" s="74">
        <v>0.65</v>
      </c>
      <c r="E81" s="74">
        <v>0.65</v>
      </c>
      <c r="F81" s="229" t="s">
        <v>1656</v>
      </c>
    </row>
    <row r="82">
      <c r="A82" s="11" t="s">
        <v>5676</v>
      </c>
      <c r="C82" s="11" t="s">
        <v>5597</v>
      </c>
      <c r="D82" s="74">
        <v>0.65</v>
      </c>
      <c r="E82" s="74">
        <v>0.65</v>
      </c>
      <c r="F82" s="229" t="s">
        <v>1656</v>
      </c>
    </row>
    <row r="83">
      <c r="A83" s="11" t="s">
        <v>5677</v>
      </c>
      <c r="B83" s="11">
        <v>14750.0</v>
      </c>
      <c r="C83" s="11" t="s">
        <v>5597</v>
      </c>
      <c r="D83" s="74">
        <v>0.65</v>
      </c>
      <c r="E83" s="74">
        <v>0.65</v>
      </c>
      <c r="F83" s="229" t="s">
        <v>1656</v>
      </c>
    </row>
    <row r="84">
      <c r="A84" s="11" t="s">
        <v>5678</v>
      </c>
      <c r="B84" s="11">
        <v>14750.0</v>
      </c>
      <c r="C84" s="11" t="s">
        <v>5597</v>
      </c>
      <c r="D84" s="74">
        <v>0.65</v>
      </c>
      <c r="E84" s="74">
        <v>0.65</v>
      </c>
      <c r="F84" s="229" t="s">
        <v>1656</v>
      </c>
    </row>
    <row r="85">
      <c r="A85" s="11" t="s">
        <v>5679</v>
      </c>
      <c r="B85" s="11">
        <v>14750.0</v>
      </c>
      <c r="C85" s="11" t="s">
        <v>5597</v>
      </c>
      <c r="D85" s="74">
        <v>0.65</v>
      </c>
      <c r="E85" s="74">
        <v>0.65</v>
      </c>
      <c r="F85" s="229" t="s">
        <v>1656</v>
      </c>
    </row>
    <row r="86">
      <c r="A86" s="11" t="s">
        <v>5680</v>
      </c>
      <c r="B86" s="11">
        <v>14750.0</v>
      </c>
      <c r="C86" s="11" t="s">
        <v>5597</v>
      </c>
      <c r="D86" s="74">
        <v>0.65</v>
      </c>
      <c r="E86" s="74">
        <v>0.65</v>
      </c>
      <c r="F86" s="229" t="s">
        <v>1656</v>
      </c>
    </row>
    <row r="87">
      <c r="A87" s="11" t="s">
        <v>5681</v>
      </c>
      <c r="B87" s="11">
        <v>14750.0</v>
      </c>
      <c r="C87" s="11" t="s">
        <v>5597</v>
      </c>
      <c r="D87" s="74">
        <v>0.65</v>
      </c>
      <c r="E87" s="74">
        <v>0.65</v>
      </c>
      <c r="F87" s="229" t="s">
        <v>1656</v>
      </c>
    </row>
    <row r="88">
      <c r="A88" s="11" t="s">
        <v>5682</v>
      </c>
      <c r="C88" s="11" t="s">
        <v>5597</v>
      </c>
      <c r="D88" s="74">
        <v>0.65</v>
      </c>
      <c r="E88" s="74">
        <v>0.65</v>
      </c>
      <c r="F88" s="229" t="s">
        <v>1656</v>
      </c>
    </row>
    <row r="89">
      <c r="A89" s="11" t="s">
        <v>5683</v>
      </c>
      <c r="C89" s="11" t="s">
        <v>5597</v>
      </c>
      <c r="D89" s="74">
        <v>0.65</v>
      </c>
      <c r="E89" s="74">
        <v>0.65</v>
      </c>
      <c r="F89" s="229" t="s">
        <v>1656</v>
      </c>
    </row>
    <row r="90">
      <c r="A90" s="11" t="s">
        <v>5684</v>
      </c>
      <c r="C90" s="11" t="s">
        <v>5597</v>
      </c>
      <c r="D90" s="74">
        <v>0.65</v>
      </c>
      <c r="E90" s="74">
        <v>0.65</v>
      </c>
      <c r="F90" s="229" t="s">
        <v>1656</v>
      </c>
    </row>
    <row r="91">
      <c r="A91" s="11" t="s">
        <v>5685</v>
      </c>
      <c r="B91" s="11">
        <v>14663.0</v>
      </c>
      <c r="C91" s="11" t="s">
        <v>5597</v>
      </c>
      <c r="D91" s="74">
        <v>0.65</v>
      </c>
      <c r="E91" s="74">
        <v>0.65</v>
      </c>
      <c r="F91" s="229" t="s">
        <v>1656</v>
      </c>
    </row>
  </sheetData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20.5"/>
    <col customWidth="1" min="4" max="8" width="13.88"/>
  </cols>
  <sheetData>
    <row r="1">
      <c r="A1" s="56" t="s">
        <v>44</v>
      </c>
      <c r="B1" s="56" t="s">
        <v>1</v>
      </c>
      <c r="C1" s="19" t="s">
        <v>294</v>
      </c>
      <c r="D1" s="55" t="s">
        <v>248</v>
      </c>
      <c r="E1" s="11" t="s">
        <v>249</v>
      </c>
      <c r="F1" s="11" t="s">
        <v>250</v>
      </c>
      <c r="G1" s="11"/>
      <c r="H1" s="11"/>
    </row>
    <row r="2">
      <c r="A2" s="176" t="s">
        <v>5686</v>
      </c>
      <c r="B2" s="25">
        <v>14482.0</v>
      </c>
      <c r="C2" s="62">
        <v>0.05</v>
      </c>
      <c r="D2" s="95">
        <v>0.68</v>
      </c>
      <c r="E2" s="95">
        <v>0.68</v>
      </c>
      <c r="F2" s="229" t="s">
        <v>1656</v>
      </c>
    </row>
    <row r="3">
      <c r="A3" s="176" t="s">
        <v>5687</v>
      </c>
      <c r="B3" s="25">
        <v>8560.0</v>
      </c>
      <c r="C3" s="62">
        <v>0.05</v>
      </c>
      <c r="D3" s="95">
        <v>0.68</v>
      </c>
      <c r="E3" s="95">
        <v>0.68</v>
      </c>
      <c r="F3" s="229" t="s">
        <v>1656</v>
      </c>
      <c r="G3" s="39"/>
      <c r="H3" s="39"/>
    </row>
    <row r="4">
      <c r="A4" s="176" t="s">
        <v>5688</v>
      </c>
      <c r="B4" s="25">
        <v>663.0</v>
      </c>
      <c r="C4" s="62">
        <v>0.05</v>
      </c>
      <c r="D4" s="95">
        <v>0.68</v>
      </c>
      <c r="E4" s="95">
        <v>0.68</v>
      </c>
      <c r="F4" s="229" t="s">
        <v>1656</v>
      </c>
      <c r="G4" s="39"/>
      <c r="H4" s="39"/>
    </row>
    <row r="5">
      <c r="A5" s="176" t="s">
        <v>5689</v>
      </c>
      <c r="B5" s="25">
        <v>6875.0</v>
      </c>
      <c r="C5" s="62">
        <v>0.05</v>
      </c>
      <c r="D5" s="95">
        <v>0.68</v>
      </c>
      <c r="E5" s="95">
        <v>0.68</v>
      </c>
      <c r="F5" s="229" t="s">
        <v>1656</v>
      </c>
      <c r="G5" s="39"/>
      <c r="H5" s="39"/>
    </row>
    <row r="6">
      <c r="A6" s="176" t="s">
        <v>2381</v>
      </c>
      <c r="B6" s="25">
        <v>663.0</v>
      </c>
      <c r="C6" s="62">
        <v>0.05</v>
      </c>
      <c r="D6" s="95">
        <v>0.68</v>
      </c>
      <c r="E6" s="95">
        <v>0.68</v>
      </c>
      <c r="F6" s="229" t="s">
        <v>1656</v>
      </c>
      <c r="G6" s="39"/>
      <c r="H6" s="39"/>
    </row>
    <row r="7">
      <c r="A7" s="176" t="s">
        <v>2101</v>
      </c>
      <c r="B7" s="25">
        <v>663.0</v>
      </c>
      <c r="C7" s="62">
        <v>0.05</v>
      </c>
      <c r="D7" s="95">
        <v>0.68</v>
      </c>
      <c r="E7" s="95">
        <v>0.68</v>
      </c>
      <c r="F7" s="229" t="s">
        <v>1656</v>
      </c>
      <c r="G7" s="39"/>
      <c r="H7" s="39"/>
    </row>
    <row r="8">
      <c r="A8" s="176" t="s">
        <v>5690</v>
      </c>
      <c r="B8" s="25">
        <v>6675.0</v>
      </c>
      <c r="C8" s="62">
        <v>0.05</v>
      </c>
      <c r="D8" s="74">
        <v>0.9</v>
      </c>
      <c r="E8" s="74">
        <v>0.9</v>
      </c>
      <c r="F8" s="229" t="s">
        <v>1656</v>
      </c>
      <c r="G8" s="39"/>
      <c r="H8" s="39"/>
    </row>
    <row r="9">
      <c r="A9" s="176" t="s">
        <v>5691</v>
      </c>
      <c r="B9" s="25">
        <v>6675.0</v>
      </c>
      <c r="C9" s="62">
        <v>0.05</v>
      </c>
      <c r="D9" s="74">
        <v>0.9</v>
      </c>
      <c r="E9" s="74">
        <v>0.9</v>
      </c>
      <c r="F9" s="229" t="s">
        <v>1656</v>
      </c>
      <c r="G9" s="39"/>
      <c r="H9" s="39"/>
    </row>
    <row r="10">
      <c r="A10" s="176" t="s">
        <v>5692</v>
      </c>
      <c r="B10" s="25">
        <v>7158.0</v>
      </c>
      <c r="C10" s="62">
        <v>0.05</v>
      </c>
      <c r="D10" s="95">
        <v>0.68</v>
      </c>
      <c r="E10" s="95">
        <v>0.68</v>
      </c>
      <c r="F10" s="229" t="s">
        <v>1656</v>
      </c>
      <c r="G10" s="39"/>
      <c r="H10" s="39"/>
    </row>
    <row r="11">
      <c r="A11" s="176" t="s">
        <v>5693</v>
      </c>
      <c r="B11" s="25">
        <v>7134.0</v>
      </c>
      <c r="C11" s="62">
        <v>0.05</v>
      </c>
      <c r="D11" s="95">
        <v>0.68</v>
      </c>
      <c r="E11" s="95">
        <v>0.68</v>
      </c>
      <c r="F11" s="229" t="s">
        <v>1656</v>
      </c>
      <c r="G11" s="39"/>
      <c r="H11" s="39"/>
    </row>
    <row r="12">
      <c r="A12" s="176" t="s">
        <v>5694</v>
      </c>
      <c r="B12" s="25">
        <v>7031.0</v>
      </c>
      <c r="C12" s="62">
        <v>0.05</v>
      </c>
      <c r="D12" s="95">
        <v>0.68</v>
      </c>
      <c r="E12" s="95">
        <v>0.68</v>
      </c>
      <c r="F12" s="229" t="s">
        <v>1656</v>
      </c>
      <c r="G12" s="39"/>
      <c r="H12" s="39"/>
    </row>
    <row r="13">
      <c r="A13" s="176" t="s">
        <v>5695</v>
      </c>
      <c r="B13" s="25">
        <v>930.0</v>
      </c>
      <c r="C13" s="62">
        <v>0.05</v>
      </c>
      <c r="D13" s="95">
        <v>0.68</v>
      </c>
      <c r="E13" s="95">
        <v>0.68</v>
      </c>
      <c r="F13" s="229" t="s">
        <v>1656</v>
      </c>
      <c r="G13" s="39"/>
      <c r="H13" s="39"/>
    </row>
    <row r="14">
      <c r="A14" s="176" t="s">
        <v>5696</v>
      </c>
      <c r="B14" s="25">
        <v>7132.0</v>
      </c>
      <c r="C14" s="62">
        <v>0.05</v>
      </c>
      <c r="D14" s="95">
        <v>0.68</v>
      </c>
      <c r="E14" s="95">
        <v>0.68</v>
      </c>
      <c r="F14" s="229" t="s">
        <v>1656</v>
      </c>
      <c r="G14" s="39"/>
      <c r="H14" s="39"/>
    </row>
    <row r="15">
      <c r="A15" s="176" t="s">
        <v>5697</v>
      </c>
      <c r="B15" s="25">
        <v>189.0</v>
      </c>
      <c r="C15" s="62">
        <v>0.05</v>
      </c>
      <c r="D15" s="74">
        <v>0.75</v>
      </c>
      <c r="E15" s="74">
        <v>0.75</v>
      </c>
      <c r="F15" s="229" t="s">
        <v>1656</v>
      </c>
      <c r="G15" s="39"/>
      <c r="H15" s="39"/>
    </row>
    <row r="16">
      <c r="A16" s="176" t="s">
        <v>5698</v>
      </c>
      <c r="B16" s="25">
        <v>189.0</v>
      </c>
      <c r="C16" s="62">
        <v>0.05</v>
      </c>
      <c r="D16" s="74">
        <v>0.75</v>
      </c>
      <c r="E16" s="74">
        <v>0.75</v>
      </c>
      <c r="F16" s="229" t="s">
        <v>1656</v>
      </c>
      <c r="G16" s="39"/>
      <c r="H16" s="39"/>
    </row>
    <row r="17">
      <c r="A17" s="176" t="s">
        <v>5699</v>
      </c>
      <c r="B17" s="25">
        <v>189.0</v>
      </c>
      <c r="C17" s="62">
        <v>0.05</v>
      </c>
      <c r="D17" s="74">
        <v>0.75</v>
      </c>
      <c r="E17" s="74">
        <v>0.75</v>
      </c>
      <c r="F17" s="229" t="s">
        <v>1656</v>
      </c>
      <c r="G17" s="39"/>
      <c r="H17" s="39"/>
    </row>
    <row r="18">
      <c r="A18" s="176" t="s">
        <v>4236</v>
      </c>
      <c r="B18" s="25">
        <v>6669.0</v>
      </c>
      <c r="C18" s="62">
        <v>0.05</v>
      </c>
      <c r="D18" s="95">
        <v>0.68</v>
      </c>
      <c r="E18" s="95">
        <v>0.68</v>
      </c>
      <c r="F18" s="229" t="s">
        <v>1656</v>
      </c>
      <c r="G18" s="39"/>
      <c r="H18" s="39"/>
    </row>
    <row r="19">
      <c r="A19" s="176" t="s">
        <v>5700</v>
      </c>
      <c r="B19" s="25">
        <v>189.0</v>
      </c>
      <c r="C19" s="62">
        <v>0.05</v>
      </c>
      <c r="D19" s="74">
        <v>0.75</v>
      </c>
      <c r="E19" s="74">
        <v>0.75</v>
      </c>
      <c r="F19" s="229" t="s">
        <v>1656</v>
      </c>
      <c r="G19" s="39"/>
      <c r="H19" s="39"/>
    </row>
    <row r="20">
      <c r="A20" s="176" t="s">
        <v>5701</v>
      </c>
      <c r="B20" s="25">
        <v>4514.0</v>
      </c>
      <c r="C20" s="62">
        <v>0.05</v>
      </c>
      <c r="D20" s="95">
        <v>0.68</v>
      </c>
      <c r="E20" s="95">
        <v>0.68</v>
      </c>
      <c r="F20" s="229" t="s">
        <v>1656</v>
      </c>
      <c r="G20" s="39"/>
      <c r="H20" s="39"/>
    </row>
    <row r="21">
      <c r="A21" s="176" t="s">
        <v>5702</v>
      </c>
      <c r="B21" s="25">
        <v>6906.0</v>
      </c>
      <c r="C21" s="62">
        <v>0.05</v>
      </c>
      <c r="D21" s="95">
        <v>0.68</v>
      </c>
      <c r="E21" s="95">
        <v>0.68</v>
      </c>
      <c r="F21" s="229" t="s">
        <v>1656</v>
      </c>
      <c r="G21" s="39"/>
      <c r="H21" s="39"/>
    </row>
    <row r="22">
      <c r="A22" s="176" t="s">
        <v>5703</v>
      </c>
      <c r="B22" s="25">
        <v>6669.0</v>
      </c>
      <c r="C22" s="62">
        <v>0.05</v>
      </c>
      <c r="D22" s="95">
        <v>0.68</v>
      </c>
      <c r="E22" s="95">
        <v>0.68</v>
      </c>
      <c r="F22" s="229" t="s">
        <v>1656</v>
      </c>
      <c r="G22" s="39"/>
      <c r="H22" s="39"/>
    </row>
    <row r="23">
      <c r="A23" s="176" t="s">
        <v>5704</v>
      </c>
      <c r="B23" s="25">
        <v>7186.0</v>
      </c>
      <c r="C23" s="62">
        <v>0.05</v>
      </c>
      <c r="D23" s="95">
        <v>0.68</v>
      </c>
      <c r="E23" s="95">
        <v>0.68</v>
      </c>
      <c r="F23" s="229" t="s">
        <v>1656</v>
      </c>
      <c r="G23" s="39"/>
      <c r="H23" s="39"/>
    </row>
    <row r="24">
      <c r="A24" s="176" t="s">
        <v>5705</v>
      </c>
      <c r="B24" s="25">
        <v>7073.0</v>
      </c>
      <c r="C24" s="62">
        <v>0.05</v>
      </c>
      <c r="D24" s="95">
        <v>0.68</v>
      </c>
      <c r="E24" s="95">
        <v>0.68</v>
      </c>
      <c r="F24" s="229" t="s">
        <v>1656</v>
      </c>
      <c r="G24" s="39"/>
      <c r="H24" s="39"/>
    </row>
    <row r="25">
      <c r="A25" s="176" t="s">
        <v>5706</v>
      </c>
      <c r="B25" s="25">
        <v>6669.0</v>
      </c>
      <c r="C25" s="62">
        <v>0.05</v>
      </c>
      <c r="D25" s="95">
        <v>0.68</v>
      </c>
      <c r="E25" s="95">
        <v>0.68</v>
      </c>
      <c r="F25" s="229" t="s">
        <v>1656</v>
      </c>
      <c r="G25" s="39"/>
      <c r="H25" s="39"/>
    </row>
    <row r="26">
      <c r="A26" s="176" t="s">
        <v>5707</v>
      </c>
      <c r="B26" s="25">
        <v>84.0</v>
      </c>
      <c r="C26" s="62">
        <v>0.05</v>
      </c>
      <c r="D26" s="95">
        <v>0.68</v>
      </c>
      <c r="E26" s="95">
        <v>0.68</v>
      </c>
      <c r="F26" s="229" t="s">
        <v>1656</v>
      </c>
      <c r="G26" s="39"/>
      <c r="H26" s="39"/>
    </row>
    <row r="27">
      <c r="A27" s="176" t="s">
        <v>5708</v>
      </c>
      <c r="B27" s="25">
        <v>7186.0</v>
      </c>
      <c r="C27" s="62">
        <v>0.05</v>
      </c>
      <c r="D27" s="95">
        <v>0.68</v>
      </c>
      <c r="E27" s="95">
        <v>0.68</v>
      </c>
      <c r="F27" s="229" t="s">
        <v>1656</v>
      </c>
      <c r="G27" s="39"/>
      <c r="H27" s="39"/>
    </row>
    <row r="28">
      <c r="A28" s="176" t="s">
        <v>5709</v>
      </c>
      <c r="B28" s="25">
        <v>7229.0</v>
      </c>
      <c r="C28" s="62">
        <v>0.05</v>
      </c>
      <c r="D28" s="95">
        <v>0.68</v>
      </c>
      <c r="E28" s="95">
        <v>0.68</v>
      </c>
      <c r="F28" s="229" t="s">
        <v>1656</v>
      </c>
      <c r="G28" s="39"/>
      <c r="H28" s="39"/>
    </row>
    <row r="29">
      <c r="A29" s="176" t="s">
        <v>2701</v>
      </c>
      <c r="B29" s="25">
        <v>7747.0</v>
      </c>
      <c r="C29" s="62">
        <v>0.05</v>
      </c>
      <c r="D29" s="95">
        <v>0.68</v>
      </c>
      <c r="E29" s="95">
        <v>0.68</v>
      </c>
      <c r="F29" s="229" t="s">
        <v>1656</v>
      </c>
      <c r="G29" s="39"/>
      <c r="H29" s="39"/>
    </row>
    <row r="30">
      <c r="A30" s="176" t="s">
        <v>1165</v>
      </c>
      <c r="B30" s="25">
        <v>6132.0</v>
      </c>
      <c r="C30" s="62">
        <v>0.05</v>
      </c>
      <c r="D30" s="95">
        <v>0.68</v>
      </c>
      <c r="E30" s="95">
        <v>0.68</v>
      </c>
      <c r="F30" s="229" t="s">
        <v>1656</v>
      </c>
      <c r="G30" s="39"/>
      <c r="H30" s="39"/>
    </row>
    <row r="31">
      <c r="A31" s="176" t="s">
        <v>5710</v>
      </c>
      <c r="B31" s="25">
        <v>7183.0</v>
      </c>
      <c r="C31" s="62">
        <v>0.05</v>
      </c>
      <c r="D31" s="95">
        <v>0.68</v>
      </c>
      <c r="E31" s="95">
        <v>0.68</v>
      </c>
      <c r="F31" s="229" t="s">
        <v>1656</v>
      </c>
      <c r="G31" s="39"/>
      <c r="H31" s="39"/>
    </row>
    <row r="32">
      <c r="A32" s="176" t="s">
        <v>5711</v>
      </c>
      <c r="B32" s="25">
        <v>6924.0</v>
      </c>
      <c r="C32" s="62">
        <v>0.05</v>
      </c>
      <c r="D32" s="95">
        <v>0.68</v>
      </c>
      <c r="E32" s="95">
        <v>0.68</v>
      </c>
      <c r="F32" s="229" t="s">
        <v>1656</v>
      </c>
      <c r="G32" s="39"/>
      <c r="H32" s="39"/>
    </row>
    <row r="33">
      <c r="A33" s="176" t="s">
        <v>5712</v>
      </c>
      <c r="B33" s="25">
        <v>7877.0</v>
      </c>
      <c r="C33" s="62">
        <v>0.05</v>
      </c>
      <c r="D33" s="95">
        <v>0.68</v>
      </c>
      <c r="E33" s="95">
        <v>0.68</v>
      </c>
      <c r="F33" s="229" t="s">
        <v>1656</v>
      </c>
      <c r="G33" s="39"/>
      <c r="H33" s="39"/>
    </row>
    <row r="34">
      <c r="A34" s="176" t="s">
        <v>5713</v>
      </c>
      <c r="B34" s="25">
        <v>136.0</v>
      </c>
      <c r="C34" s="62">
        <v>0.05</v>
      </c>
      <c r="D34" s="95">
        <v>0.68</v>
      </c>
      <c r="E34" s="95">
        <v>0.68</v>
      </c>
      <c r="F34" s="229" t="s">
        <v>1656</v>
      </c>
      <c r="G34" s="39"/>
      <c r="H34" s="39"/>
    </row>
    <row r="35">
      <c r="A35" s="176" t="s">
        <v>5714</v>
      </c>
      <c r="B35" s="25">
        <v>7877.0</v>
      </c>
      <c r="C35" s="62">
        <v>0.05</v>
      </c>
      <c r="D35" s="95">
        <v>0.68</v>
      </c>
      <c r="E35" s="95">
        <v>0.68</v>
      </c>
      <c r="F35" s="229" t="s">
        <v>1656</v>
      </c>
      <c r="G35" s="39"/>
      <c r="H35" s="39"/>
    </row>
    <row r="36">
      <c r="A36" s="176" t="s">
        <v>5715</v>
      </c>
      <c r="B36" s="25">
        <v>3689.0</v>
      </c>
      <c r="C36" s="62">
        <v>0.05</v>
      </c>
      <c r="D36" s="95">
        <v>0.68</v>
      </c>
      <c r="E36" s="95">
        <v>0.68</v>
      </c>
      <c r="F36" s="229" t="s">
        <v>1656</v>
      </c>
      <c r="G36" s="39"/>
      <c r="H36" s="39"/>
    </row>
    <row r="37">
      <c r="A37" s="176" t="s">
        <v>5716</v>
      </c>
      <c r="B37" s="25">
        <v>7157.0</v>
      </c>
      <c r="C37" s="62">
        <v>0.05</v>
      </c>
      <c r="D37" s="95">
        <v>0.68</v>
      </c>
      <c r="E37" s="95">
        <v>0.68</v>
      </c>
      <c r="F37" s="229" t="s">
        <v>1656</v>
      </c>
      <c r="G37" s="39"/>
      <c r="H37" s="39"/>
    </row>
    <row r="38">
      <c r="A38" s="176" t="s">
        <v>5717</v>
      </c>
      <c r="B38" s="25">
        <v>10141.0</v>
      </c>
      <c r="C38" s="62">
        <v>0.05</v>
      </c>
      <c r="D38" s="95">
        <v>0.68</v>
      </c>
      <c r="E38" s="95">
        <v>0.68</v>
      </c>
      <c r="F38" s="229" t="s">
        <v>1656</v>
      </c>
      <c r="G38" s="39"/>
      <c r="H38" s="39"/>
    </row>
    <row r="39">
      <c r="A39" s="176" t="s">
        <v>5718</v>
      </c>
      <c r="B39" s="25">
        <v>6893.0</v>
      </c>
      <c r="C39" s="62">
        <v>0.05</v>
      </c>
      <c r="D39" s="95">
        <v>0.68</v>
      </c>
      <c r="E39" s="95">
        <v>0.68</v>
      </c>
      <c r="F39" s="229" t="s">
        <v>1656</v>
      </c>
      <c r="G39" s="39"/>
      <c r="H39" s="39"/>
    </row>
    <row r="40">
      <c r="A40" s="176" t="s">
        <v>5719</v>
      </c>
      <c r="B40" s="25">
        <v>10856.0</v>
      </c>
      <c r="C40" s="62">
        <v>0.05</v>
      </c>
      <c r="D40" s="95">
        <v>0.68</v>
      </c>
      <c r="E40" s="95">
        <v>0.68</v>
      </c>
      <c r="F40" s="229" t="s">
        <v>1656</v>
      </c>
      <c r="G40" s="39"/>
      <c r="H40" s="39"/>
    </row>
    <row r="41">
      <c r="A41" s="176" t="s">
        <v>5720</v>
      </c>
      <c r="B41" s="25">
        <v>7877.0</v>
      </c>
      <c r="C41" s="62">
        <v>0.05</v>
      </c>
      <c r="D41" s="95">
        <v>0.68</v>
      </c>
      <c r="E41" s="95">
        <v>0.68</v>
      </c>
      <c r="F41" s="229" t="s">
        <v>1656</v>
      </c>
      <c r="G41" s="39"/>
      <c r="H41" s="39"/>
    </row>
    <row r="42">
      <c r="A42" s="176" t="s">
        <v>5721</v>
      </c>
      <c r="B42" s="25">
        <v>7181.0</v>
      </c>
      <c r="C42" s="62">
        <v>0.05</v>
      </c>
      <c r="D42" s="95">
        <v>0.68</v>
      </c>
      <c r="E42" s="95">
        <v>0.68</v>
      </c>
      <c r="F42" s="229" t="s">
        <v>1656</v>
      </c>
      <c r="G42" s="39"/>
      <c r="H42" s="39"/>
    </row>
    <row r="43">
      <c r="A43" s="176" t="s">
        <v>5722</v>
      </c>
      <c r="B43" s="25">
        <v>7033.0</v>
      </c>
      <c r="C43" s="62">
        <v>0.05</v>
      </c>
      <c r="D43" s="95">
        <v>0.68</v>
      </c>
      <c r="E43" s="95">
        <v>0.68</v>
      </c>
      <c r="F43" s="229" t="s">
        <v>1656</v>
      </c>
      <c r="G43" s="39"/>
      <c r="H43" s="39"/>
    </row>
    <row r="44">
      <c r="A44" s="176" t="s">
        <v>5723</v>
      </c>
      <c r="B44" s="25">
        <v>6903.0</v>
      </c>
      <c r="C44" s="62">
        <v>0.05</v>
      </c>
      <c r="D44" s="95">
        <v>0.68</v>
      </c>
      <c r="E44" s="95">
        <v>0.68</v>
      </c>
      <c r="F44" s="229" t="s">
        <v>1656</v>
      </c>
      <c r="G44" s="39"/>
      <c r="H44" s="39"/>
    </row>
    <row r="45">
      <c r="A45" s="176" t="s">
        <v>5724</v>
      </c>
      <c r="B45" s="25">
        <v>9701.0</v>
      </c>
      <c r="C45" s="62">
        <v>0.05</v>
      </c>
      <c r="D45" s="95">
        <v>0.68</v>
      </c>
      <c r="E45" s="95">
        <v>0.68</v>
      </c>
      <c r="F45" s="229" t="s">
        <v>1656</v>
      </c>
      <c r="G45" s="39"/>
      <c r="H45" s="39"/>
    </row>
    <row r="46">
      <c r="A46" s="176" t="s">
        <v>5725</v>
      </c>
      <c r="B46" s="25">
        <v>11708.0</v>
      </c>
      <c r="C46" s="62">
        <v>0.05</v>
      </c>
      <c r="D46" s="95">
        <v>0.68</v>
      </c>
      <c r="E46" s="95">
        <v>0.68</v>
      </c>
      <c r="F46" s="229" t="s">
        <v>1656</v>
      </c>
      <c r="G46" s="39"/>
      <c r="H46" s="39"/>
    </row>
    <row r="47">
      <c r="A47" s="176" t="s">
        <v>5726</v>
      </c>
      <c r="B47" s="25">
        <v>7877.0</v>
      </c>
      <c r="C47" s="62">
        <v>0.05</v>
      </c>
      <c r="D47" s="95">
        <v>0.68</v>
      </c>
      <c r="E47" s="95">
        <v>0.68</v>
      </c>
      <c r="F47" s="229" t="s">
        <v>1656</v>
      </c>
      <c r="G47" s="39"/>
      <c r="H47" s="39"/>
    </row>
    <row r="48">
      <c r="A48" s="176" t="s">
        <v>5727</v>
      </c>
      <c r="B48" s="25">
        <v>7877.0</v>
      </c>
      <c r="C48" s="62">
        <v>0.05</v>
      </c>
      <c r="D48" s="95">
        <v>0.68</v>
      </c>
      <c r="E48" s="95">
        <v>0.68</v>
      </c>
      <c r="F48" s="229" t="s">
        <v>1656</v>
      </c>
      <c r="G48" s="39"/>
      <c r="H48" s="39"/>
    </row>
    <row r="49">
      <c r="A49" s="176" t="s">
        <v>5728</v>
      </c>
      <c r="B49" s="25">
        <v>3307.0</v>
      </c>
      <c r="C49" s="62">
        <v>0.05</v>
      </c>
      <c r="D49" s="95">
        <v>0.68</v>
      </c>
      <c r="E49" s="95">
        <v>0.68</v>
      </c>
      <c r="F49" s="229" t="s">
        <v>1656</v>
      </c>
      <c r="G49" s="39"/>
      <c r="H49" s="39"/>
    </row>
    <row r="50">
      <c r="A50" s="176" t="s">
        <v>5729</v>
      </c>
      <c r="B50" s="25">
        <v>11916.0</v>
      </c>
      <c r="C50" s="62">
        <v>0.05</v>
      </c>
      <c r="D50" s="95">
        <v>0.68</v>
      </c>
      <c r="E50" s="95">
        <v>0.68</v>
      </c>
      <c r="F50" s="229" t="s">
        <v>1656</v>
      </c>
      <c r="G50" s="39"/>
      <c r="H50" s="39"/>
    </row>
    <row r="51">
      <c r="A51" s="176" t="s">
        <v>5730</v>
      </c>
      <c r="B51" s="25">
        <v>6772.0</v>
      </c>
      <c r="C51" s="62">
        <v>0.05</v>
      </c>
      <c r="D51" s="95">
        <v>0.68</v>
      </c>
      <c r="E51" s="95">
        <v>0.68</v>
      </c>
      <c r="F51" s="229" t="s">
        <v>1656</v>
      </c>
      <c r="G51" s="39"/>
      <c r="H51" s="39"/>
    </row>
    <row r="52">
      <c r="A52" s="176" t="s">
        <v>5731</v>
      </c>
      <c r="B52" s="262">
        <v>11916.0</v>
      </c>
      <c r="C52" s="62">
        <v>0.05</v>
      </c>
      <c r="D52" s="95">
        <v>0.68</v>
      </c>
      <c r="E52" s="95">
        <v>0.68</v>
      </c>
      <c r="F52" s="229" t="s">
        <v>1656</v>
      </c>
      <c r="G52" s="39"/>
      <c r="H52" s="39"/>
    </row>
    <row r="53">
      <c r="A53" s="176" t="s">
        <v>5732</v>
      </c>
      <c r="B53" s="25">
        <v>7003.0</v>
      </c>
      <c r="C53" s="62">
        <v>0.05</v>
      </c>
      <c r="D53" s="95">
        <v>0.68</v>
      </c>
      <c r="E53" s="95">
        <v>0.68</v>
      </c>
      <c r="F53" s="229" t="s">
        <v>1656</v>
      </c>
    </row>
    <row r="54">
      <c r="A54" s="176" t="s">
        <v>5733</v>
      </c>
      <c r="B54" s="25">
        <v>189.0</v>
      </c>
      <c r="C54" s="62">
        <v>0.05</v>
      </c>
      <c r="D54" s="74">
        <v>0.75</v>
      </c>
      <c r="E54" s="74">
        <v>0.75</v>
      </c>
      <c r="F54" s="229" t="s">
        <v>1656</v>
      </c>
    </row>
    <row r="55">
      <c r="A55" s="176" t="s">
        <v>5734</v>
      </c>
      <c r="B55" s="263">
        <v>7100.0</v>
      </c>
      <c r="C55" s="62">
        <v>0.05</v>
      </c>
      <c r="D55" s="95">
        <v>0.68</v>
      </c>
      <c r="E55" s="95">
        <v>0.68</v>
      </c>
      <c r="F55" s="229" t="s">
        <v>1656</v>
      </c>
    </row>
    <row r="56">
      <c r="A56" s="176" t="s">
        <v>5735</v>
      </c>
      <c r="B56" s="25">
        <v>2345.0</v>
      </c>
      <c r="C56" s="62">
        <v>0.05</v>
      </c>
      <c r="D56" s="74">
        <v>0.9</v>
      </c>
      <c r="E56" s="74">
        <v>0.9</v>
      </c>
      <c r="F56" s="229" t="s">
        <v>1656</v>
      </c>
    </row>
    <row r="57">
      <c r="A57" s="176" t="s">
        <v>5736</v>
      </c>
      <c r="B57" s="25">
        <v>2345.0</v>
      </c>
      <c r="C57" s="62">
        <v>0.05</v>
      </c>
      <c r="D57" s="74">
        <v>0.9</v>
      </c>
      <c r="E57" s="74">
        <v>0.9</v>
      </c>
      <c r="F57" s="229" t="s">
        <v>1656</v>
      </c>
    </row>
    <row r="58">
      <c r="A58" s="176" t="s">
        <v>5737</v>
      </c>
      <c r="B58" s="25">
        <v>2345.0</v>
      </c>
      <c r="C58" s="62">
        <v>0.05</v>
      </c>
      <c r="D58" s="74">
        <v>0.9</v>
      </c>
      <c r="E58" s="74">
        <v>0.9</v>
      </c>
      <c r="F58" s="229" t="s">
        <v>1656</v>
      </c>
    </row>
    <row r="59">
      <c r="A59" s="176" t="s">
        <v>5738</v>
      </c>
      <c r="B59" s="25">
        <v>2345.0</v>
      </c>
      <c r="C59" s="62">
        <v>0.05</v>
      </c>
      <c r="D59" s="74">
        <v>0.9</v>
      </c>
      <c r="E59" s="74">
        <v>0.9</v>
      </c>
      <c r="F59" s="229" t="s">
        <v>1656</v>
      </c>
    </row>
    <row r="60">
      <c r="A60" s="176" t="s">
        <v>5739</v>
      </c>
      <c r="B60" s="25">
        <v>2345.0</v>
      </c>
      <c r="C60" s="62">
        <v>0.05</v>
      </c>
      <c r="D60" s="74">
        <v>0.9</v>
      </c>
      <c r="E60" s="74">
        <v>0.9</v>
      </c>
      <c r="F60" s="229" t="s">
        <v>1656</v>
      </c>
    </row>
    <row r="61">
      <c r="A61" s="176" t="s">
        <v>5740</v>
      </c>
      <c r="B61" s="25">
        <v>2345.0</v>
      </c>
      <c r="C61" s="62">
        <v>0.05</v>
      </c>
      <c r="D61" s="74">
        <v>0.9</v>
      </c>
      <c r="E61" s="74">
        <v>0.9</v>
      </c>
      <c r="F61" s="229" t="s">
        <v>1656</v>
      </c>
    </row>
    <row r="62">
      <c r="A62" s="176" t="s">
        <v>5741</v>
      </c>
      <c r="B62" s="25">
        <v>2345.0</v>
      </c>
      <c r="C62" s="62">
        <v>0.05</v>
      </c>
      <c r="D62" s="74">
        <v>0.9</v>
      </c>
      <c r="E62" s="74">
        <v>0.9</v>
      </c>
      <c r="F62" s="229" t="s">
        <v>1656</v>
      </c>
    </row>
    <row r="63">
      <c r="A63" s="176" t="s">
        <v>5742</v>
      </c>
      <c r="B63" s="25">
        <v>2345.0</v>
      </c>
      <c r="C63" s="62">
        <v>0.05</v>
      </c>
      <c r="D63" s="74">
        <v>0.9</v>
      </c>
      <c r="E63" s="74">
        <v>0.9</v>
      </c>
      <c r="F63" s="229" t="s">
        <v>1656</v>
      </c>
    </row>
    <row r="64">
      <c r="A64" s="176" t="s">
        <v>5743</v>
      </c>
      <c r="B64" s="25">
        <v>6936.0</v>
      </c>
      <c r="C64" s="62">
        <v>0.05</v>
      </c>
      <c r="D64" s="95">
        <v>0.68</v>
      </c>
      <c r="E64" s="95">
        <v>0.68</v>
      </c>
      <c r="F64" s="229" t="s">
        <v>1656</v>
      </c>
    </row>
    <row r="65">
      <c r="A65" s="176" t="s">
        <v>5744</v>
      </c>
      <c r="B65" s="25">
        <v>6675.0</v>
      </c>
      <c r="C65" s="62">
        <v>0.05</v>
      </c>
      <c r="D65" s="74">
        <v>0.9</v>
      </c>
      <c r="E65" s="74">
        <v>0.9</v>
      </c>
      <c r="F65" s="229" t="s">
        <v>1656</v>
      </c>
    </row>
    <row r="66">
      <c r="A66" s="176" t="s">
        <v>5745</v>
      </c>
      <c r="B66" s="25">
        <v>14065.0</v>
      </c>
      <c r="C66" s="62">
        <v>0.05</v>
      </c>
      <c r="D66" s="95">
        <v>0.68</v>
      </c>
      <c r="E66" s="95">
        <v>0.68</v>
      </c>
      <c r="F66" s="229" t="s">
        <v>1656</v>
      </c>
    </row>
    <row r="67">
      <c r="A67" s="176" t="s">
        <v>5746</v>
      </c>
      <c r="B67" s="42">
        <v>12553.0</v>
      </c>
      <c r="C67" s="62">
        <v>0.05</v>
      </c>
      <c r="D67" s="95">
        <v>0.68</v>
      </c>
      <c r="E67" s="95">
        <v>0.68</v>
      </c>
      <c r="F67" s="229" t="s">
        <v>1656</v>
      </c>
    </row>
    <row r="68">
      <c r="A68" s="176" t="s">
        <v>5747</v>
      </c>
      <c r="B68" s="25">
        <v>7246.0</v>
      </c>
      <c r="C68" s="62">
        <v>0.05</v>
      </c>
      <c r="D68" s="95">
        <v>0.68</v>
      </c>
      <c r="E68" s="95">
        <v>0.68</v>
      </c>
      <c r="F68" s="229" t="s">
        <v>1656</v>
      </c>
    </row>
    <row r="69">
      <c r="A69" s="176" t="s">
        <v>5748</v>
      </c>
      <c r="B69" s="25">
        <v>8486.0</v>
      </c>
      <c r="C69" s="62">
        <v>0.05</v>
      </c>
      <c r="D69" s="74">
        <v>0.75</v>
      </c>
      <c r="E69" s="74">
        <v>0.75</v>
      </c>
      <c r="F69" s="229" t="s">
        <v>1656</v>
      </c>
    </row>
    <row r="70">
      <c r="A70" s="176" t="s">
        <v>5749</v>
      </c>
      <c r="B70" s="25">
        <v>315.0</v>
      </c>
      <c r="C70" s="62">
        <v>0.05</v>
      </c>
      <c r="D70" s="95">
        <v>0.68</v>
      </c>
      <c r="E70" s="95">
        <v>0.68</v>
      </c>
      <c r="F70" s="229" t="s">
        <v>1656</v>
      </c>
    </row>
    <row r="71">
      <c r="A71" s="176" t="s">
        <v>5750</v>
      </c>
      <c r="B71" s="25">
        <v>189.0</v>
      </c>
      <c r="C71" s="62">
        <v>0.05</v>
      </c>
      <c r="D71" s="74">
        <v>0.75</v>
      </c>
      <c r="E71" s="74">
        <v>0.75</v>
      </c>
      <c r="F71" s="229" t="s">
        <v>1656</v>
      </c>
    </row>
    <row r="72">
      <c r="A72" s="176" t="s">
        <v>5751</v>
      </c>
      <c r="B72" s="25">
        <v>189.0</v>
      </c>
      <c r="C72" s="62">
        <v>0.05</v>
      </c>
      <c r="D72" s="74">
        <v>0.75</v>
      </c>
      <c r="E72" s="74">
        <v>0.75</v>
      </c>
      <c r="F72" s="229" t="s">
        <v>1656</v>
      </c>
    </row>
    <row r="73">
      <c r="A73" s="176" t="s">
        <v>5752</v>
      </c>
      <c r="B73" s="25">
        <v>189.0</v>
      </c>
      <c r="C73" s="62">
        <v>0.05</v>
      </c>
      <c r="D73" s="74">
        <v>0.75</v>
      </c>
      <c r="E73" s="74">
        <v>0.75</v>
      </c>
      <c r="F73" s="229" t="s">
        <v>1656</v>
      </c>
    </row>
    <row r="74">
      <c r="A74" s="176" t="s">
        <v>5753</v>
      </c>
      <c r="B74" s="25">
        <v>7083.0</v>
      </c>
      <c r="C74" s="62">
        <v>0.05</v>
      </c>
      <c r="D74" s="95">
        <v>0.68</v>
      </c>
      <c r="E74" s="95">
        <v>0.68</v>
      </c>
      <c r="F74" s="229" t="s">
        <v>1656</v>
      </c>
    </row>
    <row r="75">
      <c r="A75" s="176" t="s">
        <v>3290</v>
      </c>
      <c r="B75" s="25">
        <v>14025.0</v>
      </c>
      <c r="C75" s="62">
        <v>0.05</v>
      </c>
      <c r="D75" s="95">
        <v>0.68</v>
      </c>
      <c r="E75" s="95">
        <v>0.68</v>
      </c>
      <c r="F75" s="229" t="s">
        <v>1656</v>
      </c>
    </row>
    <row r="76">
      <c r="A76" s="176" t="s">
        <v>5754</v>
      </c>
      <c r="B76" s="25">
        <v>7023.0</v>
      </c>
      <c r="C76" s="62">
        <v>0.05</v>
      </c>
      <c r="D76" s="95">
        <v>0.68</v>
      </c>
      <c r="E76" s="95">
        <v>0.68</v>
      </c>
      <c r="F76" s="229" t="s">
        <v>1656</v>
      </c>
    </row>
    <row r="77">
      <c r="A77" s="176" t="s">
        <v>5755</v>
      </c>
      <c r="B77" s="42">
        <v>13862.0</v>
      </c>
      <c r="C77" s="62">
        <v>0.05</v>
      </c>
      <c r="D77" s="95">
        <v>0.68</v>
      </c>
      <c r="E77" s="95">
        <v>0.68</v>
      </c>
      <c r="F77" s="229" t="s">
        <v>1656</v>
      </c>
    </row>
    <row r="78">
      <c r="A78" s="176" t="s">
        <v>5756</v>
      </c>
      <c r="B78" s="25">
        <v>189.0</v>
      </c>
      <c r="C78" s="62">
        <v>0.05</v>
      </c>
      <c r="D78" s="74">
        <v>0.75</v>
      </c>
      <c r="E78" s="74">
        <v>0.75</v>
      </c>
      <c r="F78" s="229" t="s">
        <v>1656</v>
      </c>
    </row>
    <row r="79">
      <c r="A79" s="176" t="s">
        <v>5757</v>
      </c>
      <c r="B79" s="25">
        <v>189.0</v>
      </c>
      <c r="C79" s="62">
        <v>0.05</v>
      </c>
      <c r="D79" s="74">
        <v>0.75</v>
      </c>
      <c r="E79" s="74">
        <v>0.75</v>
      </c>
      <c r="F79" s="229" t="s">
        <v>1656</v>
      </c>
    </row>
    <row r="80">
      <c r="A80" s="176" t="s">
        <v>5758</v>
      </c>
      <c r="B80" s="25">
        <v>189.0</v>
      </c>
      <c r="C80" s="62">
        <v>0.05</v>
      </c>
      <c r="D80" s="74">
        <v>0.75</v>
      </c>
      <c r="E80" s="74">
        <v>0.75</v>
      </c>
      <c r="F80" s="229" t="s">
        <v>1656</v>
      </c>
    </row>
    <row r="81">
      <c r="A81" s="176" t="s">
        <v>978</v>
      </c>
      <c r="B81" s="25">
        <v>9307.0</v>
      </c>
      <c r="C81" s="62">
        <v>0.05</v>
      </c>
      <c r="D81" s="95">
        <v>0.68</v>
      </c>
      <c r="E81" s="95">
        <v>0.68</v>
      </c>
      <c r="F81" s="229" t="s">
        <v>1656</v>
      </c>
    </row>
    <row r="82">
      <c r="A82" s="176" t="s">
        <v>2755</v>
      </c>
      <c r="B82" s="25">
        <v>9746.0</v>
      </c>
      <c r="C82" s="62">
        <v>0.05</v>
      </c>
      <c r="D82" s="95">
        <v>0.68</v>
      </c>
      <c r="E82" s="95">
        <v>0.68</v>
      </c>
      <c r="F82" s="229" t="s">
        <v>1656</v>
      </c>
    </row>
    <row r="83">
      <c r="A83" s="176" t="s">
        <v>5759</v>
      </c>
      <c r="B83" s="25">
        <v>12078.0</v>
      </c>
      <c r="C83" s="62">
        <v>0.05</v>
      </c>
      <c r="D83" s="95">
        <v>0.68</v>
      </c>
      <c r="E83" s="95">
        <v>0.68</v>
      </c>
      <c r="F83" s="229" t="s">
        <v>1656</v>
      </c>
    </row>
    <row r="84">
      <c r="A84" s="176" t="s">
        <v>5760</v>
      </c>
      <c r="B84" s="25">
        <v>189.0</v>
      </c>
      <c r="C84" s="62">
        <v>0.05</v>
      </c>
      <c r="D84" s="74">
        <v>0.75</v>
      </c>
      <c r="E84" s="74">
        <v>0.75</v>
      </c>
      <c r="F84" s="229" t="s">
        <v>1656</v>
      </c>
    </row>
    <row r="85">
      <c r="A85" s="176" t="s">
        <v>5761</v>
      </c>
      <c r="B85" s="25">
        <v>13951.0</v>
      </c>
      <c r="C85" s="62">
        <v>0.05</v>
      </c>
      <c r="D85" s="95">
        <v>0.68</v>
      </c>
      <c r="E85" s="95">
        <v>0.68</v>
      </c>
      <c r="F85" s="229" t="s">
        <v>1656</v>
      </c>
    </row>
    <row r="86">
      <c r="A86" s="176" t="s">
        <v>5762</v>
      </c>
      <c r="B86" s="25">
        <v>6671.0</v>
      </c>
      <c r="C86" s="62">
        <v>0.05</v>
      </c>
      <c r="D86" s="74">
        <v>0.75</v>
      </c>
      <c r="E86" s="74">
        <v>0.75</v>
      </c>
      <c r="F86" s="229" t="s">
        <v>1656</v>
      </c>
    </row>
    <row r="87">
      <c r="A87" s="176" t="s">
        <v>5763</v>
      </c>
      <c r="B87" s="25">
        <v>6106.0</v>
      </c>
      <c r="C87" s="62">
        <v>0.05</v>
      </c>
      <c r="D87" s="95">
        <v>0.68</v>
      </c>
      <c r="E87" s="95">
        <v>0.68</v>
      </c>
      <c r="F87" s="229" t="s">
        <v>1656</v>
      </c>
    </row>
    <row r="88">
      <c r="A88" s="176" t="s">
        <v>5764</v>
      </c>
      <c r="B88" s="25">
        <v>11104.0</v>
      </c>
      <c r="C88" s="62">
        <v>0.05</v>
      </c>
      <c r="D88" s="95">
        <v>0.68</v>
      </c>
      <c r="E88" s="95">
        <v>0.68</v>
      </c>
      <c r="F88" s="229" t="s">
        <v>1656</v>
      </c>
    </row>
    <row r="89">
      <c r="A89" s="176" t="s">
        <v>5765</v>
      </c>
      <c r="B89" s="25">
        <v>189.0</v>
      </c>
      <c r="C89" s="62">
        <v>0.05</v>
      </c>
      <c r="D89" s="74">
        <v>0.75</v>
      </c>
      <c r="E89" s="74">
        <v>0.75</v>
      </c>
      <c r="F89" s="229" t="s">
        <v>1656</v>
      </c>
    </row>
    <row r="90">
      <c r="A90" s="176" t="s">
        <v>5766</v>
      </c>
      <c r="B90" s="25">
        <v>12609.0</v>
      </c>
      <c r="C90" s="62">
        <v>0.05</v>
      </c>
      <c r="D90" s="95">
        <v>0.68</v>
      </c>
      <c r="E90" s="95">
        <v>0.68</v>
      </c>
      <c r="F90" s="229" t="s">
        <v>1656</v>
      </c>
    </row>
    <row r="91">
      <c r="A91" s="176" t="s">
        <v>5767</v>
      </c>
      <c r="B91" s="25">
        <v>6729.0</v>
      </c>
      <c r="C91" s="62">
        <v>0.05</v>
      </c>
      <c r="D91" s="74">
        <v>0.75</v>
      </c>
      <c r="E91" s="74">
        <v>0.75</v>
      </c>
      <c r="F91" s="229" t="s">
        <v>1656</v>
      </c>
    </row>
    <row r="92">
      <c r="A92" s="176" t="s">
        <v>5768</v>
      </c>
      <c r="B92" s="25">
        <v>189.0</v>
      </c>
      <c r="C92" s="62">
        <v>0.05</v>
      </c>
      <c r="D92" s="74">
        <v>0.75</v>
      </c>
      <c r="E92" s="74">
        <v>0.75</v>
      </c>
      <c r="F92" s="229" t="s">
        <v>1656</v>
      </c>
    </row>
    <row r="93">
      <c r="A93" s="176" t="s">
        <v>5769</v>
      </c>
      <c r="B93" s="25">
        <v>7055.0</v>
      </c>
      <c r="C93" s="62">
        <v>0.05</v>
      </c>
      <c r="D93" s="95">
        <v>0.68</v>
      </c>
      <c r="E93" s="95">
        <v>0.68</v>
      </c>
      <c r="F93" s="229" t="s">
        <v>1656</v>
      </c>
    </row>
    <row r="94">
      <c r="A94" s="176" t="s">
        <v>5770</v>
      </c>
      <c r="B94" s="25">
        <v>8486.0</v>
      </c>
      <c r="C94" s="62">
        <v>0.05</v>
      </c>
      <c r="D94" s="74">
        <v>0.75</v>
      </c>
      <c r="E94" s="74">
        <v>0.75</v>
      </c>
      <c r="F94" s="229" t="s">
        <v>1656</v>
      </c>
    </row>
    <row r="95">
      <c r="A95" s="176" t="s">
        <v>5771</v>
      </c>
      <c r="B95" s="25">
        <v>13858.0</v>
      </c>
      <c r="C95" s="62">
        <v>0.05</v>
      </c>
      <c r="D95" s="95">
        <v>0.68</v>
      </c>
      <c r="E95" s="95">
        <v>0.68</v>
      </c>
      <c r="F95" s="229" t="s">
        <v>1656</v>
      </c>
    </row>
    <row r="96">
      <c r="A96" s="176" t="s">
        <v>5772</v>
      </c>
      <c r="B96" s="25">
        <v>283.0</v>
      </c>
      <c r="C96" s="62">
        <v>0.05</v>
      </c>
      <c r="D96" s="95">
        <v>0.68</v>
      </c>
      <c r="E96" s="95">
        <v>0.68</v>
      </c>
      <c r="F96" s="229" t="s">
        <v>1656</v>
      </c>
    </row>
    <row r="97">
      <c r="A97" s="176" t="s">
        <v>4267</v>
      </c>
      <c r="B97" s="25">
        <v>6802.0</v>
      </c>
      <c r="C97" s="62">
        <v>0.05</v>
      </c>
      <c r="D97" s="95">
        <v>0.68</v>
      </c>
      <c r="E97" s="95">
        <v>0.68</v>
      </c>
      <c r="F97" s="229" t="s">
        <v>1656</v>
      </c>
    </row>
    <row r="98">
      <c r="A98" s="176" t="s">
        <v>5773</v>
      </c>
      <c r="B98" s="25">
        <v>13829.0</v>
      </c>
      <c r="C98" s="62">
        <v>0.05</v>
      </c>
      <c r="D98" s="95">
        <v>0.68</v>
      </c>
      <c r="E98" s="95">
        <v>0.68</v>
      </c>
      <c r="F98" s="229" t="s">
        <v>1656</v>
      </c>
    </row>
    <row r="99">
      <c r="A99" s="176" t="s">
        <v>5774</v>
      </c>
      <c r="B99" s="25">
        <v>14535.0</v>
      </c>
      <c r="C99" s="62">
        <v>0.05</v>
      </c>
      <c r="D99" s="95">
        <v>0.68</v>
      </c>
      <c r="E99" s="95">
        <v>0.68</v>
      </c>
      <c r="F99" s="229" t="s">
        <v>1656</v>
      </c>
    </row>
    <row r="100">
      <c r="A100" s="176" t="s">
        <v>5775</v>
      </c>
      <c r="B100" s="25">
        <v>6785.0</v>
      </c>
      <c r="C100" s="62">
        <v>0.05</v>
      </c>
      <c r="D100" s="95">
        <v>0.68</v>
      </c>
      <c r="E100" s="95">
        <v>0.68</v>
      </c>
      <c r="F100" s="229" t="s">
        <v>1656</v>
      </c>
    </row>
    <row r="101">
      <c r="A101" s="176" t="s">
        <v>5776</v>
      </c>
      <c r="B101" s="25">
        <v>189.0</v>
      </c>
      <c r="C101" s="62">
        <v>0.05</v>
      </c>
      <c r="D101" s="74">
        <v>0.75</v>
      </c>
      <c r="E101" s="74">
        <v>0.75</v>
      </c>
      <c r="F101" s="229" t="s">
        <v>1656</v>
      </c>
    </row>
    <row r="102">
      <c r="A102" s="176" t="s">
        <v>5777</v>
      </c>
      <c r="B102" s="25">
        <v>2345.0</v>
      </c>
      <c r="C102" s="62">
        <v>0.05</v>
      </c>
      <c r="D102" s="74">
        <v>0.9</v>
      </c>
      <c r="E102" s="74">
        <v>0.9</v>
      </c>
      <c r="F102" s="229" t="s">
        <v>1656</v>
      </c>
    </row>
    <row r="103">
      <c r="A103" s="176" t="s">
        <v>5778</v>
      </c>
      <c r="B103" s="25">
        <v>6678.0</v>
      </c>
      <c r="C103" s="62">
        <v>0.05</v>
      </c>
      <c r="D103" s="95">
        <v>0.68</v>
      </c>
      <c r="E103" s="95">
        <v>0.68</v>
      </c>
      <c r="F103" s="229" t="s">
        <v>1656</v>
      </c>
    </row>
    <row r="104">
      <c r="A104" s="176" t="s">
        <v>5779</v>
      </c>
      <c r="B104" s="25">
        <v>11708.0</v>
      </c>
      <c r="C104" s="62">
        <v>0.05</v>
      </c>
      <c r="D104" s="95">
        <v>0.68</v>
      </c>
      <c r="E104" s="95">
        <v>0.68</v>
      </c>
      <c r="F104" s="229" t="s">
        <v>1656</v>
      </c>
    </row>
    <row r="105">
      <c r="A105" s="176" t="s">
        <v>5780</v>
      </c>
      <c r="B105" s="25">
        <v>189.0</v>
      </c>
      <c r="C105" s="62">
        <v>0.05</v>
      </c>
      <c r="D105" s="74">
        <v>0.75</v>
      </c>
      <c r="E105" s="74">
        <v>0.75</v>
      </c>
      <c r="F105" s="229" t="s">
        <v>1656</v>
      </c>
    </row>
    <row r="106">
      <c r="A106" s="176" t="s">
        <v>2181</v>
      </c>
      <c r="B106" s="25">
        <v>6143.0</v>
      </c>
      <c r="C106" s="62">
        <v>0.05</v>
      </c>
      <c r="D106" s="95">
        <v>0.68</v>
      </c>
      <c r="E106" s="95">
        <v>0.68</v>
      </c>
      <c r="F106" s="229" t="s">
        <v>1656</v>
      </c>
    </row>
    <row r="107">
      <c r="A107" s="176" t="s">
        <v>5781</v>
      </c>
      <c r="B107" s="16">
        <v>14646.0</v>
      </c>
      <c r="C107" s="62">
        <v>0.05</v>
      </c>
      <c r="D107" s="95">
        <v>0.68</v>
      </c>
      <c r="E107" s="95">
        <v>0.68</v>
      </c>
      <c r="F107" s="229" t="s">
        <v>1656</v>
      </c>
    </row>
    <row r="108">
      <c r="A108" s="176" t="s">
        <v>5782</v>
      </c>
      <c r="B108" s="25">
        <v>6671.0</v>
      </c>
      <c r="C108" s="62">
        <v>0.05</v>
      </c>
      <c r="D108" s="74">
        <v>0.75</v>
      </c>
      <c r="E108" s="74">
        <v>0.75</v>
      </c>
      <c r="F108" s="229" t="s">
        <v>1656</v>
      </c>
    </row>
    <row r="109">
      <c r="A109" s="176" t="s">
        <v>5783</v>
      </c>
      <c r="B109" s="25">
        <v>6779.0</v>
      </c>
      <c r="C109" s="62">
        <v>0.05</v>
      </c>
      <c r="D109" s="95">
        <v>0.68</v>
      </c>
      <c r="E109" s="95">
        <v>0.68</v>
      </c>
      <c r="F109" s="229" t="s">
        <v>1656</v>
      </c>
    </row>
    <row r="110">
      <c r="A110" s="176" t="s">
        <v>1270</v>
      </c>
      <c r="B110" s="25">
        <v>14055.0</v>
      </c>
      <c r="C110" s="62">
        <v>0.05</v>
      </c>
      <c r="D110" s="95">
        <v>0.68</v>
      </c>
      <c r="E110" s="95">
        <v>0.68</v>
      </c>
      <c r="F110" s="229" t="s">
        <v>1656</v>
      </c>
    </row>
    <row r="111">
      <c r="A111" s="176" t="s">
        <v>5784</v>
      </c>
      <c r="B111" s="25">
        <v>499.0</v>
      </c>
      <c r="C111" s="62">
        <v>0.05</v>
      </c>
      <c r="D111" s="95">
        <v>0.68</v>
      </c>
      <c r="E111" s="95">
        <v>0.68</v>
      </c>
      <c r="F111" s="229" t="s">
        <v>1656</v>
      </c>
    </row>
    <row r="112">
      <c r="A112" s="176" t="s">
        <v>5785</v>
      </c>
      <c r="B112" s="25">
        <v>7747.0</v>
      </c>
      <c r="C112" s="62">
        <v>0.05</v>
      </c>
      <c r="D112" s="95">
        <v>0.68</v>
      </c>
      <c r="E112" s="95">
        <v>0.68</v>
      </c>
      <c r="F112" s="229" t="s">
        <v>1656</v>
      </c>
    </row>
    <row r="113">
      <c r="A113" s="176" t="s">
        <v>5786</v>
      </c>
      <c r="B113" s="25">
        <v>2345.0</v>
      </c>
      <c r="C113" s="62">
        <v>0.05</v>
      </c>
      <c r="D113" s="74">
        <v>0.9</v>
      </c>
      <c r="E113" s="74">
        <v>0.9</v>
      </c>
      <c r="F113" s="229" t="s">
        <v>1656</v>
      </c>
    </row>
    <row r="114">
      <c r="A114" s="176" t="s">
        <v>5787</v>
      </c>
      <c r="B114" s="25">
        <v>7040.0</v>
      </c>
      <c r="C114" s="62">
        <v>0.05</v>
      </c>
      <c r="D114" s="95">
        <v>0.68</v>
      </c>
      <c r="E114" s="95">
        <v>0.68</v>
      </c>
      <c r="F114" s="229" t="s">
        <v>1656</v>
      </c>
    </row>
    <row r="115">
      <c r="A115" s="176" t="s">
        <v>5788</v>
      </c>
      <c r="B115" s="25">
        <v>8002.0</v>
      </c>
      <c r="C115" s="62">
        <v>0.05</v>
      </c>
      <c r="D115" s="95">
        <v>0.68</v>
      </c>
      <c r="E115" s="95">
        <v>0.68</v>
      </c>
      <c r="F115" s="229" t="s">
        <v>1656</v>
      </c>
    </row>
    <row r="116">
      <c r="A116" s="176" t="s">
        <v>5789</v>
      </c>
      <c r="B116" s="25">
        <v>14659.0</v>
      </c>
      <c r="C116" s="62">
        <v>0.05</v>
      </c>
      <c r="D116" s="95">
        <v>0.68</v>
      </c>
      <c r="E116" s="95">
        <v>0.68</v>
      </c>
      <c r="F116" s="229" t="s">
        <v>1656</v>
      </c>
    </row>
    <row r="117">
      <c r="A117" s="176" t="s">
        <v>5790</v>
      </c>
      <c r="B117" s="25">
        <v>7003.0</v>
      </c>
      <c r="C117" s="62">
        <v>0.05</v>
      </c>
      <c r="D117" s="95">
        <v>0.68</v>
      </c>
      <c r="E117" s="95">
        <v>0.68</v>
      </c>
      <c r="F117" s="229" t="s">
        <v>1656</v>
      </c>
    </row>
    <row r="118">
      <c r="A118" s="176" t="s">
        <v>5791</v>
      </c>
      <c r="B118" s="25">
        <v>6873.0</v>
      </c>
      <c r="C118" s="62">
        <v>0.05</v>
      </c>
      <c r="D118" s="95">
        <v>0.68</v>
      </c>
      <c r="E118" s="95">
        <v>0.68</v>
      </c>
      <c r="F118" s="229" t="s">
        <v>1656</v>
      </c>
    </row>
    <row r="119">
      <c r="A119" s="176" t="s">
        <v>5792</v>
      </c>
      <c r="B119" s="25">
        <v>14672.0</v>
      </c>
      <c r="C119" s="62">
        <v>0.05</v>
      </c>
      <c r="D119" s="95">
        <v>0.68</v>
      </c>
      <c r="E119" s="95">
        <v>0.68</v>
      </c>
      <c r="F119" s="229" t="s">
        <v>1656</v>
      </c>
    </row>
    <row r="120">
      <c r="A120" s="176" t="s">
        <v>5793</v>
      </c>
      <c r="B120" s="25">
        <v>6947.0</v>
      </c>
      <c r="C120" s="62">
        <v>0.05</v>
      </c>
      <c r="D120" s="95">
        <v>0.68</v>
      </c>
      <c r="E120" s="95">
        <v>0.68</v>
      </c>
      <c r="F120" s="229" t="s">
        <v>1656</v>
      </c>
    </row>
    <row r="121">
      <c r="A121" s="176" t="s">
        <v>5794</v>
      </c>
      <c r="B121" s="264">
        <v>14663.0</v>
      </c>
      <c r="C121" s="62">
        <v>0.05</v>
      </c>
      <c r="D121" s="95">
        <v>0.68</v>
      </c>
      <c r="E121" s="95">
        <v>0.68</v>
      </c>
      <c r="F121" s="229" t="s">
        <v>1656</v>
      </c>
    </row>
    <row r="122">
      <c r="A122" s="176" t="s">
        <v>5795</v>
      </c>
      <c r="B122" s="25">
        <v>6675.0</v>
      </c>
      <c r="C122" s="62">
        <v>0.05</v>
      </c>
      <c r="D122" s="74">
        <v>0.9</v>
      </c>
      <c r="E122" s="74">
        <v>0.9</v>
      </c>
      <c r="F122" s="229" t="s">
        <v>1656</v>
      </c>
    </row>
    <row r="123">
      <c r="A123" s="176" t="s">
        <v>5796</v>
      </c>
      <c r="B123" s="16">
        <v>13862.0</v>
      </c>
      <c r="C123" s="62">
        <v>0.05</v>
      </c>
      <c r="D123" s="95">
        <v>0.68</v>
      </c>
      <c r="E123" s="95">
        <v>0.68</v>
      </c>
      <c r="F123" s="229" t="s">
        <v>1656</v>
      </c>
    </row>
    <row r="124">
      <c r="A124" s="176" t="s">
        <v>2658</v>
      </c>
      <c r="B124" s="25">
        <v>14507.0</v>
      </c>
      <c r="C124" s="62">
        <v>0.05</v>
      </c>
      <c r="D124" s="95">
        <v>0.68</v>
      </c>
      <c r="E124" s="95">
        <v>0.68</v>
      </c>
      <c r="F124" s="229" t="s">
        <v>1656</v>
      </c>
    </row>
    <row r="125">
      <c r="A125" s="176" t="s">
        <v>5797</v>
      </c>
      <c r="B125" s="25">
        <v>6658.0</v>
      </c>
      <c r="C125" s="62">
        <v>0.05</v>
      </c>
      <c r="D125" s="74">
        <v>0.75</v>
      </c>
      <c r="E125" s="74">
        <v>0.75</v>
      </c>
      <c r="F125" s="229" t="s">
        <v>1656</v>
      </c>
    </row>
    <row r="126">
      <c r="A126" s="176" t="s">
        <v>5798</v>
      </c>
      <c r="B126" s="78"/>
      <c r="C126" s="62">
        <v>0.05</v>
      </c>
      <c r="D126" s="95">
        <v>0.68</v>
      </c>
      <c r="E126" s="95">
        <v>0.68</v>
      </c>
      <c r="F126" s="229" t="s">
        <v>1656</v>
      </c>
    </row>
    <row r="127">
      <c r="A127" s="176" t="s">
        <v>5799</v>
      </c>
      <c r="B127" s="25">
        <v>271.0</v>
      </c>
      <c r="C127" s="62">
        <v>0.05</v>
      </c>
      <c r="D127" s="95">
        <v>0.68</v>
      </c>
      <c r="E127" s="95">
        <v>0.68</v>
      </c>
      <c r="F127" s="229" t="s">
        <v>1656</v>
      </c>
    </row>
    <row r="128">
      <c r="A128" s="176" t="s">
        <v>5800</v>
      </c>
      <c r="B128" s="25">
        <v>271.0</v>
      </c>
      <c r="C128" s="62">
        <v>0.05</v>
      </c>
      <c r="D128" s="95">
        <v>0.68</v>
      </c>
      <c r="E128" s="95">
        <v>0.68</v>
      </c>
      <c r="F128" s="229" t="s">
        <v>1656</v>
      </c>
    </row>
    <row r="129">
      <c r="A129" s="176" t="s">
        <v>1159</v>
      </c>
      <c r="B129" s="25">
        <v>3404.0</v>
      </c>
      <c r="C129" s="62">
        <v>0.05</v>
      </c>
      <c r="D129" s="95">
        <v>0.68</v>
      </c>
      <c r="E129" s="95">
        <v>0.68</v>
      </c>
      <c r="F129" s="229" t="s">
        <v>1656</v>
      </c>
    </row>
    <row r="130">
      <c r="A130" s="176" t="s">
        <v>5801</v>
      </c>
      <c r="B130" s="25">
        <v>12553.0</v>
      </c>
      <c r="C130" s="62">
        <v>0.05</v>
      </c>
      <c r="D130" s="95">
        <v>0.68</v>
      </c>
      <c r="E130" s="95">
        <v>0.68</v>
      </c>
      <c r="F130" s="229" t="s">
        <v>1656</v>
      </c>
    </row>
    <row r="131">
      <c r="A131" s="176" t="s">
        <v>5802</v>
      </c>
      <c r="B131" s="37">
        <v>14480.0</v>
      </c>
      <c r="C131" s="62">
        <v>0.05</v>
      </c>
      <c r="D131" s="95">
        <v>0.68</v>
      </c>
      <c r="E131" s="95">
        <v>0.68</v>
      </c>
      <c r="F131" s="229" t="s">
        <v>1656</v>
      </c>
    </row>
    <row r="132">
      <c r="A132" s="176" t="s">
        <v>5803</v>
      </c>
      <c r="B132" s="25">
        <v>12301.0</v>
      </c>
      <c r="C132" s="62">
        <v>0.05</v>
      </c>
      <c r="D132" s="95">
        <v>0.68</v>
      </c>
      <c r="E132" s="95">
        <v>0.68</v>
      </c>
      <c r="F132" s="229" t="s">
        <v>1656</v>
      </c>
    </row>
    <row r="133">
      <c r="A133" s="176" t="s">
        <v>5804</v>
      </c>
      <c r="B133" s="25">
        <v>10856.0</v>
      </c>
      <c r="C133" s="62">
        <v>0.05</v>
      </c>
      <c r="D133" s="95">
        <v>0.68</v>
      </c>
      <c r="E133" s="95">
        <v>0.68</v>
      </c>
      <c r="F133" s="229" t="s">
        <v>1656</v>
      </c>
    </row>
    <row r="134">
      <c r="A134" s="176" t="s">
        <v>5805</v>
      </c>
      <c r="B134" s="16">
        <v>13862.0</v>
      </c>
      <c r="C134" s="62">
        <v>0.05</v>
      </c>
      <c r="D134" s="95">
        <v>0.68</v>
      </c>
      <c r="E134" s="95">
        <v>0.68</v>
      </c>
      <c r="F134" s="229" t="s">
        <v>1656</v>
      </c>
    </row>
    <row r="135">
      <c r="A135" s="176" t="s">
        <v>5806</v>
      </c>
      <c r="B135" s="25">
        <v>2507.0</v>
      </c>
      <c r="C135" s="62">
        <v>0.05</v>
      </c>
      <c r="D135" s="95">
        <v>0.68</v>
      </c>
      <c r="E135" s="95">
        <v>0.68</v>
      </c>
      <c r="F135" s="229" t="s">
        <v>1656</v>
      </c>
    </row>
    <row r="136">
      <c r="A136" s="176" t="s">
        <v>5807</v>
      </c>
      <c r="B136" s="78"/>
      <c r="C136" s="62">
        <v>0.05</v>
      </c>
      <c r="D136" s="95">
        <v>0.68</v>
      </c>
      <c r="E136" s="95">
        <v>0.68</v>
      </c>
      <c r="F136" s="229" t="s">
        <v>1656</v>
      </c>
    </row>
    <row r="137">
      <c r="A137" s="176" t="s">
        <v>5808</v>
      </c>
      <c r="B137" s="78"/>
      <c r="C137" s="62">
        <v>0.05</v>
      </c>
      <c r="D137" s="95">
        <v>0.68</v>
      </c>
      <c r="E137" s="95">
        <v>0.68</v>
      </c>
      <c r="F137" s="229" t="s">
        <v>1656</v>
      </c>
    </row>
    <row r="138">
      <c r="A138" s="176" t="s">
        <v>5809</v>
      </c>
      <c r="B138" s="25">
        <v>12932.0</v>
      </c>
      <c r="C138" s="62">
        <v>0.05</v>
      </c>
      <c r="D138" s="95">
        <v>0.68</v>
      </c>
      <c r="E138" s="95">
        <v>0.68</v>
      </c>
      <c r="F138" s="229" t="s">
        <v>1656</v>
      </c>
    </row>
    <row r="139">
      <c r="A139" s="176" t="s">
        <v>5810</v>
      </c>
      <c r="B139" s="78"/>
      <c r="C139" s="62">
        <v>0.05</v>
      </c>
      <c r="D139" s="95">
        <v>0.68</v>
      </c>
      <c r="E139" s="95">
        <v>0.68</v>
      </c>
      <c r="F139" s="229" t="s">
        <v>1656</v>
      </c>
    </row>
    <row r="140">
      <c r="A140" s="176" t="s">
        <v>5811</v>
      </c>
      <c r="B140" s="78"/>
      <c r="C140" s="62">
        <v>0.05</v>
      </c>
      <c r="D140" s="95">
        <v>0.68</v>
      </c>
      <c r="E140" s="95">
        <v>0.68</v>
      </c>
      <c r="F140" s="229" t="s">
        <v>1656</v>
      </c>
    </row>
    <row r="141">
      <c r="A141" s="176" t="s">
        <v>5812</v>
      </c>
      <c r="B141" s="78"/>
      <c r="C141" s="62">
        <v>0.05</v>
      </c>
      <c r="D141" s="95">
        <v>0.68</v>
      </c>
      <c r="E141" s="95">
        <v>0.68</v>
      </c>
      <c r="F141" s="229" t="s">
        <v>1656</v>
      </c>
    </row>
    <row r="142">
      <c r="A142" s="176" t="s">
        <v>5813</v>
      </c>
      <c r="B142" s="25">
        <v>6924.0</v>
      </c>
      <c r="C142" s="62">
        <v>0.05</v>
      </c>
      <c r="D142" s="95">
        <v>0.68</v>
      </c>
      <c r="E142" s="95">
        <v>0.68</v>
      </c>
      <c r="F142" s="229" t="s">
        <v>1656</v>
      </c>
    </row>
    <row r="143">
      <c r="A143" s="176" t="s">
        <v>5814</v>
      </c>
      <c r="B143" s="25">
        <v>189.0</v>
      </c>
      <c r="C143" s="62">
        <v>0.05</v>
      </c>
      <c r="D143" s="74">
        <v>0.75</v>
      </c>
      <c r="E143" s="74">
        <v>0.75</v>
      </c>
      <c r="F143" s="229" t="s">
        <v>1656</v>
      </c>
    </row>
    <row r="144">
      <c r="A144" s="176" t="s">
        <v>5815</v>
      </c>
      <c r="B144" s="25">
        <v>189.0</v>
      </c>
      <c r="C144" s="62">
        <v>0.05</v>
      </c>
      <c r="D144" s="74">
        <v>0.75</v>
      </c>
      <c r="E144" s="74">
        <v>0.75</v>
      </c>
      <c r="F144" s="229" t="s">
        <v>1656</v>
      </c>
    </row>
    <row r="145">
      <c r="A145" s="176" t="s">
        <v>5816</v>
      </c>
      <c r="B145" s="25">
        <v>189.0</v>
      </c>
      <c r="C145" s="62">
        <v>0.05</v>
      </c>
      <c r="D145" s="74">
        <v>0.75</v>
      </c>
      <c r="E145" s="74">
        <v>0.75</v>
      </c>
      <c r="F145" s="229" t="s">
        <v>1656</v>
      </c>
    </row>
    <row r="146">
      <c r="A146" s="176" t="s">
        <v>613</v>
      </c>
      <c r="B146" s="25">
        <v>189.0</v>
      </c>
      <c r="C146" s="62">
        <v>0.05</v>
      </c>
      <c r="D146" s="74">
        <v>0.75</v>
      </c>
      <c r="E146" s="74">
        <v>0.75</v>
      </c>
      <c r="F146" s="229" t="s">
        <v>1656</v>
      </c>
    </row>
    <row r="147">
      <c r="A147" s="176" t="s">
        <v>5817</v>
      </c>
      <c r="B147" s="25">
        <v>189.0</v>
      </c>
      <c r="C147" s="62">
        <v>0.05</v>
      </c>
      <c r="D147" s="74">
        <v>0.75</v>
      </c>
      <c r="E147" s="74">
        <v>0.75</v>
      </c>
      <c r="F147" s="229" t="s">
        <v>1656</v>
      </c>
    </row>
    <row r="148">
      <c r="A148" s="176" t="s">
        <v>5818</v>
      </c>
      <c r="B148" s="25">
        <v>189.0</v>
      </c>
      <c r="C148" s="62">
        <v>0.05</v>
      </c>
      <c r="D148" s="74">
        <v>0.75</v>
      </c>
      <c r="E148" s="74">
        <v>0.75</v>
      </c>
      <c r="F148" s="229" t="s">
        <v>1656</v>
      </c>
    </row>
    <row r="149">
      <c r="A149" s="176" t="s">
        <v>5819</v>
      </c>
      <c r="B149" s="25">
        <v>189.0</v>
      </c>
      <c r="C149" s="62">
        <v>0.05</v>
      </c>
      <c r="D149" s="74">
        <v>0.75</v>
      </c>
      <c r="E149" s="74">
        <v>0.75</v>
      </c>
      <c r="F149" s="229" t="s">
        <v>1656</v>
      </c>
    </row>
    <row r="150">
      <c r="A150" s="176" t="s">
        <v>5820</v>
      </c>
      <c r="B150" s="25">
        <v>189.0</v>
      </c>
      <c r="C150" s="62">
        <v>0.05</v>
      </c>
      <c r="D150" s="74">
        <v>0.75</v>
      </c>
      <c r="E150" s="74">
        <v>0.75</v>
      </c>
      <c r="F150" s="229" t="s">
        <v>1656</v>
      </c>
    </row>
    <row r="151">
      <c r="A151" s="176" t="s">
        <v>5821</v>
      </c>
      <c r="B151" s="25">
        <v>189.0</v>
      </c>
      <c r="C151" s="62">
        <v>0.05</v>
      </c>
      <c r="D151" s="74">
        <v>0.75</v>
      </c>
      <c r="E151" s="74">
        <v>0.75</v>
      </c>
      <c r="F151" s="229" t="s">
        <v>1656</v>
      </c>
    </row>
    <row r="152">
      <c r="A152" s="176" t="s">
        <v>5822</v>
      </c>
      <c r="B152" s="25">
        <v>189.0</v>
      </c>
      <c r="C152" s="62">
        <v>0.05</v>
      </c>
      <c r="D152" s="74">
        <v>0.75</v>
      </c>
      <c r="E152" s="74">
        <v>0.75</v>
      </c>
      <c r="F152" s="229" t="s">
        <v>1656</v>
      </c>
    </row>
    <row r="153">
      <c r="A153" s="176" t="s">
        <v>2613</v>
      </c>
      <c r="B153" s="25">
        <v>189.0</v>
      </c>
      <c r="C153" s="62">
        <v>0.05</v>
      </c>
      <c r="D153" s="74">
        <v>0.75</v>
      </c>
      <c r="E153" s="74">
        <v>0.75</v>
      </c>
      <c r="F153" s="229" t="s">
        <v>1656</v>
      </c>
    </row>
    <row r="154">
      <c r="A154" s="176" t="s">
        <v>5823</v>
      </c>
      <c r="B154" s="25">
        <v>6924.0</v>
      </c>
      <c r="C154" s="62">
        <v>0.05</v>
      </c>
      <c r="D154" s="95">
        <v>0.68</v>
      </c>
      <c r="E154" s="95">
        <v>0.68</v>
      </c>
      <c r="F154" s="229" t="s">
        <v>1656</v>
      </c>
    </row>
    <row r="155">
      <c r="A155" s="176" t="s">
        <v>5824</v>
      </c>
      <c r="B155" s="78"/>
      <c r="C155" s="62">
        <v>0.05</v>
      </c>
      <c r="D155" s="95">
        <v>0.68</v>
      </c>
      <c r="E155" s="95">
        <v>0.68</v>
      </c>
      <c r="F155" s="229" t="s">
        <v>1656</v>
      </c>
    </row>
    <row r="156">
      <c r="A156" s="176" t="s">
        <v>5825</v>
      </c>
      <c r="B156" s="25">
        <v>14267.0</v>
      </c>
      <c r="C156" s="62">
        <v>0.05</v>
      </c>
      <c r="D156" s="95">
        <v>0.68</v>
      </c>
      <c r="E156" s="95">
        <v>0.68</v>
      </c>
      <c r="F156" s="229" t="s">
        <v>1656</v>
      </c>
    </row>
    <row r="157">
      <c r="A157" s="176" t="s">
        <v>5826</v>
      </c>
      <c r="B157" s="25">
        <v>14267.0</v>
      </c>
      <c r="C157" s="62">
        <v>0.05</v>
      </c>
      <c r="D157" s="95">
        <v>0.68</v>
      </c>
      <c r="E157" s="95">
        <v>0.68</v>
      </c>
      <c r="F157" s="229" t="s">
        <v>1656</v>
      </c>
    </row>
    <row r="158">
      <c r="A158" s="176" t="s">
        <v>5827</v>
      </c>
      <c r="B158" s="78"/>
      <c r="C158" s="62">
        <v>0.05</v>
      </c>
      <c r="D158" s="95">
        <v>0.68</v>
      </c>
      <c r="E158" s="95">
        <v>0.68</v>
      </c>
      <c r="F158" s="229" t="s">
        <v>1656</v>
      </c>
    </row>
    <row r="159">
      <c r="A159" s="176" t="s">
        <v>5828</v>
      </c>
      <c r="B159" s="25">
        <v>14025.0</v>
      </c>
      <c r="C159" s="62">
        <v>0.05</v>
      </c>
      <c r="D159" s="95">
        <v>0.68</v>
      </c>
      <c r="E159" s="95">
        <v>0.68</v>
      </c>
      <c r="F159" s="229" t="s">
        <v>1656</v>
      </c>
    </row>
    <row r="160">
      <c r="A160" s="176" t="s">
        <v>5829</v>
      </c>
      <c r="B160" s="78"/>
      <c r="C160" s="62">
        <v>0.05</v>
      </c>
      <c r="D160" s="95">
        <v>0.68</v>
      </c>
      <c r="E160" s="95">
        <v>0.68</v>
      </c>
      <c r="F160" s="229" t="s">
        <v>1656</v>
      </c>
    </row>
    <row r="161">
      <c r="A161" s="176" t="s">
        <v>5830</v>
      </c>
      <c r="B161" s="25">
        <v>12553.0</v>
      </c>
      <c r="C161" s="62">
        <v>0.05</v>
      </c>
      <c r="D161" s="95">
        <v>0.68</v>
      </c>
      <c r="E161" s="95">
        <v>0.68</v>
      </c>
      <c r="F161" s="229" t="s">
        <v>1656</v>
      </c>
    </row>
    <row r="162">
      <c r="A162" s="176" t="s">
        <v>2433</v>
      </c>
      <c r="B162" s="25">
        <v>6668.0</v>
      </c>
      <c r="C162" s="62">
        <v>0.05</v>
      </c>
      <c r="D162" s="95">
        <v>0.68</v>
      </c>
      <c r="E162" s="95">
        <v>0.68</v>
      </c>
      <c r="F162" s="229" t="s">
        <v>1656</v>
      </c>
    </row>
    <row r="163">
      <c r="A163" s="176" t="s">
        <v>5831</v>
      </c>
      <c r="B163" s="25">
        <v>6668.0</v>
      </c>
      <c r="C163" s="62">
        <v>0.05</v>
      </c>
      <c r="D163" s="95">
        <v>0.68</v>
      </c>
      <c r="E163" s="95">
        <v>0.68</v>
      </c>
      <c r="F163" s="229" t="s">
        <v>1656</v>
      </c>
    </row>
    <row r="164">
      <c r="A164" s="176" t="s">
        <v>5832</v>
      </c>
      <c r="B164" s="78"/>
      <c r="C164" s="62">
        <v>0.05</v>
      </c>
      <c r="D164" s="95">
        <v>0.68</v>
      </c>
      <c r="E164" s="95">
        <v>0.68</v>
      </c>
      <c r="F164" s="229" t="s">
        <v>1656</v>
      </c>
    </row>
    <row r="165">
      <c r="A165" s="176" t="s">
        <v>5833</v>
      </c>
      <c r="B165" s="25">
        <v>6109.0</v>
      </c>
      <c r="C165" s="62">
        <v>0.05</v>
      </c>
      <c r="D165" s="95">
        <v>0.68</v>
      </c>
      <c r="E165" s="95">
        <v>0.68</v>
      </c>
      <c r="F165" s="229" t="s">
        <v>1656</v>
      </c>
    </row>
    <row r="166">
      <c r="A166" s="176" t="s">
        <v>5834</v>
      </c>
      <c r="B166" s="25">
        <v>14529.0</v>
      </c>
      <c r="C166" s="62">
        <v>0.05</v>
      </c>
      <c r="D166" s="95">
        <v>0.68</v>
      </c>
      <c r="E166" s="95">
        <v>0.68</v>
      </c>
      <c r="F166" s="229" t="s">
        <v>1656</v>
      </c>
    </row>
    <row r="167">
      <c r="A167" s="176" t="s">
        <v>5835</v>
      </c>
      <c r="B167" s="78"/>
      <c r="C167" s="62">
        <v>0.05</v>
      </c>
      <c r="D167" s="95">
        <v>0.68</v>
      </c>
      <c r="E167" s="95">
        <v>0.68</v>
      </c>
      <c r="F167" s="229" t="s">
        <v>1656</v>
      </c>
    </row>
    <row r="168">
      <c r="A168" s="176" t="s">
        <v>5836</v>
      </c>
      <c r="B168" s="25">
        <v>6109.0</v>
      </c>
      <c r="C168" s="62">
        <v>0.05</v>
      </c>
      <c r="D168" s="95">
        <v>0.68</v>
      </c>
      <c r="E168" s="95">
        <v>0.68</v>
      </c>
      <c r="F168" s="229" t="s">
        <v>1656</v>
      </c>
    </row>
    <row r="169">
      <c r="A169" s="176" t="s">
        <v>5837</v>
      </c>
      <c r="B169" s="25">
        <v>6109.0</v>
      </c>
      <c r="C169" s="62">
        <v>0.05</v>
      </c>
      <c r="D169" s="95">
        <v>0.68</v>
      </c>
      <c r="E169" s="95">
        <v>0.68</v>
      </c>
      <c r="F169" s="229" t="s">
        <v>1656</v>
      </c>
    </row>
    <row r="170">
      <c r="A170" s="176" t="s">
        <v>3385</v>
      </c>
      <c r="B170" s="78"/>
      <c r="C170" s="62">
        <v>0.05</v>
      </c>
      <c r="D170" s="95">
        <v>0.68</v>
      </c>
      <c r="E170" s="95">
        <v>0.68</v>
      </c>
      <c r="F170" s="229" t="s">
        <v>1656</v>
      </c>
    </row>
    <row r="171">
      <c r="A171" s="176" t="s">
        <v>5838</v>
      </c>
      <c r="B171" s="25"/>
      <c r="C171" s="62">
        <v>0.05</v>
      </c>
      <c r="D171" s="95">
        <v>0.68</v>
      </c>
      <c r="E171" s="95">
        <v>0.68</v>
      </c>
      <c r="F171" s="229" t="s">
        <v>1656</v>
      </c>
    </row>
    <row r="172">
      <c r="A172" s="176" t="s">
        <v>5839</v>
      </c>
      <c r="B172" s="78"/>
      <c r="C172" s="62">
        <v>0.05</v>
      </c>
      <c r="D172" s="95">
        <v>0.68</v>
      </c>
      <c r="E172" s="95">
        <v>0.68</v>
      </c>
      <c r="F172" s="229" t="s">
        <v>1656</v>
      </c>
    </row>
    <row r="173">
      <c r="A173" s="176" t="s">
        <v>4268</v>
      </c>
      <c r="B173" s="25">
        <v>6109.0</v>
      </c>
      <c r="C173" s="62">
        <v>0.05</v>
      </c>
      <c r="D173" s="95">
        <v>0.68</v>
      </c>
      <c r="E173" s="95">
        <v>0.68</v>
      </c>
      <c r="F173" s="229" t="s">
        <v>1656</v>
      </c>
    </row>
    <row r="174">
      <c r="A174" s="176" t="s">
        <v>5840</v>
      </c>
      <c r="B174" s="25">
        <v>14580.0</v>
      </c>
      <c r="C174" s="62">
        <v>0.05</v>
      </c>
      <c r="D174" s="95">
        <v>0.68</v>
      </c>
      <c r="E174" s="95">
        <v>0.68</v>
      </c>
      <c r="F174" s="229" t="s">
        <v>1656</v>
      </c>
    </row>
    <row r="175">
      <c r="A175" s="176" t="s">
        <v>5841</v>
      </c>
      <c r="B175" s="25">
        <v>6109.0</v>
      </c>
      <c r="C175" s="62">
        <v>0.05</v>
      </c>
      <c r="D175" s="95">
        <v>0.68</v>
      </c>
      <c r="E175" s="95">
        <v>0.68</v>
      </c>
      <c r="F175" s="229" t="s">
        <v>1656</v>
      </c>
    </row>
    <row r="176">
      <c r="A176" s="176" t="s">
        <v>5842</v>
      </c>
      <c r="B176" s="78"/>
      <c r="C176" s="62">
        <v>0.05</v>
      </c>
      <c r="D176" s="95">
        <v>0.68</v>
      </c>
      <c r="E176" s="95">
        <v>0.68</v>
      </c>
      <c r="F176" s="229" t="s">
        <v>1656</v>
      </c>
    </row>
    <row r="177">
      <c r="A177" s="176" t="s">
        <v>5843</v>
      </c>
      <c r="B177" s="25">
        <v>14580.0</v>
      </c>
      <c r="C177" s="62">
        <v>0.05</v>
      </c>
      <c r="D177" s="95">
        <v>0.68</v>
      </c>
      <c r="E177" s="95">
        <v>0.68</v>
      </c>
      <c r="F177" s="229" t="s">
        <v>1656</v>
      </c>
    </row>
    <row r="178">
      <c r="A178" s="176" t="s">
        <v>5844</v>
      </c>
      <c r="B178" s="25">
        <v>6660.0</v>
      </c>
      <c r="C178" s="62">
        <v>0.05</v>
      </c>
      <c r="D178" s="95">
        <v>0.68</v>
      </c>
      <c r="E178" s="95">
        <v>0.68</v>
      </c>
      <c r="F178" s="229" t="s">
        <v>1656</v>
      </c>
    </row>
    <row r="179">
      <c r="A179" s="176" t="s">
        <v>5845</v>
      </c>
      <c r="B179" s="78"/>
      <c r="C179" s="62">
        <v>0.05</v>
      </c>
      <c r="D179" s="95">
        <v>0.68</v>
      </c>
      <c r="E179" s="95">
        <v>0.68</v>
      </c>
      <c r="F179" s="229" t="s">
        <v>1656</v>
      </c>
    </row>
    <row r="180">
      <c r="A180" s="176" t="s">
        <v>5846</v>
      </c>
      <c r="B180" s="78"/>
      <c r="C180" s="62">
        <v>0.05</v>
      </c>
      <c r="D180" s="95">
        <v>0.68</v>
      </c>
      <c r="E180" s="95">
        <v>0.68</v>
      </c>
      <c r="F180" s="229" t="s">
        <v>1656</v>
      </c>
    </row>
    <row r="181">
      <c r="A181" s="176" t="s">
        <v>5847</v>
      </c>
      <c r="B181" s="25">
        <v>14575.0</v>
      </c>
      <c r="C181" s="62">
        <v>0.05</v>
      </c>
      <c r="D181" s="74">
        <v>0.85</v>
      </c>
      <c r="E181" s="74">
        <v>0.85</v>
      </c>
      <c r="F181" s="229" t="s">
        <v>1656</v>
      </c>
    </row>
    <row r="182">
      <c r="A182" s="176" t="s">
        <v>5848</v>
      </c>
      <c r="B182" s="78"/>
      <c r="C182" s="62">
        <v>0.05</v>
      </c>
      <c r="D182" s="95">
        <v>0.68</v>
      </c>
      <c r="E182" s="95">
        <v>0.68</v>
      </c>
      <c r="F182" s="229" t="s">
        <v>1656</v>
      </c>
    </row>
    <row r="183">
      <c r="A183" s="176" t="s">
        <v>1193</v>
      </c>
      <c r="B183" s="25">
        <v>6697.0</v>
      </c>
      <c r="C183" s="62">
        <v>0.05</v>
      </c>
      <c r="D183" s="95">
        <v>0.68</v>
      </c>
      <c r="E183" s="95">
        <v>0.68</v>
      </c>
      <c r="F183" s="229" t="s">
        <v>1656</v>
      </c>
    </row>
    <row r="184">
      <c r="A184" s="176" t="s">
        <v>5849</v>
      </c>
      <c r="B184" s="25">
        <v>11049.0</v>
      </c>
      <c r="C184" s="62">
        <v>0.05</v>
      </c>
      <c r="D184" s="95">
        <v>0.68</v>
      </c>
      <c r="E184" s="95">
        <v>0.68</v>
      </c>
      <c r="F184" s="229" t="s">
        <v>1656</v>
      </c>
    </row>
    <row r="185">
      <c r="A185" s="176" t="s">
        <v>5850</v>
      </c>
      <c r="B185" s="25">
        <v>11049.0</v>
      </c>
      <c r="C185" s="62">
        <v>0.05</v>
      </c>
      <c r="D185" s="95">
        <v>0.68</v>
      </c>
      <c r="E185" s="95">
        <v>0.68</v>
      </c>
      <c r="F185" s="229" t="s">
        <v>1656</v>
      </c>
    </row>
    <row r="186">
      <c r="A186" s="176" t="s">
        <v>5851</v>
      </c>
      <c r="B186" s="25">
        <v>11049.0</v>
      </c>
      <c r="C186" s="62">
        <v>0.05</v>
      </c>
      <c r="D186" s="95">
        <v>0.68</v>
      </c>
      <c r="E186" s="95">
        <v>0.68</v>
      </c>
      <c r="F186" s="229" t="s">
        <v>1656</v>
      </c>
    </row>
    <row r="187">
      <c r="A187" s="176" t="s">
        <v>5852</v>
      </c>
      <c r="B187" s="25">
        <v>11049.0</v>
      </c>
      <c r="C187" s="62">
        <v>0.05</v>
      </c>
      <c r="D187" s="95">
        <v>0.68</v>
      </c>
      <c r="E187" s="95">
        <v>0.68</v>
      </c>
      <c r="F187" s="229" t="s">
        <v>1656</v>
      </c>
    </row>
    <row r="188">
      <c r="A188" s="176" t="s">
        <v>5853</v>
      </c>
      <c r="B188" s="25">
        <v>11049.0</v>
      </c>
      <c r="C188" s="62">
        <v>0.05</v>
      </c>
      <c r="D188" s="95">
        <v>0.68</v>
      </c>
      <c r="E188" s="95">
        <v>0.68</v>
      </c>
      <c r="F188" s="229" t="s">
        <v>1656</v>
      </c>
    </row>
    <row r="189">
      <c r="A189" s="176" t="s">
        <v>5854</v>
      </c>
      <c r="B189" s="25">
        <v>11049.0</v>
      </c>
      <c r="C189" s="62">
        <v>0.05</v>
      </c>
      <c r="D189" s="95">
        <v>0.68</v>
      </c>
      <c r="E189" s="95">
        <v>0.68</v>
      </c>
      <c r="F189" s="229" t="s">
        <v>1656</v>
      </c>
    </row>
    <row r="190">
      <c r="A190" s="176" t="s">
        <v>3490</v>
      </c>
      <c r="B190" s="25">
        <v>11049.0</v>
      </c>
      <c r="C190" s="62">
        <v>0.05</v>
      </c>
      <c r="D190" s="95">
        <v>0.68</v>
      </c>
      <c r="E190" s="95">
        <v>0.68</v>
      </c>
      <c r="F190" s="229" t="s">
        <v>1656</v>
      </c>
    </row>
    <row r="191">
      <c r="A191" s="176" t="s">
        <v>5855</v>
      </c>
      <c r="B191" s="25">
        <v>11049.0</v>
      </c>
      <c r="C191" s="62">
        <v>0.05</v>
      </c>
      <c r="D191" s="95">
        <v>0.68</v>
      </c>
      <c r="E191" s="95">
        <v>0.68</v>
      </c>
      <c r="F191" s="229" t="s">
        <v>1656</v>
      </c>
    </row>
    <row r="192">
      <c r="A192" s="176" t="s">
        <v>1574</v>
      </c>
      <c r="B192" s="25">
        <v>11049.0</v>
      </c>
      <c r="C192" s="62">
        <v>0.05</v>
      </c>
      <c r="D192" s="95">
        <v>0.68</v>
      </c>
      <c r="E192" s="95">
        <v>0.68</v>
      </c>
      <c r="F192" s="229" t="s">
        <v>1656</v>
      </c>
    </row>
    <row r="193">
      <c r="A193" s="176" t="s">
        <v>5856</v>
      </c>
      <c r="B193" s="25">
        <v>11049.0</v>
      </c>
      <c r="C193" s="62">
        <v>0.05</v>
      </c>
      <c r="D193" s="95">
        <v>0.68</v>
      </c>
      <c r="E193" s="95">
        <v>0.68</v>
      </c>
      <c r="F193" s="229" t="s">
        <v>1656</v>
      </c>
    </row>
    <row r="194">
      <c r="A194" s="176" t="s">
        <v>5857</v>
      </c>
      <c r="B194" s="25">
        <v>11049.0</v>
      </c>
      <c r="C194" s="62">
        <v>0.05</v>
      </c>
      <c r="D194" s="95">
        <v>0.68</v>
      </c>
      <c r="E194" s="95">
        <v>0.68</v>
      </c>
      <c r="F194" s="229" t="s">
        <v>1656</v>
      </c>
    </row>
    <row r="195">
      <c r="A195" s="176" t="s">
        <v>5858</v>
      </c>
      <c r="B195" s="25">
        <v>11049.0</v>
      </c>
      <c r="C195" s="62">
        <v>0.05</v>
      </c>
      <c r="D195" s="95">
        <v>0.68</v>
      </c>
      <c r="E195" s="95">
        <v>0.68</v>
      </c>
      <c r="F195" s="229" t="s">
        <v>1656</v>
      </c>
    </row>
    <row r="196">
      <c r="A196" s="176" t="s">
        <v>5859</v>
      </c>
      <c r="B196" s="25">
        <v>11049.0</v>
      </c>
      <c r="C196" s="62">
        <v>0.05</v>
      </c>
      <c r="D196" s="95">
        <v>0.68</v>
      </c>
      <c r="E196" s="95">
        <v>0.68</v>
      </c>
      <c r="F196" s="229" t="s">
        <v>1656</v>
      </c>
    </row>
    <row r="197">
      <c r="A197" s="176" t="s">
        <v>5860</v>
      </c>
      <c r="B197" s="25">
        <v>11049.0</v>
      </c>
      <c r="C197" s="62">
        <v>0.05</v>
      </c>
      <c r="D197" s="95">
        <v>0.68</v>
      </c>
      <c r="E197" s="95">
        <v>0.68</v>
      </c>
      <c r="F197" s="229" t="s">
        <v>1656</v>
      </c>
    </row>
    <row r="198">
      <c r="A198" s="176" t="s">
        <v>5861</v>
      </c>
      <c r="B198" s="25">
        <v>11049.0</v>
      </c>
      <c r="C198" s="62">
        <v>0.05</v>
      </c>
      <c r="D198" s="95">
        <v>0.68</v>
      </c>
      <c r="E198" s="95">
        <v>0.68</v>
      </c>
      <c r="F198" s="229" t="s">
        <v>1656</v>
      </c>
    </row>
    <row r="199">
      <c r="A199" s="176" t="s">
        <v>5862</v>
      </c>
      <c r="B199" s="25">
        <v>11049.0</v>
      </c>
      <c r="C199" s="62">
        <v>0.05</v>
      </c>
      <c r="D199" s="95">
        <v>0.68</v>
      </c>
      <c r="E199" s="95">
        <v>0.68</v>
      </c>
      <c r="F199" s="229" t="s">
        <v>1656</v>
      </c>
    </row>
    <row r="200">
      <c r="A200" s="176" t="s">
        <v>2853</v>
      </c>
      <c r="B200" s="25">
        <v>11049.0</v>
      </c>
      <c r="C200" s="62">
        <v>0.05</v>
      </c>
      <c r="D200" s="95">
        <v>0.68</v>
      </c>
      <c r="E200" s="95">
        <v>0.68</v>
      </c>
      <c r="F200" s="229" t="s">
        <v>1656</v>
      </c>
    </row>
    <row r="201">
      <c r="A201" s="176" t="s">
        <v>5863</v>
      </c>
      <c r="B201" s="25">
        <v>11049.0</v>
      </c>
      <c r="C201" s="62">
        <v>0.05</v>
      </c>
      <c r="D201" s="95">
        <v>0.68</v>
      </c>
      <c r="E201" s="95">
        <v>0.68</v>
      </c>
      <c r="F201" s="229" t="s">
        <v>1656</v>
      </c>
    </row>
    <row r="202">
      <c r="A202" s="176" t="s">
        <v>5864</v>
      </c>
      <c r="B202" s="25">
        <v>11049.0</v>
      </c>
      <c r="C202" s="62">
        <v>0.05</v>
      </c>
      <c r="D202" s="95">
        <v>0.68</v>
      </c>
      <c r="E202" s="95">
        <v>0.68</v>
      </c>
      <c r="F202" s="229" t="s">
        <v>1656</v>
      </c>
    </row>
    <row r="203">
      <c r="A203" s="176" t="s">
        <v>5865</v>
      </c>
      <c r="B203" s="25">
        <v>11049.0</v>
      </c>
      <c r="C203" s="62">
        <v>0.05</v>
      </c>
      <c r="D203" s="95">
        <v>0.68</v>
      </c>
      <c r="E203" s="95">
        <v>0.68</v>
      </c>
      <c r="F203" s="229" t="s">
        <v>1656</v>
      </c>
    </row>
    <row r="204">
      <c r="A204" s="176" t="s">
        <v>5866</v>
      </c>
      <c r="B204" s="25">
        <v>11049.0</v>
      </c>
      <c r="C204" s="62">
        <v>0.05</v>
      </c>
      <c r="D204" s="95">
        <v>0.68</v>
      </c>
      <c r="E204" s="95">
        <v>0.68</v>
      </c>
      <c r="F204" s="229" t="s">
        <v>1656</v>
      </c>
    </row>
    <row r="205">
      <c r="A205" s="176" t="s">
        <v>5867</v>
      </c>
      <c r="B205" s="25">
        <v>11049.0</v>
      </c>
      <c r="C205" s="62">
        <v>0.05</v>
      </c>
      <c r="D205" s="95">
        <v>0.68</v>
      </c>
      <c r="E205" s="95">
        <v>0.68</v>
      </c>
      <c r="F205" s="229" t="s">
        <v>1656</v>
      </c>
    </row>
    <row r="206">
      <c r="A206" s="176" t="s">
        <v>5868</v>
      </c>
      <c r="B206" s="25">
        <v>11049.0</v>
      </c>
      <c r="C206" s="62">
        <v>0.05</v>
      </c>
      <c r="D206" s="95">
        <v>0.68</v>
      </c>
      <c r="E206" s="95">
        <v>0.68</v>
      </c>
      <c r="F206" s="229" t="s">
        <v>1656</v>
      </c>
    </row>
    <row r="207">
      <c r="A207" s="176" t="s">
        <v>5869</v>
      </c>
      <c r="B207" s="25">
        <v>11049.0</v>
      </c>
      <c r="C207" s="62">
        <v>0.05</v>
      </c>
      <c r="D207" s="95">
        <v>0.68</v>
      </c>
      <c r="E207" s="95">
        <v>0.68</v>
      </c>
      <c r="F207" s="229" t="s">
        <v>1656</v>
      </c>
    </row>
    <row r="208">
      <c r="A208" s="176" t="s">
        <v>5870</v>
      </c>
      <c r="B208" s="25">
        <v>11049.0</v>
      </c>
      <c r="C208" s="62">
        <v>0.05</v>
      </c>
      <c r="D208" s="95">
        <v>0.68</v>
      </c>
      <c r="E208" s="95">
        <v>0.68</v>
      </c>
      <c r="F208" s="229" t="s">
        <v>1656</v>
      </c>
    </row>
    <row r="209">
      <c r="A209" s="176" t="s">
        <v>5871</v>
      </c>
      <c r="B209" s="25">
        <v>11049.0</v>
      </c>
      <c r="C209" s="62">
        <v>0.05</v>
      </c>
      <c r="D209" s="95">
        <v>0.68</v>
      </c>
      <c r="E209" s="95">
        <v>0.68</v>
      </c>
      <c r="F209" s="229" t="s">
        <v>1656</v>
      </c>
    </row>
    <row r="210">
      <c r="A210" s="176" t="s">
        <v>5872</v>
      </c>
      <c r="B210" s="25">
        <v>11049.0</v>
      </c>
      <c r="C210" s="62">
        <v>0.05</v>
      </c>
      <c r="D210" s="95">
        <v>0.68</v>
      </c>
      <c r="E210" s="95">
        <v>0.68</v>
      </c>
      <c r="F210" s="229" t="s">
        <v>1656</v>
      </c>
    </row>
    <row r="211">
      <c r="A211" s="176" t="s">
        <v>5873</v>
      </c>
      <c r="B211" s="25">
        <v>11049.0</v>
      </c>
      <c r="C211" s="62">
        <v>0.05</v>
      </c>
      <c r="D211" s="95">
        <v>0.68</v>
      </c>
      <c r="E211" s="95">
        <v>0.68</v>
      </c>
      <c r="F211" s="229" t="s">
        <v>1656</v>
      </c>
    </row>
    <row r="212">
      <c r="A212" s="176" t="s">
        <v>5874</v>
      </c>
      <c r="B212" s="25">
        <v>11049.0</v>
      </c>
      <c r="C212" s="62">
        <v>0.05</v>
      </c>
      <c r="D212" s="95">
        <v>0.68</v>
      </c>
      <c r="E212" s="95">
        <v>0.68</v>
      </c>
      <c r="F212" s="229" t="s">
        <v>1656</v>
      </c>
    </row>
    <row r="213">
      <c r="A213" s="176" t="s">
        <v>5875</v>
      </c>
      <c r="B213" s="25">
        <v>11049.0</v>
      </c>
      <c r="C213" s="62">
        <v>0.05</v>
      </c>
      <c r="D213" s="95">
        <v>0.68</v>
      </c>
      <c r="E213" s="95">
        <v>0.68</v>
      </c>
      <c r="F213" s="229" t="s">
        <v>1656</v>
      </c>
    </row>
    <row r="214">
      <c r="A214" s="176" t="s">
        <v>5876</v>
      </c>
      <c r="B214" s="78"/>
      <c r="C214" s="62">
        <v>0.05</v>
      </c>
      <c r="D214" s="95">
        <v>0.68</v>
      </c>
      <c r="E214" s="95">
        <v>0.68</v>
      </c>
      <c r="F214" s="229" t="s">
        <v>1656</v>
      </c>
    </row>
    <row r="215">
      <c r="A215" s="176" t="s">
        <v>5877</v>
      </c>
      <c r="B215" s="78"/>
      <c r="C215" s="62">
        <v>0.05</v>
      </c>
      <c r="D215" s="95">
        <v>0.68</v>
      </c>
      <c r="E215" s="95">
        <v>0.68</v>
      </c>
      <c r="F215" s="229" t="s">
        <v>1656</v>
      </c>
    </row>
    <row r="216">
      <c r="A216" s="176" t="s">
        <v>5878</v>
      </c>
      <c r="B216" s="78"/>
      <c r="C216" s="62">
        <v>0.05</v>
      </c>
      <c r="D216" s="95">
        <v>0.68</v>
      </c>
      <c r="E216" s="95">
        <v>0.68</v>
      </c>
      <c r="F216" s="229" t="s">
        <v>1656</v>
      </c>
    </row>
    <row r="217">
      <c r="A217" s="176" t="s">
        <v>5879</v>
      </c>
      <c r="B217" s="78"/>
      <c r="C217" s="62">
        <v>0.05</v>
      </c>
      <c r="D217" s="95">
        <v>0.68</v>
      </c>
      <c r="E217" s="95">
        <v>0.68</v>
      </c>
      <c r="F217" s="229" t="s">
        <v>1656</v>
      </c>
    </row>
    <row r="218">
      <c r="A218" s="176" t="s">
        <v>5880</v>
      </c>
      <c r="B218" s="78"/>
      <c r="C218" s="62">
        <v>0.05</v>
      </c>
      <c r="D218" s="95">
        <v>0.68</v>
      </c>
      <c r="E218" s="95">
        <v>0.68</v>
      </c>
      <c r="F218" s="229" t="s">
        <v>1656</v>
      </c>
    </row>
    <row r="219">
      <c r="A219" s="176" t="s">
        <v>5881</v>
      </c>
      <c r="B219" s="78"/>
      <c r="C219" s="62">
        <v>0.05</v>
      </c>
      <c r="D219" s="95">
        <v>0.68</v>
      </c>
      <c r="E219" s="95">
        <v>0.68</v>
      </c>
      <c r="F219" s="229" t="s">
        <v>1656</v>
      </c>
    </row>
    <row r="220">
      <c r="A220" s="176" t="s">
        <v>5882</v>
      </c>
      <c r="B220" s="25">
        <v>14516.0</v>
      </c>
      <c r="C220" s="62">
        <v>0.05</v>
      </c>
      <c r="D220" s="95">
        <v>0.68</v>
      </c>
      <c r="E220" s="95">
        <v>0.68</v>
      </c>
      <c r="F220" s="229" t="s">
        <v>1656</v>
      </c>
    </row>
    <row r="221">
      <c r="A221" s="176" t="s">
        <v>5883</v>
      </c>
      <c r="B221" s="78"/>
      <c r="C221" s="62">
        <v>0.05</v>
      </c>
      <c r="D221" s="95">
        <v>0.68</v>
      </c>
      <c r="E221" s="95">
        <v>0.68</v>
      </c>
      <c r="F221" s="229" t="s">
        <v>1656</v>
      </c>
    </row>
    <row r="222">
      <c r="A222" s="176" t="s">
        <v>5884</v>
      </c>
      <c r="B222" s="78"/>
      <c r="C222" s="62">
        <v>0.05</v>
      </c>
      <c r="D222" s="95">
        <v>0.68</v>
      </c>
      <c r="E222" s="95">
        <v>0.68</v>
      </c>
      <c r="F222" s="229" t="s">
        <v>1656</v>
      </c>
    </row>
    <row r="223">
      <c r="A223" s="176" t="s">
        <v>5885</v>
      </c>
      <c r="B223" s="78"/>
      <c r="C223" s="62">
        <v>0.05</v>
      </c>
      <c r="D223" s="95">
        <v>0.68</v>
      </c>
      <c r="E223" s="95">
        <v>0.68</v>
      </c>
      <c r="F223" s="229" t="s">
        <v>1656</v>
      </c>
    </row>
    <row r="224">
      <c r="A224" s="176" t="s">
        <v>5886</v>
      </c>
      <c r="B224" s="78"/>
      <c r="C224" s="62">
        <v>0.05</v>
      </c>
      <c r="D224" s="95">
        <v>0.68</v>
      </c>
      <c r="E224" s="95">
        <v>0.68</v>
      </c>
      <c r="F224" s="229" t="s">
        <v>1656</v>
      </c>
    </row>
    <row r="225">
      <c r="A225" s="176" t="s">
        <v>5887</v>
      </c>
      <c r="B225" s="78"/>
      <c r="C225" s="62">
        <v>0.05</v>
      </c>
      <c r="D225" s="95">
        <v>0.68</v>
      </c>
      <c r="E225" s="95">
        <v>0.68</v>
      </c>
      <c r="F225" s="229" t="s">
        <v>1656</v>
      </c>
    </row>
    <row r="226">
      <c r="A226" s="176" t="s">
        <v>5888</v>
      </c>
      <c r="B226" s="78"/>
      <c r="C226" s="62">
        <v>0.05</v>
      </c>
      <c r="D226" s="95">
        <v>0.68</v>
      </c>
      <c r="E226" s="95">
        <v>0.68</v>
      </c>
      <c r="F226" s="229" t="s">
        <v>1656</v>
      </c>
    </row>
    <row r="227">
      <c r="A227" s="176" t="s">
        <v>5889</v>
      </c>
      <c r="B227" s="78"/>
      <c r="C227" s="62">
        <v>0.05</v>
      </c>
      <c r="D227" s="95">
        <v>0.68</v>
      </c>
      <c r="E227" s="95">
        <v>0.68</v>
      </c>
      <c r="F227" s="229" t="s">
        <v>1656</v>
      </c>
    </row>
    <row r="228">
      <c r="A228" s="176" t="s">
        <v>5890</v>
      </c>
      <c r="B228" s="78"/>
      <c r="C228" s="62">
        <v>0.05</v>
      </c>
      <c r="D228" s="95">
        <v>0.68</v>
      </c>
      <c r="E228" s="95">
        <v>0.68</v>
      </c>
      <c r="F228" s="229" t="s">
        <v>1656</v>
      </c>
    </row>
    <row r="229">
      <c r="A229" s="176" t="s">
        <v>5891</v>
      </c>
      <c r="B229" s="78"/>
      <c r="C229" s="62">
        <v>0.05</v>
      </c>
      <c r="D229" s="95">
        <v>0.68</v>
      </c>
      <c r="E229" s="95">
        <v>0.68</v>
      </c>
      <c r="F229" s="229" t="s">
        <v>1656</v>
      </c>
    </row>
    <row r="230">
      <c r="A230" s="176" t="s">
        <v>5892</v>
      </c>
      <c r="B230" s="78"/>
      <c r="C230" s="62">
        <v>0.05</v>
      </c>
      <c r="D230" s="95">
        <v>0.68</v>
      </c>
      <c r="E230" s="95">
        <v>0.68</v>
      </c>
      <c r="F230" s="229" t="s">
        <v>1656</v>
      </c>
    </row>
    <row r="231">
      <c r="A231" s="176" t="s">
        <v>5893</v>
      </c>
      <c r="B231" s="78"/>
      <c r="C231" s="62">
        <v>0.05</v>
      </c>
      <c r="D231" s="95">
        <v>0.68</v>
      </c>
      <c r="E231" s="95">
        <v>0.68</v>
      </c>
      <c r="F231" s="229" t="s">
        <v>1656</v>
      </c>
    </row>
    <row r="232">
      <c r="A232" s="176" t="s">
        <v>5894</v>
      </c>
      <c r="B232" s="78"/>
      <c r="C232" s="62">
        <v>0.05</v>
      </c>
      <c r="D232" s="95">
        <v>0.68</v>
      </c>
      <c r="E232" s="95">
        <v>0.68</v>
      </c>
      <c r="F232" s="229" t="s">
        <v>1656</v>
      </c>
    </row>
    <row r="233">
      <c r="A233" s="176" t="s">
        <v>5895</v>
      </c>
      <c r="B233" s="25">
        <v>7083.0</v>
      </c>
      <c r="C233" s="62">
        <v>0.05</v>
      </c>
      <c r="D233" s="95">
        <v>0.68</v>
      </c>
      <c r="E233" s="95">
        <v>0.68</v>
      </c>
      <c r="F233" s="229" t="s">
        <v>1656</v>
      </c>
    </row>
    <row r="234">
      <c r="A234" s="176" t="s">
        <v>5896</v>
      </c>
      <c r="B234" s="78"/>
      <c r="C234" s="62">
        <v>0.05</v>
      </c>
      <c r="D234" s="95">
        <v>0.68</v>
      </c>
      <c r="E234" s="95">
        <v>0.68</v>
      </c>
      <c r="F234" s="229" t="s">
        <v>1656</v>
      </c>
    </row>
    <row r="235">
      <c r="A235" s="176" t="s">
        <v>5897</v>
      </c>
      <c r="B235" s="78"/>
      <c r="C235" s="62">
        <v>0.05</v>
      </c>
      <c r="D235" s="95">
        <v>0.68</v>
      </c>
      <c r="E235" s="95">
        <v>0.68</v>
      </c>
      <c r="F235" s="229" t="s">
        <v>1656</v>
      </c>
    </row>
    <row r="236">
      <c r="A236" s="176" t="s">
        <v>5898</v>
      </c>
      <c r="B236" s="78"/>
      <c r="C236" s="62">
        <v>0.05</v>
      </c>
      <c r="D236" s="95">
        <v>0.68</v>
      </c>
      <c r="E236" s="95">
        <v>0.68</v>
      </c>
      <c r="F236" s="229" t="s">
        <v>1656</v>
      </c>
    </row>
    <row r="237">
      <c r="A237" s="176" t="s">
        <v>5899</v>
      </c>
      <c r="B237" s="78"/>
      <c r="C237" s="62">
        <v>0.05</v>
      </c>
      <c r="D237" s="95">
        <v>0.68</v>
      </c>
      <c r="E237" s="95">
        <v>0.68</v>
      </c>
      <c r="F237" s="229" t="s">
        <v>1656</v>
      </c>
    </row>
    <row r="238">
      <c r="A238" s="176" t="s">
        <v>5900</v>
      </c>
      <c r="B238" s="25">
        <v>14727.0</v>
      </c>
      <c r="C238" s="62">
        <v>0.05</v>
      </c>
      <c r="D238" s="95">
        <v>0.68</v>
      </c>
      <c r="E238" s="95">
        <v>0.68</v>
      </c>
      <c r="F238" s="229" t="s">
        <v>1656</v>
      </c>
    </row>
    <row r="239">
      <c r="A239" s="176" t="s">
        <v>5901</v>
      </c>
      <c r="B239" s="78"/>
      <c r="C239" s="62">
        <v>0.05</v>
      </c>
      <c r="D239" s="95">
        <v>0.68</v>
      </c>
      <c r="E239" s="95">
        <v>0.68</v>
      </c>
      <c r="F239" s="229" t="s">
        <v>1656</v>
      </c>
    </row>
    <row r="240">
      <c r="A240" s="176" t="s">
        <v>5902</v>
      </c>
      <c r="B240" s="78"/>
      <c r="C240" s="62">
        <v>0.05</v>
      </c>
      <c r="D240" s="95">
        <v>0.68</v>
      </c>
      <c r="E240" s="95">
        <v>0.68</v>
      </c>
      <c r="F240" s="229" t="s">
        <v>1656</v>
      </c>
    </row>
    <row r="241">
      <c r="A241" s="176" t="s">
        <v>5903</v>
      </c>
      <c r="B241" s="78"/>
      <c r="C241" s="62">
        <v>0.05</v>
      </c>
      <c r="D241" s="95">
        <v>0.68</v>
      </c>
      <c r="E241" s="95">
        <v>0.68</v>
      </c>
      <c r="F241" s="229" t="s">
        <v>1656</v>
      </c>
    </row>
    <row r="242">
      <c r="A242" s="176" t="s">
        <v>761</v>
      </c>
      <c r="B242" s="78"/>
      <c r="C242" s="62">
        <v>0.05</v>
      </c>
      <c r="D242" s="95">
        <v>0.68</v>
      </c>
      <c r="E242" s="95">
        <v>0.68</v>
      </c>
      <c r="F242" s="229" t="s">
        <v>1656</v>
      </c>
    </row>
    <row r="243">
      <c r="A243" s="176" t="s">
        <v>5904</v>
      </c>
      <c r="B243" s="78"/>
      <c r="C243" s="62">
        <v>0.05</v>
      </c>
      <c r="D243" s="95">
        <v>0.68</v>
      </c>
      <c r="E243" s="95">
        <v>0.68</v>
      </c>
      <c r="F243" s="229" t="s">
        <v>1656</v>
      </c>
    </row>
    <row r="244">
      <c r="A244" s="176" t="s">
        <v>5905</v>
      </c>
      <c r="B244" s="78"/>
      <c r="C244" s="62">
        <v>0.05</v>
      </c>
      <c r="D244" s="95">
        <v>0.68</v>
      </c>
      <c r="E244" s="95">
        <v>0.68</v>
      </c>
      <c r="F244" s="229" t="s">
        <v>1656</v>
      </c>
    </row>
    <row r="245">
      <c r="A245" s="176" t="s">
        <v>2988</v>
      </c>
      <c r="B245" s="78"/>
      <c r="C245" s="62">
        <v>0.05</v>
      </c>
      <c r="D245" s="95">
        <v>0.68</v>
      </c>
      <c r="E245" s="95">
        <v>0.68</v>
      </c>
      <c r="F245" s="229" t="s">
        <v>1656</v>
      </c>
    </row>
    <row r="246">
      <c r="A246" s="176" t="s">
        <v>5277</v>
      </c>
      <c r="B246" s="78"/>
      <c r="C246" s="62">
        <v>0.05</v>
      </c>
      <c r="D246" s="95">
        <v>0.68</v>
      </c>
      <c r="E246" s="95">
        <v>0.68</v>
      </c>
      <c r="F246" s="229" t="s">
        <v>1656</v>
      </c>
    </row>
    <row r="247">
      <c r="A247" s="176" t="s">
        <v>5906</v>
      </c>
      <c r="B247" s="25">
        <v>6767.0</v>
      </c>
      <c r="C247" s="62">
        <v>0.05</v>
      </c>
      <c r="D247" s="95">
        <v>0.68</v>
      </c>
      <c r="E247" s="95">
        <v>0.68</v>
      </c>
      <c r="F247" s="229" t="s">
        <v>1656</v>
      </c>
    </row>
    <row r="248">
      <c r="A248" s="176" t="s">
        <v>5907</v>
      </c>
      <c r="B248" s="78"/>
      <c r="C248" s="62">
        <v>0.05</v>
      </c>
      <c r="D248" s="95">
        <v>0.68</v>
      </c>
      <c r="E248" s="95">
        <v>0.68</v>
      </c>
      <c r="F248" s="229" t="s">
        <v>1656</v>
      </c>
    </row>
    <row r="249">
      <c r="A249" s="176" t="s">
        <v>5908</v>
      </c>
      <c r="B249" s="78"/>
      <c r="C249" s="62">
        <v>0.05</v>
      </c>
      <c r="D249" s="95">
        <v>0.68</v>
      </c>
      <c r="E249" s="95">
        <v>0.68</v>
      </c>
      <c r="F249" s="229" t="s">
        <v>1656</v>
      </c>
    </row>
    <row r="250">
      <c r="A250" s="176" t="s">
        <v>5909</v>
      </c>
      <c r="B250" s="78"/>
      <c r="C250" s="62">
        <v>0.05</v>
      </c>
      <c r="D250" s="95">
        <v>0.68</v>
      </c>
      <c r="E250" s="95">
        <v>0.68</v>
      </c>
      <c r="F250" s="229" t="s">
        <v>1656</v>
      </c>
    </row>
    <row r="251">
      <c r="A251" s="176" t="s">
        <v>5910</v>
      </c>
      <c r="B251" s="25">
        <v>14638.0</v>
      </c>
      <c r="C251" s="62">
        <v>0.05</v>
      </c>
      <c r="D251" s="95">
        <v>0.68</v>
      </c>
      <c r="E251" s="95">
        <v>0.68</v>
      </c>
      <c r="F251" s="229" t="s">
        <v>1656</v>
      </c>
    </row>
    <row r="252">
      <c r="A252" s="176" t="s">
        <v>5911</v>
      </c>
      <c r="B252" s="45"/>
      <c r="C252" s="62">
        <v>0.05</v>
      </c>
      <c r="D252" s="95">
        <v>0.68</v>
      </c>
      <c r="E252" s="95">
        <v>0.68</v>
      </c>
      <c r="F252" s="229" t="s">
        <v>1656</v>
      </c>
    </row>
    <row r="253">
      <c r="A253" s="176" t="s">
        <v>5912</v>
      </c>
      <c r="B253" s="78"/>
      <c r="C253" s="62">
        <v>0.05</v>
      </c>
      <c r="D253" s="95">
        <v>0.68</v>
      </c>
      <c r="E253" s="95">
        <v>0.68</v>
      </c>
      <c r="F253" s="229" t="s">
        <v>1656</v>
      </c>
    </row>
    <row r="254">
      <c r="A254" s="176" t="s">
        <v>5913</v>
      </c>
      <c r="B254" s="78"/>
      <c r="C254" s="62">
        <v>0.05</v>
      </c>
      <c r="D254" s="95">
        <v>0.68</v>
      </c>
      <c r="E254" s="95">
        <v>0.68</v>
      </c>
      <c r="F254" s="229" t="s">
        <v>1656</v>
      </c>
    </row>
    <row r="255">
      <c r="A255" s="176" t="s">
        <v>5914</v>
      </c>
      <c r="B255" s="78"/>
      <c r="C255" s="62">
        <v>0.05</v>
      </c>
      <c r="D255" s="95">
        <v>0.68</v>
      </c>
      <c r="E255" s="95">
        <v>0.68</v>
      </c>
      <c r="F255" s="229" t="s">
        <v>1656</v>
      </c>
    </row>
    <row r="256">
      <c r="A256" s="176" t="s">
        <v>3166</v>
      </c>
      <c r="B256" s="78"/>
      <c r="C256" s="62">
        <v>0.05</v>
      </c>
      <c r="D256" s="95">
        <v>0.68</v>
      </c>
      <c r="E256" s="95">
        <v>0.68</v>
      </c>
      <c r="F256" s="229" t="s">
        <v>1656</v>
      </c>
    </row>
    <row r="257">
      <c r="A257" s="176" t="s">
        <v>5915</v>
      </c>
      <c r="B257" s="78"/>
      <c r="C257" s="62">
        <v>0.05</v>
      </c>
      <c r="D257" s="95">
        <v>0.68</v>
      </c>
      <c r="E257" s="95">
        <v>0.68</v>
      </c>
      <c r="F257" s="229" t="s">
        <v>1656</v>
      </c>
    </row>
    <row r="258">
      <c r="A258" s="176" t="s">
        <v>5916</v>
      </c>
      <c r="B258" s="78"/>
      <c r="C258" s="62">
        <v>0.05</v>
      </c>
      <c r="D258" s="95">
        <v>0.68</v>
      </c>
      <c r="E258" s="95">
        <v>0.68</v>
      </c>
      <c r="F258" s="229" t="s">
        <v>1656</v>
      </c>
    </row>
    <row r="259">
      <c r="A259" s="176" t="s">
        <v>5917</v>
      </c>
      <c r="B259" s="78"/>
      <c r="C259" s="62">
        <v>0.05</v>
      </c>
      <c r="D259" s="95">
        <v>0.68</v>
      </c>
      <c r="E259" s="95">
        <v>0.68</v>
      </c>
      <c r="F259" s="229" t="s">
        <v>1656</v>
      </c>
    </row>
    <row r="260">
      <c r="A260" s="176" t="s">
        <v>5918</v>
      </c>
      <c r="B260" s="78"/>
      <c r="C260" s="62">
        <v>0.05</v>
      </c>
      <c r="D260" s="95">
        <v>0.68</v>
      </c>
      <c r="E260" s="95">
        <v>0.68</v>
      </c>
      <c r="F260" s="229" t="s">
        <v>1656</v>
      </c>
    </row>
    <row r="261">
      <c r="A261" s="176" t="s">
        <v>5919</v>
      </c>
      <c r="B261" s="78"/>
      <c r="C261" s="62">
        <v>0.05</v>
      </c>
      <c r="D261" s="95">
        <v>0.68</v>
      </c>
      <c r="E261" s="95">
        <v>0.68</v>
      </c>
      <c r="F261" s="229" t="s">
        <v>1656</v>
      </c>
    </row>
    <row r="262">
      <c r="A262" s="176" t="s">
        <v>5920</v>
      </c>
      <c r="B262" s="78"/>
      <c r="C262" s="62">
        <v>0.05</v>
      </c>
      <c r="D262" s="95">
        <v>0.68</v>
      </c>
      <c r="E262" s="95">
        <v>0.68</v>
      </c>
      <c r="F262" s="229" t="s">
        <v>1656</v>
      </c>
    </row>
    <row r="263">
      <c r="A263" s="176" t="s">
        <v>1102</v>
      </c>
      <c r="B263" s="78"/>
      <c r="C263" s="62">
        <v>0.05</v>
      </c>
      <c r="D263" s="95">
        <v>0.68</v>
      </c>
      <c r="E263" s="95">
        <v>0.68</v>
      </c>
      <c r="F263" s="229" t="s">
        <v>1656</v>
      </c>
    </row>
    <row r="264">
      <c r="A264" s="176" t="s">
        <v>5921</v>
      </c>
      <c r="B264" s="78"/>
      <c r="C264" s="62">
        <v>0.05</v>
      </c>
      <c r="D264" s="95">
        <v>0.68</v>
      </c>
      <c r="E264" s="95">
        <v>0.68</v>
      </c>
      <c r="F264" s="229" t="s">
        <v>1656</v>
      </c>
    </row>
    <row r="265">
      <c r="A265" s="176" t="s">
        <v>5922</v>
      </c>
      <c r="B265" s="78"/>
      <c r="C265" s="62">
        <v>0.05</v>
      </c>
      <c r="D265" s="95">
        <v>0.68</v>
      </c>
      <c r="E265" s="95">
        <v>0.68</v>
      </c>
      <c r="F265" s="229" t="s">
        <v>1656</v>
      </c>
    </row>
    <row r="266">
      <c r="A266" s="176" t="s">
        <v>5923</v>
      </c>
      <c r="B266" s="78"/>
      <c r="C266" s="62">
        <v>0.05</v>
      </c>
      <c r="D266" s="95">
        <v>0.68</v>
      </c>
      <c r="E266" s="95">
        <v>0.68</v>
      </c>
      <c r="F266" s="229" t="s">
        <v>1656</v>
      </c>
    </row>
    <row r="267">
      <c r="A267" s="176" t="s">
        <v>1081</v>
      </c>
      <c r="B267" s="78"/>
      <c r="C267" s="62">
        <v>0.05</v>
      </c>
      <c r="D267" s="95">
        <v>0.68</v>
      </c>
      <c r="E267" s="95">
        <v>0.68</v>
      </c>
      <c r="F267" s="229" t="s">
        <v>1656</v>
      </c>
    </row>
    <row r="268">
      <c r="A268" s="176" t="s">
        <v>5924</v>
      </c>
      <c r="B268" s="78"/>
      <c r="C268" s="62">
        <v>0.05</v>
      </c>
      <c r="D268" s="95">
        <v>0.68</v>
      </c>
      <c r="E268" s="95">
        <v>0.68</v>
      </c>
      <c r="F268" s="229" t="s">
        <v>1656</v>
      </c>
    </row>
    <row r="269">
      <c r="A269" s="176" t="s">
        <v>5925</v>
      </c>
      <c r="B269" s="78"/>
      <c r="C269" s="62">
        <v>0.05</v>
      </c>
      <c r="D269" s="95">
        <v>0.68</v>
      </c>
      <c r="E269" s="95">
        <v>0.68</v>
      </c>
      <c r="F269" s="229" t="s">
        <v>1656</v>
      </c>
    </row>
    <row r="270">
      <c r="A270" s="176" t="s">
        <v>5926</v>
      </c>
      <c r="B270" s="78"/>
      <c r="C270" s="62">
        <v>0.05</v>
      </c>
      <c r="D270" s="95">
        <v>0.68</v>
      </c>
      <c r="E270" s="95">
        <v>0.68</v>
      </c>
      <c r="F270" s="229" t="s">
        <v>1656</v>
      </c>
    </row>
    <row r="271">
      <c r="A271" s="176" t="s">
        <v>5927</v>
      </c>
      <c r="B271" s="78"/>
      <c r="C271" s="62">
        <v>0.05</v>
      </c>
      <c r="D271" s="95">
        <v>0.68</v>
      </c>
      <c r="E271" s="95">
        <v>0.68</v>
      </c>
      <c r="F271" s="229" t="s">
        <v>1656</v>
      </c>
    </row>
    <row r="272">
      <c r="A272" s="176" t="s">
        <v>5928</v>
      </c>
      <c r="B272" s="78"/>
      <c r="C272" s="62">
        <v>0.05</v>
      </c>
      <c r="D272" s="95">
        <v>0.68</v>
      </c>
      <c r="E272" s="95">
        <v>0.68</v>
      </c>
      <c r="F272" s="229" t="s">
        <v>1656</v>
      </c>
    </row>
    <row r="273">
      <c r="A273" s="176" t="s">
        <v>5929</v>
      </c>
      <c r="B273" s="78"/>
      <c r="C273" s="62">
        <v>0.05</v>
      </c>
      <c r="D273" s="95">
        <v>0.68</v>
      </c>
      <c r="E273" s="95">
        <v>0.68</v>
      </c>
      <c r="F273" s="229" t="s">
        <v>1656</v>
      </c>
    </row>
    <row r="274">
      <c r="A274" s="176" t="s">
        <v>5930</v>
      </c>
      <c r="B274" s="78"/>
      <c r="C274" s="62">
        <v>0.05</v>
      </c>
      <c r="D274" s="95">
        <v>0.68</v>
      </c>
      <c r="E274" s="95">
        <v>0.68</v>
      </c>
      <c r="F274" s="229" t="s">
        <v>1656</v>
      </c>
    </row>
    <row r="275">
      <c r="A275" s="176" t="s">
        <v>5931</v>
      </c>
      <c r="B275" s="78"/>
      <c r="C275" s="62">
        <v>0.05</v>
      </c>
      <c r="D275" s="95">
        <v>0.68</v>
      </c>
      <c r="E275" s="95">
        <v>0.68</v>
      </c>
      <c r="F275" s="229" t="s">
        <v>1656</v>
      </c>
    </row>
    <row r="276">
      <c r="A276" s="176" t="s">
        <v>2521</v>
      </c>
      <c r="B276" s="78"/>
      <c r="C276" s="62">
        <v>0.05</v>
      </c>
      <c r="D276" s="95">
        <v>0.68</v>
      </c>
      <c r="E276" s="95">
        <v>0.68</v>
      </c>
      <c r="F276" s="229" t="s">
        <v>1656</v>
      </c>
    </row>
    <row r="277">
      <c r="A277" s="176" t="s">
        <v>5932</v>
      </c>
      <c r="B277" s="78"/>
      <c r="C277" s="62">
        <v>0.05</v>
      </c>
      <c r="D277" s="95">
        <v>0.68</v>
      </c>
      <c r="E277" s="95">
        <v>0.68</v>
      </c>
      <c r="F277" s="229" t="s">
        <v>1656</v>
      </c>
    </row>
    <row r="278">
      <c r="A278" s="176" t="s">
        <v>5933</v>
      </c>
      <c r="B278" s="78"/>
      <c r="C278" s="62">
        <v>0.05</v>
      </c>
      <c r="D278" s="95">
        <v>0.68</v>
      </c>
      <c r="E278" s="95">
        <v>0.68</v>
      </c>
      <c r="F278" s="229" t="s">
        <v>1656</v>
      </c>
    </row>
    <row r="279">
      <c r="A279" s="176" t="s">
        <v>5934</v>
      </c>
      <c r="B279" s="78"/>
      <c r="C279" s="62">
        <v>0.05</v>
      </c>
      <c r="D279" s="95">
        <v>0.68</v>
      </c>
      <c r="E279" s="95">
        <v>0.68</v>
      </c>
      <c r="F279" s="229" t="s">
        <v>1656</v>
      </c>
    </row>
    <row r="280">
      <c r="A280" s="176" t="s">
        <v>5935</v>
      </c>
      <c r="B280" s="78"/>
      <c r="C280" s="62">
        <v>0.05</v>
      </c>
      <c r="D280" s="95">
        <v>0.68</v>
      </c>
      <c r="E280" s="95">
        <v>0.68</v>
      </c>
      <c r="F280" s="229" t="s">
        <v>1656</v>
      </c>
    </row>
    <row r="281">
      <c r="A281" s="176" t="s">
        <v>5936</v>
      </c>
      <c r="B281" s="78"/>
      <c r="C281" s="62">
        <v>0.05</v>
      </c>
      <c r="D281" s="95">
        <v>0.68</v>
      </c>
      <c r="E281" s="95">
        <v>0.68</v>
      </c>
      <c r="F281" s="229" t="s">
        <v>1656</v>
      </c>
    </row>
    <row r="282">
      <c r="A282" s="176" t="s">
        <v>5937</v>
      </c>
      <c r="B282" s="78"/>
      <c r="C282" s="62">
        <v>0.05</v>
      </c>
      <c r="D282" s="95">
        <v>0.68</v>
      </c>
      <c r="E282" s="95">
        <v>0.68</v>
      </c>
      <c r="F282" s="229" t="s">
        <v>1656</v>
      </c>
    </row>
    <row r="283">
      <c r="A283" s="176" t="s">
        <v>5938</v>
      </c>
      <c r="B283" s="78"/>
      <c r="C283" s="62">
        <v>0.05</v>
      </c>
      <c r="D283" s="95">
        <v>0.68</v>
      </c>
      <c r="E283" s="95">
        <v>0.68</v>
      </c>
      <c r="F283" s="229" t="s">
        <v>1656</v>
      </c>
    </row>
    <row r="284">
      <c r="A284" s="176" t="s">
        <v>5939</v>
      </c>
      <c r="B284" s="78"/>
      <c r="C284" s="62">
        <v>0.05</v>
      </c>
      <c r="D284" s="95">
        <v>0.68</v>
      </c>
      <c r="E284" s="95">
        <v>0.68</v>
      </c>
      <c r="F284" s="229" t="s">
        <v>1656</v>
      </c>
    </row>
    <row r="285">
      <c r="A285" s="176" t="s">
        <v>5940</v>
      </c>
      <c r="B285" s="78"/>
      <c r="C285" s="62">
        <v>0.05</v>
      </c>
      <c r="D285" s="95">
        <v>0.68</v>
      </c>
      <c r="E285" s="95">
        <v>0.68</v>
      </c>
      <c r="F285" s="229" t="s">
        <v>1656</v>
      </c>
    </row>
    <row r="286">
      <c r="A286" s="176" t="s">
        <v>5941</v>
      </c>
      <c r="B286" s="78"/>
      <c r="C286" s="62">
        <v>0.05</v>
      </c>
      <c r="D286" s="95">
        <v>0.68</v>
      </c>
      <c r="E286" s="95">
        <v>0.68</v>
      </c>
      <c r="F286" s="229" t="s">
        <v>1656</v>
      </c>
    </row>
    <row r="287">
      <c r="A287" s="176" t="s">
        <v>5942</v>
      </c>
      <c r="B287" s="78"/>
      <c r="C287" s="62">
        <v>0.05</v>
      </c>
      <c r="D287" s="95">
        <v>0.68</v>
      </c>
      <c r="E287" s="95">
        <v>0.68</v>
      </c>
      <c r="F287" s="229" t="s">
        <v>1656</v>
      </c>
    </row>
    <row r="288">
      <c r="A288" s="176" t="s">
        <v>5943</v>
      </c>
      <c r="B288" s="78"/>
      <c r="C288" s="62">
        <v>0.05</v>
      </c>
      <c r="D288" s="95">
        <v>0.68</v>
      </c>
      <c r="E288" s="95">
        <v>0.68</v>
      </c>
      <c r="F288" s="229" t="s">
        <v>1656</v>
      </c>
    </row>
    <row r="289">
      <c r="A289" s="176" t="s">
        <v>5944</v>
      </c>
      <c r="B289" s="78"/>
      <c r="C289" s="62">
        <v>0.05</v>
      </c>
      <c r="D289" s="95">
        <v>0.68</v>
      </c>
      <c r="E289" s="95">
        <v>0.68</v>
      </c>
      <c r="F289" s="229" t="s">
        <v>1656</v>
      </c>
    </row>
    <row r="290">
      <c r="A290" s="176" t="s">
        <v>5945</v>
      </c>
      <c r="B290" s="78"/>
      <c r="C290" s="62">
        <v>0.05</v>
      </c>
      <c r="D290" s="95">
        <v>0.68</v>
      </c>
      <c r="E290" s="95">
        <v>0.68</v>
      </c>
      <c r="F290" s="229" t="s">
        <v>1656</v>
      </c>
    </row>
    <row r="291">
      <c r="A291" s="176" t="s">
        <v>5946</v>
      </c>
      <c r="B291" s="78"/>
      <c r="C291" s="62">
        <v>0.05</v>
      </c>
      <c r="D291" s="95">
        <v>0.68</v>
      </c>
      <c r="E291" s="95">
        <v>0.68</v>
      </c>
      <c r="F291" s="229" t="s">
        <v>1656</v>
      </c>
    </row>
    <row r="292">
      <c r="A292" s="176" t="s">
        <v>5947</v>
      </c>
      <c r="B292" s="78"/>
      <c r="C292" s="62">
        <v>0.05</v>
      </c>
      <c r="D292" s="95">
        <v>0.68</v>
      </c>
      <c r="E292" s="95">
        <v>0.68</v>
      </c>
      <c r="F292" s="229" t="s">
        <v>1656</v>
      </c>
    </row>
    <row r="293">
      <c r="A293" s="176" t="s">
        <v>5948</v>
      </c>
      <c r="B293" s="78"/>
      <c r="C293" s="62">
        <v>0.05</v>
      </c>
      <c r="D293" s="95">
        <v>0.68</v>
      </c>
      <c r="E293" s="95">
        <v>0.68</v>
      </c>
      <c r="F293" s="229" t="s">
        <v>1656</v>
      </c>
    </row>
    <row r="294">
      <c r="A294" s="176" t="s">
        <v>5949</v>
      </c>
      <c r="B294" s="78"/>
      <c r="C294" s="62">
        <v>0.05</v>
      </c>
      <c r="D294" s="95">
        <v>0.68</v>
      </c>
      <c r="E294" s="95">
        <v>0.68</v>
      </c>
      <c r="F294" s="229" t="s">
        <v>1656</v>
      </c>
    </row>
    <row r="295">
      <c r="A295" s="176" t="s">
        <v>5950</v>
      </c>
      <c r="B295" s="78"/>
      <c r="C295" s="62">
        <v>0.05</v>
      </c>
      <c r="D295" s="95">
        <v>0.68</v>
      </c>
      <c r="E295" s="95">
        <v>0.68</v>
      </c>
      <c r="F295" s="229" t="s">
        <v>1656</v>
      </c>
    </row>
    <row r="296">
      <c r="A296" s="176" t="s">
        <v>5951</v>
      </c>
      <c r="B296" s="78"/>
      <c r="C296" s="62">
        <v>0.05</v>
      </c>
      <c r="D296" s="95">
        <v>0.68</v>
      </c>
      <c r="E296" s="95">
        <v>0.68</v>
      </c>
      <c r="F296" s="229" t="s">
        <v>1656</v>
      </c>
    </row>
    <row r="297">
      <c r="A297" s="176" t="s">
        <v>5952</v>
      </c>
      <c r="B297" s="78"/>
      <c r="C297" s="62">
        <v>0.05</v>
      </c>
      <c r="D297" s="95">
        <v>0.68</v>
      </c>
      <c r="E297" s="95">
        <v>0.68</v>
      </c>
      <c r="F297" s="229" t="s">
        <v>1656</v>
      </c>
    </row>
    <row r="298">
      <c r="A298" s="176" t="s">
        <v>5953</v>
      </c>
      <c r="B298" s="78"/>
      <c r="C298" s="62">
        <v>0.05</v>
      </c>
      <c r="D298" s="95">
        <v>0.68</v>
      </c>
      <c r="E298" s="95">
        <v>0.68</v>
      </c>
      <c r="F298" s="229" t="s">
        <v>1656</v>
      </c>
    </row>
    <row r="299">
      <c r="A299" s="176" t="s">
        <v>5954</v>
      </c>
      <c r="B299" s="78"/>
      <c r="C299" s="62">
        <v>0.05</v>
      </c>
      <c r="D299" s="95">
        <v>0.68</v>
      </c>
      <c r="E299" s="95">
        <v>0.68</v>
      </c>
      <c r="F299" s="229" t="s">
        <v>1656</v>
      </c>
    </row>
    <row r="300">
      <c r="A300" s="176" t="s">
        <v>5955</v>
      </c>
      <c r="B300" s="78"/>
      <c r="C300" s="62">
        <v>0.05</v>
      </c>
      <c r="D300" s="95">
        <v>0.68</v>
      </c>
      <c r="E300" s="95">
        <v>0.68</v>
      </c>
      <c r="F300" s="229" t="s">
        <v>1656</v>
      </c>
    </row>
    <row r="301">
      <c r="A301" s="176" t="s">
        <v>5956</v>
      </c>
      <c r="B301" s="78"/>
      <c r="C301" s="62">
        <v>0.05</v>
      </c>
      <c r="D301" s="95">
        <v>0.68</v>
      </c>
      <c r="E301" s="95">
        <v>0.68</v>
      </c>
      <c r="F301" s="229" t="s">
        <v>1656</v>
      </c>
    </row>
    <row r="302">
      <c r="A302" s="176" t="s">
        <v>2411</v>
      </c>
      <c r="B302" s="78"/>
      <c r="C302" s="62">
        <v>0.05</v>
      </c>
      <c r="D302" s="95">
        <v>0.68</v>
      </c>
      <c r="E302" s="95">
        <v>0.68</v>
      </c>
      <c r="F302" s="229" t="s">
        <v>1656</v>
      </c>
    </row>
    <row r="303">
      <c r="A303" s="176" t="s">
        <v>5957</v>
      </c>
      <c r="B303" s="78"/>
      <c r="C303" s="62">
        <v>0.05</v>
      </c>
      <c r="D303" s="95">
        <v>0.68</v>
      </c>
      <c r="E303" s="95">
        <v>0.68</v>
      </c>
      <c r="F303" s="229" t="s">
        <v>1656</v>
      </c>
    </row>
    <row r="304">
      <c r="A304" s="176" t="s">
        <v>5958</v>
      </c>
      <c r="B304" s="78"/>
      <c r="C304" s="62">
        <v>0.05</v>
      </c>
      <c r="D304" s="95">
        <v>0.68</v>
      </c>
      <c r="E304" s="95">
        <v>0.68</v>
      </c>
      <c r="F304" s="229" t="s">
        <v>1656</v>
      </c>
    </row>
    <row r="305">
      <c r="A305" s="176" t="s">
        <v>5959</v>
      </c>
      <c r="B305" s="78"/>
      <c r="C305" s="62">
        <v>0.05</v>
      </c>
      <c r="D305" s="95">
        <v>0.68</v>
      </c>
      <c r="E305" s="95">
        <v>0.68</v>
      </c>
      <c r="F305" s="229" t="s">
        <v>1656</v>
      </c>
    </row>
    <row r="306">
      <c r="A306" s="176" t="s">
        <v>5960</v>
      </c>
      <c r="B306" s="78"/>
      <c r="C306" s="62">
        <v>0.05</v>
      </c>
      <c r="D306" s="95">
        <v>0.68</v>
      </c>
      <c r="E306" s="95">
        <v>0.68</v>
      </c>
      <c r="F306" s="229" t="s">
        <v>1656</v>
      </c>
    </row>
    <row r="307">
      <c r="A307" s="176" t="s">
        <v>5961</v>
      </c>
      <c r="B307" s="78"/>
      <c r="C307" s="62">
        <v>0.05</v>
      </c>
      <c r="D307" s="95">
        <v>0.68</v>
      </c>
      <c r="E307" s="95">
        <v>0.68</v>
      </c>
      <c r="F307" s="229" t="s">
        <v>1656</v>
      </c>
    </row>
    <row r="308">
      <c r="A308" s="176" t="s">
        <v>5962</v>
      </c>
      <c r="B308" s="78"/>
      <c r="C308" s="62">
        <v>0.05</v>
      </c>
      <c r="D308" s="95">
        <v>0.68</v>
      </c>
      <c r="E308" s="95">
        <v>0.68</v>
      </c>
      <c r="F308" s="229" t="s">
        <v>1656</v>
      </c>
    </row>
    <row r="309">
      <c r="A309" s="176" t="s">
        <v>5963</v>
      </c>
      <c r="B309" s="78"/>
      <c r="C309" s="62">
        <v>0.05</v>
      </c>
      <c r="D309" s="95">
        <v>0.68</v>
      </c>
      <c r="E309" s="95">
        <v>0.68</v>
      </c>
      <c r="F309" s="229" t="s">
        <v>1656</v>
      </c>
    </row>
    <row r="310">
      <c r="A310" s="176" t="s">
        <v>5964</v>
      </c>
      <c r="B310" s="78"/>
      <c r="C310" s="62">
        <v>0.05</v>
      </c>
      <c r="D310" s="95">
        <v>0.68</v>
      </c>
      <c r="E310" s="95">
        <v>0.68</v>
      </c>
      <c r="F310" s="229" t="s">
        <v>1656</v>
      </c>
    </row>
    <row r="311">
      <c r="A311" s="176" t="s">
        <v>5965</v>
      </c>
      <c r="B311" s="78"/>
      <c r="C311" s="62">
        <v>0.05</v>
      </c>
      <c r="D311" s="95">
        <v>0.68</v>
      </c>
      <c r="E311" s="95">
        <v>0.68</v>
      </c>
      <c r="F311" s="229" t="s">
        <v>1656</v>
      </c>
    </row>
    <row r="312">
      <c r="A312" s="176" t="s">
        <v>5966</v>
      </c>
      <c r="B312" s="78"/>
      <c r="C312" s="62">
        <v>0.05</v>
      </c>
      <c r="D312" s="95">
        <v>0.68</v>
      </c>
      <c r="E312" s="95">
        <v>0.68</v>
      </c>
      <c r="F312" s="229" t="s">
        <v>1656</v>
      </c>
    </row>
    <row r="313">
      <c r="A313" s="176" t="s">
        <v>5967</v>
      </c>
      <c r="B313" s="78"/>
      <c r="C313" s="62">
        <v>0.05</v>
      </c>
      <c r="D313" s="95">
        <v>0.68</v>
      </c>
      <c r="E313" s="95">
        <v>0.68</v>
      </c>
      <c r="F313" s="229" t="s">
        <v>1656</v>
      </c>
    </row>
    <row r="314">
      <c r="A314" s="176" t="s">
        <v>5968</v>
      </c>
      <c r="B314" s="78"/>
      <c r="C314" s="62">
        <v>0.05</v>
      </c>
      <c r="D314" s="95">
        <v>0.68</v>
      </c>
      <c r="E314" s="95">
        <v>0.68</v>
      </c>
      <c r="F314" s="229" t="s">
        <v>1656</v>
      </c>
    </row>
    <row r="315">
      <c r="A315" s="176" t="s">
        <v>5969</v>
      </c>
      <c r="B315" s="78"/>
      <c r="C315" s="62">
        <v>0.05</v>
      </c>
      <c r="D315" s="95">
        <v>0.68</v>
      </c>
      <c r="E315" s="95">
        <v>0.68</v>
      </c>
      <c r="F315" s="229" t="s">
        <v>1656</v>
      </c>
    </row>
    <row r="316">
      <c r="A316" s="176" t="s">
        <v>5970</v>
      </c>
      <c r="B316" s="78"/>
      <c r="C316" s="62">
        <v>0.05</v>
      </c>
      <c r="D316" s="95">
        <v>0.68</v>
      </c>
      <c r="E316" s="95">
        <v>0.68</v>
      </c>
      <c r="F316" s="229" t="s">
        <v>1656</v>
      </c>
    </row>
    <row r="317">
      <c r="A317" s="176" t="s">
        <v>5971</v>
      </c>
      <c r="B317" s="25">
        <v>7083.0</v>
      </c>
      <c r="C317" s="62">
        <v>0.05</v>
      </c>
      <c r="D317" s="95">
        <v>0.68</v>
      </c>
      <c r="E317" s="95">
        <v>0.68</v>
      </c>
      <c r="F317" s="229" t="s">
        <v>1656</v>
      </c>
    </row>
    <row r="318">
      <c r="A318" s="176" t="s">
        <v>5972</v>
      </c>
      <c r="B318" s="78"/>
      <c r="C318" s="62">
        <v>0.05</v>
      </c>
      <c r="D318" s="95">
        <v>0.68</v>
      </c>
      <c r="E318" s="95">
        <v>0.68</v>
      </c>
      <c r="F318" s="229" t="s">
        <v>1656</v>
      </c>
    </row>
    <row r="319">
      <c r="A319" s="176" t="s">
        <v>5973</v>
      </c>
      <c r="B319" s="78"/>
      <c r="C319" s="62">
        <v>0.05</v>
      </c>
      <c r="D319" s="95">
        <v>0.68</v>
      </c>
      <c r="E319" s="95">
        <v>0.68</v>
      </c>
      <c r="F319" s="229" t="s">
        <v>1656</v>
      </c>
    </row>
    <row r="320">
      <c r="A320" s="176" t="s">
        <v>5974</v>
      </c>
      <c r="B320" s="78"/>
      <c r="C320" s="62">
        <v>0.05</v>
      </c>
      <c r="D320" s="95">
        <v>0.68</v>
      </c>
      <c r="E320" s="95">
        <v>0.68</v>
      </c>
      <c r="F320" s="229" t="s">
        <v>1656</v>
      </c>
    </row>
    <row r="321">
      <c r="A321" s="176" t="s">
        <v>5975</v>
      </c>
      <c r="B321" s="78"/>
      <c r="C321" s="62">
        <v>0.05</v>
      </c>
      <c r="D321" s="95">
        <v>0.68</v>
      </c>
      <c r="E321" s="95">
        <v>0.68</v>
      </c>
      <c r="F321" s="229" t="s">
        <v>1656</v>
      </c>
    </row>
    <row r="322">
      <c r="A322" s="176" t="s">
        <v>5976</v>
      </c>
      <c r="B322" s="78"/>
      <c r="C322" s="62">
        <v>0.05</v>
      </c>
      <c r="D322" s="95">
        <v>0.68</v>
      </c>
      <c r="E322" s="95">
        <v>0.68</v>
      </c>
      <c r="F322" s="229" t="s">
        <v>1656</v>
      </c>
    </row>
    <row r="323">
      <c r="A323" s="176" t="s">
        <v>5977</v>
      </c>
      <c r="B323" s="78"/>
      <c r="C323" s="62">
        <v>0.05</v>
      </c>
      <c r="D323" s="95">
        <v>0.68</v>
      </c>
      <c r="E323" s="95">
        <v>0.68</v>
      </c>
      <c r="F323" s="229" t="s">
        <v>1656</v>
      </c>
    </row>
    <row r="324">
      <c r="A324" s="176" t="s">
        <v>5978</v>
      </c>
      <c r="B324" s="78"/>
      <c r="C324" s="62">
        <v>0.05</v>
      </c>
      <c r="D324" s="95">
        <v>0.68</v>
      </c>
      <c r="E324" s="95">
        <v>0.68</v>
      </c>
      <c r="F324" s="229" t="s">
        <v>1656</v>
      </c>
    </row>
    <row r="325">
      <c r="A325" s="176" t="s">
        <v>5979</v>
      </c>
      <c r="B325" s="78"/>
      <c r="C325" s="62">
        <v>0.05</v>
      </c>
      <c r="D325" s="95">
        <v>0.68</v>
      </c>
      <c r="E325" s="95">
        <v>0.68</v>
      </c>
      <c r="F325" s="229" t="s">
        <v>1656</v>
      </c>
    </row>
    <row r="326">
      <c r="A326" s="176" t="s">
        <v>5980</v>
      </c>
      <c r="B326" s="25">
        <v>14076.0</v>
      </c>
      <c r="C326" s="62">
        <v>0.05</v>
      </c>
      <c r="D326" s="95">
        <v>0.68</v>
      </c>
      <c r="E326" s="95">
        <v>0.68</v>
      </c>
      <c r="F326" s="229" t="s">
        <v>1656</v>
      </c>
    </row>
    <row r="327">
      <c r="A327" s="176" t="s">
        <v>5981</v>
      </c>
      <c r="B327" s="78"/>
      <c r="C327" s="62">
        <v>0.05</v>
      </c>
      <c r="D327" s="95">
        <v>0.68</v>
      </c>
      <c r="E327" s="95">
        <v>0.68</v>
      </c>
      <c r="F327" s="229" t="s">
        <v>1656</v>
      </c>
    </row>
    <row r="328">
      <c r="A328" s="176" t="s">
        <v>5982</v>
      </c>
      <c r="B328" s="78"/>
      <c r="C328" s="62">
        <v>0.05</v>
      </c>
      <c r="D328" s="95">
        <v>0.68</v>
      </c>
      <c r="E328" s="95">
        <v>0.68</v>
      </c>
      <c r="F328" s="229" t="s">
        <v>1656</v>
      </c>
    </row>
    <row r="329">
      <c r="A329" s="176" t="s">
        <v>5983</v>
      </c>
      <c r="B329" s="78"/>
      <c r="C329" s="62">
        <v>0.05</v>
      </c>
      <c r="D329" s="95">
        <v>0.68</v>
      </c>
      <c r="E329" s="95">
        <v>0.68</v>
      </c>
      <c r="F329" s="229" t="s">
        <v>1656</v>
      </c>
    </row>
    <row r="330">
      <c r="A330" s="176" t="s">
        <v>5984</v>
      </c>
      <c r="B330" s="78"/>
      <c r="C330" s="62">
        <v>0.05</v>
      </c>
      <c r="D330" s="95">
        <v>0.68</v>
      </c>
      <c r="E330" s="95">
        <v>0.68</v>
      </c>
      <c r="F330" s="229" t="s">
        <v>1656</v>
      </c>
    </row>
    <row r="331">
      <c r="A331" s="176" t="s">
        <v>5985</v>
      </c>
      <c r="B331" s="78"/>
      <c r="C331" s="62">
        <v>0.05</v>
      </c>
      <c r="D331" s="95">
        <v>0.68</v>
      </c>
      <c r="E331" s="95">
        <v>0.68</v>
      </c>
      <c r="F331" s="229" t="s">
        <v>1656</v>
      </c>
    </row>
    <row r="332">
      <c r="A332" s="176" t="s">
        <v>5986</v>
      </c>
      <c r="B332" s="78"/>
      <c r="C332" s="62">
        <v>0.05</v>
      </c>
      <c r="D332" s="95">
        <v>0.68</v>
      </c>
      <c r="E332" s="95">
        <v>0.68</v>
      </c>
      <c r="F332" s="229" t="s">
        <v>1656</v>
      </c>
    </row>
    <row r="333">
      <c r="A333" s="176" t="s">
        <v>5987</v>
      </c>
      <c r="B333" s="78"/>
      <c r="C333" s="62">
        <v>0.05</v>
      </c>
      <c r="D333" s="95">
        <v>0.68</v>
      </c>
      <c r="E333" s="95">
        <v>0.68</v>
      </c>
      <c r="F333" s="229" t="s">
        <v>1656</v>
      </c>
    </row>
    <row r="334">
      <c r="A334" s="176" t="s">
        <v>5988</v>
      </c>
      <c r="B334" s="78"/>
      <c r="C334" s="62">
        <v>0.05</v>
      </c>
      <c r="D334" s="95">
        <v>0.68</v>
      </c>
      <c r="E334" s="95">
        <v>0.68</v>
      </c>
      <c r="F334" s="229" t="s">
        <v>1656</v>
      </c>
    </row>
    <row r="335">
      <c r="A335" s="176" t="s">
        <v>5989</v>
      </c>
      <c r="B335" s="78"/>
      <c r="C335" s="62">
        <v>0.05</v>
      </c>
      <c r="D335" s="95">
        <v>0.68</v>
      </c>
      <c r="E335" s="95">
        <v>0.68</v>
      </c>
      <c r="F335" s="229" t="s">
        <v>1656</v>
      </c>
    </row>
    <row r="336">
      <c r="A336" s="176" t="s">
        <v>5990</v>
      </c>
      <c r="B336" s="78"/>
      <c r="C336" s="62">
        <v>0.05</v>
      </c>
      <c r="D336" s="95">
        <v>0.68</v>
      </c>
      <c r="E336" s="95">
        <v>0.68</v>
      </c>
      <c r="F336" s="229" t="s">
        <v>1656</v>
      </c>
    </row>
    <row r="337">
      <c r="A337" s="176" t="s">
        <v>5991</v>
      </c>
      <c r="B337" s="78"/>
      <c r="C337" s="62">
        <v>0.05</v>
      </c>
      <c r="D337" s="95">
        <v>0.68</v>
      </c>
      <c r="E337" s="95">
        <v>0.68</v>
      </c>
      <c r="F337" s="229" t="s">
        <v>1656</v>
      </c>
    </row>
    <row r="338">
      <c r="A338" s="176" t="s">
        <v>5992</v>
      </c>
      <c r="B338" s="78"/>
      <c r="C338" s="62">
        <v>0.05</v>
      </c>
      <c r="D338" s="95">
        <v>0.68</v>
      </c>
      <c r="E338" s="95">
        <v>0.68</v>
      </c>
      <c r="F338" s="229" t="s">
        <v>1656</v>
      </c>
    </row>
    <row r="339">
      <c r="A339" s="176" t="s">
        <v>5993</v>
      </c>
      <c r="B339" s="11">
        <v>14540.0</v>
      </c>
      <c r="C339" s="62">
        <v>0.05</v>
      </c>
      <c r="D339" s="95">
        <v>0.68</v>
      </c>
      <c r="E339" s="95">
        <v>0.68</v>
      </c>
      <c r="F339" s="229" t="s">
        <v>1656</v>
      </c>
    </row>
    <row r="340">
      <c r="A340" s="176" t="s">
        <v>5994</v>
      </c>
      <c r="B340" s="78"/>
      <c r="C340" s="62">
        <v>0.05</v>
      </c>
      <c r="D340" s="95">
        <v>0.68</v>
      </c>
      <c r="E340" s="95">
        <v>0.68</v>
      </c>
      <c r="F340" s="229" t="s">
        <v>1656</v>
      </c>
    </row>
    <row r="341">
      <c r="A341" s="176" t="s">
        <v>5995</v>
      </c>
      <c r="B341" s="78"/>
      <c r="C341" s="62">
        <v>0.05</v>
      </c>
      <c r="D341" s="95">
        <v>0.68</v>
      </c>
      <c r="E341" s="95">
        <v>0.68</v>
      </c>
      <c r="F341" s="229" t="s">
        <v>1656</v>
      </c>
    </row>
    <row r="342">
      <c r="A342" s="176" t="s">
        <v>5996</v>
      </c>
      <c r="B342" s="78"/>
      <c r="C342" s="62">
        <v>0.05</v>
      </c>
      <c r="D342" s="95">
        <v>0.68</v>
      </c>
      <c r="E342" s="95">
        <v>0.68</v>
      </c>
      <c r="F342" s="229" t="s">
        <v>1656</v>
      </c>
    </row>
    <row r="343">
      <c r="A343" s="176" t="s">
        <v>5997</v>
      </c>
      <c r="B343" s="78"/>
      <c r="C343" s="62">
        <v>0.05</v>
      </c>
      <c r="D343" s="95">
        <v>0.68</v>
      </c>
      <c r="E343" s="95">
        <v>0.68</v>
      </c>
      <c r="F343" s="229" t="s">
        <v>1656</v>
      </c>
    </row>
    <row r="344">
      <c r="A344" s="176" t="s">
        <v>5998</v>
      </c>
      <c r="B344" s="78"/>
      <c r="C344" s="62">
        <v>0.05</v>
      </c>
      <c r="D344" s="95">
        <v>0.68</v>
      </c>
      <c r="E344" s="95">
        <v>0.68</v>
      </c>
      <c r="F344" s="229" t="s">
        <v>1656</v>
      </c>
    </row>
    <row r="345">
      <c r="A345" s="176" t="s">
        <v>5999</v>
      </c>
      <c r="B345" s="78"/>
      <c r="C345" s="62">
        <v>0.05</v>
      </c>
      <c r="D345" s="95">
        <v>0.68</v>
      </c>
      <c r="E345" s="95">
        <v>0.68</v>
      </c>
      <c r="F345" s="229" t="s">
        <v>1656</v>
      </c>
    </row>
    <row r="346">
      <c r="A346" s="176" t="s">
        <v>6000</v>
      </c>
      <c r="B346" s="78"/>
      <c r="C346" s="62">
        <v>0.05</v>
      </c>
      <c r="D346" s="95">
        <v>0.68</v>
      </c>
      <c r="E346" s="95">
        <v>0.68</v>
      </c>
      <c r="F346" s="229" t="s">
        <v>1656</v>
      </c>
    </row>
    <row r="347">
      <c r="A347" s="176" t="s">
        <v>5262</v>
      </c>
      <c r="B347" s="78"/>
      <c r="C347" s="62">
        <v>0.05</v>
      </c>
      <c r="D347" s="95">
        <v>0.68</v>
      </c>
      <c r="E347" s="95">
        <v>0.68</v>
      </c>
      <c r="F347" s="229" t="s">
        <v>1656</v>
      </c>
    </row>
    <row r="348">
      <c r="A348" s="176" t="s">
        <v>6001</v>
      </c>
      <c r="B348" s="78"/>
      <c r="C348" s="62">
        <v>0.05</v>
      </c>
      <c r="D348" s="95">
        <v>0.68</v>
      </c>
      <c r="E348" s="95">
        <v>0.68</v>
      </c>
      <c r="F348" s="229" t="s">
        <v>1656</v>
      </c>
    </row>
    <row r="349">
      <c r="A349" s="176" t="s">
        <v>6002</v>
      </c>
      <c r="B349" s="78"/>
      <c r="C349" s="62">
        <v>0.05</v>
      </c>
      <c r="D349" s="95">
        <v>0.68</v>
      </c>
      <c r="E349" s="95">
        <v>0.68</v>
      </c>
      <c r="F349" s="229" t="s">
        <v>1656</v>
      </c>
    </row>
    <row r="350">
      <c r="A350" s="176" t="s">
        <v>6003</v>
      </c>
      <c r="B350" s="78"/>
      <c r="C350" s="62">
        <v>0.05</v>
      </c>
      <c r="D350" s="95">
        <v>0.68</v>
      </c>
      <c r="E350" s="95">
        <v>0.68</v>
      </c>
      <c r="F350" s="229" t="s">
        <v>1656</v>
      </c>
    </row>
    <row r="351">
      <c r="A351" s="176" t="s">
        <v>6004</v>
      </c>
      <c r="B351" s="78"/>
      <c r="C351" s="62">
        <v>0.05</v>
      </c>
      <c r="D351" s="95">
        <v>0.68</v>
      </c>
      <c r="E351" s="95">
        <v>0.68</v>
      </c>
      <c r="F351" s="229" t="s">
        <v>1656</v>
      </c>
    </row>
    <row r="352">
      <c r="A352" s="176" t="s">
        <v>6005</v>
      </c>
      <c r="B352" s="78"/>
      <c r="C352" s="62">
        <v>0.05</v>
      </c>
      <c r="D352" s="95">
        <v>0.68</v>
      </c>
      <c r="E352" s="95">
        <v>0.68</v>
      </c>
      <c r="F352" s="229" t="s">
        <v>1656</v>
      </c>
    </row>
    <row r="353">
      <c r="A353" s="176" t="s">
        <v>6006</v>
      </c>
      <c r="B353" s="78"/>
      <c r="C353" s="62">
        <v>0.05</v>
      </c>
      <c r="D353" s="95">
        <v>0.68</v>
      </c>
      <c r="E353" s="95">
        <v>0.68</v>
      </c>
      <c r="F353" s="229" t="s">
        <v>1656</v>
      </c>
    </row>
    <row r="354">
      <c r="A354" s="176" t="s">
        <v>6007</v>
      </c>
      <c r="B354" s="78"/>
      <c r="C354" s="62">
        <v>0.05</v>
      </c>
      <c r="D354" s="95">
        <v>0.68</v>
      </c>
      <c r="E354" s="95">
        <v>0.68</v>
      </c>
      <c r="F354" s="229" t="s">
        <v>1656</v>
      </c>
    </row>
    <row r="355">
      <c r="A355" s="176" t="s">
        <v>6008</v>
      </c>
      <c r="B355" s="78"/>
      <c r="C355" s="62">
        <v>0.05</v>
      </c>
      <c r="D355" s="95">
        <v>0.68</v>
      </c>
      <c r="E355" s="95">
        <v>0.68</v>
      </c>
      <c r="F355" s="229" t="s">
        <v>1656</v>
      </c>
    </row>
    <row r="356">
      <c r="A356" s="176" t="s">
        <v>6009</v>
      </c>
      <c r="B356" s="78"/>
      <c r="C356" s="62">
        <v>0.05</v>
      </c>
      <c r="D356" s="95">
        <v>0.68</v>
      </c>
      <c r="E356" s="95">
        <v>0.68</v>
      </c>
      <c r="F356" s="229" t="s">
        <v>1656</v>
      </c>
    </row>
    <row r="357">
      <c r="A357" s="176" t="s">
        <v>2255</v>
      </c>
      <c r="B357" s="78"/>
      <c r="C357" s="62">
        <v>0.05</v>
      </c>
      <c r="D357" s="95">
        <v>0.68</v>
      </c>
      <c r="E357" s="95">
        <v>0.68</v>
      </c>
      <c r="F357" s="229" t="s">
        <v>1656</v>
      </c>
    </row>
    <row r="358">
      <c r="A358" s="176" t="s">
        <v>6010</v>
      </c>
      <c r="B358" s="78"/>
      <c r="C358" s="62">
        <v>0.05</v>
      </c>
      <c r="D358" s="95">
        <v>0.68</v>
      </c>
      <c r="E358" s="95">
        <v>0.68</v>
      </c>
      <c r="F358" s="229" t="s">
        <v>1656</v>
      </c>
    </row>
    <row r="359">
      <c r="A359" s="176" t="s">
        <v>6011</v>
      </c>
      <c r="B359" s="78"/>
      <c r="C359" s="62">
        <v>0.05</v>
      </c>
      <c r="D359" s="95">
        <v>0.68</v>
      </c>
      <c r="E359" s="95">
        <v>0.68</v>
      </c>
      <c r="F359" s="229" t="s">
        <v>1656</v>
      </c>
    </row>
    <row r="360">
      <c r="A360" s="176" t="s">
        <v>6012</v>
      </c>
      <c r="B360" s="78"/>
      <c r="C360" s="62">
        <v>0.05</v>
      </c>
      <c r="D360" s="95">
        <v>0.68</v>
      </c>
      <c r="E360" s="95">
        <v>0.68</v>
      </c>
      <c r="F360" s="229" t="s">
        <v>1656</v>
      </c>
    </row>
    <row r="361">
      <c r="A361" s="176" t="s">
        <v>6013</v>
      </c>
      <c r="B361" s="78"/>
      <c r="C361" s="62">
        <v>0.05</v>
      </c>
      <c r="D361" s="95">
        <v>0.68</v>
      </c>
      <c r="E361" s="95">
        <v>0.68</v>
      </c>
      <c r="F361" s="229" t="s">
        <v>1656</v>
      </c>
    </row>
    <row r="362">
      <c r="A362" s="176" t="s">
        <v>6014</v>
      </c>
      <c r="B362" s="78"/>
      <c r="C362" s="62">
        <v>0.05</v>
      </c>
      <c r="D362" s="95">
        <v>0.68</v>
      </c>
      <c r="E362" s="95">
        <v>0.68</v>
      </c>
      <c r="F362" s="229" t="s">
        <v>1656</v>
      </c>
    </row>
    <row r="363">
      <c r="A363" s="176" t="s">
        <v>6015</v>
      </c>
      <c r="B363" s="78"/>
      <c r="C363" s="62">
        <v>0.05</v>
      </c>
      <c r="D363" s="95">
        <v>0.68</v>
      </c>
      <c r="E363" s="95">
        <v>0.68</v>
      </c>
      <c r="F363" s="229" t="s">
        <v>1656</v>
      </c>
    </row>
    <row r="364">
      <c r="A364" s="176" t="s">
        <v>6016</v>
      </c>
      <c r="B364" s="78"/>
      <c r="C364" s="62">
        <v>0.05</v>
      </c>
      <c r="D364" s="95">
        <v>0.68</v>
      </c>
      <c r="E364" s="95">
        <v>0.68</v>
      </c>
      <c r="F364" s="229" t="s">
        <v>1656</v>
      </c>
    </row>
    <row r="365">
      <c r="A365" s="176" t="s">
        <v>6017</v>
      </c>
      <c r="B365" s="78"/>
      <c r="C365" s="62">
        <v>0.05</v>
      </c>
      <c r="D365" s="95">
        <v>0.68</v>
      </c>
      <c r="E365" s="95">
        <v>0.68</v>
      </c>
      <c r="F365" s="229" t="s">
        <v>1656</v>
      </c>
    </row>
    <row r="366">
      <c r="A366" s="176" t="s">
        <v>6018</v>
      </c>
      <c r="B366" s="78"/>
      <c r="C366" s="62">
        <v>0.05</v>
      </c>
      <c r="D366" s="95">
        <v>0.68</v>
      </c>
      <c r="E366" s="95">
        <v>0.68</v>
      </c>
      <c r="F366" s="229" t="s">
        <v>1656</v>
      </c>
    </row>
    <row r="367">
      <c r="A367" s="176" t="s">
        <v>6019</v>
      </c>
      <c r="B367" s="78"/>
      <c r="C367" s="62">
        <v>0.05</v>
      </c>
      <c r="D367" s="95">
        <v>0.68</v>
      </c>
      <c r="E367" s="95">
        <v>0.68</v>
      </c>
      <c r="F367" s="229" t="s">
        <v>1656</v>
      </c>
    </row>
    <row r="368">
      <c r="A368" s="176" t="s">
        <v>6020</v>
      </c>
      <c r="B368" s="78"/>
      <c r="C368" s="62">
        <v>0.05</v>
      </c>
      <c r="D368" s="95">
        <v>0.68</v>
      </c>
      <c r="E368" s="95">
        <v>0.68</v>
      </c>
      <c r="F368" s="229" t="s">
        <v>1656</v>
      </c>
    </row>
    <row r="369">
      <c r="A369" s="176" t="s">
        <v>6021</v>
      </c>
      <c r="B369" s="78"/>
      <c r="C369" s="62">
        <v>0.05</v>
      </c>
      <c r="D369" s="95">
        <v>0.68</v>
      </c>
      <c r="E369" s="95">
        <v>0.68</v>
      </c>
      <c r="F369" s="229" t="s">
        <v>1656</v>
      </c>
    </row>
    <row r="370">
      <c r="A370" s="176" t="s">
        <v>6022</v>
      </c>
      <c r="B370" s="78"/>
      <c r="C370" s="62">
        <v>0.05</v>
      </c>
      <c r="D370" s="95">
        <v>0.68</v>
      </c>
      <c r="E370" s="95">
        <v>0.68</v>
      </c>
      <c r="F370" s="229" t="s">
        <v>1656</v>
      </c>
    </row>
    <row r="371">
      <c r="A371" s="176" t="s">
        <v>6023</v>
      </c>
      <c r="B371" s="78"/>
      <c r="C371" s="62">
        <v>0.05</v>
      </c>
      <c r="D371" s="95">
        <v>0.68</v>
      </c>
      <c r="E371" s="95">
        <v>0.68</v>
      </c>
      <c r="F371" s="229" t="s">
        <v>1656</v>
      </c>
    </row>
    <row r="372">
      <c r="A372" s="176" t="s">
        <v>6024</v>
      </c>
      <c r="B372" s="78"/>
      <c r="C372" s="62">
        <v>0.05</v>
      </c>
      <c r="D372" s="95">
        <v>0.68</v>
      </c>
      <c r="E372" s="95">
        <v>0.68</v>
      </c>
      <c r="F372" s="229" t="s">
        <v>1656</v>
      </c>
    </row>
    <row r="373">
      <c r="A373" s="176" t="s">
        <v>6025</v>
      </c>
      <c r="B373" s="16">
        <v>14465.0</v>
      </c>
      <c r="C373" s="62">
        <v>0.05</v>
      </c>
      <c r="D373" s="74">
        <v>0.9</v>
      </c>
      <c r="E373" s="74">
        <v>0.9</v>
      </c>
      <c r="F373" s="229" t="s">
        <v>1656</v>
      </c>
    </row>
    <row r="374">
      <c r="A374" s="176" t="s">
        <v>6026</v>
      </c>
      <c r="B374" s="78"/>
      <c r="C374" s="62">
        <v>0.05</v>
      </c>
      <c r="D374" s="95">
        <v>0.68</v>
      </c>
      <c r="E374" s="95">
        <v>0.68</v>
      </c>
      <c r="F374" s="229" t="s">
        <v>1656</v>
      </c>
    </row>
    <row r="375">
      <c r="A375" s="176" t="s">
        <v>6027</v>
      </c>
      <c r="B375" s="78"/>
      <c r="C375" s="62">
        <v>0.05</v>
      </c>
      <c r="D375" s="95">
        <v>0.68</v>
      </c>
      <c r="E375" s="95">
        <v>0.68</v>
      </c>
      <c r="F375" s="229" t="s">
        <v>1656</v>
      </c>
    </row>
    <row r="376">
      <c r="A376" s="176" t="s">
        <v>6028</v>
      </c>
      <c r="B376" s="78"/>
      <c r="C376" s="62">
        <v>0.05</v>
      </c>
      <c r="D376" s="95">
        <v>0.68</v>
      </c>
      <c r="E376" s="95">
        <v>0.68</v>
      </c>
      <c r="F376" s="229" t="s">
        <v>1656</v>
      </c>
    </row>
    <row r="377">
      <c r="A377" s="176" t="s">
        <v>6029</v>
      </c>
      <c r="B377" s="78"/>
      <c r="C377" s="62">
        <v>0.05</v>
      </c>
      <c r="D377" s="95">
        <v>0.68</v>
      </c>
      <c r="E377" s="95">
        <v>0.68</v>
      </c>
      <c r="F377" s="229" t="s">
        <v>1656</v>
      </c>
    </row>
    <row r="378">
      <c r="A378" s="176" t="s">
        <v>6030</v>
      </c>
      <c r="B378" s="78"/>
      <c r="C378" s="62">
        <v>0.05</v>
      </c>
      <c r="D378" s="95">
        <v>0.68</v>
      </c>
      <c r="E378" s="95">
        <v>0.68</v>
      </c>
      <c r="F378" s="229" t="s">
        <v>1656</v>
      </c>
    </row>
    <row r="379">
      <c r="A379" s="176" t="s">
        <v>6031</v>
      </c>
      <c r="B379" s="78"/>
      <c r="C379" s="62">
        <v>0.05</v>
      </c>
      <c r="D379" s="95">
        <v>0.68</v>
      </c>
      <c r="E379" s="95">
        <v>0.68</v>
      </c>
      <c r="F379" s="229" t="s">
        <v>1656</v>
      </c>
    </row>
    <row r="380">
      <c r="A380" s="176" t="s">
        <v>6032</v>
      </c>
      <c r="B380" s="78"/>
      <c r="C380" s="62">
        <v>0.05</v>
      </c>
      <c r="D380" s="95">
        <v>0.68</v>
      </c>
      <c r="E380" s="95">
        <v>0.68</v>
      </c>
      <c r="F380" s="229" t="s">
        <v>1656</v>
      </c>
    </row>
    <row r="381">
      <c r="A381" s="176" t="s">
        <v>6033</v>
      </c>
      <c r="B381" s="78"/>
      <c r="C381" s="62">
        <v>0.05</v>
      </c>
      <c r="D381" s="95">
        <v>0.68</v>
      </c>
      <c r="E381" s="95">
        <v>0.68</v>
      </c>
      <c r="F381" s="229" t="s">
        <v>1656</v>
      </c>
    </row>
    <row r="382">
      <c r="A382" s="176" t="s">
        <v>6034</v>
      </c>
      <c r="B382" s="78"/>
      <c r="C382" s="62">
        <v>0.05</v>
      </c>
      <c r="D382" s="95">
        <v>0.68</v>
      </c>
      <c r="E382" s="95">
        <v>0.68</v>
      </c>
      <c r="F382" s="229" t="s">
        <v>1656</v>
      </c>
    </row>
    <row r="383">
      <c r="A383" s="176" t="s">
        <v>6035</v>
      </c>
      <c r="B383" s="78"/>
      <c r="C383" s="62">
        <v>0.05</v>
      </c>
      <c r="D383" s="95">
        <v>0.68</v>
      </c>
      <c r="E383" s="95">
        <v>0.68</v>
      </c>
      <c r="F383" s="229" t="s">
        <v>1656</v>
      </c>
    </row>
    <row r="384">
      <c r="A384" s="176" t="s">
        <v>6036</v>
      </c>
      <c r="B384" s="78"/>
      <c r="C384" s="62">
        <v>0.05</v>
      </c>
      <c r="D384" s="95">
        <v>0.68</v>
      </c>
      <c r="E384" s="95">
        <v>0.68</v>
      </c>
      <c r="F384" s="229" t="s">
        <v>1656</v>
      </c>
    </row>
    <row r="385">
      <c r="A385" s="176" t="s">
        <v>2999</v>
      </c>
      <c r="B385" s="78"/>
      <c r="C385" s="62">
        <v>0.05</v>
      </c>
      <c r="D385" s="95">
        <v>0.68</v>
      </c>
      <c r="E385" s="95">
        <v>0.68</v>
      </c>
      <c r="F385" s="229" t="s">
        <v>1656</v>
      </c>
    </row>
    <row r="386">
      <c r="A386" s="176" t="s">
        <v>6037</v>
      </c>
      <c r="B386" s="78"/>
      <c r="C386" s="62">
        <v>0.05</v>
      </c>
      <c r="D386" s="95">
        <v>0.68</v>
      </c>
      <c r="E386" s="95">
        <v>0.68</v>
      </c>
      <c r="F386" s="229" t="s">
        <v>1656</v>
      </c>
    </row>
    <row r="387">
      <c r="A387" s="176" t="s">
        <v>6038</v>
      </c>
      <c r="B387" s="78"/>
      <c r="C387" s="62">
        <v>0.05</v>
      </c>
      <c r="D387" s="95">
        <v>0.68</v>
      </c>
      <c r="E387" s="95">
        <v>0.68</v>
      </c>
      <c r="F387" s="229" t="s">
        <v>1656</v>
      </c>
    </row>
    <row r="388">
      <c r="A388" s="176" t="s">
        <v>6039</v>
      </c>
      <c r="B388" s="78"/>
      <c r="C388" s="62">
        <v>0.05</v>
      </c>
      <c r="D388" s="95">
        <v>0.68</v>
      </c>
      <c r="E388" s="95">
        <v>0.68</v>
      </c>
      <c r="F388" s="229" t="s">
        <v>1656</v>
      </c>
    </row>
    <row r="389">
      <c r="A389" s="176" t="s">
        <v>6040</v>
      </c>
      <c r="B389" s="78"/>
      <c r="C389" s="62">
        <v>0.05</v>
      </c>
      <c r="D389" s="95">
        <v>0.68</v>
      </c>
      <c r="E389" s="95">
        <v>0.68</v>
      </c>
      <c r="F389" s="229" t="s">
        <v>1656</v>
      </c>
    </row>
    <row r="390">
      <c r="A390" s="176" t="s">
        <v>6041</v>
      </c>
      <c r="B390" s="78"/>
      <c r="C390" s="62">
        <v>0.05</v>
      </c>
      <c r="D390" s="95">
        <v>0.68</v>
      </c>
      <c r="E390" s="95">
        <v>0.68</v>
      </c>
      <c r="F390" s="229" t="s">
        <v>1656</v>
      </c>
    </row>
    <row r="391">
      <c r="A391" s="176" t="s">
        <v>6042</v>
      </c>
      <c r="B391" s="78"/>
      <c r="C391" s="62">
        <v>0.05</v>
      </c>
      <c r="D391" s="95">
        <v>0.68</v>
      </c>
      <c r="E391" s="95">
        <v>0.68</v>
      </c>
      <c r="F391" s="229" t="s">
        <v>1656</v>
      </c>
    </row>
    <row r="392">
      <c r="A392" s="176" t="s">
        <v>6043</v>
      </c>
      <c r="B392" s="78"/>
      <c r="C392" s="62">
        <v>0.05</v>
      </c>
      <c r="D392" s="95">
        <v>0.68</v>
      </c>
      <c r="E392" s="95">
        <v>0.68</v>
      </c>
      <c r="F392" s="229" t="s">
        <v>1656</v>
      </c>
    </row>
    <row r="393">
      <c r="A393" s="176" t="s">
        <v>6044</v>
      </c>
      <c r="B393" s="78"/>
      <c r="C393" s="62">
        <v>0.05</v>
      </c>
      <c r="D393" s="95">
        <v>0.68</v>
      </c>
      <c r="E393" s="95">
        <v>0.68</v>
      </c>
      <c r="F393" s="229" t="s">
        <v>1656</v>
      </c>
    </row>
    <row r="394">
      <c r="A394" s="176" t="s">
        <v>6045</v>
      </c>
      <c r="B394" s="78"/>
      <c r="C394" s="62">
        <v>0.05</v>
      </c>
      <c r="D394" s="95">
        <v>0.68</v>
      </c>
      <c r="E394" s="95">
        <v>0.68</v>
      </c>
      <c r="F394" s="229" t="s">
        <v>1656</v>
      </c>
    </row>
    <row r="395">
      <c r="A395" s="176" t="s">
        <v>6046</v>
      </c>
      <c r="B395" s="78"/>
      <c r="C395" s="62">
        <v>0.05</v>
      </c>
      <c r="D395" s="95">
        <v>0.68</v>
      </c>
      <c r="E395" s="95">
        <v>0.68</v>
      </c>
      <c r="F395" s="229" t="s">
        <v>1656</v>
      </c>
    </row>
    <row r="396">
      <c r="A396" s="176" t="s">
        <v>6047</v>
      </c>
      <c r="B396" s="78"/>
      <c r="C396" s="62">
        <v>0.05</v>
      </c>
      <c r="D396" s="95">
        <v>0.68</v>
      </c>
      <c r="E396" s="95">
        <v>0.68</v>
      </c>
      <c r="F396" s="229" t="s">
        <v>1656</v>
      </c>
    </row>
    <row r="397">
      <c r="A397" s="176" t="s">
        <v>6048</v>
      </c>
      <c r="B397" s="78"/>
      <c r="C397" s="62">
        <v>0.05</v>
      </c>
      <c r="D397" s="95">
        <v>0.68</v>
      </c>
      <c r="E397" s="95">
        <v>0.68</v>
      </c>
      <c r="F397" s="229" t="s">
        <v>1656</v>
      </c>
    </row>
    <row r="398">
      <c r="A398" s="176" t="s">
        <v>6049</v>
      </c>
      <c r="B398" s="78"/>
      <c r="C398" s="62">
        <v>0.05</v>
      </c>
      <c r="D398" s="95">
        <v>0.68</v>
      </c>
      <c r="E398" s="95">
        <v>0.68</v>
      </c>
      <c r="F398" s="229" t="s">
        <v>1656</v>
      </c>
    </row>
    <row r="399">
      <c r="A399" s="176" t="s">
        <v>6050</v>
      </c>
      <c r="B399" s="78"/>
      <c r="C399" s="62">
        <v>0.05</v>
      </c>
      <c r="D399" s="95">
        <v>0.68</v>
      </c>
      <c r="E399" s="95">
        <v>0.68</v>
      </c>
      <c r="F399" s="229" t="s">
        <v>1656</v>
      </c>
    </row>
    <row r="400">
      <c r="A400" s="176" t="s">
        <v>6051</v>
      </c>
      <c r="B400" s="78"/>
      <c r="C400" s="62">
        <v>0.05</v>
      </c>
      <c r="D400" s="95">
        <v>0.68</v>
      </c>
      <c r="E400" s="95">
        <v>0.68</v>
      </c>
      <c r="F400" s="229" t="s">
        <v>1656</v>
      </c>
    </row>
    <row r="401">
      <c r="A401" s="176" t="s">
        <v>6052</v>
      </c>
      <c r="B401" s="78"/>
      <c r="C401" s="62">
        <v>0.05</v>
      </c>
      <c r="D401" s="95">
        <v>0.68</v>
      </c>
      <c r="E401" s="95">
        <v>0.68</v>
      </c>
      <c r="F401" s="229" t="s">
        <v>1656</v>
      </c>
    </row>
    <row r="402">
      <c r="A402" s="176" t="s">
        <v>6053</v>
      </c>
      <c r="B402" s="78"/>
      <c r="C402" s="62">
        <v>0.05</v>
      </c>
      <c r="D402" s="95">
        <v>0.68</v>
      </c>
      <c r="E402" s="95">
        <v>0.68</v>
      </c>
      <c r="F402" s="229" t="s">
        <v>1656</v>
      </c>
    </row>
    <row r="403">
      <c r="A403" s="176" t="s">
        <v>6054</v>
      </c>
      <c r="B403" s="78"/>
      <c r="C403" s="62">
        <v>0.05</v>
      </c>
      <c r="D403" s="95">
        <v>0.68</v>
      </c>
      <c r="E403" s="95">
        <v>0.68</v>
      </c>
      <c r="F403" s="229" t="s">
        <v>1656</v>
      </c>
    </row>
    <row r="404">
      <c r="A404" s="176" t="s">
        <v>6055</v>
      </c>
      <c r="B404" s="78"/>
      <c r="C404" s="62">
        <v>0.05</v>
      </c>
      <c r="D404" s="95">
        <v>0.68</v>
      </c>
      <c r="E404" s="95">
        <v>0.68</v>
      </c>
      <c r="F404" s="229" t="s">
        <v>1656</v>
      </c>
    </row>
    <row r="405">
      <c r="A405" s="176" t="s">
        <v>6056</v>
      </c>
      <c r="B405" s="78"/>
      <c r="C405" s="62">
        <v>0.05</v>
      </c>
      <c r="D405" s="95">
        <v>0.68</v>
      </c>
      <c r="E405" s="95">
        <v>0.68</v>
      </c>
      <c r="F405" s="229" t="s">
        <v>1656</v>
      </c>
    </row>
    <row r="406">
      <c r="A406" s="176" t="s">
        <v>624</v>
      </c>
      <c r="B406" s="78"/>
      <c r="C406" s="62">
        <v>0.05</v>
      </c>
      <c r="D406" s="95">
        <v>0.68</v>
      </c>
      <c r="E406" s="95">
        <v>0.68</v>
      </c>
      <c r="F406" s="229" t="s">
        <v>1656</v>
      </c>
    </row>
    <row r="407">
      <c r="A407" s="176" t="s">
        <v>889</v>
      </c>
      <c r="B407" s="78"/>
      <c r="C407" s="62">
        <v>0.05</v>
      </c>
      <c r="D407" s="95">
        <v>0.68</v>
      </c>
      <c r="E407" s="95">
        <v>0.68</v>
      </c>
      <c r="F407" s="229" t="s">
        <v>1656</v>
      </c>
    </row>
    <row r="408">
      <c r="A408" s="176" t="s">
        <v>6057</v>
      </c>
      <c r="B408" s="78"/>
      <c r="C408" s="62">
        <v>0.05</v>
      </c>
      <c r="D408" s="95">
        <v>0.68</v>
      </c>
      <c r="E408" s="95">
        <v>0.68</v>
      </c>
      <c r="F408" s="229" t="s">
        <v>1656</v>
      </c>
    </row>
    <row r="409">
      <c r="A409" s="176" t="s">
        <v>6058</v>
      </c>
      <c r="B409" s="25">
        <v>14594.0</v>
      </c>
      <c r="C409" s="62">
        <v>0.05</v>
      </c>
      <c r="D409" s="95">
        <v>0.68</v>
      </c>
      <c r="E409" s="95">
        <v>0.68</v>
      </c>
      <c r="F409" s="229" t="s">
        <v>1656</v>
      </c>
    </row>
    <row r="410">
      <c r="A410" s="176" t="s">
        <v>6059</v>
      </c>
      <c r="B410" s="78"/>
      <c r="C410" s="62">
        <v>0.05</v>
      </c>
      <c r="D410" s="95">
        <v>0.68</v>
      </c>
      <c r="E410" s="95">
        <v>0.68</v>
      </c>
      <c r="F410" s="229" t="s">
        <v>1656</v>
      </c>
    </row>
    <row r="411">
      <c r="A411" s="176" t="s">
        <v>6060</v>
      </c>
      <c r="B411" s="78"/>
      <c r="C411" s="62">
        <v>0.05</v>
      </c>
      <c r="D411" s="95">
        <v>0.68</v>
      </c>
      <c r="E411" s="95">
        <v>0.68</v>
      </c>
      <c r="F411" s="229" t="s">
        <v>1656</v>
      </c>
    </row>
    <row r="412">
      <c r="A412" s="176" t="s">
        <v>6061</v>
      </c>
      <c r="B412" s="78"/>
      <c r="C412" s="62">
        <v>0.05</v>
      </c>
      <c r="D412" s="95">
        <v>0.68</v>
      </c>
      <c r="E412" s="95">
        <v>0.68</v>
      </c>
      <c r="F412" s="229" t="s">
        <v>1656</v>
      </c>
    </row>
    <row r="413">
      <c r="A413" s="176" t="s">
        <v>6062</v>
      </c>
      <c r="B413" s="78"/>
      <c r="C413" s="62">
        <v>0.05</v>
      </c>
      <c r="D413" s="95">
        <v>0.68</v>
      </c>
      <c r="E413" s="95">
        <v>0.68</v>
      </c>
      <c r="F413" s="229" t="s">
        <v>1656</v>
      </c>
    </row>
    <row r="414">
      <c r="A414" s="176" t="s">
        <v>6063</v>
      </c>
      <c r="B414" s="78"/>
      <c r="C414" s="62">
        <v>0.05</v>
      </c>
      <c r="D414" s="95">
        <v>0.68</v>
      </c>
      <c r="E414" s="95">
        <v>0.68</v>
      </c>
      <c r="F414" s="229" t="s">
        <v>1656</v>
      </c>
    </row>
    <row r="415">
      <c r="A415" s="176" t="s">
        <v>6064</v>
      </c>
      <c r="B415" s="78"/>
      <c r="C415" s="62">
        <v>0.05</v>
      </c>
      <c r="D415" s="95">
        <v>0.68</v>
      </c>
      <c r="E415" s="95">
        <v>0.68</v>
      </c>
      <c r="F415" s="229" t="s">
        <v>1656</v>
      </c>
    </row>
    <row r="416">
      <c r="A416" s="176" t="s">
        <v>6065</v>
      </c>
      <c r="B416" s="78"/>
      <c r="C416" s="62">
        <v>0.05</v>
      </c>
      <c r="D416" s="95">
        <v>0.68</v>
      </c>
      <c r="E416" s="95">
        <v>0.68</v>
      </c>
      <c r="F416" s="229" t="s">
        <v>1656</v>
      </c>
    </row>
    <row r="417">
      <c r="A417" s="176" t="s">
        <v>6066</v>
      </c>
      <c r="B417" s="25">
        <v>6675.0</v>
      </c>
      <c r="C417" s="62">
        <v>0.05</v>
      </c>
      <c r="D417" s="74">
        <v>0.9</v>
      </c>
      <c r="E417" s="74">
        <v>0.9</v>
      </c>
      <c r="F417" s="229" t="s">
        <v>1656</v>
      </c>
    </row>
    <row r="418">
      <c r="A418" s="176" t="s">
        <v>6067</v>
      </c>
      <c r="B418" s="78"/>
      <c r="C418" s="62">
        <v>0.05</v>
      </c>
      <c r="D418" s="95">
        <v>0.68</v>
      </c>
      <c r="E418" s="95">
        <v>0.68</v>
      </c>
      <c r="F418" s="229" t="s">
        <v>1656</v>
      </c>
    </row>
    <row r="419">
      <c r="A419" s="176" t="s">
        <v>3418</v>
      </c>
      <c r="B419" s="25">
        <v>8486.0</v>
      </c>
      <c r="C419" s="62">
        <v>0.05</v>
      </c>
      <c r="D419" s="74">
        <v>0.75</v>
      </c>
      <c r="E419" s="74">
        <v>0.75</v>
      </c>
      <c r="F419" s="229" t="s">
        <v>1656</v>
      </c>
    </row>
    <row r="420">
      <c r="A420" s="176" t="s">
        <v>6068</v>
      </c>
      <c r="B420" s="25">
        <v>189.0</v>
      </c>
      <c r="C420" s="62">
        <v>0.05</v>
      </c>
      <c r="D420" s="74">
        <v>0.75</v>
      </c>
      <c r="E420" s="74">
        <v>0.75</v>
      </c>
      <c r="F420" s="229" t="s">
        <v>1656</v>
      </c>
    </row>
    <row r="421">
      <c r="A421" s="176" t="s">
        <v>6069</v>
      </c>
      <c r="B421" s="25">
        <v>189.0</v>
      </c>
      <c r="C421" s="62">
        <v>0.05</v>
      </c>
      <c r="D421" s="74">
        <v>0.75</v>
      </c>
      <c r="E421" s="74">
        <v>0.75</v>
      </c>
      <c r="F421" s="229" t="s">
        <v>1656</v>
      </c>
    </row>
    <row r="422">
      <c r="A422" s="176" t="s">
        <v>6070</v>
      </c>
      <c r="B422" s="25">
        <v>189.0</v>
      </c>
      <c r="C422" s="62">
        <v>0.05</v>
      </c>
      <c r="D422" s="74">
        <v>0.75</v>
      </c>
      <c r="E422" s="74">
        <v>0.75</v>
      </c>
      <c r="F422" s="229" t="s">
        <v>1656</v>
      </c>
    </row>
    <row r="423">
      <c r="A423" s="176" t="s">
        <v>2447</v>
      </c>
      <c r="B423" s="25">
        <v>14337.0</v>
      </c>
      <c r="C423" s="62">
        <v>0.05</v>
      </c>
      <c r="D423" s="95">
        <v>0.68</v>
      </c>
      <c r="E423" s="95">
        <v>0.68</v>
      </c>
      <c r="F423" s="229" t="s">
        <v>1656</v>
      </c>
    </row>
    <row r="424">
      <c r="A424" s="176" t="s">
        <v>6071</v>
      </c>
      <c r="B424" s="78"/>
      <c r="C424" s="62">
        <v>0.05</v>
      </c>
      <c r="D424" s="95">
        <v>0.68</v>
      </c>
      <c r="E424" s="95">
        <v>0.68</v>
      </c>
      <c r="F424" s="229" t="s">
        <v>1656</v>
      </c>
    </row>
    <row r="425">
      <c r="A425" s="176" t="s">
        <v>6072</v>
      </c>
      <c r="B425" s="25">
        <v>189.0</v>
      </c>
      <c r="C425" s="62">
        <v>0.05</v>
      </c>
      <c r="D425" s="74">
        <v>0.75</v>
      </c>
      <c r="E425" s="74">
        <v>0.75</v>
      </c>
      <c r="F425" s="229" t="s">
        <v>1656</v>
      </c>
    </row>
    <row r="426">
      <c r="A426" s="176" t="s">
        <v>6073</v>
      </c>
      <c r="B426" s="25">
        <v>189.0</v>
      </c>
      <c r="C426" s="62">
        <v>0.05</v>
      </c>
      <c r="D426" s="74">
        <v>0.75</v>
      </c>
      <c r="E426" s="74">
        <v>0.75</v>
      </c>
      <c r="F426" s="229" t="s">
        <v>1656</v>
      </c>
    </row>
    <row r="427">
      <c r="A427" s="176" t="s">
        <v>6074</v>
      </c>
      <c r="B427" s="25">
        <v>189.0</v>
      </c>
      <c r="C427" s="62">
        <v>0.05</v>
      </c>
      <c r="D427" s="74">
        <v>0.75</v>
      </c>
      <c r="E427" s="74">
        <v>0.75</v>
      </c>
      <c r="F427" s="229" t="s">
        <v>1656</v>
      </c>
    </row>
    <row r="428">
      <c r="A428" s="176" t="s">
        <v>6075</v>
      </c>
      <c r="B428" s="25">
        <v>189.0</v>
      </c>
      <c r="C428" s="62">
        <v>0.05</v>
      </c>
      <c r="D428" s="74">
        <v>0.75</v>
      </c>
      <c r="E428" s="74">
        <v>0.75</v>
      </c>
      <c r="F428" s="229" t="s">
        <v>1656</v>
      </c>
    </row>
    <row r="429">
      <c r="A429" s="176" t="s">
        <v>6076</v>
      </c>
      <c r="B429" s="25">
        <v>189.0</v>
      </c>
      <c r="C429" s="62">
        <v>0.05</v>
      </c>
      <c r="D429" s="74">
        <v>0.75</v>
      </c>
      <c r="E429" s="74">
        <v>0.75</v>
      </c>
      <c r="F429" s="229" t="s">
        <v>1656</v>
      </c>
    </row>
    <row r="430">
      <c r="A430" s="176" t="s">
        <v>6077</v>
      </c>
      <c r="B430" s="78"/>
      <c r="C430" s="62">
        <v>0.05</v>
      </c>
      <c r="D430" s="95">
        <v>0.68</v>
      </c>
      <c r="E430" s="95">
        <v>0.68</v>
      </c>
      <c r="F430" s="229" t="s">
        <v>1656</v>
      </c>
    </row>
    <row r="431">
      <c r="A431" s="176" t="s">
        <v>6078</v>
      </c>
      <c r="B431" s="25">
        <v>8486.0</v>
      </c>
      <c r="C431" s="62">
        <v>0.05</v>
      </c>
      <c r="D431" s="74">
        <v>0.75</v>
      </c>
      <c r="E431" s="74">
        <v>0.75</v>
      </c>
      <c r="F431" s="229" t="s">
        <v>1656</v>
      </c>
    </row>
    <row r="432">
      <c r="A432" s="176" t="s">
        <v>6079</v>
      </c>
      <c r="B432" s="25">
        <v>4933.0</v>
      </c>
      <c r="C432" s="62">
        <v>0.05</v>
      </c>
      <c r="D432" s="95">
        <v>0.68</v>
      </c>
      <c r="E432" s="95">
        <v>0.68</v>
      </c>
      <c r="F432" s="229" t="s">
        <v>1656</v>
      </c>
    </row>
    <row r="433">
      <c r="A433" s="176" t="s">
        <v>6080</v>
      </c>
      <c r="B433" s="25">
        <v>4933.0</v>
      </c>
      <c r="C433" s="62">
        <v>0.05</v>
      </c>
      <c r="D433" s="95">
        <v>0.68</v>
      </c>
      <c r="E433" s="95">
        <v>0.68</v>
      </c>
      <c r="F433" s="229" t="s">
        <v>1656</v>
      </c>
    </row>
    <row r="434">
      <c r="A434" s="176" t="s">
        <v>6081</v>
      </c>
      <c r="B434" s="25">
        <v>4933.0</v>
      </c>
      <c r="C434" s="62">
        <v>0.05</v>
      </c>
      <c r="D434" s="95">
        <v>0.68</v>
      </c>
      <c r="E434" s="95">
        <v>0.68</v>
      </c>
      <c r="F434" s="229" t="s">
        <v>1656</v>
      </c>
    </row>
    <row r="435">
      <c r="A435" s="176" t="s">
        <v>2945</v>
      </c>
      <c r="B435" s="25">
        <v>4933.0</v>
      </c>
      <c r="C435" s="62">
        <v>0.05</v>
      </c>
      <c r="D435" s="95">
        <v>0.68</v>
      </c>
      <c r="E435" s="95">
        <v>0.68</v>
      </c>
      <c r="F435" s="229" t="s">
        <v>1656</v>
      </c>
    </row>
    <row r="436">
      <c r="A436" s="176" t="s">
        <v>6082</v>
      </c>
      <c r="B436" s="25">
        <v>4933.0</v>
      </c>
      <c r="C436" s="62">
        <v>0.05</v>
      </c>
      <c r="D436" s="95">
        <v>0.68</v>
      </c>
      <c r="E436" s="95">
        <v>0.68</v>
      </c>
      <c r="F436" s="229" t="s">
        <v>1656</v>
      </c>
    </row>
    <row r="437">
      <c r="A437" s="247" t="s">
        <v>6083</v>
      </c>
      <c r="B437" s="187">
        <v>8179.0</v>
      </c>
      <c r="C437" s="62">
        <v>0.05</v>
      </c>
      <c r="D437" s="95">
        <v>0.68</v>
      </c>
      <c r="E437" s="95">
        <v>0.68</v>
      </c>
      <c r="F437" s="229" t="s">
        <v>1656</v>
      </c>
      <c r="G437" s="25" t="s">
        <v>207</v>
      </c>
    </row>
    <row r="438">
      <c r="A438" s="247" t="s">
        <v>6084</v>
      </c>
      <c r="B438" s="187">
        <v>8537.0</v>
      </c>
      <c r="C438" s="62">
        <v>0.05</v>
      </c>
      <c r="D438" s="95">
        <v>0.68</v>
      </c>
      <c r="E438" s="95">
        <v>0.68</v>
      </c>
      <c r="F438" s="229" t="s">
        <v>1656</v>
      </c>
      <c r="G438" s="25" t="s">
        <v>207</v>
      </c>
    </row>
    <row r="439">
      <c r="A439" s="247" t="s">
        <v>6085</v>
      </c>
      <c r="B439" s="187">
        <v>11271.0</v>
      </c>
      <c r="C439" s="62">
        <v>0.05</v>
      </c>
      <c r="D439" s="95">
        <v>0.68</v>
      </c>
      <c r="E439" s="95">
        <v>0.68</v>
      </c>
      <c r="F439" s="229" t="s">
        <v>1656</v>
      </c>
      <c r="G439" s="25" t="s">
        <v>207</v>
      </c>
    </row>
    <row r="440">
      <c r="A440" s="247" t="s">
        <v>6086</v>
      </c>
      <c r="B440" s="187">
        <v>9672.0</v>
      </c>
      <c r="C440" s="62">
        <v>0.05</v>
      </c>
      <c r="D440" s="95">
        <v>0.68</v>
      </c>
      <c r="E440" s="95">
        <v>0.68</v>
      </c>
      <c r="F440" s="229" t="s">
        <v>1656</v>
      </c>
      <c r="G440" s="25" t="s">
        <v>207</v>
      </c>
    </row>
    <row r="441">
      <c r="A441" s="247" t="s">
        <v>6087</v>
      </c>
      <c r="B441" s="187">
        <v>8163.0</v>
      </c>
      <c r="C441" s="62">
        <v>0.05</v>
      </c>
      <c r="D441" s="95">
        <v>0.68</v>
      </c>
      <c r="E441" s="95">
        <v>0.68</v>
      </c>
      <c r="F441" s="229" t="s">
        <v>1656</v>
      </c>
      <c r="G441" s="25" t="s">
        <v>207</v>
      </c>
    </row>
    <row r="442">
      <c r="A442" s="247" t="s">
        <v>6088</v>
      </c>
      <c r="B442" s="187">
        <v>9825.0</v>
      </c>
      <c r="C442" s="62">
        <v>0.05</v>
      </c>
      <c r="D442" s="95">
        <v>0.68</v>
      </c>
      <c r="E442" s="95">
        <v>0.68</v>
      </c>
      <c r="F442" s="229" t="s">
        <v>1656</v>
      </c>
      <c r="G442" s="25" t="s">
        <v>207</v>
      </c>
    </row>
    <row r="443">
      <c r="A443" s="247" t="s">
        <v>6089</v>
      </c>
      <c r="B443" s="187">
        <v>9843.0</v>
      </c>
      <c r="C443" s="62">
        <v>0.05</v>
      </c>
      <c r="D443" s="95">
        <v>0.68</v>
      </c>
      <c r="E443" s="95">
        <v>0.68</v>
      </c>
      <c r="F443" s="229" t="s">
        <v>1656</v>
      </c>
      <c r="G443" s="25" t="s">
        <v>207</v>
      </c>
    </row>
    <row r="444">
      <c r="A444" s="247" t="s">
        <v>6090</v>
      </c>
      <c r="B444" s="187">
        <v>9066.0</v>
      </c>
      <c r="C444" s="62">
        <v>0.05</v>
      </c>
      <c r="D444" s="95">
        <v>0.68</v>
      </c>
      <c r="E444" s="95">
        <v>0.68</v>
      </c>
      <c r="F444" s="229" t="s">
        <v>1656</v>
      </c>
      <c r="G444" s="25" t="s">
        <v>207</v>
      </c>
    </row>
    <row r="445">
      <c r="A445" s="247" t="s">
        <v>6091</v>
      </c>
      <c r="B445" s="187">
        <v>9814.0</v>
      </c>
      <c r="C445" s="62">
        <v>0.05</v>
      </c>
      <c r="D445" s="95">
        <v>0.68</v>
      </c>
      <c r="E445" s="95">
        <v>0.68</v>
      </c>
      <c r="F445" s="229" t="s">
        <v>1656</v>
      </c>
      <c r="G445" s="25" t="s">
        <v>207</v>
      </c>
    </row>
    <row r="446">
      <c r="A446" s="247" t="s">
        <v>6092</v>
      </c>
      <c r="B446" s="187">
        <v>9602.0</v>
      </c>
      <c r="C446" s="62">
        <v>0.05</v>
      </c>
      <c r="D446" s="95">
        <v>0.68</v>
      </c>
      <c r="E446" s="95">
        <v>0.68</v>
      </c>
      <c r="F446" s="229" t="s">
        <v>1656</v>
      </c>
      <c r="G446" s="25" t="s">
        <v>207</v>
      </c>
    </row>
    <row r="447">
      <c r="A447" s="247" t="s">
        <v>765</v>
      </c>
      <c r="B447" s="187">
        <v>9664.0</v>
      </c>
      <c r="C447" s="62">
        <v>0.05</v>
      </c>
      <c r="D447" s="95">
        <v>0.68</v>
      </c>
      <c r="E447" s="95">
        <v>0.68</v>
      </c>
      <c r="F447" s="229" t="s">
        <v>1656</v>
      </c>
      <c r="G447" s="25" t="s">
        <v>207</v>
      </c>
    </row>
    <row r="448">
      <c r="A448" s="247" t="s">
        <v>6093</v>
      </c>
      <c r="B448" s="187">
        <v>9768.0</v>
      </c>
      <c r="C448" s="62">
        <v>0.05</v>
      </c>
      <c r="D448" s="95">
        <v>0.68</v>
      </c>
      <c r="E448" s="95">
        <v>0.68</v>
      </c>
      <c r="F448" s="229" t="s">
        <v>1656</v>
      </c>
      <c r="G448" s="25" t="s">
        <v>207</v>
      </c>
    </row>
    <row r="449">
      <c r="A449" s="247" t="s">
        <v>6094</v>
      </c>
      <c r="B449" s="187">
        <v>8623.0</v>
      </c>
      <c r="C449" s="62">
        <v>0.05</v>
      </c>
      <c r="D449" s="74">
        <v>0.75</v>
      </c>
      <c r="E449" s="74">
        <v>0.75</v>
      </c>
      <c r="F449" s="229" t="s">
        <v>1656</v>
      </c>
      <c r="G449" s="25" t="s">
        <v>207</v>
      </c>
    </row>
    <row r="450">
      <c r="A450" s="247" t="s">
        <v>6095</v>
      </c>
      <c r="B450" s="187">
        <v>9545.0</v>
      </c>
      <c r="C450" s="62">
        <v>0.05</v>
      </c>
      <c r="D450" s="95">
        <v>0.68</v>
      </c>
      <c r="E450" s="95">
        <v>0.68</v>
      </c>
      <c r="F450" s="229" t="s">
        <v>1656</v>
      </c>
      <c r="G450" s="25" t="s">
        <v>207</v>
      </c>
    </row>
    <row r="451">
      <c r="A451" s="247" t="s">
        <v>3492</v>
      </c>
      <c r="B451" s="187">
        <v>8484.0</v>
      </c>
      <c r="C451" s="62">
        <v>0.05</v>
      </c>
      <c r="D451" s="95">
        <v>0.68</v>
      </c>
      <c r="E451" s="95">
        <v>0.68</v>
      </c>
      <c r="F451" s="229" t="s">
        <v>1656</v>
      </c>
      <c r="G451" s="25" t="s">
        <v>207</v>
      </c>
    </row>
    <row r="452">
      <c r="A452" s="247" t="s">
        <v>6096</v>
      </c>
      <c r="B452" s="187">
        <v>9619.0</v>
      </c>
      <c r="C452" s="62">
        <v>0.05</v>
      </c>
      <c r="D452" s="95">
        <v>0.68</v>
      </c>
      <c r="E452" s="95">
        <v>0.68</v>
      </c>
      <c r="F452" s="229" t="s">
        <v>1656</v>
      </c>
      <c r="G452" s="25" t="s">
        <v>207</v>
      </c>
    </row>
    <row r="453">
      <c r="A453" s="247" t="s">
        <v>6097</v>
      </c>
      <c r="B453" s="187">
        <v>8696.0</v>
      </c>
      <c r="C453" s="62">
        <v>0.05</v>
      </c>
      <c r="D453" s="74">
        <v>0.75</v>
      </c>
      <c r="E453" s="74">
        <v>0.75</v>
      </c>
      <c r="F453" s="229" t="s">
        <v>1656</v>
      </c>
      <c r="G453" s="25" t="s">
        <v>207</v>
      </c>
    </row>
    <row r="454">
      <c r="A454" s="247" t="s">
        <v>6098</v>
      </c>
      <c r="B454" s="187">
        <v>9685.0</v>
      </c>
      <c r="C454" s="62">
        <v>0.05</v>
      </c>
      <c r="D454" s="95">
        <v>0.68</v>
      </c>
      <c r="E454" s="95">
        <v>0.68</v>
      </c>
      <c r="F454" s="229" t="s">
        <v>1656</v>
      </c>
      <c r="G454" s="25" t="s">
        <v>207</v>
      </c>
    </row>
    <row r="455">
      <c r="A455" s="247" t="s">
        <v>6099</v>
      </c>
      <c r="B455" s="187">
        <v>8096.0</v>
      </c>
      <c r="C455" s="62">
        <v>0.05</v>
      </c>
      <c r="D455" s="95">
        <v>0.68</v>
      </c>
      <c r="E455" s="95">
        <v>0.68</v>
      </c>
      <c r="F455" s="229" t="s">
        <v>1656</v>
      </c>
      <c r="G455" s="25" t="s">
        <v>207</v>
      </c>
    </row>
    <row r="456">
      <c r="A456" s="247" t="s">
        <v>6100</v>
      </c>
      <c r="B456" s="187">
        <v>10352.0</v>
      </c>
      <c r="C456" s="62">
        <v>0.05</v>
      </c>
      <c r="D456" s="95">
        <v>0.68</v>
      </c>
      <c r="E456" s="95">
        <v>0.68</v>
      </c>
      <c r="F456" s="229" t="s">
        <v>1656</v>
      </c>
      <c r="G456" s="25" t="s">
        <v>207</v>
      </c>
    </row>
    <row r="457">
      <c r="A457" s="247" t="s">
        <v>6101</v>
      </c>
      <c r="B457" s="187">
        <v>9596.0</v>
      </c>
      <c r="C457" s="62">
        <v>0.05</v>
      </c>
      <c r="D457" s="95">
        <v>0.68</v>
      </c>
      <c r="E457" s="95">
        <v>0.68</v>
      </c>
      <c r="F457" s="229" t="s">
        <v>1656</v>
      </c>
      <c r="G457" s="25" t="s">
        <v>207</v>
      </c>
    </row>
    <row r="458">
      <c r="A458" s="247" t="s">
        <v>6102</v>
      </c>
      <c r="B458" s="187">
        <v>9594.0</v>
      </c>
      <c r="C458" s="62">
        <v>0.05</v>
      </c>
      <c r="D458" s="95">
        <v>0.68</v>
      </c>
      <c r="E458" s="95">
        <v>0.68</v>
      </c>
      <c r="F458" s="229" t="s">
        <v>1656</v>
      </c>
      <c r="G458" s="25" t="s">
        <v>207</v>
      </c>
    </row>
    <row r="459">
      <c r="A459" s="247" t="s">
        <v>6103</v>
      </c>
      <c r="B459" s="187">
        <v>7518.0</v>
      </c>
      <c r="C459" s="62">
        <v>0.05</v>
      </c>
      <c r="D459" s="95">
        <v>0.68</v>
      </c>
      <c r="E459" s="95">
        <v>0.68</v>
      </c>
      <c r="F459" s="229" t="s">
        <v>1656</v>
      </c>
      <c r="G459" s="25" t="s">
        <v>207</v>
      </c>
    </row>
    <row r="460">
      <c r="A460" s="247" t="s">
        <v>6104</v>
      </c>
      <c r="B460" s="187">
        <v>9812.0</v>
      </c>
      <c r="C460" s="62">
        <v>0.05</v>
      </c>
      <c r="D460" s="95">
        <v>0.68</v>
      </c>
      <c r="E460" s="95">
        <v>0.68</v>
      </c>
      <c r="F460" s="229" t="s">
        <v>1656</v>
      </c>
      <c r="G460" s="25" t="s">
        <v>207</v>
      </c>
    </row>
    <row r="461">
      <c r="A461" s="247" t="s">
        <v>6105</v>
      </c>
      <c r="B461" s="187">
        <v>9811.0</v>
      </c>
      <c r="C461" s="62">
        <v>0.05</v>
      </c>
      <c r="D461" s="95">
        <v>0.68</v>
      </c>
      <c r="E461" s="95">
        <v>0.68</v>
      </c>
      <c r="F461" s="229" t="s">
        <v>1656</v>
      </c>
      <c r="G461" s="25" t="s">
        <v>207</v>
      </c>
    </row>
    <row r="462">
      <c r="A462" s="247" t="s">
        <v>6106</v>
      </c>
      <c r="B462" s="72">
        <v>14185.0</v>
      </c>
      <c r="C462" s="62">
        <v>0.05</v>
      </c>
      <c r="D462" s="95">
        <v>0.68</v>
      </c>
      <c r="E462" s="95">
        <v>0.68</v>
      </c>
      <c r="F462" s="229" t="s">
        <v>1656</v>
      </c>
      <c r="G462" s="25" t="s">
        <v>207</v>
      </c>
    </row>
    <row r="463">
      <c r="A463" s="247" t="s">
        <v>6107</v>
      </c>
      <c r="B463" s="187">
        <v>10368.0</v>
      </c>
      <c r="C463" s="62">
        <v>0.05</v>
      </c>
      <c r="D463" s="95">
        <v>0.68</v>
      </c>
      <c r="E463" s="95">
        <v>0.68</v>
      </c>
      <c r="F463" s="229" t="s">
        <v>1656</v>
      </c>
      <c r="G463" s="25" t="s">
        <v>207</v>
      </c>
    </row>
    <row r="464">
      <c r="A464" s="247" t="s">
        <v>6108</v>
      </c>
      <c r="B464" s="187">
        <v>12324.0</v>
      </c>
      <c r="C464" s="62">
        <v>0.05</v>
      </c>
      <c r="D464" s="95">
        <v>0.68</v>
      </c>
      <c r="E464" s="95">
        <v>0.68</v>
      </c>
      <c r="F464" s="229" t="s">
        <v>1656</v>
      </c>
      <c r="G464" s="25" t="s">
        <v>207</v>
      </c>
    </row>
    <row r="465">
      <c r="A465" s="247" t="s">
        <v>6109</v>
      </c>
      <c r="B465" s="187">
        <v>11768.0</v>
      </c>
      <c r="C465" s="62">
        <v>0.05</v>
      </c>
      <c r="D465" s="95">
        <v>0.68</v>
      </c>
      <c r="E465" s="95">
        <v>0.68</v>
      </c>
      <c r="F465" s="229" t="s">
        <v>1656</v>
      </c>
      <c r="G465" s="25" t="s">
        <v>207</v>
      </c>
    </row>
    <row r="466">
      <c r="A466" s="247" t="s">
        <v>6110</v>
      </c>
      <c r="B466" s="265">
        <v>9586.0</v>
      </c>
      <c r="C466" s="62">
        <v>0.05</v>
      </c>
      <c r="D466" s="95">
        <v>0.68</v>
      </c>
      <c r="E466" s="95">
        <v>0.68</v>
      </c>
      <c r="F466" s="229" t="s">
        <v>1656</v>
      </c>
      <c r="G466" s="25" t="s">
        <v>207</v>
      </c>
    </row>
    <row r="467">
      <c r="A467" s="247" t="s">
        <v>6111</v>
      </c>
      <c r="B467" s="187">
        <v>12163.0</v>
      </c>
      <c r="C467" s="62">
        <v>0.05</v>
      </c>
      <c r="D467" s="95">
        <v>0.68</v>
      </c>
      <c r="E467" s="95">
        <v>0.68</v>
      </c>
      <c r="F467" s="229" t="s">
        <v>1656</v>
      </c>
      <c r="G467" s="25" t="s">
        <v>207</v>
      </c>
    </row>
    <row r="468">
      <c r="A468" s="247" t="s">
        <v>6112</v>
      </c>
      <c r="B468" s="187">
        <v>12015.0</v>
      </c>
      <c r="C468" s="62">
        <v>0.05</v>
      </c>
      <c r="D468" s="95">
        <v>0.68</v>
      </c>
      <c r="E468" s="95">
        <v>0.68</v>
      </c>
      <c r="F468" s="229" t="s">
        <v>1656</v>
      </c>
      <c r="G468" s="25" t="s">
        <v>207</v>
      </c>
    </row>
    <row r="469">
      <c r="A469" s="247" t="s">
        <v>6113</v>
      </c>
      <c r="B469" s="187">
        <v>14021.0</v>
      </c>
      <c r="C469" s="62">
        <v>0.05</v>
      </c>
      <c r="D469" s="95">
        <v>0.68</v>
      </c>
      <c r="E469" s="95">
        <v>0.68</v>
      </c>
      <c r="F469" s="229" t="s">
        <v>1656</v>
      </c>
      <c r="G469" s="25" t="s">
        <v>207</v>
      </c>
    </row>
    <row r="470">
      <c r="A470" s="247" t="s">
        <v>6114</v>
      </c>
      <c r="B470" s="187">
        <v>12259.0</v>
      </c>
      <c r="C470" s="62">
        <v>0.05</v>
      </c>
      <c r="D470" s="95">
        <v>0.68</v>
      </c>
      <c r="E470" s="95">
        <v>0.68</v>
      </c>
      <c r="F470" s="229" t="s">
        <v>1656</v>
      </c>
      <c r="G470" s="25" t="s">
        <v>207</v>
      </c>
    </row>
    <row r="471">
      <c r="A471" s="247" t="s">
        <v>6115</v>
      </c>
      <c r="B471" s="187">
        <v>12277.0</v>
      </c>
      <c r="C471" s="62">
        <v>0.05</v>
      </c>
      <c r="D471" s="95">
        <v>0.68</v>
      </c>
      <c r="E471" s="95">
        <v>0.68</v>
      </c>
      <c r="F471" s="229" t="s">
        <v>1656</v>
      </c>
      <c r="G471" s="25" t="s">
        <v>207</v>
      </c>
    </row>
    <row r="472">
      <c r="A472" s="247" t="s">
        <v>6116</v>
      </c>
      <c r="B472" s="187">
        <v>11553.0</v>
      </c>
      <c r="C472" s="62">
        <v>0.05</v>
      </c>
      <c r="D472" s="95">
        <v>0.68</v>
      </c>
      <c r="E472" s="95">
        <v>0.68</v>
      </c>
      <c r="F472" s="229" t="s">
        <v>1656</v>
      </c>
      <c r="G472" s="25" t="s">
        <v>207</v>
      </c>
    </row>
    <row r="473">
      <c r="A473" s="247" t="s">
        <v>6117</v>
      </c>
      <c r="B473" s="187">
        <v>12575.0</v>
      </c>
      <c r="C473" s="62">
        <v>0.05</v>
      </c>
      <c r="D473" s="95">
        <v>0.68</v>
      </c>
      <c r="E473" s="95">
        <v>0.68</v>
      </c>
      <c r="F473" s="229" t="s">
        <v>1656</v>
      </c>
      <c r="G473" s="25" t="s">
        <v>207</v>
      </c>
    </row>
    <row r="474">
      <c r="A474" s="247" t="s">
        <v>6118</v>
      </c>
      <c r="B474" s="187">
        <v>14205.0</v>
      </c>
      <c r="C474" s="62">
        <v>0.05</v>
      </c>
      <c r="D474" s="95">
        <v>0.68</v>
      </c>
      <c r="E474" s="95">
        <v>0.68</v>
      </c>
      <c r="F474" s="229" t="s">
        <v>1656</v>
      </c>
      <c r="G474" s="25" t="s">
        <v>207</v>
      </c>
    </row>
    <row r="475">
      <c r="A475" s="247" t="s">
        <v>6119</v>
      </c>
      <c r="B475" s="187">
        <v>12299.0</v>
      </c>
      <c r="C475" s="62">
        <v>0.05</v>
      </c>
      <c r="D475" s="95">
        <v>0.68</v>
      </c>
      <c r="E475" s="95">
        <v>0.68</v>
      </c>
      <c r="F475" s="229" t="s">
        <v>1656</v>
      </c>
      <c r="G475" s="25" t="s">
        <v>207</v>
      </c>
    </row>
    <row r="476">
      <c r="A476" s="247" t="s">
        <v>6120</v>
      </c>
      <c r="B476" s="191">
        <v>14086.0</v>
      </c>
      <c r="C476" s="62">
        <v>0.05</v>
      </c>
      <c r="D476" s="95">
        <v>0.68</v>
      </c>
      <c r="E476" s="95">
        <v>0.68</v>
      </c>
      <c r="F476" s="229" t="s">
        <v>1656</v>
      </c>
      <c r="G476" s="25" t="s">
        <v>207</v>
      </c>
    </row>
    <row r="477">
      <c r="A477" s="247" t="s">
        <v>1300</v>
      </c>
      <c r="B477" s="187">
        <v>13934.0</v>
      </c>
      <c r="C477" s="62">
        <v>0.05</v>
      </c>
      <c r="D477" s="95">
        <v>0.68</v>
      </c>
      <c r="E477" s="95">
        <v>0.68</v>
      </c>
      <c r="F477" s="229" t="s">
        <v>1656</v>
      </c>
      <c r="G477" s="25" t="s">
        <v>207</v>
      </c>
    </row>
    <row r="478">
      <c r="A478" s="247" t="s">
        <v>6121</v>
      </c>
      <c r="B478" s="187">
        <v>13895.0</v>
      </c>
      <c r="C478" s="62">
        <v>0.05</v>
      </c>
      <c r="D478" s="95">
        <v>0.68</v>
      </c>
      <c r="E478" s="95">
        <v>0.68</v>
      </c>
      <c r="F478" s="229" t="s">
        <v>1656</v>
      </c>
      <c r="G478" s="25" t="s">
        <v>207</v>
      </c>
    </row>
    <row r="479">
      <c r="A479" s="247" t="s">
        <v>6122</v>
      </c>
      <c r="B479" s="187">
        <v>14052.0</v>
      </c>
      <c r="C479" s="62">
        <v>0.05</v>
      </c>
      <c r="D479" s="95">
        <v>0.68</v>
      </c>
      <c r="E479" s="95">
        <v>0.68</v>
      </c>
      <c r="F479" s="229" t="s">
        <v>1656</v>
      </c>
      <c r="G479" s="25" t="s">
        <v>207</v>
      </c>
    </row>
    <row r="480">
      <c r="A480" s="247" t="s">
        <v>6123</v>
      </c>
      <c r="B480" s="187">
        <v>7416.0</v>
      </c>
      <c r="C480" s="62">
        <v>0.05</v>
      </c>
      <c r="D480" s="95">
        <v>0.68</v>
      </c>
      <c r="E480" s="95">
        <v>0.68</v>
      </c>
      <c r="F480" s="229" t="s">
        <v>1656</v>
      </c>
      <c r="G480" s="25" t="s">
        <v>207</v>
      </c>
    </row>
    <row r="481">
      <c r="A481" s="247" t="s">
        <v>6124</v>
      </c>
      <c r="B481" s="187">
        <v>13811.0</v>
      </c>
      <c r="C481" s="62">
        <v>0.05</v>
      </c>
      <c r="D481" s="95">
        <v>0.68</v>
      </c>
      <c r="E481" s="95">
        <v>0.68</v>
      </c>
      <c r="F481" s="229" t="s">
        <v>1656</v>
      </c>
      <c r="G481" s="25" t="s">
        <v>207</v>
      </c>
    </row>
    <row r="482">
      <c r="A482" s="247" t="s">
        <v>6125</v>
      </c>
      <c r="B482" s="187">
        <v>14274.0</v>
      </c>
      <c r="C482" s="62">
        <v>0.05</v>
      </c>
      <c r="D482" s="95">
        <v>0.68</v>
      </c>
      <c r="E482" s="95">
        <v>0.68</v>
      </c>
      <c r="F482" s="229" t="s">
        <v>1656</v>
      </c>
      <c r="G482" s="25" t="s">
        <v>207</v>
      </c>
    </row>
    <row r="483">
      <c r="A483" s="247" t="s">
        <v>6126</v>
      </c>
      <c r="B483" s="187">
        <v>13988.0</v>
      </c>
      <c r="C483" s="62">
        <v>0.05</v>
      </c>
      <c r="D483" s="95">
        <v>0.68</v>
      </c>
      <c r="E483" s="95">
        <v>0.68</v>
      </c>
      <c r="F483" s="229" t="s">
        <v>1656</v>
      </c>
      <c r="G483" s="25" t="s">
        <v>207</v>
      </c>
    </row>
    <row r="484">
      <c r="A484" s="247" t="s">
        <v>6127</v>
      </c>
      <c r="B484" s="187">
        <v>12135.0</v>
      </c>
      <c r="C484" s="62">
        <v>0.05</v>
      </c>
      <c r="D484" s="95">
        <v>0.68</v>
      </c>
      <c r="E484" s="95">
        <v>0.68</v>
      </c>
      <c r="F484" s="229" t="s">
        <v>1656</v>
      </c>
      <c r="G484" s="25" t="s">
        <v>207</v>
      </c>
    </row>
    <row r="485">
      <c r="A485" s="247" t="s">
        <v>6128</v>
      </c>
      <c r="B485" s="187">
        <v>13900.0</v>
      </c>
      <c r="C485" s="62">
        <v>0.05</v>
      </c>
      <c r="D485" s="95">
        <v>0.68</v>
      </c>
      <c r="E485" s="95">
        <v>0.68</v>
      </c>
      <c r="F485" s="229" t="s">
        <v>1656</v>
      </c>
      <c r="G485" s="25" t="s">
        <v>207</v>
      </c>
    </row>
    <row r="486">
      <c r="A486" s="247" t="s">
        <v>6129</v>
      </c>
      <c r="B486" s="187">
        <v>14031.0</v>
      </c>
      <c r="C486" s="62">
        <v>0.05</v>
      </c>
      <c r="D486" s="95">
        <v>0.68</v>
      </c>
      <c r="E486" s="95">
        <v>0.68</v>
      </c>
      <c r="F486" s="229" t="s">
        <v>1656</v>
      </c>
      <c r="G486" s="25" t="s">
        <v>207</v>
      </c>
    </row>
    <row r="487">
      <c r="A487" s="247" t="s">
        <v>6130</v>
      </c>
      <c r="B487" s="187">
        <v>12572.0</v>
      </c>
      <c r="C487" s="62">
        <v>0.05</v>
      </c>
      <c r="D487" s="95">
        <v>0.68</v>
      </c>
      <c r="E487" s="95">
        <v>0.68</v>
      </c>
      <c r="F487" s="229" t="s">
        <v>1656</v>
      </c>
      <c r="G487" s="25" t="s">
        <v>207</v>
      </c>
    </row>
    <row r="488">
      <c r="A488" s="175" t="s">
        <v>6131</v>
      </c>
      <c r="B488" s="231"/>
      <c r="C488" s="62">
        <v>0.05</v>
      </c>
      <c r="D488" s="95">
        <v>0.68</v>
      </c>
      <c r="E488" s="95">
        <v>0.68</v>
      </c>
      <c r="F488" s="229" t="s">
        <v>1656</v>
      </c>
      <c r="G488" s="25" t="s">
        <v>207</v>
      </c>
    </row>
    <row r="489">
      <c r="A489" s="175" t="s">
        <v>6132</v>
      </c>
      <c r="B489" s="175">
        <v>14747.0</v>
      </c>
      <c r="C489" s="62">
        <v>0.05</v>
      </c>
      <c r="D489" s="95">
        <v>0.68</v>
      </c>
      <c r="E489" s="95">
        <v>0.68</v>
      </c>
      <c r="F489" s="229" t="s">
        <v>1656</v>
      </c>
      <c r="G489" s="25" t="s">
        <v>207</v>
      </c>
    </row>
    <row r="490">
      <c r="A490" s="175" t="s">
        <v>6133</v>
      </c>
      <c r="B490" s="231"/>
      <c r="C490" s="62">
        <v>0.05</v>
      </c>
      <c r="D490" s="95">
        <v>0.68</v>
      </c>
      <c r="E490" s="95">
        <v>0.68</v>
      </c>
      <c r="F490" s="229" t="s">
        <v>1656</v>
      </c>
      <c r="G490" s="25" t="s">
        <v>207</v>
      </c>
    </row>
    <row r="491">
      <c r="A491" s="175" t="s">
        <v>6134</v>
      </c>
      <c r="B491" s="175">
        <v>14504.0</v>
      </c>
      <c r="C491" s="62">
        <v>0.05</v>
      </c>
      <c r="D491" s="95">
        <v>0.68</v>
      </c>
      <c r="E491" s="95">
        <v>0.68</v>
      </c>
      <c r="F491" s="229" t="s">
        <v>1656</v>
      </c>
      <c r="G491" s="25" t="s">
        <v>207</v>
      </c>
    </row>
    <row r="492">
      <c r="A492" s="175" t="s">
        <v>6135</v>
      </c>
      <c r="B492" s="231"/>
      <c r="C492" s="62">
        <v>0.05</v>
      </c>
      <c r="D492" s="95">
        <v>0.68</v>
      </c>
      <c r="E492" s="95">
        <v>0.68</v>
      </c>
      <c r="F492" s="229" t="s">
        <v>1656</v>
      </c>
      <c r="G492" s="25" t="s">
        <v>207</v>
      </c>
    </row>
    <row r="493">
      <c r="A493" s="175" t="s">
        <v>6136</v>
      </c>
      <c r="B493" s="231"/>
      <c r="C493" s="62">
        <v>0.05</v>
      </c>
      <c r="D493" s="95">
        <v>0.68</v>
      </c>
      <c r="E493" s="95">
        <v>0.68</v>
      </c>
      <c r="F493" s="229" t="s">
        <v>1656</v>
      </c>
      <c r="G493" s="25" t="s">
        <v>207</v>
      </c>
    </row>
    <row r="494">
      <c r="A494" s="175" t="s">
        <v>3224</v>
      </c>
      <c r="B494" s="231"/>
      <c r="C494" s="62">
        <v>0.05</v>
      </c>
      <c r="D494" s="95">
        <v>0.68</v>
      </c>
      <c r="E494" s="95">
        <v>0.68</v>
      </c>
      <c r="F494" s="229" t="s">
        <v>1656</v>
      </c>
      <c r="G494" s="25" t="s">
        <v>207</v>
      </c>
    </row>
    <row r="495">
      <c r="A495" s="175" t="s">
        <v>6137</v>
      </c>
      <c r="B495" s="231"/>
      <c r="C495" s="62">
        <v>0.05</v>
      </c>
      <c r="D495" s="95">
        <v>0.68</v>
      </c>
      <c r="E495" s="95">
        <v>0.68</v>
      </c>
      <c r="F495" s="229" t="s">
        <v>1656</v>
      </c>
      <c r="G495" s="25" t="s">
        <v>207</v>
      </c>
    </row>
    <row r="496">
      <c r="A496" s="175" t="s">
        <v>6138</v>
      </c>
      <c r="B496" s="231"/>
      <c r="C496" s="62">
        <v>0.05</v>
      </c>
      <c r="D496" s="95">
        <v>0.68</v>
      </c>
      <c r="E496" s="95">
        <v>0.68</v>
      </c>
      <c r="F496" s="229" t="s">
        <v>1656</v>
      </c>
      <c r="G496" s="25" t="s">
        <v>207</v>
      </c>
    </row>
    <row r="497">
      <c r="A497" s="175" t="s">
        <v>6139</v>
      </c>
      <c r="B497" s="175">
        <v>14770.0</v>
      </c>
      <c r="C497" s="62">
        <v>0.05</v>
      </c>
      <c r="D497" s="95">
        <v>0.68</v>
      </c>
      <c r="E497" s="95">
        <v>0.68</v>
      </c>
      <c r="F497" s="229" t="s">
        <v>1656</v>
      </c>
      <c r="G497" s="25" t="s">
        <v>207</v>
      </c>
    </row>
    <row r="498">
      <c r="A498" s="175" t="s">
        <v>6140</v>
      </c>
      <c r="B498" s="175">
        <v>14752.0</v>
      </c>
      <c r="C498" s="62">
        <v>0.05</v>
      </c>
      <c r="D498" s="95">
        <v>0.68</v>
      </c>
      <c r="E498" s="95">
        <v>0.68</v>
      </c>
      <c r="F498" s="229" t="s">
        <v>1656</v>
      </c>
      <c r="G498" s="25" t="s">
        <v>207</v>
      </c>
    </row>
    <row r="499">
      <c r="A499" s="175" t="s">
        <v>6141</v>
      </c>
      <c r="B499" s="231"/>
      <c r="C499" s="62">
        <v>0.05</v>
      </c>
      <c r="D499" s="95">
        <v>0.68</v>
      </c>
      <c r="E499" s="95">
        <v>0.68</v>
      </c>
      <c r="F499" s="229" t="s">
        <v>1656</v>
      </c>
      <c r="G499" s="25" t="s">
        <v>207</v>
      </c>
    </row>
    <row r="500">
      <c r="A500" s="175" t="s">
        <v>6142</v>
      </c>
      <c r="B500" s="231"/>
      <c r="C500" s="62">
        <v>0.05</v>
      </c>
      <c r="D500" s="95">
        <v>0.68</v>
      </c>
      <c r="E500" s="95">
        <v>0.68</v>
      </c>
      <c r="F500" s="229" t="s">
        <v>1656</v>
      </c>
      <c r="G500" s="25" t="s">
        <v>207</v>
      </c>
    </row>
    <row r="501">
      <c r="A501" s="175" t="s">
        <v>6143</v>
      </c>
      <c r="B501" s="175">
        <v>14735.0</v>
      </c>
      <c r="C501" s="62">
        <v>0.05</v>
      </c>
      <c r="D501" s="95">
        <v>0.68</v>
      </c>
      <c r="E501" s="95">
        <v>0.68</v>
      </c>
      <c r="F501" s="229" t="s">
        <v>1656</v>
      </c>
      <c r="G501" s="25" t="s">
        <v>207</v>
      </c>
    </row>
    <row r="516">
      <c r="A516" s="231"/>
      <c r="B516" s="231"/>
      <c r="C516" s="231"/>
    </row>
    <row r="517">
      <c r="A517" s="231"/>
      <c r="B517" s="231"/>
      <c r="C517" s="231"/>
    </row>
    <row r="518">
      <c r="A518" s="231"/>
      <c r="B518" s="231"/>
      <c r="C518" s="231"/>
    </row>
    <row r="519">
      <c r="A519" s="231"/>
      <c r="B519" s="231"/>
      <c r="C519" s="231"/>
    </row>
    <row r="520">
      <c r="A520" s="231"/>
      <c r="B520" s="231"/>
      <c r="C520" s="231"/>
    </row>
    <row r="521">
      <c r="A521" s="231"/>
      <c r="B521" s="231"/>
      <c r="C521" s="231"/>
    </row>
    <row r="522">
      <c r="A522" s="231"/>
      <c r="B522" s="231"/>
      <c r="C522" s="231"/>
    </row>
    <row r="523">
      <c r="A523" s="231"/>
      <c r="B523" s="231"/>
      <c r="C523" s="231"/>
    </row>
    <row r="524">
      <c r="A524" s="231"/>
      <c r="B524" s="231"/>
      <c r="C524" s="231"/>
    </row>
    <row r="525">
      <c r="A525" s="231"/>
      <c r="B525" s="231"/>
      <c r="C525" s="231"/>
    </row>
    <row r="526">
      <c r="A526" s="231"/>
      <c r="B526" s="231"/>
      <c r="C526" s="231"/>
    </row>
    <row r="527">
      <c r="A527" s="231"/>
      <c r="B527" s="231"/>
      <c r="C527" s="231"/>
    </row>
    <row r="528">
      <c r="A528" s="231"/>
      <c r="B528" s="231"/>
      <c r="C528" s="231"/>
    </row>
    <row r="529">
      <c r="A529" s="231"/>
      <c r="B529" s="231"/>
      <c r="C529" s="231"/>
    </row>
    <row r="530">
      <c r="A530" s="231"/>
      <c r="B530" s="231"/>
      <c r="C530" s="231"/>
    </row>
    <row r="531">
      <c r="A531" s="231"/>
      <c r="B531" s="231"/>
      <c r="C531" s="231"/>
    </row>
    <row r="532">
      <c r="A532" s="231"/>
      <c r="B532" s="231"/>
      <c r="C532" s="231"/>
    </row>
    <row r="533">
      <c r="A533" s="231"/>
      <c r="B533" s="231"/>
      <c r="C533" s="231"/>
    </row>
    <row r="534">
      <c r="A534" s="231"/>
      <c r="B534" s="231"/>
      <c r="C534" s="231"/>
    </row>
    <row r="535">
      <c r="A535" s="231"/>
      <c r="B535" s="231"/>
      <c r="C535" s="231"/>
    </row>
    <row r="536">
      <c r="A536" s="231"/>
      <c r="B536" s="231"/>
      <c r="C536" s="231"/>
    </row>
    <row r="537">
      <c r="A537" s="231"/>
      <c r="B537" s="231"/>
      <c r="C537" s="231"/>
    </row>
    <row r="538">
      <c r="A538" s="231"/>
      <c r="B538" s="231"/>
      <c r="C538" s="231"/>
    </row>
    <row r="539">
      <c r="A539" s="231"/>
      <c r="B539" s="231"/>
      <c r="C539" s="231"/>
    </row>
    <row r="540">
      <c r="A540" s="231"/>
      <c r="B540" s="231"/>
      <c r="C540" s="231"/>
    </row>
    <row r="541">
      <c r="A541" s="231"/>
      <c r="B541" s="231"/>
      <c r="C541" s="231"/>
    </row>
    <row r="542">
      <c r="A542" s="231"/>
      <c r="B542" s="231"/>
      <c r="C542" s="231"/>
    </row>
    <row r="543">
      <c r="A543" s="231"/>
      <c r="B543" s="231"/>
      <c r="C543" s="231"/>
    </row>
    <row r="544">
      <c r="A544" s="231"/>
      <c r="B544" s="231"/>
      <c r="C544" s="231"/>
    </row>
    <row r="545">
      <c r="A545" s="231"/>
      <c r="B545" s="231"/>
      <c r="C545" s="231"/>
    </row>
    <row r="546">
      <c r="A546" s="231"/>
      <c r="B546" s="231"/>
      <c r="C546" s="231"/>
    </row>
    <row r="547">
      <c r="A547" s="231"/>
      <c r="B547" s="231"/>
      <c r="C547" s="231"/>
    </row>
    <row r="548">
      <c r="A548" s="231"/>
      <c r="B548" s="231"/>
      <c r="C548" s="231"/>
    </row>
    <row r="549">
      <c r="A549" s="231"/>
      <c r="B549" s="231"/>
      <c r="C549" s="231"/>
    </row>
    <row r="550">
      <c r="A550" s="231"/>
      <c r="B550" s="231"/>
      <c r="C550" s="231"/>
    </row>
    <row r="551">
      <c r="A551" s="231"/>
      <c r="B551" s="231"/>
      <c r="C551" s="231"/>
    </row>
    <row r="552">
      <c r="A552" s="231"/>
      <c r="B552" s="231"/>
      <c r="C552" s="231"/>
    </row>
    <row r="553">
      <c r="A553" s="231"/>
      <c r="B553" s="231"/>
      <c r="C553" s="231"/>
    </row>
    <row r="554">
      <c r="A554" s="231"/>
      <c r="B554" s="231"/>
      <c r="C554" s="231"/>
    </row>
    <row r="555">
      <c r="A555" s="231"/>
      <c r="B555" s="231"/>
      <c r="C555" s="231"/>
    </row>
    <row r="556">
      <c r="A556" s="231"/>
      <c r="B556" s="231"/>
      <c r="C556" s="231"/>
    </row>
    <row r="557">
      <c r="A557" s="231"/>
      <c r="B557" s="231"/>
      <c r="C557" s="231"/>
    </row>
    <row r="558">
      <c r="A558" s="231"/>
      <c r="B558" s="231"/>
      <c r="C558" s="231"/>
    </row>
    <row r="559">
      <c r="A559" s="231"/>
      <c r="B559" s="231"/>
      <c r="C559" s="231"/>
    </row>
    <row r="560">
      <c r="A560" s="231"/>
      <c r="B560" s="231"/>
      <c r="C560" s="231"/>
    </row>
    <row r="561">
      <c r="A561" s="231"/>
      <c r="B561" s="231"/>
      <c r="C561" s="231"/>
    </row>
    <row r="562">
      <c r="A562" s="231"/>
      <c r="B562" s="231"/>
      <c r="C562" s="231"/>
    </row>
    <row r="563">
      <c r="A563" s="231"/>
      <c r="B563" s="231"/>
      <c r="C563" s="231"/>
    </row>
    <row r="564">
      <c r="A564" s="231"/>
      <c r="B564" s="231"/>
      <c r="C564" s="231"/>
    </row>
    <row r="565">
      <c r="A565" s="231"/>
      <c r="B565" s="231"/>
      <c r="C565" s="231"/>
    </row>
    <row r="566">
      <c r="A566" s="231"/>
      <c r="B566" s="231"/>
      <c r="C566" s="231"/>
    </row>
    <row r="567">
      <c r="A567" s="231"/>
      <c r="B567" s="231"/>
      <c r="C567" s="231"/>
    </row>
    <row r="568">
      <c r="A568" s="231"/>
      <c r="B568" s="231"/>
      <c r="C568" s="231"/>
    </row>
    <row r="569">
      <c r="A569" s="231"/>
      <c r="B569" s="231"/>
      <c r="C569" s="231"/>
    </row>
    <row r="570">
      <c r="A570" s="231"/>
      <c r="B570" s="231"/>
      <c r="C570" s="231"/>
    </row>
    <row r="571">
      <c r="A571" s="231"/>
      <c r="B571" s="231"/>
      <c r="C571" s="231"/>
    </row>
    <row r="572">
      <c r="A572" s="231"/>
      <c r="B572" s="231"/>
      <c r="C572" s="231"/>
    </row>
    <row r="573">
      <c r="A573" s="231"/>
      <c r="B573" s="231"/>
      <c r="C573" s="231"/>
    </row>
    <row r="574">
      <c r="A574" s="231"/>
      <c r="B574" s="231"/>
      <c r="C574" s="231"/>
    </row>
    <row r="575">
      <c r="A575" s="231"/>
      <c r="B575" s="231"/>
      <c r="C575" s="231"/>
    </row>
    <row r="576">
      <c r="A576" s="231"/>
      <c r="B576" s="231"/>
      <c r="C576" s="231"/>
    </row>
    <row r="577">
      <c r="A577" s="231"/>
      <c r="B577" s="231"/>
      <c r="C577" s="231"/>
    </row>
    <row r="578">
      <c r="A578" s="231"/>
      <c r="B578" s="231"/>
      <c r="C578" s="231"/>
    </row>
    <row r="579">
      <c r="A579" s="231"/>
      <c r="B579" s="231"/>
      <c r="C579" s="231"/>
    </row>
    <row r="580">
      <c r="A580" s="231"/>
      <c r="B580" s="231"/>
      <c r="C580" s="231"/>
    </row>
    <row r="581">
      <c r="A581" s="231"/>
      <c r="B581" s="231"/>
      <c r="C581" s="231"/>
    </row>
    <row r="582">
      <c r="A582" s="231"/>
      <c r="B582" s="231"/>
      <c r="C582" s="231"/>
    </row>
    <row r="583">
      <c r="A583" s="231"/>
      <c r="B583" s="231"/>
      <c r="C583" s="231"/>
    </row>
    <row r="584">
      <c r="A584" s="231"/>
      <c r="B584" s="231"/>
      <c r="C584" s="231"/>
    </row>
    <row r="585">
      <c r="A585" s="231"/>
      <c r="B585" s="231"/>
      <c r="C585" s="231"/>
    </row>
    <row r="586">
      <c r="A586" s="231"/>
      <c r="B586" s="231"/>
      <c r="C586" s="231"/>
    </row>
    <row r="587">
      <c r="A587" s="231"/>
      <c r="B587" s="231"/>
      <c r="C587" s="231"/>
    </row>
    <row r="588">
      <c r="A588" s="231"/>
      <c r="B588" s="231"/>
      <c r="C588" s="231"/>
    </row>
    <row r="589">
      <c r="A589" s="231"/>
      <c r="B589" s="231"/>
      <c r="C589" s="231"/>
    </row>
    <row r="590">
      <c r="A590" s="231"/>
      <c r="B590" s="231"/>
      <c r="C590" s="231"/>
    </row>
    <row r="591">
      <c r="A591" s="231"/>
      <c r="B591" s="231"/>
      <c r="C591" s="231"/>
    </row>
    <row r="592">
      <c r="A592" s="231"/>
      <c r="B592" s="231"/>
      <c r="C592" s="231"/>
    </row>
    <row r="593">
      <c r="A593" s="231"/>
      <c r="B593" s="231"/>
      <c r="C593" s="231"/>
    </row>
    <row r="594">
      <c r="A594" s="231"/>
      <c r="B594" s="231"/>
      <c r="C594" s="231"/>
    </row>
    <row r="595">
      <c r="A595" s="231"/>
      <c r="B595" s="231"/>
      <c r="C595" s="231"/>
    </row>
    <row r="596">
      <c r="A596" s="231"/>
      <c r="B596" s="231"/>
      <c r="C596" s="231"/>
    </row>
    <row r="597">
      <c r="A597" s="231"/>
      <c r="B597" s="231"/>
      <c r="C597" s="231"/>
    </row>
    <row r="598">
      <c r="A598" s="231"/>
      <c r="B598" s="231"/>
      <c r="C598" s="231"/>
    </row>
    <row r="599">
      <c r="A599" s="231"/>
      <c r="B599" s="231"/>
      <c r="C599" s="231"/>
    </row>
    <row r="600">
      <c r="A600" s="231"/>
      <c r="B600" s="231"/>
      <c r="C600" s="231"/>
    </row>
    <row r="601">
      <c r="A601" s="231"/>
      <c r="B601" s="231"/>
      <c r="C601" s="231"/>
    </row>
    <row r="602">
      <c r="A602" s="231"/>
      <c r="B602" s="231"/>
      <c r="C602" s="231"/>
    </row>
    <row r="603">
      <c r="A603" s="231"/>
      <c r="B603" s="231"/>
      <c r="C603" s="231"/>
    </row>
    <row r="604">
      <c r="A604" s="231"/>
      <c r="B604" s="231"/>
      <c r="C604" s="231"/>
    </row>
    <row r="605">
      <c r="A605" s="231"/>
      <c r="B605" s="231"/>
      <c r="C605" s="231"/>
    </row>
    <row r="606">
      <c r="A606" s="231"/>
      <c r="B606" s="231"/>
      <c r="C606" s="231"/>
    </row>
    <row r="607">
      <c r="A607" s="231"/>
      <c r="B607" s="231"/>
      <c r="C607" s="231"/>
    </row>
    <row r="608">
      <c r="A608" s="231"/>
      <c r="B608" s="231"/>
      <c r="C608" s="231"/>
    </row>
    <row r="609">
      <c r="A609" s="231"/>
      <c r="B609" s="231"/>
      <c r="C609" s="231"/>
    </row>
    <row r="610">
      <c r="A610" s="231"/>
      <c r="B610" s="231"/>
      <c r="C610" s="231"/>
    </row>
    <row r="611">
      <c r="A611" s="231"/>
      <c r="B611" s="231"/>
      <c r="C611" s="231"/>
    </row>
    <row r="612">
      <c r="A612" s="231"/>
      <c r="B612" s="231"/>
      <c r="C612" s="231"/>
    </row>
    <row r="613">
      <c r="A613" s="231"/>
      <c r="B613" s="231"/>
      <c r="C613" s="231"/>
    </row>
    <row r="614">
      <c r="A614" s="231"/>
      <c r="B614" s="231"/>
      <c r="C614" s="231"/>
    </row>
    <row r="615">
      <c r="A615" s="231"/>
      <c r="B615" s="231"/>
      <c r="C615" s="231"/>
    </row>
    <row r="616">
      <c r="A616" s="231"/>
      <c r="B616" s="231"/>
      <c r="C616" s="231"/>
    </row>
    <row r="617">
      <c r="A617" s="231"/>
      <c r="B617" s="231"/>
      <c r="C617" s="231"/>
    </row>
    <row r="618">
      <c r="A618" s="231"/>
      <c r="B618" s="231"/>
      <c r="C618" s="231"/>
    </row>
    <row r="619">
      <c r="A619" s="231"/>
      <c r="B619" s="231"/>
      <c r="C619" s="231"/>
    </row>
    <row r="620">
      <c r="A620" s="231"/>
      <c r="B620" s="231"/>
      <c r="C620" s="231"/>
    </row>
    <row r="621">
      <c r="A621" s="231"/>
      <c r="B621" s="231"/>
      <c r="C621" s="231"/>
    </row>
    <row r="622">
      <c r="A622" s="231"/>
      <c r="B622" s="231"/>
      <c r="C622" s="231"/>
    </row>
    <row r="623">
      <c r="A623" s="231"/>
      <c r="B623" s="231"/>
      <c r="C623" s="231"/>
    </row>
    <row r="624">
      <c r="A624" s="231"/>
      <c r="B624" s="231"/>
      <c r="C624" s="231"/>
    </row>
    <row r="625">
      <c r="A625" s="231"/>
      <c r="B625" s="231"/>
      <c r="C625" s="231"/>
    </row>
    <row r="626">
      <c r="A626" s="231"/>
      <c r="B626" s="231"/>
      <c r="C626" s="231"/>
    </row>
    <row r="627">
      <c r="A627" s="231"/>
      <c r="B627" s="231"/>
      <c r="C627" s="231"/>
    </row>
    <row r="628">
      <c r="A628" s="231"/>
      <c r="B628" s="231"/>
      <c r="C628" s="231"/>
    </row>
    <row r="629">
      <c r="A629" s="231"/>
      <c r="B629" s="231"/>
      <c r="C629" s="231"/>
    </row>
    <row r="630">
      <c r="A630" s="231"/>
      <c r="B630" s="231"/>
      <c r="C630" s="231"/>
    </row>
    <row r="631">
      <c r="A631" s="231"/>
      <c r="B631" s="231"/>
      <c r="C631" s="231"/>
    </row>
    <row r="632">
      <c r="A632" s="231"/>
      <c r="B632" s="231"/>
      <c r="C632" s="231"/>
    </row>
    <row r="633">
      <c r="A633" s="231"/>
      <c r="B633" s="231"/>
      <c r="C633" s="231"/>
    </row>
    <row r="634">
      <c r="A634" s="231"/>
      <c r="B634" s="231"/>
      <c r="C634" s="231"/>
    </row>
    <row r="635">
      <c r="A635" s="231"/>
      <c r="B635" s="231"/>
      <c r="C635" s="231"/>
    </row>
    <row r="636">
      <c r="A636" s="231"/>
      <c r="B636" s="231"/>
      <c r="C636" s="231"/>
    </row>
    <row r="637">
      <c r="A637" s="231"/>
      <c r="B637" s="231"/>
      <c r="C637" s="231"/>
    </row>
    <row r="638">
      <c r="A638" s="231"/>
      <c r="B638" s="231"/>
      <c r="C638" s="231"/>
    </row>
    <row r="639">
      <c r="A639" s="231"/>
      <c r="B639" s="231"/>
      <c r="C639" s="231"/>
    </row>
    <row r="640">
      <c r="A640" s="231"/>
      <c r="B640" s="231"/>
      <c r="C640" s="231"/>
    </row>
    <row r="641">
      <c r="A641" s="231"/>
      <c r="B641" s="231"/>
      <c r="C641" s="231"/>
    </row>
    <row r="642">
      <c r="A642" s="231"/>
      <c r="B642" s="231"/>
      <c r="C642" s="231"/>
    </row>
    <row r="643">
      <c r="A643" s="231"/>
      <c r="B643" s="231"/>
      <c r="C643" s="231"/>
    </row>
    <row r="644">
      <c r="A644" s="231"/>
      <c r="B644" s="231"/>
      <c r="C644" s="231"/>
    </row>
    <row r="645">
      <c r="A645" s="231"/>
      <c r="B645" s="231"/>
      <c r="C645" s="231"/>
    </row>
    <row r="646">
      <c r="A646" s="231"/>
      <c r="B646" s="231"/>
      <c r="C646" s="231"/>
    </row>
    <row r="647">
      <c r="A647" s="231"/>
      <c r="B647" s="231"/>
      <c r="C647" s="231"/>
    </row>
    <row r="648">
      <c r="A648" s="231"/>
      <c r="B648" s="231"/>
      <c r="C648" s="231"/>
    </row>
    <row r="649">
      <c r="A649" s="231"/>
      <c r="B649" s="231"/>
      <c r="C649" s="231"/>
    </row>
    <row r="650">
      <c r="A650" s="231"/>
      <c r="B650" s="231"/>
      <c r="C650" s="231"/>
    </row>
    <row r="651">
      <c r="A651" s="231"/>
      <c r="B651" s="231"/>
      <c r="C651" s="231"/>
    </row>
    <row r="652">
      <c r="A652" s="231"/>
      <c r="B652" s="231"/>
      <c r="C652" s="231"/>
    </row>
    <row r="653">
      <c r="A653" s="231"/>
      <c r="B653" s="231"/>
      <c r="C653" s="231"/>
    </row>
    <row r="654">
      <c r="A654" s="231"/>
      <c r="B654" s="231"/>
      <c r="C654" s="231"/>
    </row>
    <row r="655">
      <c r="A655" s="231"/>
      <c r="B655" s="231"/>
      <c r="C655" s="231"/>
    </row>
    <row r="656">
      <c r="A656" s="231"/>
      <c r="B656" s="231"/>
      <c r="C656" s="231"/>
    </row>
    <row r="657">
      <c r="A657" s="231"/>
      <c r="B657" s="231"/>
      <c r="C657" s="231"/>
    </row>
    <row r="658">
      <c r="A658" s="231"/>
      <c r="B658" s="231"/>
      <c r="C658" s="231"/>
    </row>
    <row r="659">
      <c r="A659" s="231"/>
      <c r="B659" s="231"/>
      <c r="C659" s="231"/>
    </row>
    <row r="660">
      <c r="A660" s="231"/>
      <c r="B660" s="231"/>
      <c r="C660" s="231"/>
    </row>
    <row r="661">
      <c r="A661" s="231"/>
      <c r="B661" s="231"/>
      <c r="C661" s="231"/>
    </row>
    <row r="662">
      <c r="A662" s="231"/>
      <c r="B662" s="231"/>
      <c r="C662" s="231"/>
    </row>
    <row r="663">
      <c r="A663" s="231"/>
      <c r="B663" s="231"/>
      <c r="C663" s="231"/>
    </row>
    <row r="664">
      <c r="A664" s="231"/>
      <c r="B664" s="231"/>
      <c r="C664" s="231"/>
    </row>
    <row r="665">
      <c r="A665" s="231"/>
      <c r="B665" s="231"/>
      <c r="C665" s="231"/>
    </row>
    <row r="666">
      <c r="A666" s="231"/>
      <c r="B666" s="231"/>
      <c r="C666" s="231"/>
    </row>
    <row r="667">
      <c r="A667" s="231"/>
      <c r="B667" s="231"/>
      <c r="C667" s="231"/>
    </row>
    <row r="668">
      <c r="A668" s="231"/>
      <c r="B668" s="231"/>
      <c r="C668" s="231"/>
    </row>
    <row r="669">
      <c r="A669" s="231"/>
      <c r="B669" s="231"/>
      <c r="C669" s="231"/>
    </row>
    <row r="670">
      <c r="A670" s="231"/>
      <c r="B670" s="231"/>
      <c r="C670" s="231"/>
    </row>
    <row r="671">
      <c r="A671" s="231"/>
      <c r="B671" s="231"/>
      <c r="C671" s="231"/>
    </row>
    <row r="672">
      <c r="A672" s="231"/>
      <c r="B672" s="231"/>
      <c r="C672" s="231"/>
    </row>
    <row r="673">
      <c r="A673" s="231"/>
      <c r="B673" s="231"/>
      <c r="C673" s="231"/>
    </row>
    <row r="674">
      <c r="A674" s="231"/>
      <c r="B674" s="231"/>
      <c r="C674" s="231"/>
    </row>
    <row r="675">
      <c r="A675" s="231"/>
      <c r="B675" s="231"/>
      <c r="C675" s="231"/>
    </row>
    <row r="676">
      <c r="A676" s="231"/>
      <c r="B676" s="231"/>
      <c r="C676" s="231"/>
    </row>
    <row r="677">
      <c r="A677" s="231"/>
      <c r="B677" s="231"/>
      <c r="C677" s="231"/>
    </row>
    <row r="678">
      <c r="A678" s="231"/>
      <c r="B678" s="231"/>
      <c r="C678" s="231"/>
    </row>
    <row r="679">
      <c r="A679" s="231"/>
      <c r="B679" s="231"/>
      <c r="C679" s="231"/>
    </row>
    <row r="680">
      <c r="A680" s="231"/>
      <c r="B680" s="231"/>
      <c r="C680" s="231"/>
    </row>
    <row r="681">
      <c r="A681" s="231"/>
      <c r="B681" s="231"/>
      <c r="C681" s="231"/>
    </row>
    <row r="682">
      <c r="A682" s="231"/>
      <c r="B682" s="231"/>
      <c r="C682" s="231"/>
    </row>
    <row r="683">
      <c r="A683" s="231"/>
      <c r="B683" s="231"/>
      <c r="C683" s="231"/>
    </row>
    <row r="684">
      <c r="A684" s="231"/>
      <c r="B684" s="231"/>
      <c r="C684" s="231"/>
    </row>
    <row r="685">
      <c r="A685" s="231"/>
      <c r="B685" s="231"/>
      <c r="C685" s="231"/>
    </row>
    <row r="686">
      <c r="A686" s="231"/>
      <c r="B686" s="231"/>
      <c r="C686" s="231"/>
    </row>
    <row r="687">
      <c r="A687" s="231"/>
      <c r="B687" s="231"/>
      <c r="C687" s="231"/>
    </row>
    <row r="688">
      <c r="A688" s="231"/>
      <c r="B688" s="231"/>
      <c r="C688" s="231"/>
    </row>
    <row r="689">
      <c r="A689" s="231"/>
      <c r="B689" s="231"/>
      <c r="C689" s="231"/>
    </row>
    <row r="690">
      <c r="A690" s="231"/>
      <c r="B690" s="231"/>
      <c r="C690" s="231"/>
    </row>
    <row r="691">
      <c r="A691" s="231"/>
      <c r="B691" s="231"/>
      <c r="C691" s="231"/>
    </row>
    <row r="692">
      <c r="A692" s="231"/>
      <c r="B692" s="231"/>
      <c r="C692" s="231"/>
    </row>
    <row r="693">
      <c r="A693" s="231"/>
      <c r="B693" s="231"/>
      <c r="C693" s="231"/>
    </row>
    <row r="694">
      <c r="A694" s="231"/>
      <c r="B694" s="231"/>
      <c r="C694" s="231"/>
    </row>
    <row r="695">
      <c r="A695" s="231"/>
      <c r="B695" s="231"/>
      <c r="C695" s="231"/>
    </row>
    <row r="696">
      <c r="A696" s="231"/>
      <c r="B696" s="231"/>
      <c r="C696" s="231"/>
    </row>
    <row r="697">
      <c r="A697" s="231"/>
      <c r="B697" s="231"/>
      <c r="C697" s="231"/>
    </row>
    <row r="698">
      <c r="A698" s="231"/>
      <c r="B698" s="231"/>
      <c r="C698" s="231"/>
    </row>
    <row r="699">
      <c r="A699" s="231"/>
      <c r="B699" s="231"/>
      <c r="C699" s="231"/>
    </row>
    <row r="700">
      <c r="A700" s="231"/>
      <c r="B700" s="231"/>
      <c r="C700" s="231"/>
    </row>
    <row r="701">
      <c r="A701" s="231"/>
      <c r="B701" s="231"/>
      <c r="C701" s="231"/>
    </row>
    <row r="702">
      <c r="A702" s="231"/>
      <c r="B702" s="231"/>
      <c r="C702" s="231"/>
    </row>
    <row r="703">
      <c r="A703" s="231"/>
      <c r="B703" s="231"/>
      <c r="C703" s="231"/>
    </row>
    <row r="704">
      <c r="A704" s="231"/>
      <c r="B704" s="231"/>
      <c r="C704" s="231"/>
    </row>
    <row r="705">
      <c r="A705" s="231"/>
      <c r="B705" s="231"/>
      <c r="C705" s="231"/>
    </row>
    <row r="706">
      <c r="A706" s="231"/>
      <c r="B706" s="231"/>
      <c r="C706" s="231"/>
    </row>
    <row r="707">
      <c r="A707" s="231"/>
      <c r="B707" s="231"/>
      <c r="C707" s="231"/>
    </row>
    <row r="708">
      <c r="A708" s="231"/>
      <c r="B708" s="231"/>
      <c r="C708" s="231"/>
    </row>
    <row r="709">
      <c r="A709" s="231"/>
      <c r="B709" s="231"/>
      <c r="C709" s="231"/>
    </row>
    <row r="710">
      <c r="A710" s="231"/>
      <c r="B710" s="231"/>
      <c r="C710" s="231"/>
    </row>
    <row r="711">
      <c r="A711" s="231"/>
      <c r="B711" s="231"/>
      <c r="C711" s="231"/>
    </row>
    <row r="712">
      <c r="A712" s="231"/>
      <c r="B712" s="231"/>
      <c r="C712" s="231"/>
    </row>
    <row r="713">
      <c r="A713" s="231"/>
      <c r="B713" s="231"/>
      <c r="C713" s="231"/>
    </row>
    <row r="714">
      <c r="A714" s="231"/>
      <c r="B714" s="231"/>
      <c r="C714" s="231"/>
    </row>
    <row r="715">
      <c r="A715" s="231"/>
      <c r="B715" s="231"/>
      <c r="C715" s="231"/>
    </row>
    <row r="716">
      <c r="A716" s="231"/>
      <c r="B716" s="231"/>
      <c r="C716" s="231"/>
    </row>
    <row r="717">
      <c r="A717" s="231"/>
      <c r="B717" s="231"/>
      <c r="C717" s="231"/>
    </row>
    <row r="718">
      <c r="A718" s="231"/>
      <c r="B718" s="231"/>
      <c r="C718" s="231"/>
    </row>
    <row r="719">
      <c r="A719" s="231"/>
      <c r="B719" s="231"/>
      <c r="C719" s="231"/>
    </row>
    <row r="720">
      <c r="A720" s="231"/>
      <c r="B720" s="231"/>
      <c r="C720" s="231"/>
    </row>
    <row r="721">
      <c r="A721" s="231"/>
      <c r="B721" s="231"/>
      <c r="C721" s="231"/>
    </row>
    <row r="722">
      <c r="A722" s="231"/>
      <c r="B722" s="231"/>
      <c r="C722" s="231"/>
    </row>
    <row r="723">
      <c r="A723" s="231"/>
      <c r="B723" s="231"/>
      <c r="C723" s="231"/>
    </row>
    <row r="724">
      <c r="A724" s="231"/>
      <c r="B724" s="231"/>
      <c r="C724" s="231"/>
    </row>
    <row r="725">
      <c r="A725" s="231"/>
      <c r="B725" s="231"/>
      <c r="C725" s="231"/>
    </row>
    <row r="726">
      <c r="A726" s="231"/>
      <c r="B726" s="231"/>
      <c r="C726" s="231"/>
    </row>
    <row r="727">
      <c r="A727" s="231"/>
      <c r="B727" s="231"/>
      <c r="C727" s="231"/>
    </row>
    <row r="728">
      <c r="A728" s="231"/>
      <c r="B728" s="231"/>
      <c r="C728" s="231"/>
    </row>
    <row r="729">
      <c r="A729" s="231"/>
      <c r="B729" s="231"/>
      <c r="C729" s="231"/>
    </row>
    <row r="730">
      <c r="A730" s="231"/>
      <c r="B730" s="231"/>
      <c r="C730" s="231"/>
    </row>
    <row r="731">
      <c r="A731" s="231"/>
      <c r="B731" s="231"/>
      <c r="C731" s="231"/>
    </row>
    <row r="732">
      <c r="A732" s="231"/>
      <c r="B732" s="231"/>
      <c r="C732" s="231"/>
    </row>
    <row r="733">
      <c r="A733" s="231"/>
      <c r="B733" s="231"/>
      <c r="C733" s="231"/>
    </row>
    <row r="734">
      <c r="A734" s="231"/>
      <c r="B734" s="231"/>
      <c r="C734" s="231"/>
    </row>
    <row r="735">
      <c r="A735" s="231"/>
      <c r="B735" s="231"/>
      <c r="C735" s="231"/>
    </row>
    <row r="736">
      <c r="A736" s="231"/>
      <c r="B736" s="231"/>
      <c r="C736" s="231"/>
    </row>
    <row r="737">
      <c r="A737" s="231"/>
      <c r="B737" s="231"/>
      <c r="C737" s="231"/>
    </row>
    <row r="738">
      <c r="A738" s="231"/>
      <c r="B738" s="231"/>
      <c r="C738" s="231"/>
    </row>
    <row r="739">
      <c r="A739" s="231"/>
      <c r="B739" s="231"/>
      <c r="C739" s="231"/>
    </row>
    <row r="740">
      <c r="A740" s="231"/>
      <c r="B740" s="231"/>
      <c r="C740" s="231"/>
    </row>
    <row r="741">
      <c r="A741" s="231"/>
      <c r="B741" s="231"/>
      <c r="C741" s="231"/>
    </row>
    <row r="742">
      <c r="A742" s="231"/>
      <c r="B742" s="231"/>
      <c r="C742" s="231"/>
    </row>
    <row r="743">
      <c r="A743" s="231"/>
      <c r="B743" s="231"/>
      <c r="C743" s="231"/>
    </row>
    <row r="744">
      <c r="A744" s="231"/>
      <c r="B744" s="231"/>
      <c r="C744" s="231"/>
    </row>
    <row r="745">
      <c r="A745" s="231"/>
      <c r="B745" s="231"/>
      <c r="C745" s="231"/>
    </row>
    <row r="746">
      <c r="A746" s="231"/>
      <c r="B746" s="231"/>
      <c r="C746" s="231"/>
    </row>
    <row r="747">
      <c r="A747" s="231"/>
      <c r="B747" s="231"/>
      <c r="C747" s="231"/>
    </row>
    <row r="748">
      <c r="A748" s="231"/>
      <c r="B748" s="231"/>
      <c r="C748" s="231"/>
    </row>
    <row r="749">
      <c r="A749" s="231"/>
      <c r="B749" s="231"/>
      <c r="C749" s="231"/>
    </row>
    <row r="750">
      <c r="A750" s="231"/>
      <c r="B750" s="231"/>
      <c r="C750" s="231"/>
    </row>
    <row r="751">
      <c r="A751" s="231"/>
      <c r="B751" s="231"/>
      <c r="C751" s="231"/>
    </row>
    <row r="752">
      <c r="A752" s="231"/>
      <c r="B752" s="231"/>
      <c r="C752" s="231"/>
    </row>
    <row r="753">
      <c r="A753" s="231"/>
      <c r="B753" s="231"/>
      <c r="C753" s="231"/>
    </row>
    <row r="754">
      <c r="A754" s="231"/>
      <c r="B754" s="231"/>
      <c r="C754" s="231"/>
    </row>
    <row r="755">
      <c r="A755" s="231"/>
      <c r="B755" s="231"/>
      <c r="C755" s="231"/>
    </row>
    <row r="756">
      <c r="A756" s="231"/>
      <c r="B756" s="231"/>
      <c r="C756" s="231"/>
    </row>
    <row r="757">
      <c r="A757" s="231"/>
      <c r="B757" s="231"/>
      <c r="C757" s="231"/>
    </row>
    <row r="758">
      <c r="A758" s="231"/>
      <c r="B758" s="231"/>
      <c r="C758" s="231"/>
    </row>
    <row r="759">
      <c r="A759" s="231"/>
      <c r="B759" s="231"/>
      <c r="C759" s="231"/>
    </row>
    <row r="760">
      <c r="A760" s="231"/>
      <c r="B760" s="231"/>
      <c r="C760" s="231"/>
    </row>
    <row r="761">
      <c r="A761" s="231"/>
      <c r="B761" s="231"/>
      <c r="C761" s="231"/>
    </row>
    <row r="762">
      <c r="A762" s="231"/>
      <c r="B762" s="231"/>
      <c r="C762" s="231"/>
    </row>
    <row r="763">
      <c r="A763" s="231"/>
      <c r="B763" s="231"/>
      <c r="C763" s="231"/>
    </row>
    <row r="764">
      <c r="A764" s="231"/>
      <c r="B764" s="231"/>
      <c r="C764" s="231"/>
    </row>
    <row r="765">
      <c r="A765" s="231"/>
      <c r="B765" s="231"/>
      <c r="C765" s="231"/>
    </row>
    <row r="766">
      <c r="A766" s="231"/>
      <c r="B766" s="231"/>
      <c r="C766" s="231"/>
    </row>
    <row r="767">
      <c r="A767" s="231"/>
      <c r="B767" s="231"/>
      <c r="C767" s="231"/>
    </row>
    <row r="768">
      <c r="A768" s="231"/>
      <c r="B768" s="231"/>
      <c r="C768" s="231"/>
    </row>
    <row r="769">
      <c r="A769" s="231"/>
      <c r="B769" s="231"/>
      <c r="C769" s="231"/>
    </row>
    <row r="770">
      <c r="A770" s="231"/>
      <c r="B770" s="231"/>
      <c r="C770" s="231"/>
    </row>
    <row r="771">
      <c r="A771" s="231"/>
      <c r="B771" s="231"/>
      <c r="C771" s="231"/>
    </row>
    <row r="772">
      <c r="A772" s="231"/>
      <c r="B772" s="231"/>
      <c r="C772" s="231"/>
    </row>
    <row r="773">
      <c r="A773" s="231"/>
      <c r="B773" s="231"/>
      <c r="C773" s="231"/>
    </row>
    <row r="774">
      <c r="A774" s="231"/>
      <c r="B774" s="231"/>
      <c r="C774" s="231"/>
    </row>
    <row r="775">
      <c r="A775" s="231"/>
      <c r="B775" s="231"/>
      <c r="C775" s="231"/>
    </row>
    <row r="776">
      <c r="A776" s="231"/>
      <c r="B776" s="231"/>
      <c r="C776" s="231"/>
    </row>
    <row r="777">
      <c r="A777" s="231"/>
      <c r="B777" s="231"/>
      <c r="C777" s="231"/>
    </row>
    <row r="778">
      <c r="A778" s="231"/>
      <c r="B778" s="231"/>
      <c r="C778" s="231"/>
    </row>
    <row r="779">
      <c r="A779" s="231"/>
      <c r="B779" s="231"/>
      <c r="C779" s="231"/>
    </row>
    <row r="780">
      <c r="A780" s="231"/>
      <c r="B780" s="231"/>
      <c r="C780" s="231"/>
    </row>
    <row r="781">
      <c r="A781" s="231"/>
      <c r="B781" s="231"/>
      <c r="C781" s="231"/>
    </row>
    <row r="782">
      <c r="A782" s="231"/>
      <c r="B782" s="231"/>
      <c r="C782" s="231"/>
    </row>
    <row r="783">
      <c r="A783" s="231"/>
      <c r="B783" s="231"/>
      <c r="C783" s="231"/>
    </row>
    <row r="784">
      <c r="A784" s="231"/>
      <c r="B784" s="231"/>
      <c r="C784" s="231"/>
    </row>
    <row r="785">
      <c r="A785" s="231"/>
      <c r="B785" s="231"/>
      <c r="C785" s="231"/>
    </row>
    <row r="786">
      <c r="A786" s="231"/>
      <c r="B786" s="231"/>
      <c r="C786" s="231"/>
    </row>
    <row r="787">
      <c r="A787" s="231"/>
      <c r="B787" s="231"/>
      <c r="C787" s="231"/>
    </row>
    <row r="788">
      <c r="A788" s="231"/>
      <c r="B788" s="231"/>
      <c r="C788" s="231"/>
    </row>
    <row r="789">
      <c r="A789" s="231"/>
      <c r="B789" s="231"/>
      <c r="C789" s="231"/>
    </row>
    <row r="790">
      <c r="A790" s="231"/>
      <c r="B790" s="231"/>
      <c r="C790" s="231"/>
    </row>
    <row r="791">
      <c r="A791" s="231"/>
      <c r="B791" s="231"/>
      <c r="C791" s="231"/>
    </row>
    <row r="792">
      <c r="A792" s="231"/>
      <c r="B792" s="231"/>
      <c r="C792" s="231"/>
    </row>
    <row r="793">
      <c r="A793" s="231"/>
      <c r="B793" s="231"/>
      <c r="C793" s="231"/>
    </row>
    <row r="794">
      <c r="A794" s="231"/>
      <c r="B794" s="231"/>
      <c r="C794" s="231"/>
    </row>
    <row r="795">
      <c r="A795" s="231"/>
      <c r="B795" s="231"/>
      <c r="C795" s="231"/>
    </row>
    <row r="796">
      <c r="A796" s="231"/>
      <c r="B796" s="231"/>
      <c r="C796" s="231"/>
    </row>
    <row r="797">
      <c r="A797" s="231"/>
      <c r="B797" s="231"/>
      <c r="C797" s="231"/>
    </row>
    <row r="798">
      <c r="A798" s="231"/>
      <c r="B798" s="231"/>
      <c r="C798" s="231"/>
    </row>
    <row r="799">
      <c r="A799" s="231"/>
      <c r="B799" s="231"/>
      <c r="C799" s="231"/>
    </row>
    <row r="800">
      <c r="A800" s="231"/>
      <c r="B800" s="231"/>
      <c r="C800" s="231"/>
    </row>
    <row r="801">
      <c r="A801" s="231"/>
      <c r="B801" s="231"/>
      <c r="C801" s="231"/>
    </row>
    <row r="802">
      <c r="A802" s="231"/>
      <c r="B802" s="231"/>
      <c r="C802" s="231"/>
    </row>
    <row r="803">
      <c r="A803" s="231"/>
      <c r="B803" s="231"/>
      <c r="C803" s="231"/>
    </row>
    <row r="804">
      <c r="A804" s="231"/>
      <c r="B804" s="231"/>
      <c r="C804" s="231"/>
    </row>
    <row r="805">
      <c r="A805" s="231"/>
      <c r="B805" s="231"/>
      <c r="C805" s="231"/>
    </row>
    <row r="806">
      <c r="A806" s="231"/>
      <c r="B806" s="231"/>
      <c r="C806" s="231"/>
    </row>
    <row r="807">
      <c r="A807" s="231"/>
      <c r="B807" s="231"/>
      <c r="C807" s="231"/>
    </row>
    <row r="808">
      <c r="A808" s="231"/>
      <c r="B808" s="231"/>
      <c r="C808" s="231"/>
    </row>
    <row r="809">
      <c r="A809" s="231"/>
      <c r="B809" s="231"/>
      <c r="C809" s="231"/>
    </row>
    <row r="810">
      <c r="A810" s="231"/>
      <c r="B810" s="231"/>
      <c r="C810" s="231"/>
    </row>
    <row r="811">
      <c r="A811" s="231"/>
      <c r="B811" s="231"/>
      <c r="C811" s="231"/>
    </row>
    <row r="812">
      <c r="A812" s="231"/>
      <c r="B812" s="231"/>
      <c r="C812" s="231"/>
    </row>
    <row r="813">
      <c r="A813" s="231"/>
      <c r="B813" s="231"/>
      <c r="C813" s="231"/>
    </row>
    <row r="814">
      <c r="A814" s="231"/>
      <c r="B814" s="231"/>
      <c r="C814" s="231"/>
    </row>
    <row r="815">
      <c r="A815" s="231"/>
      <c r="B815" s="231"/>
      <c r="C815" s="231"/>
    </row>
    <row r="816">
      <c r="A816" s="231"/>
      <c r="B816" s="231"/>
      <c r="C816" s="231"/>
    </row>
    <row r="817">
      <c r="A817" s="231"/>
      <c r="B817" s="231"/>
      <c r="C817" s="231"/>
    </row>
    <row r="818">
      <c r="A818" s="231"/>
      <c r="B818" s="231"/>
      <c r="C818" s="231"/>
    </row>
    <row r="819">
      <c r="A819" s="231"/>
      <c r="B819" s="231"/>
      <c r="C819" s="231"/>
    </row>
    <row r="820">
      <c r="A820" s="231"/>
      <c r="B820" s="231"/>
      <c r="C820" s="231"/>
    </row>
    <row r="821">
      <c r="A821" s="231"/>
      <c r="B821" s="231"/>
      <c r="C821" s="231"/>
    </row>
    <row r="822">
      <c r="A822" s="231"/>
      <c r="B822" s="231"/>
      <c r="C822" s="231"/>
    </row>
    <row r="823">
      <c r="A823" s="231"/>
      <c r="B823" s="231"/>
      <c r="C823" s="231"/>
    </row>
    <row r="824">
      <c r="A824" s="231"/>
      <c r="B824" s="231"/>
      <c r="C824" s="231"/>
    </row>
    <row r="825">
      <c r="A825" s="231"/>
      <c r="B825" s="231"/>
      <c r="C825" s="231"/>
    </row>
    <row r="826">
      <c r="A826" s="231"/>
      <c r="B826" s="231"/>
      <c r="C826" s="231"/>
    </row>
    <row r="827">
      <c r="A827" s="231"/>
      <c r="B827" s="231"/>
      <c r="C827" s="231"/>
    </row>
    <row r="828">
      <c r="A828" s="231"/>
      <c r="B828" s="231"/>
      <c r="C828" s="231"/>
    </row>
    <row r="829">
      <c r="A829" s="231"/>
      <c r="B829" s="231"/>
      <c r="C829" s="231"/>
    </row>
    <row r="830">
      <c r="A830" s="231"/>
      <c r="B830" s="231"/>
      <c r="C830" s="231"/>
    </row>
    <row r="831">
      <c r="A831" s="231"/>
      <c r="B831" s="231"/>
      <c r="C831" s="231"/>
    </row>
    <row r="832">
      <c r="A832" s="231"/>
      <c r="B832" s="231"/>
      <c r="C832" s="231"/>
    </row>
    <row r="833">
      <c r="A833" s="231"/>
      <c r="B833" s="231"/>
      <c r="C833" s="231"/>
    </row>
    <row r="834">
      <c r="A834" s="231"/>
      <c r="B834" s="231"/>
      <c r="C834" s="231"/>
    </row>
    <row r="835">
      <c r="A835" s="231"/>
      <c r="B835" s="231"/>
      <c r="C835" s="231"/>
    </row>
    <row r="836">
      <c r="A836" s="231"/>
      <c r="B836" s="231"/>
      <c r="C836" s="231"/>
    </row>
    <row r="837">
      <c r="A837" s="231"/>
      <c r="B837" s="231"/>
      <c r="C837" s="231"/>
    </row>
    <row r="838">
      <c r="A838" s="231"/>
      <c r="B838" s="231"/>
      <c r="C838" s="231"/>
    </row>
    <row r="839">
      <c r="A839" s="231"/>
      <c r="B839" s="231"/>
      <c r="C839" s="231"/>
    </row>
    <row r="840">
      <c r="A840" s="231"/>
      <c r="B840" s="231"/>
      <c r="C840" s="231"/>
    </row>
    <row r="841">
      <c r="A841" s="231"/>
      <c r="B841" s="231"/>
      <c r="C841" s="231"/>
    </row>
    <row r="842">
      <c r="A842" s="231"/>
      <c r="B842" s="231"/>
      <c r="C842" s="231"/>
    </row>
    <row r="843">
      <c r="A843" s="231"/>
      <c r="B843" s="231"/>
      <c r="C843" s="231"/>
    </row>
    <row r="844">
      <c r="A844" s="231"/>
      <c r="B844" s="231"/>
      <c r="C844" s="231"/>
    </row>
    <row r="845">
      <c r="A845" s="231"/>
      <c r="B845" s="231"/>
      <c r="C845" s="231"/>
    </row>
    <row r="846">
      <c r="A846" s="231"/>
      <c r="B846" s="231"/>
      <c r="C846" s="231"/>
    </row>
    <row r="847">
      <c r="A847" s="231"/>
      <c r="B847" s="231"/>
      <c r="C847" s="231"/>
    </row>
    <row r="848">
      <c r="A848" s="231"/>
      <c r="B848" s="231"/>
      <c r="C848" s="231"/>
    </row>
    <row r="849">
      <c r="A849" s="231"/>
      <c r="B849" s="231"/>
      <c r="C849" s="231"/>
    </row>
    <row r="850">
      <c r="A850" s="231"/>
      <c r="B850" s="231"/>
      <c r="C850" s="231"/>
    </row>
    <row r="851">
      <c r="A851" s="231"/>
      <c r="B851" s="231"/>
      <c r="C851" s="231"/>
    </row>
    <row r="852">
      <c r="A852" s="231"/>
      <c r="B852" s="231"/>
      <c r="C852" s="231"/>
    </row>
    <row r="853">
      <c r="A853" s="231"/>
      <c r="B853" s="231"/>
      <c r="C853" s="231"/>
    </row>
    <row r="854">
      <c r="A854" s="231"/>
      <c r="B854" s="231"/>
      <c r="C854" s="231"/>
    </row>
    <row r="855">
      <c r="A855" s="231"/>
      <c r="B855" s="231"/>
      <c r="C855" s="231"/>
    </row>
    <row r="856">
      <c r="A856" s="231"/>
      <c r="B856" s="231"/>
      <c r="C856" s="231"/>
    </row>
    <row r="857">
      <c r="A857" s="231"/>
      <c r="B857" s="231"/>
      <c r="C857" s="231"/>
    </row>
    <row r="858">
      <c r="A858" s="231"/>
      <c r="B858" s="231"/>
      <c r="C858" s="231"/>
    </row>
    <row r="859">
      <c r="A859" s="231"/>
      <c r="B859" s="231"/>
      <c r="C859" s="231"/>
    </row>
    <row r="860">
      <c r="A860" s="231"/>
      <c r="B860" s="231"/>
      <c r="C860" s="231"/>
    </row>
    <row r="861">
      <c r="A861" s="231"/>
      <c r="B861" s="231"/>
      <c r="C861" s="231"/>
    </row>
    <row r="862">
      <c r="A862" s="231"/>
      <c r="B862" s="231"/>
      <c r="C862" s="231"/>
    </row>
    <row r="863">
      <c r="A863" s="231"/>
      <c r="B863" s="231"/>
      <c r="C863" s="231"/>
    </row>
    <row r="864">
      <c r="A864" s="231"/>
      <c r="B864" s="231"/>
      <c r="C864" s="231"/>
    </row>
    <row r="865">
      <c r="A865" s="231"/>
      <c r="B865" s="231"/>
      <c r="C865" s="231"/>
    </row>
    <row r="866">
      <c r="A866" s="231"/>
      <c r="B866" s="231"/>
      <c r="C866" s="231"/>
    </row>
    <row r="867">
      <c r="A867" s="231"/>
      <c r="B867" s="231"/>
      <c r="C867" s="231"/>
    </row>
    <row r="868">
      <c r="A868" s="231"/>
      <c r="B868" s="231"/>
      <c r="C868" s="231"/>
    </row>
    <row r="869">
      <c r="A869" s="231"/>
      <c r="B869" s="231"/>
      <c r="C869" s="231"/>
    </row>
    <row r="870">
      <c r="A870" s="231"/>
      <c r="B870" s="231"/>
      <c r="C870" s="231"/>
    </row>
    <row r="871">
      <c r="A871" s="231"/>
      <c r="B871" s="231"/>
      <c r="C871" s="231"/>
    </row>
    <row r="872">
      <c r="A872" s="231"/>
      <c r="B872" s="231"/>
      <c r="C872" s="231"/>
    </row>
    <row r="873">
      <c r="A873" s="231"/>
      <c r="B873" s="231"/>
      <c r="C873" s="231"/>
    </row>
    <row r="874">
      <c r="A874" s="231"/>
      <c r="B874" s="231"/>
      <c r="C874" s="231"/>
    </row>
    <row r="875">
      <c r="A875" s="231"/>
      <c r="B875" s="231"/>
      <c r="C875" s="231"/>
    </row>
    <row r="876">
      <c r="A876" s="231"/>
      <c r="B876" s="231"/>
      <c r="C876" s="231"/>
    </row>
    <row r="877">
      <c r="A877" s="231"/>
      <c r="B877" s="231"/>
      <c r="C877" s="231"/>
    </row>
    <row r="878">
      <c r="A878" s="231"/>
      <c r="B878" s="231"/>
      <c r="C878" s="231"/>
    </row>
    <row r="879">
      <c r="A879" s="231"/>
      <c r="B879" s="231"/>
      <c r="C879" s="231"/>
    </row>
    <row r="880">
      <c r="A880" s="231"/>
      <c r="B880" s="231"/>
      <c r="C880" s="231"/>
    </row>
    <row r="881">
      <c r="A881" s="231"/>
      <c r="B881" s="231"/>
      <c r="C881" s="231"/>
    </row>
    <row r="882">
      <c r="A882" s="231"/>
      <c r="B882" s="231"/>
      <c r="C882" s="231"/>
    </row>
    <row r="883">
      <c r="A883" s="231"/>
      <c r="B883" s="231"/>
      <c r="C883" s="231"/>
    </row>
    <row r="884">
      <c r="A884" s="231"/>
      <c r="B884" s="231"/>
      <c r="C884" s="231"/>
    </row>
    <row r="885">
      <c r="A885" s="231"/>
      <c r="B885" s="231"/>
      <c r="C885" s="231"/>
    </row>
    <row r="886">
      <c r="A886" s="231"/>
      <c r="B886" s="231"/>
      <c r="C886" s="231"/>
    </row>
    <row r="887">
      <c r="A887" s="231"/>
      <c r="B887" s="231"/>
      <c r="C887" s="231"/>
    </row>
    <row r="888">
      <c r="A888" s="231"/>
      <c r="B888" s="231"/>
      <c r="C888" s="231"/>
    </row>
    <row r="889">
      <c r="A889" s="231"/>
      <c r="B889" s="231"/>
      <c r="C889" s="231"/>
    </row>
    <row r="890">
      <c r="A890" s="231"/>
      <c r="B890" s="231"/>
      <c r="C890" s="231"/>
    </row>
    <row r="891">
      <c r="A891" s="231"/>
      <c r="B891" s="231"/>
      <c r="C891" s="231"/>
    </row>
    <row r="892">
      <c r="A892" s="231"/>
      <c r="B892" s="231"/>
      <c r="C892" s="231"/>
    </row>
    <row r="893">
      <c r="A893" s="231"/>
      <c r="B893" s="231"/>
      <c r="C893" s="231"/>
    </row>
    <row r="894">
      <c r="A894" s="231"/>
      <c r="B894" s="231"/>
      <c r="C894" s="231"/>
    </row>
    <row r="895">
      <c r="A895" s="231"/>
      <c r="B895" s="231"/>
      <c r="C895" s="231"/>
    </row>
    <row r="896">
      <c r="A896" s="231"/>
      <c r="B896" s="231"/>
      <c r="C896" s="231"/>
    </row>
    <row r="897">
      <c r="A897" s="231"/>
      <c r="B897" s="231"/>
      <c r="C897" s="231"/>
    </row>
    <row r="898">
      <c r="A898" s="231"/>
      <c r="B898" s="231"/>
      <c r="C898" s="231"/>
    </row>
    <row r="899">
      <c r="A899" s="231"/>
      <c r="B899" s="231"/>
      <c r="C899" s="231"/>
    </row>
    <row r="900">
      <c r="A900" s="231"/>
      <c r="B900" s="231"/>
      <c r="C900" s="231"/>
    </row>
    <row r="901">
      <c r="A901" s="231"/>
      <c r="B901" s="231"/>
      <c r="C901" s="231"/>
    </row>
    <row r="902">
      <c r="A902" s="231"/>
      <c r="B902" s="231"/>
      <c r="C902" s="231"/>
    </row>
    <row r="903">
      <c r="A903" s="231"/>
      <c r="B903" s="231"/>
      <c r="C903" s="231"/>
    </row>
    <row r="904">
      <c r="A904" s="231"/>
      <c r="B904" s="231"/>
      <c r="C904" s="231"/>
    </row>
    <row r="905">
      <c r="A905" s="231"/>
      <c r="B905" s="231"/>
      <c r="C905" s="231"/>
    </row>
    <row r="906">
      <c r="A906" s="231"/>
      <c r="B906" s="231"/>
      <c r="C906" s="231"/>
    </row>
    <row r="907">
      <c r="A907" s="231"/>
      <c r="B907" s="231"/>
      <c r="C907" s="231"/>
    </row>
    <row r="908">
      <c r="A908" s="231"/>
      <c r="B908" s="231"/>
      <c r="C908" s="231"/>
    </row>
    <row r="909">
      <c r="A909" s="231"/>
      <c r="B909" s="231"/>
      <c r="C909" s="231"/>
    </row>
    <row r="910">
      <c r="A910" s="231"/>
      <c r="B910" s="231"/>
      <c r="C910" s="231"/>
    </row>
    <row r="911">
      <c r="A911" s="231"/>
      <c r="B911" s="231"/>
      <c r="C911" s="231"/>
    </row>
    <row r="912">
      <c r="A912" s="231"/>
      <c r="B912" s="231"/>
      <c r="C912" s="231"/>
    </row>
    <row r="913">
      <c r="A913" s="231"/>
      <c r="B913" s="231"/>
      <c r="C913" s="231"/>
    </row>
    <row r="914">
      <c r="A914" s="231"/>
      <c r="B914" s="231"/>
      <c r="C914" s="231"/>
    </row>
    <row r="915">
      <c r="A915" s="231"/>
      <c r="B915" s="231"/>
      <c r="C915" s="231"/>
    </row>
    <row r="916">
      <c r="A916" s="231"/>
      <c r="B916" s="231"/>
      <c r="C916" s="231"/>
    </row>
    <row r="917">
      <c r="A917" s="231"/>
      <c r="B917" s="231"/>
      <c r="C917" s="231"/>
    </row>
    <row r="918">
      <c r="A918" s="231"/>
      <c r="B918" s="231"/>
      <c r="C918" s="231"/>
    </row>
    <row r="919">
      <c r="A919" s="231"/>
      <c r="B919" s="231"/>
      <c r="C919" s="231"/>
    </row>
    <row r="920">
      <c r="A920" s="231"/>
      <c r="B920" s="231"/>
      <c r="C920" s="231"/>
    </row>
    <row r="921">
      <c r="A921" s="231"/>
      <c r="B921" s="231"/>
      <c r="C921" s="231"/>
    </row>
    <row r="922">
      <c r="A922" s="231"/>
      <c r="B922" s="231"/>
      <c r="C922" s="231"/>
    </row>
    <row r="923">
      <c r="A923" s="231"/>
      <c r="B923" s="231"/>
      <c r="C923" s="231"/>
    </row>
    <row r="924">
      <c r="A924" s="231"/>
      <c r="B924" s="231"/>
      <c r="C924" s="231"/>
    </row>
    <row r="925">
      <c r="A925" s="231"/>
      <c r="B925" s="231"/>
      <c r="C925" s="231"/>
    </row>
    <row r="926">
      <c r="A926" s="231"/>
      <c r="B926" s="231"/>
      <c r="C926" s="231"/>
    </row>
    <row r="927">
      <c r="A927" s="231"/>
      <c r="B927" s="231"/>
      <c r="C927" s="231"/>
    </row>
    <row r="928">
      <c r="A928" s="231"/>
      <c r="B928" s="231"/>
      <c r="C928" s="231"/>
    </row>
    <row r="929">
      <c r="A929" s="231"/>
      <c r="B929" s="231"/>
      <c r="C929" s="231"/>
    </row>
    <row r="930">
      <c r="A930" s="231"/>
      <c r="B930" s="231"/>
      <c r="C930" s="231"/>
    </row>
    <row r="931">
      <c r="A931" s="231"/>
      <c r="B931" s="231"/>
      <c r="C931" s="231"/>
    </row>
    <row r="932">
      <c r="A932" s="231"/>
      <c r="B932" s="231"/>
      <c r="C932" s="231"/>
    </row>
    <row r="933">
      <c r="A933" s="231"/>
      <c r="B933" s="231"/>
      <c r="C933" s="231"/>
    </row>
    <row r="934">
      <c r="A934" s="231"/>
      <c r="B934" s="231"/>
      <c r="C934" s="231"/>
    </row>
    <row r="935">
      <c r="A935" s="231"/>
      <c r="B935" s="231"/>
      <c r="C935" s="231"/>
    </row>
    <row r="936">
      <c r="A936" s="231"/>
      <c r="B936" s="231"/>
      <c r="C936" s="231"/>
    </row>
    <row r="937">
      <c r="A937" s="231"/>
      <c r="B937" s="231"/>
      <c r="C937" s="231"/>
    </row>
    <row r="938">
      <c r="A938" s="231"/>
      <c r="B938" s="231"/>
      <c r="C938" s="231"/>
    </row>
    <row r="939">
      <c r="A939" s="231"/>
      <c r="B939" s="231"/>
      <c r="C939" s="231"/>
    </row>
    <row r="940">
      <c r="A940" s="231"/>
      <c r="B940" s="231"/>
      <c r="C940" s="231"/>
    </row>
    <row r="941">
      <c r="A941" s="231"/>
      <c r="B941" s="231"/>
      <c r="C941" s="231"/>
    </row>
    <row r="942">
      <c r="A942" s="231"/>
      <c r="B942" s="231"/>
      <c r="C942" s="231"/>
    </row>
    <row r="943">
      <c r="A943" s="231"/>
      <c r="B943" s="231"/>
      <c r="C943" s="231"/>
    </row>
    <row r="944">
      <c r="A944" s="231"/>
      <c r="B944" s="231"/>
      <c r="C944" s="231"/>
    </row>
    <row r="945">
      <c r="A945" s="231"/>
      <c r="B945" s="231"/>
      <c r="C945" s="231"/>
    </row>
    <row r="946">
      <c r="A946" s="231"/>
      <c r="B946" s="231"/>
      <c r="C946" s="231"/>
    </row>
    <row r="947">
      <c r="A947" s="231"/>
      <c r="B947" s="231"/>
      <c r="C947" s="231"/>
    </row>
    <row r="948">
      <c r="A948" s="231"/>
      <c r="B948" s="231"/>
      <c r="C948" s="231"/>
    </row>
    <row r="949">
      <c r="A949" s="231"/>
      <c r="B949" s="231"/>
      <c r="C949" s="231"/>
    </row>
    <row r="950">
      <c r="A950" s="231"/>
      <c r="B950" s="231"/>
      <c r="C950" s="231"/>
    </row>
    <row r="951">
      <c r="A951" s="231"/>
      <c r="B951" s="231"/>
      <c r="C951" s="231"/>
    </row>
    <row r="952">
      <c r="A952" s="231"/>
      <c r="B952" s="231"/>
      <c r="C952" s="231"/>
    </row>
    <row r="953">
      <c r="A953" s="231"/>
      <c r="B953" s="231"/>
      <c r="C953" s="231"/>
    </row>
    <row r="954">
      <c r="A954" s="231"/>
      <c r="B954" s="231"/>
      <c r="C954" s="231"/>
    </row>
    <row r="955">
      <c r="A955" s="231"/>
      <c r="B955" s="231"/>
      <c r="C955" s="231"/>
    </row>
    <row r="956">
      <c r="A956" s="231"/>
      <c r="B956" s="231"/>
      <c r="C956" s="231"/>
    </row>
    <row r="957">
      <c r="A957" s="231"/>
      <c r="B957" s="231"/>
      <c r="C957" s="231"/>
    </row>
    <row r="958">
      <c r="A958" s="231"/>
      <c r="B958" s="231"/>
      <c r="C958" s="231"/>
    </row>
    <row r="959">
      <c r="A959" s="231"/>
      <c r="B959" s="231"/>
      <c r="C959" s="231"/>
    </row>
    <row r="960">
      <c r="A960" s="231"/>
      <c r="B960" s="231"/>
      <c r="C960" s="231"/>
    </row>
    <row r="961">
      <c r="A961" s="231"/>
      <c r="B961" s="231"/>
      <c r="C961" s="231"/>
    </row>
    <row r="962">
      <c r="A962" s="231"/>
      <c r="B962" s="231"/>
      <c r="C962" s="231"/>
    </row>
    <row r="963">
      <c r="A963" s="231"/>
      <c r="B963" s="231"/>
      <c r="C963" s="231"/>
    </row>
    <row r="964">
      <c r="A964" s="231"/>
      <c r="B964" s="231"/>
      <c r="C964" s="231"/>
    </row>
    <row r="965">
      <c r="A965" s="231"/>
      <c r="B965" s="231"/>
      <c r="C965" s="231"/>
    </row>
    <row r="966">
      <c r="A966" s="231"/>
      <c r="B966" s="231"/>
      <c r="C966" s="231"/>
    </row>
    <row r="967">
      <c r="A967" s="231"/>
      <c r="B967" s="231"/>
      <c r="C967" s="231"/>
    </row>
    <row r="968">
      <c r="A968" s="231"/>
      <c r="B968" s="231"/>
      <c r="C968" s="231"/>
    </row>
    <row r="969">
      <c r="A969" s="231"/>
      <c r="B969" s="231"/>
      <c r="C969" s="231"/>
    </row>
    <row r="970">
      <c r="A970" s="231"/>
      <c r="B970" s="231"/>
      <c r="C970" s="231"/>
    </row>
    <row r="971">
      <c r="A971" s="231"/>
      <c r="B971" s="231"/>
      <c r="C971" s="231"/>
    </row>
    <row r="972">
      <c r="A972" s="231"/>
      <c r="B972" s="231"/>
      <c r="C972" s="231"/>
    </row>
    <row r="973">
      <c r="A973" s="231"/>
      <c r="B973" s="231"/>
      <c r="C973" s="231"/>
    </row>
    <row r="974">
      <c r="A974" s="231"/>
      <c r="B974" s="231"/>
      <c r="C974" s="231"/>
    </row>
    <row r="975">
      <c r="A975" s="231"/>
      <c r="B975" s="231"/>
      <c r="C975" s="231"/>
    </row>
    <row r="976">
      <c r="A976" s="231"/>
      <c r="B976" s="231"/>
      <c r="C976" s="231"/>
    </row>
    <row r="977">
      <c r="A977" s="231"/>
      <c r="B977" s="231"/>
      <c r="C977" s="231"/>
    </row>
    <row r="978">
      <c r="A978" s="231"/>
      <c r="B978" s="231"/>
      <c r="C978" s="231"/>
    </row>
    <row r="979">
      <c r="A979" s="231"/>
      <c r="B979" s="231"/>
      <c r="C979" s="231"/>
    </row>
    <row r="980">
      <c r="A980" s="231"/>
      <c r="B980" s="231"/>
      <c r="C980" s="231"/>
    </row>
    <row r="981">
      <c r="A981" s="231"/>
      <c r="B981" s="231"/>
      <c r="C981" s="231"/>
    </row>
    <row r="982">
      <c r="A982" s="231"/>
      <c r="B982" s="231"/>
      <c r="C982" s="231"/>
    </row>
    <row r="983">
      <c r="A983" s="231"/>
      <c r="B983" s="231"/>
      <c r="C983" s="231"/>
    </row>
    <row r="984">
      <c r="A984" s="231"/>
      <c r="B984" s="231"/>
      <c r="C984" s="231"/>
    </row>
    <row r="985">
      <c r="A985" s="231"/>
      <c r="B985" s="231"/>
      <c r="C985" s="231"/>
    </row>
    <row r="986">
      <c r="A986" s="231"/>
      <c r="B986" s="231"/>
      <c r="C986" s="231"/>
    </row>
    <row r="987">
      <c r="A987" s="231"/>
      <c r="B987" s="231"/>
      <c r="C987" s="231"/>
    </row>
    <row r="988">
      <c r="A988" s="231"/>
      <c r="B988" s="231"/>
      <c r="C988" s="231"/>
    </row>
    <row r="989">
      <c r="A989" s="231"/>
      <c r="B989" s="231"/>
      <c r="C989" s="231"/>
    </row>
    <row r="990">
      <c r="A990" s="231"/>
      <c r="B990" s="231"/>
      <c r="C990" s="231"/>
    </row>
    <row r="991">
      <c r="A991" s="231"/>
      <c r="B991" s="231"/>
      <c r="C991" s="231"/>
    </row>
    <row r="992">
      <c r="A992" s="231"/>
      <c r="B992" s="231"/>
      <c r="C992" s="231"/>
    </row>
    <row r="993">
      <c r="A993" s="231"/>
      <c r="B993" s="231"/>
      <c r="C993" s="231"/>
    </row>
    <row r="994">
      <c r="A994" s="231"/>
      <c r="B994" s="231"/>
      <c r="C994" s="231"/>
    </row>
    <row r="995">
      <c r="A995" s="231"/>
      <c r="B995" s="231"/>
      <c r="C995" s="231"/>
    </row>
    <row r="996">
      <c r="A996" s="231"/>
      <c r="B996" s="231"/>
      <c r="C996" s="231"/>
    </row>
    <row r="997">
      <c r="A997" s="231"/>
      <c r="B997" s="231"/>
      <c r="C997" s="231"/>
    </row>
    <row r="998">
      <c r="A998" s="231"/>
      <c r="B998" s="231"/>
      <c r="C998" s="231"/>
    </row>
    <row r="999">
      <c r="A999" s="231"/>
      <c r="B999" s="231"/>
      <c r="C999" s="231"/>
    </row>
    <row r="1000">
      <c r="A1000" s="231"/>
      <c r="B1000" s="231"/>
      <c r="C1000" s="231"/>
    </row>
    <row r="1001">
      <c r="A1001" s="231"/>
      <c r="B1001" s="231"/>
      <c r="C1001" s="231"/>
    </row>
    <row r="1002">
      <c r="A1002" s="231"/>
      <c r="B1002" s="231"/>
      <c r="C1002" s="231"/>
    </row>
    <row r="1003">
      <c r="A1003" s="231"/>
      <c r="B1003" s="231"/>
      <c r="C1003" s="231"/>
    </row>
    <row r="1004">
      <c r="A1004" s="231"/>
      <c r="B1004" s="231"/>
      <c r="C1004" s="231"/>
    </row>
    <row r="1005">
      <c r="A1005" s="231"/>
      <c r="B1005" s="231"/>
      <c r="C1005" s="231"/>
    </row>
    <row r="1006">
      <c r="A1006" s="231"/>
      <c r="B1006" s="231"/>
      <c r="C1006" s="231"/>
    </row>
    <row r="1007">
      <c r="A1007" s="231"/>
      <c r="B1007" s="231"/>
      <c r="C1007" s="231"/>
    </row>
    <row r="1008">
      <c r="A1008" s="231"/>
      <c r="B1008" s="231"/>
      <c r="C1008" s="231"/>
    </row>
    <row r="1009">
      <c r="A1009" s="231"/>
      <c r="B1009" s="231"/>
      <c r="C1009" s="231"/>
    </row>
    <row r="1010">
      <c r="A1010" s="231"/>
      <c r="B1010" s="231"/>
      <c r="C1010" s="231"/>
    </row>
    <row r="1011">
      <c r="A1011" s="231"/>
      <c r="B1011" s="231"/>
      <c r="C1011" s="231"/>
    </row>
    <row r="1012">
      <c r="A1012" s="231"/>
      <c r="B1012" s="231"/>
      <c r="C1012" s="231"/>
    </row>
    <row r="1013">
      <c r="A1013" s="231"/>
      <c r="B1013" s="231"/>
      <c r="C1013" s="231"/>
    </row>
    <row r="1014">
      <c r="A1014" s="231"/>
      <c r="B1014" s="231"/>
      <c r="C1014" s="231"/>
    </row>
    <row r="1015">
      <c r="A1015" s="231"/>
      <c r="B1015" s="231"/>
      <c r="C1015" s="231"/>
    </row>
    <row r="1016">
      <c r="A1016" s="231"/>
      <c r="B1016" s="231"/>
      <c r="C1016" s="231"/>
    </row>
    <row r="1017">
      <c r="A1017" s="231"/>
      <c r="B1017" s="231"/>
      <c r="C1017" s="231"/>
    </row>
    <row r="1018">
      <c r="A1018" s="231"/>
      <c r="B1018" s="231"/>
      <c r="C1018" s="231"/>
    </row>
    <row r="1019">
      <c r="A1019" s="231"/>
      <c r="B1019" s="231"/>
      <c r="C1019" s="231"/>
    </row>
    <row r="1020">
      <c r="A1020" s="231"/>
      <c r="B1020" s="231"/>
      <c r="C1020" s="231"/>
    </row>
    <row r="1021">
      <c r="A1021" s="231"/>
      <c r="B1021" s="231"/>
      <c r="C1021" s="231"/>
    </row>
    <row r="1022">
      <c r="A1022" s="231"/>
      <c r="B1022" s="231"/>
      <c r="C1022" s="231"/>
    </row>
    <row r="1023">
      <c r="A1023" s="231"/>
      <c r="B1023" s="231"/>
      <c r="C1023" s="231"/>
    </row>
    <row r="1024">
      <c r="A1024" s="231"/>
      <c r="B1024" s="231"/>
      <c r="C1024" s="231"/>
    </row>
    <row r="1025">
      <c r="A1025" s="231"/>
      <c r="B1025" s="231"/>
      <c r="C1025" s="231"/>
    </row>
    <row r="1026">
      <c r="A1026" s="231"/>
      <c r="B1026" s="231"/>
      <c r="C1026" s="231"/>
    </row>
    <row r="1027">
      <c r="A1027" s="231"/>
      <c r="B1027" s="231"/>
      <c r="C1027" s="231"/>
    </row>
    <row r="1028">
      <c r="A1028" s="231"/>
      <c r="B1028" s="231"/>
      <c r="C1028" s="231"/>
    </row>
    <row r="1029">
      <c r="A1029" s="231"/>
      <c r="B1029" s="231"/>
      <c r="C1029" s="231"/>
    </row>
    <row r="1030">
      <c r="A1030" s="231"/>
      <c r="B1030" s="231"/>
      <c r="C1030" s="231"/>
    </row>
    <row r="1031">
      <c r="A1031" s="231"/>
      <c r="B1031" s="231"/>
      <c r="C1031" s="231"/>
    </row>
    <row r="1032">
      <c r="A1032" s="231"/>
      <c r="B1032" s="231"/>
      <c r="C1032" s="231"/>
    </row>
    <row r="1033">
      <c r="A1033" s="231"/>
      <c r="B1033" s="231"/>
      <c r="C1033" s="231"/>
    </row>
    <row r="1034">
      <c r="A1034" s="231"/>
      <c r="B1034" s="231"/>
      <c r="C1034" s="231"/>
    </row>
    <row r="1035">
      <c r="A1035" s="231"/>
      <c r="B1035" s="231"/>
      <c r="C1035" s="231"/>
    </row>
    <row r="1036">
      <c r="A1036" s="231"/>
      <c r="B1036" s="231"/>
      <c r="C1036" s="231"/>
    </row>
    <row r="1037">
      <c r="A1037" s="231"/>
      <c r="B1037" s="231"/>
      <c r="C1037" s="231"/>
    </row>
    <row r="1038">
      <c r="A1038" s="231"/>
      <c r="B1038" s="231"/>
      <c r="C1038" s="231"/>
    </row>
    <row r="1039">
      <c r="A1039" s="231"/>
      <c r="B1039" s="231"/>
      <c r="C1039" s="231"/>
    </row>
    <row r="1040">
      <c r="A1040" s="231"/>
      <c r="B1040" s="231"/>
      <c r="C1040" s="231"/>
    </row>
    <row r="1041">
      <c r="A1041" s="231"/>
      <c r="B1041" s="231"/>
      <c r="C1041" s="231"/>
    </row>
    <row r="1042">
      <c r="A1042" s="231"/>
      <c r="B1042" s="231"/>
      <c r="C1042" s="231"/>
    </row>
    <row r="1043">
      <c r="A1043" s="231"/>
      <c r="B1043" s="231"/>
      <c r="C1043" s="231"/>
    </row>
    <row r="1044">
      <c r="A1044" s="231"/>
      <c r="B1044" s="231"/>
      <c r="C1044" s="231"/>
    </row>
    <row r="1045">
      <c r="A1045" s="231"/>
      <c r="B1045" s="231"/>
      <c r="C1045" s="231"/>
    </row>
    <row r="1046">
      <c r="A1046" s="231"/>
      <c r="B1046" s="231"/>
      <c r="C1046" s="231"/>
    </row>
    <row r="1047">
      <c r="A1047" s="231"/>
      <c r="B1047" s="231"/>
      <c r="C1047" s="231"/>
    </row>
    <row r="1048">
      <c r="A1048" s="231"/>
      <c r="B1048" s="231"/>
      <c r="C1048" s="231"/>
    </row>
    <row r="1049">
      <c r="A1049" s="231"/>
      <c r="B1049" s="231"/>
      <c r="C1049" s="231"/>
    </row>
    <row r="1050">
      <c r="A1050" s="231"/>
      <c r="B1050" s="231"/>
      <c r="C1050" s="231"/>
    </row>
    <row r="1051">
      <c r="A1051" s="231"/>
      <c r="B1051" s="231"/>
      <c r="C1051" s="231"/>
    </row>
    <row r="1052">
      <c r="A1052" s="231"/>
      <c r="B1052" s="231"/>
      <c r="C1052" s="231"/>
    </row>
    <row r="1053">
      <c r="A1053" s="231"/>
      <c r="B1053" s="231"/>
      <c r="C1053" s="231"/>
    </row>
    <row r="1054">
      <c r="A1054" s="231"/>
      <c r="B1054" s="231"/>
      <c r="C1054" s="231"/>
    </row>
    <row r="1055">
      <c r="A1055" s="231"/>
      <c r="B1055" s="231"/>
      <c r="C1055" s="231"/>
    </row>
    <row r="1056">
      <c r="A1056" s="231"/>
      <c r="B1056" s="231"/>
      <c r="C1056" s="231"/>
    </row>
    <row r="1057">
      <c r="A1057" s="231"/>
      <c r="B1057" s="231"/>
      <c r="C1057" s="231"/>
    </row>
    <row r="1058">
      <c r="A1058" s="231"/>
      <c r="B1058" s="231"/>
      <c r="C1058" s="231"/>
    </row>
    <row r="1059">
      <c r="A1059" s="231"/>
      <c r="B1059" s="231"/>
      <c r="C1059" s="231"/>
    </row>
    <row r="1060">
      <c r="A1060" s="231"/>
      <c r="B1060" s="231"/>
      <c r="C1060" s="231"/>
    </row>
    <row r="1061">
      <c r="A1061" s="231"/>
      <c r="B1061" s="231"/>
      <c r="C1061" s="231"/>
    </row>
    <row r="1062">
      <c r="A1062" s="231"/>
      <c r="B1062" s="231"/>
      <c r="C1062" s="231"/>
    </row>
    <row r="1063">
      <c r="A1063" s="231"/>
      <c r="B1063" s="231"/>
      <c r="C1063" s="231"/>
    </row>
    <row r="1064">
      <c r="A1064" s="231"/>
      <c r="B1064" s="231"/>
      <c r="C1064" s="231"/>
    </row>
    <row r="1065">
      <c r="A1065" s="231"/>
      <c r="B1065" s="231"/>
      <c r="C1065" s="231"/>
    </row>
    <row r="1066">
      <c r="A1066" s="231"/>
      <c r="B1066" s="231"/>
      <c r="C1066" s="231"/>
    </row>
    <row r="1067">
      <c r="A1067" s="231"/>
      <c r="B1067" s="231"/>
      <c r="C1067" s="231"/>
    </row>
    <row r="1068">
      <c r="A1068" s="231"/>
      <c r="B1068" s="231"/>
      <c r="C1068" s="231"/>
    </row>
    <row r="1069">
      <c r="A1069" s="231"/>
      <c r="B1069" s="231"/>
      <c r="C1069" s="231"/>
    </row>
    <row r="1070">
      <c r="A1070" s="231"/>
      <c r="B1070" s="231"/>
      <c r="C1070" s="231"/>
    </row>
    <row r="1071">
      <c r="A1071" s="231"/>
      <c r="B1071" s="231"/>
      <c r="C1071" s="231"/>
    </row>
    <row r="1072">
      <c r="A1072" s="231"/>
      <c r="B1072" s="231"/>
      <c r="C1072" s="231"/>
    </row>
    <row r="1073">
      <c r="A1073" s="231"/>
      <c r="B1073" s="231"/>
      <c r="C1073" s="231"/>
    </row>
    <row r="1074">
      <c r="A1074" s="231"/>
      <c r="B1074" s="231"/>
      <c r="C1074" s="231"/>
    </row>
    <row r="1075">
      <c r="A1075" s="231"/>
      <c r="B1075" s="231"/>
      <c r="C1075" s="231"/>
    </row>
    <row r="1076">
      <c r="A1076" s="231"/>
      <c r="B1076" s="231"/>
      <c r="C1076" s="231"/>
    </row>
    <row r="1077">
      <c r="A1077" s="231"/>
      <c r="B1077" s="231"/>
      <c r="C1077" s="231"/>
    </row>
    <row r="1078">
      <c r="A1078" s="231"/>
      <c r="B1078" s="231"/>
      <c r="C1078" s="231"/>
    </row>
    <row r="1079">
      <c r="A1079" s="231"/>
      <c r="B1079" s="231"/>
      <c r="C1079" s="231"/>
    </row>
    <row r="1080">
      <c r="A1080" s="231"/>
      <c r="B1080" s="231"/>
      <c r="C1080" s="231"/>
    </row>
    <row r="1081">
      <c r="A1081" s="231"/>
      <c r="B1081" s="231"/>
      <c r="C1081" s="231"/>
    </row>
    <row r="1082">
      <c r="A1082" s="231"/>
      <c r="B1082" s="231"/>
      <c r="C1082" s="231"/>
    </row>
    <row r="1083">
      <c r="A1083" s="231"/>
      <c r="B1083" s="231"/>
      <c r="C1083" s="231"/>
    </row>
    <row r="1084">
      <c r="A1084" s="231"/>
      <c r="B1084" s="231"/>
      <c r="C1084" s="231"/>
    </row>
    <row r="1085">
      <c r="A1085" s="231"/>
      <c r="B1085" s="231"/>
      <c r="C1085" s="231"/>
    </row>
    <row r="1086">
      <c r="A1086" s="231"/>
      <c r="B1086" s="231"/>
      <c r="C1086" s="231"/>
    </row>
    <row r="1087">
      <c r="A1087" s="231"/>
      <c r="B1087" s="231"/>
      <c r="C1087" s="231"/>
    </row>
    <row r="1088">
      <c r="A1088" s="231"/>
      <c r="B1088" s="231"/>
      <c r="C1088" s="231"/>
    </row>
    <row r="1089">
      <c r="A1089" s="231"/>
      <c r="B1089" s="231"/>
      <c r="C1089" s="231"/>
    </row>
    <row r="1090">
      <c r="A1090" s="231"/>
      <c r="B1090" s="231"/>
      <c r="C1090" s="231"/>
    </row>
    <row r="1091">
      <c r="A1091" s="231"/>
      <c r="B1091" s="231"/>
      <c r="C1091" s="231"/>
    </row>
    <row r="1092">
      <c r="A1092" s="231"/>
      <c r="B1092" s="231"/>
      <c r="C1092" s="231"/>
    </row>
    <row r="1093">
      <c r="A1093" s="231"/>
      <c r="B1093" s="231"/>
      <c r="C1093" s="231"/>
    </row>
    <row r="1094">
      <c r="A1094" s="231"/>
      <c r="B1094" s="231"/>
      <c r="C1094" s="231"/>
    </row>
    <row r="1095">
      <c r="A1095" s="231"/>
      <c r="B1095" s="231"/>
      <c r="C1095" s="231"/>
    </row>
    <row r="1096">
      <c r="A1096" s="231"/>
      <c r="B1096" s="231"/>
      <c r="C1096" s="231"/>
    </row>
    <row r="1097">
      <c r="A1097" s="231"/>
      <c r="B1097" s="231"/>
      <c r="C1097" s="231"/>
    </row>
    <row r="1098">
      <c r="A1098" s="231"/>
      <c r="B1098" s="231"/>
      <c r="C1098" s="231"/>
    </row>
    <row r="1099">
      <c r="A1099" s="231"/>
      <c r="B1099" s="231"/>
      <c r="C1099" s="231"/>
    </row>
    <row r="1100">
      <c r="A1100" s="231"/>
      <c r="B1100" s="231"/>
      <c r="C1100" s="231"/>
    </row>
    <row r="1101">
      <c r="A1101" s="231"/>
      <c r="B1101" s="231"/>
      <c r="C1101" s="231"/>
    </row>
    <row r="1102">
      <c r="A1102" s="231"/>
      <c r="B1102" s="231"/>
      <c r="C1102" s="231"/>
    </row>
    <row r="1103">
      <c r="A1103" s="231"/>
      <c r="B1103" s="231"/>
      <c r="C1103" s="231"/>
    </row>
    <row r="1104">
      <c r="A1104" s="231"/>
      <c r="B1104" s="231"/>
      <c r="C1104" s="231"/>
    </row>
    <row r="1105">
      <c r="A1105" s="231"/>
      <c r="B1105" s="231"/>
      <c r="C1105" s="231"/>
    </row>
    <row r="1106">
      <c r="A1106" s="231"/>
      <c r="B1106" s="231"/>
      <c r="C1106" s="231"/>
    </row>
    <row r="1107">
      <c r="A1107" s="231"/>
      <c r="B1107" s="231"/>
      <c r="C1107" s="231"/>
    </row>
    <row r="1108">
      <c r="A1108" s="231"/>
      <c r="B1108" s="231"/>
      <c r="C1108" s="231"/>
    </row>
    <row r="1109">
      <c r="A1109" s="231"/>
      <c r="B1109" s="231"/>
      <c r="C1109" s="231"/>
    </row>
    <row r="1110">
      <c r="A1110" s="231"/>
      <c r="B1110" s="231"/>
      <c r="C1110" s="231"/>
    </row>
    <row r="1111">
      <c r="A1111" s="231"/>
      <c r="B1111" s="231"/>
      <c r="C1111" s="231"/>
    </row>
    <row r="1112">
      <c r="A1112" s="231"/>
      <c r="B1112" s="231"/>
      <c r="C1112" s="231"/>
    </row>
    <row r="1113">
      <c r="A1113" s="231"/>
      <c r="B1113" s="231"/>
      <c r="C1113" s="231"/>
    </row>
    <row r="1114">
      <c r="A1114" s="231"/>
      <c r="B1114" s="231"/>
      <c r="C1114" s="231"/>
    </row>
    <row r="1115">
      <c r="A1115" s="231"/>
      <c r="B1115" s="231"/>
      <c r="C1115" s="231"/>
    </row>
    <row r="1116">
      <c r="A1116" s="231"/>
      <c r="B1116" s="231"/>
      <c r="C1116" s="231"/>
    </row>
    <row r="1117">
      <c r="A1117" s="231"/>
      <c r="B1117" s="231"/>
      <c r="C1117" s="231"/>
    </row>
    <row r="1118">
      <c r="A1118" s="231"/>
      <c r="B1118" s="231"/>
      <c r="C1118" s="231"/>
    </row>
    <row r="1119">
      <c r="A1119" s="231"/>
      <c r="B1119" s="231"/>
      <c r="C1119" s="231"/>
    </row>
    <row r="1120">
      <c r="A1120" s="231"/>
      <c r="B1120" s="231"/>
      <c r="C1120" s="231"/>
    </row>
    <row r="1121">
      <c r="A1121" s="231"/>
      <c r="B1121" s="231"/>
      <c r="C1121" s="231"/>
    </row>
    <row r="1122">
      <c r="A1122" s="231"/>
      <c r="B1122" s="231"/>
      <c r="C1122" s="231"/>
    </row>
    <row r="1123">
      <c r="A1123" s="231"/>
      <c r="B1123" s="231"/>
      <c r="C1123" s="231"/>
    </row>
    <row r="1124">
      <c r="A1124" s="231"/>
      <c r="B1124" s="231"/>
      <c r="C1124" s="231"/>
    </row>
    <row r="1125">
      <c r="A1125" s="231"/>
      <c r="B1125" s="231"/>
      <c r="C1125" s="231"/>
    </row>
    <row r="1126">
      <c r="A1126" s="231"/>
      <c r="B1126" s="231"/>
      <c r="C1126" s="231"/>
    </row>
    <row r="1127">
      <c r="A1127" s="231"/>
      <c r="B1127" s="231"/>
      <c r="C1127" s="231"/>
    </row>
    <row r="1128">
      <c r="A1128" s="231"/>
      <c r="B1128" s="231"/>
      <c r="C1128" s="231"/>
    </row>
    <row r="1129">
      <c r="A1129" s="231"/>
      <c r="B1129" s="231"/>
      <c r="C1129" s="231"/>
    </row>
    <row r="1130">
      <c r="A1130" s="231"/>
      <c r="B1130" s="231"/>
      <c r="C1130" s="231"/>
    </row>
    <row r="1131">
      <c r="A1131" s="231"/>
      <c r="B1131" s="231"/>
      <c r="C1131" s="231"/>
    </row>
    <row r="1132">
      <c r="A1132" s="231"/>
      <c r="B1132" s="231"/>
      <c r="C1132" s="231"/>
    </row>
    <row r="1133">
      <c r="A1133" s="231"/>
      <c r="B1133" s="231"/>
      <c r="C1133" s="231"/>
    </row>
    <row r="1134">
      <c r="A1134" s="231"/>
      <c r="B1134" s="231"/>
      <c r="C1134" s="231"/>
    </row>
    <row r="1135">
      <c r="A1135" s="231"/>
      <c r="B1135" s="231"/>
      <c r="C1135" s="231"/>
    </row>
    <row r="1136">
      <c r="A1136" s="231"/>
      <c r="B1136" s="231"/>
      <c r="C1136" s="231"/>
    </row>
    <row r="1137">
      <c r="A1137" s="231"/>
      <c r="B1137" s="231"/>
      <c r="C1137" s="231"/>
    </row>
    <row r="1138">
      <c r="A1138" s="231"/>
      <c r="B1138" s="231"/>
      <c r="C1138" s="231"/>
    </row>
    <row r="1139">
      <c r="A1139" s="231"/>
      <c r="B1139" s="231"/>
      <c r="C1139" s="231"/>
    </row>
    <row r="1140">
      <c r="A1140" s="231"/>
      <c r="B1140" s="231"/>
      <c r="C1140" s="231"/>
    </row>
    <row r="1141">
      <c r="A1141" s="231"/>
      <c r="B1141" s="231"/>
      <c r="C1141" s="231"/>
    </row>
    <row r="1142">
      <c r="A1142" s="231"/>
      <c r="B1142" s="231"/>
      <c r="C1142" s="231"/>
    </row>
    <row r="1143">
      <c r="A1143" s="231"/>
      <c r="B1143" s="231"/>
      <c r="C1143" s="231"/>
    </row>
    <row r="1144">
      <c r="A1144" s="231"/>
      <c r="B1144" s="231"/>
      <c r="C1144" s="231"/>
    </row>
    <row r="1145">
      <c r="A1145" s="231"/>
      <c r="B1145" s="231"/>
      <c r="C1145" s="231"/>
    </row>
    <row r="1146">
      <c r="A1146" s="231"/>
      <c r="B1146" s="231"/>
      <c r="C1146" s="231"/>
    </row>
    <row r="1147">
      <c r="A1147" s="231"/>
      <c r="B1147" s="231"/>
      <c r="C1147" s="231"/>
    </row>
    <row r="1148">
      <c r="A1148" s="231"/>
      <c r="B1148" s="231"/>
      <c r="C1148" s="231"/>
    </row>
    <row r="1149">
      <c r="A1149" s="231"/>
      <c r="B1149" s="231"/>
      <c r="C1149" s="231"/>
    </row>
    <row r="1150">
      <c r="A1150" s="231"/>
      <c r="B1150" s="231"/>
      <c r="C1150" s="231"/>
    </row>
    <row r="1151">
      <c r="A1151" s="231"/>
      <c r="B1151" s="231"/>
      <c r="C1151" s="231"/>
    </row>
    <row r="1152">
      <c r="A1152" s="231"/>
      <c r="B1152" s="231"/>
      <c r="C1152" s="231"/>
    </row>
    <row r="1153">
      <c r="A1153" s="231"/>
      <c r="B1153" s="231"/>
      <c r="C1153" s="231"/>
    </row>
    <row r="1154">
      <c r="A1154" s="231"/>
      <c r="B1154" s="231"/>
      <c r="C1154" s="231"/>
    </row>
    <row r="1155">
      <c r="A1155" s="231"/>
      <c r="B1155" s="231"/>
      <c r="C1155" s="231"/>
    </row>
    <row r="1156">
      <c r="A1156" s="231"/>
      <c r="B1156" s="231"/>
      <c r="C1156" s="231"/>
    </row>
    <row r="1157">
      <c r="A1157" s="231"/>
      <c r="B1157" s="231"/>
      <c r="C1157" s="231"/>
    </row>
    <row r="1158">
      <c r="A1158" s="231"/>
      <c r="B1158" s="231"/>
      <c r="C1158" s="231"/>
    </row>
    <row r="1159">
      <c r="A1159" s="231"/>
      <c r="B1159" s="231"/>
      <c r="C1159" s="231"/>
    </row>
    <row r="1160">
      <c r="A1160" s="231"/>
      <c r="B1160" s="231"/>
      <c r="C1160" s="231"/>
    </row>
    <row r="1161">
      <c r="A1161" s="231"/>
      <c r="B1161" s="231"/>
      <c r="C1161" s="231"/>
    </row>
    <row r="1162">
      <c r="A1162" s="231"/>
      <c r="B1162" s="231"/>
      <c r="C1162" s="231"/>
    </row>
    <row r="1163">
      <c r="A1163" s="231"/>
      <c r="B1163" s="231"/>
      <c r="C1163" s="231"/>
    </row>
    <row r="1164">
      <c r="A1164" s="231"/>
      <c r="B1164" s="231"/>
      <c r="C1164" s="231"/>
    </row>
    <row r="1165">
      <c r="A1165" s="231"/>
      <c r="B1165" s="231"/>
      <c r="C1165" s="231"/>
    </row>
    <row r="1166">
      <c r="A1166" s="231"/>
      <c r="B1166" s="231"/>
      <c r="C1166" s="231"/>
    </row>
    <row r="1167">
      <c r="A1167" s="231"/>
      <c r="B1167" s="231"/>
      <c r="C1167" s="231"/>
    </row>
    <row r="1168">
      <c r="A1168" s="231"/>
      <c r="B1168" s="231"/>
      <c r="C1168" s="231"/>
    </row>
    <row r="1169">
      <c r="A1169" s="231"/>
      <c r="B1169" s="231"/>
      <c r="C1169" s="231"/>
    </row>
    <row r="1170">
      <c r="A1170" s="231"/>
      <c r="B1170" s="231"/>
      <c r="C1170" s="231"/>
    </row>
    <row r="1171">
      <c r="A1171" s="231"/>
      <c r="B1171" s="231"/>
      <c r="C1171" s="231"/>
    </row>
    <row r="1172">
      <c r="A1172" s="231"/>
      <c r="B1172" s="231"/>
      <c r="C1172" s="231"/>
    </row>
    <row r="1173">
      <c r="A1173" s="231"/>
      <c r="B1173" s="231"/>
      <c r="C1173" s="231"/>
    </row>
    <row r="1174">
      <c r="A1174" s="231"/>
      <c r="B1174" s="231"/>
      <c r="C1174" s="231"/>
    </row>
    <row r="1175">
      <c r="A1175" s="231"/>
      <c r="B1175" s="231"/>
      <c r="C1175" s="231"/>
    </row>
    <row r="1176">
      <c r="A1176" s="231"/>
      <c r="B1176" s="231"/>
      <c r="C1176" s="231"/>
    </row>
    <row r="1177">
      <c r="A1177" s="231"/>
      <c r="B1177" s="231"/>
      <c r="C1177" s="231"/>
    </row>
    <row r="1178">
      <c r="A1178" s="231"/>
      <c r="B1178" s="231"/>
      <c r="C1178" s="231"/>
    </row>
    <row r="1179">
      <c r="A1179" s="231"/>
      <c r="B1179" s="231"/>
      <c r="C1179" s="231"/>
    </row>
    <row r="1180">
      <c r="A1180" s="231"/>
      <c r="B1180" s="231"/>
      <c r="C1180" s="231"/>
    </row>
    <row r="1181">
      <c r="A1181" s="231"/>
      <c r="B1181" s="231"/>
      <c r="C1181" s="231"/>
    </row>
    <row r="1182">
      <c r="A1182" s="231"/>
      <c r="B1182" s="231"/>
      <c r="C1182" s="231"/>
    </row>
    <row r="1183">
      <c r="A1183" s="231"/>
      <c r="B1183" s="231"/>
      <c r="C1183" s="231"/>
    </row>
    <row r="1184">
      <c r="A1184" s="231"/>
      <c r="B1184" s="231"/>
      <c r="C1184" s="231"/>
    </row>
    <row r="1185">
      <c r="A1185" s="231"/>
      <c r="B1185" s="231"/>
      <c r="C1185" s="231"/>
    </row>
    <row r="1186">
      <c r="A1186" s="231"/>
      <c r="B1186" s="231"/>
      <c r="C1186" s="231"/>
    </row>
    <row r="1187">
      <c r="A1187" s="231"/>
      <c r="B1187" s="231"/>
      <c r="C1187" s="231"/>
    </row>
    <row r="1188">
      <c r="A1188" s="231"/>
      <c r="B1188" s="231"/>
      <c r="C1188" s="231"/>
    </row>
    <row r="1189">
      <c r="A1189" s="231"/>
      <c r="B1189" s="231"/>
      <c r="C1189" s="231"/>
    </row>
    <row r="1190">
      <c r="A1190" s="231"/>
      <c r="B1190" s="231"/>
      <c r="C1190" s="231"/>
    </row>
    <row r="1191">
      <c r="A1191" s="231"/>
      <c r="B1191" s="231"/>
      <c r="C1191" s="231"/>
    </row>
    <row r="1192">
      <c r="A1192" s="231"/>
      <c r="B1192" s="231"/>
      <c r="C1192" s="231"/>
    </row>
    <row r="1193">
      <c r="A1193" s="231"/>
      <c r="B1193" s="231"/>
      <c r="C1193" s="231"/>
    </row>
    <row r="1194">
      <c r="A1194" s="231"/>
      <c r="B1194" s="231"/>
      <c r="C1194" s="231"/>
    </row>
    <row r="1195">
      <c r="A1195" s="231"/>
      <c r="B1195" s="231"/>
      <c r="C1195" s="231"/>
    </row>
    <row r="1196">
      <c r="A1196" s="231"/>
      <c r="B1196" s="231"/>
      <c r="C1196" s="231"/>
    </row>
    <row r="1197">
      <c r="A1197" s="231"/>
      <c r="B1197" s="231"/>
      <c r="C1197" s="231"/>
    </row>
    <row r="1198">
      <c r="A1198" s="231"/>
      <c r="B1198" s="231"/>
      <c r="C1198" s="231"/>
    </row>
    <row r="1199">
      <c r="A1199" s="231"/>
      <c r="B1199" s="231"/>
      <c r="C1199" s="231"/>
    </row>
    <row r="1200">
      <c r="A1200" s="231"/>
      <c r="B1200" s="231"/>
      <c r="C1200" s="231"/>
    </row>
    <row r="1201">
      <c r="A1201" s="231"/>
      <c r="B1201" s="231"/>
      <c r="C1201" s="231"/>
    </row>
    <row r="1202">
      <c r="A1202" s="231"/>
      <c r="B1202" s="231"/>
      <c r="C1202" s="231"/>
    </row>
    <row r="1203">
      <c r="A1203" s="231"/>
      <c r="B1203" s="231"/>
      <c r="C1203" s="231"/>
    </row>
    <row r="1204">
      <c r="A1204" s="231"/>
      <c r="B1204" s="231"/>
      <c r="C1204" s="231"/>
    </row>
    <row r="1205">
      <c r="A1205" s="231"/>
      <c r="B1205" s="231"/>
      <c r="C1205" s="231"/>
    </row>
    <row r="1206">
      <c r="A1206" s="231"/>
      <c r="B1206" s="231"/>
      <c r="C1206" s="231"/>
    </row>
    <row r="1207">
      <c r="A1207" s="231"/>
      <c r="B1207" s="231"/>
      <c r="C1207" s="231"/>
    </row>
    <row r="1208">
      <c r="A1208" s="231"/>
      <c r="B1208" s="231"/>
      <c r="C1208" s="231"/>
    </row>
    <row r="1209">
      <c r="A1209" s="231"/>
      <c r="B1209" s="231"/>
      <c r="C1209" s="231"/>
    </row>
    <row r="1210">
      <c r="A1210" s="231"/>
      <c r="B1210" s="231"/>
      <c r="C1210" s="231"/>
    </row>
    <row r="1211">
      <c r="A1211" s="231"/>
      <c r="B1211" s="231"/>
      <c r="C1211" s="231"/>
    </row>
    <row r="1212">
      <c r="A1212" s="231"/>
      <c r="B1212" s="231"/>
      <c r="C1212" s="231"/>
    </row>
    <row r="1213">
      <c r="A1213" s="231"/>
      <c r="B1213" s="231"/>
      <c r="C1213" s="231"/>
    </row>
    <row r="1214">
      <c r="A1214" s="231"/>
      <c r="B1214" s="231"/>
      <c r="C1214" s="231"/>
    </row>
    <row r="1215">
      <c r="A1215" s="231"/>
      <c r="B1215" s="231"/>
      <c r="C1215" s="231"/>
    </row>
    <row r="1216">
      <c r="A1216" s="231"/>
      <c r="B1216" s="231"/>
      <c r="C1216" s="231"/>
    </row>
    <row r="1217">
      <c r="A1217" s="231"/>
      <c r="B1217" s="231"/>
      <c r="C1217" s="231"/>
    </row>
    <row r="1218">
      <c r="A1218" s="231"/>
      <c r="B1218" s="231"/>
      <c r="C1218" s="231"/>
    </row>
    <row r="1219">
      <c r="A1219" s="231"/>
      <c r="B1219" s="231"/>
      <c r="C1219" s="231"/>
    </row>
    <row r="1220">
      <c r="A1220" s="231"/>
      <c r="B1220" s="231"/>
      <c r="C1220" s="231"/>
    </row>
    <row r="1221">
      <c r="A1221" s="231"/>
      <c r="B1221" s="231"/>
      <c r="C1221" s="231"/>
    </row>
    <row r="1222">
      <c r="A1222" s="231"/>
      <c r="B1222" s="231"/>
      <c r="C1222" s="231"/>
    </row>
    <row r="1223">
      <c r="A1223" s="231"/>
      <c r="B1223" s="231"/>
      <c r="C1223" s="231"/>
    </row>
    <row r="1224">
      <c r="A1224" s="231"/>
      <c r="B1224" s="231"/>
      <c r="C1224" s="231"/>
    </row>
    <row r="1225">
      <c r="A1225" s="231"/>
      <c r="B1225" s="231"/>
      <c r="C1225" s="231"/>
    </row>
    <row r="1226">
      <c r="A1226" s="231"/>
      <c r="B1226" s="231"/>
      <c r="C1226" s="231"/>
    </row>
    <row r="1227">
      <c r="A1227" s="231"/>
      <c r="B1227" s="231"/>
      <c r="C1227" s="231"/>
    </row>
    <row r="1228">
      <c r="A1228" s="231"/>
      <c r="B1228" s="231"/>
      <c r="C1228" s="231"/>
    </row>
    <row r="1229">
      <c r="A1229" s="231"/>
      <c r="B1229" s="231"/>
      <c r="C1229" s="231"/>
    </row>
    <row r="1230">
      <c r="A1230" s="231"/>
      <c r="B1230" s="231"/>
      <c r="C1230" s="231"/>
    </row>
    <row r="1231">
      <c r="A1231" s="231"/>
      <c r="B1231" s="231"/>
      <c r="C1231" s="231"/>
    </row>
    <row r="1232">
      <c r="A1232" s="231"/>
      <c r="B1232" s="231"/>
      <c r="C1232" s="231"/>
    </row>
    <row r="1233">
      <c r="A1233" s="231"/>
      <c r="B1233" s="231"/>
      <c r="C1233" s="231"/>
    </row>
    <row r="1234">
      <c r="A1234" s="231"/>
      <c r="B1234" s="231"/>
      <c r="C1234" s="231"/>
    </row>
    <row r="1235">
      <c r="A1235" s="231"/>
      <c r="B1235" s="231"/>
      <c r="C1235" s="231"/>
    </row>
    <row r="1236">
      <c r="A1236" s="231"/>
      <c r="B1236" s="231"/>
      <c r="C1236" s="231"/>
    </row>
    <row r="1237">
      <c r="A1237" s="231"/>
      <c r="B1237" s="231"/>
      <c r="C1237" s="231"/>
    </row>
    <row r="1238">
      <c r="A1238" s="231"/>
      <c r="B1238" s="231"/>
      <c r="C1238" s="231"/>
    </row>
    <row r="1239">
      <c r="A1239" s="231"/>
      <c r="B1239" s="231"/>
      <c r="C1239" s="231"/>
    </row>
    <row r="1240">
      <c r="A1240" s="231"/>
      <c r="B1240" s="231"/>
      <c r="C1240" s="231"/>
    </row>
    <row r="1241">
      <c r="A1241" s="231"/>
      <c r="B1241" s="231"/>
      <c r="C1241" s="231"/>
    </row>
    <row r="1242">
      <c r="A1242" s="231"/>
      <c r="B1242" s="231"/>
      <c r="C1242" s="231"/>
    </row>
    <row r="1243">
      <c r="A1243" s="231"/>
      <c r="B1243" s="231"/>
      <c r="C1243" s="231"/>
    </row>
    <row r="1244">
      <c r="A1244" s="231"/>
      <c r="B1244" s="231"/>
      <c r="C1244" s="231"/>
    </row>
    <row r="1245">
      <c r="A1245" s="231"/>
      <c r="B1245" s="231"/>
      <c r="C1245" s="231"/>
    </row>
    <row r="1246">
      <c r="A1246" s="231"/>
      <c r="B1246" s="231"/>
      <c r="C1246" s="231"/>
    </row>
    <row r="1247">
      <c r="A1247" s="231"/>
      <c r="B1247" s="231"/>
      <c r="C1247" s="231"/>
    </row>
    <row r="1248">
      <c r="A1248" s="231"/>
      <c r="B1248" s="231"/>
      <c r="C1248" s="231"/>
    </row>
    <row r="1249">
      <c r="A1249" s="231"/>
      <c r="B1249" s="231"/>
      <c r="C1249" s="231"/>
    </row>
    <row r="1250">
      <c r="A1250" s="231"/>
      <c r="B1250" s="231"/>
      <c r="C1250" s="231"/>
    </row>
    <row r="1251">
      <c r="A1251" s="231"/>
      <c r="B1251" s="231"/>
      <c r="C1251" s="231"/>
    </row>
    <row r="1252">
      <c r="A1252" s="231"/>
      <c r="B1252" s="231"/>
      <c r="C1252" s="231"/>
    </row>
    <row r="1253">
      <c r="A1253" s="231"/>
      <c r="B1253" s="231"/>
      <c r="C1253" s="231"/>
    </row>
    <row r="1254">
      <c r="A1254" s="231"/>
      <c r="B1254" s="231"/>
      <c r="C1254" s="231"/>
    </row>
    <row r="1255">
      <c r="A1255" s="231"/>
      <c r="B1255" s="231"/>
      <c r="C1255" s="231"/>
    </row>
    <row r="1256">
      <c r="A1256" s="231"/>
      <c r="B1256" s="231"/>
      <c r="C1256" s="231"/>
    </row>
    <row r="1257">
      <c r="A1257" s="231"/>
      <c r="B1257" s="231"/>
      <c r="C1257" s="231"/>
    </row>
    <row r="1258">
      <c r="A1258" s="231"/>
      <c r="B1258" s="231"/>
      <c r="C1258" s="231"/>
    </row>
    <row r="1259">
      <c r="A1259" s="231"/>
      <c r="B1259" s="231"/>
      <c r="C1259" s="231"/>
    </row>
    <row r="1260">
      <c r="A1260" s="231"/>
      <c r="B1260" s="231"/>
      <c r="C1260" s="231"/>
    </row>
    <row r="1261">
      <c r="A1261" s="231"/>
      <c r="B1261" s="231"/>
      <c r="C1261" s="231"/>
    </row>
    <row r="1262">
      <c r="A1262" s="231"/>
      <c r="B1262" s="231"/>
      <c r="C1262" s="231"/>
    </row>
    <row r="1263">
      <c r="A1263" s="231"/>
      <c r="B1263" s="231"/>
      <c r="C1263" s="231"/>
    </row>
    <row r="1264">
      <c r="A1264" s="231"/>
      <c r="B1264" s="231"/>
      <c r="C1264" s="231"/>
    </row>
    <row r="1265">
      <c r="A1265" s="231"/>
      <c r="B1265" s="231"/>
      <c r="C1265" s="231"/>
    </row>
    <row r="1266">
      <c r="A1266" s="231"/>
      <c r="B1266" s="231"/>
      <c r="C1266" s="231"/>
    </row>
    <row r="1267">
      <c r="A1267" s="231"/>
      <c r="B1267" s="231"/>
      <c r="C1267" s="231"/>
    </row>
    <row r="1268">
      <c r="A1268" s="231"/>
      <c r="B1268" s="231"/>
      <c r="C1268" s="231"/>
    </row>
    <row r="1269">
      <c r="A1269" s="231"/>
      <c r="B1269" s="231"/>
      <c r="C1269" s="231"/>
    </row>
    <row r="1270">
      <c r="A1270" s="231"/>
      <c r="B1270" s="231"/>
      <c r="C1270" s="231"/>
    </row>
    <row r="1271">
      <c r="A1271" s="231"/>
      <c r="B1271" s="231"/>
      <c r="C1271" s="231"/>
    </row>
    <row r="1272">
      <c r="A1272" s="231"/>
      <c r="B1272" s="231"/>
      <c r="C1272" s="231"/>
    </row>
    <row r="1273">
      <c r="A1273" s="231"/>
      <c r="B1273" s="231"/>
      <c r="C1273" s="231"/>
    </row>
    <row r="1274">
      <c r="A1274" s="231"/>
      <c r="B1274" s="231"/>
      <c r="C1274" s="231"/>
    </row>
    <row r="1275">
      <c r="A1275" s="231"/>
      <c r="B1275" s="231"/>
      <c r="C1275" s="231"/>
    </row>
    <row r="1276">
      <c r="A1276" s="231"/>
      <c r="B1276" s="231"/>
      <c r="C1276" s="231"/>
    </row>
    <row r="1277">
      <c r="A1277" s="231"/>
      <c r="B1277" s="231"/>
      <c r="C1277" s="231"/>
    </row>
    <row r="1278">
      <c r="A1278" s="231"/>
      <c r="B1278" s="231"/>
      <c r="C1278" s="231"/>
    </row>
    <row r="1279">
      <c r="A1279" s="231"/>
      <c r="B1279" s="231"/>
      <c r="C1279" s="231"/>
    </row>
    <row r="1280">
      <c r="A1280" s="231"/>
      <c r="B1280" s="231"/>
      <c r="C1280" s="231"/>
    </row>
    <row r="1281">
      <c r="A1281" s="231"/>
      <c r="B1281" s="231"/>
      <c r="C1281" s="231"/>
    </row>
    <row r="1282">
      <c r="A1282" s="231"/>
      <c r="B1282" s="231"/>
      <c r="C1282" s="231"/>
    </row>
    <row r="1283">
      <c r="A1283" s="231"/>
      <c r="B1283" s="231"/>
      <c r="C1283" s="231"/>
    </row>
    <row r="1284">
      <c r="A1284" s="231"/>
      <c r="B1284" s="231"/>
      <c r="C1284" s="231"/>
    </row>
    <row r="1285">
      <c r="A1285" s="231"/>
      <c r="B1285" s="231"/>
      <c r="C1285" s="231"/>
    </row>
    <row r="1286">
      <c r="A1286" s="231"/>
      <c r="B1286" s="231"/>
      <c r="C1286" s="231"/>
    </row>
    <row r="1287">
      <c r="A1287" s="231"/>
      <c r="B1287" s="231"/>
      <c r="C1287" s="231"/>
    </row>
    <row r="1288">
      <c r="A1288" s="231"/>
      <c r="B1288" s="231"/>
      <c r="C1288" s="231"/>
    </row>
    <row r="1289">
      <c r="A1289" s="231"/>
      <c r="B1289" s="231"/>
      <c r="C1289" s="231"/>
    </row>
    <row r="1290">
      <c r="A1290" s="231"/>
      <c r="B1290" s="231"/>
      <c r="C1290" s="231"/>
    </row>
    <row r="1291">
      <c r="A1291" s="231"/>
      <c r="B1291" s="231"/>
      <c r="C1291" s="231"/>
    </row>
    <row r="1292">
      <c r="A1292" s="231"/>
      <c r="B1292" s="231"/>
      <c r="C1292" s="231"/>
    </row>
    <row r="1293">
      <c r="A1293" s="231"/>
      <c r="B1293" s="231"/>
      <c r="C1293" s="231"/>
    </row>
    <row r="1294">
      <c r="A1294" s="231"/>
      <c r="B1294" s="231"/>
      <c r="C1294" s="231"/>
    </row>
    <row r="1295">
      <c r="A1295" s="231"/>
      <c r="B1295" s="231"/>
      <c r="C1295" s="231"/>
    </row>
    <row r="1296">
      <c r="A1296" s="231"/>
      <c r="B1296" s="231"/>
      <c r="C1296" s="231"/>
    </row>
    <row r="1297">
      <c r="A1297" s="231"/>
      <c r="B1297" s="231"/>
      <c r="C1297" s="231"/>
    </row>
    <row r="1298">
      <c r="A1298" s="231"/>
      <c r="B1298" s="231"/>
      <c r="C1298" s="231"/>
    </row>
    <row r="1299">
      <c r="A1299" s="231"/>
      <c r="B1299" s="231"/>
      <c r="C1299" s="231"/>
    </row>
    <row r="1300">
      <c r="A1300" s="231"/>
      <c r="B1300" s="231"/>
      <c r="C1300" s="231"/>
    </row>
    <row r="1301">
      <c r="A1301" s="231"/>
      <c r="B1301" s="231"/>
      <c r="C1301" s="231"/>
    </row>
    <row r="1302">
      <c r="A1302" s="231"/>
      <c r="B1302" s="231"/>
      <c r="C1302" s="231"/>
    </row>
    <row r="1303">
      <c r="A1303" s="231"/>
      <c r="B1303" s="231"/>
      <c r="C1303" s="231"/>
    </row>
    <row r="1304">
      <c r="A1304" s="231"/>
      <c r="B1304" s="231"/>
      <c r="C1304" s="231"/>
    </row>
    <row r="1305">
      <c r="A1305" s="231"/>
      <c r="B1305" s="231"/>
      <c r="C1305" s="231"/>
    </row>
    <row r="1306">
      <c r="A1306" s="231"/>
      <c r="B1306" s="231"/>
      <c r="C1306" s="231"/>
    </row>
    <row r="1307">
      <c r="A1307" s="231"/>
      <c r="B1307" s="231"/>
      <c r="C1307" s="231"/>
    </row>
    <row r="1308">
      <c r="A1308" s="231"/>
      <c r="B1308" s="231"/>
      <c r="C1308" s="231"/>
    </row>
    <row r="1309">
      <c r="A1309" s="231"/>
      <c r="B1309" s="231"/>
      <c r="C1309" s="231"/>
    </row>
    <row r="1310">
      <c r="A1310" s="231"/>
      <c r="B1310" s="231"/>
      <c r="C1310" s="231"/>
    </row>
    <row r="1311">
      <c r="A1311" s="231"/>
      <c r="B1311" s="231"/>
      <c r="C1311" s="231"/>
    </row>
    <row r="1312">
      <c r="A1312" s="231"/>
      <c r="B1312" s="231"/>
      <c r="C1312" s="231"/>
    </row>
    <row r="1313">
      <c r="A1313" s="231"/>
      <c r="B1313" s="231"/>
      <c r="C1313" s="231"/>
    </row>
    <row r="1314">
      <c r="A1314" s="231"/>
      <c r="B1314" s="231"/>
      <c r="C1314" s="231"/>
    </row>
    <row r="1315">
      <c r="A1315" s="231"/>
      <c r="B1315" s="231"/>
      <c r="C1315" s="231"/>
    </row>
    <row r="1316">
      <c r="A1316" s="231"/>
      <c r="B1316" s="231"/>
      <c r="C1316" s="231"/>
    </row>
    <row r="1317">
      <c r="A1317" s="231"/>
      <c r="B1317" s="231"/>
      <c r="C1317" s="231"/>
    </row>
    <row r="1318">
      <c r="A1318" s="231"/>
      <c r="B1318" s="231"/>
      <c r="C1318" s="231"/>
    </row>
    <row r="1319">
      <c r="A1319" s="231"/>
      <c r="B1319" s="231"/>
      <c r="C1319" s="231"/>
    </row>
    <row r="1320">
      <c r="A1320" s="231"/>
      <c r="B1320" s="231"/>
      <c r="C1320" s="231"/>
    </row>
    <row r="1321">
      <c r="A1321" s="231"/>
      <c r="B1321" s="231"/>
      <c r="C1321" s="231"/>
    </row>
    <row r="1322">
      <c r="A1322" s="231"/>
      <c r="B1322" s="231"/>
      <c r="C1322" s="231"/>
    </row>
    <row r="1323">
      <c r="A1323" s="231"/>
      <c r="B1323" s="231"/>
      <c r="C1323" s="231"/>
    </row>
    <row r="1324">
      <c r="A1324" s="231"/>
      <c r="B1324" s="231"/>
      <c r="C1324" s="231"/>
    </row>
    <row r="1325">
      <c r="A1325" s="231"/>
      <c r="B1325" s="231"/>
      <c r="C1325" s="231"/>
    </row>
    <row r="1326">
      <c r="A1326" s="231"/>
      <c r="B1326" s="231"/>
      <c r="C1326" s="231"/>
    </row>
    <row r="1327">
      <c r="A1327" s="231"/>
      <c r="B1327" s="231"/>
      <c r="C1327" s="231"/>
    </row>
    <row r="1328">
      <c r="A1328" s="231"/>
      <c r="B1328" s="231"/>
      <c r="C1328" s="231"/>
    </row>
    <row r="1329">
      <c r="A1329" s="231"/>
      <c r="B1329" s="231"/>
      <c r="C1329" s="231"/>
    </row>
    <row r="1330">
      <c r="A1330" s="231"/>
      <c r="B1330" s="231"/>
      <c r="C1330" s="231"/>
    </row>
    <row r="1331">
      <c r="A1331" s="231"/>
      <c r="B1331" s="231"/>
      <c r="C1331" s="231"/>
    </row>
    <row r="1332">
      <c r="A1332" s="231"/>
      <c r="B1332" s="231"/>
      <c r="C1332" s="231"/>
    </row>
    <row r="1333">
      <c r="A1333" s="231"/>
      <c r="B1333" s="231"/>
      <c r="C1333" s="231"/>
    </row>
    <row r="1334">
      <c r="A1334" s="231"/>
      <c r="B1334" s="231"/>
      <c r="C1334" s="231"/>
    </row>
    <row r="1335">
      <c r="A1335" s="231"/>
      <c r="B1335" s="231"/>
      <c r="C1335" s="231"/>
    </row>
    <row r="1336">
      <c r="A1336" s="231"/>
      <c r="B1336" s="231"/>
      <c r="C1336" s="231"/>
    </row>
    <row r="1337">
      <c r="A1337" s="231"/>
      <c r="B1337" s="231"/>
      <c r="C1337" s="231"/>
    </row>
    <row r="1338">
      <c r="A1338" s="231"/>
      <c r="B1338" s="231"/>
      <c r="C1338" s="231"/>
    </row>
    <row r="1339">
      <c r="A1339" s="231"/>
      <c r="B1339" s="231"/>
      <c r="C1339" s="231"/>
    </row>
    <row r="1340">
      <c r="A1340" s="231"/>
      <c r="B1340" s="231"/>
      <c r="C1340" s="231"/>
    </row>
    <row r="1341">
      <c r="A1341" s="231"/>
      <c r="B1341" s="231"/>
      <c r="C1341" s="231"/>
    </row>
    <row r="1342">
      <c r="A1342" s="231"/>
      <c r="B1342" s="231"/>
      <c r="C1342" s="231"/>
    </row>
    <row r="1343">
      <c r="A1343" s="231"/>
      <c r="B1343" s="231"/>
      <c r="C1343" s="231"/>
    </row>
    <row r="1344">
      <c r="A1344" s="231"/>
      <c r="B1344" s="231"/>
      <c r="C1344" s="231"/>
    </row>
    <row r="1345">
      <c r="A1345" s="231"/>
      <c r="B1345" s="231"/>
      <c r="C1345" s="231"/>
    </row>
    <row r="1346">
      <c r="A1346" s="231"/>
      <c r="B1346" s="231"/>
      <c r="C1346" s="231"/>
    </row>
    <row r="1347">
      <c r="A1347" s="231"/>
      <c r="B1347" s="231"/>
      <c r="C1347" s="231"/>
    </row>
    <row r="1348">
      <c r="A1348" s="231"/>
      <c r="B1348" s="231"/>
      <c r="C1348" s="231"/>
    </row>
    <row r="1349">
      <c r="A1349" s="231"/>
      <c r="B1349" s="231"/>
      <c r="C1349" s="231"/>
    </row>
    <row r="1350">
      <c r="A1350" s="231"/>
      <c r="B1350" s="231"/>
      <c r="C1350" s="231"/>
    </row>
    <row r="1351">
      <c r="A1351" s="231"/>
      <c r="B1351" s="231"/>
      <c r="C1351" s="231"/>
    </row>
    <row r="1352">
      <c r="A1352" s="231"/>
      <c r="B1352" s="231"/>
      <c r="C1352" s="231"/>
    </row>
    <row r="1353">
      <c r="A1353" s="231"/>
      <c r="B1353" s="231"/>
      <c r="C1353" s="231"/>
    </row>
    <row r="1354">
      <c r="A1354" s="231"/>
      <c r="B1354" s="231"/>
      <c r="C1354" s="231"/>
    </row>
    <row r="1355">
      <c r="A1355" s="231"/>
      <c r="B1355" s="231"/>
      <c r="C1355" s="231"/>
    </row>
    <row r="1356">
      <c r="A1356" s="231"/>
      <c r="B1356" s="231"/>
      <c r="C1356" s="231"/>
    </row>
    <row r="1357">
      <c r="A1357" s="231"/>
      <c r="B1357" s="231"/>
      <c r="C1357" s="231"/>
    </row>
    <row r="1358">
      <c r="A1358" s="231"/>
      <c r="B1358" s="231"/>
      <c r="C1358" s="231"/>
    </row>
    <row r="1359">
      <c r="A1359" s="231"/>
      <c r="B1359" s="231"/>
      <c r="C1359" s="231"/>
    </row>
    <row r="1360">
      <c r="A1360" s="231"/>
      <c r="B1360" s="231"/>
      <c r="C1360" s="231"/>
    </row>
    <row r="1361">
      <c r="A1361" s="231"/>
      <c r="B1361" s="231"/>
      <c r="C1361" s="231"/>
    </row>
    <row r="1362">
      <c r="A1362" s="231"/>
      <c r="B1362" s="231"/>
      <c r="C1362" s="231"/>
    </row>
    <row r="1363">
      <c r="A1363" s="231"/>
      <c r="B1363" s="231"/>
      <c r="C1363" s="231"/>
    </row>
    <row r="1364">
      <c r="A1364" s="231"/>
      <c r="B1364" s="231"/>
      <c r="C1364" s="231"/>
    </row>
    <row r="1365">
      <c r="A1365" s="231"/>
      <c r="B1365" s="231"/>
      <c r="C1365" s="231"/>
    </row>
    <row r="1366">
      <c r="A1366" s="231"/>
      <c r="B1366" s="231"/>
      <c r="C1366" s="231"/>
    </row>
    <row r="1367">
      <c r="A1367" s="231"/>
      <c r="B1367" s="231"/>
      <c r="C1367" s="231"/>
    </row>
    <row r="1368">
      <c r="A1368" s="231"/>
      <c r="B1368" s="231"/>
      <c r="C1368" s="231"/>
    </row>
    <row r="1369">
      <c r="A1369" s="231"/>
      <c r="B1369" s="231"/>
      <c r="C1369" s="231"/>
    </row>
    <row r="1370">
      <c r="A1370" s="231"/>
      <c r="B1370" s="231"/>
      <c r="C1370" s="231"/>
    </row>
    <row r="1371">
      <c r="A1371" s="231"/>
      <c r="B1371" s="231"/>
      <c r="C1371" s="231"/>
    </row>
    <row r="1372">
      <c r="A1372" s="231"/>
      <c r="B1372" s="231"/>
      <c r="C1372" s="231"/>
    </row>
    <row r="1373">
      <c r="A1373" s="231"/>
      <c r="B1373" s="231"/>
      <c r="C1373" s="231"/>
    </row>
    <row r="1374">
      <c r="A1374" s="231"/>
      <c r="B1374" s="231"/>
      <c r="C1374" s="231"/>
    </row>
    <row r="1375">
      <c r="A1375" s="231"/>
      <c r="B1375" s="231"/>
      <c r="C1375" s="231"/>
    </row>
    <row r="1376">
      <c r="A1376" s="231"/>
      <c r="B1376" s="231"/>
      <c r="C1376" s="231"/>
    </row>
    <row r="1377">
      <c r="A1377" s="231"/>
      <c r="B1377" s="231"/>
      <c r="C1377" s="231"/>
    </row>
    <row r="1378">
      <c r="A1378" s="231"/>
      <c r="B1378" s="231"/>
      <c r="C1378" s="231"/>
    </row>
    <row r="1379">
      <c r="A1379" s="231"/>
      <c r="B1379" s="231"/>
      <c r="C1379" s="231"/>
    </row>
    <row r="1380">
      <c r="A1380" s="231"/>
      <c r="B1380" s="231"/>
      <c r="C1380" s="231"/>
    </row>
    <row r="1381">
      <c r="A1381" s="231"/>
      <c r="B1381" s="231"/>
      <c r="C1381" s="231"/>
    </row>
    <row r="1382">
      <c r="A1382" s="231"/>
      <c r="B1382" s="231"/>
      <c r="C1382" s="231"/>
    </row>
    <row r="1383">
      <c r="A1383" s="231"/>
      <c r="B1383" s="231"/>
      <c r="C1383" s="231"/>
    </row>
    <row r="1384">
      <c r="A1384" s="231"/>
      <c r="B1384" s="231"/>
      <c r="C1384" s="231"/>
    </row>
    <row r="1385">
      <c r="A1385" s="231"/>
      <c r="B1385" s="231"/>
      <c r="C1385" s="231"/>
    </row>
    <row r="1386">
      <c r="A1386" s="231"/>
      <c r="B1386" s="231"/>
      <c r="C1386" s="231"/>
    </row>
    <row r="1387">
      <c r="A1387" s="231"/>
      <c r="B1387" s="231"/>
      <c r="C1387" s="231"/>
    </row>
    <row r="1388">
      <c r="A1388" s="231"/>
      <c r="B1388" s="231"/>
      <c r="C1388" s="231"/>
    </row>
    <row r="1389">
      <c r="A1389" s="231"/>
      <c r="B1389" s="231"/>
      <c r="C1389" s="231"/>
    </row>
    <row r="1390">
      <c r="A1390" s="231"/>
      <c r="B1390" s="231"/>
      <c r="C1390" s="231"/>
    </row>
    <row r="1391">
      <c r="A1391" s="231"/>
      <c r="B1391" s="231"/>
      <c r="C1391" s="231"/>
    </row>
    <row r="1392">
      <c r="A1392" s="231"/>
      <c r="B1392" s="231"/>
      <c r="C1392" s="231"/>
    </row>
    <row r="1393">
      <c r="A1393" s="231"/>
      <c r="B1393" s="231"/>
      <c r="C1393" s="231"/>
    </row>
    <row r="1394">
      <c r="A1394" s="231"/>
      <c r="B1394" s="231"/>
      <c r="C1394" s="231"/>
    </row>
    <row r="1395">
      <c r="A1395" s="231"/>
      <c r="B1395" s="231"/>
      <c r="C1395" s="231"/>
    </row>
    <row r="1396">
      <c r="A1396" s="231"/>
      <c r="B1396" s="231"/>
      <c r="C1396" s="231"/>
    </row>
    <row r="1397">
      <c r="A1397" s="231"/>
      <c r="B1397" s="231"/>
      <c r="C1397" s="231"/>
    </row>
    <row r="1398">
      <c r="A1398" s="231"/>
      <c r="B1398" s="231"/>
      <c r="C1398" s="231"/>
    </row>
    <row r="1399">
      <c r="A1399" s="231"/>
      <c r="B1399" s="231"/>
      <c r="C1399" s="231"/>
    </row>
    <row r="1400">
      <c r="A1400" s="231"/>
      <c r="B1400" s="231"/>
      <c r="C1400" s="231"/>
    </row>
    <row r="1401">
      <c r="A1401" s="231"/>
      <c r="B1401" s="231"/>
      <c r="C1401" s="231"/>
    </row>
    <row r="1402">
      <c r="A1402" s="231"/>
      <c r="B1402" s="231"/>
      <c r="C1402" s="231"/>
    </row>
    <row r="1403">
      <c r="A1403" s="231"/>
      <c r="B1403" s="231"/>
      <c r="C1403" s="231"/>
    </row>
    <row r="1404">
      <c r="A1404" s="231"/>
      <c r="B1404" s="231"/>
      <c r="C1404" s="231"/>
    </row>
    <row r="1405">
      <c r="A1405" s="231"/>
      <c r="B1405" s="231"/>
      <c r="C1405" s="231"/>
    </row>
    <row r="1406">
      <c r="A1406" s="231"/>
      <c r="B1406" s="231"/>
      <c r="C1406" s="231"/>
    </row>
    <row r="1407">
      <c r="A1407" s="231"/>
      <c r="B1407" s="231"/>
      <c r="C1407" s="231"/>
    </row>
    <row r="1408">
      <c r="A1408" s="231"/>
      <c r="B1408" s="231"/>
      <c r="C1408" s="231"/>
    </row>
    <row r="1409">
      <c r="A1409" s="231"/>
      <c r="B1409" s="231"/>
      <c r="C1409" s="231"/>
    </row>
    <row r="1410">
      <c r="A1410" s="231"/>
      <c r="B1410" s="231"/>
      <c r="C1410" s="231"/>
    </row>
    <row r="1411">
      <c r="A1411" s="231"/>
      <c r="B1411" s="231"/>
      <c r="C1411" s="231"/>
    </row>
    <row r="1412">
      <c r="A1412" s="231"/>
      <c r="B1412" s="231"/>
      <c r="C1412" s="231"/>
    </row>
    <row r="1413">
      <c r="A1413" s="231"/>
      <c r="B1413" s="231"/>
      <c r="C1413" s="231"/>
    </row>
    <row r="1414">
      <c r="A1414" s="231"/>
      <c r="B1414" s="231"/>
      <c r="C1414" s="231"/>
    </row>
    <row r="1415">
      <c r="A1415" s="231"/>
      <c r="B1415" s="231"/>
      <c r="C1415" s="231"/>
    </row>
    <row r="1416">
      <c r="A1416" s="231"/>
      <c r="B1416" s="231"/>
      <c r="C1416" s="231"/>
    </row>
    <row r="1417">
      <c r="A1417" s="231"/>
      <c r="B1417" s="231"/>
      <c r="C1417" s="231"/>
    </row>
    <row r="1418">
      <c r="A1418" s="231"/>
      <c r="B1418" s="231"/>
      <c r="C1418" s="231"/>
    </row>
    <row r="1419">
      <c r="A1419" s="231"/>
      <c r="B1419" s="231"/>
      <c r="C1419" s="231"/>
    </row>
    <row r="1420">
      <c r="A1420" s="231"/>
      <c r="B1420" s="231"/>
      <c r="C1420" s="231"/>
    </row>
    <row r="1421">
      <c r="A1421" s="231"/>
      <c r="B1421" s="231"/>
      <c r="C1421" s="231"/>
    </row>
    <row r="1422">
      <c r="A1422" s="231"/>
      <c r="B1422" s="231"/>
      <c r="C1422" s="231"/>
    </row>
    <row r="1423">
      <c r="A1423" s="231"/>
      <c r="B1423" s="231"/>
      <c r="C1423" s="231"/>
    </row>
    <row r="1424">
      <c r="A1424" s="231"/>
      <c r="B1424" s="231"/>
      <c r="C1424" s="231"/>
    </row>
    <row r="1425">
      <c r="A1425" s="231"/>
      <c r="B1425" s="231"/>
      <c r="C1425" s="231"/>
    </row>
    <row r="1426">
      <c r="A1426" s="231"/>
      <c r="B1426" s="231"/>
      <c r="C1426" s="231"/>
    </row>
    <row r="1427">
      <c r="A1427" s="231"/>
      <c r="B1427" s="231"/>
      <c r="C1427" s="231"/>
    </row>
    <row r="1428">
      <c r="A1428" s="231"/>
      <c r="B1428" s="231"/>
      <c r="C1428" s="231"/>
    </row>
    <row r="1429">
      <c r="A1429" s="231"/>
      <c r="B1429" s="231"/>
      <c r="C1429" s="231"/>
    </row>
    <row r="1430">
      <c r="A1430" s="231"/>
      <c r="B1430" s="231"/>
      <c r="C1430" s="231"/>
    </row>
    <row r="1431">
      <c r="A1431" s="231"/>
      <c r="B1431" s="231"/>
      <c r="C1431" s="231"/>
    </row>
    <row r="1432">
      <c r="A1432" s="231"/>
      <c r="B1432" s="231"/>
      <c r="C1432" s="231"/>
    </row>
    <row r="1433">
      <c r="A1433" s="231"/>
      <c r="B1433" s="231"/>
      <c r="C1433" s="231"/>
    </row>
    <row r="1434">
      <c r="A1434" s="231"/>
      <c r="B1434" s="231"/>
      <c r="C1434" s="231"/>
    </row>
    <row r="1435">
      <c r="A1435" s="231"/>
      <c r="B1435" s="231"/>
      <c r="C1435" s="231"/>
    </row>
    <row r="1436">
      <c r="A1436" s="231"/>
      <c r="B1436" s="231"/>
      <c r="C1436" s="231"/>
    </row>
    <row r="1437">
      <c r="A1437" s="231"/>
      <c r="B1437" s="231"/>
      <c r="C1437" s="231"/>
    </row>
    <row r="1438">
      <c r="A1438" s="231"/>
      <c r="B1438" s="231"/>
      <c r="C1438" s="231"/>
    </row>
    <row r="1439">
      <c r="A1439" s="231"/>
      <c r="B1439" s="231"/>
      <c r="C1439" s="231"/>
    </row>
    <row r="1440">
      <c r="A1440" s="231"/>
      <c r="B1440" s="231"/>
      <c r="C1440" s="231"/>
    </row>
    <row r="1441">
      <c r="A1441" s="231"/>
      <c r="B1441" s="231"/>
      <c r="C1441" s="231"/>
    </row>
    <row r="1442">
      <c r="A1442" s="231"/>
      <c r="B1442" s="231"/>
      <c r="C1442" s="231"/>
    </row>
    <row r="1443">
      <c r="A1443" s="231"/>
      <c r="B1443" s="231"/>
      <c r="C1443" s="231"/>
    </row>
    <row r="1444">
      <c r="A1444" s="231"/>
      <c r="B1444" s="231"/>
      <c r="C1444" s="231"/>
    </row>
    <row r="1445">
      <c r="A1445" s="231"/>
      <c r="B1445" s="231"/>
      <c r="C1445" s="231"/>
    </row>
    <row r="1446">
      <c r="A1446" s="231"/>
      <c r="B1446" s="231"/>
      <c r="C1446" s="231"/>
    </row>
    <row r="1447">
      <c r="A1447" s="231"/>
      <c r="B1447" s="231"/>
      <c r="C1447" s="231"/>
    </row>
    <row r="1448">
      <c r="A1448" s="231"/>
      <c r="B1448" s="231"/>
      <c r="C1448" s="231"/>
    </row>
    <row r="1449">
      <c r="A1449" s="231"/>
      <c r="B1449" s="231"/>
      <c r="C1449" s="231"/>
    </row>
    <row r="1450">
      <c r="A1450" s="245"/>
      <c r="B1450" s="231"/>
      <c r="C1450" s="231"/>
    </row>
    <row r="1451">
      <c r="A1451" s="245"/>
      <c r="B1451" s="231"/>
      <c r="C1451" s="231"/>
    </row>
    <row r="1452">
      <c r="A1452" s="245"/>
      <c r="B1452" s="231"/>
      <c r="C1452" s="231"/>
    </row>
    <row r="1453">
      <c r="A1453" s="245"/>
      <c r="B1453" s="231"/>
      <c r="C1453" s="231"/>
    </row>
    <row r="1454">
      <c r="A1454" s="245"/>
      <c r="B1454" s="231"/>
      <c r="C1454" s="231"/>
    </row>
    <row r="1455">
      <c r="A1455" s="245"/>
      <c r="B1455" s="231"/>
      <c r="C1455" s="231"/>
    </row>
    <row r="1456">
      <c r="A1456" s="245"/>
      <c r="B1456" s="231"/>
      <c r="C1456" s="231"/>
    </row>
    <row r="1457">
      <c r="A1457" s="245"/>
      <c r="B1457" s="231"/>
      <c r="C1457" s="231"/>
    </row>
    <row r="1458">
      <c r="A1458" s="245"/>
      <c r="B1458" s="231"/>
      <c r="C1458" s="231"/>
    </row>
    <row r="1459">
      <c r="A1459" s="245"/>
      <c r="B1459" s="231"/>
      <c r="C1459" s="231"/>
    </row>
    <row r="1460">
      <c r="A1460" s="245"/>
      <c r="B1460" s="231"/>
      <c r="C1460" s="231"/>
    </row>
    <row r="1461">
      <c r="A1461" s="245"/>
      <c r="B1461" s="231"/>
      <c r="C1461" s="231"/>
    </row>
    <row r="1462">
      <c r="A1462" s="245"/>
      <c r="B1462" s="231"/>
      <c r="C1462" s="231"/>
    </row>
    <row r="1463">
      <c r="A1463" s="245"/>
      <c r="B1463" s="231"/>
      <c r="C1463" s="231"/>
    </row>
    <row r="1464">
      <c r="A1464" s="245"/>
      <c r="B1464" s="231"/>
      <c r="C1464" s="231"/>
    </row>
    <row r="1465">
      <c r="A1465" s="245"/>
      <c r="B1465" s="231"/>
      <c r="C1465" s="231"/>
    </row>
    <row r="1466">
      <c r="A1466" s="245"/>
      <c r="B1466" s="231"/>
      <c r="C1466" s="231"/>
    </row>
    <row r="1467">
      <c r="A1467" s="245"/>
      <c r="B1467" s="231"/>
      <c r="C1467" s="231"/>
    </row>
    <row r="1468">
      <c r="A1468" s="245"/>
      <c r="B1468" s="231"/>
      <c r="C1468" s="231"/>
    </row>
    <row r="1469">
      <c r="A1469" s="245"/>
      <c r="B1469" s="231"/>
      <c r="C1469" s="231"/>
    </row>
    <row r="1470">
      <c r="A1470" s="245"/>
      <c r="B1470" s="231"/>
      <c r="C1470" s="231"/>
    </row>
    <row r="1471">
      <c r="A1471" s="245"/>
      <c r="B1471" s="231"/>
      <c r="C1471" s="231"/>
    </row>
    <row r="1472">
      <c r="A1472" s="245"/>
      <c r="B1472" s="231"/>
      <c r="C1472" s="231"/>
    </row>
    <row r="1473">
      <c r="A1473" s="245"/>
      <c r="B1473" s="231"/>
      <c r="C1473" s="231"/>
    </row>
    <row r="1474">
      <c r="A1474" s="245"/>
      <c r="B1474" s="231"/>
      <c r="C1474" s="231"/>
    </row>
    <row r="1475">
      <c r="A1475" s="245"/>
      <c r="B1475" s="231"/>
      <c r="C1475" s="231"/>
    </row>
    <row r="1476">
      <c r="A1476" s="245"/>
      <c r="B1476" s="231"/>
      <c r="C1476" s="231"/>
    </row>
    <row r="1477">
      <c r="A1477" s="245"/>
      <c r="B1477" s="231"/>
      <c r="C1477" s="231"/>
    </row>
    <row r="1478">
      <c r="A1478" s="245"/>
      <c r="B1478" s="231"/>
      <c r="C1478" s="231"/>
    </row>
    <row r="1479">
      <c r="A1479" s="245"/>
      <c r="B1479" s="231"/>
      <c r="C1479" s="231"/>
    </row>
    <row r="1480">
      <c r="A1480" s="245"/>
      <c r="B1480" s="231"/>
      <c r="C1480" s="231"/>
    </row>
    <row r="1481">
      <c r="A1481" s="245"/>
      <c r="B1481" s="231"/>
      <c r="C1481" s="231"/>
    </row>
    <row r="1482">
      <c r="A1482" s="245"/>
      <c r="B1482" s="231"/>
      <c r="C1482" s="231"/>
    </row>
    <row r="1483">
      <c r="A1483" s="245"/>
      <c r="B1483" s="231"/>
      <c r="C1483" s="231"/>
    </row>
    <row r="1484">
      <c r="A1484" s="245"/>
      <c r="B1484" s="231"/>
      <c r="C1484" s="231"/>
    </row>
    <row r="1485">
      <c r="A1485" s="245"/>
      <c r="B1485" s="231"/>
      <c r="C1485" s="231"/>
    </row>
    <row r="1486">
      <c r="A1486" s="245"/>
      <c r="B1486" s="231"/>
      <c r="C1486" s="231"/>
    </row>
    <row r="1487">
      <c r="A1487" s="245"/>
      <c r="B1487" s="231"/>
      <c r="C1487" s="231"/>
    </row>
    <row r="1488">
      <c r="A1488" s="245"/>
      <c r="B1488" s="231"/>
      <c r="C1488" s="231"/>
    </row>
    <row r="1489">
      <c r="A1489" s="245"/>
      <c r="B1489" s="231"/>
      <c r="C1489" s="231"/>
    </row>
    <row r="1490">
      <c r="A1490" s="245"/>
      <c r="B1490" s="231"/>
      <c r="C1490" s="231"/>
    </row>
    <row r="1491">
      <c r="A1491" s="245"/>
      <c r="B1491" s="231"/>
      <c r="C1491" s="231"/>
    </row>
    <row r="1492">
      <c r="A1492" s="245"/>
      <c r="B1492" s="231"/>
      <c r="C1492" s="231"/>
    </row>
    <row r="1493">
      <c r="A1493" s="245"/>
      <c r="B1493" s="231"/>
      <c r="C1493" s="231"/>
    </row>
    <row r="1494">
      <c r="A1494" s="245"/>
      <c r="B1494" s="231"/>
      <c r="C1494" s="231"/>
    </row>
    <row r="1495">
      <c r="A1495" s="245"/>
      <c r="B1495" s="231"/>
      <c r="C1495" s="231"/>
    </row>
    <row r="1496">
      <c r="A1496" s="245"/>
      <c r="B1496" s="231"/>
      <c r="C1496" s="231"/>
    </row>
    <row r="1497">
      <c r="A1497" s="245"/>
      <c r="B1497" s="231"/>
      <c r="C1497" s="231"/>
    </row>
    <row r="1498">
      <c r="A1498" s="245"/>
      <c r="B1498" s="231"/>
      <c r="C1498" s="231"/>
    </row>
    <row r="1499">
      <c r="A1499" s="245"/>
      <c r="B1499" s="231"/>
      <c r="C1499" s="231"/>
    </row>
    <row r="1500">
      <c r="A1500" s="245"/>
      <c r="B1500" s="231"/>
      <c r="C1500" s="231"/>
    </row>
    <row r="1501">
      <c r="A1501" s="245"/>
      <c r="B1501" s="231"/>
      <c r="C1501" s="231"/>
    </row>
    <row r="1502">
      <c r="A1502" s="245"/>
      <c r="B1502" s="231"/>
      <c r="C1502" s="231"/>
    </row>
    <row r="1503">
      <c r="A1503" s="245"/>
      <c r="B1503" s="231"/>
      <c r="C1503" s="231"/>
    </row>
    <row r="1504">
      <c r="A1504" s="245"/>
      <c r="B1504" s="231"/>
      <c r="C1504" s="231"/>
    </row>
    <row r="1505">
      <c r="A1505" s="245"/>
      <c r="B1505" s="231"/>
      <c r="C1505" s="231"/>
    </row>
    <row r="1506">
      <c r="A1506" s="245"/>
      <c r="B1506" s="231"/>
      <c r="C1506" s="231"/>
    </row>
    <row r="1507">
      <c r="A1507" s="245"/>
      <c r="B1507" s="231"/>
      <c r="C1507" s="231"/>
    </row>
    <row r="1508">
      <c r="A1508" s="245"/>
      <c r="B1508" s="231"/>
      <c r="C1508" s="231"/>
    </row>
    <row r="1509">
      <c r="A1509" s="245"/>
      <c r="B1509" s="231"/>
      <c r="C1509" s="231"/>
    </row>
    <row r="1510">
      <c r="A1510" s="245"/>
      <c r="B1510" s="231"/>
      <c r="C1510" s="231"/>
    </row>
    <row r="1511">
      <c r="A1511" s="245"/>
      <c r="B1511" s="231"/>
      <c r="C1511" s="231"/>
    </row>
    <row r="1512">
      <c r="A1512" s="245"/>
      <c r="B1512" s="231"/>
      <c r="C1512" s="231"/>
    </row>
    <row r="1513">
      <c r="A1513" s="245"/>
      <c r="B1513" s="231"/>
      <c r="C1513" s="231"/>
    </row>
    <row r="1514">
      <c r="A1514" s="245"/>
      <c r="B1514" s="231"/>
      <c r="C1514" s="231"/>
    </row>
    <row r="1515">
      <c r="A1515" s="245"/>
      <c r="B1515" s="231"/>
      <c r="C1515" s="231"/>
    </row>
    <row r="1516">
      <c r="A1516" s="245"/>
      <c r="B1516" s="231"/>
      <c r="C1516" s="231"/>
    </row>
    <row r="1517">
      <c r="A1517" s="245"/>
      <c r="B1517" s="231"/>
      <c r="C1517" s="231"/>
    </row>
    <row r="1518">
      <c r="A1518" s="245"/>
      <c r="B1518" s="231"/>
      <c r="C1518" s="231"/>
    </row>
    <row r="1519">
      <c r="A1519" s="245"/>
      <c r="B1519" s="231"/>
      <c r="C1519" s="231"/>
    </row>
    <row r="1520">
      <c r="A1520" s="245"/>
      <c r="B1520" s="231"/>
      <c r="C1520" s="231"/>
    </row>
    <row r="1521">
      <c r="A1521" s="245"/>
      <c r="B1521" s="231"/>
      <c r="C1521" s="231"/>
    </row>
    <row r="1522">
      <c r="A1522" s="245"/>
      <c r="B1522" s="231"/>
      <c r="C1522" s="231"/>
    </row>
    <row r="1523">
      <c r="A1523" s="245"/>
      <c r="B1523" s="231"/>
      <c r="C1523" s="231"/>
    </row>
    <row r="1524">
      <c r="A1524" s="245"/>
      <c r="B1524" s="231"/>
      <c r="C1524" s="231"/>
    </row>
    <row r="1525">
      <c r="A1525" s="245"/>
      <c r="B1525" s="231"/>
      <c r="C1525" s="231"/>
    </row>
    <row r="1526">
      <c r="A1526" s="245"/>
      <c r="B1526" s="231"/>
      <c r="C1526" s="231"/>
    </row>
    <row r="1527">
      <c r="A1527" s="245"/>
      <c r="B1527" s="231"/>
      <c r="C1527" s="231"/>
    </row>
    <row r="1528">
      <c r="A1528" s="245"/>
      <c r="B1528" s="231"/>
      <c r="C1528" s="231"/>
    </row>
    <row r="1529">
      <c r="A1529" s="245"/>
      <c r="B1529" s="231"/>
      <c r="C1529" s="231"/>
    </row>
    <row r="1530">
      <c r="A1530" s="245"/>
      <c r="B1530" s="231"/>
      <c r="C1530" s="231"/>
    </row>
    <row r="1531">
      <c r="A1531" s="245"/>
      <c r="B1531" s="231"/>
      <c r="C1531" s="231"/>
    </row>
    <row r="1532">
      <c r="A1532" s="245"/>
      <c r="B1532" s="231"/>
      <c r="C1532" s="231"/>
    </row>
    <row r="1533">
      <c r="A1533" s="245"/>
      <c r="B1533" s="231"/>
      <c r="C1533" s="231"/>
    </row>
    <row r="1534">
      <c r="A1534" s="245"/>
      <c r="B1534" s="231"/>
      <c r="C1534" s="231"/>
    </row>
    <row r="1535">
      <c r="A1535" s="245"/>
      <c r="B1535" s="231"/>
      <c r="C1535" s="231"/>
    </row>
    <row r="1536">
      <c r="A1536" s="245"/>
      <c r="B1536" s="231"/>
      <c r="C1536" s="231"/>
    </row>
    <row r="1537">
      <c r="A1537" s="245"/>
      <c r="B1537" s="231"/>
      <c r="C1537" s="231"/>
    </row>
    <row r="1538">
      <c r="A1538" s="245"/>
      <c r="B1538" s="231"/>
      <c r="C1538" s="231"/>
    </row>
    <row r="1539">
      <c r="A1539" s="245"/>
      <c r="B1539" s="231"/>
      <c r="C1539" s="231"/>
    </row>
    <row r="1540">
      <c r="A1540" s="245"/>
      <c r="B1540" s="231"/>
      <c r="C1540" s="231"/>
    </row>
    <row r="1541">
      <c r="A1541" s="245"/>
      <c r="B1541" s="231"/>
      <c r="C1541" s="231"/>
    </row>
    <row r="1542">
      <c r="A1542" s="245"/>
      <c r="B1542" s="231"/>
      <c r="C1542" s="231"/>
    </row>
    <row r="1543">
      <c r="A1543" s="245"/>
      <c r="B1543" s="231"/>
      <c r="C1543" s="231"/>
    </row>
    <row r="1544">
      <c r="A1544" s="245"/>
      <c r="B1544" s="231"/>
      <c r="C1544" s="231"/>
    </row>
    <row r="1545">
      <c r="A1545" s="245"/>
      <c r="B1545" s="231"/>
      <c r="C1545" s="231"/>
    </row>
    <row r="1546">
      <c r="A1546" s="245"/>
      <c r="B1546" s="231"/>
      <c r="C1546" s="231"/>
    </row>
    <row r="1547">
      <c r="A1547" s="245"/>
      <c r="B1547" s="231"/>
      <c r="C1547" s="231"/>
    </row>
    <row r="1548">
      <c r="A1548" s="245"/>
      <c r="B1548" s="231"/>
      <c r="C1548" s="231"/>
    </row>
    <row r="1549">
      <c r="A1549" s="245"/>
      <c r="B1549" s="231"/>
      <c r="C1549" s="231"/>
    </row>
    <row r="1550">
      <c r="A1550" s="245"/>
      <c r="B1550" s="231"/>
      <c r="C1550" s="231"/>
    </row>
    <row r="1551">
      <c r="A1551" s="245"/>
      <c r="B1551" s="231"/>
      <c r="C1551" s="231"/>
    </row>
    <row r="1552">
      <c r="A1552" s="245"/>
      <c r="B1552" s="231"/>
      <c r="C1552" s="231"/>
    </row>
    <row r="1553">
      <c r="A1553" s="245"/>
      <c r="B1553" s="231"/>
      <c r="C1553" s="231"/>
    </row>
    <row r="1554">
      <c r="A1554" s="245"/>
      <c r="B1554" s="231"/>
      <c r="C1554" s="231"/>
    </row>
    <row r="1555">
      <c r="A1555" s="245"/>
      <c r="B1555" s="231"/>
      <c r="C1555" s="231"/>
    </row>
    <row r="1556">
      <c r="A1556" s="245"/>
      <c r="B1556" s="231"/>
      <c r="C1556" s="231"/>
    </row>
    <row r="1557">
      <c r="A1557" s="245"/>
      <c r="B1557" s="231"/>
      <c r="C1557" s="231"/>
    </row>
    <row r="1558">
      <c r="A1558" s="245"/>
      <c r="B1558" s="231"/>
      <c r="C1558" s="231"/>
    </row>
    <row r="1559">
      <c r="A1559" s="245"/>
      <c r="B1559" s="231"/>
      <c r="C1559" s="231"/>
    </row>
    <row r="1560">
      <c r="A1560" s="245"/>
      <c r="B1560" s="231"/>
      <c r="C1560" s="231"/>
    </row>
    <row r="1561">
      <c r="A1561" s="245"/>
      <c r="B1561" s="231"/>
      <c r="C1561" s="231"/>
    </row>
    <row r="1562">
      <c r="A1562" s="245"/>
      <c r="B1562" s="231"/>
      <c r="C1562" s="231"/>
    </row>
    <row r="1563">
      <c r="A1563" s="245"/>
      <c r="B1563" s="231"/>
      <c r="C1563" s="231"/>
    </row>
    <row r="1564">
      <c r="A1564" s="245"/>
      <c r="B1564" s="231"/>
      <c r="C1564" s="231"/>
    </row>
    <row r="1565">
      <c r="A1565" s="245"/>
      <c r="B1565" s="231"/>
      <c r="C1565" s="231"/>
    </row>
    <row r="1566">
      <c r="A1566" s="245"/>
      <c r="B1566" s="231"/>
      <c r="C1566" s="231"/>
    </row>
    <row r="1567">
      <c r="A1567" s="245"/>
      <c r="B1567" s="231"/>
      <c r="C1567" s="231"/>
    </row>
    <row r="1568">
      <c r="A1568" s="245"/>
      <c r="B1568" s="231"/>
      <c r="C1568" s="231"/>
    </row>
    <row r="1569">
      <c r="A1569" s="245"/>
      <c r="B1569" s="231"/>
      <c r="C1569" s="231"/>
    </row>
    <row r="1570">
      <c r="A1570" s="245"/>
      <c r="B1570" s="231"/>
      <c r="C1570" s="231"/>
    </row>
    <row r="1571">
      <c r="A1571" s="245"/>
      <c r="B1571" s="231"/>
      <c r="C1571" s="231"/>
    </row>
    <row r="1572">
      <c r="A1572" s="245"/>
      <c r="B1572" s="231"/>
      <c r="C1572" s="231"/>
    </row>
    <row r="1573">
      <c r="A1573" s="245"/>
      <c r="B1573" s="231"/>
      <c r="C1573" s="231"/>
    </row>
    <row r="1574">
      <c r="A1574" s="245"/>
      <c r="B1574" s="231"/>
      <c r="C1574" s="231"/>
    </row>
    <row r="1575">
      <c r="A1575" s="245"/>
      <c r="B1575" s="231"/>
      <c r="C1575" s="231"/>
    </row>
    <row r="1576">
      <c r="A1576" s="245"/>
      <c r="B1576" s="231"/>
      <c r="C1576" s="231"/>
    </row>
    <row r="1577">
      <c r="A1577" s="245"/>
      <c r="B1577" s="231"/>
      <c r="C1577" s="231"/>
    </row>
    <row r="1578">
      <c r="A1578" s="245"/>
      <c r="B1578" s="231"/>
      <c r="C1578" s="231"/>
    </row>
    <row r="1579">
      <c r="A1579" s="245"/>
      <c r="B1579" s="231"/>
      <c r="C1579" s="231"/>
    </row>
    <row r="1580">
      <c r="A1580" s="245"/>
      <c r="B1580" s="231"/>
      <c r="C1580" s="231"/>
    </row>
    <row r="1581">
      <c r="A1581" s="245"/>
      <c r="B1581" s="231"/>
      <c r="C1581" s="231"/>
    </row>
    <row r="1582">
      <c r="A1582" s="245"/>
      <c r="B1582" s="231"/>
      <c r="C1582" s="231"/>
    </row>
    <row r="1583">
      <c r="A1583" s="245"/>
      <c r="B1583" s="231"/>
      <c r="C1583" s="231"/>
    </row>
    <row r="1584">
      <c r="A1584" s="245"/>
      <c r="B1584" s="231"/>
      <c r="C1584" s="231"/>
    </row>
    <row r="1585">
      <c r="A1585" s="245"/>
      <c r="B1585" s="231"/>
      <c r="C1585" s="231"/>
    </row>
    <row r="1586">
      <c r="A1586" s="245"/>
      <c r="B1586" s="231"/>
      <c r="C1586" s="231"/>
    </row>
    <row r="1587">
      <c r="A1587" s="245"/>
      <c r="B1587" s="231"/>
      <c r="C1587" s="231"/>
    </row>
    <row r="1588">
      <c r="A1588" s="245"/>
      <c r="B1588" s="231"/>
      <c r="C1588" s="231"/>
    </row>
    <row r="1589">
      <c r="A1589" s="245"/>
      <c r="B1589" s="231"/>
      <c r="C1589" s="231"/>
    </row>
    <row r="1590">
      <c r="A1590" s="245"/>
      <c r="B1590" s="231"/>
      <c r="C1590" s="231"/>
    </row>
    <row r="1591">
      <c r="A1591" s="245"/>
      <c r="B1591" s="231"/>
      <c r="C1591" s="231"/>
    </row>
    <row r="1592">
      <c r="A1592" s="245"/>
      <c r="B1592" s="231"/>
      <c r="C1592" s="231"/>
    </row>
    <row r="1593">
      <c r="A1593" s="245"/>
      <c r="B1593" s="231"/>
      <c r="C1593" s="231"/>
    </row>
    <row r="1594">
      <c r="A1594" s="245"/>
      <c r="B1594" s="231"/>
      <c r="C1594" s="231"/>
    </row>
    <row r="1595">
      <c r="A1595" s="245"/>
      <c r="B1595" s="231"/>
      <c r="C1595" s="231"/>
    </row>
    <row r="1596">
      <c r="A1596" s="245"/>
      <c r="B1596" s="231"/>
      <c r="C1596" s="231"/>
    </row>
    <row r="1597">
      <c r="A1597" s="245"/>
      <c r="B1597" s="231"/>
      <c r="C1597" s="231"/>
    </row>
    <row r="1598">
      <c r="A1598" s="245"/>
      <c r="B1598" s="231"/>
      <c r="C1598" s="231"/>
    </row>
    <row r="1599">
      <c r="A1599" s="245"/>
      <c r="B1599" s="231"/>
      <c r="C1599" s="231"/>
    </row>
    <row r="1600">
      <c r="A1600" s="245"/>
      <c r="B1600" s="231"/>
      <c r="C1600" s="231"/>
    </row>
    <row r="1601">
      <c r="A1601" s="245"/>
      <c r="B1601" s="231"/>
      <c r="C1601" s="231"/>
    </row>
    <row r="1602">
      <c r="A1602" s="245"/>
      <c r="B1602" s="231"/>
      <c r="C1602" s="231"/>
    </row>
    <row r="1603">
      <c r="A1603" s="245"/>
      <c r="B1603" s="231"/>
      <c r="C1603" s="231"/>
    </row>
    <row r="1604">
      <c r="A1604" s="245"/>
      <c r="B1604" s="231"/>
      <c r="C1604" s="231"/>
    </row>
    <row r="1605">
      <c r="A1605" s="245"/>
      <c r="B1605" s="231"/>
      <c r="C1605" s="231"/>
    </row>
    <row r="1606">
      <c r="A1606" s="245"/>
      <c r="B1606" s="231"/>
      <c r="C1606" s="231"/>
    </row>
    <row r="1607">
      <c r="A1607" s="245"/>
      <c r="B1607" s="231"/>
      <c r="C1607" s="231"/>
    </row>
    <row r="1608">
      <c r="A1608" s="245"/>
      <c r="B1608" s="231"/>
      <c r="C1608" s="231"/>
    </row>
    <row r="1609">
      <c r="A1609" s="245"/>
      <c r="B1609" s="231"/>
      <c r="C1609" s="231"/>
    </row>
    <row r="1610">
      <c r="A1610" s="245"/>
      <c r="B1610" s="231"/>
      <c r="C1610" s="231"/>
    </row>
    <row r="1611">
      <c r="A1611" s="245"/>
      <c r="B1611" s="231"/>
      <c r="C1611" s="231"/>
    </row>
    <row r="1612">
      <c r="A1612" s="245"/>
      <c r="B1612" s="231"/>
      <c r="C1612" s="231"/>
    </row>
    <row r="1613">
      <c r="A1613" s="245"/>
      <c r="B1613" s="231"/>
      <c r="C1613" s="231"/>
    </row>
    <row r="1614">
      <c r="A1614" s="245"/>
      <c r="B1614" s="231"/>
      <c r="C1614" s="231"/>
    </row>
    <row r="1615">
      <c r="A1615" s="245"/>
      <c r="B1615" s="231"/>
      <c r="C1615" s="231"/>
    </row>
    <row r="1616">
      <c r="A1616" s="245"/>
      <c r="B1616" s="231"/>
      <c r="C1616" s="231"/>
    </row>
    <row r="1617">
      <c r="A1617" s="245"/>
      <c r="B1617" s="231"/>
      <c r="C1617" s="231"/>
    </row>
    <row r="1618">
      <c r="A1618" s="245"/>
      <c r="B1618" s="231"/>
      <c r="C1618" s="231"/>
    </row>
    <row r="1619">
      <c r="A1619" s="245"/>
      <c r="B1619" s="231"/>
      <c r="C1619" s="231"/>
    </row>
    <row r="1620">
      <c r="A1620" s="245"/>
      <c r="B1620" s="231"/>
      <c r="C1620" s="231"/>
    </row>
    <row r="1621">
      <c r="A1621" s="245"/>
      <c r="B1621" s="231"/>
      <c r="C1621" s="231"/>
    </row>
    <row r="1622">
      <c r="A1622" s="245"/>
      <c r="B1622" s="231"/>
      <c r="C1622" s="231"/>
    </row>
    <row r="1623">
      <c r="A1623" s="245"/>
      <c r="B1623" s="231"/>
      <c r="C1623" s="231"/>
    </row>
    <row r="1624">
      <c r="A1624" s="245"/>
      <c r="B1624" s="231"/>
      <c r="C1624" s="231"/>
    </row>
    <row r="1625">
      <c r="A1625" s="245"/>
      <c r="B1625" s="231"/>
      <c r="C1625" s="231"/>
    </row>
    <row r="1626">
      <c r="A1626" s="245"/>
      <c r="B1626" s="231"/>
      <c r="C1626" s="231"/>
    </row>
    <row r="1627">
      <c r="A1627" s="245"/>
      <c r="B1627" s="231"/>
      <c r="C1627" s="231"/>
    </row>
    <row r="1628">
      <c r="A1628" s="245"/>
      <c r="B1628" s="231"/>
      <c r="C1628" s="231"/>
    </row>
    <row r="1629">
      <c r="A1629" s="245"/>
      <c r="B1629" s="231"/>
      <c r="C1629" s="231"/>
    </row>
    <row r="1630">
      <c r="A1630" s="245"/>
      <c r="B1630" s="231"/>
      <c r="C1630" s="231"/>
    </row>
    <row r="1631">
      <c r="A1631" s="245"/>
      <c r="B1631" s="231"/>
      <c r="C1631" s="231"/>
    </row>
    <row r="1632">
      <c r="A1632" s="245"/>
      <c r="B1632" s="231"/>
      <c r="C1632" s="231"/>
    </row>
    <row r="1633">
      <c r="A1633" s="245"/>
      <c r="B1633" s="231"/>
      <c r="C1633" s="231"/>
    </row>
    <row r="1634">
      <c r="A1634" s="245"/>
      <c r="B1634" s="231"/>
      <c r="C1634" s="231"/>
    </row>
    <row r="1635">
      <c r="A1635" s="245"/>
      <c r="B1635" s="231"/>
      <c r="C1635" s="231"/>
    </row>
    <row r="1636">
      <c r="A1636" s="245"/>
      <c r="B1636" s="231"/>
      <c r="C1636" s="231"/>
    </row>
    <row r="1637">
      <c r="A1637" s="245"/>
      <c r="B1637" s="231"/>
      <c r="C1637" s="231"/>
    </row>
    <row r="1638">
      <c r="A1638" s="245"/>
      <c r="B1638" s="231"/>
      <c r="C1638" s="231"/>
    </row>
    <row r="1639">
      <c r="A1639" s="245"/>
      <c r="B1639" s="231"/>
      <c r="C1639" s="231"/>
    </row>
    <row r="1640">
      <c r="A1640" s="245"/>
      <c r="B1640" s="231"/>
      <c r="C1640" s="231"/>
    </row>
    <row r="1641">
      <c r="A1641" s="245"/>
      <c r="B1641" s="231"/>
      <c r="C1641" s="231"/>
    </row>
    <row r="1642">
      <c r="A1642" s="245"/>
      <c r="B1642" s="231"/>
      <c r="C1642" s="231"/>
    </row>
    <row r="1643">
      <c r="A1643" s="245"/>
      <c r="B1643" s="231"/>
      <c r="C1643" s="231"/>
    </row>
    <row r="1644">
      <c r="A1644" s="245"/>
      <c r="B1644" s="231"/>
      <c r="C1644" s="231"/>
    </row>
    <row r="1645">
      <c r="A1645" s="245"/>
      <c r="B1645" s="231"/>
      <c r="C1645" s="231"/>
    </row>
    <row r="1646">
      <c r="A1646" s="245"/>
      <c r="B1646" s="231"/>
      <c r="C1646" s="231"/>
    </row>
    <row r="1647">
      <c r="A1647" s="245"/>
      <c r="B1647" s="231"/>
      <c r="C1647" s="231"/>
    </row>
    <row r="1648">
      <c r="A1648" s="245"/>
      <c r="B1648" s="231"/>
      <c r="C1648" s="231"/>
    </row>
    <row r="1649">
      <c r="A1649" s="245"/>
      <c r="B1649" s="231"/>
      <c r="C1649" s="231"/>
    </row>
    <row r="1650">
      <c r="A1650" s="245"/>
      <c r="B1650" s="231"/>
      <c r="C1650" s="231"/>
    </row>
    <row r="1651">
      <c r="A1651" s="245"/>
      <c r="B1651" s="231"/>
      <c r="C1651" s="231"/>
    </row>
    <row r="1652">
      <c r="A1652" s="245"/>
      <c r="B1652" s="231"/>
      <c r="C1652" s="231"/>
    </row>
    <row r="1653">
      <c r="A1653" s="245"/>
      <c r="B1653" s="231"/>
      <c r="C1653" s="231"/>
    </row>
    <row r="1654">
      <c r="A1654" s="245"/>
      <c r="B1654" s="231"/>
      <c r="C1654" s="231"/>
    </row>
    <row r="1655">
      <c r="A1655" s="245"/>
      <c r="B1655" s="231"/>
      <c r="C1655" s="231"/>
    </row>
    <row r="1656">
      <c r="A1656" s="245"/>
      <c r="B1656" s="231"/>
      <c r="C1656" s="231"/>
    </row>
    <row r="1657">
      <c r="A1657" s="245"/>
      <c r="B1657" s="231"/>
      <c r="C1657" s="231"/>
    </row>
    <row r="1658">
      <c r="A1658" s="245"/>
      <c r="B1658" s="231"/>
      <c r="C1658" s="231"/>
    </row>
    <row r="1659">
      <c r="A1659" s="245"/>
      <c r="B1659" s="231"/>
      <c r="C1659" s="231"/>
    </row>
    <row r="1660">
      <c r="A1660" s="245"/>
      <c r="B1660" s="231"/>
      <c r="C1660" s="231"/>
    </row>
    <row r="1661">
      <c r="A1661" s="245"/>
      <c r="B1661" s="231"/>
      <c r="C1661" s="231"/>
    </row>
    <row r="1662">
      <c r="A1662" s="245"/>
      <c r="B1662" s="231"/>
      <c r="C1662" s="231"/>
    </row>
    <row r="1663">
      <c r="A1663" s="245"/>
      <c r="B1663" s="231"/>
      <c r="C1663" s="231"/>
    </row>
    <row r="1664">
      <c r="A1664" s="245"/>
      <c r="B1664" s="231"/>
      <c r="C1664" s="231"/>
    </row>
    <row r="1665">
      <c r="A1665" s="245"/>
      <c r="B1665" s="231"/>
      <c r="C1665" s="231"/>
    </row>
    <row r="1666">
      <c r="A1666" s="245"/>
      <c r="B1666" s="231"/>
      <c r="C1666" s="231"/>
    </row>
    <row r="1667">
      <c r="A1667" s="245"/>
      <c r="B1667" s="231"/>
      <c r="C1667" s="231"/>
    </row>
    <row r="1668">
      <c r="A1668" s="245"/>
      <c r="B1668" s="231"/>
      <c r="C1668" s="231"/>
    </row>
    <row r="1669">
      <c r="A1669" s="245"/>
      <c r="B1669" s="231"/>
      <c r="C1669" s="231"/>
    </row>
    <row r="1670">
      <c r="A1670" s="245"/>
      <c r="B1670" s="231"/>
      <c r="C1670" s="231"/>
    </row>
    <row r="1671">
      <c r="A1671" s="245"/>
      <c r="B1671" s="231"/>
      <c r="C1671" s="231"/>
    </row>
    <row r="1672">
      <c r="A1672" s="245"/>
      <c r="B1672" s="231"/>
      <c r="C1672" s="231"/>
    </row>
    <row r="1673">
      <c r="A1673" s="245"/>
      <c r="B1673" s="231"/>
      <c r="C1673" s="231"/>
    </row>
    <row r="1674">
      <c r="A1674" s="245"/>
      <c r="B1674" s="231"/>
      <c r="C1674" s="231"/>
    </row>
    <row r="1675">
      <c r="A1675" s="245"/>
      <c r="B1675" s="231"/>
      <c r="C1675" s="231"/>
    </row>
    <row r="1676">
      <c r="A1676" s="245"/>
      <c r="B1676" s="231"/>
      <c r="C1676" s="231"/>
    </row>
    <row r="1677">
      <c r="A1677" s="245"/>
      <c r="B1677" s="231"/>
      <c r="C1677" s="231"/>
    </row>
    <row r="1678">
      <c r="A1678" s="245"/>
      <c r="B1678" s="231"/>
      <c r="C1678" s="231"/>
    </row>
    <row r="1679">
      <c r="A1679" s="245"/>
      <c r="B1679" s="231"/>
      <c r="C1679" s="231"/>
    </row>
    <row r="1680">
      <c r="A1680" s="245"/>
      <c r="B1680" s="231"/>
      <c r="C1680" s="231"/>
    </row>
    <row r="1681">
      <c r="A1681" s="245"/>
      <c r="B1681" s="231"/>
      <c r="C1681" s="231"/>
    </row>
    <row r="1682">
      <c r="A1682" s="245"/>
      <c r="B1682" s="231"/>
      <c r="C1682" s="231"/>
    </row>
    <row r="1683">
      <c r="A1683" s="245"/>
      <c r="B1683" s="231"/>
      <c r="C1683" s="231"/>
    </row>
    <row r="1684">
      <c r="A1684" s="245"/>
      <c r="B1684" s="231"/>
      <c r="C1684" s="231"/>
    </row>
    <row r="1685">
      <c r="A1685" s="245"/>
      <c r="B1685" s="231"/>
      <c r="C1685" s="231"/>
    </row>
    <row r="1686">
      <c r="A1686" s="245"/>
      <c r="B1686" s="231"/>
      <c r="C1686" s="231"/>
    </row>
    <row r="1687">
      <c r="A1687" s="245"/>
      <c r="B1687" s="231"/>
      <c r="C1687" s="231"/>
    </row>
    <row r="1688">
      <c r="A1688" s="245"/>
      <c r="B1688" s="231"/>
      <c r="C1688" s="231"/>
    </row>
    <row r="1689">
      <c r="A1689" s="245"/>
      <c r="B1689" s="231"/>
      <c r="C1689" s="231"/>
    </row>
    <row r="1690">
      <c r="A1690" s="245"/>
      <c r="B1690" s="231"/>
      <c r="C1690" s="231"/>
    </row>
    <row r="1691">
      <c r="A1691" s="245"/>
      <c r="B1691" s="231"/>
      <c r="C1691" s="231"/>
    </row>
    <row r="1692">
      <c r="A1692" s="245"/>
      <c r="B1692" s="231"/>
      <c r="C1692" s="231"/>
    </row>
    <row r="1693">
      <c r="A1693" s="245"/>
      <c r="B1693" s="231"/>
      <c r="C1693" s="231"/>
    </row>
    <row r="1694">
      <c r="A1694" s="245"/>
      <c r="B1694" s="231"/>
      <c r="C1694" s="231"/>
    </row>
    <row r="1695">
      <c r="A1695" s="245"/>
      <c r="B1695" s="231"/>
      <c r="C1695" s="231"/>
    </row>
    <row r="1696">
      <c r="A1696" s="245"/>
      <c r="B1696" s="231"/>
      <c r="C1696" s="231"/>
    </row>
    <row r="1697">
      <c r="A1697" s="245"/>
      <c r="B1697" s="231"/>
      <c r="C1697" s="231"/>
    </row>
    <row r="1698">
      <c r="A1698" s="245"/>
      <c r="B1698" s="231"/>
      <c r="C1698" s="231"/>
    </row>
    <row r="1699">
      <c r="A1699" s="245"/>
      <c r="B1699" s="231"/>
      <c r="C1699" s="231"/>
    </row>
    <row r="1700">
      <c r="A1700" s="245"/>
      <c r="B1700" s="231"/>
      <c r="C1700" s="231"/>
    </row>
    <row r="1701">
      <c r="A1701" s="245"/>
      <c r="B1701" s="231"/>
      <c r="C1701" s="231"/>
    </row>
    <row r="1702">
      <c r="A1702" s="245"/>
      <c r="B1702" s="231"/>
      <c r="C1702" s="231"/>
    </row>
    <row r="1703">
      <c r="A1703" s="245"/>
      <c r="B1703" s="231"/>
      <c r="C1703" s="231"/>
    </row>
    <row r="1704">
      <c r="A1704" s="245"/>
      <c r="B1704" s="231"/>
      <c r="C1704" s="231"/>
    </row>
    <row r="1705">
      <c r="A1705" s="245"/>
      <c r="B1705" s="231"/>
      <c r="C1705" s="231"/>
    </row>
    <row r="1706">
      <c r="A1706" s="245"/>
      <c r="B1706" s="231"/>
      <c r="C1706" s="231"/>
    </row>
    <row r="1707">
      <c r="A1707" s="245"/>
      <c r="B1707" s="231"/>
      <c r="C1707" s="231"/>
    </row>
    <row r="1708">
      <c r="A1708" s="245"/>
      <c r="B1708" s="231"/>
      <c r="C1708" s="231"/>
    </row>
    <row r="1709">
      <c r="A1709" s="245"/>
      <c r="B1709" s="231"/>
      <c r="C1709" s="231"/>
    </row>
    <row r="1710">
      <c r="A1710" s="245"/>
      <c r="B1710" s="231"/>
      <c r="C1710" s="231"/>
    </row>
    <row r="1711">
      <c r="A1711" s="245"/>
      <c r="B1711" s="231"/>
      <c r="C1711" s="231"/>
    </row>
    <row r="1712">
      <c r="A1712" s="245"/>
      <c r="B1712" s="231"/>
      <c r="C1712" s="231"/>
    </row>
    <row r="1713">
      <c r="A1713" s="245"/>
      <c r="B1713" s="231"/>
      <c r="C1713" s="231"/>
    </row>
    <row r="1714">
      <c r="A1714" s="245"/>
      <c r="B1714" s="231"/>
      <c r="C1714" s="231"/>
    </row>
    <row r="1715">
      <c r="A1715" s="245"/>
      <c r="B1715" s="231"/>
      <c r="C1715" s="231"/>
    </row>
    <row r="1716">
      <c r="A1716" s="245"/>
      <c r="B1716" s="231"/>
      <c r="C1716" s="231"/>
    </row>
    <row r="1717">
      <c r="A1717" s="245"/>
      <c r="B1717" s="231"/>
      <c r="C1717" s="231"/>
    </row>
    <row r="1718">
      <c r="A1718" s="245"/>
      <c r="B1718" s="231"/>
      <c r="C1718" s="231"/>
    </row>
    <row r="1719">
      <c r="A1719" s="245"/>
      <c r="B1719" s="231"/>
      <c r="C1719" s="231"/>
    </row>
    <row r="1720">
      <c r="A1720" s="245"/>
      <c r="B1720" s="231"/>
      <c r="C1720" s="231"/>
    </row>
    <row r="1721">
      <c r="A1721" s="245"/>
      <c r="B1721" s="231"/>
      <c r="C1721" s="231"/>
    </row>
    <row r="1722">
      <c r="A1722" s="245"/>
      <c r="B1722" s="231"/>
      <c r="C1722" s="231"/>
    </row>
    <row r="1723">
      <c r="A1723" s="245"/>
      <c r="B1723" s="231"/>
      <c r="C1723" s="231"/>
    </row>
    <row r="1724">
      <c r="A1724" s="245"/>
      <c r="B1724" s="231"/>
      <c r="C1724" s="231"/>
    </row>
    <row r="1725">
      <c r="A1725" s="245"/>
      <c r="B1725" s="231"/>
      <c r="C1725" s="231"/>
    </row>
    <row r="1726">
      <c r="A1726" s="245"/>
      <c r="B1726" s="231"/>
      <c r="C1726" s="231"/>
    </row>
    <row r="1727">
      <c r="A1727" s="245"/>
      <c r="B1727" s="231"/>
      <c r="C1727" s="231"/>
    </row>
    <row r="1728">
      <c r="A1728" s="245"/>
      <c r="B1728" s="231"/>
      <c r="C1728" s="231"/>
    </row>
    <row r="1729">
      <c r="A1729" s="245"/>
      <c r="B1729" s="231"/>
      <c r="C1729" s="231"/>
    </row>
    <row r="1730">
      <c r="A1730" s="245"/>
      <c r="B1730" s="231"/>
      <c r="C1730" s="231"/>
    </row>
    <row r="1731">
      <c r="A1731" s="245"/>
      <c r="B1731" s="231"/>
      <c r="C1731" s="231"/>
    </row>
    <row r="1732">
      <c r="A1732" s="245"/>
      <c r="B1732" s="231"/>
      <c r="C1732" s="231"/>
    </row>
    <row r="1733">
      <c r="A1733" s="245"/>
      <c r="B1733" s="231"/>
      <c r="C1733" s="231"/>
    </row>
    <row r="1734">
      <c r="A1734" s="245"/>
      <c r="B1734" s="231"/>
      <c r="C1734" s="231"/>
    </row>
    <row r="1735">
      <c r="A1735" s="245"/>
      <c r="B1735" s="231"/>
      <c r="C1735" s="231"/>
    </row>
    <row r="1736">
      <c r="A1736" s="245"/>
      <c r="B1736" s="231"/>
      <c r="C1736" s="231"/>
    </row>
    <row r="1737">
      <c r="A1737" s="245"/>
      <c r="B1737" s="231"/>
      <c r="C1737" s="231"/>
    </row>
    <row r="1738">
      <c r="A1738" s="245"/>
      <c r="B1738" s="231"/>
      <c r="C1738" s="231"/>
    </row>
    <row r="1739">
      <c r="A1739" s="245"/>
      <c r="B1739" s="231"/>
      <c r="C1739" s="231"/>
    </row>
    <row r="1740">
      <c r="A1740" s="245"/>
      <c r="B1740" s="231"/>
      <c r="C1740" s="231"/>
    </row>
    <row r="1741">
      <c r="A1741" s="245"/>
      <c r="B1741" s="231"/>
      <c r="C1741" s="231"/>
    </row>
    <row r="1742">
      <c r="A1742" s="245"/>
      <c r="B1742" s="231"/>
      <c r="C1742" s="231"/>
    </row>
    <row r="1743">
      <c r="A1743" s="245"/>
      <c r="B1743" s="231"/>
      <c r="C1743" s="231"/>
    </row>
    <row r="1744">
      <c r="A1744" s="245"/>
      <c r="B1744" s="231"/>
      <c r="C1744" s="231"/>
    </row>
    <row r="1745">
      <c r="A1745" s="245"/>
      <c r="B1745" s="231"/>
      <c r="C1745" s="231"/>
    </row>
    <row r="1746">
      <c r="A1746" s="245"/>
      <c r="B1746" s="231"/>
      <c r="C1746" s="231"/>
    </row>
    <row r="1747">
      <c r="A1747" s="245"/>
      <c r="B1747" s="231"/>
      <c r="C1747" s="231"/>
    </row>
    <row r="1748">
      <c r="A1748" s="245"/>
      <c r="B1748" s="231"/>
      <c r="C1748" s="231"/>
    </row>
    <row r="1749">
      <c r="A1749" s="245"/>
      <c r="B1749" s="231"/>
      <c r="C1749" s="231"/>
    </row>
    <row r="1750">
      <c r="A1750" s="245"/>
      <c r="B1750" s="231"/>
      <c r="C1750" s="231"/>
    </row>
    <row r="1751">
      <c r="A1751" s="245"/>
      <c r="B1751" s="231"/>
      <c r="C1751" s="231"/>
    </row>
    <row r="1752">
      <c r="A1752" s="245"/>
      <c r="B1752" s="231"/>
      <c r="C1752" s="231"/>
    </row>
    <row r="1753">
      <c r="A1753" s="245"/>
      <c r="B1753" s="231"/>
      <c r="C1753" s="231"/>
    </row>
    <row r="1754">
      <c r="A1754" s="245"/>
      <c r="B1754" s="231"/>
      <c r="C1754" s="231"/>
    </row>
    <row r="1755">
      <c r="A1755" s="245"/>
      <c r="B1755" s="231"/>
      <c r="C1755" s="231"/>
    </row>
    <row r="1756">
      <c r="A1756" s="245"/>
      <c r="B1756" s="231"/>
      <c r="C1756" s="231"/>
    </row>
    <row r="1757">
      <c r="A1757" s="245"/>
      <c r="B1757" s="231"/>
      <c r="C1757" s="231"/>
    </row>
    <row r="1758">
      <c r="A1758" s="245"/>
      <c r="B1758" s="231"/>
      <c r="C1758" s="231"/>
    </row>
    <row r="1759">
      <c r="A1759" s="245"/>
      <c r="B1759" s="231"/>
      <c r="C1759" s="231"/>
    </row>
    <row r="1760">
      <c r="A1760" s="245"/>
      <c r="B1760" s="231"/>
      <c r="C1760" s="231"/>
    </row>
    <row r="1761">
      <c r="A1761" s="245"/>
      <c r="B1761" s="231"/>
      <c r="C1761" s="231"/>
    </row>
    <row r="1762">
      <c r="A1762" s="245"/>
      <c r="B1762" s="231"/>
      <c r="C1762" s="231"/>
    </row>
    <row r="1763">
      <c r="A1763" s="245"/>
      <c r="B1763" s="231"/>
      <c r="C1763" s="231"/>
    </row>
    <row r="1764">
      <c r="A1764" s="245"/>
      <c r="B1764" s="231"/>
      <c r="C1764" s="231"/>
    </row>
    <row r="1765">
      <c r="A1765" s="245"/>
      <c r="B1765" s="231"/>
      <c r="C1765" s="231"/>
    </row>
    <row r="1766">
      <c r="A1766" s="245"/>
      <c r="B1766" s="231"/>
      <c r="C1766" s="231"/>
    </row>
    <row r="1767">
      <c r="A1767" s="245"/>
      <c r="B1767" s="231"/>
      <c r="C1767" s="231"/>
    </row>
    <row r="1768">
      <c r="A1768" s="245"/>
      <c r="B1768" s="231"/>
      <c r="C1768" s="231"/>
    </row>
    <row r="1769">
      <c r="A1769" s="245"/>
      <c r="B1769" s="231"/>
      <c r="C1769" s="231"/>
    </row>
    <row r="1770">
      <c r="A1770" s="245"/>
      <c r="B1770" s="231"/>
      <c r="C1770" s="231"/>
    </row>
    <row r="1771">
      <c r="A1771" s="245"/>
      <c r="B1771" s="231"/>
      <c r="C1771" s="231"/>
    </row>
    <row r="1772">
      <c r="A1772" s="245"/>
      <c r="B1772" s="231"/>
      <c r="C1772" s="231"/>
    </row>
    <row r="1773">
      <c r="A1773" s="245"/>
      <c r="B1773" s="231"/>
      <c r="C1773" s="231"/>
    </row>
    <row r="1774">
      <c r="A1774" s="245"/>
      <c r="B1774" s="231"/>
      <c r="C1774" s="231"/>
    </row>
    <row r="1775">
      <c r="A1775" s="245"/>
      <c r="B1775" s="231"/>
      <c r="C1775" s="231"/>
    </row>
    <row r="1776">
      <c r="A1776" s="245"/>
      <c r="B1776" s="231"/>
      <c r="C1776" s="231"/>
    </row>
    <row r="1777">
      <c r="A1777" s="245"/>
      <c r="B1777" s="231"/>
      <c r="C1777" s="231"/>
    </row>
    <row r="1778">
      <c r="A1778" s="245"/>
      <c r="B1778" s="231"/>
      <c r="C1778" s="231"/>
    </row>
    <row r="1779">
      <c r="A1779" s="245"/>
      <c r="B1779" s="231"/>
      <c r="C1779" s="231"/>
    </row>
    <row r="1780">
      <c r="A1780" s="245"/>
      <c r="B1780" s="231"/>
      <c r="C1780" s="231"/>
    </row>
    <row r="1781">
      <c r="A1781" s="245"/>
      <c r="B1781" s="231"/>
      <c r="C1781" s="231"/>
    </row>
    <row r="1782">
      <c r="A1782" s="245"/>
      <c r="B1782" s="231"/>
      <c r="C1782" s="231"/>
    </row>
    <row r="1783">
      <c r="A1783" s="245"/>
      <c r="B1783" s="231"/>
      <c r="C1783" s="231"/>
    </row>
    <row r="1784">
      <c r="A1784" s="245"/>
      <c r="B1784" s="231"/>
      <c r="C1784" s="231"/>
    </row>
    <row r="1785">
      <c r="A1785" s="245"/>
      <c r="B1785" s="231"/>
      <c r="C1785" s="231"/>
    </row>
    <row r="1786">
      <c r="A1786" s="245"/>
      <c r="B1786" s="231"/>
      <c r="C1786" s="231"/>
    </row>
    <row r="1787">
      <c r="A1787" s="245"/>
      <c r="B1787" s="231"/>
      <c r="C1787" s="231"/>
    </row>
    <row r="1788">
      <c r="A1788" s="245"/>
      <c r="B1788" s="231"/>
      <c r="C1788" s="231"/>
    </row>
    <row r="1789">
      <c r="A1789" s="245"/>
      <c r="B1789" s="231"/>
      <c r="C1789" s="231"/>
    </row>
    <row r="1790">
      <c r="A1790" s="245"/>
      <c r="B1790" s="231"/>
      <c r="C1790" s="231"/>
    </row>
    <row r="1791">
      <c r="A1791" s="245"/>
      <c r="B1791" s="231"/>
      <c r="C1791" s="231"/>
    </row>
    <row r="1792">
      <c r="A1792" s="245"/>
      <c r="B1792" s="231"/>
      <c r="C1792" s="231"/>
    </row>
    <row r="1793">
      <c r="A1793" s="245"/>
      <c r="B1793" s="231"/>
      <c r="C1793" s="231"/>
    </row>
    <row r="1794">
      <c r="A1794" s="245"/>
      <c r="B1794" s="231"/>
      <c r="C1794" s="231"/>
    </row>
    <row r="1795">
      <c r="A1795" s="245"/>
      <c r="B1795" s="231"/>
      <c r="C1795" s="231"/>
    </row>
    <row r="1796">
      <c r="A1796" s="245"/>
      <c r="B1796" s="231"/>
      <c r="C1796" s="231"/>
    </row>
    <row r="1797">
      <c r="A1797" s="245"/>
      <c r="B1797" s="231"/>
      <c r="C1797" s="231"/>
    </row>
    <row r="1798">
      <c r="A1798" s="245"/>
      <c r="B1798" s="231"/>
      <c r="C1798" s="231"/>
    </row>
    <row r="1799">
      <c r="A1799" s="245"/>
      <c r="B1799" s="231"/>
      <c r="C1799" s="231"/>
    </row>
    <row r="1800">
      <c r="A1800" s="245"/>
      <c r="B1800" s="231"/>
      <c r="C1800" s="231"/>
    </row>
    <row r="1801">
      <c r="A1801" s="245"/>
      <c r="B1801" s="231"/>
      <c r="C1801" s="231"/>
    </row>
    <row r="1802">
      <c r="A1802" s="245"/>
      <c r="B1802" s="231"/>
      <c r="C1802" s="231"/>
    </row>
    <row r="1803">
      <c r="A1803" s="245"/>
      <c r="B1803" s="231"/>
      <c r="C1803" s="231"/>
    </row>
    <row r="1804">
      <c r="A1804" s="245"/>
      <c r="B1804" s="231"/>
      <c r="C1804" s="231"/>
    </row>
    <row r="1805">
      <c r="A1805" s="245"/>
      <c r="B1805" s="231"/>
      <c r="C1805" s="231"/>
    </row>
    <row r="1806">
      <c r="A1806" s="245"/>
      <c r="B1806" s="231"/>
      <c r="C1806" s="231"/>
    </row>
    <row r="1807">
      <c r="A1807" s="245"/>
      <c r="B1807" s="231"/>
      <c r="C1807" s="231"/>
    </row>
    <row r="1808">
      <c r="A1808" s="245"/>
      <c r="B1808" s="231"/>
      <c r="C1808" s="231"/>
    </row>
    <row r="1809">
      <c r="A1809" s="245"/>
      <c r="B1809" s="231"/>
      <c r="C1809" s="231"/>
    </row>
    <row r="1810">
      <c r="A1810" s="245"/>
      <c r="B1810" s="231"/>
      <c r="C1810" s="231"/>
    </row>
    <row r="1811">
      <c r="A1811" s="245"/>
      <c r="B1811" s="231"/>
      <c r="C1811" s="231"/>
    </row>
    <row r="1812">
      <c r="A1812" s="245"/>
      <c r="B1812" s="231"/>
      <c r="C1812" s="231"/>
    </row>
    <row r="1813">
      <c r="A1813" s="245"/>
      <c r="B1813" s="231"/>
      <c r="C1813" s="231"/>
    </row>
    <row r="1814">
      <c r="A1814" s="245"/>
      <c r="B1814" s="231"/>
      <c r="C1814" s="231"/>
    </row>
    <row r="1815">
      <c r="A1815" s="245"/>
      <c r="B1815" s="231"/>
      <c r="C1815" s="231"/>
    </row>
    <row r="1816">
      <c r="A1816" s="245"/>
      <c r="B1816" s="231"/>
      <c r="C1816" s="231"/>
    </row>
    <row r="1817">
      <c r="A1817" s="245"/>
      <c r="B1817" s="231"/>
      <c r="C1817" s="231"/>
    </row>
    <row r="1818">
      <c r="A1818" s="245"/>
      <c r="B1818" s="231"/>
      <c r="C1818" s="231"/>
    </row>
    <row r="1819">
      <c r="A1819" s="245"/>
      <c r="B1819" s="231"/>
      <c r="C1819" s="231"/>
    </row>
    <row r="1820">
      <c r="A1820" s="245"/>
      <c r="B1820" s="231"/>
      <c r="C1820" s="231"/>
    </row>
    <row r="1821">
      <c r="A1821" s="245"/>
      <c r="B1821" s="231"/>
      <c r="C1821" s="231"/>
    </row>
    <row r="1822">
      <c r="A1822" s="245"/>
      <c r="B1822" s="231"/>
      <c r="C1822" s="231"/>
    </row>
    <row r="1823">
      <c r="A1823" s="245"/>
      <c r="B1823" s="231"/>
      <c r="C1823" s="231"/>
    </row>
    <row r="1824">
      <c r="A1824" s="245"/>
      <c r="B1824" s="231"/>
      <c r="C1824" s="231"/>
    </row>
    <row r="1825">
      <c r="A1825" s="245"/>
      <c r="B1825" s="231"/>
      <c r="C1825" s="231"/>
    </row>
    <row r="1826">
      <c r="A1826" s="245"/>
      <c r="B1826" s="231"/>
      <c r="C1826" s="231"/>
    </row>
    <row r="1827">
      <c r="A1827" s="245"/>
      <c r="B1827" s="231"/>
      <c r="C1827" s="231"/>
    </row>
    <row r="1828">
      <c r="A1828" s="245"/>
      <c r="B1828" s="231"/>
      <c r="C1828" s="231"/>
    </row>
    <row r="1829">
      <c r="A1829" s="245"/>
      <c r="B1829" s="231"/>
      <c r="C1829" s="231"/>
    </row>
    <row r="1830">
      <c r="A1830" s="245"/>
      <c r="B1830" s="231"/>
      <c r="C1830" s="231"/>
    </row>
    <row r="1831">
      <c r="A1831" s="245"/>
      <c r="B1831" s="231"/>
      <c r="C1831" s="231"/>
    </row>
    <row r="1832">
      <c r="A1832" s="245"/>
      <c r="B1832" s="231"/>
      <c r="C1832" s="231"/>
    </row>
    <row r="1833">
      <c r="A1833" s="245"/>
      <c r="B1833" s="231"/>
      <c r="C1833" s="231"/>
    </row>
    <row r="1834">
      <c r="A1834" s="245"/>
      <c r="B1834" s="231"/>
      <c r="C1834" s="231"/>
    </row>
    <row r="1835">
      <c r="A1835" s="245"/>
      <c r="B1835" s="231"/>
      <c r="C1835" s="231"/>
    </row>
    <row r="1836">
      <c r="A1836" s="245"/>
      <c r="B1836" s="231"/>
      <c r="C1836" s="231"/>
    </row>
    <row r="1837">
      <c r="A1837" s="245"/>
      <c r="B1837" s="231"/>
      <c r="C1837" s="231"/>
    </row>
    <row r="1838">
      <c r="A1838" s="245"/>
      <c r="B1838" s="231"/>
      <c r="C1838" s="231"/>
    </row>
    <row r="1839">
      <c r="A1839" s="245"/>
      <c r="B1839" s="231"/>
      <c r="C1839" s="231"/>
    </row>
    <row r="1840">
      <c r="A1840" s="245"/>
      <c r="B1840" s="231"/>
      <c r="C1840" s="231"/>
    </row>
    <row r="1841">
      <c r="A1841" s="245"/>
      <c r="B1841" s="231"/>
      <c r="C1841" s="231"/>
    </row>
    <row r="1842">
      <c r="A1842" s="245"/>
      <c r="B1842" s="231"/>
      <c r="C1842" s="231"/>
    </row>
    <row r="1843">
      <c r="A1843" s="245"/>
      <c r="B1843" s="231"/>
      <c r="C1843" s="231"/>
    </row>
    <row r="1844">
      <c r="A1844" s="245"/>
      <c r="B1844" s="231"/>
      <c r="C1844" s="231"/>
    </row>
    <row r="1845">
      <c r="A1845" s="245"/>
      <c r="B1845" s="231"/>
      <c r="C1845" s="231"/>
    </row>
    <row r="1846">
      <c r="A1846" s="245"/>
      <c r="B1846" s="231"/>
      <c r="C1846" s="231"/>
    </row>
    <row r="1847">
      <c r="A1847" s="245"/>
      <c r="B1847" s="231"/>
      <c r="C1847" s="231"/>
    </row>
    <row r="1848">
      <c r="A1848" s="245"/>
      <c r="B1848" s="231"/>
      <c r="C1848" s="231"/>
    </row>
    <row r="1849">
      <c r="A1849" s="245"/>
      <c r="B1849" s="231"/>
      <c r="C1849" s="231"/>
    </row>
    <row r="1850">
      <c r="A1850" s="245"/>
      <c r="B1850" s="231"/>
      <c r="C1850" s="231"/>
    </row>
    <row r="1851">
      <c r="A1851" s="245"/>
      <c r="B1851" s="231"/>
      <c r="C1851" s="231"/>
    </row>
    <row r="1852">
      <c r="A1852" s="245"/>
      <c r="B1852" s="231"/>
      <c r="C1852" s="231"/>
    </row>
    <row r="1853">
      <c r="A1853" s="245"/>
      <c r="B1853" s="231"/>
      <c r="C1853" s="231"/>
    </row>
    <row r="1854">
      <c r="A1854" s="245"/>
      <c r="B1854" s="231"/>
      <c r="C1854" s="231"/>
    </row>
    <row r="1855">
      <c r="A1855" s="245"/>
      <c r="B1855" s="231"/>
      <c r="C1855" s="231"/>
    </row>
    <row r="1856">
      <c r="A1856" s="245"/>
      <c r="B1856" s="231"/>
      <c r="C1856" s="231"/>
    </row>
    <row r="1857">
      <c r="A1857" s="245"/>
      <c r="B1857" s="231"/>
      <c r="C1857" s="231"/>
    </row>
    <row r="1858">
      <c r="A1858" s="245"/>
      <c r="B1858" s="231"/>
      <c r="C1858" s="231"/>
    </row>
    <row r="1859">
      <c r="A1859" s="245"/>
      <c r="B1859" s="231"/>
      <c r="C1859" s="231"/>
    </row>
    <row r="1860">
      <c r="A1860" s="245"/>
      <c r="B1860" s="231"/>
      <c r="C1860" s="231"/>
    </row>
    <row r="1861">
      <c r="A1861" s="245"/>
      <c r="B1861" s="231"/>
      <c r="C1861" s="231"/>
    </row>
    <row r="1862">
      <c r="A1862" s="245"/>
      <c r="B1862" s="231"/>
      <c r="C1862" s="231"/>
    </row>
    <row r="1863">
      <c r="A1863" s="245"/>
      <c r="B1863" s="231"/>
      <c r="C1863" s="231"/>
    </row>
    <row r="1864">
      <c r="A1864" s="245"/>
      <c r="B1864" s="231"/>
      <c r="C1864" s="231"/>
    </row>
    <row r="1865">
      <c r="A1865" s="245"/>
      <c r="B1865" s="231"/>
      <c r="C1865" s="231"/>
    </row>
    <row r="1866">
      <c r="A1866" s="245"/>
      <c r="B1866" s="231"/>
      <c r="C1866" s="231"/>
    </row>
    <row r="1867">
      <c r="A1867" s="245"/>
      <c r="B1867" s="231"/>
      <c r="C1867" s="231"/>
    </row>
    <row r="1868">
      <c r="A1868" s="245"/>
      <c r="B1868" s="231"/>
      <c r="C1868" s="231"/>
    </row>
    <row r="1869">
      <c r="A1869" s="245"/>
      <c r="B1869" s="231"/>
      <c r="C1869" s="231"/>
    </row>
    <row r="1870">
      <c r="A1870" s="245"/>
      <c r="B1870" s="231"/>
      <c r="C1870" s="231"/>
    </row>
    <row r="1871">
      <c r="A1871" s="245"/>
      <c r="B1871" s="231"/>
      <c r="C1871" s="231"/>
    </row>
    <row r="1872">
      <c r="A1872" s="245"/>
      <c r="B1872" s="231"/>
      <c r="C1872" s="231"/>
    </row>
    <row r="1873">
      <c r="A1873" s="245"/>
      <c r="B1873" s="231"/>
      <c r="C1873" s="231"/>
    </row>
    <row r="1874">
      <c r="A1874" s="245"/>
      <c r="B1874" s="231"/>
      <c r="C1874" s="231"/>
    </row>
    <row r="1875">
      <c r="A1875" s="245"/>
      <c r="B1875" s="231"/>
      <c r="C1875" s="231"/>
    </row>
    <row r="1876">
      <c r="A1876" s="245"/>
      <c r="B1876" s="231"/>
      <c r="C1876" s="231"/>
    </row>
    <row r="1877">
      <c r="A1877" s="245"/>
      <c r="B1877" s="231"/>
      <c r="C1877" s="231"/>
    </row>
    <row r="1878">
      <c r="A1878" s="245"/>
      <c r="B1878" s="231"/>
      <c r="C1878" s="231"/>
    </row>
    <row r="1879">
      <c r="A1879" s="245"/>
      <c r="B1879" s="231"/>
      <c r="C1879" s="231"/>
    </row>
    <row r="1880">
      <c r="A1880" s="245"/>
      <c r="B1880" s="231"/>
      <c r="C1880" s="231"/>
    </row>
    <row r="1881">
      <c r="A1881" s="245"/>
      <c r="B1881" s="231"/>
      <c r="C1881" s="231"/>
    </row>
    <row r="1882">
      <c r="A1882" s="245"/>
      <c r="B1882" s="231"/>
      <c r="C1882" s="231"/>
    </row>
    <row r="1883">
      <c r="A1883" s="245"/>
      <c r="B1883" s="231"/>
      <c r="C1883" s="231"/>
    </row>
    <row r="1884">
      <c r="A1884" s="245"/>
      <c r="B1884" s="231"/>
      <c r="C1884" s="231"/>
    </row>
    <row r="1885">
      <c r="A1885" s="245"/>
      <c r="B1885" s="231"/>
      <c r="C1885" s="231"/>
    </row>
    <row r="1886">
      <c r="A1886" s="245"/>
      <c r="B1886" s="231"/>
      <c r="C1886" s="231"/>
    </row>
    <row r="1887">
      <c r="A1887" s="245"/>
      <c r="B1887" s="231"/>
      <c r="C1887" s="231"/>
    </row>
    <row r="1888">
      <c r="A1888" s="245"/>
      <c r="B1888" s="231"/>
      <c r="C1888" s="231"/>
    </row>
    <row r="1889">
      <c r="A1889" s="245"/>
      <c r="B1889" s="231"/>
      <c r="C1889" s="231"/>
    </row>
    <row r="1890">
      <c r="A1890" s="245"/>
      <c r="B1890" s="231"/>
      <c r="C1890" s="231"/>
    </row>
    <row r="1891">
      <c r="A1891" s="245"/>
      <c r="B1891" s="231"/>
      <c r="C1891" s="231"/>
    </row>
    <row r="1892">
      <c r="A1892" s="245"/>
      <c r="B1892" s="231"/>
      <c r="C1892" s="231"/>
    </row>
    <row r="1893">
      <c r="A1893" s="245"/>
      <c r="B1893" s="231"/>
      <c r="C1893" s="231"/>
    </row>
    <row r="1894">
      <c r="A1894" s="245"/>
      <c r="B1894" s="231"/>
      <c r="C1894" s="231"/>
    </row>
    <row r="1895">
      <c r="A1895" s="245"/>
      <c r="B1895" s="231"/>
      <c r="C1895" s="231"/>
    </row>
    <row r="1896">
      <c r="A1896" s="245"/>
      <c r="B1896" s="231"/>
      <c r="C1896" s="231"/>
    </row>
    <row r="1897">
      <c r="A1897" s="245"/>
      <c r="B1897" s="231"/>
      <c r="C1897" s="231"/>
    </row>
    <row r="1898">
      <c r="A1898" s="245"/>
      <c r="B1898" s="231"/>
      <c r="C1898" s="231"/>
    </row>
    <row r="1899">
      <c r="A1899" s="245"/>
      <c r="B1899" s="231"/>
      <c r="C1899" s="231"/>
    </row>
    <row r="1900">
      <c r="A1900" s="245"/>
      <c r="B1900" s="231"/>
      <c r="C1900" s="231"/>
    </row>
    <row r="1901">
      <c r="A1901" s="245"/>
      <c r="B1901" s="231"/>
      <c r="C1901" s="231"/>
    </row>
    <row r="1902">
      <c r="A1902" s="245"/>
      <c r="B1902" s="231"/>
      <c r="C1902" s="231"/>
    </row>
    <row r="1903">
      <c r="A1903" s="245"/>
      <c r="B1903" s="231"/>
      <c r="C1903" s="231"/>
    </row>
    <row r="1904">
      <c r="A1904" s="245"/>
      <c r="B1904" s="231"/>
      <c r="C1904" s="231"/>
    </row>
    <row r="1905">
      <c r="A1905" s="245"/>
      <c r="B1905" s="231"/>
      <c r="C1905" s="231"/>
    </row>
    <row r="1906">
      <c r="A1906" s="245"/>
      <c r="B1906" s="231"/>
      <c r="C1906" s="231"/>
    </row>
    <row r="1907">
      <c r="A1907" s="245"/>
      <c r="B1907" s="231"/>
      <c r="C1907" s="231"/>
    </row>
    <row r="1908">
      <c r="A1908" s="245"/>
      <c r="B1908" s="231"/>
      <c r="C1908" s="231"/>
    </row>
    <row r="1909">
      <c r="A1909" s="245"/>
      <c r="B1909" s="231"/>
      <c r="C1909" s="231"/>
    </row>
    <row r="1910">
      <c r="A1910" s="245"/>
      <c r="B1910" s="231"/>
      <c r="C1910" s="231"/>
    </row>
    <row r="1911">
      <c r="A1911" s="245"/>
      <c r="B1911" s="231"/>
      <c r="C1911" s="231"/>
    </row>
    <row r="1912">
      <c r="A1912" s="245"/>
      <c r="B1912" s="231"/>
      <c r="C1912" s="231"/>
    </row>
    <row r="1913">
      <c r="A1913" s="245"/>
      <c r="B1913" s="231"/>
      <c r="C1913" s="231"/>
    </row>
    <row r="1914">
      <c r="A1914" s="245"/>
      <c r="B1914" s="231"/>
      <c r="C1914" s="231"/>
    </row>
    <row r="1915">
      <c r="A1915" s="245"/>
      <c r="B1915" s="231"/>
      <c r="C1915" s="231"/>
    </row>
    <row r="1916">
      <c r="A1916" s="245"/>
      <c r="B1916" s="231"/>
      <c r="C1916" s="231"/>
    </row>
    <row r="1917">
      <c r="A1917" s="245"/>
      <c r="B1917" s="231"/>
      <c r="C1917" s="231"/>
    </row>
    <row r="1918">
      <c r="A1918" s="245"/>
      <c r="B1918" s="231"/>
      <c r="C1918" s="231"/>
    </row>
    <row r="1919">
      <c r="A1919" s="245"/>
      <c r="B1919" s="231"/>
      <c r="C1919" s="231"/>
    </row>
    <row r="1920">
      <c r="A1920" s="245"/>
      <c r="B1920" s="231"/>
      <c r="C1920" s="231"/>
    </row>
    <row r="1921">
      <c r="A1921" s="245"/>
      <c r="B1921" s="231"/>
      <c r="C1921" s="231"/>
    </row>
    <row r="1922">
      <c r="A1922" s="245"/>
      <c r="B1922" s="231"/>
      <c r="C1922" s="231"/>
    </row>
    <row r="1923">
      <c r="A1923" s="245"/>
      <c r="B1923" s="231"/>
      <c r="C1923" s="231"/>
    </row>
    <row r="1924">
      <c r="A1924" s="245"/>
      <c r="B1924" s="231"/>
      <c r="C1924" s="231"/>
    </row>
    <row r="1925">
      <c r="A1925" s="245"/>
      <c r="B1925" s="231"/>
      <c r="C1925" s="231"/>
    </row>
    <row r="1926">
      <c r="A1926" s="245"/>
      <c r="B1926" s="231"/>
      <c r="C1926" s="231"/>
    </row>
    <row r="1927">
      <c r="A1927" s="245"/>
      <c r="B1927" s="231"/>
      <c r="C1927" s="231"/>
    </row>
    <row r="1928">
      <c r="A1928" s="245"/>
      <c r="B1928" s="231"/>
      <c r="C1928" s="231"/>
    </row>
    <row r="1929">
      <c r="A1929" s="245"/>
      <c r="B1929" s="231"/>
      <c r="C1929" s="231"/>
    </row>
    <row r="1930">
      <c r="A1930" s="245"/>
      <c r="B1930" s="231"/>
      <c r="C1930" s="231"/>
    </row>
    <row r="1931">
      <c r="A1931" s="245"/>
      <c r="B1931" s="231"/>
      <c r="C1931" s="231"/>
    </row>
    <row r="1932">
      <c r="A1932" s="245"/>
      <c r="B1932" s="231"/>
      <c r="C1932" s="231"/>
    </row>
    <row r="1933">
      <c r="A1933" s="245"/>
      <c r="B1933" s="231"/>
      <c r="C1933" s="231"/>
    </row>
    <row r="1934">
      <c r="A1934" s="245"/>
      <c r="B1934" s="231"/>
      <c r="C1934" s="231"/>
    </row>
    <row r="1935">
      <c r="A1935" s="245"/>
      <c r="B1935" s="231"/>
      <c r="C1935" s="231"/>
    </row>
    <row r="1936">
      <c r="A1936" s="245"/>
      <c r="B1936" s="231"/>
      <c r="C1936" s="231"/>
    </row>
    <row r="1937">
      <c r="A1937" s="245"/>
      <c r="B1937" s="231"/>
      <c r="C1937" s="231"/>
    </row>
    <row r="1938">
      <c r="A1938" s="245"/>
      <c r="B1938" s="231"/>
      <c r="C1938" s="231"/>
    </row>
    <row r="1939">
      <c r="A1939" s="245"/>
      <c r="B1939" s="231"/>
      <c r="C1939" s="231"/>
    </row>
    <row r="1940">
      <c r="A1940" s="245"/>
      <c r="B1940" s="231"/>
      <c r="C1940" s="231"/>
    </row>
    <row r="1941">
      <c r="A1941" s="245"/>
      <c r="B1941" s="231"/>
      <c r="C1941" s="231"/>
    </row>
    <row r="1942">
      <c r="A1942" s="245"/>
      <c r="B1942" s="231"/>
      <c r="C1942" s="231"/>
    </row>
    <row r="1943">
      <c r="A1943" s="245"/>
      <c r="B1943" s="231"/>
      <c r="C1943" s="231"/>
    </row>
    <row r="1944">
      <c r="A1944" s="245"/>
      <c r="B1944" s="231"/>
      <c r="C1944" s="231"/>
    </row>
    <row r="1945">
      <c r="A1945" s="245"/>
      <c r="B1945" s="231"/>
      <c r="C1945" s="231"/>
    </row>
    <row r="1946">
      <c r="A1946" s="245"/>
      <c r="B1946" s="231"/>
      <c r="C1946" s="231"/>
    </row>
    <row r="1947">
      <c r="A1947" s="245"/>
      <c r="B1947" s="231"/>
      <c r="C1947" s="231"/>
    </row>
    <row r="1948">
      <c r="A1948" s="245"/>
      <c r="B1948" s="231"/>
      <c r="C1948" s="231"/>
    </row>
    <row r="1949">
      <c r="A1949" s="245"/>
      <c r="B1949" s="231"/>
      <c r="C1949" s="231"/>
    </row>
    <row r="1950">
      <c r="A1950" s="245"/>
      <c r="B1950" s="231"/>
      <c r="C1950" s="231"/>
    </row>
    <row r="1951">
      <c r="A1951" s="245"/>
      <c r="B1951" s="231"/>
      <c r="C1951" s="231"/>
    </row>
    <row r="1952">
      <c r="A1952" s="245"/>
      <c r="B1952" s="231"/>
      <c r="C1952" s="231"/>
    </row>
    <row r="1953">
      <c r="A1953" s="245"/>
      <c r="B1953" s="231"/>
      <c r="C1953" s="231"/>
    </row>
    <row r="1954">
      <c r="A1954" s="245"/>
      <c r="B1954" s="231"/>
      <c r="C1954" s="231"/>
    </row>
    <row r="1955">
      <c r="A1955" s="245"/>
      <c r="B1955" s="231"/>
      <c r="C1955" s="231"/>
    </row>
    <row r="1956">
      <c r="A1956" s="245"/>
      <c r="B1956" s="231"/>
      <c r="C1956" s="231"/>
    </row>
    <row r="1957">
      <c r="A1957" s="245"/>
      <c r="B1957" s="231"/>
      <c r="C1957" s="231"/>
    </row>
    <row r="1958">
      <c r="A1958" s="245"/>
      <c r="B1958" s="231"/>
      <c r="C1958" s="231"/>
    </row>
    <row r="1959">
      <c r="A1959" s="245"/>
      <c r="B1959" s="231"/>
      <c r="C1959" s="231"/>
    </row>
    <row r="1960">
      <c r="A1960" s="245"/>
      <c r="B1960" s="231"/>
      <c r="C1960" s="231"/>
    </row>
    <row r="1961">
      <c r="A1961" s="245"/>
      <c r="B1961" s="231"/>
      <c r="C1961" s="231"/>
    </row>
    <row r="1962">
      <c r="A1962" s="245"/>
      <c r="B1962" s="231"/>
      <c r="C1962" s="231"/>
    </row>
    <row r="1963">
      <c r="A1963" s="245"/>
      <c r="B1963" s="231"/>
      <c r="C1963" s="231"/>
    </row>
    <row r="1964">
      <c r="A1964" s="245"/>
      <c r="B1964" s="231"/>
      <c r="C1964" s="231"/>
    </row>
    <row r="1965">
      <c r="A1965" s="245"/>
      <c r="B1965" s="231"/>
      <c r="C1965" s="231"/>
    </row>
    <row r="1966">
      <c r="A1966" s="245"/>
      <c r="B1966" s="231"/>
      <c r="C1966" s="231"/>
    </row>
    <row r="1967">
      <c r="A1967" s="245"/>
      <c r="B1967" s="231"/>
      <c r="C1967" s="231"/>
    </row>
    <row r="1968">
      <c r="A1968" s="245"/>
      <c r="B1968" s="231"/>
      <c r="C1968" s="231"/>
    </row>
    <row r="1969">
      <c r="A1969" s="245"/>
      <c r="B1969" s="231"/>
      <c r="C1969" s="231"/>
    </row>
    <row r="1970">
      <c r="A1970" s="245"/>
      <c r="B1970" s="231"/>
      <c r="C1970" s="231"/>
    </row>
    <row r="1971">
      <c r="A1971" s="245"/>
      <c r="B1971" s="231"/>
      <c r="C1971" s="231"/>
    </row>
    <row r="1972">
      <c r="A1972" s="245"/>
      <c r="B1972" s="231"/>
      <c r="C1972" s="231"/>
    </row>
    <row r="1973">
      <c r="A1973" s="245"/>
      <c r="B1973" s="231"/>
      <c r="C1973" s="231"/>
    </row>
    <row r="1974">
      <c r="A1974" s="245"/>
      <c r="B1974" s="231"/>
      <c r="C1974" s="231"/>
    </row>
    <row r="1975">
      <c r="A1975" s="245"/>
      <c r="B1975" s="231"/>
      <c r="C1975" s="231"/>
    </row>
    <row r="1976">
      <c r="A1976" s="245"/>
      <c r="B1976" s="231"/>
      <c r="C1976" s="231"/>
    </row>
    <row r="1977">
      <c r="A1977" s="245"/>
      <c r="B1977" s="231"/>
      <c r="C1977" s="231"/>
    </row>
    <row r="1978">
      <c r="A1978" s="245"/>
      <c r="B1978" s="231"/>
      <c r="C1978" s="231"/>
    </row>
    <row r="1979">
      <c r="A1979" s="245"/>
      <c r="B1979" s="231"/>
      <c r="C1979" s="231"/>
    </row>
    <row r="1980">
      <c r="A1980" s="245"/>
      <c r="B1980" s="231"/>
      <c r="C1980" s="231"/>
    </row>
    <row r="1981">
      <c r="A1981" s="245"/>
      <c r="B1981" s="231"/>
      <c r="C1981" s="231"/>
    </row>
    <row r="1982">
      <c r="A1982" s="245"/>
      <c r="B1982" s="231"/>
      <c r="C1982" s="231"/>
    </row>
    <row r="1983">
      <c r="A1983" s="245"/>
      <c r="B1983" s="231"/>
      <c r="C1983" s="231"/>
    </row>
    <row r="1984">
      <c r="A1984" s="245"/>
      <c r="B1984" s="231"/>
      <c r="C1984" s="231"/>
    </row>
    <row r="1985">
      <c r="A1985" s="245"/>
      <c r="B1985" s="231"/>
      <c r="C1985" s="231"/>
    </row>
    <row r="1986">
      <c r="A1986" s="245"/>
      <c r="B1986" s="231"/>
      <c r="C1986" s="231"/>
    </row>
    <row r="1987">
      <c r="A1987" s="245"/>
      <c r="B1987" s="231"/>
      <c r="C1987" s="231"/>
    </row>
    <row r="1988">
      <c r="A1988" s="245"/>
      <c r="B1988" s="231"/>
      <c r="C1988" s="231"/>
    </row>
    <row r="1989">
      <c r="A1989" s="245"/>
      <c r="B1989" s="231"/>
      <c r="C1989" s="231"/>
    </row>
    <row r="1990">
      <c r="A1990" s="245"/>
      <c r="B1990" s="231"/>
      <c r="C1990" s="231"/>
    </row>
    <row r="1991">
      <c r="A1991" s="245"/>
      <c r="B1991" s="231"/>
      <c r="C1991" s="231"/>
    </row>
    <row r="1992">
      <c r="A1992" s="245"/>
      <c r="B1992" s="231"/>
      <c r="C1992" s="231"/>
    </row>
    <row r="1993">
      <c r="A1993" s="245"/>
      <c r="B1993" s="231"/>
      <c r="C1993" s="231"/>
    </row>
    <row r="1994">
      <c r="A1994" s="245"/>
      <c r="B1994" s="231"/>
      <c r="C1994" s="231"/>
    </row>
    <row r="1995">
      <c r="A1995" s="245"/>
      <c r="B1995" s="231"/>
      <c r="C1995" s="231"/>
    </row>
    <row r="1996">
      <c r="A1996" s="245"/>
      <c r="B1996" s="231"/>
      <c r="C1996" s="231"/>
    </row>
    <row r="1997">
      <c r="A1997" s="245"/>
      <c r="B1997" s="231"/>
      <c r="C1997" s="231"/>
    </row>
    <row r="1998">
      <c r="A1998" s="245"/>
      <c r="B1998" s="231"/>
      <c r="C1998" s="231"/>
    </row>
    <row r="1999">
      <c r="A1999" s="245"/>
      <c r="B1999" s="231"/>
      <c r="C1999" s="231"/>
    </row>
    <row r="2000">
      <c r="A2000" s="245"/>
      <c r="B2000" s="231"/>
      <c r="C2000" s="231"/>
    </row>
    <row r="2001">
      <c r="A2001" s="245"/>
      <c r="B2001" s="231"/>
      <c r="C2001" s="231"/>
    </row>
    <row r="2002">
      <c r="A2002" s="245"/>
      <c r="B2002" s="231"/>
      <c r="C2002" s="231"/>
    </row>
    <row r="2003">
      <c r="A2003" s="245"/>
      <c r="B2003" s="231"/>
      <c r="C2003" s="231"/>
    </row>
    <row r="2004">
      <c r="A2004" s="245"/>
      <c r="B2004" s="231"/>
      <c r="C2004" s="231"/>
    </row>
    <row r="2005">
      <c r="A2005" s="245"/>
      <c r="B2005" s="231"/>
      <c r="C2005" s="231"/>
    </row>
    <row r="2006">
      <c r="A2006" s="245"/>
      <c r="B2006" s="231"/>
      <c r="C2006" s="231"/>
    </row>
    <row r="2007">
      <c r="A2007" s="245"/>
      <c r="B2007" s="231"/>
      <c r="C2007" s="231"/>
    </row>
    <row r="2008">
      <c r="A2008" s="245"/>
      <c r="B2008" s="231"/>
      <c r="C2008" s="231"/>
    </row>
    <row r="2009">
      <c r="A2009" s="245"/>
      <c r="B2009" s="231"/>
      <c r="C2009" s="231"/>
    </row>
    <row r="2010">
      <c r="A2010" s="245"/>
      <c r="B2010" s="231"/>
      <c r="C2010" s="231"/>
    </row>
    <row r="2011">
      <c r="A2011" s="245"/>
      <c r="B2011" s="231"/>
      <c r="C2011" s="231"/>
    </row>
    <row r="2012">
      <c r="A2012" s="245"/>
      <c r="B2012" s="231"/>
      <c r="C2012" s="231"/>
    </row>
    <row r="2013">
      <c r="A2013" s="245"/>
      <c r="B2013" s="231"/>
      <c r="C2013" s="231"/>
    </row>
    <row r="2014">
      <c r="A2014" s="245"/>
      <c r="B2014" s="231"/>
      <c r="C2014" s="231"/>
    </row>
    <row r="2015">
      <c r="A2015" s="245"/>
      <c r="B2015" s="231"/>
      <c r="C2015" s="231"/>
    </row>
    <row r="2016">
      <c r="A2016" s="245"/>
      <c r="B2016" s="231"/>
      <c r="C2016" s="231"/>
    </row>
    <row r="2017">
      <c r="A2017" s="245"/>
      <c r="B2017" s="231"/>
      <c r="C2017" s="231"/>
    </row>
    <row r="2018">
      <c r="A2018" s="245"/>
      <c r="B2018" s="231"/>
      <c r="C2018" s="231"/>
    </row>
    <row r="2019">
      <c r="A2019" s="245"/>
      <c r="B2019" s="231"/>
      <c r="C2019" s="231"/>
    </row>
    <row r="2020">
      <c r="A2020" s="245"/>
      <c r="B2020" s="231"/>
      <c r="C2020" s="231"/>
    </row>
    <row r="2021">
      <c r="A2021" s="245"/>
      <c r="B2021" s="231"/>
      <c r="C2021" s="231"/>
    </row>
    <row r="2022">
      <c r="A2022" s="245"/>
      <c r="B2022" s="231"/>
      <c r="C2022" s="231"/>
    </row>
    <row r="2023">
      <c r="A2023" s="245"/>
      <c r="B2023" s="231"/>
      <c r="C2023" s="231"/>
    </row>
    <row r="2024">
      <c r="A2024" s="245"/>
      <c r="B2024" s="231"/>
      <c r="C2024" s="231"/>
    </row>
    <row r="2025">
      <c r="A2025" s="245"/>
      <c r="B2025" s="231"/>
      <c r="C2025" s="231"/>
    </row>
    <row r="2026">
      <c r="A2026" s="245"/>
      <c r="B2026" s="231"/>
      <c r="C2026" s="231"/>
    </row>
    <row r="2027">
      <c r="A2027" s="245"/>
      <c r="B2027" s="231"/>
      <c r="C2027" s="231"/>
    </row>
    <row r="2028">
      <c r="A2028" s="245"/>
      <c r="B2028" s="231"/>
      <c r="C2028" s="231"/>
    </row>
    <row r="2029">
      <c r="A2029" s="245"/>
      <c r="B2029" s="231"/>
      <c r="C2029" s="231"/>
    </row>
    <row r="2030">
      <c r="A2030" s="245"/>
      <c r="B2030" s="231"/>
      <c r="C2030" s="231"/>
    </row>
    <row r="2031">
      <c r="A2031" s="245"/>
      <c r="B2031" s="231"/>
      <c r="C2031" s="231"/>
    </row>
    <row r="2032">
      <c r="A2032" s="245"/>
      <c r="B2032" s="231"/>
      <c r="C2032" s="231"/>
    </row>
    <row r="2033">
      <c r="A2033" s="245"/>
      <c r="B2033" s="231"/>
      <c r="C2033" s="231"/>
    </row>
    <row r="2034">
      <c r="A2034" s="245"/>
      <c r="B2034" s="231"/>
      <c r="C2034" s="231"/>
    </row>
    <row r="2035">
      <c r="A2035" s="245"/>
      <c r="B2035" s="231"/>
      <c r="C2035" s="231"/>
    </row>
    <row r="2036">
      <c r="A2036" s="245"/>
      <c r="B2036" s="231"/>
      <c r="C2036" s="231"/>
    </row>
    <row r="2037">
      <c r="A2037" s="245"/>
      <c r="B2037" s="231"/>
      <c r="C2037" s="231"/>
    </row>
    <row r="2038">
      <c r="A2038" s="245"/>
      <c r="B2038" s="231"/>
      <c r="C2038" s="231"/>
    </row>
    <row r="2039">
      <c r="A2039" s="245"/>
      <c r="B2039" s="231"/>
      <c r="C2039" s="231"/>
    </row>
    <row r="2040">
      <c r="A2040" s="245"/>
      <c r="B2040" s="231"/>
      <c r="C2040" s="231"/>
    </row>
    <row r="2041">
      <c r="A2041" s="245"/>
      <c r="B2041" s="231"/>
      <c r="C2041" s="231"/>
    </row>
    <row r="2042">
      <c r="A2042" s="245"/>
      <c r="B2042" s="231"/>
      <c r="C2042" s="231"/>
    </row>
    <row r="2043">
      <c r="A2043" s="245"/>
      <c r="B2043" s="231"/>
      <c r="C2043" s="231"/>
    </row>
    <row r="2044">
      <c r="A2044" s="245"/>
      <c r="B2044" s="231"/>
      <c r="C2044" s="231"/>
    </row>
    <row r="2045">
      <c r="A2045" s="245"/>
      <c r="B2045" s="231"/>
      <c r="C2045" s="231"/>
    </row>
    <row r="2046">
      <c r="A2046" s="245"/>
      <c r="B2046" s="231"/>
      <c r="C2046" s="231"/>
    </row>
    <row r="2047">
      <c r="A2047" s="245"/>
      <c r="B2047" s="231"/>
      <c r="C2047" s="231"/>
    </row>
    <row r="2048">
      <c r="A2048" s="245"/>
      <c r="B2048" s="231"/>
      <c r="C2048" s="231"/>
    </row>
    <row r="2049">
      <c r="A2049" s="245"/>
      <c r="B2049" s="231"/>
      <c r="C2049" s="231"/>
    </row>
    <row r="2050">
      <c r="A2050" s="245"/>
      <c r="B2050" s="231"/>
      <c r="C2050" s="231"/>
    </row>
    <row r="2051">
      <c r="A2051" s="245"/>
      <c r="B2051" s="231"/>
      <c r="C2051" s="231"/>
    </row>
    <row r="2052">
      <c r="A2052" s="245"/>
      <c r="B2052" s="231"/>
      <c r="C2052" s="231"/>
    </row>
    <row r="2053">
      <c r="A2053" s="245"/>
      <c r="B2053" s="231"/>
      <c r="C2053" s="231"/>
    </row>
    <row r="2054">
      <c r="A2054" s="245"/>
      <c r="B2054" s="231"/>
      <c r="C2054" s="231"/>
    </row>
    <row r="2055">
      <c r="A2055" s="245"/>
      <c r="B2055" s="231"/>
      <c r="C2055" s="231"/>
    </row>
    <row r="2056">
      <c r="A2056" s="245"/>
      <c r="B2056" s="231"/>
      <c r="C2056" s="231"/>
    </row>
    <row r="2057">
      <c r="A2057" s="245"/>
      <c r="B2057" s="231"/>
      <c r="C2057" s="231"/>
    </row>
    <row r="2058">
      <c r="A2058" s="245"/>
      <c r="B2058" s="231"/>
      <c r="C2058" s="231"/>
    </row>
    <row r="2059">
      <c r="A2059" s="245"/>
      <c r="B2059" s="231"/>
      <c r="C2059" s="231"/>
    </row>
    <row r="2060">
      <c r="A2060" s="245"/>
      <c r="B2060" s="231"/>
      <c r="C2060" s="231"/>
    </row>
    <row r="2061">
      <c r="A2061" s="245"/>
      <c r="B2061" s="231"/>
      <c r="C2061" s="231"/>
    </row>
    <row r="2062">
      <c r="A2062" s="245"/>
      <c r="B2062" s="231"/>
      <c r="C2062" s="231"/>
    </row>
    <row r="2063">
      <c r="A2063" s="245"/>
      <c r="B2063" s="231"/>
      <c r="C2063" s="231"/>
    </row>
    <row r="2064">
      <c r="A2064" s="245"/>
      <c r="B2064" s="231"/>
      <c r="C2064" s="231"/>
    </row>
    <row r="2065">
      <c r="A2065" s="245"/>
      <c r="B2065" s="231"/>
      <c r="C2065" s="231"/>
    </row>
    <row r="2066">
      <c r="A2066" s="245"/>
      <c r="B2066" s="231"/>
      <c r="C2066" s="231"/>
    </row>
    <row r="2067">
      <c r="A2067" s="245"/>
      <c r="B2067" s="231"/>
      <c r="C2067" s="231"/>
    </row>
    <row r="2068">
      <c r="A2068" s="245"/>
      <c r="B2068" s="231"/>
      <c r="C2068" s="231"/>
    </row>
    <row r="2069">
      <c r="A2069" s="245"/>
      <c r="B2069" s="231"/>
      <c r="C2069" s="231"/>
    </row>
    <row r="2070">
      <c r="A2070" s="245"/>
      <c r="B2070" s="231"/>
      <c r="C2070" s="231"/>
    </row>
    <row r="2071">
      <c r="A2071" s="245"/>
      <c r="B2071" s="231"/>
      <c r="C2071" s="231"/>
    </row>
    <row r="2072">
      <c r="A2072" s="245"/>
      <c r="B2072" s="231"/>
      <c r="C2072" s="231"/>
    </row>
    <row r="2073">
      <c r="A2073" s="245"/>
      <c r="B2073" s="231"/>
      <c r="C2073" s="231"/>
    </row>
    <row r="2074">
      <c r="A2074" s="245"/>
      <c r="B2074" s="231"/>
      <c r="C2074" s="231"/>
    </row>
    <row r="2075">
      <c r="A2075" s="245"/>
      <c r="B2075" s="231"/>
      <c r="C2075" s="231"/>
    </row>
    <row r="2076">
      <c r="A2076" s="245"/>
      <c r="B2076" s="231"/>
      <c r="C2076" s="231"/>
    </row>
    <row r="2077">
      <c r="A2077" s="245"/>
      <c r="B2077" s="231"/>
      <c r="C2077" s="231"/>
    </row>
    <row r="2078">
      <c r="A2078" s="245"/>
      <c r="B2078" s="231"/>
      <c r="C2078" s="231"/>
    </row>
    <row r="2079">
      <c r="A2079" s="245"/>
      <c r="B2079" s="231"/>
      <c r="C2079" s="231"/>
    </row>
    <row r="2080">
      <c r="A2080" s="245"/>
      <c r="B2080" s="231"/>
      <c r="C2080" s="231"/>
    </row>
    <row r="2081">
      <c r="A2081" s="245"/>
      <c r="B2081" s="231"/>
      <c r="C2081" s="231"/>
    </row>
    <row r="2082">
      <c r="A2082" s="245"/>
      <c r="B2082" s="231"/>
      <c r="C2082" s="231"/>
    </row>
    <row r="2083">
      <c r="A2083" s="245"/>
      <c r="B2083" s="231"/>
      <c r="C2083" s="231"/>
    </row>
    <row r="2084">
      <c r="A2084" s="245"/>
      <c r="B2084" s="231"/>
      <c r="C2084" s="231"/>
    </row>
    <row r="2085">
      <c r="A2085" s="245"/>
      <c r="B2085" s="231"/>
      <c r="C2085" s="231"/>
    </row>
    <row r="2086">
      <c r="A2086" s="245"/>
      <c r="B2086" s="231"/>
      <c r="C2086" s="231"/>
    </row>
    <row r="2087">
      <c r="A2087" s="245"/>
      <c r="B2087" s="231"/>
      <c r="C2087" s="231"/>
    </row>
    <row r="2088">
      <c r="A2088" s="245"/>
      <c r="B2088" s="231"/>
      <c r="C2088" s="231"/>
    </row>
    <row r="2089">
      <c r="A2089" s="245"/>
      <c r="B2089" s="231"/>
      <c r="C2089" s="231"/>
    </row>
    <row r="2090">
      <c r="A2090" s="245"/>
      <c r="B2090" s="231"/>
      <c r="C2090" s="231"/>
    </row>
    <row r="2091">
      <c r="A2091" s="245"/>
      <c r="B2091" s="231"/>
      <c r="C2091" s="231"/>
    </row>
    <row r="2092">
      <c r="A2092" s="245"/>
      <c r="B2092" s="231"/>
      <c r="C2092" s="231"/>
    </row>
    <row r="2093">
      <c r="A2093" s="245"/>
      <c r="B2093" s="231"/>
      <c r="C2093" s="231"/>
    </row>
    <row r="2094">
      <c r="A2094" s="245"/>
      <c r="B2094" s="231"/>
      <c r="C2094" s="231"/>
    </row>
    <row r="2095">
      <c r="A2095" s="245"/>
      <c r="B2095" s="231"/>
      <c r="C2095" s="231"/>
    </row>
    <row r="2096">
      <c r="A2096" s="245"/>
      <c r="B2096" s="231"/>
      <c r="C2096" s="231"/>
    </row>
    <row r="2097">
      <c r="A2097" s="245"/>
      <c r="B2097" s="231"/>
      <c r="C2097" s="231"/>
    </row>
    <row r="2098">
      <c r="A2098" s="245"/>
      <c r="B2098" s="231"/>
      <c r="C2098" s="231"/>
    </row>
    <row r="2099">
      <c r="A2099" s="245"/>
      <c r="B2099" s="231"/>
      <c r="C2099" s="231"/>
    </row>
    <row r="2100">
      <c r="A2100" s="245"/>
      <c r="B2100" s="231"/>
      <c r="C2100" s="231"/>
    </row>
    <row r="2101">
      <c r="A2101" s="245"/>
      <c r="B2101" s="231"/>
      <c r="C2101" s="231"/>
    </row>
    <row r="2102">
      <c r="A2102" s="245"/>
      <c r="B2102" s="231"/>
      <c r="C2102" s="231"/>
    </row>
    <row r="2103">
      <c r="A2103" s="245"/>
      <c r="B2103" s="231"/>
      <c r="C2103" s="231"/>
    </row>
    <row r="2104">
      <c r="A2104" s="245"/>
      <c r="B2104" s="231"/>
      <c r="C2104" s="231"/>
    </row>
    <row r="2105">
      <c r="A2105" s="245"/>
      <c r="B2105" s="231"/>
      <c r="C2105" s="231"/>
    </row>
    <row r="2106">
      <c r="A2106" s="245"/>
      <c r="B2106" s="231"/>
      <c r="C2106" s="231"/>
    </row>
    <row r="2107">
      <c r="A2107" s="245"/>
      <c r="B2107" s="231"/>
      <c r="C2107" s="231"/>
    </row>
    <row r="2108">
      <c r="A2108" s="245"/>
      <c r="B2108" s="231"/>
      <c r="C2108" s="231"/>
    </row>
    <row r="2109">
      <c r="A2109" s="245"/>
      <c r="B2109" s="231"/>
      <c r="C2109" s="231"/>
    </row>
    <row r="2110">
      <c r="A2110" s="245"/>
      <c r="B2110" s="231"/>
      <c r="C2110" s="231"/>
    </row>
    <row r="2111">
      <c r="A2111" s="245"/>
      <c r="B2111" s="231"/>
      <c r="C2111" s="231"/>
    </row>
    <row r="2112">
      <c r="A2112" s="245"/>
      <c r="B2112" s="231"/>
      <c r="C2112" s="231"/>
    </row>
    <row r="2113">
      <c r="A2113" s="245"/>
      <c r="B2113" s="231"/>
      <c r="C2113" s="231"/>
    </row>
    <row r="2114">
      <c r="A2114" s="245"/>
      <c r="B2114" s="231"/>
      <c r="C2114" s="231"/>
    </row>
    <row r="2115">
      <c r="A2115" s="245"/>
      <c r="B2115" s="231"/>
      <c r="C2115" s="231"/>
    </row>
    <row r="2116">
      <c r="A2116" s="245"/>
      <c r="B2116" s="231"/>
      <c r="C2116" s="231"/>
    </row>
    <row r="2117">
      <c r="A2117" s="245"/>
      <c r="B2117" s="231"/>
      <c r="C2117" s="231"/>
    </row>
    <row r="2118">
      <c r="A2118" s="245"/>
      <c r="B2118" s="231"/>
      <c r="C2118" s="231"/>
    </row>
    <row r="2119">
      <c r="A2119" s="245"/>
      <c r="B2119" s="231"/>
      <c r="C2119" s="231"/>
    </row>
    <row r="2120">
      <c r="A2120" s="245"/>
      <c r="B2120" s="231"/>
      <c r="C2120" s="231"/>
    </row>
    <row r="2121">
      <c r="A2121" s="245"/>
      <c r="B2121" s="231"/>
      <c r="C2121" s="231"/>
    </row>
    <row r="2122">
      <c r="A2122" s="245"/>
      <c r="B2122" s="231"/>
      <c r="C2122" s="231"/>
    </row>
    <row r="2123">
      <c r="A2123" s="245"/>
      <c r="B2123" s="231"/>
      <c r="C2123" s="231"/>
    </row>
    <row r="2124">
      <c r="A2124" s="245"/>
      <c r="B2124" s="231"/>
      <c r="C2124" s="231"/>
    </row>
    <row r="2125">
      <c r="A2125" s="245"/>
      <c r="B2125" s="231"/>
      <c r="C2125" s="231"/>
    </row>
    <row r="2126">
      <c r="A2126" s="245"/>
      <c r="B2126" s="231"/>
      <c r="C2126" s="231"/>
    </row>
    <row r="2127">
      <c r="A2127" s="245"/>
      <c r="B2127" s="231"/>
      <c r="C2127" s="231"/>
    </row>
    <row r="2128">
      <c r="A2128" s="245"/>
      <c r="B2128" s="231"/>
      <c r="C2128" s="231"/>
    </row>
    <row r="2129">
      <c r="A2129" s="245"/>
      <c r="B2129" s="231"/>
      <c r="C2129" s="231"/>
    </row>
    <row r="2130">
      <c r="A2130" s="245"/>
      <c r="B2130" s="231"/>
      <c r="C2130" s="231"/>
    </row>
    <row r="2131">
      <c r="A2131" s="245"/>
      <c r="B2131" s="231"/>
      <c r="C2131" s="231"/>
    </row>
    <row r="2132">
      <c r="A2132" s="245"/>
      <c r="B2132" s="231"/>
      <c r="C2132" s="231"/>
    </row>
    <row r="2133">
      <c r="A2133" s="245"/>
      <c r="B2133" s="231"/>
      <c r="C2133" s="231"/>
    </row>
    <row r="2134">
      <c r="A2134" s="245"/>
      <c r="B2134" s="231"/>
      <c r="C2134" s="231"/>
    </row>
    <row r="2135">
      <c r="A2135" s="245"/>
      <c r="B2135" s="231"/>
      <c r="C2135" s="231"/>
    </row>
    <row r="2136">
      <c r="A2136" s="245"/>
      <c r="B2136" s="231"/>
      <c r="C2136" s="231"/>
    </row>
    <row r="2137">
      <c r="A2137" s="245"/>
      <c r="B2137" s="231"/>
      <c r="C2137" s="231"/>
    </row>
    <row r="2138">
      <c r="A2138" s="245"/>
      <c r="B2138" s="231"/>
      <c r="C2138" s="231"/>
    </row>
    <row r="2139">
      <c r="A2139" s="245"/>
      <c r="B2139" s="231"/>
      <c r="C2139" s="231"/>
    </row>
    <row r="2140">
      <c r="A2140" s="245"/>
      <c r="B2140" s="231"/>
      <c r="C2140" s="231"/>
    </row>
    <row r="2141">
      <c r="A2141" s="245"/>
      <c r="B2141" s="231"/>
      <c r="C2141" s="231"/>
    </row>
    <row r="2142">
      <c r="A2142" s="245"/>
      <c r="B2142" s="231"/>
      <c r="C2142" s="231"/>
    </row>
    <row r="2143">
      <c r="A2143" s="245"/>
      <c r="B2143" s="231"/>
      <c r="C2143" s="231"/>
    </row>
    <row r="2144">
      <c r="A2144" s="245"/>
      <c r="B2144" s="231"/>
      <c r="C2144" s="231"/>
    </row>
    <row r="2145">
      <c r="A2145" s="245"/>
      <c r="B2145" s="231"/>
      <c r="C2145" s="231"/>
    </row>
    <row r="2146">
      <c r="A2146" s="245"/>
      <c r="B2146" s="231"/>
      <c r="C2146" s="231"/>
    </row>
    <row r="2147">
      <c r="A2147" s="245"/>
      <c r="B2147" s="231"/>
      <c r="C2147" s="231"/>
    </row>
    <row r="2148">
      <c r="A2148" s="245"/>
      <c r="B2148" s="231"/>
      <c r="C2148" s="231"/>
    </row>
    <row r="2149">
      <c r="A2149" s="245"/>
      <c r="B2149" s="231"/>
      <c r="C2149" s="231"/>
    </row>
    <row r="2150">
      <c r="A2150" s="245"/>
      <c r="B2150" s="231"/>
      <c r="C2150" s="231"/>
    </row>
    <row r="2151">
      <c r="A2151" s="245"/>
      <c r="B2151" s="231"/>
      <c r="C2151" s="231"/>
    </row>
    <row r="2152">
      <c r="A2152" s="245"/>
      <c r="B2152" s="231"/>
      <c r="C2152" s="231"/>
    </row>
    <row r="2153">
      <c r="A2153" s="245"/>
      <c r="B2153" s="231"/>
      <c r="C2153" s="231"/>
    </row>
    <row r="2154">
      <c r="A2154" s="245"/>
      <c r="B2154" s="231"/>
      <c r="C2154" s="231"/>
    </row>
    <row r="2155">
      <c r="A2155" s="245"/>
      <c r="B2155" s="231"/>
      <c r="C2155" s="231"/>
    </row>
    <row r="2156">
      <c r="A2156" s="245"/>
      <c r="B2156" s="231"/>
      <c r="C2156" s="231"/>
    </row>
    <row r="2157">
      <c r="A2157" s="245"/>
      <c r="B2157" s="231"/>
      <c r="C2157" s="231"/>
    </row>
    <row r="2158">
      <c r="A2158" s="245"/>
      <c r="B2158" s="231"/>
      <c r="C2158" s="231"/>
    </row>
    <row r="2159">
      <c r="A2159" s="245"/>
      <c r="B2159" s="231"/>
      <c r="C2159" s="231"/>
    </row>
    <row r="2160">
      <c r="A2160" s="245"/>
      <c r="B2160" s="231"/>
      <c r="C2160" s="231"/>
    </row>
    <row r="2161">
      <c r="A2161" s="245"/>
      <c r="B2161" s="231"/>
      <c r="C2161" s="231"/>
    </row>
    <row r="2162">
      <c r="A2162" s="245"/>
      <c r="B2162" s="231"/>
      <c r="C2162" s="231"/>
    </row>
    <row r="2163">
      <c r="A2163" s="245"/>
      <c r="B2163" s="231"/>
      <c r="C2163" s="231"/>
    </row>
    <row r="2164">
      <c r="A2164" s="245"/>
      <c r="B2164" s="231"/>
      <c r="C2164" s="231"/>
    </row>
    <row r="2165">
      <c r="A2165" s="245"/>
      <c r="B2165" s="231"/>
      <c r="C2165" s="231"/>
    </row>
    <row r="2166">
      <c r="A2166" s="245"/>
      <c r="B2166" s="231"/>
      <c r="C2166" s="231"/>
    </row>
    <row r="2167">
      <c r="A2167" s="245"/>
      <c r="B2167" s="231"/>
      <c r="C2167" s="231"/>
    </row>
    <row r="2168">
      <c r="A2168" s="245"/>
      <c r="B2168" s="231"/>
      <c r="C2168" s="231"/>
    </row>
    <row r="2169">
      <c r="A2169" s="245"/>
      <c r="B2169" s="231"/>
      <c r="C2169" s="231"/>
    </row>
    <row r="2170">
      <c r="A2170" s="245"/>
      <c r="B2170" s="231"/>
      <c r="C2170" s="231"/>
    </row>
    <row r="2171">
      <c r="A2171" s="245"/>
      <c r="B2171" s="231"/>
      <c r="C2171" s="231"/>
    </row>
    <row r="2172">
      <c r="A2172" s="245"/>
      <c r="B2172" s="231"/>
      <c r="C2172" s="231"/>
    </row>
    <row r="2173">
      <c r="A2173" s="245"/>
      <c r="B2173" s="231"/>
      <c r="C2173" s="231"/>
    </row>
    <row r="2174">
      <c r="A2174" s="245"/>
      <c r="B2174" s="231"/>
      <c r="C2174" s="231"/>
    </row>
    <row r="2175">
      <c r="A2175" s="245"/>
      <c r="B2175" s="231"/>
      <c r="C2175" s="231"/>
    </row>
    <row r="2176">
      <c r="A2176" s="245"/>
      <c r="B2176" s="231"/>
      <c r="C2176" s="231"/>
    </row>
    <row r="2177">
      <c r="A2177" s="245"/>
      <c r="B2177" s="231"/>
      <c r="C2177" s="231"/>
    </row>
    <row r="2178">
      <c r="A2178" s="245"/>
      <c r="B2178" s="231"/>
      <c r="C2178" s="231"/>
    </row>
    <row r="2179">
      <c r="A2179" s="245"/>
      <c r="B2179" s="231"/>
      <c r="C2179" s="231"/>
    </row>
    <row r="2180">
      <c r="A2180" s="245"/>
      <c r="B2180" s="231"/>
      <c r="C2180" s="231"/>
    </row>
    <row r="2181">
      <c r="A2181" s="245"/>
      <c r="B2181" s="231"/>
      <c r="C2181" s="231"/>
    </row>
    <row r="2182">
      <c r="A2182" s="245"/>
      <c r="B2182" s="231"/>
      <c r="C2182" s="231"/>
    </row>
    <row r="2183">
      <c r="A2183" s="245"/>
      <c r="B2183" s="231"/>
      <c r="C2183" s="231"/>
    </row>
    <row r="2184">
      <c r="A2184" s="245"/>
      <c r="B2184" s="231"/>
      <c r="C2184" s="231"/>
    </row>
    <row r="2185">
      <c r="A2185" s="245"/>
      <c r="B2185" s="231"/>
      <c r="C2185" s="231"/>
    </row>
    <row r="2186">
      <c r="A2186" s="245"/>
      <c r="B2186" s="231"/>
      <c r="C2186" s="231"/>
    </row>
    <row r="2187">
      <c r="A2187" s="245"/>
      <c r="B2187" s="231"/>
      <c r="C2187" s="231"/>
    </row>
    <row r="2188">
      <c r="A2188" s="245"/>
      <c r="B2188" s="231"/>
      <c r="C2188" s="231"/>
    </row>
    <row r="2189">
      <c r="A2189" s="245"/>
      <c r="B2189" s="231"/>
      <c r="C2189" s="231"/>
    </row>
    <row r="2190">
      <c r="A2190" s="245"/>
      <c r="B2190" s="231"/>
      <c r="C2190" s="231"/>
    </row>
    <row r="2191">
      <c r="A2191" s="245"/>
      <c r="B2191" s="231"/>
      <c r="C2191" s="231"/>
    </row>
    <row r="2192">
      <c r="A2192" s="245"/>
      <c r="B2192" s="231"/>
      <c r="C2192" s="231"/>
    </row>
    <row r="2193">
      <c r="A2193" s="245"/>
      <c r="B2193" s="231"/>
      <c r="C2193" s="231"/>
    </row>
    <row r="2194">
      <c r="A2194" s="245"/>
      <c r="B2194" s="231"/>
      <c r="C2194" s="231"/>
    </row>
    <row r="2195">
      <c r="A2195" s="245"/>
      <c r="B2195" s="231"/>
      <c r="C2195" s="231"/>
    </row>
    <row r="2196">
      <c r="A2196" s="245"/>
      <c r="B2196" s="231"/>
      <c r="C2196" s="231"/>
    </row>
    <row r="2197">
      <c r="A2197" s="245"/>
      <c r="B2197" s="231"/>
      <c r="C2197" s="231"/>
    </row>
    <row r="2198">
      <c r="A2198" s="245"/>
      <c r="B2198" s="231"/>
      <c r="C2198" s="231"/>
    </row>
    <row r="2199">
      <c r="A2199" s="245"/>
      <c r="B2199" s="231"/>
      <c r="C2199" s="231"/>
    </row>
    <row r="2200">
      <c r="A2200" s="245"/>
      <c r="B2200" s="231"/>
      <c r="C2200" s="231"/>
    </row>
    <row r="2201">
      <c r="A2201" s="245"/>
      <c r="B2201" s="231"/>
      <c r="C2201" s="231"/>
    </row>
    <row r="2202">
      <c r="A2202" s="245"/>
      <c r="B2202" s="231"/>
      <c r="C2202" s="231"/>
    </row>
    <row r="2203">
      <c r="A2203" s="245"/>
      <c r="B2203" s="231"/>
      <c r="C2203" s="231"/>
    </row>
    <row r="2204">
      <c r="A2204" s="245"/>
      <c r="B2204" s="231"/>
      <c r="C2204" s="231"/>
    </row>
    <row r="2205">
      <c r="A2205" s="245"/>
      <c r="B2205" s="231"/>
      <c r="C2205" s="231"/>
    </row>
    <row r="2206">
      <c r="A2206" s="245"/>
      <c r="B2206" s="231"/>
      <c r="C2206" s="231"/>
    </row>
    <row r="2207">
      <c r="A2207" s="245"/>
      <c r="B2207" s="231"/>
      <c r="C2207" s="231"/>
    </row>
    <row r="2208">
      <c r="A2208" s="245"/>
      <c r="B2208" s="231"/>
      <c r="C2208" s="231"/>
    </row>
    <row r="2209">
      <c r="A2209" s="245"/>
      <c r="B2209" s="231"/>
      <c r="C2209" s="231"/>
    </row>
    <row r="2210">
      <c r="A2210" s="245"/>
      <c r="B2210" s="231"/>
      <c r="C2210" s="231"/>
    </row>
    <row r="2211">
      <c r="A2211" s="245"/>
      <c r="B2211" s="231"/>
      <c r="C2211" s="231"/>
    </row>
    <row r="2212">
      <c r="A2212" s="245"/>
      <c r="B2212" s="231"/>
      <c r="C2212" s="231"/>
    </row>
    <row r="2213">
      <c r="A2213" s="245"/>
      <c r="B2213" s="231"/>
      <c r="C2213" s="231"/>
    </row>
    <row r="2214">
      <c r="A2214" s="245"/>
      <c r="B2214" s="231"/>
      <c r="C2214" s="231"/>
    </row>
    <row r="2215">
      <c r="A2215" s="245"/>
      <c r="B2215" s="231"/>
      <c r="C2215" s="231"/>
    </row>
    <row r="2216">
      <c r="A2216" s="245"/>
      <c r="B2216" s="231"/>
      <c r="C2216" s="231"/>
    </row>
    <row r="2217">
      <c r="A2217" s="245"/>
      <c r="B2217" s="231"/>
      <c r="C2217" s="231"/>
    </row>
    <row r="2218">
      <c r="A2218" s="245"/>
      <c r="B2218" s="231"/>
      <c r="C2218" s="231"/>
    </row>
    <row r="2219">
      <c r="A2219" s="245"/>
      <c r="B2219" s="231"/>
      <c r="C2219" s="231"/>
    </row>
    <row r="2220">
      <c r="A2220" s="245"/>
      <c r="B2220" s="231"/>
      <c r="C2220" s="231"/>
    </row>
    <row r="2221">
      <c r="A2221" s="245"/>
      <c r="B2221" s="231"/>
      <c r="C2221" s="231"/>
    </row>
    <row r="2222">
      <c r="A2222" s="245"/>
      <c r="B2222" s="231"/>
      <c r="C2222" s="231"/>
    </row>
    <row r="2223">
      <c r="A2223" s="245"/>
      <c r="B2223" s="231"/>
      <c r="C2223" s="231"/>
    </row>
    <row r="2224">
      <c r="A2224" s="245"/>
      <c r="B2224" s="231"/>
      <c r="C2224" s="231"/>
    </row>
    <row r="2225">
      <c r="A2225" s="245"/>
      <c r="B2225" s="231"/>
      <c r="C2225" s="231"/>
    </row>
    <row r="2226">
      <c r="A2226" s="245"/>
      <c r="B2226" s="231"/>
      <c r="C2226" s="231"/>
    </row>
    <row r="2227">
      <c r="A2227" s="245"/>
      <c r="B2227" s="231"/>
      <c r="C2227" s="231"/>
    </row>
    <row r="2228">
      <c r="A2228" s="245"/>
      <c r="B2228" s="231"/>
      <c r="C2228" s="231"/>
    </row>
    <row r="2229">
      <c r="A2229" s="245"/>
      <c r="B2229" s="231"/>
      <c r="C2229" s="231"/>
    </row>
    <row r="2230">
      <c r="A2230" s="245"/>
      <c r="B2230" s="231"/>
      <c r="C2230" s="231"/>
    </row>
    <row r="2231">
      <c r="A2231" s="245"/>
      <c r="B2231" s="231"/>
      <c r="C2231" s="231"/>
    </row>
    <row r="2232">
      <c r="A2232" s="245"/>
      <c r="B2232" s="231"/>
      <c r="C2232" s="231"/>
    </row>
    <row r="2233">
      <c r="A2233" s="245"/>
      <c r="B2233" s="231"/>
      <c r="C2233" s="231"/>
    </row>
    <row r="2234">
      <c r="A2234" s="245"/>
      <c r="B2234" s="231"/>
      <c r="C2234" s="231"/>
    </row>
    <row r="2235">
      <c r="A2235" s="245"/>
      <c r="B2235" s="231"/>
      <c r="C2235" s="231"/>
    </row>
    <row r="2236">
      <c r="A2236" s="245"/>
      <c r="B2236" s="231"/>
      <c r="C2236" s="231"/>
    </row>
    <row r="2237">
      <c r="A2237" s="245"/>
      <c r="B2237" s="231"/>
      <c r="C2237" s="231"/>
    </row>
    <row r="2238">
      <c r="A2238" s="245"/>
      <c r="B2238" s="231"/>
      <c r="C2238" s="231"/>
    </row>
    <row r="2239">
      <c r="A2239" s="245"/>
      <c r="B2239" s="231"/>
      <c r="C2239" s="231"/>
    </row>
    <row r="2240">
      <c r="A2240" s="245"/>
      <c r="B2240" s="231"/>
      <c r="C2240" s="231"/>
    </row>
    <row r="2241">
      <c r="A2241" s="245"/>
      <c r="B2241" s="231"/>
      <c r="C2241" s="231"/>
    </row>
    <row r="2242">
      <c r="A2242" s="245"/>
      <c r="B2242" s="231"/>
      <c r="C2242" s="231"/>
    </row>
    <row r="2243">
      <c r="A2243" s="245"/>
      <c r="B2243" s="231"/>
      <c r="C2243" s="231"/>
    </row>
    <row r="2244">
      <c r="A2244" s="245"/>
      <c r="B2244" s="231"/>
      <c r="C2244" s="231"/>
    </row>
    <row r="2245">
      <c r="A2245" s="245"/>
      <c r="B2245" s="231"/>
      <c r="C2245" s="231"/>
    </row>
    <row r="2246">
      <c r="A2246" s="245"/>
      <c r="B2246" s="231"/>
      <c r="C2246" s="231"/>
    </row>
    <row r="2247">
      <c r="A2247" s="245"/>
      <c r="B2247" s="231"/>
      <c r="C2247" s="231"/>
    </row>
    <row r="2248">
      <c r="A2248" s="245"/>
      <c r="B2248" s="231"/>
      <c r="C2248" s="231"/>
    </row>
    <row r="2249">
      <c r="A2249" s="245"/>
      <c r="B2249" s="231"/>
      <c r="C2249" s="231"/>
    </row>
    <row r="2250">
      <c r="A2250" s="245"/>
      <c r="B2250" s="231"/>
      <c r="C2250" s="231"/>
    </row>
    <row r="2251">
      <c r="A2251" s="245"/>
      <c r="B2251" s="231"/>
      <c r="C2251" s="231"/>
    </row>
    <row r="2252">
      <c r="A2252" s="245"/>
      <c r="B2252" s="231"/>
      <c r="C2252" s="231"/>
    </row>
    <row r="2253">
      <c r="A2253" s="245"/>
      <c r="B2253" s="231"/>
      <c r="C2253" s="231"/>
    </row>
    <row r="2254">
      <c r="A2254" s="245"/>
      <c r="B2254" s="231"/>
      <c r="C2254" s="231"/>
    </row>
    <row r="2255">
      <c r="A2255" s="245"/>
      <c r="B2255" s="231"/>
      <c r="C2255" s="231"/>
    </row>
    <row r="2256">
      <c r="A2256" s="245"/>
      <c r="B2256" s="231"/>
      <c r="C2256" s="231"/>
    </row>
    <row r="2257">
      <c r="A2257" s="245"/>
      <c r="B2257" s="231"/>
      <c r="C2257" s="231"/>
    </row>
    <row r="2258">
      <c r="A2258" s="245"/>
      <c r="B2258" s="231"/>
      <c r="C2258" s="231"/>
    </row>
    <row r="2259">
      <c r="A2259" s="245"/>
      <c r="B2259" s="231"/>
      <c r="C2259" s="231"/>
    </row>
    <row r="2260">
      <c r="A2260" s="245"/>
      <c r="B2260" s="231"/>
      <c r="C2260" s="231"/>
    </row>
    <row r="2261">
      <c r="A2261" s="245"/>
      <c r="B2261" s="231"/>
      <c r="C2261" s="231"/>
    </row>
    <row r="2262">
      <c r="A2262" s="245"/>
      <c r="B2262" s="231"/>
      <c r="C2262" s="231"/>
    </row>
    <row r="2263">
      <c r="A2263" s="245"/>
      <c r="B2263" s="231"/>
      <c r="C2263" s="231"/>
    </row>
    <row r="2264">
      <c r="A2264" s="245"/>
      <c r="B2264" s="231"/>
      <c r="C2264" s="231"/>
    </row>
    <row r="2265">
      <c r="A2265" s="245"/>
      <c r="B2265" s="231"/>
      <c r="C2265" s="231"/>
    </row>
    <row r="2266">
      <c r="A2266" s="245"/>
      <c r="B2266" s="231"/>
      <c r="C2266" s="231"/>
    </row>
    <row r="2267">
      <c r="A2267" s="245"/>
      <c r="B2267" s="231"/>
      <c r="C2267" s="231"/>
    </row>
    <row r="2268">
      <c r="A2268" s="245"/>
      <c r="B2268" s="231"/>
      <c r="C2268" s="231"/>
    </row>
    <row r="2269">
      <c r="A2269" s="245"/>
      <c r="B2269" s="231"/>
      <c r="C2269" s="231"/>
    </row>
    <row r="2270">
      <c r="A2270" s="245"/>
      <c r="B2270" s="231"/>
      <c r="C2270" s="231"/>
    </row>
    <row r="2271">
      <c r="A2271" s="245"/>
      <c r="B2271" s="231"/>
      <c r="C2271" s="231"/>
    </row>
    <row r="2272">
      <c r="A2272" s="245"/>
      <c r="B2272" s="231"/>
      <c r="C2272" s="231"/>
    </row>
    <row r="2273">
      <c r="A2273" s="245"/>
      <c r="B2273" s="231"/>
      <c r="C2273" s="231"/>
    </row>
    <row r="2274">
      <c r="A2274" s="245"/>
      <c r="B2274" s="231"/>
      <c r="C2274" s="231"/>
    </row>
    <row r="2275">
      <c r="A2275" s="245"/>
      <c r="B2275" s="231"/>
      <c r="C2275" s="231"/>
    </row>
    <row r="2276">
      <c r="A2276" s="245"/>
      <c r="B2276" s="231"/>
      <c r="C2276" s="231"/>
    </row>
    <row r="2277">
      <c r="A2277" s="245"/>
      <c r="B2277" s="231"/>
      <c r="C2277" s="231"/>
    </row>
    <row r="2278">
      <c r="A2278" s="245"/>
      <c r="B2278" s="231"/>
      <c r="C2278" s="231"/>
    </row>
    <row r="2279">
      <c r="A2279" s="245"/>
      <c r="B2279" s="231"/>
      <c r="C2279" s="231"/>
    </row>
    <row r="2280">
      <c r="A2280" s="245"/>
      <c r="B2280" s="231"/>
      <c r="C2280" s="231"/>
    </row>
    <row r="2281">
      <c r="A2281" s="245"/>
      <c r="B2281" s="231"/>
      <c r="C2281" s="231"/>
    </row>
    <row r="2282">
      <c r="A2282" s="245"/>
      <c r="B2282" s="231"/>
      <c r="C2282" s="231"/>
    </row>
    <row r="2283">
      <c r="A2283" s="245"/>
      <c r="B2283" s="231"/>
      <c r="C2283" s="231"/>
    </row>
    <row r="2284">
      <c r="A2284" s="245"/>
      <c r="B2284" s="231"/>
      <c r="C2284" s="231"/>
    </row>
    <row r="2285">
      <c r="A2285" s="245"/>
      <c r="B2285" s="231"/>
      <c r="C2285" s="231"/>
    </row>
    <row r="2286">
      <c r="A2286" s="245"/>
      <c r="B2286" s="231"/>
      <c r="C2286" s="231"/>
    </row>
    <row r="2287">
      <c r="A2287" s="245"/>
      <c r="B2287" s="231"/>
      <c r="C2287" s="231"/>
    </row>
    <row r="2288">
      <c r="A2288" s="245"/>
      <c r="B2288" s="231"/>
      <c r="C2288" s="231"/>
    </row>
    <row r="2289">
      <c r="A2289" s="245"/>
      <c r="B2289" s="231"/>
      <c r="C2289" s="231"/>
    </row>
    <row r="2290">
      <c r="A2290" s="245"/>
      <c r="B2290" s="231"/>
      <c r="C2290" s="231"/>
    </row>
    <row r="2291">
      <c r="A2291" s="245"/>
      <c r="B2291" s="231"/>
      <c r="C2291" s="231"/>
    </row>
    <row r="2292">
      <c r="A2292" s="245"/>
      <c r="B2292" s="231"/>
      <c r="C2292" s="231"/>
    </row>
    <row r="2293">
      <c r="A2293" s="245"/>
      <c r="B2293" s="231"/>
      <c r="C2293" s="231"/>
    </row>
    <row r="2294">
      <c r="A2294" s="245"/>
      <c r="B2294" s="231"/>
      <c r="C2294" s="231"/>
    </row>
    <row r="2295">
      <c r="A2295" s="245"/>
      <c r="B2295" s="231"/>
      <c r="C2295" s="231"/>
    </row>
    <row r="2296">
      <c r="A2296" s="245"/>
      <c r="B2296" s="231"/>
      <c r="C2296" s="231"/>
    </row>
    <row r="2297">
      <c r="A2297" s="245"/>
      <c r="B2297" s="231"/>
      <c r="C2297" s="231"/>
    </row>
    <row r="2298">
      <c r="A2298" s="245"/>
      <c r="B2298" s="231"/>
      <c r="C2298" s="231"/>
    </row>
    <row r="2299">
      <c r="A2299" s="245"/>
      <c r="B2299" s="231"/>
      <c r="C2299" s="231"/>
    </row>
    <row r="2300">
      <c r="A2300" s="245"/>
      <c r="B2300" s="231"/>
      <c r="C2300" s="231"/>
    </row>
    <row r="2301">
      <c r="A2301" s="245"/>
      <c r="B2301" s="231"/>
      <c r="C2301" s="231"/>
    </row>
    <row r="2302">
      <c r="A2302" s="245"/>
      <c r="B2302" s="231"/>
      <c r="C2302" s="231"/>
    </row>
    <row r="2303">
      <c r="A2303" s="245"/>
      <c r="B2303" s="231"/>
      <c r="C2303" s="231"/>
    </row>
    <row r="2304">
      <c r="A2304" s="245"/>
      <c r="B2304" s="231"/>
      <c r="C2304" s="231"/>
    </row>
    <row r="2305">
      <c r="A2305" s="245"/>
      <c r="B2305" s="231"/>
      <c r="C2305" s="231"/>
    </row>
    <row r="2306">
      <c r="A2306" s="245"/>
      <c r="B2306" s="231"/>
      <c r="C2306" s="231"/>
    </row>
    <row r="2307">
      <c r="A2307" s="245"/>
      <c r="B2307" s="231"/>
      <c r="C2307" s="231"/>
    </row>
    <row r="2308">
      <c r="A2308" s="245"/>
      <c r="B2308" s="231"/>
      <c r="C2308" s="231"/>
    </row>
    <row r="2309">
      <c r="A2309" s="245"/>
      <c r="B2309" s="231"/>
      <c r="C2309" s="231"/>
    </row>
    <row r="2310">
      <c r="A2310" s="245"/>
      <c r="B2310" s="231"/>
      <c r="C2310" s="231"/>
    </row>
    <row r="2311">
      <c r="A2311" s="245"/>
      <c r="B2311" s="231"/>
      <c r="C2311" s="231"/>
    </row>
    <row r="2312">
      <c r="A2312" s="245"/>
      <c r="B2312" s="231"/>
      <c r="C2312" s="231"/>
    </row>
    <row r="2313">
      <c r="A2313" s="245"/>
      <c r="B2313" s="231"/>
      <c r="C2313" s="231"/>
    </row>
    <row r="2314">
      <c r="A2314" s="245"/>
      <c r="B2314" s="231"/>
      <c r="C2314" s="231"/>
    </row>
    <row r="2315">
      <c r="A2315" s="245"/>
      <c r="B2315" s="231"/>
      <c r="C2315" s="231"/>
    </row>
    <row r="2316">
      <c r="A2316" s="245"/>
      <c r="B2316" s="231"/>
      <c r="C2316" s="231"/>
    </row>
    <row r="2317">
      <c r="A2317" s="245"/>
      <c r="B2317" s="231"/>
      <c r="C2317" s="231"/>
    </row>
    <row r="2318">
      <c r="A2318" s="245"/>
      <c r="B2318" s="231"/>
      <c r="C2318" s="231"/>
    </row>
    <row r="2319">
      <c r="A2319" s="245"/>
      <c r="B2319" s="231"/>
      <c r="C2319" s="231"/>
    </row>
    <row r="2320">
      <c r="A2320" s="245"/>
      <c r="B2320" s="231"/>
      <c r="C2320" s="231"/>
    </row>
    <row r="2321">
      <c r="A2321" s="245"/>
      <c r="B2321" s="231"/>
      <c r="C2321" s="231"/>
    </row>
    <row r="2322">
      <c r="A2322" s="245"/>
      <c r="B2322" s="231"/>
      <c r="C2322" s="231"/>
    </row>
    <row r="2323">
      <c r="A2323" s="245"/>
      <c r="B2323" s="231"/>
      <c r="C2323" s="231"/>
    </row>
    <row r="2324">
      <c r="A2324" s="245"/>
      <c r="B2324" s="231"/>
      <c r="C2324" s="231"/>
    </row>
    <row r="2325">
      <c r="A2325" s="245"/>
      <c r="B2325" s="231"/>
      <c r="C2325" s="231"/>
    </row>
    <row r="2326">
      <c r="A2326" s="245"/>
      <c r="B2326" s="231"/>
      <c r="C2326" s="231"/>
    </row>
    <row r="2327">
      <c r="A2327" s="245"/>
      <c r="B2327" s="231"/>
      <c r="C2327" s="231"/>
    </row>
    <row r="2328">
      <c r="A2328" s="245"/>
      <c r="B2328" s="231"/>
      <c r="C2328" s="231"/>
    </row>
    <row r="2329">
      <c r="A2329" s="245"/>
      <c r="B2329" s="231"/>
      <c r="C2329" s="231"/>
    </row>
    <row r="2330">
      <c r="A2330" s="245"/>
      <c r="B2330" s="231"/>
      <c r="C2330" s="231"/>
    </row>
    <row r="2331">
      <c r="A2331" s="245"/>
      <c r="B2331" s="231"/>
      <c r="C2331" s="231"/>
    </row>
    <row r="2332">
      <c r="A2332" s="245"/>
      <c r="B2332" s="231"/>
      <c r="C2332" s="231"/>
    </row>
    <row r="2333">
      <c r="A2333" s="245"/>
      <c r="B2333" s="231"/>
      <c r="C2333" s="231"/>
    </row>
    <row r="2334">
      <c r="A2334" s="245"/>
      <c r="B2334" s="231"/>
      <c r="C2334" s="231"/>
    </row>
    <row r="2335">
      <c r="A2335" s="245"/>
      <c r="B2335" s="231"/>
      <c r="C2335" s="231"/>
    </row>
    <row r="2336">
      <c r="A2336" s="245"/>
      <c r="B2336" s="231"/>
      <c r="C2336" s="231"/>
    </row>
    <row r="2337">
      <c r="A2337" s="245"/>
      <c r="B2337" s="231"/>
      <c r="C2337" s="231"/>
    </row>
    <row r="2338">
      <c r="A2338" s="245"/>
      <c r="B2338" s="231"/>
      <c r="C2338" s="231"/>
    </row>
    <row r="2339">
      <c r="A2339" s="245"/>
      <c r="B2339" s="231"/>
      <c r="C2339" s="231"/>
    </row>
    <row r="2340">
      <c r="A2340" s="245"/>
      <c r="B2340" s="231"/>
      <c r="C2340" s="231"/>
    </row>
    <row r="2341">
      <c r="A2341" s="245"/>
      <c r="B2341" s="231"/>
      <c r="C2341" s="231"/>
    </row>
    <row r="2342">
      <c r="A2342" s="245"/>
      <c r="B2342" s="231"/>
      <c r="C2342" s="231"/>
    </row>
    <row r="2343">
      <c r="A2343" s="245"/>
      <c r="B2343" s="231"/>
      <c r="C2343" s="231"/>
    </row>
    <row r="2344">
      <c r="A2344" s="245"/>
      <c r="B2344" s="231"/>
      <c r="C2344" s="231"/>
    </row>
    <row r="2345">
      <c r="A2345" s="245"/>
      <c r="B2345" s="231"/>
      <c r="C2345" s="231"/>
    </row>
    <row r="2346">
      <c r="A2346" s="245"/>
      <c r="B2346" s="231"/>
      <c r="C2346" s="231"/>
    </row>
    <row r="2347">
      <c r="A2347" s="245"/>
      <c r="B2347" s="231"/>
      <c r="C2347" s="231"/>
    </row>
    <row r="2348">
      <c r="A2348" s="245"/>
      <c r="B2348" s="231"/>
      <c r="C2348" s="231"/>
    </row>
    <row r="2349">
      <c r="A2349" s="245"/>
      <c r="B2349" s="231"/>
      <c r="C2349" s="231"/>
    </row>
    <row r="2350">
      <c r="A2350" s="245"/>
      <c r="B2350" s="231"/>
      <c r="C2350" s="231"/>
    </row>
    <row r="2351">
      <c r="A2351" s="245"/>
      <c r="B2351" s="231"/>
      <c r="C2351" s="231"/>
    </row>
    <row r="2352">
      <c r="A2352" s="245"/>
      <c r="B2352" s="231"/>
      <c r="C2352" s="231"/>
    </row>
    <row r="2353">
      <c r="A2353" s="245"/>
      <c r="B2353" s="231"/>
      <c r="C2353" s="231"/>
    </row>
    <row r="2354">
      <c r="A2354" s="245"/>
      <c r="B2354" s="231"/>
      <c r="C2354" s="231"/>
    </row>
    <row r="2355">
      <c r="A2355" s="245"/>
      <c r="B2355" s="231"/>
      <c r="C2355" s="231"/>
    </row>
    <row r="2356">
      <c r="A2356" s="245"/>
      <c r="B2356" s="231"/>
      <c r="C2356" s="231"/>
    </row>
    <row r="2357">
      <c r="A2357" s="245"/>
      <c r="B2357" s="231"/>
      <c r="C2357" s="231"/>
    </row>
    <row r="2358">
      <c r="A2358" s="245"/>
      <c r="B2358" s="231"/>
      <c r="C2358" s="231"/>
    </row>
    <row r="2359">
      <c r="A2359" s="245"/>
      <c r="B2359" s="231"/>
      <c r="C2359" s="231"/>
    </row>
    <row r="2360">
      <c r="A2360" s="245"/>
      <c r="B2360" s="231"/>
      <c r="C2360" s="231"/>
    </row>
    <row r="2361">
      <c r="A2361" s="245"/>
      <c r="B2361" s="231"/>
      <c r="C2361" s="231"/>
    </row>
    <row r="2362">
      <c r="A2362" s="245"/>
      <c r="B2362" s="231"/>
      <c r="C2362" s="231"/>
    </row>
    <row r="2363">
      <c r="A2363" s="245"/>
      <c r="B2363" s="231"/>
      <c r="C2363" s="231"/>
    </row>
    <row r="2364">
      <c r="A2364" s="245"/>
      <c r="B2364" s="231"/>
      <c r="C2364" s="231"/>
    </row>
    <row r="2365">
      <c r="A2365" s="245"/>
      <c r="B2365" s="231"/>
      <c r="C2365" s="231"/>
    </row>
    <row r="2366">
      <c r="A2366" s="245"/>
      <c r="B2366" s="231"/>
      <c r="C2366" s="231"/>
    </row>
    <row r="2367">
      <c r="A2367" s="245"/>
      <c r="B2367" s="231"/>
      <c r="C2367" s="231"/>
    </row>
    <row r="2368">
      <c r="A2368" s="245"/>
      <c r="B2368" s="231"/>
      <c r="C2368" s="231"/>
    </row>
    <row r="2369">
      <c r="A2369" s="245"/>
      <c r="B2369" s="231"/>
      <c r="C2369" s="231"/>
    </row>
    <row r="2370">
      <c r="A2370" s="245"/>
      <c r="B2370" s="231"/>
      <c r="C2370" s="231"/>
    </row>
    <row r="2371">
      <c r="A2371" s="245"/>
      <c r="B2371" s="231"/>
      <c r="C2371" s="231"/>
    </row>
    <row r="2372">
      <c r="A2372" s="245"/>
      <c r="B2372" s="231"/>
      <c r="C2372" s="231"/>
    </row>
    <row r="2373">
      <c r="A2373" s="245"/>
      <c r="B2373" s="231"/>
      <c r="C2373" s="231"/>
    </row>
    <row r="2374">
      <c r="A2374" s="245"/>
      <c r="B2374" s="231"/>
      <c r="C2374" s="231"/>
    </row>
    <row r="2375">
      <c r="A2375" s="245"/>
      <c r="B2375" s="231"/>
      <c r="C2375" s="231"/>
    </row>
    <row r="2376">
      <c r="A2376" s="245"/>
      <c r="B2376" s="231"/>
      <c r="C2376" s="231"/>
    </row>
    <row r="2377">
      <c r="A2377" s="245"/>
      <c r="B2377" s="231"/>
      <c r="C2377" s="231"/>
    </row>
    <row r="2378">
      <c r="A2378" s="245"/>
      <c r="B2378" s="231"/>
      <c r="C2378" s="231"/>
    </row>
    <row r="2379">
      <c r="A2379" s="245"/>
      <c r="B2379" s="231"/>
      <c r="C2379" s="231"/>
    </row>
    <row r="2380">
      <c r="A2380" s="245"/>
      <c r="B2380" s="231"/>
      <c r="C2380" s="231"/>
    </row>
    <row r="2381">
      <c r="A2381" s="245"/>
      <c r="B2381" s="231"/>
      <c r="C2381" s="231"/>
    </row>
    <row r="2382">
      <c r="A2382" s="245"/>
      <c r="B2382" s="231"/>
      <c r="C2382" s="231"/>
    </row>
    <row r="2383">
      <c r="A2383" s="245"/>
      <c r="B2383" s="231"/>
      <c r="C2383" s="231"/>
    </row>
    <row r="2384">
      <c r="A2384" s="245"/>
      <c r="B2384" s="231"/>
      <c r="C2384" s="231"/>
    </row>
    <row r="2385">
      <c r="A2385" s="245"/>
      <c r="B2385" s="231"/>
      <c r="C2385" s="231"/>
    </row>
    <row r="2386">
      <c r="A2386" s="245"/>
      <c r="B2386" s="231"/>
      <c r="C2386" s="231"/>
    </row>
    <row r="2387">
      <c r="A2387" s="245"/>
      <c r="B2387" s="231"/>
      <c r="C2387" s="231"/>
    </row>
    <row r="2388">
      <c r="A2388" s="245"/>
      <c r="B2388" s="231"/>
      <c r="C2388" s="231"/>
    </row>
    <row r="2389">
      <c r="A2389" s="245"/>
      <c r="B2389" s="231"/>
      <c r="C2389" s="231"/>
    </row>
    <row r="2390">
      <c r="A2390" s="245"/>
      <c r="B2390" s="231"/>
      <c r="C2390" s="231"/>
    </row>
    <row r="2391">
      <c r="A2391" s="245"/>
      <c r="B2391" s="231"/>
      <c r="C2391" s="231"/>
    </row>
    <row r="2392">
      <c r="A2392" s="245"/>
      <c r="B2392" s="231"/>
      <c r="C2392" s="231"/>
    </row>
    <row r="2393">
      <c r="A2393" s="245"/>
      <c r="B2393" s="231"/>
      <c r="C2393" s="231"/>
    </row>
    <row r="2394">
      <c r="A2394" s="245"/>
      <c r="B2394" s="231"/>
      <c r="C2394" s="231"/>
    </row>
    <row r="2395">
      <c r="A2395" s="245"/>
      <c r="B2395" s="231"/>
      <c r="C2395" s="231"/>
    </row>
    <row r="2396">
      <c r="A2396" s="245"/>
      <c r="B2396" s="231"/>
      <c r="C2396" s="231"/>
    </row>
    <row r="2397">
      <c r="A2397" s="245"/>
      <c r="B2397" s="231"/>
      <c r="C2397" s="231"/>
    </row>
    <row r="2398">
      <c r="A2398" s="245"/>
      <c r="B2398" s="231"/>
      <c r="C2398" s="231"/>
    </row>
    <row r="2399">
      <c r="A2399" s="245"/>
      <c r="B2399" s="231"/>
      <c r="C2399" s="231"/>
    </row>
    <row r="2400">
      <c r="A2400" s="245"/>
      <c r="B2400" s="231"/>
      <c r="C2400" s="231"/>
    </row>
    <row r="2401">
      <c r="A2401" s="245"/>
      <c r="B2401" s="231"/>
      <c r="C2401" s="231"/>
    </row>
    <row r="2402">
      <c r="A2402" s="245"/>
      <c r="B2402" s="231"/>
      <c r="C2402" s="231"/>
    </row>
    <row r="2403">
      <c r="A2403" s="245"/>
      <c r="B2403" s="231"/>
      <c r="C2403" s="231"/>
    </row>
    <row r="2404">
      <c r="A2404" s="245"/>
      <c r="B2404" s="231"/>
      <c r="C2404" s="231"/>
    </row>
    <row r="2405">
      <c r="A2405" s="245"/>
      <c r="B2405" s="231"/>
      <c r="C2405" s="231"/>
    </row>
    <row r="2406">
      <c r="A2406" s="245"/>
      <c r="B2406" s="231"/>
      <c r="C2406" s="231"/>
    </row>
    <row r="2407">
      <c r="A2407" s="245"/>
      <c r="B2407" s="231"/>
      <c r="C2407" s="231"/>
    </row>
    <row r="2408">
      <c r="A2408" s="245"/>
      <c r="B2408" s="231"/>
      <c r="C2408" s="231"/>
    </row>
    <row r="2409">
      <c r="A2409" s="245"/>
      <c r="B2409" s="231"/>
      <c r="C2409" s="231"/>
    </row>
    <row r="2410">
      <c r="A2410" s="245"/>
      <c r="B2410" s="231"/>
      <c r="C2410" s="231"/>
    </row>
    <row r="2411">
      <c r="A2411" s="245"/>
      <c r="B2411" s="231"/>
      <c r="C2411" s="231"/>
    </row>
    <row r="2412">
      <c r="A2412" s="245"/>
      <c r="B2412" s="231"/>
      <c r="C2412" s="231"/>
    </row>
    <row r="2413">
      <c r="A2413" s="245"/>
      <c r="B2413" s="231"/>
      <c r="C2413" s="231"/>
    </row>
    <row r="2414">
      <c r="A2414" s="245"/>
      <c r="B2414" s="231"/>
      <c r="C2414" s="231"/>
    </row>
    <row r="2415">
      <c r="A2415" s="245"/>
      <c r="B2415" s="231"/>
      <c r="C2415" s="231"/>
    </row>
    <row r="2416">
      <c r="A2416" s="245"/>
      <c r="B2416" s="231"/>
      <c r="C2416" s="231"/>
    </row>
    <row r="2417">
      <c r="A2417" s="245"/>
      <c r="B2417" s="231"/>
      <c r="C2417" s="231"/>
    </row>
    <row r="2418">
      <c r="A2418" s="245"/>
      <c r="B2418" s="231"/>
      <c r="C2418" s="231"/>
    </row>
    <row r="2419">
      <c r="A2419" s="245"/>
      <c r="B2419" s="231"/>
      <c r="C2419" s="231"/>
    </row>
    <row r="2420">
      <c r="A2420" s="245"/>
      <c r="B2420" s="231"/>
      <c r="C2420" s="231"/>
    </row>
    <row r="2421">
      <c r="A2421" s="245"/>
      <c r="B2421" s="231"/>
      <c r="C2421" s="231"/>
    </row>
    <row r="2422">
      <c r="A2422" s="245"/>
      <c r="B2422" s="231"/>
      <c r="C2422" s="231"/>
    </row>
    <row r="2423">
      <c r="A2423" s="245"/>
      <c r="B2423" s="231"/>
      <c r="C2423" s="231"/>
    </row>
    <row r="2424">
      <c r="A2424" s="245"/>
      <c r="B2424" s="231"/>
      <c r="C2424" s="231"/>
    </row>
    <row r="2425">
      <c r="A2425" s="245"/>
      <c r="B2425" s="231"/>
      <c r="C2425" s="231"/>
    </row>
    <row r="2426">
      <c r="A2426" s="245"/>
      <c r="B2426" s="231"/>
      <c r="C2426" s="231"/>
    </row>
    <row r="2427">
      <c r="A2427" s="245"/>
      <c r="B2427" s="231"/>
      <c r="C2427" s="231"/>
    </row>
    <row r="2428">
      <c r="A2428" s="245"/>
      <c r="B2428" s="231"/>
      <c r="C2428" s="231"/>
    </row>
    <row r="2429">
      <c r="A2429" s="245"/>
      <c r="B2429" s="231"/>
      <c r="C2429" s="231"/>
    </row>
    <row r="2430">
      <c r="A2430" s="245"/>
      <c r="B2430" s="231"/>
      <c r="C2430" s="231"/>
    </row>
    <row r="2431">
      <c r="A2431" s="245"/>
      <c r="B2431" s="231"/>
      <c r="C2431" s="231"/>
    </row>
    <row r="2432">
      <c r="A2432" s="245"/>
      <c r="B2432" s="231"/>
      <c r="C2432" s="231"/>
    </row>
    <row r="2433">
      <c r="A2433" s="245"/>
      <c r="B2433" s="231"/>
      <c r="C2433" s="231"/>
    </row>
    <row r="2434">
      <c r="A2434" s="245"/>
      <c r="B2434" s="231"/>
      <c r="C2434" s="231"/>
    </row>
    <row r="2435">
      <c r="A2435" s="245"/>
      <c r="B2435" s="231"/>
      <c r="C2435" s="231"/>
    </row>
    <row r="2436">
      <c r="A2436" s="245"/>
      <c r="B2436" s="231"/>
      <c r="C2436" s="231"/>
    </row>
    <row r="2437">
      <c r="A2437" s="245"/>
      <c r="B2437" s="231"/>
      <c r="C2437" s="231"/>
    </row>
    <row r="2438">
      <c r="A2438" s="245"/>
      <c r="B2438" s="231"/>
      <c r="C2438" s="231"/>
    </row>
    <row r="2439">
      <c r="A2439" s="245"/>
      <c r="B2439" s="231"/>
      <c r="C2439" s="231"/>
    </row>
    <row r="2440">
      <c r="A2440" s="245"/>
      <c r="B2440" s="231"/>
      <c r="C2440" s="231"/>
    </row>
    <row r="2441">
      <c r="A2441" s="245"/>
      <c r="B2441" s="231"/>
      <c r="C2441" s="231"/>
    </row>
    <row r="2442">
      <c r="A2442" s="245"/>
      <c r="B2442" s="231"/>
      <c r="C2442" s="231"/>
    </row>
    <row r="2443">
      <c r="A2443" s="245"/>
      <c r="B2443" s="231"/>
      <c r="C2443" s="231"/>
    </row>
    <row r="2444">
      <c r="A2444" s="245"/>
      <c r="B2444" s="231"/>
      <c r="C2444" s="231"/>
    </row>
    <row r="2445">
      <c r="A2445" s="245"/>
      <c r="B2445" s="231"/>
      <c r="C2445" s="231"/>
    </row>
    <row r="2446">
      <c r="A2446" s="245"/>
      <c r="B2446" s="231"/>
      <c r="C2446" s="231"/>
    </row>
    <row r="2447">
      <c r="A2447" s="245"/>
      <c r="B2447" s="231"/>
      <c r="C2447" s="231"/>
    </row>
    <row r="2448">
      <c r="A2448" s="245"/>
      <c r="B2448" s="231"/>
      <c r="C2448" s="231"/>
    </row>
    <row r="2449">
      <c r="A2449" s="245"/>
      <c r="B2449" s="231"/>
      <c r="C2449" s="231"/>
    </row>
    <row r="2450">
      <c r="A2450" s="245"/>
      <c r="B2450" s="231"/>
      <c r="C2450" s="231"/>
    </row>
    <row r="2451">
      <c r="A2451" s="245"/>
      <c r="B2451" s="231"/>
      <c r="C2451" s="231"/>
    </row>
    <row r="2452">
      <c r="A2452" s="245"/>
      <c r="B2452" s="231"/>
      <c r="C2452" s="231"/>
    </row>
    <row r="2453">
      <c r="A2453" s="245"/>
      <c r="B2453" s="231"/>
      <c r="C2453" s="231"/>
    </row>
    <row r="2454">
      <c r="A2454" s="245"/>
      <c r="B2454" s="231"/>
      <c r="C2454" s="231"/>
    </row>
    <row r="2455">
      <c r="A2455" s="245"/>
      <c r="B2455" s="231"/>
      <c r="C2455" s="231"/>
    </row>
    <row r="2456">
      <c r="A2456" s="245"/>
      <c r="B2456" s="231"/>
      <c r="C2456" s="231"/>
    </row>
    <row r="2457">
      <c r="A2457" s="245"/>
      <c r="B2457" s="231"/>
      <c r="C2457" s="231"/>
    </row>
  </sheetData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20.5"/>
    <col customWidth="1" min="4" max="4" width="13.88"/>
    <col customWidth="1" min="5" max="5" width="26.13"/>
    <col customWidth="1" min="6" max="7" width="13.88"/>
  </cols>
  <sheetData>
    <row r="1">
      <c r="A1" s="136" t="s">
        <v>4271</v>
      </c>
      <c r="B1" s="25" t="s">
        <v>4272</v>
      </c>
      <c r="C1" s="57"/>
      <c r="D1" s="55"/>
      <c r="E1" s="266"/>
      <c r="F1" s="267"/>
      <c r="G1" s="37"/>
    </row>
    <row r="2">
      <c r="A2" s="176" t="s">
        <v>6144</v>
      </c>
      <c r="B2" s="25"/>
      <c r="C2" s="253"/>
      <c r="D2" s="202"/>
      <c r="E2" s="268"/>
      <c r="F2" s="269"/>
      <c r="G2" s="45"/>
    </row>
    <row r="3">
      <c r="A3" s="176" t="s">
        <v>6145</v>
      </c>
      <c r="B3" s="25"/>
      <c r="C3" s="253"/>
      <c r="D3" s="202"/>
      <c r="E3" s="268"/>
      <c r="F3" s="269"/>
      <c r="G3" s="270"/>
    </row>
    <row r="4">
      <c r="A4" s="176" t="s">
        <v>6146</v>
      </c>
      <c r="B4" s="25"/>
      <c r="C4" s="253"/>
      <c r="D4" s="202"/>
      <c r="E4" s="268"/>
      <c r="F4" s="269"/>
      <c r="G4" s="270"/>
    </row>
    <row r="5">
      <c r="A5" s="176" t="s">
        <v>4453</v>
      </c>
      <c r="B5" s="25"/>
      <c r="C5" s="253"/>
      <c r="D5" s="271"/>
      <c r="E5" s="268"/>
      <c r="F5" s="272"/>
      <c r="G5" s="270"/>
    </row>
    <row r="6">
      <c r="A6" s="176" t="s">
        <v>4458</v>
      </c>
      <c r="B6" s="25"/>
      <c r="C6" s="253"/>
      <c r="D6" s="202"/>
      <c r="E6" s="268"/>
      <c r="F6" s="269"/>
      <c r="G6" s="270"/>
    </row>
    <row r="7">
      <c r="A7" s="176" t="s">
        <v>4282</v>
      </c>
      <c r="B7" s="25"/>
      <c r="C7" s="253"/>
      <c r="D7" s="45"/>
      <c r="E7" s="45"/>
      <c r="F7" s="45"/>
      <c r="G7" s="270"/>
    </row>
    <row r="8">
      <c r="A8" s="176" t="s">
        <v>6147</v>
      </c>
      <c r="B8" s="25"/>
      <c r="C8" s="253"/>
      <c r="D8" s="45"/>
      <c r="E8" s="273"/>
      <c r="F8" s="270"/>
      <c r="G8" s="270"/>
    </row>
    <row r="9">
      <c r="A9" s="176" t="s">
        <v>4286</v>
      </c>
      <c r="B9" s="25"/>
      <c r="C9" s="253"/>
      <c r="D9" s="45"/>
      <c r="E9" s="273"/>
      <c r="F9" s="270"/>
      <c r="G9" s="270"/>
    </row>
    <row r="10">
      <c r="A10" s="176"/>
      <c r="B10" s="25"/>
      <c r="C10" s="253"/>
      <c r="D10" s="45"/>
      <c r="E10" s="273"/>
      <c r="F10" s="270"/>
      <c r="G10" s="270"/>
    </row>
    <row r="11">
      <c r="A11" s="176"/>
      <c r="B11" s="25"/>
      <c r="C11" s="253"/>
      <c r="D11" s="45"/>
      <c r="E11" s="273"/>
      <c r="F11" s="270"/>
      <c r="G11" s="270"/>
    </row>
    <row r="12">
      <c r="A12" s="176"/>
      <c r="B12" s="25"/>
      <c r="C12" s="253"/>
      <c r="D12" s="45"/>
      <c r="E12" s="273"/>
      <c r="F12" s="270"/>
      <c r="G12" s="270"/>
    </row>
    <row r="13">
      <c r="A13" s="176"/>
      <c r="B13" s="25"/>
      <c r="C13" s="253"/>
      <c r="D13" s="45"/>
      <c r="E13" s="273"/>
      <c r="F13" s="270"/>
      <c r="G13" s="270"/>
    </row>
    <row r="14">
      <c r="A14" s="176"/>
      <c r="B14" s="25"/>
      <c r="C14" s="253"/>
      <c r="D14" s="45"/>
      <c r="E14" s="273"/>
      <c r="F14" s="270"/>
      <c r="G14" s="270"/>
    </row>
    <row r="15">
      <c r="A15" s="176"/>
      <c r="B15" s="25"/>
      <c r="C15" s="253"/>
      <c r="D15" s="45"/>
      <c r="E15" s="273"/>
      <c r="F15" s="270"/>
      <c r="G15" s="270"/>
    </row>
    <row r="16">
      <c r="A16" s="176"/>
      <c r="B16" s="25"/>
      <c r="C16" s="253"/>
      <c r="D16" s="45"/>
      <c r="E16" s="273"/>
      <c r="F16" s="270"/>
      <c r="G16" s="270"/>
    </row>
    <row r="17">
      <c r="A17" s="176"/>
      <c r="B17" s="25"/>
      <c r="C17" s="253"/>
      <c r="D17" s="45"/>
      <c r="E17" s="273"/>
      <c r="F17" s="270"/>
      <c r="G17" s="270"/>
    </row>
    <row r="18">
      <c r="A18" s="176"/>
      <c r="B18" s="25"/>
      <c r="C18" s="253"/>
      <c r="D18" s="45"/>
      <c r="E18" s="273"/>
      <c r="F18" s="270"/>
      <c r="G18" s="270"/>
    </row>
    <row r="19">
      <c r="A19" s="176"/>
      <c r="B19" s="25"/>
      <c r="C19" s="253"/>
      <c r="D19" s="45"/>
      <c r="E19" s="273"/>
      <c r="F19" s="270"/>
      <c r="G19" s="270"/>
    </row>
    <row r="20">
      <c r="A20" s="176"/>
      <c r="B20" s="25"/>
      <c r="C20" s="253"/>
      <c r="D20" s="45"/>
      <c r="E20" s="273"/>
      <c r="F20" s="270"/>
      <c r="G20" s="270"/>
    </row>
    <row r="21">
      <c r="A21" s="176"/>
      <c r="B21" s="25"/>
      <c r="C21" s="253"/>
      <c r="D21" s="45"/>
      <c r="E21" s="273"/>
      <c r="F21" s="270"/>
      <c r="G21" s="270"/>
    </row>
    <row r="22">
      <c r="A22" s="176"/>
      <c r="B22" s="25"/>
      <c r="C22" s="253"/>
      <c r="D22" s="45"/>
      <c r="E22" s="273"/>
      <c r="F22" s="270"/>
      <c r="G22" s="270"/>
    </row>
    <row r="23">
      <c r="A23" s="176"/>
      <c r="B23" s="25"/>
      <c r="C23" s="253"/>
      <c r="D23" s="45"/>
      <c r="E23" s="273"/>
      <c r="F23" s="270"/>
      <c r="G23" s="270"/>
    </row>
    <row r="24">
      <c r="A24" s="176"/>
      <c r="B24" s="25"/>
      <c r="C24" s="253"/>
      <c r="D24" s="45"/>
      <c r="E24" s="273"/>
      <c r="F24" s="270"/>
      <c r="G24" s="270"/>
    </row>
    <row r="25">
      <c r="A25" s="176"/>
      <c r="B25" s="25"/>
      <c r="C25" s="253"/>
      <c r="D25" s="45"/>
      <c r="E25" s="273"/>
      <c r="F25" s="270"/>
      <c r="G25" s="270"/>
    </row>
    <row r="26">
      <c r="A26" s="176"/>
      <c r="B26" s="25"/>
      <c r="C26" s="253"/>
      <c r="D26" s="45"/>
      <c r="E26" s="273"/>
      <c r="F26" s="270"/>
      <c r="G26" s="270"/>
    </row>
    <row r="27">
      <c r="A27" s="176"/>
      <c r="B27" s="25"/>
      <c r="C27" s="253"/>
      <c r="D27" s="45"/>
      <c r="E27" s="273"/>
      <c r="F27" s="270"/>
      <c r="G27" s="270"/>
    </row>
    <row r="28">
      <c r="A28" s="176"/>
      <c r="B28" s="25"/>
      <c r="C28" s="253"/>
      <c r="D28" s="45"/>
      <c r="E28" s="273"/>
      <c r="F28" s="270"/>
      <c r="G28" s="270"/>
    </row>
    <row r="29">
      <c r="A29" s="176"/>
      <c r="B29" s="25"/>
      <c r="C29" s="253"/>
      <c r="D29" s="45"/>
      <c r="E29" s="273"/>
      <c r="F29" s="270"/>
      <c r="G29" s="270"/>
    </row>
    <row r="30">
      <c r="A30" s="176"/>
      <c r="B30" s="25"/>
      <c r="C30" s="253"/>
      <c r="D30" s="45"/>
      <c r="E30" s="273"/>
      <c r="F30" s="270"/>
      <c r="G30" s="270"/>
    </row>
    <row r="31">
      <c r="A31" s="176"/>
      <c r="B31" s="25"/>
      <c r="C31" s="253"/>
      <c r="D31" s="45"/>
      <c r="E31" s="273"/>
      <c r="F31" s="270"/>
      <c r="G31" s="270"/>
    </row>
    <row r="32">
      <c r="A32" s="176"/>
      <c r="B32" s="25"/>
      <c r="C32" s="253"/>
      <c r="D32" s="45"/>
      <c r="E32" s="273"/>
      <c r="F32" s="270"/>
      <c r="G32" s="270"/>
    </row>
    <row r="33">
      <c r="A33" s="176"/>
      <c r="B33" s="25"/>
      <c r="C33" s="253"/>
      <c r="D33" s="45"/>
      <c r="E33" s="273"/>
      <c r="F33" s="270"/>
      <c r="G33" s="270"/>
    </row>
    <row r="34">
      <c r="A34" s="176"/>
      <c r="B34" s="25"/>
      <c r="C34" s="253"/>
      <c r="D34" s="45"/>
      <c r="E34" s="273"/>
      <c r="F34" s="270"/>
      <c r="G34" s="270"/>
    </row>
    <row r="35">
      <c r="A35" s="176"/>
      <c r="B35" s="25"/>
      <c r="C35" s="253"/>
      <c r="D35" s="45"/>
      <c r="E35" s="273"/>
      <c r="F35" s="270"/>
      <c r="G35" s="270"/>
    </row>
    <row r="36">
      <c r="A36" s="176"/>
      <c r="B36" s="25"/>
      <c r="C36" s="253"/>
      <c r="D36" s="45"/>
      <c r="E36" s="273"/>
      <c r="F36" s="270"/>
      <c r="G36" s="270"/>
    </row>
    <row r="37">
      <c r="A37" s="176"/>
      <c r="B37" s="25"/>
      <c r="C37" s="253"/>
      <c r="D37" s="45"/>
      <c r="E37" s="273"/>
      <c r="F37" s="270"/>
      <c r="G37" s="270"/>
    </row>
    <row r="38">
      <c r="A38" s="176"/>
      <c r="B38" s="25"/>
      <c r="C38" s="253"/>
      <c r="D38" s="45"/>
      <c r="E38" s="273"/>
      <c r="F38" s="270"/>
      <c r="G38" s="270"/>
    </row>
    <row r="39">
      <c r="A39" s="176"/>
      <c r="B39" s="25"/>
      <c r="C39" s="253"/>
      <c r="D39" s="45"/>
      <c r="E39" s="273"/>
      <c r="F39" s="270"/>
      <c r="G39" s="270"/>
    </row>
    <row r="40">
      <c r="A40" s="176"/>
      <c r="B40" s="25"/>
      <c r="C40" s="253"/>
      <c r="D40" s="45"/>
      <c r="E40" s="273"/>
      <c r="F40" s="270"/>
      <c r="G40" s="270"/>
    </row>
    <row r="41">
      <c r="A41" s="176"/>
      <c r="B41" s="25"/>
      <c r="C41" s="253"/>
      <c r="D41" s="45"/>
      <c r="E41" s="273"/>
      <c r="F41" s="270"/>
      <c r="G41" s="270"/>
    </row>
    <row r="42">
      <c r="A42" s="176"/>
      <c r="B42" s="25"/>
      <c r="C42" s="253"/>
      <c r="D42" s="45"/>
      <c r="E42" s="273"/>
      <c r="F42" s="270"/>
      <c r="G42" s="270"/>
    </row>
    <row r="43">
      <c r="A43" s="176"/>
      <c r="B43" s="25"/>
      <c r="C43" s="253"/>
      <c r="D43" s="45"/>
      <c r="E43" s="273"/>
      <c r="F43" s="270"/>
      <c r="G43" s="270"/>
    </row>
    <row r="44">
      <c r="A44" s="176"/>
      <c r="B44" s="25"/>
      <c r="C44" s="253"/>
      <c r="D44" s="45"/>
      <c r="E44" s="273"/>
      <c r="F44" s="270"/>
      <c r="G44" s="270"/>
    </row>
    <row r="45">
      <c r="A45" s="176"/>
      <c r="B45" s="25"/>
      <c r="C45" s="253"/>
      <c r="D45" s="45"/>
      <c r="E45" s="273"/>
      <c r="F45" s="270"/>
      <c r="G45" s="270"/>
    </row>
    <row r="46">
      <c r="A46" s="176"/>
      <c r="B46" s="25"/>
      <c r="C46" s="253"/>
      <c r="D46" s="45"/>
      <c r="E46" s="273"/>
      <c r="F46" s="270"/>
      <c r="G46" s="270"/>
    </row>
    <row r="47">
      <c r="A47" s="176"/>
      <c r="B47" s="25"/>
      <c r="C47" s="253"/>
      <c r="D47" s="45"/>
      <c r="E47" s="273"/>
      <c r="F47" s="270"/>
      <c r="G47" s="270"/>
    </row>
    <row r="48">
      <c r="A48" s="176"/>
      <c r="B48" s="25"/>
      <c r="C48" s="253"/>
      <c r="D48" s="274"/>
      <c r="E48" s="273"/>
      <c r="F48" s="270"/>
      <c r="G48" s="270"/>
    </row>
    <row r="49">
      <c r="A49" s="176"/>
      <c r="B49" s="25"/>
      <c r="C49" s="253"/>
      <c r="D49" s="45"/>
      <c r="E49" s="273"/>
      <c r="F49" s="270"/>
      <c r="G49" s="270"/>
    </row>
    <row r="50">
      <c r="A50" s="176"/>
      <c r="B50" s="25"/>
      <c r="C50" s="253"/>
      <c r="D50" s="45"/>
      <c r="E50" s="275"/>
      <c r="F50" s="270"/>
      <c r="G50" s="270"/>
    </row>
    <row r="51">
      <c r="A51" s="176"/>
      <c r="B51" s="25"/>
      <c r="C51" s="253"/>
      <c r="D51" s="45"/>
      <c r="E51" s="275"/>
      <c r="F51" s="270"/>
      <c r="G51" s="270"/>
    </row>
    <row r="52">
      <c r="A52" s="176"/>
      <c r="B52" s="262"/>
      <c r="C52" s="253"/>
      <c r="D52" s="45"/>
      <c r="E52" s="275"/>
      <c r="F52" s="270"/>
      <c r="G52" s="270"/>
    </row>
    <row r="53">
      <c r="A53" s="176"/>
      <c r="B53" s="25"/>
      <c r="C53" s="253"/>
      <c r="D53" s="45"/>
      <c r="E53" s="275"/>
      <c r="F53" s="270"/>
      <c r="G53" s="45"/>
    </row>
    <row r="54">
      <c r="A54" s="176"/>
      <c r="B54" s="25"/>
      <c r="C54" s="253"/>
      <c r="D54" s="45"/>
      <c r="E54" s="275"/>
      <c r="F54" s="270"/>
      <c r="G54" s="45"/>
    </row>
    <row r="55">
      <c r="A55" s="176"/>
      <c r="B55" s="263"/>
      <c r="C55" s="253"/>
      <c r="D55" s="45"/>
      <c r="E55" s="275"/>
      <c r="F55" s="270"/>
      <c r="G55" s="45"/>
    </row>
    <row r="56">
      <c r="A56" s="176"/>
      <c r="B56" s="25"/>
      <c r="C56" s="253"/>
      <c r="D56" s="45"/>
      <c r="E56" s="275"/>
      <c r="F56" s="270"/>
      <c r="G56" s="45"/>
    </row>
    <row r="57">
      <c r="A57" s="176"/>
      <c r="B57" s="25"/>
      <c r="C57" s="253"/>
      <c r="D57" s="45"/>
      <c r="E57" s="275"/>
      <c r="F57" s="270"/>
      <c r="G57" s="45"/>
    </row>
    <row r="58">
      <c r="A58" s="176"/>
      <c r="B58" s="25"/>
      <c r="C58" s="253"/>
      <c r="D58" s="45"/>
      <c r="E58" s="45"/>
      <c r="F58" s="45"/>
      <c r="G58" s="45"/>
    </row>
    <row r="59">
      <c r="A59" s="176"/>
      <c r="B59" s="25"/>
      <c r="C59" s="253"/>
      <c r="D59" s="45"/>
      <c r="E59" s="45"/>
      <c r="F59" s="45"/>
      <c r="G59" s="45"/>
    </row>
    <row r="60">
      <c r="A60" s="176"/>
      <c r="B60" s="25"/>
      <c r="C60" s="253"/>
      <c r="D60" s="45"/>
      <c r="E60" s="45"/>
      <c r="F60" s="45"/>
      <c r="G60" s="45"/>
    </row>
    <row r="61">
      <c r="A61" s="176"/>
      <c r="B61" s="25"/>
      <c r="C61" s="253"/>
      <c r="D61" s="45"/>
      <c r="E61" s="45"/>
      <c r="F61" s="45"/>
      <c r="G61" s="45"/>
    </row>
    <row r="62">
      <c r="A62" s="176"/>
      <c r="B62" s="25"/>
      <c r="C62" s="253"/>
      <c r="D62" s="45"/>
      <c r="E62" s="45"/>
      <c r="F62" s="45"/>
      <c r="G62" s="45"/>
    </row>
    <row r="63">
      <c r="A63" s="176"/>
      <c r="B63" s="25"/>
      <c r="C63" s="253"/>
      <c r="D63" s="45"/>
      <c r="E63" s="45"/>
      <c r="F63" s="45"/>
      <c r="G63" s="45"/>
    </row>
    <row r="64">
      <c r="A64" s="176"/>
      <c r="B64" s="25"/>
      <c r="C64" s="253"/>
      <c r="D64" s="45"/>
      <c r="E64" s="45"/>
      <c r="F64" s="45"/>
      <c r="G64" s="45"/>
    </row>
    <row r="65">
      <c r="A65" s="176"/>
      <c r="B65" s="25"/>
      <c r="C65" s="253"/>
      <c r="D65" s="45"/>
      <c r="E65" s="45"/>
      <c r="F65" s="45"/>
      <c r="G65" s="45"/>
    </row>
    <row r="66">
      <c r="A66" s="176"/>
      <c r="B66" s="25"/>
      <c r="C66" s="253"/>
      <c r="D66" s="45"/>
      <c r="E66" s="45"/>
      <c r="F66" s="45"/>
      <c r="G66" s="45"/>
    </row>
    <row r="67">
      <c r="A67" s="176"/>
      <c r="B67" s="42"/>
      <c r="C67" s="253"/>
      <c r="D67" s="45"/>
      <c r="E67" s="45"/>
      <c r="F67" s="45"/>
      <c r="G67" s="45"/>
    </row>
    <row r="68">
      <c r="A68" s="176"/>
      <c r="B68" s="25"/>
      <c r="C68" s="253"/>
      <c r="D68" s="45"/>
      <c r="E68" s="45"/>
      <c r="F68" s="45"/>
      <c r="G68" s="45"/>
    </row>
    <row r="69">
      <c r="A69" s="176"/>
      <c r="B69" s="25"/>
      <c r="C69" s="253"/>
      <c r="D69" s="45"/>
      <c r="E69" s="45"/>
      <c r="F69" s="45"/>
      <c r="G69" s="45"/>
    </row>
    <row r="70">
      <c r="A70" s="176"/>
      <c r="B70" s="25"/>
      <c r="C70" s="253"/>
      <c r="D70" s="45"/>
      <c r="E70" s="45"/>
      <c r="F70" s="45"/>
      <c r="G70" s="45"/>
    </row>
    <row r="71">
      <c r="A71" s="176"/>
      <c r="B71" s="25"/>
      <c r="C71" s="253"/>
      <c r="D71" s="45"/>
      <c r="E71" s="45"/>
      <c r="F71" s="45"/>
      <c r="G71" s="45"/>
    </row>
    <row r="72">
      <c r="A72" s="176"/>
      <c r="B72" s="25"/>
      <c r="C72" s="253"/>
      <c r="D72" s="45"/>
      <c r="E72" s="45"/>
      <c r="F72" s="45"/>
      <c r="G72" s="45"/>
    </row>
    <row r="73">
      <c r="A73" s="176"/>
      <c r="B73" s="25"/>
      <c r="C73" s="253"/>
      <c r="D73" s="45"/>
      <c r="E73" s="45"/>
      <c r="F73" s="45"/>
      <c r="G73" s="45"/>
    </row>
    <row r="74">
      <c r="A74" s="176"/>
      <c r="B74" s="25"/>
      <c r="C74" s="253"/>
      <c r="D74" s="45"/>
      <c r="E74" s="45"/>
      <c r="F74" s="45"/>
      <c r="G74" s="45"/>
    </row>
    <row r="75">
      <c r="A75" s="176"/>
      <c r="B75" s="25"/>
      <c r="C75" s="253"/>
      <c r="D75" s="45"/>
      <c r="E75" s="45"/>
      <c r="F75" s="45"/>
      <c r="G75" s="45"/>
    </row>
    <row r="76">
      <c r="A76" s="176"/>
      <c r="B76" s="25"/>
      <c r="C76" s="253"/>
      <c r="D76" s="45"/>
      <c r="E76" s="45"/>
      <c r="F76" s="45"/>
      <c r="G76" s="45"/>
    </row>
    <row r="77">
      <c r="A77" s="176"/>
      <c r="B77" s="42"/>
      <c r="C77" s="253"/>
      <c r="D77" s="45"/>
      <c r="E77" s="45"/>
      <c r="F77" s="45"/>
      <c r="G77" s="45"/>
    </row>
    <row r="78">
      <c r="A78" s="176"/>
      <c r="B78" s="25"/>
      <c r="C78" s="253"/>
      <c r="D78" s="45"/>
      <c r="E78" s="45"/>
      <c r="F78" s="45"/>
      <c r="G78" s="45"/>
    </row>
    <row r="79">
      <c r="A79" s="176"/>
      <c r="B79" s="25"/>
      <c r="C79" s="253"/>
      <c r="D79" s="45"/>
      <c r="E79" s="45"/>
      <c r="F79" s="45"/>
      <c r="G79" s="45"/>
    </row>
    <row r="80">
      <c r="A80" s="176"/>
      <c r="B80" s="25"/>
      <c r="C80" s="253"/>
      <c r="D80" s="45"/>
      <c r="E80" s="45"/>
      <c r="F80" s="45"/>
      <c r="G80" s="45"/>
    </row>
    <row r="81">
      <c r="A81" s="176"/>
      <c r="B81" s="25"/>
      <c r="C81" s="253"/>
      <c r="D81" s="45"/>
      <c r="E81" s="45"/>
      <c r="F81" s="45"/>
      <c r="G81" s="45"/>
    </row>
    <row r="82">
      <c r="A82" s="176"/>
      <c r="B82" s="25"/>
      <c r="C82" s="253"/>
      <c r="D82" s="45"/>
      <c r="E82" s="45"/>
      <c r="F82" s="45"/>
      <c r="G82" s="45"/>
    </row>
    <row r="83">
      <c r="A83" s="176"/>
      <c r="B83" s="25"/>
      <c r="C83" s="253"/>
      <c r="D83" s="45"/>
      <c r="E83" s="45"/>
      <c r="F83" s="45"/>
      <c r="G83" s="45"/>
    </row>
    <row r="84">
      <c r="A84" s="176"/>
      <c r="B84" s="25"/>
      <c r="C84" s="253"/>
      <c r="D84" s="45"/>
      <c r="E84" s="45"/>
      <c r="F84" s="45"/>
      <c r="G84" s="45"/>
    </row>
    <row r="85">
      <c r="A85" s="176"/>
      <c r="B85" s="25"/>
      <c r="C85" s="253"/>
      <c r="D85" s="45"/>
      <c r="E85" s="45"/>
      <c r="F85" s="45"/>
      <c r="G85" s="45"/>
    </row>
    <row r="86">
      <c r="A86" s="176"/>
      <c r="B86" s="25"/>
      <c r="C86" s="253"/>
      <c r="D86" s="45"/>
      <c r="E86" s="45"/>
      <c r="F86" s="45"/>
      <c r="G86" s="45"/>
    </row>
    <row r="87">
      <c r="A87" s="176"/>
      <c r="B87" s="25"/>
      <c r="C87" s="253"/>
      <c r="D87" s="45"/>
      <c r="E87" s="45"/>
      <c r="F87" s="45"/>
      <c r="G87" s="45"/>
    </row>
    <row r="88">
      <c r="A88" s="176"/>
      <c r="B88" s="25"/>
      <c r="C88" s="253"/>
      <c r="D88" s="45"/>
      <c r="E88" s="45"/>
      <c r="F88" s="45"/>
      <c r="G88" s="45"/>
    </row>
    <row r="89">
      <c r="A89" s="176"/>
      <c r="B89" s="25"/>
      <c r="C89" s="253"/>
      <c r="D89" s="45"/>
      <c r="E89" s="45"/>
      <c r="F89" s="45"/>
      <c r="G89" s="45"/>
    </row>
    <row r="90">
      <c r="A90" s="176"/>
      <c r="B90" s="25"/>
      <c r="C90" s="253"/>
      <c r="D90" s="45"/>
      <c r="E90" s="45"/>
      <c r="F90" s="45"/>
      <c r="G90" s="45"/>
    </row>
    <row r="91">
      <c r="A91" s="176"/>
      <c r="B91" s="25"/>
      <c r="C91" s="253"/>
      <c r="D91" s="45"/>
      <c r="E91" s="45"/>
      <c r="F91" s="45"/>
      <c r="G91" s="45"/>
    </row>
    <row r="92">
      <c r="A92" s="176"/>
      <c r="B92" s="25"/>
      <c r="C92" s="253"/>
      <c r="D92" s="274"/>
      <c r="E92" s="45"/>
      <c r="F92" s="45"/>
      <c r="G92" s="45"/>
    </row>
    <row r="93">
      <c r="A93" s="176"/>
      <c r="B93" s="25"/>
      <c r="C93" s="253"/>
      <c r="D93" s="45"/>
      <c r="E93" s="45"/>
      <c r="F93" s="45"/>
      <c r="G93" s="45"/>
    </row>
    <row r="94">
      <c r="A94" s="176"/>
      <c r="B94" s="25"/>
      <c r="C94" s="253"/>
      <c r="D94" s="274"/>
      <c r="E94" s="45"/>
      <c r="F94" s="45"/>
      <c r="G94" s="45"/>
    </row>
    <row r="95">
      <c r="A95" s="176"/>
      <c r="B95" s="25"/>
      <c r="C95" s="253"/>
      <c r="D95" s="45"/>
      <c r="E95" s="45"/>
      <c r="F95" s="45"/>
      <c r="G95" s="45"/>
    </row>
    <row r="96">
      <c r="A96" s="176"/>
      <c r="B96" s="25"/>
      <c r="C96" s="253"/>
      <c r="D96" s="45"/>
      <c r="E96" s="45"/>
      <c r="F96" s="45"/>
      <c r="G96" s="45"/>
    </row>
    <row r="97">
      <c r="A97" s="176"/>
      <c r="B97" s="25"/>
      <c r="C97" s="253"/>
      <c r="D97" s="45"/>
      <c r="E97" s="45"/>
      <c r="F97" s="45"/>
      <c r="G97" s="45"/>
    </row>
    <row r="98">
      <c r="A98" s="176"/>
      <c r="B98" s="25"/>
      <c r="C98" s="253"/>
      <c r="D98" s="45"/>
      <c r="E98" s="45"/>
      <c r="F98" s="45"/>
      <c r="G98" s="45"/>
    </row>
    <row r="99">
      <c r="A99" s="176"/>
      <c r="B99" s="25"/>
      <c r="C99" s="253"/>
      <c r="D99" s="45"/>
      <c r="E99" s="45"/>
      <c r="F99" s="45"/>
      <c r="G99" s="45"/>
    </row>
    <row r="100">
      <c r="A100" s="176"/>
      <c r="B100" s="25"/>
      <c r="C100" s="253"/>
      <c r="D100" s="45"/>
      <c r="E100" s="45"/>
      <c r="F100" s="45"/>
      <c r="G100" s="45"/>
    </row>
    <row r="101">
      <c r="A101" s="176"/>
      <c r="B101" s="25"/>
      <c r="C101" s="253"/>
      <c r="D101" s="45"/>
      <c r="E101" s="45"/>
      <c r="F101" s="45"/>
      <c r="G101" s="45"/>
    </row>
    <row r="102">
      <c r="A102" s="176"/>
      <c r="B102" s="25"/>
      <c r="C102" s="253"/>
      <c r="D102" s="45"/>
      <c r="E102" s="45"/>
      <c r="F102" s="45"/>
      <c r="G102" s="45"/>
    </row>
    <row r="103">
      <c r="A103" s="176"/>
      <c r="B103" s="25"/>
      <c r="C103" s="253"/>
      <c r="D103" s="45"/>
      <c r="E103" s="45"/>
      <c r="F103" s="45"/>
      <c r="G103" s="45"/>
    </row>
    <row r="104">
      <c r="A104" s="176"/>
      <c r="B104" s="25"/>
      <c r="C104" s="253"/>
      <c r="D104" s="45"/>
      <c r="E104" s="45"/>
      <c r="F104" s="45"/>
      <c r="G104" s="45"/>
    </row>
    <row r="105">
      <c r="A105" s="176"/>
      <c r="B105" s="25"/>
      <c r="C105" s="253"/>
      <c r="D105" s="45"/>
      <c r="E105" s="45"/>
      <c r="F105" s="45"/>
      <c r="G105" s="45"/>
    </row>
    <row r="106">
      <c r="A106" s="176"/>
      <c r="B106" s="25"/>
      <c r="C106" s="253"/>
      <c r="D106" s="45"/>
      <c r="E106" s="45"/>
      <c r="F106" s="45"/>
      <c r="G106" s="45"/>
    </row>
    <row r="107">
      <c r="A107" s="176"/>
      <c r="B107" s="78"/>
      <c r="C107" s="253"/>
      <c r="D107" s="45"/>
      <c r="E107" s="45"/>
      <c r="F107" s="45"/>
      <c r="G107" s="45"/>
    </row>
    <row r="108">
      <c r="A108" s="176"/>
      <c r="B108" s="25"/>
      <c r="C108" s="253"/>
      <c r="D108" s="45"/>
      <c r="E108" s="45"/>
      <c r="F108" s="45"/>
      <c r="G108" s="45"/>
    </row>
    <row r="109">
      <c r="A109" s="176"/>
      <c r="B109" s="25"/>
      <c r="C109" s="253"/>
      <c r="D109" s="45"/>
      <c r="E109" s="45"/>
      <c r="F109" s="45"/>
      <c r="G109" s="45"/>
    </row>
    <row r="110">
      <c r="A110" s="176"/>
      <c r="B110" s="25"/>
      <c r="C110" s="253"/>
      <c r="D110" s="45"/>
      <c r="E110" s="45"/>
      <c r="F110" s="45"/>
      <c r="G110" s="45"/>
    </row>
    <row r="111">
      <c r="A111" s="176"/>
      <c r="B111" s="25"/>
      <c r="C111" s="253"/>
      <c r="D111" s="45"/>
      <c r="E111" s="45"/>
      <c r="F111" s="45"/>
      <c r="G111" s="45"/>
    </row>
    <row r="112">
      <c r="A112" s="176"/>
      <c r="B112" s="25"/>
      <c r="C112" s="253"/>
      <c r="D112" s="45"/>
      <c r="E112" s="45"/>
      <c r="F112" s="45"/>
      <c r="G112" s="45"/>
    </row>
    <row r="113">
      <c r="A113" s="176"/>
      <c r="B113" s="25"/>
      <c r="C113" s="253"/>
      <c r="D113" s="45"/>
      <c r="E113" s="45"/>
      <c r="F113" s="45"/>
      <c r="G113" s="45"/>
    </row>
    <row r="114">
      <c r="A114" s="176"/>
      <c r="B114" s="25"/>
      <c r="C114" s="253"/>
      <c r="D114" s="45"/>
      <c r="E114" s="45"/>
      <c r="F114" s="45"/>
      <c r="G114" s="45"/>
    </row>
    <row r="115">
      <c r="A115" s="176"/>
      <c r="B115" s="25"/>
      <c r="C115" s="253"/>
      <c r="D115" s="45"/>
      <c r="E115" s="45"/>
      <c r="F115" s="45"/>
      <c r="G115" s="45"/>
    </row>
    <row r="116">
      <c r="A116" s="176"/>
      <c r="B116" s="78"/>
      <c r="C116" s="253"/>
      <c r="D116" s="45"/>
      <c r="E116" s="45"/>
      <c r="F116" s="45"/>
      <c r="G116" s="45"/>
    </row>
    <row r="117">
      <c r="A117" s="176"/>
      <c r="B117" s="25"/>
      <c r="C117" s="253"/>
      <c r="D117" s="45"/>
      <c r="E117" s="45"/>
      <c r="F117" s="45"/>
      <c r="G117" s="45"/>
    </row>
    <row r="118">
      <c r="A118" s="176"/>
      <c r="B118" s="25"/>
      <c r="C118" s="253"/>
      <c r="D118" s="274"/>
      <c r="E118" s="45"/>
      <c r="F118" s="45"/>
      <c r="G118" s="45"/>
    </row>
    <row r="119">
      <c r="A119" s="176"/>
      <c r="B119" s="78"/>
      <c r="C119" s="253"/>
      <c r="D119" s="45"/>
      <c r="E119" s="45"/>
      <c r="F119" s="45"/>
      <c r="G119" s="45"/>
    </row>
    <row r="120">
      <c r="A120" s="176"/>
      <c r="B120" s="25"/>
      <c r="C120" s="253"/>
      <c r="D120" s="45"/>
      <c r="E120" s="45"/>
      <c r="F120" s="45"/>
      <c r="G120" s="45"/>
    </row>
    <row r="121">
      <c r="A121" s="176"/>
      <c r="B121" s="78"/>
      <c r="C121" s="253"/>
      <c r="D121" s="45"/>
      <c r="E121" s="45"/>
      <c r="F121" s="45"/>
      <c r="G121" s="45"/>
    </row>
    <row r="122">
      <c r="A122" s="176"/>
      <c r="B122" s="25"/>
      <c r="C122" s="253"/>
      <c r="D122" s="45"/>
      <c r="E122" s="45"/>
      <c r="F122" s="45"/>
      <c r="G122" s="45"/>
    </row>
    <row r="123">
      <c r="A123" s="176"/>
      <c r="B123" s="78"/>
      <c r="C123" s="253"/>
      <c r="D123" s="45"/>
      <c r="E123" s="45"/>
      <c r="F123" s="45"/>
      <c r="G123" s="45"/>
    </row>
    <row r="124">
      <c r="A124" s="176"/>
      <c r="B124" s="25"/>
      <c r="C124" s="253"/>
      <c r="D124" s="45"/>
      <c r="E124" s="45"/>
      <c r="F124" s="45"/>
      <c r="G124" s="45"/>
    </row>
    <row r="125">
      <c r="A125" s="176"/>
      <c r="B125" s="25"/>
      <c r="C125" s="253"/>
      <c r="D125" s="45"/>
      <c r="E125" s="45"/>
      <c r="F125" s="45"/>
      <c r="G125" s="45"/>
    </row>
    <row r="126">
      <c r="A126" s="176"/>
      <c r="B126" s="78"/>
      <c r="C126" s="253"/>
      <c r="D126" s="45"/>
      <c r="E126" s="45"/>
      <c r="F126" s="45"/>
      <c r="G126" s="45"/>
    </row>
    <row r="127">
      <c r="A127" s="176"/>
      <c r="B127" s="25"/>
      <c r="C127" s="253"/>
      <c r="D127" s="45"/>
      <c r="E127" s="45"/>
      <c r="F127" s="45"/>
      <c r="G127" s="45"/>
    </row>
    <row r="128">
      <c r="A128" s="176"/>
      <c r="B128" s="25"/>
      <c r="C128" s="253"/>
      <c r="D128" s="45"/>
      <c r="E128" s="45"/>
      <c r="F128" s="45"/>
      <c r="G128" s="45"/>
    </row>
    <row r="129">
      <c r="A129" s="176"/>
      <c r="B129" s="78"/>
      <c r="C129" s="253"/>
      <c r="D129" s="45"/>
      <c r="E129" s="45"/>
      <c r="F129" s="45"/>
      <c r="G129" s="45"/>
    </row>
    <row r="130">
      <c r="A130" s="176"/>
      <c r="B130" s="78"/>
      <c r="C130" s="253"/>
      <c r="D130" s="45"/>
      <c r="E130" s="45"/>
      <c r="F130" s="45"/>
      <c r="G130" s="45"/>
    </row>
    <row r="131">
      <c r="A131" s="176"/>
      <c r="B131" s="45"/>
      <c r="C131" s="253"/>
      <c r="D131" s="45"/>
      <c r="E131" s="45"/>
      <c r="F131" s="45"/>
      <c r="G131" s="45"/>
    </row>
    <row r="132">
      <c r="A132" s="176"/>
      <c r="B132" s="25"/>
      <c r="C132" s="253"/>
      <c r="D132" s="45"/>
      <c r="E132" s="45"/>
      <c r="F132" s="45"/>
      <c r="G132" s="45"/>
    </row>
    <row r="133">
      <c r="A133" s="176"/>
      <c r="B133" s="25"/>
      <c r="C133" s="253"/>
      <c r="D133" s="45"/>
      <c r="E133" s="45"/>
      <c r="F133" s="45"/>
      <c r="G133" s="45"/>
    </row>
    <row r="134">
      <c r="A134" s="176"/>
      <c r="B134" s="78"/>
      <c r="C134" s="253"/>
      <c r="D134" s="45"/>
      <c r="E134" s="45"/>
      <c r="F134" s="45"/>
      <c r="G134" s="45"/>
    </row>
    <row r="135">
      <c r="A135" s="176"/>
      <c r="B135" s="25"/>
      <c r="C135" s="253"/>
      <c r="D135" s="45"/>
      <c r="E135" s="45"/>
      <c r="F135" s="45"/>
      <c r="G135" s="45"/>
    </row>
    <row r="136">
      <c r="A136" s="176"/>
      <c r="B136" s="78"/>
      <c r="C136" s="253"/>
      <c r="D136" s="45"/>
      <c r="E136" s="45"/>
      <c r="F136" s="45"/>
      <c r="G136" s="45"/>
    </row>
    <row r="137">
      <c r="A137" s="176"/>
      <c r="B137" s="78"/>
      <c r="C137" s="253"/>
      <c r="D137" s="45"/>
      <c r="E137" s="45"/>
      <c r="F137" s="45"/>
      <c r="G137" s="45"/>
    </row>
    <row r="138">
      <c r="A138" s="176"/>
      <c r="B138" s="25"/>
      <c r="C138" s="253"/>
      <c r="D138" s="45"/>
      <c r="E138" s="45"/>
      <c r="F138" s="45"/>
      <c r="G138" s="45"/>
    </row>
    <row r="139">
      <c r="A139" s="176"/>
      <c r="B139" s="78"/>
      <c r="C139" s="253"/>
      <c r="D139" s="45"/>
      <c r="E139" s="45"/>
      <c r="F139" s="45"/>
      <c r="G139" s="45"/>
    </row>
    <row r="140">
      <c r="A140" s="176"/>
      <c r="B140" s="78"/>
      <c r="C140" s="253"/>
      <c r="D140" s="45"/>
      <c r="E140" s="45"/>
      <c r="F140" s="45"/>
      <c r="G140" s="45"/>
    </row>
    <row r="141">
      <c r="A141" s="176"/>
      <c r="B141" s="78"/>
      <c r="C141" s="253"/>
      <c r="D141" s="45"/>
      <c r="E141" s="45"/>
      <c r="F141" s="45"/>
      <c r="G141" s="45"/>
    </row>
    <row r="142">
      <c r="A142" s="176"/>
      <c r="B142" s="25"/>
      <c r="C142" s="253"/>
      <c r="D142" s="45"/>
      <c r="E142" s="45"/>
      <c r="F142" s="45"/>
      <c r="G142" s="45"/>
    </row>
    <row r="143">
      <c r="A143" s="176"/>
      <c r="B143" s="25"/>
      <c r="C143" s="253"/>
      <c r="D143" s="45"/>
      <c r="E143" s="45"/>
      <c r="F143" s="45"/>
      <c r="G143" s="45"/>
    </row>
    <row r="144">
      <c r="A144" s="176"/>
      <c r="B144" s="25"/>
      <c r="C144" s="253"/>
      <c r="D144" s="45"/>
      <c r="E144" s="45"/>
      <c r="F144" s="45"/>
      <c r="G144" s="45"/>
    </row>
    <row r="145">
      <c r="A145" s="176"/>
      <c r="B145" s="25"/>
      <c r="C145" s="253"/>
      <c r="D145" s="45"/>
      <c r="E145" s="45"/>
      <c r="F145" s="45"/>
      <c r="G145" s="45"/>
    </row>
    <row r="146">
      <c r="A146" s="176"/>
      <c r="B146" s="25"/>
      <c r="C146" s="253"/>
      <c r="D146" s="45"/>
      <c r="E146" s="45"/>
      <c r="F146" s="45"/>
      <c r="G146" s="45"/>
    </row>
    <row r="147">
      <c r="A147" s="176"/>
      <c r="B147" s="25"/>
      <c r="C147" s="253"/>
      <c r="D147" s="45"/>
      <c r="E147" s="45"/>
      <c r="F147" s="45"/>
      <c r="G147" s="45"/>
    </row>
    <row r="148">
      <c r="A148" s="176"/>
      <c r="B148" s="25"/>
      <c r="C148" s="253"/>
      <c r="D148" s="45"/>
      <c r="E148" s="45"/>
      <c r="F148" s="45"/>
      <c r="G148" s="45"/>
    </row>
    <row r="149">
      <c r="A149" s="176"/>
      <c r="B149" s="25"/>
      <c r="C149" s="253"/>
      <c r="D149" s="45"/>
      <c r="E149" s="45"/>
      <c r="F149" s="45"/>
      <c r="G149" s="45"/>
    </row>
    <row r="150">
      <c r="A150" s="176"/>
      <c r="B150" s="25"/>
      <c r="C150" s="253"/>
      <c r="D150" s="45"/>
      <c r="E150" s="45"/>
      <c r="F150" s="45"/>
      <c r="G150" s="45"/>
    </row>
    <row r="151">
      <c r="A151" s="176"/>
      <c r="B151" s="25"/>
      <c r="C151" s="253"/>
      <c r="D151" s="45"/>
      <c r="E151" s="45"/>
      <c r="F151" s="45"/>
      <c r="G151" s="45"/>
    </row>
    <row r="152">
      <c r="A152" s="176"/>
      <c r="B152" s="25"/>
      <c r="C152" s="253"/>
      <c r="D152" s="45"/>
      <c r="E152" s="45"/>
      <c r="F152" s="45"/>
      <c r="G152" s="45"/>
    </row>
    <row r="153">
      <c r="A153" s="176"/>
      <c r="B153" s="25"/>
      <c r="C153" s="253"/>
      <c r="D153" s="45"/>
      <c r="E153" s="45"/>
      <c r="F153" s="45"/>
      <c r="G153" s="45"/>
    </row>
    <row r="154">
      <c r="A154" s="176"/>
      <c r="B154" s="25"/>
      <c r="C154" s="253"/>
      <c r="D154" s="45"/>
      <c r="E154" s="45"/>
      <c r="F154" s="45"/>
      <c r="G154" s="45"/>
    </row>
    <row r="155">
      <c r="A155" s="176"/>
      <c r="B155" s="78"/>
      <c r="C155" s="253"/>
      <c r="D155" s="45"/>
      <c r="E155" s="45"/>
      <c r="F155" s="45"/>
      <c r="G155" s="45"/>
    </row>
    <row r="156">
      <c r="A156" s="176"/>
      <c r="B156" s="25"/>
      <c r="C156" s="253"/>
      <c r="D156" s="45"/>
      <c r="E156" s="45"/>
      <c r="F156" s="45"/>
      <c r="G156" s="45"/>
    </row>
    <row r="157">
      <c r="A157" s="176"/>
      <c r="B157" s="25"/>
      <c r="C157" s="253"/>
      <c r="D157" s="45"/>
      <c r="E157" s="45"/>
      <c r="F157" s="45"/>
      <c r="G157" s="45"/>
    </row>
    <row r="158">
      <c r="A158" s="176"/>
      <c r="B158" s="78"/>
      <c r="C158" s="253"/>
      <c r="D158" s="45"/>
      <c r="E158" s="45"/>
      <c r="F158" s="45"/>
      <c r="G158" s="45"/>
    </row>
    <row r="159">
      <c r="A159" s="176"/>
      <c r="B159" s="78"/>
      <c r="C159" s="253"/>
      <c r="D159" s="45"/>
      <c r="E159" s="45"/>
      <c r="F159" s="45"/>
      <c r="G159" s="45"/>
    </row>
    <row r="160">
      <c r="A160" s="176"/>
      <c r="B160" s="78"/>
      <c r="C160" s="253"/>
      <c r="D160" s="45"/>
      <c r="E160" s="45"/>
      <c r="F160" s="45"/>
      <c r="G160" s="45"/>
    </row>
    <row r="161">
      <c r="A161" s="176"/>
      <c r="B161" s="78"/>
      <c r="C161" s="253"/>
      <c r="D161" s="45"/>
      <c r="E161" s="45"/>
      <c r="F161" s="45"/>
      <c r="G161" s="45"/>
    </row>
    <row r="162">
      <c r="A162" s="176"/>
      <c r="B162" s="78"/>
      <c r="C162" s="253"/>
      <c r="D162" s="45"/>
      <c r="E162" s="45"/>
      <c r="F162" s="45"/>
      <c r="G162" s="45"/>
    </row>
    <row r="163">
      <c r="A163" s="176"/>
      <c r="B163" s="78"/>
      <c r="C163" s="253"/>
      <c r="D163" s="45"/>
      <c r="E163" s="45"/>
      <c r="F163" s="45"/>
      <c r="G163" s="45"/>
    </row>
    <row r="164">
      <c r="A164" s="176"/>
      <c r="B164" s="78"/>
      <c r="C164" s="253"/>
      <c r="D164" s="45"/>
      <c r="E164" s="45"/>
      <c r="F164" s="45"/>
      <c r="G164" s="45"/>
    </row>
    <row r="165">
      <c r="A165" s="176"/>
      <c r="B165" s="25"/>
      <c r="C165" s="253"/>
      <c r="D165" s="45"/>
      <c r="E165" s="45"/>
      <c r="F165" s="45"/>
      <c r="G165" s="45"/>
    </row>
    <row r="166">
      <c r="A166" s="176"/>
      <c r="B166" s="25"/>
      <c r="C166" s="253"/>
      <c r="D166" s="45"/>
      <c r="E166" s="45"/>
      <c r="F166" s="45"/>
      <c r="G166" s="45"/>
    </row>
    <row r="167">
      <c r="A167" s="176"/>
      <c r="B167" s="78"/>
      <c r="C167" s="253"/>
      <c r="D167" s="45"/>
      <c r="E167" s="45"/>
      <c r="F167" s="45"/>
      <c r="G167" s="45"/>
    </row>
    <row r="168">
      <c r="A168" s="176"/>
      <c r="B168" s="25"/>
      <c r="C168" s="253"/>
      <c r="D168" s="45"/>
      <c r="E168" s="45"/>
      <c r="F168" s="45"/>
      <c r="G168" s="45"/>
    </row>
    <row r="169">
      <c r="A169" s="176"/>
      <c r="B169" s="25"/>
      <c r="C169" s="253"/>
      <c r="D169" s="45"/>
      <c r="E169" s="45"/>
      <c r="F169" s="45"/>
      <c r="G169" s="45"/>
    </row>
    <row r="170">
      <c r="A170" s="176"/>
      <c r="B170" s="78"/>
      <c r="C170" s="253"/>
      <c r="D170" s="45"/>
      <c r="E170" s="45"/>
      <c r="F170" s="45"/>
      <c r="G170" s="45"/>
    </row>
    <row r="171">
      <c r="A171" s="176"/>
      <c r="B171" s="78"/>
      <c r="C171" s="253"/>
      <c r="D171" s="45"/>
      <c r="E171" s="45"/>
      <c r="F171" s="45"/>
      <c r="G171" s="45"/>
    </row>
    <row r="172">
      <c r="A172" s="176"/>
      <c r="B172" s="78"/>
      <c r="C172" s="253"/>
      <c r="D172" s="45"/>
      <c r="E172" s="45"/>
      <c r="F172" s="45"/>
      <c r="G172" s="45"/>
    </row>
    <row r="173">
      <c r="A173" s="176"/>
      <c r="B173" s="25"/>
      <c r="C173" s="253"/>
      <c r="D173" s="274"/>
      <c r="E173" s="45"/>
      <c r="F173" s="45"/>
      <c r="G173" s="45"/>
    </row>
    <row r="174">
      <c r="A174" s="176"/>
      <c r="B174" s="78"/>
      <c r="C174" s="253"/>
      <c r="D174" s="45"/>
      <c r="E174" s="45"/>
      <c r="F174" s="45"/>
      <c r="G174" s="45"/>
    </row>
    <row r="175">
      <c r="A175" s="176"/>
      <c r="B175" s="25"/>
      <c r="C175" s="253"/>
      <c r="D175" s="45"/>
      <c r="E175" s="45"/>
      <c r="F175" s="45"/>
      <c r="G175" s="45"/>
    </row>
    <row r="176">
      <c r="A176" s="176"/>
      <c r="B176" s="78"/>
      <c r="C176" s="253"/>
      <c r="D176" s="45"/>
      <c r="E176" s="45"/>
      <c r="F176" s="45"/>
      <c r="G176" s="45"/>
    </row>
    <row r="177">
      <c r="A177" s="176"/>
      <c r="B177" s="78"/>
      <c r="C177" s="253"/>
      <c r="D177" s="45"/>
      <c r="E177" s="45"/>
      <c r="F177" s="45"/>
      <c r="G177" s="45"/>
    </row>
    <row r="178">
      <c r="A178" s="176"/>
      <c r="B178" s="25"/>
      <c r="C178" s="253"/>
      <c r="D178" s="45"/>
      <c r="E178" s="45"/>
      <c r="F178" s="45"/>
      <c r="G178" s="45"/>
    </row>
    <row r="179">
      <c r="A179" s="176"/>
      <c r="B179" s="78"/>
      <c r="C179" s="253"/>
      <c r="D179" s="45"/>
      <c r="E179" s="45"/>
      <c r="F179" s="45"/>
      <c r="G179" s="45"/>
    </row>
    <row r="180">
      <c r="A180" s="176"/>
      <c r="B180" s="78"/>
      <c r="C180" s="253"/>
      <c r="D180" s="45"/>
      <c r="E180" s="45"/>
      <c r="F180" s="45"/>
      <c r="G180" s="45"/>
    </row>
    <row r="181">
      <c r="A181" s="176"/>
      <c r="B181" s="78"/>
      <c r="C181" s="253"/>
      <c r="D181" s="45"/>
      <c r="E181" s="45"/>
      <c r="F181" s="45"/>
      <c r="G181" s="45"/>
    </row>
    <row r="182">
      <c r="A182" s="176"/>
      <c r="B182" s="78"/>
      <c r="C182" s="253"/>
      <c r="D182" s="45"/>
      <c r="E182" s="45"/>
      <c r="F182" s="45"/>
      <c r="G182" s="45"/>
    </row>
    <row r="183">
      <c r="A183" s="176"/>
      <c r="B183" s="25"/>
      <c r="C183" s="253"/>
      <c r="D183" s="45"/>
      <c r="E183" s="45"/>
      <c r="F183" s="45"/>
      <c r="G183" s="45"/>
    </row>
    <row r="184">
      <c r="A184" s="176"/>
      <c r="B184" s="25"/>
      <c r="C184" s="253"/>
      <c r="D184" s="45"/>
      <c r="E184" s="45"/>
      <c r="F184" s="45"/>
      <c r="G184" s="45"/>
    </row>
    <row r="185">
      <c r="A185" s="176"/>
      <c r="B185" s="25"/>
      <c r="C185" s="253"/>
      <c r="D185" s="45"/>
      <c r="E185" s="45"/>
      <c r="F185" s="45"/>
      <c r="G185" s="45"/>
    </row>
    <row r="186">
      <c r="A186" s="176"/>
      <c r="B186" s="25"/>
      <c r="C186" s="253"/>
      <c r="D186" s="45"/>
      <c r="E186" s="45"/>
      <c r="F186" s="45"/>
      <c r="G186" s="45"/>
    </row>
    <row r="187">
      <c r="A187" s="176"/>
      <c r="B187" s="25"/>
      <c r="C187" s="253"/>
      <c r="D187" s="45"/>
      <c r="E187" s="45"/>
      <c r="F187" s="45"/>
      <c r="G187" s="45"/>
    </row>
    <row r="188">
      <c r="A188" s="176"/>
      <c r="B188" s="25"/>
      <c r="C188" s="253"/>
      <c r="D188" s="45"/>
      <c r="E188" s="45"/>
      <c r="F188" s="45"/>
      <c r="G188" s="45"/>
    </row>
    <row r="189">
      <c r="A189" s="176"/>
      <c r="B189" s="25"/>
      <c r="C189" s="253"/>
      <c r="D189" s="45"/>
      <c r="E189" s="45"/>
      <c r="F189" s="45"/>
      <c r="G189" s="45"/>
    </row>
    <row r="190">
      <c r="A190" s="176"/>
      <c r="B190" s="25"/>
      <c r="C190" s="253"/>
      <c r="D190" s="45"/>
      <c r="E190" s="45"/>
      <c r="F190" s="45"/>
      <c r="G190" s="45"/>
    </row>
    <row r="191">
      <c r="A191" s="176"/>
      <c r="B191" s="25"/>
      <c r="C191" s="253"/>
      <c r="D191" s="45"/>
      <c r="E191" s="45"/>
      <c r="F191" s="45"/>
      <c r="G191" s="45"/>
    </row>
    <row r="192">
      <c r="A192" s="176"/>
      <c r="B192" s="25"/>
      <c r="C192" s="253"/>
      <c r="D192" s="45"/>
      <c r="E192" s="45"/>
      <c r="F192" s="45"/>
      <c r="G192" s="45"/>
    </row>
    <row r="193">
      <c r="A193" s="176"/>
      <c r="B193" s="25"/>
      <c r="C193" s="253"/>
      <c r="D193" s="45"/>
      <c r="E193" s="45"/>
      <c r="F193" s="45"/>
      <c r="G193" s="45"/>
    </row>
    <row r="194">
      <c r="A194" s="176"/>
      <c r="B194" s="25"/>
      <c r="C194" s="253"/>
      <c r="D194" s="45"/>
      <c r="E194" s="45"/>
      <c r="F194" s="45"/>
      <c r="G194" s="45"/>
    </row>
    <row r="195">
      <c r="A195" s="176"/>
      <c r="B195" s="25"/>
      <c r="C195" s="253"/>
      <c r="D195" s="45"/>
      <c r="E195" s="45"/>
      <c r="F195" s="45"/>
      <c r="G195" s="45"/>
    </row>
    <row r="196">
      <c r="A196" s="176"/>
      <c r="B196" s="25"/>
      <c r="C196" s="253"/>
      <c r="D196" s="45"/>
      <c r="E196" s="45"/>
      <c r="F196" s="45"/>
      <c r="G196" s="45"/>
    </row>
    <row r="197">
      <c r="A197" s="176"/>
      <c r="B197" s="25"/>
      <c r="C197" s="253"/>
      <c r="D197" s="45"/>
      <c r="E197" s="45"/>
      <c r="F197" s="45"/>
      <c r="G197" s="45"/>
    </row>
    <row r="198">
      <c r="A198" s="176"/>
      <c r="B198" s="25"/>
      <c r="C198" s="253"/>
      <c r="D198" s="45"/>
      <c r="E198" s="45"/>
      <c r="F198" s="45"/>
      <c r="G198" s="45"/>
    </row>
    <row r="199">
      <c r="A199" s="176"/>
      <c r="B199" s="25"/>
      <c r="C199" s="253"/>
      <c r="D199" s="45"/>
      <c r="E199" s="45"/>
      <c r="F199" s="45"/>
      <c r="G199" s="45"/>
    </row>
    <row r="200">
      <c r="A200" s="176"/>
      <c r="B200" s="25"/>
      <c r="C200" s="253"/>
      <c r="D200" s="45"/>
      <c r="E200" s="45"/>
      <c r="F200" s="45"/>
      <c r="G200" s="45"/>
    </row>
    <row r="201">
      <c r="A201" s="176"/>
      <c r="B201" s="25"/>
      <c r="C201" s="253"/>
      <c r="D201" s="45"/>
      <c r="E201" s="45"/>
      <c r="F201" s="45"/>
      <c r="G201" s="45"/>
    </row>
    <row r="202">
      <c r="A202" s="176"/>
      <c r="B202" s="25"/>
      <c r="C202" s="253"/>
      <c r="D202" s="45"/>
      <c r="E202" s="45"/>
      <c r="F202" s="45"/>
      <c r="G202" s="45"/>
    </row>
    <row r="203">
      <c r="A203" s="176"/>
      <c r="B203" s="25"/>
      <c r="C203" s="253"/>
      <c r="D203" s="45"/>
      <c r="E203" s="45"/>
      <c r="F203" s="45"/>
      <c r="G203" s="45"/>
    </row>
    <row r="204">
      <c r="A204" s="176"/>
      <c r="B204" s="25"/>
      <c r="C204" s="253"/>
      <c r="D204" s="45"/>
      <c r="E204" s="45"/>
      <c r="F204" s="45"/>
      <c r="G204" s="45"/>
    </row>
    <row r="205">
      <c r="A205" s="176"/>
      <c r="B205" s="25"/>
      <c r="C205" s="253"/>
      <c r="D205" s="45"/>
      <c r="E205" s="45"/>
      <c r="F205" s="45"/>
      <c r="G205" s="45"/>
    </row>
    <row r="206">
      <c r="A206" s="176"/>
      <c r="B206" s="25"/>
      <c r="C206" s="253"/>
      <c r="D206" s="45"/>
      <c r="E206" s="45"/>
      <c r="F206" s="45"/>
      <c r="G206" s="45"/>
    </row>
    <row r="207">
      <c r="A207" s="176"/>
      <c r="B207" s="25"/>
      <c r="C207" s="253"/>
      <c r="D207" s="45"/>
      <c r="E207" s="45"/>
      <c r="F207" s="45"/>
      <c r="G207" s="45"/>
    </row>
    <row r="208">
      <c r="A208" s="176"/>
      <c r="B208" s="25"/>
      <c r="C208" s="253"/>
      <c r="D208" s="45"/>
      <c r="E208" s="45"/>
      <c r="F208" s="45"/>
      <c r="G208" s="45"/>
    </row>
    <row r="209">
      <c r="A209" s="176"/>
      <c r="B209" s="25"/>
      <c r="C209" s="253"/>
      <c r="D209" s="45"/>
      <c r="E209" s="45"/>
      <c r="F209" s="45"/>
      <c r="G209" s="45"/>
    </row>
    <row r="210">
      <c r="A210" s="176"/>
      <c r="B210" s="25"/>
      <c r="C210" s="253"/>
      <c r="D210" s="45"/>
      <c r="E210" s="45"/>
      <c r="F210" s="45"/>
      <c r="G210" s="45"/>
    </row>
    <row r="211">
      <c r="A211" s="176"/>
      <c r="B211" s="25"/>
      <c r="C211" s="253"/>
      <c r="D211" s="45"/>
      <c r="E211" s="45"/>
      <c r="F211" s="45"/>
      <c r="G211" s="45"/>
    </row>
    <row r="212">
      <c r="A212" s="176"/>
      <c r="B212" s="25"/>
      <c r="C212" s="253"/>
      <c r="D212" s="45"/>
      <c r="E212" s="45"/>
      <c r="F212" s="45"/>
      <c r="G212" s="45"/>
    </row>
    <row r="213">
      <c r="A213" s="176"/>
      <c r="B213" s="25"/>
      <c r="C213" s="253"/>
      <c r="D213" s="45"/>
      <c r="E213" s="45"/>
      <c r="F213" s="45"/>
      <c r="G213" s="45"/>
    </row>
    <row r="214">
      <c r="A214" s="176"/>
      <c r="B214" s="78"/>
      <c r="C214" s="253"/>
      <c r="D214" s="45"/>
      <c r="E214" s="45"/>
      <c r="F214" s="45"/>
      <c r="G214" s="45"/>
    </row>
    <row r="215">
      <c r="A215" s="176"/>
      <c r="B215" s="78"/>
      <c r="C215" s="253"/>
      <c r="D215" s="274"/>
      <c r="E215" s="45"/>
      <c r="F215" s="45"/>
      <c r="G215" s="45"/>
    </row>
    <row r="216">
      <c r="A216" s="176"/>
      <c r="B216" s="78"/>
      <c r="C216" s="253"/>
      <c r="D216" s="45"/>
      <c r="E216" s="45"/>
      <c r="F216" s="45"/>
      <c r="G216" s="45"/>
    </row>
    <row r="217">
      <c r="A217" s="176"/>
      <c r="B217" s="78"/>
      <c r="C217" s="253"/>
      <c r="D217" s="45"/>
      <c r="E217" s="45"/>
      <c r="F217" s="45"/>
      <c r="G217" s="45"/>
    </row>
    <row r="218">
      <c r="A218" s="176"/>
      <c r="B218" s="78"/>
      <c r="C218" s="253"/>
      <c r="D218" s="45"/>
      <c r="E218" s="45"/>
      <c r="F218" s="45"/>
      <c r="G218" s="45"/>
    </row>
    <row r="219">
      <c r="A219" s="176"/>
      <c r="B219" s="78"/>
      <c r="C219" s="253"/>
      <c r="D219" s="45"/>
      <c r="E219" s="45"/>
      <c r="F219" s="45"/>
      <c r="G219" s="45"/>
    </row>
    <row r="220">
      <c r="A220" s="176"/>
      <c r="B220" s="25"/>
      <c r="C220" s="253"/>
      <c r="D220" s="45"/>
      <c r="E220" s="45"/>
      <c r="F220" s="45"/>
      <c r="G220" s="45"/>
    </row>
    <row r="221">
      <c r="A221" s="176"/>
      <c r="B221" s="78"/>
      <c r="C221" s="253"/>
      <c r="D221" s="45"/>
      <c r="E221" s="45"/>
      <c r="F221" s="45"/>
      <c r="G221" s="45"/>
    </row>
    <row r="222">
      <c r="A222" s="176"/>
      <c r="B222" s="78"/>
      <c r="C222" s="253"/>
      <c r="D222" s="45"/>
      <c r="E222" s="45"/>
      <c r="F222" s="45"/>
      <c r="G222" s="45"/>
    </row>
    <row r="223">
      <c r="A223" s="176"/>
      <c r="B223" s="78"/>
      <c r="C223" s="253"/>
      <c r="D223" s="45"/>
      <c r="E223" s="45"/>
      <c r="F223" s="45"/>
      <c r="G223" s="45"/>
    </row>
    <row r="224">
      <c r="A224" s="176"/>
      <c r="B224" s="78"/>
      <c r="C224" s="253"/>
      <c r="D224" s="45"/>
      <c r="E224" s="45"/>
      <c r="F224" s="45"/>
      <c r="G224" s="45"/>
    </row>
    <row r="225">
      <c r="A225" s="176"/>
      <c r="B225" s="78"/>
      <c r="C225" s="253"/>
      <c r="D225" s="45"/>
      <c r="E225" s="45"/>
      <c r="F225" s="45"/>
      <c r="G225" s="45"/>
    </row>
    <row r="226">
      <c r="A226" s="176"/>
      <c r="B226" s="78"/>
      <c r="C226" s="253"/>
      <c r="D226" s="45"/>
      <c r="E226" s="45"/>
      <c r="F226" s="45"/>
      <c r="G226" s="45"/>
    </row>
    <row r="227">
      <c r="A227" s="176"/>
      <c r="B227" s="78"/>
      <c r="C227" s="253"/>
      <c r="D227" s="45"/>
      <c r="E227" s="45"/>
      <c r="F227" s="45"/>
      <c r="G227" s="45"/>
    </row>
    <row r="228">
      <c r="A228" s="176"/>
      <c r="B228" s="78"/>
      <c r="C228" s="253"/>
      <c r="D228" s="45"/>
      <c r="E228" s="45"/>
      <c r="F228" s="45"/>
      <c r="G228" s="45"/>
    </row>
    <row r="229">
      <c r="A229" s="176"/>
      <c r="B229" s="78"/>
      <c r="C229" s="253"/>
      <c r="D229" s="45"/>
      <c r="E229" s="45"/>
      <c r="F229" s="45"/>
      <c r="G229" s="45"/>
    </row>
    <row r="230">
      <c r="A230" s="176"/>
      <c r="B230" s="78"/>
      <c r="C230" s="253"/>
      <c r="D230" s="45"/>
      <c r="E230" s="45"/>
      <c r="F230" s="45"/>
      <c r="G230" s="45"/>
    </row>
    <row r="231">
      <c r="A231" s="176"/>
      <c r="B231" s="78"/>
      <c r="C231" s="253"/>
      <c r="D231" s="45"/>
      <c r="E231" s="45"/>
      <c r="F231" s="45"/>
      <c r="G231" s="45"/>
    </row>
    <row r="232">
      <c r="A232" s="176"/>
      <c r="B232" s="78"/>
      <c r="C232" s="253"/>
      <c r="D232" s="45"/>
      <c r="E232" s="45"/>
      <c r="F232" s="45"/>
      <c r="G232" s="45"/>
    </row>
    <row r="233">
      <c r="A233" s="176"/>
      <c r="B233" s="78"/>
      <c r="C233" s="253"/>
      <c r="D233" s="45"/>
      <c r="E233" s="45"/>
      <c r="F233" s="45"/>
      <c r="G233" s="45"/>
    </row>
    <row r="234">
      <c r="A234" s="176"/>
      <c r="B234" s="78"/>
      <c r="C234" s="253"/>
      <c r="D234" s="45"/>
      <c r="E234" s="45"/>
      <c r="F234" s="45"/>
      <c r="G234" s="45"/>
    </row>
    <row r="235">
      <c r="A235" s="176"/>
      <c r="B235" s="78"/>
      <c r="C235" s="253"/>
      <c r="D235" s="45"/>
      <c r="E235" s="45"/>
      <c r="F235" s="45"/>
      <c r="G235" s="45"/>
    </row>
    <row r="236">
      <c r="A236" s="176"/>
      <c r="B236" s="78"/>
      <c r="C236" s="253"/>
      <c r="D236" s="45"/>
      <c r="E236" s="45"/>
      <c r="F236" s="45"/>
      <c r="G236" s="45"/>
    </row>
    <row r="237">
      <c r="A237" s="176"/>
      <c r="B237" s="78"/>
      <c r="C237" s="253"/>
      <c r="D237" s="45"/>
      <c r="E237" s="45"/>
      <c r="F237" s="45"/>
      <c r="G237" s="45"/>
    </row>
    <row r="238">
      <c r="A238" s="176"/>
      <c r="B238" s="78"/>
      <c r="C238" s="253"/>
      <c r="D238" s="45"/>
      <c r="E238" s="45"/>
      <c r="F238" s="45"/>
      <c r="G238" s="45"/>
    </row>
    <row r="239">
      <c r="A239" s="176"/>
      <c r="B239" s="78"/>
      <c r="C239" s="253"/>
      <c r="D239" s="45"/>
      <c r="E239" s="45"/>
      <c r="F239" s="45"/>
      <c r="G239" s="45"/>
    </row>
    <row r="240">
      <c r="A240" s="176"/>
      <c r="B240" s="78"/>
      <c r="C240" s="253"/>
      <c r="D240" s="45"/>
      <c r="E240" s="45"/>
      <c r="F240" s="45"/>
      <c r="G240" s="45"/>
    </row>
    <row r="241">
      <c r="A241" s="176"/>
      <c r="B241" s="78"/>
      <c r="C241" s="253"/>
      <c r="D241" s="45"/>
      <c r="E241" s="45"/>
      <c r="F241" s="45"/>
      <c r="G241" s="45"/>
    </row>
    <row r="242">
      <c r="A242" s="176"/>
      <c r="B242" s="78"/>
      <c r="C242" s="253"/>
      <c r="D242" s="45"/>
      <c r="E242" s="45"/>
      <c r="F242" s="45"/>
      <c r="G242" s="45"/>
    </row>
    <row r="243">
      <c r="A243" s="176"/>
      <c r="B243" s="78"/>
      <c r="C243" s="253"/>
      <c r="D243" s="45"/>
      <c r="E243" s="45"/>
      <c r="F243" s="45"/>
      <c r="G243" s="45"/>
    </row>
    <row r="244">
      <c r="A244" s="176"/>
      <c r="B244" s="78"/>
      <c r="C244" s="253"/>
      <c r="D244" s="274"/>
      <c r="E244" s="45"/>
      <c r="F244" s="45"/>
      <c r="G244" s="45"/>
    </row>
    <row r="245">
      <c r="A245" s="176"/>
      <c r="B245" s="78"/>
      <c r="C245" s="253"/>
      <c r="D245" s="45"/>
      <c r="E245" s="45"/>
      <c r="F245" s="45"/>
      <c r="G245" s="45"/>
    </row>
    <row r="246">
      <c r="A246" s="176"/>
      <c r="B246" s="78"/>
      <c r="C246" s="253"/>
      <c r="D246" s="45"/>
      <c r="E246" s="45"/>
      <c r="F246" s="45"/>
      <c r="G246" s="45"/>
    </row>
    <row r="247">
      <c r="A247" s="176"/>
      <c r="B247" s="78"/>
      <c r="C247" s="253"/>
      <c r="D247" s="45"/>
      <c r="E247" s="45"/>
      <c r="F247" s="45"/>
      <c r="G247" s="45"/>
    </row>
    <row r="248">
      <c r="A248" s="176"/>
      <c r="B248" s="78"/>
      <c r="C248" s="253"/>
      <c r="D248" s="45"/>
      <c r="E248" s="45"/>
      <c r="F248" s="45"/>
      <c r="G248" s="45"/>
    </row>
    <row r="249">
      <c r="A249" s="176"/>
      <c r="B249" s="78"/>
      <c r="C249" s="253"/>
      <c r="D249" s="45"/>
      <c r="E249" s="45"/>
      <c r="F249" s="45"/>
      <c r="G249" s="45"/>
    </row>
    <row r="250">
      <c r="A250" s="176"/>
      <c r="B250" s="78"/>
      <c r="C250" s="253"/>
      <c r="D250" s="45"/>
      <c r="E250" s="45"/>
      <c r="F250" s="45"/>
      <c r="G250" s="45"/>
    </row>
    <row r="251">
      <c r="A251" s="176"/>
      <c r="B251" s="78"/>
      <c r="C251" s="253"/>
      <c r="D251" s="45"/>
      <c r="E251" s="45"/>
      <c r="F251" s="45"/>
      <c r="G251" s="45"/>
    </row>
    <row r="252">
      <c r="A252" s="176"/>
      <c r="B252" s="78"/>
      <c r="C252" s="253"/>
      <c r="D252" s="45"/>
      <c r="E252" s="45"/>
      <c r="F252" s="45"/>
      <c r="G252" s="45"/>
    </row>
    <row r="253">
      <c r="A253" s="176"/>
      <c r="B253" s="78"/>
      <c r="C253" s="253"/>
      <c r="D253" s="45"/>
      <c r="E253" s="45"/>
      <c r="F253" s="45"/>
      <c r="G253" s="45"/>
    </row>
    <row r="254">
      <c r="A254" s="176"/>
      <c r="B254" s="78"/>
      <c r="C254" s="253"/>
      <c r="D254" s="45"/>
      <c r="E254" s="45"/>
      <c r="F254" s="45"/>
      <c r="G254" s="45"/>
    </row>
    <row r="255">
      <c r="A255" s="176"/>
      <c r="B255" s="78"/>
      <c r="C255" s="253"/>
      <c r="D255" s="45"/>
      <c r="E255" s="45"/>
      <c r="F255" s="45"/>
      <c r="G255" s="45"/>
    </row>
    <row r="256">
      <c r="A256" s="176"/>
      <c r="B256" s="78"/>
      <c r="C256" s="253"/>
      <c r="D256" s="45"/>
      <c r="E256" s="45"/>
      <c r="F256" s="45"/>
      <c r="G256" s="45"/>
    </row>
    <row r="257">
      <c r="A257" s="176"/>
      <c r="B257" s="78"/>
      <c r="C257" s="253"/>
      <c r="D257" s="45"/>
      <c r="E257" s="45"/>
      <c r="F257" s="45"/>
      <c r="G257" s="45"/>
    </row>
    <row r="258">
      <c r="A258" s="176"/>
      <c r="B258" s="78"/>
      <c r="C258" s="253"/>
      <c r="D258" s="45"/>
      <c r="E258" s="45"/>
      <c r="F258" s="45"/>
      <c r="G258" s="45"/>
    </row>
    <row r="259">
      <c r="A259" s="176"/>
      <c r="B259" s="78"/>
      <c r="C259" s="253"/>
      <c r="D259" s="45"/>
      <c r="E259" s="45"/>
      <c r="F259" s="45"/>
      <c r="G259" s="45"/>
    </row>
    <row r="260">
      <c r="A260" s="176"/>
      <c r="B260" s="78"/>
      <c r="C260" s="253"/>
      <c r="D260" s="45"/>
      <c r="E260" s="45"/>
      <c r="F260" s="45"/>
      <c r="G260" s="45"/>
    </row>
    <row r="261">
      <c r="A261" s="176"/>
      <c r="B261" s="78"/>
      <c r="C261" s="253"/>
      <c r="D261" s="45"/>
      <c r="E261" s="45"/>
      <c r="F261" s="45"/>
      <c r="G261" s="45"/>
    </row>
    <row r="262">
      <c r="A262" s="176"/>
      <c r="B262" s="78"/>
      <c r="C262" s="253"/>
      <c r="D262" s="45"/>
      <c r="E262" s="45"/>
      <c r="F262" s="45"/>
      <c r="G262" s="45"/>
    </row>
    <row r="263">
      <c r="A263" s="176"/>
      <c r="B263" s="78"/>
      <c r="C263" s="253"/>
      <c r="D263" s="45"/>
      <c r="E263" s="45"/>
      <c r="F263" s="45"/>
      <c r="G263" s="45"/>
    </row>
    <row r="264">
      <c r="A264" s="176"/>
      <c r="B264" s="78"/>
      <c r="C264" s="253"/>
      <c r="D264" s="45"/>
      <c r="E264" s="45"/>
      <c r="F264" s="45"/>
      <c r="G264" s="45"/>
    </row>
    <row r="265">
      <c r="A265" s="176"/>
      <c r="B265" s="78"/>
      <c r="C265" s="253"/>
      <c r="D265" s="45"/>
      <c r="E265" s="45"/>
      <c r="F265" s="45"/>
      <c r="G265" s="45"/>
    </row>
    <row r="266">
      <c r="A266" s="176"/>
      <c r="B266" s="78"/>
      <c r="C266" s="253"/>
      <c r="D266" s="45"/>
      <c r="E266" s="45"/>
      <c r="F266" s="45"/>
      <c r="G266" s="45"/>
    </row>
    <row r="267">
      <c r="A267" s="176"/>
      <c r="B267" s="78"/>
      <c r="C267" s="253"/>
      <c r="D267" s="45"/>
      <c r="E267" s="45"/>
      <c r="F267" s="45"/>
      <c r="G267" s="45"/>
    </row>
    <row r="268">
      <c r="A268" s="176"/>
      <c r="B268" s="78"/>
      <c r="C268" s="253"/>
      <c r="D268" s="45"/>
      <c r="E268" s="45"/>
      <c r="F268" s="45"/>
      <c r="G268" s="45"/>
    </row>
    <row r="269">
      <c r="A269" s="176"/>
      <c r="B269" s="78"/>
      <c r="C269" s="253"/>
      <c r="D269" s="45"/>
      <c r="E269" s="45"/>
      <c r="F269" s="45"/>
      <c r="G269" s="45"/>
    </row>
    <row r="270">
      <c r="A270" s="176"/>
      <c r="B270" s="78"/>
      <c r="C270" s="253"/>
      <c r="D270" s="45"/>
      <c r="E270" s="45"/>
      <c r="F270" s="45"/>
      <c r="G270" s="45"/>
    </row>
    <row r="271">
      <c r="A271" s="176"/>
      <c r="B271" s="78"/>
      <c r="C271" s="253"/>
      <c r="D271" s="45"/>
      <c r="E271" s="45"/>
      <c r="F271" s="45"/>
      <c r="G271" s="45"/>
    </row>
    <row r="272">
      <c r="A272" s="176"/>
      <c r="B272" s="78"/>
      <c r="C272" s="253"/>
      <c r="D272" s="45"/>
      <c r="E272" s="45"/>
      <c r="F272" s="45"/>
      <c r="G272" s="45"/>
    </row>
    <row r="273">
      <c r="A273" s="176"/>
      <c r="B273" s="78"/>
      <c r="C273" s="253"/>
      <c r="D273" s="45"/>
      <c r="E273" s="45"/>
      <c r="F273" s="45"/>
      <c r="G273" s="45"/>
    </row>
    <row r="274">
      <c r="A274" s="176"/>
      <c r="B274" s="78"/>
      <c r="C274" s="253"/>
      <c r="D274" s="45"/>
      <c r="E274" s="45"/>
      <c r="F274" s="45"/>
      <c r="G274" s="45"/>
    </row>
    <row r="275">
      <c r="A275" s="176"/>
      <c r="B275" s="78"/>
      <c r="C275" s="253"/>
      <c r="D275" s="45"/>
      <c r="E275" s="45"/>
      <c r="F275" s="45"/>
      <c r="G275" s="45"/>
    </row>
    <row r="276">
      <c r="A276" s="176"/>
      <c r="B276" s="78"/>
      <c r="C276" s="253"/>
      <c r="D276" s="45"/>
      <c r="E276" s="45"/>
      <c r="F276" s="45"/>
      <c r="G276" s="45"/>
    </row>
    <row r="277">
      <c r="A277" s="176"/>
      <c r="B277" s="78"/>
      <c r="C277" s="253"/>
      <c r="D277" s="45"/>
      <c r="E277" s="45"/>
      <c r="F277" s="45"/>
      <c r="G277" s="45"/>
    </row>
    <row r="278">
      <c r="A278" s="176"/>
      <c r="B278" s="78"/>
      <c r="C278" s="253"/>
      <c r="D278" s="45"/>
      <c r="E278" s="45"/>
      <c r="F278" s="45"/>
      <c r="G278" s="45"/>
    </row>
    <row r="279">
      <c r="A279" s="176"/>
      <c r="B279" s="78"/>
      <c r="C279" s="253"/>
      <c r="D279" s="45"/>
      <c r="E279" s="45"/>
      <c r="F279" s="45"/>
      <c r="G279" s="45"/>
    </row>
    <row r="280">
      <c r="A280" s="176"/>
      <c r="B280" s="78"/>
      <c r="C280" s="253"/>
      <c r="D280" s="45"/>
      <c r="E280" s="45"/>
      <c r="F280" s="45"/>
      <c r="G280" s="45"/>
    </row>
    <row r="281">
      <c r="A281" s="176"/>
      <c r="B281" s="78"/>
      <c r="C281" s="253"/>
      <c r="D281" s="45"/>
      <c r="E281" s="45"/>
      <c r="F281" s="45"/>
      <c r="G281" s="45"/>
    </row>
    <row r="282">
      <c r="A282" s="176"/>
      <c r="B282" s="78"/>
      <c r="C282" s="253"/>
      <c r="D282" s="45"/>
      <c r="E282" s="45"/>
      <c r="F282" s="45"/>
      <c r="G282" s="45"/>
    </row>
    <row r="283">
      <c r="A283" s="176"/>
      <c r="B283" s="78"/>
      <c r="C283" s="253"/>
      <c r="D283" s="45"/>
      <c r="E283" s="45"/>
      <c r="F283" s="45"/>
      <c r="G283" s="45"/>
    </row>
    <row r="284">
      <c r="A284" s="176"/>
      <c r="B284" s="78"/>
      <c r="C284" s="253"/>
      <c r="D284" s="45"/>
      <c r="E284" s="45"/>
      <c r="F284" s="45"/>
      <c r="G284" s="45"/>
    </row>
    <row r="285">
      <c r="A285" s="176"/>
      <c r="B285" s="78"/>
      <c r="C285" s="253"/>
      <c r="D285" s="45"/>
      <c r="E285" s="45"/>
      <c r="F285" s="45"/>
      <c r="G285" s="45"/>
    </row>
    <row r="286">
      <c r="A286" s="176"/>
      <c r="B286" s="78"/>
      <c r="C286" s="253"/>
      <c r="D286" s="45"/>
      <c r="E286" s="45"/>
      <c r="F286" s="45"/>
      <c r="G286" s="45"/>
    </row>
    <row r="287">
      <c r="A287" s="176"/>
      <c r="B287" s="78"/>
      <c r="C287" s="253"/>
      <c r="D287" s="45"/>
      <c r="E287" s="45"/>
      <c r="F287" s="45"/>
      <c r="G287" s="45"/>
    </row>
    <row r="288">
      <c r="A288" s="176"/>
      <c r="B288" s="78"/>
      <c r="C288" s="253"/>
      <c r="D288" s="45"/>
      <c r="E288" s="45"/>
      <c r="F288" s="45"/>
      <c r="G288" s="45"/>
    </row>
    <row r="289">
      <c r="A289" s="176"/>
      <c r="B289" s="78"/>
      <c r="C289" s="253"/>
      <c r="D289" s="45"/>
      <c r="E289" s="45"/>
      <c r="F289" s="45"/>
      <c r="G289" s="45"/>
    </row>
    <row r="290">
      <c r="A290" s="176"/>
      <c r="B290" s="78"/>
      <c r="C290" s="253"/>
      <c r="D290" s="45"/>
      <c r="E290" s="45"/>
      <c r="F290" s="45"/>
      <c r="G290" s="45"/>
    </row>
    <row r="291">
      <c r="A291" s="176"/>
      <c r="B291" s="78"/>
      <c r="C291" s="253"/>
      <c r="D291" s="45"/>
      <c r="E291" s="45"/>
      <c r="F291" s="45"/>
      <c r="G291" s="45"/>
    </row>
    <row r="292">
      <c r="A292" s="176"/>
      <c r="B292" s="78"/>
      <c r="C292" s="253"/>
      <c r="D292" s="45"/>
      <c r="E292" s="45"/>
      <c r="F292" s="45"/>
      <c r="G292" s="45"/>
    </row>
    <row r="293">
      <c r="A293" s="176"/>
      <c r="B293" s="78"/>
      <c r="C293" s="253"/>
      <c r="D293" s="45"/>
      <c r="E293" s="45"/>
      <c r="F293" s="45"/>
      <c r="G293" s="45"/>
    </row>
    <row r="294">
      <c r="A294" s="176"/>
      <c r="B294" s="78"/>
      <c r="C294" s="253"/>
      <c r="D294" s="45"/>
      <c r="E294" s="45"/>
      <c r="F294" s="45"/>
      <c r="G294" s="45"/>
    </row>
    <row r="295">
      <c r="A295" s="176"/>
      <c r="B295" s="78"/>
      <c r="C295" s="253"/>
      <c r="D295" s="45"/>
      <c r="E295" s="45"/>
      <c r="F295" s="45"/>
      <c r="G295" s="45"/>
    </row>
    <row r="296">
      <c r="A296" s="176"/>
      <c r="B296" s="78"/>
      <c r="C296" s="253"/>
      <c r="D296" s="45"/>
      <c r="E296" s="45"/>
      <c r="F296" s="45"/>
      <c r="G296" s="45"/>
    </row>
    <row r="297">
      <c r="A297" s="176"/>
      <c r="B297" s="78"/>
      <c r="C297" s="253"/>
      <c r="D297" s="45"/>
      <c r="E297" s="45"/>
      <c r="F297" s="45"/>
      <c r="G297" s="45"/>
    </row>
    <row r="298">
      <c r="A298" s="176"/>
      <c r="B298" s="78"/>
      <c r="C298" s="253"/>
      <c r="D298" s="45"/>
      <c r="E298" s="45"/>
      <c r="F298" s="45"/>
      <c r="G298" s="45"/>
    </row>
    <row r="299">
      <c r="A299" s="176"/>
      <c r="B299" s="78"/>
      <c r="C299" s="253"/>
      <c r="D299" s="45"/>
      <c r="E299" s="45"/>
      <c r="F299" s="45"/>
      <c r="G299" s="45"/>
    </row>
    <row r="300">
      <c r="A300" s="176"/>
      <c r="B300" s="78"/>
      <c r="C300" s="253"/>
      <c r="D300" s="45"/>
      <c r="E300" s="45"/>
      <c r="F300" s="45"/>
      <c r="G300" s="45"/>
    </row>
    <row r="301">
      <c r="A301" s="176"/>
      <c r="B301" s="78"/>
      <c r="C301" s="253"/>
      <c r="D301" s="45"/>
      <c r="E301" s="45"/>
      <c r="F301" s="45"/>
      <c r="G301" s="45"/>
    </row>
    <row r="302">
      <c r="A302" s="176"/>
      <c r="B302" s="78"/>
      <c r="C302" s="253"/>
      <c r="D302" s="45"/>
      <c r="E302" s="45"/>
      <c r="F302" s="45"/>
      <c r="G302" s="45"/>
    </row>
    <row r="303">
      <c r="A303" s="176"/>
      <c r="B303" s="78"/>
      <c r="C303" s="253"/>
      <c r="D303" s="45"/>
      <c r="E303" s="45"/>
      <c r="F303" s="45"/>
      <c r="G303" s="45"/>
    </row>
    <row r="304">
      <c r="A304" s="176"/>
      <c r="B304" s="78"/>
      <c r="C304" s="253"/>
      <c r="D304" s="45"/>
      <c r="E304" s="45"/>
      <c r="F304" s="45"/>
      <c r="G304" s="45"/>
    </row>
    <row r="305">
      <c r="A305" s="176"/>
      <c r="B305" s="78"/>
      <c r="C305" s="253"/>
      <c r="D305" s="45"/>
      <c r="E305" s="45"/>
      <c r="F305" s="45"/>
      <c r="G305" s="45"/>
    </row>
    <row r="306">
      <c r="A306" s="176"/>
      <c r="B306" s="78"/>
      <c r="C306" s="253"/>
      <c r="D306" s="45"/>
      <c r="E306" s="45"/>
      <c r="F306" s="45"/>
      <c r="G306" s="45"/>
    </row>
    <row r="307">
      <c r="A307" s="176"/>
      <c r="B307" s="78"/>
      <c r="C307" s="253"/>
      <c r="D307" s="45"/>
      <c r="E307" s="45"/>
      <c r="F307" s="45"/>
      <c r="G307" s="45"/>
    </row>
    <row r="308">
      <c r="A308" s="176"/>
      <c r="B308" s="78"/>
      <c r="C308" s="253"/>
      <c r="D308" s="45"/>
      <c r="E308" s="45"/>
      <c r="F308" s="45"/>
      <c r="G308" s="45"/>
    </row>
    <row r="309">
      <c r="A309" s="176"/>
      <c r="B309" s="78"/>
      <c r="C309" s="253"/>
      <c r="D309" s="45"/>
      <c r="E309" s="45"/>
      <c r="F309" s="45"/>
      <c r="G309" s="45"/>
    </row>
    <row r="310">
      <c r="A310" s="176"/>
      <c r="B310" s="78"/>
      <c r="C310" s="253"/>
      <c r="D310" s="45"/>
      <c r="E310" s="45"/>
      <c r="F310" s="45"/>
      <c r="G310" s="45"/>
    </row>
    <row r="311">
      <c r="A311" s="176"/>
      <c r="B311" s="78"/>
      <c r="C311" s="253"/>
      <c r="D311" s="45"/>
      <c r="E311" s="45"/>
      <c r="F311" s="45"/>
      <c r="G311" s="45"/>
    </row>
    <row r="312">
      <c r="A312" s="176"/>
      <c r="B312" s="78"/>
      <c r="C312" s="253"/>
      <c r="D312" s="45"/>
      <c r="E312" s="45"/>
      <c r="F312" s="45"/>
      <c r="G312" s="45"/>
    </row>
    <row r="313">
      <c r="A313" s="176"/>
      <c r="B313" s="78"/>
      <c r="C313" s="253"/>
      <c r="D313" s="45"/>
      <c r="E313" s="45"/>
      <c r="F313" s="45"/>
      <c r="G313" s="45"/>
    </row>
    <row r="314">
      <c r="A314" s="176"/>
      <c r="B314" s="78"/>
      <c r="C314" s="253"/>
      <c r="D314" s="45"/>
      <c r="E314" s="45"/>
      <c r="F314" s="45"/>
      <c r="G314" s="45"/>
    </row>
    <row r="315">
      <c r="A315" s="176"/>
      <c r="B315" s="78"/>
      <c r="C315" s="253"/>
      <c r="D315" s="45"/>
      <c r="E315" s="45"/>
      <c r="F315" s="45"/>
      <c r="G315" s="45"/>
    </row>
    <row r="316">
      <c r="A316" s="176"/>
      <c r="B316" s="78"/>
      <c r="C316" s="253"/>
      <c r="D316" s="45"/>
      <c r="E316" s="45"/>
      <c r="F316" s="45"/>
      <c r="G316" s="45"/>
    </row>
    <row r="317">
      <c r="A317" s="176"/>
      <c r="B317" s="78"/>
      <c r="C317" s="253"/>
      <c r="D317" s="45"/>
      <c r="E317" s="45"/>
      <c r="F317" s="45"/>
      <c r="G317" s="45"/>
    </row>
    <row r="318">
      <c r="A318" s="176"/>
      <c r="B318" s="78"/>
      <c r="C318" s="253"/>
      <c r="D318" s="45"/>
      <c r="E318" s="45"/>
      <c r="F318" s="45"/>
      <c r="G318" s="45"/>
    </row>
    <row r="319">
      <c r="A319" s="176"/>
      <c r="B319" s="78"/>
      <c r="C319" s="253"/>
      <c r="D319" s="45"/>
      <c r="E319" s="45"/>
      <c r="F319" s="45"/>
      <c r="G319" s="45"/>
    </row>
    <row r="320">
      <c r="A320" s="176"/>
      <c r="B320" s="78"/>
      <c r="C320" s="253"/>
      <c r="D320" s="45"/>
      <c r="E320" s="45"/>
      <c r="F320" s="45"/>
      <c r="G320" s="45"/>
    </row>
    <row r="321">
      <c r="A321" s="176"/>
      <c r="B321" s="78"/>
      <c r="C321" s="253"/>
      <c r="D321" s="45"/>
      <c r="E321" s="45"/>
      <c r="F321" s="45"/>
      <c r="G321" s="45"/>
    </row>
    <row r="322">
      <c r="A322" s="176"/>
      <c r="B322" s="78"/>
      <c r="C322" s="253"/>
      <c r="D322" s="45"/>
      <c r="E322" s="45"/>
      <c r="F322" s="45"/>
      <c r="G322" s="45"/>
    </row>
    <row r="323">
      <c r="A323" s="176"/>
      <c r="B323" s="78"/>
      <c r="C323" s="253"/>
      <c r="D323" s="45"/>
      <c r="E323" s="45"/>
      <c r="F323" s="45"/>
      <c r="G323" s="45"/>
    </row>
    <row r="324">
      <c r="A324" s="176"/>
      <c r="B324" s="78"/>
      <c r="C324" s="253"/>
      <c r="D324" s="45"/>
      <c r="E324" s="45"/>
      <c r="F324" s="45"/>
      <c r="G324" s="45"/>
    </row>
    <row r="325">
      <c r="A325" s="176"/>
      <c r="B325" s="78"/>
      <c r="C325" s="253"/>
      <c r="D325" s="45"/>
      <c r="E325" s="45"/>
      <c r="F325" s="45"/>
      <c r="G325" s="45"/>
    </row>
    <row r="326">
      <c r="A326" s="176"/>
      <c r="B326" s="25"/>
      <c r="C326" s="253"/>
      <c r="D326" s="45"/>
      <c r="E326" s="45"/>
      <c r="F326" s="45"/>
      <c r="G326" s="45"/>
    </row>
    <row r="327">
      <c r="A327" s="176"/>
      <c r="B327" s="78"/>
      <c r="C327" s="253"/>
      <c r="D327" s="45"/>
      <c r="E327" s="45"/>
      <c r="F327" s="45"/>
      <c r="G327" s="45"/>
    </row>
    <row r="328">
      <c r="A328" s="176"/>
      <c r="B328" s="78"/>
      <c r="C328" s="253"/>
      <c r="D328" s="45"/>
      <c r="E328" s="45"/>
      <c r="F328" s="45"/>
      <c r="G328" s="45"/>
    </row>
    <row r="329">
      <c r="A329" s="176"/>
      <c r="B329" s="78"/>
      <c r="C329" s="253"/>
      <c r="D329" s="45"/>
      <c r="E329" s="45"/>
      <c r="F329" s="45"/>
      <c r="G329" s="45"/>
    </row>
    <row r="330">
      <c r="A330" s="176"/>
      <c r="B330" s="78"/>
      <c r="C330" s="253"/>
      <c r="D330" s="45"/>
      <c r="E330" s="45"/>
      <c r="F330" s="45"/>
      <c r="G330" s="45"/>
    </row>
    <row r="331">
      <c r="A331" s="176"/>
      <c r="B331" s="78"/>
      <c r="C331" s="253"/>
      <c r="D331" s="45"/>
      <c r="E331" s="45"/>
      <c r="F331" s="45"/>
      <c r="G331" s="45"/>
    </row>
    <row r="332">
      <c r="A332" s="176"/>
      <c r="B332" s="78"/>
      <c r="C332" s="253"/>
      <c r="D332" s="45"/>
      <c r="E332" s="45"/>
      <c r="F332" s="45"/>
      <c r="G332" s="45"/>
    </row>
    <row r="333">
      <c r="A333" s="176"/>
      <c r="B333" s="78"/>
      <c r="C333" s="253"/>
      <c r="D333" s="45"/>
      <c r="E333" s="45"/>
      <c r="F333" s="45"/>
      <c r="G333" s="45"/>
    </row>
    <row r="334">
      <c r="A334" s="176"/>
      <c r="B334" s="78"/>
      <c r="C334" s="253"/>
      <c r="D334" s="45"/>
      <c r="E334" s="45"/>
      <c r="F334" s="45"/>
      <c r="G334" s="45"/>
    </row>
    <row r="335">
      <c r="A335" s="176"/>
      <c r="B335" s="78"/>
      <c r="C335" s="253"/>
      <c r="D335" s="45"/>
      <c r="E335" s="45"/>
      <c r="F335" s="45"/>
      <c r="G335" s="45"/>
    </row>
    <row r="336">
      <c r="A336" s="176"/>
      <c r="B336" s="78"/>
      <c r="C336" s="253"/>
      <c r="D336" s="45"/>
      <c r="E336" s="45"/>
      <c r="F336" s="45"/>
      <c r="G336" s="45"/>
    </row>
    <row r="337">
      <c r="A337" s="176"/>
      <c r="B337" s="78"/>
      <c r="C337" s="253"/>
      <c r="D337" s="45"/>
      <c r="E337" s="45"/>
      <c r="F337" s="45"/>
      <c r="G337" s="45"/>
    </row>
    <row r="338">
      <c r="A338" s="176"/>
      <c r="B338" s="78"/>
      <c r="C338" s="253"/>
      <c r="D338" s="45"/>
      <c r="E338" s="45"/>
      <c r="F338" s="45"/>
      <c r="G338" s="45"/>
    </row>
    <row r="339">
      <c r="A339" s="176"/>
      <c r="B339" s="78"/>
      <c r="C339" s="253"/>
      <c r="D339" s="45"/>
      <c r="E339" s="45"/>
      <c r="F339" s="45"/>
      <c r="G339" s="45"/>
    </row>
    <row r="340">
      <c r="A340" s="176"/>
      <c r="B340" s="78"/>
      <c r="C340" s="253"/>
      <c r="D340" s="45"/>
      <c r="E340" s="45"/>
      <c r="F340" s="45"/>
      <c r="G340" s="45"/>
    </row>
    <row r="341">
      <c r="A341" s="176"/>
      <c r="B341" s="78"/>
      <c r="C341" s="253"/>
      <c r="D341" s="45"/>
      <c r="E341" s="45"/>
      <c r="F341" s="45"/>
      <c r="G341" s="45"/>
    </row>
    <row r="342">
      <c r="A342" s="176"/>
      <c r="B342" s="78"/>
      <c r="C342" s="253"/>
      <c r="D342" s="45"/>
      <c r="E342" s="45"/>
      <c r="F342" s="45"/>
      <c r="G342" s="45"/>
    </row>
    <row r="343">
      <c r="A343" s="176"/>
      <c r="B343" s="78"/>
      <c r="C343" s="253"/>
      <c r="D343" s="45"/>
      <c r="E343" s="45"/>
      <c r="F343" s="45"/>
      <c r="G343" s="45"/>
    </row>
    <row r="344">
      <c r="A344" s="176"/>
      <c r="B344" s="78"/>
      <c r="C344" s="253"/>
      <c r="D344" s="45"/>
      <c r="E344" s="45"/>
      <c r="F344" s="45"/>
      <c r="G344" s="45"/>
    </row>
    <row r="345">
      <c r="A345" s="176"/>
      <c r="B345" s="78"/>
      <c r="C345" s="253"/>
      <c r="D345" s="45"/>
      <c r="E345" s="45"/>
      <c r="F345" s="45"/>
      <c r="G345" s="45"/>
    </row>
    <row r="346">
      <c r="A346" s="176"/>
      <c r="B346" s="78"/>
      <c r="C346" s="253"/>
      <c r="D346" s="45"/>
      <c r="E346" s="45"/>
      <c r="F346" s="45"/>
      <c r="G346" s="45"/>
    </row>
    <row r="347">
      <c r="A347" s="176"/>
      <c r="B347" s="78"/>
      <c r="C347" s="253"/>
      <c r="D347" s="45"/>
      <c r="E347" s="45"/>
      <c r="F347" s="45"/>
      <c r="G347" s="45"/>
    </row>
    <row r="348">
      <c r="A348" s="176"/>
      <c r="B348" s="78"/>
      <c r="C348" s="253"/>
      <c r="D348" s="45"/>
      <c r="E348" s="45"/>
      <c r="F348" s="45"/>
      <c r="G348" s="45"/>
    </row>
    <row r="349">
      <c r="A349" s="176"/>
      <c r="B349" s="78"/>
      <c r="C349" s="253"/>
      <c r="D349" s="45"/>
      <c r="E349" s="45"/>
      <c r="F349" s="45"/>
      <c r="G349" s="45"/>
    </row>
    <row r="350">
      <c r="A350" s="176"/>
      <c r="B350" s="78"/>
      <c r="C350" s="253"/>
      <c r="D350" s="45"/>
      <c r="E350" s="45"/>
      <c r="F350" s="45"/>
      <c r="G350" s="45"/>
    </row>
    <row r="351">
      <c r="A351" s="176"/>
      <c r="B351" s="78"/>
      <c r="C351" s="253"/>
      <c r="D351" s="45"/>
      <c r="E351" s="45"/>
      <c r="F351" s="45"/>
      <c r="G351" s="45"/>
    </row>
    <row r="352">
      <c r="A352" s="176"/>
      <c r="B352" s="78"/>
      <c r="C352" s="253"/>
      <c r="D352" s="45"/>
      <c r="E352" s="45"/>
      <c r="F352" s="45"/>
      <c r="G352" s="45"/>
    </row>
    <row r="353">
      <c r="A353" s="176"/>
      <c r="B353" s="78"/>
      <c r="C353" s="253"/>
      <c r="D353" s="45"/>
      <c r="E353" s="45"/>
      <c r="F353" s="45"/>
      <c r="G353" s="45"/>
    </row>
    <row r="354">
      <c r="A354" s="176"/>
      <c r="B354" s="78"/>
      <c r="C354" s="253"/>
      <c r="D354" s="45"/>
      <c r="E354" s="45"/>
      <c r="F354" s="45"/>
      <c r="G354" s="45"/>
    </row>
    <row r="355">
      <c r="A355" s="176"/>
      <c r="B355" s="78"/>
      <c r="C355" s="253"/>
      <c r="D355" s="45"/>
      <c r="E355" s="45"/>
      <c r="F355" s="45"/>
      <c r="G355" s="45"/>
    </row>
    <row r="356">
      <c r="A356" s="176"/>
      <c r="B356" s="78"/>
      <c r="C356" s="253"/>
      <c r="D356" s="45"/>
      <c r="E356" s="45"/>
      <c r="F356" s="45"/>
      <c r="G356" s="45"/>
    </row>
    <row r="357">
      <c r="A357" s="176"/>
      <c r="B357" s="78"/>
      <c r="C357" s="253"/>
      <c r="D357" s="45"/>
      <c r="E357" s="45"/>
      <c r="F357" s="45"/>
      <c r="G357" s="45"/>
    </row>
    <row r="358">
      <c r="A358" s="176"/>
      <c r="B358" s="78"/>
      <c r="C358" s="253"/>
      <c r="D358" s="45"/>
      <c r="E358" s="45"/>
      <c r="F358" s="45"/>
      <c r="G358" s="45"/>
    </row>
    <row r="359">
      <c r="A359" s="176"/>
      <c r="B359" s="78"/>
      <c r="C359" s="253"/>
      <c r="D359" s="45"/>
      <c r="E359" s="45"/>
      <c r="F359" s="45"/>
      <c r="G359" s="45"/>
    </row>
    <row r="360">
      <c r="A360" s="176"/>
      <c r="B360" s="78"/>
      <c r="C360" s="253"/>
      <c r="D360" s="45"/>
      <c r="E360" s="45"/>
      <c r="F360" s="45"/>
      <c r="G360" s="45"/>
    </row>
    <row r="361">
      <c r="A361" s="176"/>
      <c r="B361" s="78"/>
      <c r="C361" s="253"/>
      <c r="D361" s="45"/>
      <c r="E361" s="45"/>
      <c r="F361" s="45"/>
      <c r="G361" s="45"/>
    </row>
    <row r="362">
      <c r="A362" s="176"/>
      <c r="B362" s="78"/>
      <c r="C362" s="253"/>
      <c r="D362" s="45"/>
      <c r="E362" s="45"/>
      <c r="F362" s="45"/>
      <c r="G362" s="45"/>
    </row>
    <row r="363">
      <c r="A363" s="176"/>
      <c r="B363" s="78"/>
      <c r="C363" s="253"/>
      <c r="D363" s="45"/>
      <c r="E363" s="45"/>
      <c r="F363" s="45"/>
      <c r="G363" s="45"/>
    </row>
    <row r="364">
      <c r="A364" s="176"/>
      <c r="B364" s="78"/>
      <c r="C364" s="253"/>
      <c r="D364" s="45"/>
      <c r="E364" s="45"/>
      <c r="F364" s="45"/>
      <c r="G364" s="45"/>
    </row>
    <row r="365">
      <c r="A365" s="176"/>
      <c r="B365" s="78"/>
      <c r="C365" s="253"/>
      <c r="D365" s="45"/>
      <c r="E365" s="45"/>
      <c r="F365" s="45"/>
      <c r="G365" s="45"/>
    </row>
    <row r="366">
      <c r="A366" s="176"/>
      <c r="B366" s="78"/>
      <c r="C366" s="253"/>
      <c r="D366" s="45"/>
      <c r="E366" s="45"/>
      <c r="F366" s="45"/>
      <c r="G366" s="45"/>
    </row>
    <row r="367">
      <c r="A367" s="176"/>
      <c r="B367" s="78"/>
      <c r="C367" s="253"/>
      <c r="D367" s="45"/>
      <c r="E367" s="45"/>
      <c r="F367" s="45"/>
      <c r="G367" s="45"/>
    </row>
    <row r="368">
      <c r="A368" s="176"/>
      <c r="B368" s="78"/>
      <c r="C368" s="253"/>
      <c r="D368" s="45"/>
      <c r="E368" s="45"/>
      <c r="F368" s="45"/>
      <c r="G368" s="45"/>
    </row>
    <row r="369">
      <c r="A369" s="176"/>
      <c r="B369" s="78"/>
      <c r="C369" s="253"/>
      <c r="D369" s="45"/>
      <c r="E369" s="45"/>
      <c r="F369" s="45"/>
      <c r="G369" s="45"/>
    </row>
    <row r="370">
      <c r="A370" s="176"/>
      <c r="B370" s="78"/>
      <c r="C370" s="253"/>
      <c r="D370" s="45"/>
      <c r="E370" s="45"/>
      <c r="F370" s="45"/>
      <c r="G370" s="45"/>
    </row>
    <row r="371">
      <c r="A371" s="176"/>
      <c r="B371" s="78"/>
      <c r="C371" s="253"/>
      <c r="D371" s="45"/>
      <c r="E371" s="45"/>
      <c r="F371" s="45"/>
      <c r="G371" s="45"/>
    </row>
    <row r="372">
      <c r="A372" s="176"/>
      <c r="B372" s="78"/>
      <c r="C372" s="253"/>
      <c r="D372" s="45"/>
      <c r="E372" s="45"/>
      <c r="F372" s="45"/>
      <c r="G372" s="45"/>
    </row>
    <row r="373">
      <c r="A373" s="176"/>
      <c r="B373" s="16"/>
      <c r="C373" s="253"/>
      <c r="D373" s="45"/>
      <c r="E373" s="45"/>
      <c r="F373" s="45"/>
      <c r="G373" s="45"/>
    </row>
    <row r="374">
      <c r="A374" s="176"/>
      <c r="B374" s="78"/>
      <c r="C374" s="253"/>
      <c r="D374" s="45"/>
      <c r="E374" s="45"/>
      <c r="F374" s="45"/>
      <c r="G374" s="45"/>
    </row>
    <row r="375">
      <c r="A375" s="176"/>
      <c r="B375" s="78"/>
      <c r="C375" s="253"/>
      <c r="D375" s="45"/>
      <c r="E375" s="45"/>
      <c r="F375" s="45"/>
      <c r="G375" s="45"/>
    </row>
    <row r="376">
      <c r="A376" s="176"/>
      <c r="B376" s="78"/>
      <c r="C376" s="253"/>
      <c r="D376" s="45"/>
      <c r="E376" s="45"/>
      <c r="F376" s="45"/>
      <c r="G376" s="45"/>
    </row>
    <row r="377">
      <c r="A377" s="176"/>
      <c r="B377" s="78"/>
      <c r="C377" s="253"/>
      <c r="D377" s="45"/>
      <c r="E377" s="45"/>
      <c r="F377" s="45"/>
      <c r="G377" s="45"/>
    </row>
    <row r="378">
      <c r="A378" s="176"/>
      <c r="B378" s="78"/>
      <c r="C378" s="253"/>
      <c r="D378" s="45"/>
      <c r="E378" s="45"/>
      <c r="F378" s="45"/>
      <c r="G378" s="45"/>
    </row>
    <row r="379">
      <c r="A379" s="176"/>
      <c r="B379" s="78"/>
      <c r="C379" s="253"/>
      <c r="D379" s="45"/>
      <c r="E379" s="45"/>
      <c r="F379" s="45"/>
      <c r="G379" s="45"/>
    </row>
    <row r="380">
      <c r="A380" s="176"/>
      <c r="B380" s="78"/>
      <c r="C380" s="253"/>
      <c r="D380" s="45"/>
      <c r="E380" s="45"/>
      <c r="F380" s="45"/>
      <c r="G380" s="45"/>
    </row>
    <row r="381">
      <c r="A381" s="176"/>
      <c r="B381" s="78"/>
      <c r="C381" s="253"/>
      <c r="D381" s="45"/>
      <c r="E381" s="45"/>
      <c r="F381" s="45"/>
      <c r="G381" s="45"/>
    </row>
    <row r="382">
      <c r="A382" s="176"/>
      <c r="B382" s="78"/>
      <c r="C382" s="253"/>
      <c r="D382" s="45"/>
      <c r="E382" s="45"/>
      <c r="F382" s="45"/>
      <c r="G382" s="45"/>
    </row>
    <row r="383">
      <c r="A383" s="176"/>
      <c r="B383" s="78"/>
      <c r="C383" s="253"/>
      <c r="D383" s="45"/>
      <c r="E383" s="45"/>
      <c r="F383" s="45"/>
      <c r="G383" s="45"/>
    </row>
    <row r="384">
      <c r="A384" s="176"/>
      <c r="B384" s="78"/>
      <c r="C384" s="253"/>
      <c r="D384" s="45"/>
      <c r="E384" s="45"/>
      <c r="F384" s="45"/>
      <c r="G384" s="45"/>
    </row>
    <row r="385">
      <c r="A385" s="176"/>
      <c r="B385" s="78"/>
      <c r="C385" s="253"/>
      <c r="D385" s="45"/>
      <c r="E385" s="45"/>
      <c r="F385" s="45"/>
      <c r="G385" s="45"/>
    </row>
    <row r="386">
      <c r="A386" s="176"/>
      <c r="B386" s="78"/>
      <c r="C386" s="253"/>
      <c r="D386" s="45"/>
      <c r="E386" s="45"/>
      <c r="F386" s="45"/>
      <c r="G386" s="45"/>
    </row>
    <row r="387">
      <c r="A387" s="176"/>
      <c r="B387" s="78"/>
      <c r="C387" s="253"/>
      <c r="D387" s="45"/>
      <c r="E387" s="45"/>
      <c r="F387" s="45"/>
      <c r="G387" s="45"/>
    </row>
    <row r="388">
      <c r="A388" s="176"/>
      <c r="B388" s="78"/>
      <c r="C388" s="253"/>
      <c r="D388" s="45"/>
      <c r="E388" s="45"/>
      <c r="F388" s="45"/>
      <c r="G388" s="45"/>
    </row>
    <row r="389">
      <c r="A389" s="176"/>
      <c r="B389" s="78"/>
      <c r="C389" s="253"/>
      <c r="D389" s="45"/>
      <c r="E389" s="45"/>
      <c r="F389" s="45"/>
      <c r="G389" s="45"/>
    </row>
    <row r="390">
      <c r="A390" s="176"/>
      <c r="B390" s="78"/>
      <c r="C390" s="253"/>
      <c r="D390" s="45"/>
      <c r="E390" s="45"/>
      <c r="F390" s="45"/>
      <c r="G390" s="45"/>
    </row>
    <row r="391">
      <c r="A391" s="176"/>
      <c r="B391" s="78"/>
      <c r="C391" s="253"/>
      <c r="D391" s="45"/>
      <c r="E391" s="45"/>
      <c r="F391" s="45"/>
      <c r="G391" s="45"/>
    </row>
    <row r="392">
      <c r="A392" s="176"/>
      <c r="B392" s="78"/>
      <c r="C392" s="253"/>
      <c r="D392" s="45"/>
      <c r="E392" s="45"/>
      <c r="F392" s="45"/>
      <c r="G392" s="45"/>
    </row>
    <row r="393">
      <c r="A393" s="176"/>
      <c r="B393" s="78"/>
      <c r="C393" s="253"/>
      <c r="D393" s="45"/>
      <c r="E393" s="45"/>
      <c r="F393" s="45"/>
      <c r="G393" s="45"/>
    </row>
    <row r="394">
      <c r="A394" s="176"/>
      <c r="B394" s="78"/>
      <c r="C394" s="253"/>
      <c r="D394" s="45"/>
      <c r="E394" s="45"/>
      <c r="F394" s="45"/>
      <c r="G394" s="45"/>
    </row>
    <row r="395">
      <c r="A395" s="176"/>
      <c r="B395" s="78"/>
      <c r="C395" s="253"/>
      <c r="D395" s="45"/>
      <c r="E395" s="45"/>
      <c r="F395" s="45"/>
      <c r="G395" s="45"/>
    </row>
    <row r="396">
      <c r="A396" s="176"/>
      <c r="B396" s="78"/>
      <c r="C396" s="253"/>
      <c r="D396" s="45"/>
      <c r="E396" s="45"/>
      <c r="F396" s="45"/>
      <c r="G396" s="45"/>
    </row>
    <row r="397">
      <c r="A397" s="176"/>
      <c r="B397" s="78"/>
      <c r="C397" s="253"/>
      <c r="D397" s="45"/>
      <c r="E397" s="45"/>
      <c r="F397" s="45"/>
      <c r="G397" s="45"/>
    </row>
    <row r="398">
      <c r="A398" s="176"/>
      <c r="B398" s="78"/>
      <c r="C398" s="253"/>
      <c r="D398" s="45"/>
      <c r="E398" s="45"/>
      <c r="F398" s="45"/>
      <c r="G398" s="45"/>
    </row>
    <row r="399">
      <c r="A399" s="176"/>
      <c r="B399" s="78"/>
      <c r="C399" s="253"/>
      <c r="D399" s="45"/>
      <c r="E399" s="45"/>
      <c r="F399" s="45"/>
      <c r="G399" s="45"/>
    </row>
    <row r="400">
      <c r="A400" s="176"/>
      <c r="B400" s="78"/>
      <c r="C400" s="253"/>
      <c r="D400" s="45"/>
      <c r="E400" s="45"/>
      <c r="F400" s="45"/>
      <c r="G400" s="45"/>
    </row>
    <row r="401">
      <c r="A401" s="176"/>
      <c r="B401" s="78"/>
      <c r="C401" s="253"/>
      <c r="D401" s="45"/>
      <c r="E401" s="45"/>
      <c r="F401" s="45"/>
      <c r="G401" s="45"/>
    </row>
    <row r="402">
      <c r="A402" s="176"/>
      <c r="B402" s="78"/>
      <c r="C402" s="253"/>
      <c r="D402" s="45"/>
      <c r="E402" s="45"/>
      <c r="F402" s="45"/>
      <c r="G402" s="45"/>
    </row>
    <row r="403">
      <c r="A403" s="176"/>
      <c r="B403" s="78"/>
      <c r="C403" s="253"/>
      <c r="D403" s="45"/>
      <c r="E403" s="45"/>
      <c r="F403" s="45"/>
      <c r="G403" s="45"/>
    </row>
    <row r="404">
      <c r="A404" s="176"/>
      <c r="B404" s="78"/>
      <c r="C404" s="253"/>
      <c r="D404" s="45"/>
      <c r="E404" s="45"/>
      <c r="F404" s="45"/>
      <c r="G404" s="45"/>
    </row>
    <row r="405">
      <c r="A405" s="176"/>
      <c r="B405" s="78"/>
      <c r="C405" s="253"/>
      <c r="D405" s="45"/>
      <c r="E405" s="45"/>
      <c r="F405" s="45"/>
      <c r="G405" s="45"/>
    </row>
    <row r="406">
      <c r="A406" s="176"/>
      <c r="B406" s="78"/>
      <c r="C406" s="253"/>
      <c r="D406" s="45"/>
      <c r="E406" s="45"/>
      <c r="F406" s="45"/>
      <c r="G406" s="45"/>
    </row>
    <row r="407">
      <c r="A407" s="176"/>
      <c r="B407" s="78"/>
      <c r="C407" s="253"/>
      <c r="D407" s="45"/>
      <c r="E407" s="45"/>
      <c r="F407" s="45"/>
      <c r="G407" s="45"/>
    </row>
    <row r="408">
      <c r="A408" s="176"/>
      <c r="B408" s="78"/>
      <c r="C408" s="253"/>
      <c r="D408" s="45"/>
      <c r="E408" s="45"/>
      <c r="F408" s="45"/>
      <c r="G408" s="45"/>
    </row>
    <row r="409">
      <c r="A409" s="176"/>
      <c r="B409" s="78"/>
      <c r="C409" s="253"/>
      <c r="D409" s="45"/>
      <c r="E409" s="45"/>
      <c r="F409" s="45"/>
      <c r="G409" s="45"/>
    </row>
    <row r="410">
      <c r="A410" s="176"/>
      <c r="B410" s="78"/>
      <c r="C410" s="253"/>
      <c r="D410" s="45"/>
      <c r="E410" s="45"/>
      <c r="F410" s="45"/>
      <c r="G410" s="45"/>
    </row>
    <row r="411">
      <c r="A411" s="176"/>
      <c r="B411" s="78"/>
      <c r="C411" s="253"/>
      <c r="D411" s="45"/>
      <c r="E411" s="45"/>
      <c r="F411" s="45"/>
      <c r="G411" s="45"/>
    </row>
    <row r="412">
      <c r="A412" s="176"/>
      <c r="B412" s="78"/>
      <c r="C412" s="253"/>
      <c r="D412" s="45"/>
      <c r="E412" s="45"/>
      <c r="F412" s="45"/>
      <c r="G412" s="45"/>
    </row>
    <row r="413">
      <c r="A413" s="176"/>
      <c r="B413" s="78"/>
      <c r="C413" s="253"/>
      <c r="D413" s="45"/>
      <c r="E413" s="45"/>
      <c r="F413" s="45"/>
      <c r="G413" s="45"/>
    </row>
    <row r="414">
      <c r="A414" s="176"/>
      <c r="B414" s="78"/>
      <c r="C414" s="253"/>
      <c r="D414" s="45"/>
      <c r="E414" s="45"/>
      <c r="F414" s="45"/>
      <c r="G414" s="45"/>
    </row>
    <row r="415">
      <c r="A415" s="176"/>
      <c r="B415" s="78"/>
      <c r="C415" s="253"/>
      <c r="D415" s="45"/>
      <c r="E415" s="45"/>
      <c r="F415" s="45"/>
      <c r="G415" s="45"/>
    </row>
    <row r="416">
      <c r="A416" s="176"/>
      <c r="B416" s="78"/>
      <c r="C416" s="253"/>
      <c r="D416" s="45"/>
      <c r="E416" s="45"/>
      <c r="F416" s="45"/>
      <c r="G416" s="45"/>
    </row>
    <row r="417">
      <c r="A417" s="176"/>
      <c r="B417" s="25"/>
      <c r="C417" s="253"/>
      <c r="D417" s="45"/>
      <c r="E417" s="45"/>
      <c r="F417" s="45"/>
      <c r="G417" s="45"/>
    </row>
    <row r="418">
      <c r="A418" s="176"/>
      <c r="B418" s="78"/>
      <c r="C418" s="253"/>
      <c r="D418" s="45"/>
      <c r="E418" s="45"/>
      <c r="F418" s="45"/>
      <c r="G418" s="45"/>
    </row>
    <row r="419">
      <c r="A419" s="176"/>
      <c r="B419" s="25"/>
      <c r="C419" s="253"/>
      <c r="D419" s="274"/>
      <c r="E419" s="45"/>
      <c r="F419" s="45"/>
      <c r="G419" s="45"/>
    </row>
    <row r="420">
      <c r="A420" s="176"/>
      <c r="B420" s="78"/>
      <c r="C420" s="253"/>
      <c r="D420" s="45"/>
      <c r="E420" s="45"/>
      <c r="F420" s="45"/>
      <c r="G420" s="45"/>
    </row>
    <row r="421">
      <c r="A421" s="176"/>
      <c r="B421" s="78"/>
      <c r="C421" s="253"/>
      <c r="D421" s="45"/>
      <c r="E421" s="45"/>
      <c r="F421" s="45"/>
      <c r="G421" s="45"/>
    </row>
    <row r="422">
      <c r="A422" s="176"/>
      <c r="B422" s="78"/>
      <c r="C422" s="253"/>
      <c r="D422" s="45"/>
      <c r="E422" s="45"/>
      <c r="F422" s="45"/>
      <c r="G422" s="45"/>
    </row>
    <row r="423">
      <c r="A423" s="176"/>
      <c r="B423" s="78"/>
      <c r="C423" s="253"/>
      <c r="D423" s="45"/>
      <c r="E423" s="45"/>
      <c r="F423" s="45"/>
      <c r="G423" s="45"/>
    </row>
    <row r="424">
      <c r="A424" s="176"/>
      <c r="B424" s="78"/>
      <c r="C424" s="253"/>
      <c r="D424" s="45"/>
      <c r="E424" s="45"/>
      <c r="F424" s="45"/>
      <c r="G424" s="45"/>
    </row>
    <row r="425">
      <c r="A425" s="176"/>
      <c r="B425" s="78"/>
      <c r="C425" s="253"/>
      <c r="D425" s="45"/>
      <c r="E425" s="45"/>
      <c r="F425" s="45"/>
      <c r="G425" s="45"/>
    </row>
    <row r="426">
      <c r="A426" s="176"/>
      <c r="B426" s="78"/>
      <c r="C426" s="253"/>
      <c r="D426" s="45"/>
      <c r="E426" s="45"/>
      <c r="F426" s="45"/>
      <c r="G426" s="45"/>
    </row>
    <row r="427">
      <c r="A427" s="176"/>
      <c r="B427" s="78"/>
      <c r="C427" s="253"/>
      <c r="D427" s="45"/>
      <c r="E427" s="45"/>
      <c r="F427" s="45"/>
      <c r="G427" s="45"/>
    </row>
    <row r="428">
      <c r="A428" s="176"/>
      <c r="B428" s="78"/>
      <c r="C428" s="253"/>
      <c r="D428" s="45"/>
      <c r="E428" s="45"/>
      <c r="F428" s="45"/>
      <c r="G428" s="45"/>
    </row>
    <row r="429">
      <c r="A429" s="176"/>
      <c r="B429" s="78"/>
      <c r="C429" s="253"/>
      <c r="D429" s="45"/>
      <c r="E429" s="45"/>
      <c r="F429" s="45"/>
      <c r="G429" s="45"/>
    </row>
    <row r="430">
      <c r="A430" s="176"/>
      <c r="B430" s="78"/>
      <c r="C430" s="253"/>
      <c r="D430" s="45"/>
      <c r="E430" s="45"/>
      <c r="F430" s="45"/>
      <c r="G430" s="45"/>
    </row>
    <row r="431">
      <c r="A431" s="176"/>
      <c r="B431" s="78"/>
      <c r="C431" s="253"/>
      <c r="D431" s="45"/>
      <c r="E431" s="45"/>
      <c r="F431" s="45"/>
      <c r="G431" s="45"/>
    </row>
    <row r="432">
      <c r="A432" s="176"/>
      <c r="B432" s="78"/>
      <c r="C432" s="253"/>
      <c r="D432" s="45"/>
      <c r="E432" s="45"/>
      <c r="F432" s="45"/>
      <c r="G432" s="45"/>
    </row>
    <row r="433">
      <c r="A433" s="176"/>
      <c r="B433" s="78"/>
      <c r="C433" s="253"/>
      <c r="D433" s="45"/>
      <c r="E433" s="45"/>
      <c r="F433" s="45"/>
      <c r="G433" s="45"/>
    </row>
    <row r="434">
      <c r="A434" s="176"/>
      <c r="B434" s="25"/>
      <c r="C434" s="253"/>
      <c r="D434" s="45"/>
      <c r="E434" s="45"/>
      <c r="F434" s="45"/>
      <c r="G434" s="45"/>
    </row>
    <row r="435">
      <c r="A435" s="176"/>
      <c r="B435" s="25"/>
      <c r="C435" s="253"/>
      <c r="D435" s="45"/>
      <c r="E435" s="45"/>
      <c r="F435" s="45"/>
      <c r="G435" s="45"/>
    </row>
    <row r="436">
      <c r="A436" s="176"/>
      <c r="B436" s="25"/>
      <c r="C436" s="253"/>
      <c r="D436" s="45"/>
      <c r="E436" s="45"/>
      <c r="F436" s="45"/>
      <c r="G436" s="45"/>
    </row>
    <row r="437">
      <c r="A437" s="176"/>
      <c r="B437" s="25"/>
      <c r="C437" s="253"/>
      <c r="D437" s="45"/>
      <c r="E437" s="45"/>
      <c r="F437" s="45"/>
      <c r="G437" s="45"/>
    </row>
    <row r="438">
      <c r="A438" s="176"/>
      <c r="B438" s="78"/>
      <c r="C438" s="253"/>
      <c r="D438" s="45"/>
      <c r="E438" s="45"/>
      <c r="F438" s="45"/>
      <c r="G438" s="45"/>
    </row>
    <row r="439">
      <c r="A439" s="176"/>
      <c r="B439" s="25"/>
      <c r="C439" s="253"/>
      <c r="D439" s="45"/>
      <c r="E439" s="45"/>
      <c r="F439" s="45"/>
      <c r="G439" s="45"/>
    </row>
    <row r="440">
      <c r="A440" s="176"/>
      <c r="B440" s="25"/>
      <c r="C440" s="253"/>
      <c r="D440" s="45"/>
      <c r="E440" s="45"/>
      <c r="F440" s="45"/>
      <c r="G440" s="45"/>
    </row>
    <row r="441">
      <c r="A441" s="176"/>
      <c r="B441" s="25"/>
      <c r="C441" s="253"/>
      <c r="D441" s="45"/>
      <c r="E441" s="45"/>
      <c r="F441" s="45"/>
      <c r="G441" s="45"/>
    </row>
    <row r="442">
      <c r="A442" s="176"/>
      <c r="B442" s="25"/>
      <c r="C442" s="253"/>
      <c r="D442" s="45"/>
      <c r="E442" s="45"/>
      <c r="F442" s="45"/>
      <c r="G442" s="45"/>
    </row>
    <row r="443">
      <c r="A443" s="176"/>
      <c r="B443" s="25"/>
      <c r="C443" s="253"/>
      <c r="D443" s="45"/>
      <c r="E443" s="45"/>
      <c r="F443" s="45"/>
      <c r="G443" s="45"/>
    </row>
    <row r="444">
      <c r="A444" s="176"/>
      <c r="B444" s="78"/>
      <c r="C444" s="253"/>
      <c r="D444" s="45"/>
      <c r="E444" s="45"/>
      <c r="F444" s="45"/>
      <c r="G444" s="45"/>
    </row>
    <row r="445">
      <c r="A445" s="176"/>
      <c r="B445" s="25"/>
      <c r="C445" s="253"/>
      <c r="D445" s="45"/>
      <c r="E445" s="45"/>
      <c r="F445" s="45"/>
      <c r="G445" s="45"/>
    </row>
    <row r="446">
      <c r="A446" s="176"/>
      <c r="B446" s="25"/>
      <c r="C446" s="253"/>
      <c r="D446" s="45"/>
      <c r="E446" s="45"/>
      <c r="F446" s="45"/>
      <c r="G446" s="45"/>
    </row>
    <row r="447">
      <c r="A447" s="176"/>
      <c r="B447" s="25"/>
      <c r="C447" s="253"/>
      <c r="D447" s="45"/>
      <c r="E447" s="45"/>
      <c r="F447" s="45"/>
      <c r="G447" s="45"/>
    </row>
    <row r="448">
      <c r="A448" s="176"/>
      <c r="B448" s="25"/>
      <c r="C448" s="253"/>
      <c r="D448" s="45"/>
      <c r="E448" s="45"/>
      <c r="F448" s="45"/>
      <c r="G448" s="45"/>
    </row>
    <row r="449">
      <c r="A449" s="176"/>
      <c r="B449" s="25"/>
      <c r="C449" s="253"/>
      <c r="D449" s="45"/>
      <c r="E449" s="45"/>
      <c r="F449" s="45"/>
      <c r="G449" s="45"/>
    </row>
    <row r="450">
      <c r="A450" s="176"/>
      <c r="B450" s="25"/>
      <c r="C450" s="253"/>
      <c r="D450" s="45"/>
      <c r="E450" s="45"/>
      <c r="F450" s="45"/>
      <c r="G450" s="45"/>
    </row>
    <row r="451">
      <c r="A451" s="247"/>
      <c r="B451" s="187"/>
      <c r="C451" s="25"/>
      <c r="D451" s="45"/>
      <c r="E451" s="45"/>
      <c r="F451" s="45"/>
      <c r="G451" s="45"/>
    </row>
    <row r="452">
      <c r="A452" s="247"/>
      <c r="B452" s="187"/>
      <c r="C452" s="25"/>
      <c r="D452" s="45"/>
      <c r="E452" s="45"/>
      <c r="F452" s="45"/>
      <c r="G452" s="45"/>
    </row>
    <row r="453">
      <c r="A453" s="247"/>
      <c r="B453" s="187"/>
      <c r="C453" s="25"/>
      <c r="D453" s="45"/>
      <c r="E453" s="45"/>
      <c r="F453" s="45"/>
      <c r="G453" s="45"/>
    </row>
    <row r="454">
      <c r="A454" s="247"/>
      <c r="B454" s="187"/>
      <c r="C454" s="25"/>
      <c r="D454" s="45"/>
      <c r="E454" s="45"/>
      <c r="F454" s="45"/>
      <c r="G454" s="45"/>
    </row>
    <row r="455">
      <c r="A455" s="247"/>
      <c r="B455" s="187"/>
      <c r="C455" s="25"/>
      <c r="D455" s="45"/>
      <c r="E455" s="45"/>
      <c r="F455" s="45"/>
      <c r="G455" s="45"/>
    </row>
    <row r="456">
      <c r="A456" s="247"/>
      <c r="B456" s="187"/>
      <c r="C456" s="25"/>
      <c r="D456" s="45"/>
      <c r="E456" s="45"/>
      <c r="F456" s="45"/>
      <c r="G456" s="45"/>
    </row>
    <row r="457">
      <c r="A457" s="247"/>
      <c r="B457" s="187"/>
      <c r="C457" s="25"/>
      <c r="D457" s="45"/>
      <c r="E457" s="45"/>
      <c r="F457" s="45"/>
      <c r="G457" s="45"/>
    </row>
    <row r="458">
      <c r="A458" s="247"/>
      <c r="B458" s="187"/>
      <c r="C458" s="25"/>
      <c r="D458" s="45"/>
      <c r="E458" s="45"/>
      <c r="F458" s="45"/>
      <c r="G458" s="45"/>
    </row>
    <row r="459">
      <c r="A459" s="247"/>
      <c r="B459" s="187"/>
      <c r="C459" s="25"/>
      <c r="D459" s="45"/>
      <c r="E459" s="45"/>
      <c r="F459" s="45"/>
      <c r="G459" s="45"/>
    </row>
    <row r="460">
      <c r="A460" s="247"/>
      <c r="B460" s="187"/>
      <c r="C460" s="25"/>
      <c r="D460" s="45"/>
      <c r="E460" s="45"/>
      <c r="F460" s="45"/>
      <c r="G460" s="45"/>
    </row>
    <row r="461">
      <c r="A461" s="247"/>
      <c r="B461" s="187"/>
      <c r="C461" s="25"/>
      <c r="D461" s="45"/>
      <c r="E461" s="45"/>
      <c r="F461" s="45"/>
      <c r="G461" s="45"/>
    </row>
    <row r="462">
      <c r="A462" s="247"/>
      <c r="B462" s="187"/>
      <c r="C462" s="25"/>
      <c r="D462" s="45"/>
      <c r="E462" s="45"/>
      <c r="F462" s="45"/>
      <c r="G462" s="45"/>
    </row>
    <row r="463">
      <c r="A463" s="247"/>
      <c r="B463" s="187"/>
      <c r="C463" s="25"/>
      <c r="D463" s="45"/>
      <c r="E463" s="45"/>
      <c r="F463" s="45"/>
      <c r="G463" s="45"/>
    </row>
    <row r="464">
      <c r="A464" s="247"/>
      <c r="B464" s="187"/>
      <c r="C464" s="25"/>
      <c r="D464" s="45"/>
      <c r="E464" s="45"/>
      <c r="F464" s="45"/>
      <c r="G464" s="45"/>
    </row>
    <row r="465">
      <c r="A465" s="247"/>
      <c r="B465" s="187"/>
      <c r="C465" s="25"/>
      <c r="D465" s="45"/>
      <c r="E465" s="45"/>
      <c r="F465" s="45"/>
      <c r="G465" s="45"/>
    </row>
    <row r="466">
      <c r="A466" s="247"/>
      <c r="B466" s="187"/>
      <c r="C466" s="25"/>
      <c r="D466" s="45"/>
      <c r="E466" s="45"/>
      <c r="F466" s="45"/>
      <c r="G466" s="45"/>
    </row>
    <row r="467">
      <c r="A467" s="247"/>
      <c r="B467" s="187"/>
      <c r="C467" s="25"/>
      <c r="D467" s="45"/>
      <c r="E467" s="45"/>
      <c r="F467" s="45"/>
      <c r="G467" s="45"/>
    </row>
    <row r="468">
      <c r="A468" s="247"/>
      <c r="B468" s="187"/>
      <c r="C468" s="25"/>
      <c r="D468" s="45"/>
      <c r="E468" s="45"/>
      <c r="F468" s="45"/>
      <c r="G468" s="45"/>
    </row>
    <row r="469">
      <c r="A469" s="247"/>
      <c r="B469" s="187"/>
      <c r="C469" s="25"/>
      <c r="D469" s="45"/>
      <c r="E469" s="45"/>
      <c r="F469" s="45"/>
      <c r="G469" s="45"/>
    </row>
    <row r="470">
      <c r="A470" s="247"/>
      <c r="B470" s="187"/>
      <c r="C470" s="25"/>
      <c r="D470" s="45"/>
      <c r="E470" s="45"/>
      <c r="F470" s="45"/>
      <c r="G470" s="45"/>
    </row>
    <row r="471">
      <c r="A471" s="247"/>
      <c r="B471" s="187"/>
      <c r="C471" s="25"/>
      <c r="D471" s="45"/>
      <c r="E471" s="45"/>
      <c r="F471" s="45"/>
      <c r="G471" s="45"/>
    </row>
    <row r="472">
      <c r="A472" s="247"/>
      <c r="B472" s="187"/>
      <c r="C472" s="25"/>
      <c r="D472" s="45"/>
      <c r="E472" s="45"/>
      <c r="F472" s="45"/>
      <c r="G472" s="45"/>
    </row>
    <row r="473">
      <c r="A473" s="247"/>
      <c r="B473" s="187"/>
      <c r="C473" s="25"/>
      <c r="D473" s="45"/>
      <c r="E473" s="45"/>
      <c r="F473" s="45"/>
      <c r="G473" s="45"/>
    </row>
    <row r="474">
      <c r="A474" s="247"/>
      <c r="B474" s="187"/>
      <c r="C474" s="25"/>
      <c r="D474" s="45"/>
      <c r="E474" s="45"/>
      <c r="F474" s="45"/>
      <c r="G474" s="45"/>
    </row>
    <row r="475">
      <c r="A475" s="247"/>
      <c r="B475" s="187"/>
      <c r="C475" s="25"/>
      <c r="D475" s="45"/>
      <c r="E475" s="45"/>
      <c r="F475" s="45"/>
      <c r="G475" s="45"/>
    </row>
    <row r="476">
      <c r="A476" s="247"/>
      <c r="B476" s="72"/>
      <c r="C476" s="25"/>
      <c r="D476" s="45"/>
      <c r="E476" s="45"/>
      <c r="F476" s="45"/>
      <c r="G476" s="45"/>
    </row>
    <row r="477">
      <c r="A477" s="247"/>
      <c r="B477" s="187"/>
      <c r="C477" s="25"/>
      <c r="D477" s="45"/>
      <c r="E477" s="45"/>
      <c r="F477" s="45"/>
      <c r="G477" s="45"/>
    </row>
    <row r="478">
      <c r="A478" s="247"/>
      <c r="B478" s="187"/>
      <c r="C478" s="25"/>
      <c r="D478" s="45"/>
      <c r="E478" s="45"/>
      <c r="F478" s="45"/>
      <c r="G478" s="45"/>
    </row>
    <row r="479">
      <c r="A479" s="247"/>
      <c r="B479" s="187"/>
      <c r="C479" s="25"/>
      <c r="D479" s="45"/>
      <c r="E479" s="45"/>
      <c r="F479" s="45"/>
      <c r="G479" s="45"/>
    </row>
    <row r="480">
      <c r="A480" s="247"/>
      <c r="B480" s="265"/>
      <c r="C480" s="25"/>
      <c r="D480" s="45"/>
      <c r="E480" s="45"/>
      <c r="F480" s="45"/>
      <c r="G480" s="45"/>
    </row>
    <row r="481">
      <c r="A481" s="247"/>
      <c r="B481" s="187"/>
      <c r="C481" s="25"/>
      <c r="D481" s="45"/>
      <c r="E481" s="45"/>
      <c r="F481" s="45"/>
      <c r="G481" s="45"/>
    </row>
    <row r="482">
      <c r="A482" s="247"/>
      <c r="B482" s="187"/>
      <c r="C482" s="25"/>
      <c r="D482" s="45"/>
      <c r="E482" s="45"/>
      <c r="F482" s="45"/>
      <c r="G482" s="45"/>
    </row>
    <row r="483">
      <c r="A483" s="247"/>
      <c r="B483" s="187"/>
      <c r="C483" s="25"/>
      <c r="D483" s="45"/>
      <c r="E483" s="45"/>
      <c r="F483" s="45"/>
      <c r="G483" s="45"/>
    </row>
    <row r="484">
      <c r="A484" s="247"/>
      <c r="B484" s="187"/>
      <c r="C484" s="25"/>
      <c r="D484" s="45"/>
      <c r="E484" s="45"/>
      <c r="F484" s="45"/>
      <c r="G484" s="45"/>
    </row>
    <row r="485">
      <c r="A485" s="247"/>
      <c r="B485" s="187"/>
      <c r="C485" s="25"/>
      <c r="D485" s="45"/>
      <c r="E485" s="45"/>
      <c r="F485" s="45"/>
      <c r="G485" s="45"/>
    </row>
    <row r="486">
      <c r="A486" s="247"/>
      <c r="B486" s="187"/>
      <c r="C486" s="25"/>
      <c r="D486" s="45"/>
      <c r="E486" s="45"/>
      <c r="F486" s="45"/>
      <c r="G486" s="45"/>
    </row>
    <row r="487">
      <c r="A487" s="247"/>
      <c r="B487" s="187"/>
      <c r="C487" s="25"/>
      <c r="D487" s="45"/>
      <c r="E487" s="45"/>
      <c r="F487" s="45"/>
      <c r="G487" s="45"/>
    </row>
    <row r="488">
      <c r="A488" s="247"/>
      <c r="B488" s="187"/>
      <c r="C488" s="25"/>
      <c r="D488" s="45"/>
      <c r="E488" s="45"/>
      <c r="F488" s="45"/>
      <c r="G488" s="45"/>
    </row>
    <row r="489">
      <c r="A489" s="247"/>
      <c r="B489" s="187"/>
      <c r="C489" s="25"/>
      <c r="D489" s="45"/>
      <c r="E489" s="45"/>
      <c r="F489" s="45"/>
      <c r="G489" s="45"/>
    </row>
    <row r="490">
      <c r="A490" s="247"/>
      <c r="B490" s="191"/>
      <c r="C490" s="25"/>
      <c r="D490" s="45"/>
      <c r="E490" s="45"/>
      <c r="F490" s="45"/>
      <c r="G490" s="45"/>
    </row>
    <row r="491">
      <c r="A491" s="247"/>
      <c r="B491" s="187"/>
      <c r="C491" s="25"/>
      <c r="D491" s="45"/>
      <c r="E491" s="45"/>
      <c r="F491" s="45"/>
      <c r="G491" s="45"/>
    </row>
    <row r="492">
      <c r="A492" s="247"/>
      <c r="B492" s="187"/>
      <c r="C492" s="25"/>
      <c r="D492" s="45"/>
      <c r="E492" s="45"/>
      <c r="F492" s="45"/>
      <c r="G492" s="45"/>
    </row>
    <row r="493">
      <c r="A493" s="247"/>
      <c r="B493" s="187"/>
      <c r="C493" s="25"/>
      <c r="D493" s="45"/>
      <c r="E493" s="45"/>
      <c r="F493" s="45"/>
      <c r="G493" s="45"/>
    </row>
    <row r="494">
      <c r="A494" s="247"/>
      <c r="B494" s="187"/>
      <c r="C494" s="25"/>
      <c r="D494" s="45"/>
      <c r="E494" s="45"/>
      <c r="F494" s="45"/>
      <c r="G494" s="45"/>
    </row>
    <row r="495">
      <c r="A495" s="247"/>
      <c r="B495" s="187"/>
      <c r="C495" s="25"/>
      <c r="D495" s="45"/>
      <c r="E495" s="45"/>
      <c r="F495" s="45"/>
      <c r="G495" s="45"/>
    </row>
    <row r="496">
      <c r="A496" s="247"/>
      <c r="B496" s="187"/>
      <c r="C496" s="25"/>
      <c r="D496" s="45"/>
      <c r="E496" s="45"/>
      <c r="F496" s="45"/>
      <c r="G496" s="45"/>
    </row>
    <row r="497">
      <c r="A497" s="247"/>
      <c r="B497" s="187"/>
      <c r="C497" s="25"/>
      <c r="D497" s="45"/>
      <c r="E497" s="45"/>
      <c r="F497" s="45"/>
      <c r="G497" s="45"/>
    </row>
    <row r="498">
      <c r="A498" s="247"/>
      <c r="B498" s="187"/>
      <c r="C498" s="25"/>
      <c r="D498" s="45"/>
      <c r="E498" s="45"/>
      <c r="F498" s="45"/>
      <c r="G498" s="45"/>
    </row>
    <row r="499">
      <c r="A499" s="247"/>
      <c r="B499" s="187"/>
      <c r="C499" s="25"/>
      <c r="D499" s="45"/>
      <c r="E499" s="45"/>
      <c r="F499" s="45"/>
      <c r="G499" s="45"/>
    </row>
    <row r="500">
      <c r="A500" s="247"/>
      <c r="B500" s="187"/>
      <c r="C500" s="25"/>
      <c r="D500" s="45"/>
      <c r="E500" s="45"/>
      <c r="F500" s="45"/>
      <c r="G500" s="45"/>
    </row>
    <row r="501">
      <c r="A501" s="247"/>
      <c r="B501" s="187"/>
      <c r="C501" s="25"/>
      <c r="D501" s="45"/>
      <c r="E501" s="45"/>
      <c r="F501" s="45"/>
      <c r="G501" s="45"/>
    </row>
    <row r="502">
      <c r="A502" s="78"/>
      <c r="B502" s="78"/>
      <c r="C502" s="78"/>
      <c r="D502" s="45"/>
      <c r="E502" s="45"/>
      <c r="F502" s="45"/>
      <c r="G502" s="45"/>
    </row>
    <row r="503">
      <c r="A503" s="78"/>
      <c r="B503" s="78"/>
      <c r="C503" s="78"/>
      <c r="D503" s="45"/>
      <c r="E503" s="45"/>
      <c r="F503" s="45"/>
      <c r="G503" s="45"/>
    </row>
    <row r="504">
      <c r="A504" s="78"/>
      <c r="B504" s="78"/>
      <c r="C504" s="78"/>
      <c r="D504" s="45"/>
      <c r="E504" s="45"/>
      <c r="F504" s="45"/>
      <c r="G504" s="45"/>
    </row>
    <row r="505">
      <c r="A505" s="78"/>
      <c r="B505" s="78"/>
      <c r="C505" s="78"/>
      <c r="D505" s="45"/>
      <c r="E505" s="45"/>
      <c r="F505" s="45"/>
      <c r="G505" s="45"/>
    </row>
    <row r="506">
      <c r="A506" s="78"/>
      <c r="B506" s="78"/>
      <c r="C506" s="78"/>
      <c r="D506" s="45"/>
      <c r="E506" s="45"/>
      <c r="F506" s="45"/>
      <c r="G506" s="45"/>
    </row>
    <row r="507">
      <c r="A507" s="78"/>
      <c r="B507" s="78"/>
      <c r="C507" s="78"/>
      <c r="D507" s="45"/>
      <c r="E507" s="45"/>
      <c r="F507" s="45"/>
      <c r="G507" s="45"/>
    </row>
    <row r="508">
      <c r="A508" s="78"/>
      <c r="B508" s="78"/>
      <c r="C508" s="78"/>
      <c r="D508" s="45"/>
      <c r="E508" s="45"/>
      <c r="F508" s="45"/>
      <c r="G508" s="45"/>
    </row>
    <row r="509">
      <c r="A509" s="78"/>
      <c r="B509" s="78"/>
      <c r="C509" s="78"/>
      <c r="D509" s="45"/>
      <c r="E509" s="45"/>
      <c r="F509" s="45"/>
      <c r="G509" s="45"/>
    </row>
    <row r="510">
      <c r="A510" s="78"/>
      <c r="B510" s="78"/>
      <c r="C510" s="78"/>
      <c r="D510" s="45"/>
      <c r="E510" s="45"/>
      <c r="F510" s="45"/>
      <c r="G510" s="45"/>
    </row>
    <row r="511">
      <c r="A511" s="78"/>
      <c r="B511" s="78"/>
      <c r="C511" s="78"/>
      <c r="D511" s="45"/>
      <c r="E511" s="45"/>
      <c r="F511" s="45"/>
      <c r="G511" s="45"/>
    </row>
    <row r="512">
      <c r="A512" s="78"/>
      <c r="B512" s="78"/>
      <c r="C512" s="78"/>
      <c r="D512" s="45"/>
      <c r="E512" s="45"/>
      <c r="F512" s="45"/>
      <c r="G512" s="45"/>
    </row>
    <row r="513">
      <c r="A513" s="78"/>
      <c r="B513" s="78"/>
      <c r="C513" s="78"/>
      <c r="D513" s="45"/>
      <c r="E513" s="45"/>
      <c r="F513" s="45"/>
      <c r="G513" s="45"/>
    </row>
    <row r="514">
      <c r="A514" s="78"/>
      <c r="B514" s="78"/>
      <c r="C514" s="78"/>
      <c r="D514" s="45"/>
      <c r="E514" s="45"/>
      <c r="F514" s="45"/>
      <c r="G514" s="45"/>
    </row>
    <row r="515">
      <c r="A515" s="78"/>
      <c r="B515" s="78"/>
      <c r="C515" s="78"/>
      <c r="D515" s="45"/>
      <c r="E515" s="45"/>
      <c r="F515" s="45"/>
      <c r="G515" s="45"/>
    </row>
    <row r="516">
      <c r="A516" s="78"/>
      <c r="B516" s="78"/>
      <c r="C516" s="78"/>
      <c r="D516" s="45"/>
      <c r="E516" s="45"/>
      <c r="F516" s="45"/>
      <c r="G516" s="45"/>
    </row>
    <row r="517">
      <c r="A517" s="78"/>
      <c r="B517" s="78"/>
      <c r="C517" s="78"/>
      <c r="D517" s="45"/>
      <c r="E517" s="45"/>
      <c r="F517" s="45"/>
      <c r="G517" s="45"/>
    </row>
    <row r="518">
      <c r="A518" s="78"/>
      <c r="B518" s="78"/>
      <c r="C518" s="78"/>
      <c r="D518" s="45"/>
      <c r="E518" s="45"/>
      <c r="F518" s="45"/>
      <c r="G518" s="45"/>
    </row>
    <row r="519">
      <c r="A519" s="78"/>
      <c r="B519" s="78"/>
      <c r="C519" s="78"/>
      <c r="D519" s="45"/>
      <c r="E519" s="45"/>
      <c r="F519" s="45"/>
      <c r="G519" s="45"/>
    </row>
    <row r="520">
      <c r="A520" s="78"/>
      <c r="B520" s="78"/>
      <c r="C520" s="78"/>
      <c r="D520" s="45"/>
      <c r="E520" s="45"/>
      <c r="F520" s="45"/>
      <c r="G520" s="45"/>
    </row>
    <row r="521">
      <c r="A521" s="78"/>
      <c r="B521" s="78"/>
      <c r="C521" s="78"/>
      <c r="D521" s="45"/>
      <c r="E521" s="45"/>
      <c r="F521" s="45"/>
      <c r="G521" s="45"/>
    </row>
    <row r="522">
      <c r="A522" s="78"/>
      <c r="B522" s="78"/>
      <c r="C522" s="78"/>
      <c r="D522" s="45"/>
      <c r="E522" s="45"/>
      <c r="F522" s="45"/>
      <c r="G522" s="45"/>
    </row>
    <row r="523">
      <c r="A523" s="78"/>
      <c r="B523" s="78"/>
      <c r="C523" s="78"/>
      <c r="D523" s="45"/>
      <c r="E523" s="45"/>
      <c r="F523" s="45"/>
      <c r="G523" s="45"/>
    </row>
    <row r="524">
      <c r="A524" s="78"/>
      <c r="B524" s="78"/>
      <c r="C524" s="78"/>
      <c r="D524" s="45"/>
      <c r="E524" s="45"/>
      <c r="F524" s="45"/>
      <c r="G524" s="45"/>
    </row>
    <row r="525">
      <c r="A525" s="78"/>
      <c r="B525" s="78"/>
      <c r="C525" s="78"/>
      <c r="D525" s="45"/>
      <c r="E525" s="45"/>
      <c r="F525" s="45"/>
      <c r="G525" s="45"/>
    </row>
    <row r="526">
      <c r="A526" s="78"/>
      <c r="B526" s="78"/>
      <c r="C526" s="78"/>
      <c r="D526" s="45"/>
      <c r="E526" s="45"/>
      <c r="F526" s="45"/>
      <c r="G526" s="45"/>
    </row>
    <row r="527">
      <c r="A527" s="78"/>
      <c r="B527" s="78"/>
      <c r="C527" s="78"/>
      <c r="D527" s="45"/>
      <c r="E527" s="45"/>
      <c r="F527" s="45"/>
      <c r="G527" s="45"/>
    </row>
    <row r="528">
      <c r="A528" s="78"/>
      <c r="B528" s="78"/>
      <c r="C528" s="78"/>
      <c r="D528" s="45"/>
      <c r="E528" s="45"/>
      <c r="F528" s="45"/>
      <c r="G528" s="45"/>
    </row>
    <row r="529">
      <c r="A529" s="78"/>
      <c r="B529" s="78"/>
      <c r="C529" s="78"/>
      <c r="D529" s="45"/>
      <c r="E529" s="45"/>
      <c r="F529" s="45"/>
      <c r="G529" s="45"/>
    </row>
    <row r="530">
      <c r="A530" s="78"/>
      <c r="B530" s="78"/>
      <c r="C530" s="78"/>
      <c r="D530" s="45"/>
      <c r="E530" s="45"/>
      <c r="F530" s="45"/>
      <c r="G530" s="45"/>
    </row>
    <row r="531">
      <c r="A531" s="78"/>
      <c r="B531" s="78"/>
      <c r="C531" s="78"/>
      <c r="D531" s="45"/>
      <c r="E531" s="45"/>
      <c r="F531" s="45"/>
      <c r="G531" s="45"/>
    </row>
    <row r="532">
      <c r="A532" s="78"/>
      <c r="B532" s="78"/>
      <c r="C532" s="78"/>
      <c r="D532" s="45"/>
      <c r="E532" s="45"/>
      <c r="F532" s="45"/>
      <c r="G532" s="45"/>
    </row>
    <row r="533">
      <c r="A533" s="78"/>
      <c r="B533" s="78"/>
      <c r="C533" s="78"/>
      <c r="D533" s="45"/>
      <c r="E533" s="45"/>
      <c r="F533" s="45"/>
      <c r="G533" s="45"/>
    </row>
    <row r="534">
      <c r="A534" s="78"/>
      <c r="B534" s="78"/>
      <c r="C534" s="78"/>
      <c r="D534" s="45"/>
      <c r="E534" s="45"/>
      <c r="F534" s="45"/>
      <c r="G534" s="45"/>
    </row>
    <row r="535">
      <c r="A535" s="78"/>
      <c r="B535" s="78"/>
      <c r="C535" s="78"/>
      <c r="D535" s="45"/>
      <c r="E535" s="45"/>
      <c r="F535" s="45"/>
      <c r="G535" s="45"/>
    </row>
    <row r="536">
      <c r="A536" s="78"/>
      <c r="B536" s="78"/>
      <c r="C536" s="78"/>
      <c r="D536" s="45"/>
      <c r="E536" s="45"/>
      <c r="F536" s="45"/>
      <c r="G536" s="45"/>
    </row>
    <row r="537">
      <c r="A537" s="78"/>
      <c r="B537" s="78"/>
      <c r="C537" s="78"/>
      <c r="D537" s="45"/>
      <c r="E537" s="45"/>
      <c r="F537" s="45"/>
      <c r="G537" s="45"/>
    </row>
    <row r="538">
      <c r="A538" s="78"/>
      <c r="B538" s="78"/>
      <c r="C538" s="78"/>
      <c r="D538" s="45"/>
      <c r="E538" s="45"/>
      <c r="F538" s="45"/>
      <c r="G538" s="45"/>
    </row>
    <row r="539">
      <c r="A539" s="78"/>
      <c r="B539" s="78"/>
      <c r="C539" s="78"/>
      <c r="D539" s="45"/>
      <c r="E539" s="45"/>
      <c r="F539" s="45"/>
      <c r="G539" s="45"/>
    </row>
    <row r="540">
      <c r="A540" s="78"/>
      <c r="B540" s="78"/>
      <c r="C540" s="78"/>
      <c r="D540" s="45"/>
      <c r="E540" s="45"/>
      <c r="F540" s="45"/>
      <c r="G540" s="45"/>
    </row>
    <row r="541">
      <c r="A541" s="78"/>
      <c r="B541" s="78"/>
      <c r="C541" s="78"/>
      <c r="D541" s="45"/>
      <c r="E541" s="45"/>
      <c r="F541" s="45"/>
      <c r="G541" s="45"/>
    </row>
    <row r="542">
      <c r="A542" s="78"/>
      <c r="B542" s="78"/>
      <c r="C542" s="78"/>
      <c r="D542" s="45"/>
      <c r="E542" s="45"/>
      <c r="F542" s="45"/>
      <c r="G542" s="45"/>
    </row>
    <row r="543">
      <c r="A543" s="78"/>
      <c r="B543" s="78"/>
      <c r="C543" s="78"/>
      <c r="D543" s="45"/>
      <c r="E543" s="45"/>
      <c r="F543" s="45"/>
      <c r="G543" s="45"/>
    </row>
    <row r="544">
      <c r="A544" s="78"/>
      <c r="B544" s="78"/>
      <c r="C544" s="78"/>
      <c r="D544" s="45"/>
      <c r="E544" s="45"/>
      <c r="F544" s="45"/>
      <c r="G544" s="45"/>
    </row>
    <row r="545">
      <c r="A545" s="78"/>
      <c r="B545" s="78"/>
      <c r="C545" s="78"/>
      <c r="D545" s="45"/>
      <c r="E545" s="45"/>
      <c r="F545" s="45"/>
      <c r="G545" s="45"/>
    </row>
    <row r="546">
      <c r="A546" s="78"/>
      <c r="B546" s="78"/>
      <c r="C546" s="78"/>
      <c r="D546" s="45"/>
      <c r="E546" s="45"/>
      <c r="F546" s="45"/>
      <c r="G546" s="45"/>
    </row>
    <row r="547">
      <c r="A547" s="78"/>
      <c r="B547" s="78"/>
      <c r="C547" s="78"/>
      <c r="D547" s="45"/>
      <c r="E547" s="45"/>
      <c r="F547" s="45"/>
      <c r="G547" s="45"/>
    </row>
    <row r="548">
      <c r="A548" s="78"/>
      <c r="B548" s="78"/>
      <c r="C548" s="78"/>
      <c r="D548" s="45"/>
      <c r="E548" s="45"/>
      <c r="F548" s="45"/>
      <c r="G548" s="45"/>
    </row>
    <row r="549">
      <c r="A549" s="78"/>
      <c r="B549" s="78"/>
      <c r="C549" s="78"/>
      <c r="D549" s="45"/>
      <c r="E549" s="45"/>
      <c r="F549" s="45"/>
      <c r="G549" s="45"/>
    </row>
    <row r="550">
      <c r="A550" s="78"/>
      <c r="B550" s="78"/>
      <c r="C550" s="78"/>
      <c r="D550" s="45"/>
      <c r="E550" s="45"/>
      <c r="F550" s="45"/>
      <c r="G550" s="45"/>
    </row>
    <row r="551">
      <c r="A551" s="78"/>
      <c r="B551" s="78"/>
      <c r="C551" s="78"/>
      <c r="D551" s="45"/>
      <c r="E551" s="45"/>
      <c r="F551" s="45"/>
      <c r="G551" s="45"/>
    </row>
    <row r="552">
      <c r="A552" s="78"/>
      <c r="B552" s="78"/>
      <c r="C552" s="78"/>
      <c r="D552" s="45"/>
      <c r="E552" s="45"/>
      <c r="F552" s="45"/>
      <c r="G552" s="45"/>
    </row>
    <row r="553">
      <c r="A553" s="78"/>
      <c r="B553" s="78"/>
      <c r="C553" s="78"/>
      <c r="D553" s="45"/>
      <c r="E553" s="45"/>
      <c r="F553" s="45"/>
      <c r="G553" s="45"/>
    </row>
    <row r="554">
      <c r="A554" s="78"/>
      <c r="B554" s="78"/>
      <c r="C554" s="78"/>
      <c r="D554" s="45"/>
      <c r="E554" s="45"/>
      <c r="F554" s="45"/>
      <c r="G554" s="45"/>
    </row>
    <row r="555">
      <c r="A555" s="78"/>
      <c r="B555" s="78"/>
      <c r="C555" s="78"/>
      <c r="D555" s="45"/>
      <c r="E555" s="45"/>
      <c r="F555" s="45"/>
      <c r="G555" s="45"/>
    </row>
    <row r="556">
      <c r="A556" s="78"/>
      <c r="B556" s="78"/>
      <c r="C556" s="78"/>
      <c r="D556" s="45"/>
      <c r="E556" s="45"/>
      <c r="F556" s="45"/>
      <c r="G556" s="45"/>
    </row>
    <row r="557">
      <c r="A557" s="78"/>
      <c r="B557" s="78"/>
      <c r="C557" s="78"/>
      <c r="D557" s="45"/>
      <c r="E557" s="45"/>
      <c r="F557" s="45"/>
      <c r="G557" s="45"/>
    </row>
    <row r="558">
      <c r="A558" s="78"/>
      <c r="B558" s="78"/>
      <c r="C558" s="78"/>
      <c r="D558" s="45"/>
      <c r="E558" s="45"/>
      <c r="F558" s="45"/>
      <c r="G558" s="45"/>
    </row>
    <row r="559">
      <c r="A559" s="78"/>
      <c r="B559" s="78"/>
      <c r="C559" s="78"/>
      <c r="D559" s="45"/>
      <c r="E559" s="45"/>
      <c r="F559" s="45"/>
      <c r="G559" s="45"/>
    </row>
    <row r="560">
      <c r="A560" s="78"/>
      <c r="B560" s="78"/>
      <c r="C560" s="78"/>
      <c r="D560" s="45"/>
      <c r="E560" s="45"/>
      <c r="F560" s="45"/>
      <c r="G560" s="45"/>
    </row>
    <row r="561">
      <c r="A561" s="78"/>
      <c r="B561" s="78"/>
      <c r="C561" s="78"/>
      <c r="D561" s="45"/>
      <c r="E561" s="45"/>
      <c r="F561" s="45"/>
      <c r="G561" s="45"/>
    </row>
    <row r="562">
      <c r="A562" s="78"/>
      <c r="B562" s="78"/>
      <c r="C562" s="78"/>
      <c r="D562" s="45"/>
      <c r="E562" s="45"/>
      <c r="F562" s="45"/>
      <c r="G562" s="45"/>
    </row>
    <row r="563">
      <c r="A563" s="78"/>
      <c r="B563" s="78"/>
      <c r="C563" s="78"/>
      <c r="D563" s="45"/>
      <c r="E563" s="45"/>
      <c r="F563" s="45"/>
      <c r="G563" s="45"/>
    </row>
    <row r="564">
      <c r="A564" s="78"/>
      <c r="B564" s="78"/>
      <c r="C564" s="78"/>
      <c r="D564" s="45"/>
      <c r="E564" s="45"/>
      <c r="F564" s="45"/>
      <c r="G564" s="45"/>
    </row>
    <row r="565">
      <c r="A565" s="78"/>
      <c r="B565" s="78"/>
      <c r="C565" s="78"/>
      <c r="D565" s="45"/>
      <c r="E565" s="45"/>
      <c r="F565" s="45"/>
      <c r="G565" s="45"/>
    </row>
    <row r="566">
      <c r="A566" s="78"/>
      <c r="B566" s="78"/>
      <c r="C566" s="78"/>
      <c r="D566" s="45"/>
      <c r="E566" s="45"/>
      <c r="F566" s="45"/>
      <c r="G566" s="45"/>
    </row>
    <row r="567">
      <c r="A567" s="78"/>
      <c r="B567" s="78"/>
      <c r="C567" s="78"/>
      <c r="D567" s="45"/>
      <c r="E567" s="45"/>
      <c r="F567" s="45"/>
      <c r="G567" s="45"/>
    </row>
    <row r="568">
      <c r="A568" s="78"/>
      <c r="B568" s="78"/>
      <c r="C568" s="78"/>
      <c r="D568" s="45"/>
      <c r="E568" s="45"/>
      <c r="F568" s="45"/>
      <c r="G568" s="45"/>
    </row>
    <row r="569">
      <c r="A569" s="78"/>
      <c r="B569" s="78"/>
      <c r="C569" s="78"/>
      <c r="D569" s="45"/>
      <c r="E569" s="45"/>
      <c r="F569" s="45"/>
      <c r="G569" s="45"/>
    </row>
    <row r="570">
      <c r="A570" s="78"/>
      <c r="B570" s="78"/>
      <c r="C570" s="78"/>
      <c r="D570" s="45"/>
      <c r="E570" s="45"/>
      <c r="F570" s="45"/>
      <c r="G570" s="45"/>
    </row>
    <row r="571">
      <c r="A571" s="78"/>
      <c r="B571" s="78"/>
      <c r="C571" s="78"/>
      <c r="D571" s="45"/>
      <c r="E571" s="45"/>
      <c r="F571" s="45"/>
      <c r="G571" s="45"/>
    </row>
    <row r="572">
      <c r="A572" s="78"/>
      <c r="B572" s="78"/>
      <c r="C572" s="78"/>
      <c r="D572" s="45"/>
      <c r="E572" s="45"/>
      <c r="F572" s="45"/>
      <c r="G572" s="45"/>
    </row>
    <row r="573">
      <c r="A573" s="78"/>
      <c r="B573" s="78"/>
      <c r="C573" s="78"/>
      <c r="D573" s="45"/>
      <c r="E573" s="45"/>
      <c r="F573" s="45"/>
      <c r="G573" s="45"/>
    </row>
    <row r="574">
      <c r="A574" s="78"/>
      <c r="B574" s="78"/>
      <c r="C574" s="78"/>
      <c r="D574" s="45"/>
      <c r="E574" s="45"/>
      <c r="F574" s="45"/>
      <c r="G574" s="45"/>
    </row>
    <row r="575">
      <c r="A575" s="78"/>
      <c r="B575" s="78"/>
      <c r="C575" s="78"/>
      <c r="D575" s="45"/>
      <c r="E575" s="45"/>
      <c r="F575" s="45"/>
      <c r="G575" s="45"/>
    </row>
    <row r="576">
      <c r="A576" s="78"/>
      <c r="B576" s="78"/>
      <c r="C576" s="78"/>
      <c r="D576" s="45"/>
      <c r="E576" s="45"/>
      <c r="F576" s="45"/>
      <c r="G576" s="45"/>
    </row>
    <row r="577">
      <c r="A577" s="78"/>
      <c r="B577" s="78"/>
      <c r="C577" s="78"/>
      <c r="D577" s="45"/>
      <c r="E577" s="45"/>
      <c r="F577" s="45"/>
      <c r="G577" s="45"/>
    </row>
    <row r="578">
      <c r="A578" s="78"/>
      <c r="B578" s="78"/>
      <c r="C578" s="78"/>
      <c r="D578" s="45"/>
      <c r="E578" s="45"/>
      <c r="F578" s="45"/>
      <c r="G578" s="45"/>
    </row>
    <row r="579">
      <c r="A579" s="78"/>
      <c r="B579" s="78"/>
      <c r="C579" s="78"/>
      <c r="D579" s="45"/>
      <c r="E579" s="45"/>
      <c r="F579" s="45"/>
      <c r="G579" s="45"/>
    </row>
    <row r="580">
      <c r="A580" s="78"/>
      <c r="B580" s="78"/>
      <c r="C580" s="78"/>
      <c r="D580" s="45"/>
      <c r="E580" s="45"/>
      <c r="F580" s="45"/>
      <c r="G580" s="45"/>
    </row>
    <row r="581">
      <c r="A581" s="78"/>
      <c r="B581" s="78"/>
      <c r="C581" s="78"/>
      <c r="D581" s="45"/>
      <c r="E581" s="45"/>
      <c r="F581" s="45"/>
      <c r="G581" s="45"/>
    </row>
    <row r="582">
      <c r="A582" s="78"/>
      <c r="B582" s="78"/>
      <c r="C582" s="78"/>
      <c r="D582" s="45"/>
      <c r="E582" s="45"/>
      <c r="F582" s="45"/>
      <c r="G582" s="45"/>
    </row>
    <row r="583">
      <c r="A583" s="78"/>
      <c r="B583" s="78"/>
      <c r="C583" s="78"/>
      <c r="D583" s="45"/>
      <c r="E583" s="45"/>
      <c r="F583" s="45"/>
      <c r="G583" s="45"/>
    </row>
    <row r="584">
      <c r="A584" s="78"/>
      <c r="B584" s="78"/>
      <c r="C584" s="78"/>
      <c r="D584" s="45"/>
      <c r="E584" s="45"/>
      <c r="F584" s="45"/>
      <c r="G584" s="45"/>
    </row>
    <row r="585">
      <c r="A585" s="78"/>
      <c r="B585" s="78"/>
      <c r="C585" s="78"/>
      <c r="D585" s="45"/>
      <c r="E585" s="45"/>
      <c r="F585" s="45"/>
      <c r="G585" s="45"/>
    </row>
    <row r="586">
      <c r="A586" s="78"/>
      <c r="B586" s="78"/>
      <c r="C586" s="78"/>
      <c r="D586" s="45"/>
      <c r="E586" s="45"/>
      <c r="F586" s="45"/>
      <c r="G586" s="45"/>
    </row>
    <row r="587">
      <c r="A587" s="78"/>
      <c r="B587" s="78"/>
      <c r="C587" s="78"/>
      <c r="D587" s="45"/>
      <c r="E587" s="45"/>
      <c r="F587" s="45"/>
      <c r="G587" s="45"/>
    </row>
    <row r="588">
      <c r="A588" s="78"/>
      <c r="B588" s="78"/>
      <c r="C588" s="78"/>
      <c r="D588" s="45"/>
      <c r="E588" s="45"/>
      <c r="F588" s="45"/>
      <c r="G588" s="45"/>
    </row>
    <row r="589">
      <c r="A589" s="78"/>
      <c r="B589" s="78"/>
      <c r="C589" s="78"/>
      <c r="D589" s="45"/>
      <c r="E589" s="45"/>
      <c r="F589" s="45"/>
      <c r="G589" s="45"/>
    </row>
    <row r="590">
      <c r="A590" s="78"/>
      <c r="B590" s="78"/>
      <c r="C590" s="78"/>
      <c r="D590" s="45"/>
      <c r="E590" s="45"/>
      <c r="F590" s="45"/>
      <c r="G590" s="45"/>
    </row>
    <row r="591">
      <c r="A591" s="78"/>
      <c r="B591" s="78"/>
      <c r="C591" s="78"/>
      <c r="D591" s="45"/>
      <c r="E591" s="45"/>
      <c r="F591" s="45"/>
      <c r="G591" s="45"/>
    </row>
    <row r="592">
      <c r="A592" s="78"/>
      <c r="B592" s="78"/>
      <c r="C592" s="78"/>
      <c r="D592" s="45"/>
      <c r="E592" s="45"/>
      <c r="F592" s="45"/>
      <c r="G592" s="45"/>
    </row>
    <row r="593">
      <c r="A593" s="78"/>
      <c r="B593" s="78"/>
      <c r="C593" s="78"/>
      <c r="D593" s="45"/>
      <c r="E593" s="45"/>
      <c r="F593" s="45"/>
      <c r="G593" s="45"/>
    </row>
    <row r="594">
      <c r="A594" s="78"/>
      <c r="B594" s="78"/>
      <c r="C594" s="78"/>
      <c r="D594" s="45"/>
      <c r="E594" s="45"/>
      <c r="F594" s="45"/>
      <c r="G594" s="45"/>
    </row>
    <row r="595">
      <c r="A595" s="78"/>
      <c r="B595" s="78"/>
      <c r="C595" s="78"/>
      <c r="D595" s="45"/>
      <c r="E595" s="45"/>
      <c r="F595" s="45"/>
      <c r="G595" s="45"/>
    </row>
    <row r="596">
      <c r="A596" s="78"/>
      <c r="B596" s="78"/>
      <c r="C596" s="78"/>
      <c r="D596" s="45"/>
      <c r="E596" s="45"/>
      <c r="F596" s="45"/>
      <c r="G596" s="45"/>
    </row>
    <row r="597">
      <c r="A597" s="78"/>
      <c r="B597" s="78"/>
      <c r="C597" s="78"/>
      <c r="D597" s="45"/>
      <c r="E597" s="45"/>
      <c r="F597" s="45"/>
      <c r="G597" s="45"/>
    </row>
    <row r="598">
      <c r="A598" s="78"/>
      <c r="B598" s="78"/>
      <c r="C598" s="78"/>
      <c r="D598" s="45"/>
      <c r="E598" s="45"/>
      <c r="F598" s="45"/>
      <c r="G598" s="45"/>
    </row>
    <row r="599">
      <c r="A599" s="78"/>
      <c r="B599" s="78"/>
      <c r="C599" s="78"/>
      <c r="D599" s="45"/>
      <c r="E599" s="45"/>
      <c r="F599" s="45"/>
      <c r="G599" s="45"/>
    </row>
    <row r="600">
      <c r="A600" s="78"/>
      <c r="B600" s="78"/>
      <c r="C600" s="78"/>
      <c r="D600" s="45"/>
      <c r="E600" s="45"/>
      <c r="F600" s="45"/>
      <c r="G600" s="45"/>
    </row>
    <row r="601">
      <c r="A601" s="78"/>
      <c r="B601" s="78"/>
      <c r="C601" s="78"/>
      <c r="D601" s="45"/>
      <c r="E601" s="45"/>
      <c r="F601" s="45"/>
      <c r="G601" s="45"/>
    </row>
    <row r="602">
      <c r="A602" s="78"/>
      <c r="B602" s="78"/>
      <c r="C602" s="78"/>
      <c r="D602" s="45"/>
      <c r="E602" s="45"/>
      <c r="F602" s="45"/>
      <c r="G602" s="45"/>
    </row>
    <row r="603">
      <c r="A603" s="78"/>
      <c r="B603" s="78"/>
      <c r="C603" s="78"/>
      <c r="D603" s="45"/>
      <c r="E603" s="45"/>
      <c r="F603" s="45"/>
      <c r="G603" s="45"/>
    </row>
    <row r="604">
      <c r="A604" s="78"/>
      <c r="B604" s="78"/>
      <c r="C604" s="78"/>
      <c r="D604" s="45"/>
      <c r="E604" s="45"/>
      <c r="F604" s="45"/>
      <c r="G604" s="45"/>
    </row>
    <row r="605">
      <c r="A605" s="78"/>
      <c r="B605" s="78"/>
      <c r="C605" s="78"/>
      <c r="D605" s="45"/>
      <c r="E605" s="45"/>
      <c r="F605" s="45"/>
      <c r="G605" s="45"/>
    </row>
    <row r="606">
      <c r="A606" s="78"/>
      <c r="B606" s="78"/>
      <c r="C606" s="78"/>
      <c r="D606" s="45"/>
      <c r="E606" s="45"/>
      <c r="F606" s="45"/>
      <c r="G606" s="45"/>
    </row>
    <row r="607">
      <c r="A607" s="78"/>
      <c r="B607" s="78"/>
      <c r="C607" s="78"/>
      <c r="D607" s="45"/>
      <c r="E607" s="45"/>
      <c r="F607" s="45"/>
      <c r="G607" s="45"/>
    </row>
    <row r="608">
      <c r="A608" s="78"/>
      <c r="B608" s="78"/>
      <c r="C608" s="78"/>
      <c r="D608" s="45"/>
      <c r="E608" s="45"/>
      <c r="F608" s="45"/>
      <c r="G608" s="45"/>
    </row>
    <row r="609">
      <c r="A609" s="78"/>
      <c r="B609" s="78"/>
      <c r="C609" s="78"/>
      <c r="D609" s="45"/>
      <c r="E609" s="45"/>
      <c r="F609" s="45"/>
      <c r="G609" s="45"/>
    </row>
    <row r="610">
      <c r="A610" s="78"/>
      <c r="B610" s="78"/>
      <c r="C610" s="78"/>
      <c r="D610" s="45"/>
      <c r="E610" s="45"/>
      <c r="F610" s="45"/>
      <c r="G610" s="45"/>
    </row>
    <row r="611">
      <c r="A611" s="78"/>
      <c r="B611" s="78"/>
      <c r="C611" s="78"/>
      <c r="D611" s="45"/>
      <c r="E611" s="45"/>
      <c r="F611" s="45"/>
      <c r="G611" s="45"/>
    </row>
    <row r="612">
      <c r="A612" s="78"/>
      <c r="B612" s="78"/>
      <c r="C612" s="78"/>
      <c r="D612" s="45"/>
      <c r="E612" s="45"/>
      <c r="F612" s="45"/>
      <c r="G612" s="45"/>
    </row>
    <row r="613">
      <c r="A613" s="78"/>
      <c r="B613" s="78"/>
      <c r="C613" s="78"/>
      <c r="D613" s="45"/>
      <c r="E613" s="45"/>
      <c r="F613" s="45"/>
      <c r="G613" s="45"/>
    </row>
    <row r="614">
      <c r="A614" s="78"/>
      <c r="B614" s="78"/>
      <c r="C614" s="78"/>
      <c r="D614" s="45"/>
      <c r="E614" s="45"/>
      <c r="F614" s="45"/>
      <c r="G614" s="45"/>
    </row>
    <row r="615">
      <c r="A615" s="78"/>
      <c r="B615" s="78"/>
      <c r="C615" s="78"/>
      <c r="D615" s="45"/>
      <c r="E615" s="45"/>
      <c r="F615" s="45"/>
      <c r="G615" s="45"/>
    </row>
    <row r="616">
      <c r="A616" s="78"/>
      <c r="B616" s="78"/>
      <c r="C616" s="78"/>
      <c r="D616" s="45"/>
      <c r="E616" s="45"/>
      <c r="F616" s="45"/>
      <c r="G616" s="45"/>
    </row>
    <row r="617">
      <c r="A617" s="78"/>
      <c r="B617" s="78"/>
      <c r="C617" s="78"/>
      <c r="D617" s="45"/>
      <c r="E617" s="45"/>
      <c r="F617" s="45"/>
      <c r="G617" s="45"/>
    </row>
    <row r="618">
      <c r="A618" s="78"/>
      <c r="B618" s="78"/>
      <c r="C618" s="78"/>
      <c r="D618" s="45"/>
      <c r="E618" s="45"/>
      <c r="F618" s="45"/>
      <c r="G618" s="45"/>
    </row>
    <row r="619">
      <c r="A619" s="78"/>
      <c r="B619" s="78"/>
      <c r="C619" s="78"/>
      <c r="D619" s="45"/>
      <c r="E619" s="45"/>
      <c r="F619" s="45"/>
      <c r="G619" s="45"/>
    </row>
    <row r="620">
      <c r="A620" s="78"/>
      <c r="B620" s="78"/>
      <c r="C620" s="78"/>
      <c r="D620" s="45"/>
      <c r="E620" s="45"/>
      <c r="F620" s="45"/>
      <c r="G620" s="45"/>
    </row>
    <row r="621">
      <c r="A621" s="78"/>
      <c r="B621" s="78"/>
      <c r="C621" s="78"/>
      <c r="D621" s="45"/>
      <c r="E621" s="45"/>
      <c r="F621" s="45"/>
      <c r="G621" s="45"/>
    </row>
    <row r="622">
      <c r="A622" s="78"/>
      <c r="B622" s="78"/>
      <c r="C622" s="78"/>
      <c r="D622" s="45"/>
      <c r="E622" s="45"/>
      <c r="F622" s="45"/>
      <c r="G622" s="45"/>
    </row>
    <row r="623">
      <c r="A623" s="78"/>
      <c r="B623" s="78"/>
      <c r="C623" s="78"/>
      <c r="D623" s="45"/>
      <c r="E623" s="45"/>
      <c r="F623" s="45"/>
      <c r="G623" s="45"/>
    </row>
    <row r="624">
      <c r="A624" s="78"/>
      <c r="B624" s="78"/>
      <c r="C624" s="78"/>
      <c r="D624" s="45"/>
      <c r="E624" s="45"/>
      <c r="F624" s="45"/>
      <c r="G624" s="45"/>
    </row>
    <row r="625">
      <c r="A625" s="78"/>
      <c r="B625" s="78"/>
      <c r="C625" s="78"/>
      <c r="D625" s="45"/>
      <c r="E625" s="45"/>
      <c r="F625" s="45"/>
      <c r="G625" s="45"/>
    </row>
    <row r="626">
      <c r="A626" s="78"/>
      <c r="B626" s="78"/>
      <c r="C626" s="78"/>
      <c r="D626" s="45"/>
      <c r="E626" s="45"/>
      <c r="F626" s="45"/>
      <c r="G626" s="45"/>
    </row>
    <row r="627">
      <c r="A627" s="78"/>
      <c r="B627" s="78"/>
      <c r="C627" s="78"/>
      <c r="D627" s="45"/>
      <c r="E627" s="45"/>
      <c r="F627" s="45"/>
      <c r="G627" s="45"/>
    </row>
    <row r="628">
      <c r="A628" s="78"/>
      <c r="B628" s="78"/>
      <c r="C628" s="78"/>
      <c r="D628" s="45"/>
      <c r="E628" s="45"/>
      <c r="F628" s="45"/>
      <c r="G628" s="45"/>
    </row>
    <row r="629">
      <c r="A629" s="78"/>
      <c r="B629" s="78"/>
      <c r="C629" s="78"/>
      <c r="D629" s="45"/>
      <c r="E629" s="45"/>
      <c r="F629" s="45"/>
      <c r="G629" s="45"/>
    </row>
    <row r="630">
      <c r="A630" s="78"/>
      <c r="B630" s="78"/>
      <c r="C630" s="78"/>
      <c r="D630" s="45"/>
      <c r="E630" s="45"/>
      <c r="F630" s="45"/>
      <c r="G630" s="45"/>
    </row>
    <row r="631">
      <c r="A631" s="78"/>
      <c r="B631" s="78"/>
      <c r="C631" s="78"/>
      <c r="D631" s="45"/>
      <c r="E631" s="45"/>
      <c r="F631" s="45"/>
      <c r="G631" s="45"/>
    </row>
    <row r="632">
      <c r="A632" s="78"/>
      <c r="B632" s="78"/>
      <c r="C632" s="78"/>
      <c r="D632" s="45"/>
      <c r="E632" s="45"/>
      <c r="F632" s="45"/>
      <c r="G632" s="45"/>
    </row>
    <row r="633">
      <c r="A633" s="78"/>
      <c r="B633" s="78"/>
      <c r="C633" s="78"/>
      <c r="D633" s="45"/>
      <c r="E633" s="45"/>
      <c r="F633" s="45"/>
      <c r="G633" s="45"/>
    </row>
    <row r="634">
      <c r="A634" s="78"/>
      <c r="B634" s="78"/>
      <c r="C634" s="78"/>
      <c r="D634" s="45"/>
      <c r="E634" s="45"/>
      <c r="F634" s="45"/>
      <c r="G634" s="45"/>
    </row>
    <row r="635">
      <c r="A635" s="78"/>
      <c r="B635" s="78"/>
      <c r="C635" s="78"/>
      <c r="D635" s="45"/>
      <c r="E635" s="45"/>
      <c r="F635" s="45"/>
      <c r="G635" s="45"/>
    </row>
    <row r="636">
      <c r="A636" s="78"/>
      <c r="B636" s="78"/>
      <c r="C636" s="78"/>
      <c r="D636" s="45"/>
      <c r="E636" s="45"/>
      <c r="F636" s="45"/>
      <c r="G636" s="45"/>
    </row>
    <row r="637">
      <c r="A637" s="78"/>
      <c r="B637" s="78"/>
      <c r="C637" s="78"/>
      <c r="D637" s="45"/>
      <c r="E637" s="45"/>
      <c r="F637" s="45"/>
      <c r="G637" s="45"/>
    </row>
    <row r="638">
      <c r="A638" s="78"/>
      <c r="B638" s="78"/>
      <c r="C638" s="78"/>
      <c r="D638" s="45"/>
      <c r="E638" s="45"/>
      <c r="F638" s="45"/>
      <c r="G638" s="45"/>
    </row>
    <row r="639">
      <c r="A639" s="78"/>
      <c r="B639" s="78"/>
      <c r="C639" s="78"/>
      <c r="D639" s="45"/>
      <c r="E639" s="45"/>
      <c r="F639" s="45"/>
      <c r="G639" s="45"/>
    </row>
    <row r="640">
      <c r="A640" s="78"/>
      <c r="B640" s="78"/>
      <c r="C640" s="78"/>
      <c r="D640" s="45"/>
      <c r="E640" s="45"/>
      <c r="F640" s="45"/>
      <c r="G640" s="45"/>
    </row>
    <row r="641">
      <c r="A641" s="78"/>
      <c r="B641" s="78"/>
      <c r="C641" s="78"/>
      <c r="D641" s="45"/>
      <c r="E641" s="45"/>
      <c r="F641" s="45"/>
      <c r="G641" s="45"/>
    </row>
    <row r="642">
      <c r="A642" s="78"/>
      <c r="B642" s="78"/>
      <c r="C642" s="78"/>
      <c r="D642" s="45"/>
      <c r="E642" s="45"/>
      <c r="F642" s="45"/>
      <c r="G642" s="45"/>
    </row>
    <row r="643">
      <c r="A643" s="78"/>
      <c r="B643" s="78"/>
      <c r="C643" s="78"/>
      <c r="D643" s="45"/>
      <c r="E643" s="45"/>
      <c r="F643" s="45"/>
      <c r="G643" s="45"/>
    </row>
    <row r="644">
      <c r="A644" s="78"/>
      <c r="B644" s="78"/>
      <c r="C644" s="78"/>
      <c r="D644" s="45"/>
      <c r="E644" s="45"/>
      <c r="F644" s="45"/>
      <c r="G644" s="45"/>
    </row>
    <row r="645">
      <c r="A645" s="78"/>
      <c r="B645" s="78"/>
      <c r="C645" s="78"/>
      <c r="D645" s="45"/>
      <c r="E645" s="45"/>
      <c r="F645" s="45"/>
      <c r="G645" s="45"/>
    </row>
    <row r="646">
      <c r="A646" s="78"/>
      <c r="B646" s="78"/>
      <c r="C646" s="78"/>
      <c r="D646" s="45"/>
      <c r="E646" s="45"/>
      <c r="F646" s="45"/>
      <c r="G646" s="45"/>
    </row>
    <row r="647">
      <c r="A647" s="78"/>
      <c r="B647" s="78"/>
      <c r="C647" s="78"/>
      <c r="D647" s="45"/>
      <c r="E647" s="45"/>
      <c r="F647" s="45"/>
      <c r="G647" s="45"/>
    </row>
    <row r="648">
      <c r="A648" s="78"/>
      <c r="B648" s="78"/>
      <c r="C648" s="78"/>
      <c r="D648" s="45"/>
      <c r="E648" s="45"/>
      <c r="F648" s="45"/>
      <c r="G648" s="45"/>
    </row>
    <row r="649">
      <c r="A649" s="78"/>
      <c r="B649" s="78"/>
      <c r="C649" s="78"/>
      <c r="D649" s="45"/>
      <c r="E649" s="45"/>
      <c r="F649" s="45"/>
      <c r="G649" s="45"/>
    </row>
    <row r="650">
      <c r="A650" s="78"/>
      <c r="B650" s="78"/>
      <c r="C650" s="78"/>
      <c r="D650" s="45"/>
      <c r="E650" s="45"/>
      <c r="F650" s="45"/>
      <c r="G650" s="45"/>
    </row>
    <row r="651">
      <c r="A651" s="78"/>
      <c r="B651" s="78"/>
      <c r="C651" s="78"/>
      <c r="D651" s="45"/>
      <c r="E651" s="45"/>
      <c r="F651" s="45"/>
      <c r="G651" s="45"/>
    </row>
    <row r="652">
      <c r="A652" s="78"/>
      <c r="B652" s="78"/>
      <c r="C652" s="78"/>
      <c r="D652" s="45"/>
      <c r="E652" s="45"/>
      <c r="F652" s="45"/>
      <c r="G652" s="45"/>
    </row>
    <row r="653">
      <c r="A653" s="78"/>
      <c r="B653" s="78"/>
      <c r="C653" s="78"/>
      <c r="D653" s="45"/>
      <c r="E653" s="45"/>
      <c r="F653" s="45"/>
      <c r="G653" s="45"/>
    </row>
    <row r="654">
      <c r="A654" s="78"/>
      <c r="B654" s="78"/>
      <c r="C654" s="78"/>
      <c r="D654" s="45"/>
      <c r="E654" s="45"/>
      <c r="F654" s="45"/>
      <c r="G654" s="45"/>
    </row>
    <row r="655">
      <c r="A655" s="78"/>
      <c r="B655" s="78"/>
      <c r="C655" s="78"/>
      <c r="D655" s="45"/>
      <c r="E655" s="45"/>
      <c r="F655" s="45"/>
      <c r="G655" s="45"/>
    </row>
    <row r="656">
      <c r="A656" s="78"/>
      <c r="B656" s="78"/>
      <c r="C656" s="78"/>
      <c r="D656" s="45"/>
      <c r="E656" s="45"/>
      <c r="F656" s="45"/>
      <c r="G656" s="45"/>
    </row>
    <row r="657">
      <c r="A657" s="78"/>
      <c r="B657" s="78"/>
      <c r="C657" s="78"/>
      <c r="D657" s="45"/>
      <c r="E657" s="45"/>
      <c r="F657" s="45"/>
      <c r="G657" s="45"/>
    </row>
    <row r="658">
      <c r="A658" s="78"/>
      <c r="B658" s="78"/>
      <c r="C658" s="78"/>
      <c r="D658" s="45"/>
      <c r="E658" s="45"/>
      <c r="F658" s="45"/>
      <c r="G658" s="45"/>
    </row>
    <row r="659">
      <c r="A659" s="78"/>
      <c r="B659" s="78"/>
      <c r="C659" s="78"/>
      <c r="D659" s="45"/>
      <c r="E659" s="45"/>
      <c r="F659" s="45"/>
      <c r="G659" s="45"/>
    </row>
    <row r="660">
      <c r="A660" s="78"/>
      <c r="B660" s="78"/>
      <c r="C660" s="78"/>
      <c r="D660" s="45"/>
      <c r="E660" s="45"/>
      <c r="F660" s="45"/>
      <c r="G660" s="45"/>
    </row>
    <row r="661">
      <c r="A661" s="78"/>
      <c r="B661" s="78"/>
      <c r="C661" s="78"/>
      <c r="D661" s="45"/>
      <c r="E661" s="45"/>
      <c r="F661" s="45"/>
      <c r="G661" s="45"/>
    </row>
    <row r="662">
      <c r="A662" s="78"/>
      <c r="B662" s="78"/>
      <c r="C662" s="78"/>
      <c r="D662" s="45"/>
      <c r="E662" s="45"/>
      <c r="F662" s="45"/>
      <c r="G662" s="45"/>
    </row>
    <row r="663">
      <c r="A663" s="78"/>
      <c r="B663" s="78"/>
      <c r="C663" s="78"/>
      <c r="D663" s="45"/>
      <c r="E663" s="45"/>
      <c r="F663" s="45"/>
      <c r="G663" s="45"/>
    </row>
    <row r="664">
      <c r="A664" s="78"/>
      <c r="B664" s="78"/>
      <c r="C664" s="78"/>
      <c r="D664" s="45"/>
      <c r="E664" s="45"/>
      <c r="F664" s="45"/>
      <c r="G664" s="45"/>
    </row>
    <row r="665">
      <c r="A665" s="78"/>
      <c r="B665" s="78"/>
      <c r="C665" s="78"/>
      <c r="D665" s="45"/>
      <c r="E665" s="45"/>
      <c r="F665" s="45"/>
      <c r="G665" s="45"/>
    </row>
    <row r="666">
      <c r="A666" s="78"/>
      <c r="B666" s="78"/>
      <c r="C666" s="78"/>
      <c r="D666" s="45"/>
      <c r="E666" s="45"/>
      <c r="F666" s="45"/>
      <c r="G666" s="45"/>
    </row>
    <row r="667">
      <c r="A667" s="78"/>
      <c r="B667" s="78"/>
      <c r="C667" s="78"/>
      <c r="D667" s="45"/>
      <c r="E667" s="45"/>
      <c r="F667" s="45"/>
      <c r="G667" s="45"/>
    </row>
    <row r="668">
      <c r="A668" s="78"/>
      <c r="B668" s="78"/>
      <c r="C668" s="78"/>
      <c r="D668" s="45"/>
      <c r="E668" s="45"/>
      <c r="F668" s="45"/>
      <c r="G668" s="45"/>
    </row>
    <row r="669">
      <c r="A669" s="78"/>
      <c r="B669" s="78"/>
      <c r="C669" s="78"/>
      <c r="D669" s="45"/>
      <c r="E669" s="45"/>
      <c r="F669" s="45"/>
      <c r="G669" s="45"/>
    </row>
    <row r="670">
      <c r="A670" s="78"/>
      <c r="B670" s="78"/>
      <c r="C670" s="78"/>
      <c r="D670" s="45"/>
      <c r="E670" s="45"/>
      <c r="F670" s="45"/>
      <c r="G670" s="45"/>
    </row>
    <row r="671">
      <c r="A671" s="78"/>
      <c r="B671" s="78"/>
      <c r="C671" s="78"/>
      <c r="D671" s="45"/>
      <c r="E671" s="45"/>
      <c r="F671" s="45"/>
      <c r="G671" s="45"/>
    </row>
    <row r="672">
      <c r="A672" s="78"/>
      <c r="B672" s="78"/>
      <c r="C672" s="78"/>
      <c r="D672" s="45"/>
      <c r="E672" s="45"/>
      <c r="F672" s="45"/>
      <c r="G672" s="45"/>
    </row>
    <row r="673">
      <c r="A673" s="78"/>
      <c r="B673" s="78"/>
      <c r="C673" s="78"/>
      <c r="D673" s="45"/>
      <c r="E673" s="45"/>
      <c r="F673" s="45"/>
      <c r="G673" s="45"/>
    </row>
    <row r="674">
      <c r="A674" s="78"/>
      <c r="B674" s="78"/>
      <c r="C674" s="78"/>
      <c r="D674" s="45"/>
      <c r="E674" s="45"/>
      <c r="F674" s="45"/>
      <c r="G674" s="45"/>
    </row>
    <row r="675">
      <c r="A675" s="78"/>
      <c r="B675" s="78"/>
      <c r="C675" s="78"/>
      <c r="D675" s="45"/>
      <c r="E675" s="45"/>
      <c r="F675" s="45"/>
      <c r="G675" s="45"/>
    </row>
    <row r="676">
      <c r="A676" s="78"/>
      <c r="B676" s="78"/>
      <c r="C676" s="78"/>
      <c r="D676" s="45"/>
      <c r="E676" s="45"/>
      <c r="F676" s="45"/>
      <c r="G676" s="45"/>
    </row>
    <row r="677">
      <c r="A677" s="78"/>
      <c r="B677" s="78"/>
      <c r="C677" s="78"/>
      <c r="D677" s="45"/>
      <c r="E677" s="45"/>
      <c r="F677" s="45"/>
      <c r="G677" s="45"/>
    </row>
    <row r="678">
      <c r="A678" s="78"/>
      <c r="B678" s="78"/>
      <c r="C678" s="78"/>
      <c r="D678" s="45"/>
      <c r="E678" s="45"/>
      <c r="F678" s="45"/>
      <c r="G678" s="45"/>
    </row>
    <row r="679">
      <c r="A679" s="78"/>
      <c r="B679" s="78"/>
      <c r="C679" s="78"/>
      <c r="D679" s="45"/>
      <c r="E679" s="45"/>
      <c r="F679" s="45"/>
      <c r="G679" s="45"/>
    </row>
    <row r="680">
      <c r="A680" s="78"/>
      <c r="B680" s="78"/>
      <c r="C680" s="78"/>
      <c r="D680" s="45"/>
      <c r="E680" s="45"/>
      <c r="F680" s="45"/>
      <c r="G680" s="45"/>
    </row>
    <row r="681">
      <c r="A681" s="78"/>
      <c r="B681" s="78"/>
      <c r="C681" s="78"/>
      <c r="D681" s="45"/>
      <c r="E681" s="45"/>
      <c r="F681" s="45"/>
      <c r="G681" s="45"/>
    </row>
    <row r="682">
      <c r="A682" s="78"/>
      <c r="B682" s="78"/>
      <c r="C682" s="78"/>
      <c r="D682" s="45"/>
      <c r="E682" s="45"/>
      <c r="F682" s="45"/>
      <c r="G682" s="45"/>
    </row>
    <row r="683">
      <c r="A683" s="78"/>
      <c r="B683" s="78"/>
      <c r="C683" s="78"/>
      <c r="D683" s="45"/>
      <c r="E683" s="45"/>
      <c r="F683" s="45"/>
      <c r="G683" s="45"/>
    </row>
    <row r="684">
      <c r="A684" s="78"/>
      <c r="B684" s="78"/>
      <c r="C684" s="78"/>
      <c r="D684" s="45"/>
      <c r="E684" s="45"/>
      <c r="F684" s="45"/>
      <c r="G684" s="45"/>
    </row>
    <row r="685">
      <c r="A685" s="78"/>
      <c r="B685" s="78"/>
      <c r="C685" s="78"/>
      <c r="D685" s="45"/>
      <c r="E685" s="45"/>
      <c r="F685" s="45"/>
      <c r="G685" s="45"/>
    </row>
    <row r="686">
      <c r="A686" s="78"/>
      <c r="B686" s="78"/>
      <c r="C686" s="78"/>
      <c r="D686" s="45"/>
      <c r="E686" s="45"/>
      <c r="F686" s="45"/>
      <c r="G686" s="45"/>
    </row>
    <row r="687">
      <c r="A687" s="78"/>
      <c r="B687" s="78"/>
      <c r="C687" s="78"/>
      <c r="D687" s="45"/>
      <c r="E687" s="45"/>
      <c r="F687" s="45"/>
      <c r="G687" s="45"/>
    </row>
    <row r="688">
      <c r="A688" s="78"/>
      <c r="B688" s="78"/>
      <c r="C688" s="78"/>
      <c r="D688" s="45"/>
      <c r="E688" s="45"/>
      <c r="F688" s="45"/>
      <c r="G688" s="45"/>
    </row>
    <row r="689">
      <c r="A689" s="78"/>
      <c r="B689" s="78"/>
      <c r="C689" s="78"/>
      <c r="D689" s="45"/>
      <c r="E689" s="45"/>
      <c r="F689" s="45"/>
      <c r="G689" s="45"/>
    </row>
    <row r="690">
      <c r="A690" s="78"/>
      <c r="B690" s="78"/>
      <c r="C690" s="78"/>
      <c r="D690" s="45"/>
      <c r="E690" s="45"/>
      <c r="F690" s="45"/>
      <c r="G690" s="45"/>
    </row>
    <row r="691">
      <c r="A691" s="78"/>
      <c r="B691" s="78"/>
      <c r="C691" s="78"/>
      <c r="D691" s="45"/>
      <c r="E691" s="45"/>
      <c r="F691" s="45"/>
      <c r="G691" s="45"/>
    </row>
    <row r="692">
      <c r="A692" s="78"/>
      <c r="B692" s="78"/>
      <c r="C692" s="78"/>
      <c r="D692" s="45"/>
      <c r="E692" s="45"/>
      <c r="F692" s="45"/>
      <c r="G692" s="45"/>
    </row>
    <row r="693">
      <c r="A693" s="78"/>
      <c r="B693" s="78"/>
      <c r="C693" s="78"/>
      <c r="D693" s="45"/>
      <c r="E693" s="45"/>
      <c r="F693" s="45"/>
      <c r="G693" s="45"/>
    </row>
    <row r="694">
      <c r="A694" s="78"/>
      <c r="B694" s="78"/>
      <c r="C694" s="78"/>
      <c r="D694" s="45"/>
      <c r="E694" s="45"/>
      <c r="F694" s="45"/>
      <c r="G694" s="45"/>
    </row>
    <row r="695">
      <c r="A695" s="78"/>
      <c r="B695" s="78"/>
      <c r="C695" s="78"/>
      <c r="D695" s="45"/>
      <c r="E695" s="45"/>
      <c r="F695" s="45"/>
      <c r="G695" s="45"/>
    </row>
    <row r="696">
      <c r="A696" s="78"/>
      <c r="B696" s="78"/>
      <c r="C696" s="78"/>
      <c r="D696" s="45"/>
      <c r="E696" s="45"/>
      <c r="F696" s="45"/>
      <c r="G696" s="45"/>
    </row>
    <row r="697">
      <c r="A697" s="78"/>
      <c r="B697" s="78"/>
      <c r="C697" s="78"/>
      <c r="D697" s="45"/>
      <c r="E697" s="45"/>
      <c r="F697" s="45"/>
      <c r="G697" s="45"/>
    </row>
    <row r="698">
      <c r="A698" s="78"/>
      <c r="B698" s="78"/>
      <c r="C698" s="78"/>
      <c r="D698" s="45"/>
      <c r="E698" s="45"/>
      <c r="F698" s="45"/>
      <c r="G698" s="45"/>
    </row>
    <row r="699">
      <c r="A699" s="78"/>
      <c r="B699" s="78"/>
      <c r="C699" s="78"/>
      <c r="D699" s="45"/>
      <c r="E699" s="45"/>
      <c r="F699" s="45"/>
      <c r="G699" s="45"/>
    </row>
    <row r="700">
      <c r="A700" s="78"/>
      <c r="B700" s="78"/>
      <c r="C700" s="78"/>
      <c r="D700" s="45"/>
      <c r="E700" s="45"/>
      <c r="F700" s="45"/>
      <c r="G700" s="45"/>
    </row>
    <row r="701">
      <c r="A701" s="78"/>
      <c r="B701" s="78"/>
      <c r="C701" s="78"/>
      <c r="D701" s="45"/>
      <c r="E701" s="45"/>
      <c r="F701" s="45"/>
      <c r="G701" s="45"/>
    </row>
    <row r="702">
      <c r="A702" s="78"/>
      <c r="B702" s="78"/>
      <c r="C702" s="78"/>
      <c r="D702" s="45"/>
      <c r="E702" s="45"/>
      <c r="F702" s="45"/>
      <c r="G702" s="45"/>
    </row>
    <row r="703">
      <c r="A703" s="78"/>
      <c r="B703" s="78"/>
      <c r="C703" s="78"/>
      <c r="D703" s="45"/>
      <c r="E703" s="45"/>
      <c r="F703" s="45"/>
      <c r="G703" s="45"/>
    </row>
    <row r="704">
      <c r="A704" s="78"/>
      <c r="B704" s="78"/>
      <c r="C704" s="78"/>
      <c r="D704" s="45"/>
      <c r="E704" s="45"/>
      <c r="F704" s="45"/>
      <c r="G704" s="45"/>
    </row>
    <row r="705">
      <c r="A705" s="78"/>
      <c r="B705" s="78"/>
      <c r="C705" s="78"/>
      <c r="D705" s="45"/>
      <c r="E705" s="45"/>
      <c r="F705" s="45"/>
      <c r="G705" s="45"/>
    </row>
    <row r="706">
      <c r="A706" s="78"/>
      <c r="B706" s="78"/>
      <c r="C706" s="78"/>
      <c r="D706" s="45"/>
      <c r="E706" s="45"/>
      <c r="F706" s="45"/>
      <c r="G706" s="45"/>
    </row>
    <row r="707">
      <c r="A707" s="78"/>
      <c r="B707" s="78"/>
      <c r="C707" s="78"/>
      <c r="D707" s="45"/>
      <c r="E707" s="45"/>
      <c r="F707" s="45"/>
      <c r="G707" s="45"/>
    </row>
    <row r="708">
      <c r="A708" s="78"/>
      <c r="B708" s="78"/>
      <c r="C708" s="78"/>
      <c r="D708" s="45"/>
      <c r="E708" s="45"/>
      <c r="F708" s="45"/>
      <c r="G708" s="45"/>
    </row>
    <row r="709">
      <c r="A709" s="78"/>
      <c r="B709" s="78"/>
      <c r="C709" s="78"/>
      <c r="D709" s="45"/>
      <c r="E709" s="45"/>
      <c r="F709" s="45"/>
      <c r="G709" s="45"/>
    </row>
    <row r="710">
      <c r="A710" s="78"/>
      <c r="B710" s="78"/>
      <c r="C710" s="78"/>
      <c r="D710" s="45"/>
      <c r="E710" s="45"/>
      <c r="F710" s="45"/>
      <c r="G710" s="45"/>
    </row>
    <row r="711">
      <c r="A711" s="78"/>
      <c r="B711" s="78"/>
      <c r="C711" s="78"/>
      <c r="D711" s="45"/>
      <c r="E711" s="45"/>
      <c r="F711" s="45"/>
      <c r="G711" s="45"/>
    </row>
    <row r="712">
      <c r="A712" s="78"/>
      <c r="B712" s="78"/>
      <c r="C712" s="78"/>
      <c r="D712" s="45"/>
      <c r="E712" s="45"/>
      <c r="F712" s="45"/>
      <c r="G712" s="45"/>
    </row>
    <row r="713">
      <c r="A713" s="78"/>
      <c r="B713" s="78"/>
      <c r="C713" s="78"/>
      <c r="D713" s="45"/>
      <c r="E713" s="45"/>
      <c r="F713" s="45"/>
      <c r="G713" s="45"/>
    </row>
    <row r="714">
      <c r="A714" s="78"/>
      <c r="B714" s="78"/>
      <c r="C714" s="78"/>
      <c r="D714" s="45"/>
      <c r="E714" s="45"/>
      <c r="F714" s="45"/>
      <c r="G714" s="45"/>
    </row>
    <row r="715">
      <c r="A715" s="78"/>
      <c r="B715" s="78"/>
      <c r="C715" s="78"/>
      <c r="D715" s="45"/>
      <c r="E715" s="45"/>
      <c r="F715" s="45"/>
      <c r="G715" s="45"/>
    </row>
    <row r="716">
      <c r="A716" s="78"/>
      <c r="B716" s="78"/>
      <c r="C716" s="78"/>
      <c r="D716" s="45"/>
      <c r="E716" s="45"/>
      <c r="F716" s="45"/>
      <c r="G716" s="45"/>
    </row>
    <row r="717">
      <c r="A717" s="78"/>
      <c r="B717" s="78"/>
      <c r="C717" s="78"/>
      <c r="D717" s="45"/>
      <c r="E717" s="45"/>
      <c r="F717" s="45"/>
      <c r="G717" s="45"/>
    </row>
    <row r="718">
      <c r="A718" s="78"/>
      <c r="B718" s="78"/>
      <c r="C718" s="78"/>
      <c r="D718" s="45"/>
      <c r="E718" s="45"/>
      <c r="F718" s="45"/>
      <c r="G718" s="45"/>
    </row>
    <row r="719">
      <c r="A719" s="78"/>
      <c r="B719" s="78"/>
      <c r="C719" s="78"/>
      <c r="D719" s="45"/>
      <c r="E719" s="45"/>
      <c r="F719" s="45"/>
      <c r="G719" s="45"/>
    </row>
    <row r="720">
      <c r="A720" s="78"/>
      <c r="B720" s="78"/>
      <c r="C720" s="78"/>
      <c r="D720" s="45"/>
      <c r="E720" s="45"/>
      <c r="F720" s="45"/>
      <c r="G720" s="45"/>
    </row>
    <row r="721">
      <c r="A721" s="78"/>
      <c r="B721" s="78"/>
      <c r="C721" s="78"/>
      <c r="D721" s="45"/>
      <c r="E721" s="45"/>
      <c r="F721" s="45"/>
      <c r="G721" s="45"/>
    </row>
    <row r="722">
      <c r="A722" s="78"/>
      <c r="B722" s="78"/>
      <c r="C722" s="78"/>
      <c r="D722" s="45"/>
      <c r="E722" s="45"/>
      <c r="F722" s="45"/>
      <c r="G722" s="45"/>
    </row>
    <row r="723">
      <c r="A723" s="78"/>
      <c r="B723" s="78"/>
      <c r="C723" s="78"/>
      <c r="D723" s="45"/>
      <c r="E723" s="45"/>
      <c r="F723" s="45"/>
      <c r="G723" s="45"/>
    </row>
    <row r="724">
      <c r="A724" s="78"/>
      <c r="B724" s="78"/>
      <c r="C724" s="78"/>
      <c r="D724" s="45"/>
      <c r="E724" s="45"/>
      <c r="F724" s="45"/>
      <c r="G724" s="45"/>
    </row>
    <row r="725">
      <c r="A725" s="78"/>
      <c r="B725" s="78"/>
      <c r="C725" s="78"/>
      <c r="D725" s="45"/>
      <c r="E725" s="45"/>
      <c r="F725" s="45"/>
      <c r="G725" s="45"/>
    </row>
    <row r="726">
      <c r="A726" s="78"/>
      <c r="B726" s="78"/>
      <c r="C726" s="78"/>
      <c r="D726" s="45"/>
      <c r="E726" s="45"/>
      <c r="F726" s="45"/>
      <c r="G726" s="45"/>
    </row>
    <row r="727">
      <c r="A727" s="78"/>
      <c r="B727" s="78"/>
      <c r="C727" s="78"/>
      <c r="D727" s="45"/>
      <c r="E727" s="45"/>
      <c r="F727" s="45"/>
      <c r="G727" s="45"/>
    </row>
    <row r="728">
      <c r="A728" s="78"/>
      <c r="B728" s="78"/>
      <c r="C728" s="78"/>
      <c r="D728" s="45"/>
      <c r="E728" s="45"/>
      <c r="F728" s="45"/>
      <c r="G728" s="45"/>
    </row>
    <row r="729">
      <c r="A729" s="78"/>
      <c r="B729" s="78"/>
      <c r="C729" s="78"/>
      <c r="D729" s="45"/>
      <c r="E729" s="45"/>
      <c r="F729" s="45"/>
      <c r="G729" s="45"/>
    </row>
    <row r="730">
      <c r="A730" s="78"/>
      <c r="B730" s="78"/>
      <c r="C730" s="78"/>
      <c r="D730" s="45"/>
      <c r="E730" s="45"/>
      <c r="F730" s="45"/>
      <c r="G730" s="45"/>
    </row>
    <row r="731">
      <c r="A731" s="78"/>
      <c r="B731" s="78"/>
      <c r="C731" s="78"/>
      <c r="D731" s="45"/>
      <c r="E731" s="45"/>
      <c r="F731" s="45"/>
      <c r="G731" s="45"/>
    </row>
    <row r="732">
      <c r="A732" s="78"/>
      <c r="B732" s="78"/>
      <c r="C732" s="78"/>
      <c r="D732" s="45"/>
      <c r="E732" s="45"/>
      <c r="F732" s="45"/>
      <c r="G732" s="45"/>
    </row>
    <row r="733">
      <c r="A733" s="78"/>
      <c r="B733" s="78"/>
      <c r="C733" s="78"/>
      <c r="D733" s="45"/>
      <c r="E733" s="45"/>
      <c r="F733" s="45"/>
      <c r="G733" s="45"/>
    </row>
    <row r="734">
      <c r="A734" s="78"/>
      <c r="B734" s="78"/>
      <c r="C734" s="78"/>
      <c r="D734" s="45"/>
      <c r="E734" s="45"/>
      <c r="F734" s="45"/>
      <c r="G734" s="45"/>
    </row>
    <row r="735">
      <c r="A735" s="78"/>
      <c r="B735" s="78"/>
      <c r="C735" s="78"/>
      <c r="D735" s="45"/>
      <c r="E735" s="45"/>
      <c r="F735" s="45"/>
      <c r="G735" s="45"/>
    </row>
    <row r="736">
      <c r="A736" s="78"/>
      <c r="B736" s="78"/>
      <c r="C736" s="78"/>
      <c r="D736" s="45"/>
      <c r="E736" s="45"/>
      <c r="F736" s="45"/>
      <c r="G736" s="45"/>
    </row>
    <row r="737">
      <c r="A737" s="78"/>
      <c r="B737" s="78"/>
      <c r="C737" s="78"/>
      <c r="D737" s="45"/>
      <c r="E737" s="45"/>
      <c r="F737" s="45"/>
      <c r="G737" s="45"/>
    </row>
    <row r="738">
      <c r="A738" s="78"/>
      <c r="B738" s="78"/>
      <c r="C738" s="78"/>
      <c r="D738" s="45"/>
      <c r="E738" s="45"/>
      <c r="F738" s="45"/>
      <c r="G738" s="45"/>
    </row>
    <row r="739">
      <c r="A739" s="78"/>
      <c r="B739" s="78"/>
      <c r="C739" s="78"/>
      <c r="D739" s="45"/>
      <c r="E739" s="45"/>
      <c r="F739" s="45"/>
      <c r="G739" s="45"/>
    </row>
    <row r="740">
      <c r="A740" s="78"/>
      <c r="B740" s="78"/>
      <c r="C740" s="78"/>
      <c r="D740" s="45"/>
      <c r="E740" s="45"/>
      <c r="F740" s="45"/>
      <c r="G740" s="45"/>
    </row>
    <row r="741">
      <c r="A741" s="78"/>
      <c r="B741" s="78"/>
      <c r="C741" s="78"/>
      <c r="D741" s="45"/>
      <c r="E741" s="45"/>
      <c r="F741" s="45"/>
      <c r="G741" s="45"/>
    </row>
    <row r="742">
      <c r="A742" s="78"/>
      <c r="B742" s="78"/>
      <c r="C742" s="78"/>
      <c r="D742" s="45"/>
      <c r="E742" s="45"/>
      <c r="F742" s="45"/>
      <c r="G742" s="45"/>
    </row>
    <row r="743">
      <c r="A743" s="78"/>
      <c r="B743" s="78"/>
      <c r="C743" s="78"/>
      <c r="D743" s="45"/>
      <c r="E743" s="45"/>
      <c r="F743" s="45"/>
      <c r="G743" s="45"/>
    </row>
    <row r="744">
      <c r="A744" s="78"/>
      <c r="B744" s="78"/>
      <c r="C744" s="78"/>
      <c r="D744" s="45"/>
      <c r="E744" s="45"/>
      <c r="F744" s="45"/>
      <c r="G744" s="45"/>
    </row>
    <row r="745">
      <c r="A745" s="78"/>
      <c r="B745" s="78"/>
      <c r="C745" s="78"/>
      <c r="D745" s="45"/>
      <c r="E745" s="45"/>
      <c r="F745" s="45"/>
      <c r="G745" s="45"/>
    </row>
    <row r="746">
      <c r="A746" s="78"/>
      <c r="B746" s="78"/>
      <c r="C746" s="78"/>
      <c r="D746" s="45"/>
      <c r="E746" s="45"/>
      <c r="F746" s="45"/>
      <c r="G746" s="45"/>
    </row>
    <row r="747">
      <c r="A747" s="78"/>
      <c r="B747" s="78"/>
      <c r="C747" s="78"/>
      <c r="D747" s="45"/>
      <c r="E747" s="45"/>
      <c r="F747" s="45"/>
      <c r="G747" s="45"/>
    </row>
    <row r="748">
      <c r="A748" s="78"/>
      <c r="B748" s="78"/>
      <c r="C748" s="78"/>
      <c r="D748" s="45"/>
      <c r="E748" s="45"/>
      <c r="F748" s="45"/>
      <c r="G748" s="45"/>
    </row>
    <row r="749">
      <c r="A749" s="78"/>
      <c r="B749" s="78"/>
      <c r="C749" s="78"/>
      <c r="D749" s="45"/>
      <c r="E749" s="45"/>
      <c r="F749" s="45"/>
      <c r="G749" s="45"/>
    </row>
    <row r="750">
      <c r="A750" s="78"/>
      <c r="B750" s="78"/>
      <c r="C750" s="78"/>
      <c r="D750" s="45"/>
      <c r="E750" s="45"/>
      <c r="F750" s="45"/>
      <c r="G750" s="45"/>
    </row>
    <row r="751">
      <c r="A751" s="78"/>
      <c r="B751" s="78"/>
      <c r="C751" s="78"/>
      <c r="D751" s="45"/>
      <c r="E751" s="45"/>
      <c r="F751" s="45"/>
      <c r="G751" s="45"/>
    </row>
    <row r="752">
      <c r="A752" s="78"/>
      <c r="B752" s="78"/>
      <c r="C752" s="78"/>
      <c r="D752" s="45"/>
      <c r="E752" s="45"/>
      <c r="F752" s="45"/>
      <c r="G752" s="45"/>
    </row>
    <row r="753">
      <c r="A753" s="78"/>
      <c r="B753" s="78"/>
      <c r="C753" s="78"/>
      <c r="D753" s="45"/>
      <c r="E753" s="45"/>
      <c r="F753" s="45"/>
      <c r="G753" s="45"/>
    </row>
    <row r="754">
      <c r="A754" s="78"/>
      <c r="B754" s="78"/>
      <c r="C754" s="78"/>
      <c r="D754" s="45"/>
      <c r="E754" s="45"/>
      <c r="F754" s="45"/>
      <c r="G754" s="45"/>
    </row>
    <row r="755">
      <c r="A755" s="78"/>
      <c r="B755" s="78"/>
      <c r="C755" s="78"/>
      <c r="D755" s="45"/>
      <c r="E755" s="45"/>
      <c r="F755" s="45"/>
      <c r="G755" s="45"/>
    </row>
    <row r="756">
      <c r="A756" s="78"/>
      <c r="B756" s="78"/>
      <c r="C756" s="78"/>
      <c r="D756" s="45"/>
      <c r="E756" s="45"/>
      <c r="F756" s="45"/>
      <c r="G756" s="45"/>
    </row>
    <row r="757">
      <c r="A757" s="78"/>
      <c r="B757" s="78"/>
      <c r="C757" s="78"/>
      <c r="D757" s="45"/>
      <c r="E757" s="45"/>
      <c r="F757" s="45"/>
      <c r="G757" s="45"/>
    </row>
    <row r="758">
      <c r="A758" s="78"/>
      <c r="B758" s="78"/>
      <c r="C758" s="78"/>
      <c r="D758" s="45"/>
      <c r="E758" s="45"/>
      <c r="F758" s="45"/>
      <c r="G758" s="45"/>
    </row>
    <row r="759">
      <c r="A759" s="78"/>
      <c r="B759" s="78"/>
      <c r="C759" s="78"/>
      <c r="D759" s="45"/>
      <c r="E759" s="45"/>
      <c r="F759" s="45"/>
      <c r="G759" s="45"/>
    </row>
    <row r="760">
      <c r="A760" s="78"/>
      <c r="B760" s="78"/>
      <c r="C760" s="78"/>
      <c r="D760" s="45"/>
      <c r="E760" s="45"/>
      <c r="F760" s="45"/>
      <c r="G760" s="45"/>
    </row>
    <row r="761">
      <c r="A761" s="78"/>
      <c r="B761" s="78"/>
      <c r="C761" s="78"/>
      <c r="D761" s="45"/>
      <c r="E761" s="45"/>
      <c r="F761" s="45"/>
      <c r="G761" s="45"/>
    </row>
    <row r="762">
      <c r="A762" s="78"/>
      <c r="B762" s="78"/>
      <c r="C762" s="78"/>
      <c r="D762" s="45"/>
      <c r="E762" s="45"/>
      <c r="F762" s="45"/>
      <c r="G762" s="45"/>
    </row>
    <row r="763">
      <c r="A763" s="78"/>
      <c r="B763" s="78"/>
      <c r="C763" s="78"/>
      <c r="D763" s="45"/>
      <c r="E763" s="45"/>
      <c r="F763" s="45"/>
      <c r="G763" s="45"/>
    </row>
    <row r="764">
      <c r="A764" s="78"/>
      <c r="B764" s="78"/>
      <c r="C764" s="78"/>
      <c r="D764" s="45"/>
      <c r="E764" s="45"/>
      <c r="F764" s="45"/>
      <c r="G764" s="45"/>
    </row>
    <row r="765">
      <c r="A765" s="78"/>
      <c r="B765" s="78"/>
      <c r="C765" s="78"/>
      <c r="D765" s="45"/>
      <c r="E765" s="45"/>
      <c r="F765" s="45"/>
      <c r="G765" s="45"/>
    </row>
    <row r="766">
      <c r="A766" s="78"/>
      <c r="B766" s="78"/>
      <c r="C766" s="78"/>
      <c r="D766" s="45"/>
      <c r="E766" s="45"/>
      <c r="F766" s="45"/>
      <c r="G766" s="45"/>
    </row>
    <row r="767">
      <c r="A767" s="78"/>
      <c r="B767" s="78"/>
      <c r="C767" s="78"/>
      <c r="D767" s="45"/>
      <c r="E767" s="45"/>
      <c r="F767" s="45"/>
      <c r="G767" s="45"/>
    </row>
    <row r="768">
      <c r="A768" s="78"/>
      <c r="B768" s="78"/>
      <c r="C768" s="78"/>
      <c r="D768" s="45"/>
      <c r="E768" s="45"/>
      <c r="F768" s="45"/>
      <c r="G768" s="45"/>
    </row>
    <row r="769">
      <c r="A769" s="78"/>
      <c r="B769" s="78"/>
      <c r="C769" s="78"/>
      <c r="D769" s="45"/>
      <c r="E769" s="45"/>
      <c r="F769" s="45"/>
      <c r="G769" s="45"/>
    </row>
    <row r="770">
      <c r="A770" s="78"/>
      <c r="B770" s="78"/>
      <c r="C770" s="78"/>
      <c r="D770" s="45"/>
      <c r="E770" s="45"/>
      <c r="F770" s="45"/>
      <c r="G770" s="45"/>
    </row>
    <row r="771">
      <c r="A771" s="78"/>
      <c r="B771" s="78"/>
      <c r="C771" s="78"/>
      <c r="D771" s="45"/>
      <c r="E771" s="45"/>
      <c r="F771" s="45"/>
      <c r="G771" s="45"/>
    </row>
    <row r="772">
      <c r="A772" s="78"/>
      <c r="B772" s="78"/>
      <c r="C772" s="78"/>
      <c r="D772" s="45"/>
      <c r="E772" s="45"/>
      <c r="F772" s="45"/>
      <c r="G772" s="45"/>
    </row>
    <row r="773">
      <c r="A773" s="78"/>
      <c r="B773" s="78"/>
      <c r="C773" s="78"/>
      <c r="D773" s="45"/>
      <c r="E773" s="45"/>
      <c r="F773" s="45"/>
      <c r="G773" s="45"/>
    </row>
    <row r="774">
      <c r="A774" s="78"/>
      <c r="B774" s="78"/>
      <c r="C774" s="78"/>
      <c r="D774" s="45"/>
      <c r="E774" s="45"/>
      <c r="F774" s="45"/>
      <c r="G774" s="45"/>
    </row>
    <row r="775">
      <c r="A775" s="78"/>
      <c r="B775" s="78"/>
      <c r="C775" s="78"/>
      <c r="D775" s="45"/>
      <c r="E775" s="45"/>
      <c r="F775" s="45"/>
      <c r="G775" s="45"/>
    </row>
    <row r="776">
      <c r="A776" s="78"/>
      <c r="B776" s="78"/>
      <c r="C776" s="78"/>
      <c r="D776" s="45"/>
      <c r="E776" s="45"/>
      <c r="F776" s="45"/>
      <c r="G776" s="45"/>
    </row>
    <row r="777">
      <c r="A777" s="78"/>
      <c r="B777" s="78"/>
      <c r="C777" s="78"/>
      <c r="D777" s="45"/>
      <c r="E777" s="45"/>
      <c r="F777" s="45"/>
      <c r="G777" s="45"/>
    </row>
    <row r="778">
      <c r="A778" s="78"/>
      <c r="B778" s="78"/>
      <c r="C778" s="78"/>
      <c r="D778" s="45"/>
      <c r="E778" s="45"/>
      <c r="F778" s="45"/>
      <c r="G778" s="45"/>
    </row>
    <row r="779">
      <c r="A779" s="78"/>
      <c r="B779" s="78"/>
      <c r="C779" s="78"/>
      <c r="D779" s="45"/>
      <c r="E779" s="45"/>
      <c r="F779" s="45"/>
      <c r="G779" s="45"/>
    </row>
    <row r="780">
      <c r="A780" s="78"/>
      <c r="B780" s="78"/>
      <c r="C780" s="78"/>
      <c r="D780" s="45"/>
      <c r="E780" s="45"/>
      <c r="F780" s="45"/>
      <c r="G780" s="45"/>
    </row>
    <row r="781">
      <c r="A781" s="78"/>
      <c r="B781" s="78"/>
      <c r="C781" s="78"/>
      <c r="D781" s="45"/>
      <c r="E781" s="45"/>
      <c r="F781" s="45"/>
      <c r="G781" s="45"/>
    </row>
    <row r="782">
      <c r="A782" s="78"/>
      <c r="B782" s="78"/>
      <c r="C782" s="78"/>
      <c r="D782" s="45"/>
      <c r="E782" s="45"/>
      <c r="F782" s="45"/>
      <c r="G782" s="45"/>
    </row>
    <row r="783">
      <c r="A783" s="78"/>
      <c r="B783" s="78"/>
      <c r="C783" s="78"/>
      <c r="D783" s="45"/>
      <c r="E783" s="45"/>
      <c r="F783" s="45"/>
      <c r="G783" s="45"/>
    </row>
    <row r="784">
      <c r="A784" s="78"/>
      <c r="B784" s="78"/>
      <c r="C784" s="78"/>
      <c r="D784" s="45"/>
      <c r="E784" s="45"/>
      <c r="F784" s="45"/>
      <c r="G784" s="45"/>
    </row>
    <row r="785">
      <c r="A785" s="78"/>
      <c r="B785" s="78"/>
      <c r="C785" s="78"/>
      <c r="D785" s="45"/>
      <c r="E785" s="45"/>
      <c r="F785" s="45"/>
      <c r="G785" s="45"/>
    </row>
    <row r="786">
      <c r="A786" s="78"/>
      <c r="B786" s="78"/>
      <c r="C786" s="78"/>
      <c r="D786" s="45"/>
      <c r="E786" s="45"/>
      <c r="F786" s="45"/>
      <c r="G786" s="45"/>
    </row>
    <row r="787">
      <c r="A787" s="78"/>
      <c r="B787" s="78"/>
      <c r="C787" s="78"/>
      <c r="D787" s="45"/>
      <c r="E787" s="45"/>
      <c r="F787" s="45"/>
      <c r="G787" s="45"/>
    </row>
    <row r="788">
      <c r="A788" s="78"/>
      <c r="B788" s="78"/>
      <c r="C788" s="78"/>
      <c r="D788" s="45"/>
      <c r="E788" s="45"/>
      <c r="F788" s="45"/>
      <c r="G788" s="45"/>
    </row>
    <row r="789">
      <c r="A789" s="78"/>
      <c r="B789" s="78"/>
      <c r="C789" s="78"/>
      <c r="D789" s="45"/>
      <c r="E789" s="45"/>
      <c r="F789" s="45"/>
      <c r="G789" s="45"/>
    </row>
    <row r="790">
      <c r="A790" s="78"/>
      <c r="B790" s="78"/>
      <c r="C790" s="78"/>
      <c r="D790" s="45"/>
      <c r="E790" s="45"/>
      <c r="F790" s="45"/>
      <c r="G790" s="45"/>
    </row>
    <row r="791">
      <c r="A791" s="78"/>
      <c r="B791" s="78"/>
      <c r="C791" s="78"/>
      <c r="D791" s="45"/>
      <c r="E791" s="45"/>
      <c r="F791" s="45"/>
      <c r="G791" s="45"/>
    </row>
    <row r="792">
      <c r="A792" s="78"/>
      <c r="B792" s="78"/>
      <c r="C792" s="78"/>
      <c r="D792" s="45"/>
      <c r="E792" s="45"/>
      <c r="F792" s="45"/>
      <c r="G792" s="45"/>
    </row>
    <row r="793">
      <c r="A793" s="78"/>
      <c r="B793" s="78"/>
      <c r="C793" s="78"/>
      <c r="D793" s="45"/>
      <c r="E793" s="45"/>
      <c r="F793" s="45"/>
      <c r="G793" s="45"/>
    </row>
    <row r="794">
      <c r="A794" s="78"/>
      <c r="B794" s="78"/>
      <c r="C794" s="78"/>
      <c r="D794" s="45"/>
      <c r="E794" s="45"/>
      <c r="F794" s="45"/>
      <c r="G794" s="45"/>
    </row>
    <row r="795">
      <c r="A795" s="78"/>
      <c r="B795" s="78"/>
      <c r="C795" s="78"/>
      <c r="D795" s="45"/>
      <c r="E795" s="45"/>
      <c r="F795" s="45"/>
      <c r="G795" s="45"/>
    </row>
    <row r="796">
      <c r="A796" s="78"/>
      <c r="B796" s="78"/>
      <c r="C796" s="78"/>
      <c r="D796" s="45"/>
      <c r="E796" s="45"/>
      <c r="F796" s="45"/>
      <c r="G796" s="45"/>
    </row>
    <row r="797">
      <c r="A797" s="78"/>
      <c r="B797" s="78"/>
      <c r="C797" s="78"/>
      <c r="D797" s="45"/>
      <c r="E797" s="45"/>
      <c r="F797" s="45"/>
      <c r="G797" s="45"/>
    </row>
    <row r="798">
      <c r="A798" s="78"/>
      <c r="B798" s="78"/>
      <c r="C798" s="78"/>
      <c r="D798" s="45"/>
      <c r="E798" s="45"/>
      <c r="F798" s="45"/>
      <c r="G798" s="45"/>
    </row>
    <row r="799">
      <c r="A799" s="78"/>
      <c r="B799" s="78"/>
      <c r="C799" s="78"/>
      <c r="D799" s="45"/>
      <c r="E799" s="45"/>
      <c r="F799" s="45"/>
      <c r="G799" s="45"/>
    </row>
    <row r="800">
      <c r="A800" s="78"/>
      <c r="B800" s="78"/>
      <c r="C800" s="78"/>
      <c r="D800" s="45"/>
      <c r="E800" s="45"/>
      <c r="F800" s="45"/>
      <c r="G800" s="45"/>
    </row>
    <row r="801">
      <c r="A801" s="78"/>
      <c r="B801" s="78"/>
      <c r="C801" s="78"/>
      <c r="D801" s="45"/>
      <c r="E801" s="45"/>
      <c r="F801" s="45"/>
      <c r="G801" s="45"/>
    </row>
    <row r="802">
      <c r="A802" s="78"/>
      <c r="B802" s="78"/>
      <c r="C802" s="78"/>
      <c r="D802" s="45"/>
      <c r="E802" s="45"/>
      <c r="F802" s="45"/>
      <c r="G802" s="45"/>
    </row>
    <row r="803">
      <c r="A803" s="78"/>
      <c r="B803" s="78"/>
      <c r="C803" s="78"/>
      <c r="D803" s="45"/>
      <c r="E803" s="45"/>
      <c r="F803" s="45"/>
      <c r="G803" s="45"/>
    </row>
    <row r="804">
      <c r="A804" s="78"/>
      <c r="B804" s="78"/>
      <c r="C804" s="78"/>
      <c r="D804" s="45"/>
      <c r="E804" s="45"/>
      <c r="F804" s="45"/>
      <c r="G804" s="45"/>
    </row>
    <row r="805">
      <c r="A805" s="78"/>
      <c r="B805" s="78"/>
      <c r="C805" s="78"/>
      <c r="D805" s="45"/>
      <c r="E805" s="45"/>
      <c r="F805" s="45"/>
      <c r="G805" s="45"/>
    </row>
    <row r="806">
      <c r="A806" s="78"/>
      <c r="B806" s="78"/>
      <c r="C806" s="78"/>
      <c r="D806" s="45"/>
      <c r="E806" s="45"/>
      <c r="F806" s="45"/>
      <c r="G806" s="45"/>
    </row>
    <row r="807">
      <c r="A807" s="78"/>
      <c r="B807" s="78"/>
      <c r="C807" s="78"/>
      <c r="D807" s="45"/>
      <c r="E807" s="45"/>
      <c r="F807" s="45"/>
      <c r="G807" s="45"/>
    </row>
    <row r="808">
      <c r="A808" s="78"/>
      <c r="B808" s="78"/>
      <c r="C808" s="78"/>
      <c r="D808" s="45"/>
      <c r="E808" s="45"/>
      <c r="F808" s="45"/>
      <c r="G808" s="45"/>
    </row>
    <row r="809">
      <c r="A809" s="78"/>
      <c r="B809" s="78"/>
      <c r="C809" s="78"/>
      <c r="D809" s="45"/>
      <c r="E809" s="45"/>
      <c r="F809" s="45"/>
      <c r="G809" s="45"/>
    </row>
    <row r="810">
      <c r="A810" s="78"/>
      <c r="B810" s="78"/>
      <c r="C810" s="78"/>
      <c r="D810" s="45"/>
      <c r="E810" s="45"/>
      <c r="F810" s="45"/>
      <c r="G810" s="45"/>
    </row>
    <row r="811">
      <c r="A811" s="78"/>
      <c r="B811" s="78"/>
      <c r="C811" s="78"/>
      <c r="D811" s="45"/>
      <c r="E811" s="45"/>
      <c r="F811" s="45"/>
      <c r="G811" s="45"/>
    </row>
    <row r="812">
      <c r="A812" s="78"/>
      <c r="B812" s="78"/>
      <c r="C812" s="78"/>
      <c r="D812" s="45"/>
      <c r="E812" s="45"/>
      <c r="F812" s="45"/>
      <c r="G812" s="45"/>
    </row>
    <row r="813">
      <c r="A813" s="78"/>
      <c r="B813" s="78"/>
      <c r="C813" s="78"/>
      <c r="D813" s="45"/>
      <c r="E813" s="45"/>
      <c r="F813" s="45"/>
      <c r="G813" s="45"/>
    </row>
    <row r="814">
      <c r="A814" s="78"/>
      <c r="B814" s="78"/>
      <c r="C814" s="78"/>
      <c r="D814" s="45"/>
      <c r="E814" s="45"/>
      <c r="F814" s="45"/>
      <c r="G814" s="45"/>
    </row>
    <row r="815">
      <c r="A815" s="78"/>
      <c r="B815" s="78"/>
      <c r="C815" s="78"/>
      <c r="D815" s="45"/>
      <c r="E815" s="45"/>
      <c r="F815" s="45"/>
      <c r="G815" s="45"/>
    </row>
    <row r="816">
      <c r="A816" s="78"/>
      <c r="B816" s="78"/>
      <c r="C816" s="78"/>
      <c r="D816" s="45"/>
      <c r="E816" s="45"/>
      <c r="F816" s="45"/>
      <c r="G816" s="45"/>
    </row>
    <row r="817">
      <c r="A817" s="78"/>
      <c r="B817" s="78"/>
      <c r="C817" s="78"/>
      <c r="D817" s="45"/>
      <c r="E817" s="45"/>
      <c r="F817" s="45"/>
      <c r="G817" s="45"/>
    </row>
    <row r="818">
      <c r="A818" s="78"/>
      <c r="B818" s="78"/>
      <c r="C818" s="78"/>
      <c r="D818" s="45"/>
      <c r="E818" s="45"/>
      <c r="F818" s="45"/>
      <c r="G818" s="45"/>
    </row>
    <row r="819">
      <c r="A819" s="78"/>
      <c r="B819" s="78"/>
      <c r="C819" s="78"/>
      <c r="D819" s="45"/>
      <c r="E819" s="45"/>
      <c r="F819" s="45"/>
      <c r="G819" s="45"/>
    </row>
    <row r="820">
      <c r="A820" s="78"/>
      <c r="B820" s="78"/>
      <c r="C820" s="78"/>
      <c r="D820" s="45"/>
      <c r="E820" s="45"/>
      <c r="F820" s="45"/>
      <c r="G820" s="45"/>
    </row>
    <row r="821">
      <c r="A821" s="78"/>
      <c r="B821" s="78"/>
      <c r="C821" s="78"/>
      <c r="D821" s="45"/>
      <c r="E821" s="45"/>
      <c r="F821" s="45"/>
      <c r="G821" s="45"/>
    </row>
    <row r="822">
      <c r="A822" s="78"/>
      <c r="B822" s="78"/>
      <c r="C822" s="78"/>
      <c r="D822" s="45"/>
      <c r="E822" s="45"/>
      <c r="F822" s="45"/>
      <c r="G822" s="45"/>
    </row>
    <row r="823">
      <c r="A823" s="78"/>
      <c r="B823" s="78"/>
      <c r="C823" s="78"/>
      <c r="D823" s="45"/>
      <c r="E823" s="45"/>
      <c r="F823" s="45"/>
      <c r="G823" s="45"/>
    </row>
    <row r="824">
      <c r="A824" s="78"/>
      <c r="B824" s="78"/>
      <c r="C824" s="78"/>
      <c r="D824" s="45"/>
      <c r="E824" s="45"/>
      <c r="F824" s="45"/>
      <c r="G824" s="45"/>
    </row>
    <row r="825">
      <c r="A825" s="78"/>
      <c r="B825" s="78"/>
      <c r="C825" s="78"/>
      <c r="D825" s="45"/>
      <c r="E825" s="45"/>
      <c r="F825" s="45"/>
      <c r="G825" s="45"/>
    </row>
    <row r="826">
      <c r="A826" s="78"/>
      <c r="B826" s="78"/>
      <c r="C826" s="78"/>
      <c r="D826" s="45"/>
      <c r="E826" s="45"/>
      <c r="F826" s="45"/>
      <c r="G826" s="45"/>
    </row>
    <row r="827">
      <c r="A827" s="78"/>
      <c r="B827" s="78"/>
      <c r="C827" s="78"/>
      <c r="D827" s="45"/>
      <c r="E827" s="45"/>
      <c r="F827" s="45"/>
      <c r="G827" s="45"/>
    </row>
    <row r="828">
      <c r="A828" s="78"/>
      <c r="B828" s="78"/>
      <c r="C828" s="78"/>
      <c r="D828" s="45"/>
      <c r="E828" s="45"/>
      <c r="F828" s="45"/>
      <c r="G828" s="45"/>
    </row>
    <row r="829">
      <c r="A829" s="78"/>
      <c r="B829" s="78"/>
      <c r="C829" s="78"/>
      <c r="D829" s="45"/>
      <c r="E829" s="45"/>
      <c r="F829" s="45"/>
      <c r="G829" s="45"/>
    </row>
    <row r="830">
      <c r="A830" s="78"/>
      <c r="B830" s="78"/>
      <c r="C830" s="78"/>
      <c r="D830" s="45"/>
      <c r="E830" s="45"/>
      <c r="F830" s="45"/>
      <c r="G830" s="45"/>
    </row>
    <row r="831">
      <c r="A831" s="78"/>
      <c r="B831" s="78"/>
      <c r="C831" s="78"/>
      <c r="D831" s="45"/>
      <c r="E831" s="45"/>
      <c r="F831" s="45"/>
      <c r="G831" s="45"/>
    </row>
    <row r="832">
      <c r="A832" s="78"/>
      <c r="B832" s="78"/>
      <c r="C832" s="78"/>
      <c r="D832" s="45"/>
      <c r="E832" s="45"/>
      <c r="F832" s="45"/>
      <c r="G832" s="45"/>
    </row>
    <row r="833">
      <c r="A833" s="78"/>
      <c r="B833" s="78"/>
      <c r="C833" s="78"/>
      <c r="D833" s="45"/>
      <c r="E833" s="45"/>
      <c r="F833" s="45"/>
      <c r="G833" s="45"/>
    </row>
    <row r="834">
      <c r="A834" s="78"/>
      <c r="B834" s="78"/>
      <c r="C834" s="78"/>
      <c r="D834" s="45"/>
      <c r="E834" s="45"/>
      <c r="F834" s="45"/>
      <c r="G834" s="45"/>
    </row>
    <row r="835">
      <c r="A835" s="78"/>
      <c r="B835" s="78"/>
      <c r="C835" s="78"/>
      <c r="D835" s="45"/>
      <c r="E835" s="45"/>
      <c r="F835" s="45"/>
      <c r="G835" s="45"/>
    </row>
    <row r="836">
      <c r="A836" s="78"/>
      <c r="B836" s="78"/>
      <c r="C836" s="78"/>
      <c r="D836" s="45"/>
      <c r="E836" s="45"/>
      <c r="F836" s="45"/>
      <c r="G836" s="45"/>
    </row>
    <row r="837">
      <c r="A837" s="78"/>
      <c r="B837" s="78"/>
      <c r="C837" s="78"/>
      <c r="D837" s="45"/>
      <c r="E837" s="45"/>
      <c r="F837" s="45"/>
      <c r="G837" s="45"/>
    </row>
    <row r="838">
      <c r="A838" s="78"/>
      <c r="B838" s="78"/>
      <c r="C838" s="78"/>
      <c r="D838" s="45"/>
      <c r="E838" s="45"/>
      <c r="F838" s="45"/>
      <c r="G838" s="45"/>
    </row>
    <row r="839">
      <c r="A839" s="78"/>
      <c r="B839" s="78"/>
      <c r="C839" s="78"/>
      <c r="D839" s="45"/>
      <c r="E839" s="45"/>
      <c r="F839" s="45"/>
      <c r="G839" s="45"/>
    </row>
    <row r="840">
      <c r="A840" s="78"/>
      <c r="B840" s="78"/>
      <c r="C840" s="78"/>
      <c r="D840" s="45"/>
      <c r="E840" s="45"/>
      <c r="F840" s="45"/>
      <c r="G840" s="45"/>
    </row>
    <row r="841">
      <c r="A841" s="78"/>
      <c r="B841" s="78"/>
      <c r="C841" s="78"/>
      <c r="D841" s="45"/>
      <c r="E841" s="45"/>
      <c r="F841" s="45"/>
      <c r="G841" s="45"/>
    </row>
    <row r="842">
      <c r="A842" s="78"/>
      <c r="B842" s="78"/>
      <c r="C842" s="78"/>
      <c r="D842" s="45"/>
      <c r="E842" s="45"/>
      <c r="F842" s="45"/>
      <c r="G842" s="45"/>
    </row>
    <row r="843">
      <c r="A843" s="78"/>
      <c r="B843" s="78"/>
      <c r="C843" s="78"/>
      <c r="D843" s="45"/>
      <c r="E843" s="45"/>
      <c r="F843" s="45"/>
      <c r="G843" s="45"/>
    </row>
    <row r="844">
      <c r="A844" s="78"/>
      <c r="B844" s="78"/>
      <c r="C844" s="78"/>
      <c r="D844" s="45"/>
      <c r="E844" s="45"/>
      <c r="F844" s="45"/>
      <c r="G844" s="45"/>
    </row>
    <row r="845">
      <c r="A845" s="78"/>
      <c r="B845" s="78"/>
      <c r="C845" s="78"/>
      <c r="D845" s="45"/>
      <c r="E845" s="45"/>
      <c r="F845" s="45"/>
      <c r="G845" s="45"/>
    </row>
    <row r="846">
      <c r="A846" s="78"/>
      <c r="B846" s="78"/>
      <c r="C846" s="78"/>
      <c r="D846" s="45"/>
      <c r="E846" s="45"/>
      <c r="F846" s="45"/>
      <c r="G846" s="45"/>
    </row>
    <row r="847">
      <c r="A847" s="78"/>
      <c r="B847" s="78"/>
      <c r="C847" s="78"/>
      <c r="D847" s="45"/>
      <c r="E847" s="45"/>
      <c r="F847" s="45"/>
      <c r="G847" s="45"/>
    </row>
    <row r="848">
      <c r="A848" s="78"/>
      <c r="B848" s="78"/>
      <c r="C848" s="78"/>
      <c r="D848" s="45"/>
      <c r="E848" s="45"/>
      <c r="F848" s="45"/>
      <c r="G848" s="45"/>
    </row>
    <row r="849">
      <c r="A849" s="78"/>
      <c r="B849" s="78"/>
      <c r="C849" s="78"/>
      <c r="D849" s="45"/>
      <c r="E849" s="45"/>
      <c r="F849" s="45"/>
      <c r="G849" s="45"/>
    </row>
    <row r="850">
      <c r="A850" s="78"/>
      <c r="B850" s="78"/>
      <c r="C850" s="78"/>
      <c r="D850" s="45"/>
      <c r="E850" s="45"/>
      <c r="F850" s="45"/>
      <c r="G850" s="45"/>
    </row>
    <row r="851">
      <c r="A851" s="78"/>
      <c r="B851" s="78"/>
      <c r="C851" s="78"/>
      <c r="D851" s="45"/>
      <c r="E851" s="45"/>
      <c r="F851" s="45"/>
      <c r="G851" s="45"/>
    </row>
    <row r="852">
      <c r="A852" s="78"/>
      <c r="B852" s="78"/>
      <c r="C852" s="78"/>
      <c r="D852" s="45"/>
      <c r="E852" s="45"/>
      <c r="F852" s="45"/>
      <c r="G852" s="45"/>
    </row>
    <row r="853">
      <c r="A853" s="78"/>
      <c r="B853" s="78"/>
      <c r="C853" s="78"/>
      <c r="D853" s="45"/>
      <c r="E853" s="45"/>
      <c r="F853" s="45"/>
      <c r="G853" s="45"/>
    </row>
    <row r="854">
      <c r="A854" s="78"/>
      <c r="B854" s="78"/>
      <c r="C854" s="78"/>
      <c r="D854" s="45"/>
      <c r="E854" s="45"/>
      <c r="F854" s="45"/>
      <c r="G854" s="45"/>
    </row>
    <row r="855">
      <c r="A855" s="78"/>
      <c r="B855" s="78"/>
      <c r="C855" s="78"/>
      <c r="D855" s="45"/>
      <c r="E855" s="45"/>
      <c r="F855" s="45"/>
      <c r="G855" s="45"/>
    </row>
    <row r="856">
      <c r="A856" s="78"/>
      <c r="B856" s="78"/>
      <c r="C856" s="78"/>
      <c r="D856" s="45"/>
      <c r="E856" s="45"/>
      <c r="F856" s="45"/>
      <c r="G856" s="45"/>
    </row>
    <row r="857">
      <c r="A857" s="78"/>
      <c r="B857" s="78"/>
      <c r="C857" s="78"/>
      <c r="D857" s="45"/>
      <c r="E857" s="45"/>
      <c r="F857" s="45"/>
      <c r="G857" s="45"/>
    </row>
    <row r="858">
      <c r="A858" s="78"/>
      <c r="B858" s="78"/>
      <c r="C858" s="78"/>
      <c r="D858" s="45"/>
      <c r="E858" s="45"/>
      <c r="F858" s="45"/>
      <c r="G858" s="45"/>
    </row>
    <row r="859">
      <c r="A859" s="78"/>
      <c r="B859" s="78"/>
      <c r="C859" s="78"/>
      <c r="D859" s="45"/>
      <c r="E859" s="45"/>
      <c r="F859" s="45"/>
      <c r="G859" s="45"/>
    </row>
    <row r="860">
      <c r="A860" s="78"/>
      <c r="B860" s="78"/>
      <c r="C860" s="78"/>
      <c r="D860" s="45"/>
      <c r="E860" s="45"/>
      <c r="F860" s="45"/>
      <c r="G860" s="45"/>
    </row>
    <row r="861">
      <c r="A861" s="78"/>
      <c r="B861" s="78"/>
      <c r="C861" s="78"/>
      <c r="D861" s="45"/>
      <c r="E861" s="45"/>
      <c r="F861" s="45"/>
      <c r="G861" s="45"/>
    </row>
    <row r="862">
      <c r="A862" s="78"/>
      <c r="B862" s="78"/>
      <c r="C862" s="78"/>
      <c r="D862" s="45"/>
      <c r="E862" s="45"/>
      <c r="F862" s="45"/>
      <c r="G862" s="45"/>
    </row>
    <row r="863">
      <c r="A863" s="78"/>
      <c r="B863" s="78"/>
      <c r="C863" s="78"/>
      <c r="D863" s="45"/>
      <c r="E863" s="45"/>
      <c r="F863" s="45"/>
      <c r="G863" s="45"/>
    </row>
    <row r="864">
      <c r="A864" s="78"/>
      <c r="B864" s="78"/>
      <c r="C864" s="78"/>
      <c r="D864" s="45"/>
      <c r="E864" s="45"/>
      <c r="F864" s="45"/>
      <c r="G864" s="45"/>
    </row>
    <row r="865">
      <c r="A865" s="78"/>
      <c r="B865" s="78"/>
      <c r="C865" s="78"/>
      <c r="D865" s="45"/>
      <c r="E865" s="45"/>
      <c r="F865" s="45"/>
      <c r="G865" s="45"/>
    </row>
    <row r="866">
      <c r="A866" s="78"/>
      <c r="B866" s="78"/>
      <c r="C866" s="78"/>
      <c r="D866" s="45"/>
      <c r="E866" s="45"/>
      <c r="F866" s="45"/>
      <c r="G866" s="45"/>
    </row>
    <row r="867">
      <c r="A867" s="78"/>
      <c r="B867" s="78"/>
      <c r="C867" s="78"/>
      <c r="D867" s="45"/>
      <c r="E867" s="45"/>
      <c r="F867" s="45"/>
      <c r="G867" s="45"/>
    </row>
    <row r="868">
      <c r="A868" s="78"/>
      <c r="B868" s="78"/>
      <c r="C868" s="78"/>
      <c r="D868" s="45"/>
      <c r="E868" s="45"/>
      <c r="F868" s="45"/>
      <c r="G868" s="45"/>
    </row>
    <row r="869">
      <c r="A869" s="78"/>
      <c r="B869" s="78"/>
      <c r="C869" s="78"/>
      <c r="D869" s="45"/>
      <c r="E869" s="45"/>
      <c r="F869" s="45"/>
      <c r="G869" s="45"/>
    </row>
    <row r="870">
      <c r="A870" s="78"/>
      <c r="B870" s="78"/>
      <c r="C870" s="78"/>
      <c r="D870" s="45"/>
      <c r="E870" s="45"/>
      <c r="F870" s="45"/>
      <c r="G870" s="45"/>
    </row>
    <row r="871">
      <c r="A871" s="78"/>
      <c r="B871" s="78"/>
      <c r="C871" s="78"/>
      <c r="D871" s="45"/>
      <c r="E871" s="45"/>
      <c r="F871" s="45"/>
      <c r="G871" s="45"/>
    </row>
    <row r="872">
      <c r="A872" s="78"/>
      <c r="B872" s="78"/>
      <c r="C872" s="78"/>
      <c r="D872" s="45"/>
      <c r="E872" s="45"/>
      <c r="F872" s="45"/>
      <c r="G872" s="45"/>
    </row>
    <row r="873">
      <c r="A873" s="78"/>
      <c r="B873" s="78"/>
      <c r="C873" s="78"/>
      <c r="D873" s="45"/>
      <c r="E873" s="45"/>
      <c r="F873" s="45"/>
      <c r="G873" s="45"/>
    </row>
    <row r="874">
      <c r="A874" s="78"/>
      <c r="B874" s="78"/>
      <c r="C874" s="78"/>
      <c r="D874" s="45"/>
      <c r="E874" s="45"/>
      <c r="F874" s="45"/>
      <c r="G874" s="45"/>
    </row>
    <row r="875">
      <c r="A875" s="78"/>
      <c r="B875" s="78"/>
      <c r="C875" s="78"/>
      <c r="D875" s="45"/>
      <c r="E875" s="45"/>
      <c r="F875" s="45"/>
      <c r="G875" s="45"/>
    </row>
    <row r="876">
      <c r="A876" s="78"/>
      <c r="B876" s="78"/>
      <c r="C876" s="78"/>
      <c r="D876" s="45"/>
      <c r="E876" s="45"/>
      <c r="F876" s="45"/>
      <c r="G876" s="45"/>
    </row>
    <row r="877">
      <c r="A877" s="78"/>
      <c r="B877" s="78"/>
      <c r="C877" s="78"/>
      <c r="D877" s="45"/>
      <c r="E877" s="45"/>
      <c r="F877" s="45"/>
      <c r="G877" s="45"/>
    </row>
    <row r="878">
      <c r="A878" s="78"/>
      <c r="B878" s="78"/>
      <c r="C878" s="78"/>
      <c r="D878" s="45"/>
      <c r="E878" s="45"/>
      <c r="F878" s="45"/>
      <c r="G878" s="45"/>
    </row>
    <row r="879">
      <c r="A879" s="78"/>
      <c r="B879" s="78"/>
      <c r="C879" s="78"/>
      <c r="D879" s="45"/>
      <c r="E879" s="45"/>
      <c r="F879" s="45"/>
      <c r="G879" s="45"/>
    </row>
    <row r="880">
      <c r="A880" s="78"/>
      <c r="B880" s="78"/>
      <c r="C880" s="78"/>
      <c r="D880" s="45"/>
      <c r="E880" s="45"/>
      <c r="F880" s="45"/>
      <c r="G880" s="45"/>
    </row>
    <row r="881">
      <c r="A881" s="78"/>
      <c r="B881" s="78"/>
      <c r="C881" s="78"/>
      <c r="D881" s="45"/>
      <c r="E881" s="45"/>
      <c r="F881" s="45"/>
      <c r="G881" s="45"/>
    </row>
    <row r="882">
      <c r="A882" s="78"/>
      <c r="B882" s="78"/>
      <c r="C882" s="78"/>
      <c r="D882" s="45"/>
      <c r="E882" s="45"/>
      <c r="F882" s="45"/>
      <c r="G882" s="45"/>
    </row>
    <row r="883">
      <c r="A883" s="78"/>
      <c r="B883" s="78"/>
      <c r="C883" s="78"/>
      <c r="D883" s="45"/>
      <c r="E883" s="45"/>
      <c r="F883" s="45"/>
      <c r="G883" s="45"/>
    </row>
    <row r="884">
      <c r="A884" s="78"/>
      <c r="B884" s="78"/>
      <c r="C884" s="78"/>
      <c r="D884" s="45"/>
      <c r="E884" s="45"/>
      <c r="F884" s="45"/>
      <c r="G884" s="45"/>
    </row>
    <row r="885">
      <c r="A885" s="78"/>
      <c r="B885" s="78"/>
      <c r="C885" s="78"/>
      <c r="D885" s="45"/>
      <c r="E885" s="45"/>
      <c r="F885" s="45"/>
      <c r="G885" s="45"/>
    </row>
    <row r="886">
      <c r="A886" s="78"/>
      <c r="B886" s="78"/>
      <c r="C886" s="78"/>
      <c r="D886" s="45"/>
      <c r="E886" s="45"/>
      <c r="F886" s="45"/>
      <c r="G886" s="45"/>
    </row>
    <row r="887">
      <c r="A887" s="78"/>
      <c r="B887" s="78"/>
      <c r="C887" s="78"/>
      <c r="D887" s="45"/>
      <c r="E887" s="45"/>
      <c r="F887" s="45"/>
      <c r="G887" s="45"/>
    </row>
    <row r="888">
      <c r="A888" s="78"/>
      <c r="B888" s="78"/>
      <c r="C888" s="78"/>
      <c r="D888" s="45"/>
      <c r="E888" s="45"/>
      <c r="F888" s="45"/>
      <c r="G888" s="45"/>
    </row>
    <row r="889">
      <c r="A889" s="78"/>
      <c r="B889" s="78"/>
      <c r="C889" s="78"/>
      <c r="D889" s="45"/>
      <c r="E889" s="45"/>
      <c r="F889" s="45"/>
      <c r="G889" s="45"/>
    </row>
    <row r="890">
      <c r="A890" s="78"/>
      <c r="B890" s="78"/>
      <c r="C890" s="78"/>
      <c r="D890" s="45"/>
      <c r="E890" s="45"/>
      <c r="F890" s="45"/>
      <c r="G890" s="45"/>
    </row>
    <row r="891">
      <c r="A891" s="78"/>
      <c r="B891" s="78"/>
      <c r="C891" s="78"/>
      <c r="D891" s="45"/>
      <c r="E891" s="45"/>
      <c r="F891" s="45"/>
      <c r="G891" s="45"/>
    </row>
    <row r="892">
      <c r="A892" s="78"/>
      <c r="B892" s="78"/>
      <c r="C892" s="78"/>
      <c r="D892" s="45"/>
      <c r="E892" s="45"/>
      <c r="F892" s="45"/>
      <c r="G892" s="45"/>
    </row>
    <row r="893">
      <c r="A893" s="78"/>
      <c r="B893" s="78"/>
      <c r="C893" s="78"/>
      <c r="D893" s="45"/>
      <c r="E893" s="45"/>
      <c r="F893" s="45"/>
      <c r="G893" s="45"/>
    </row>
    <row r="894">
      <c r="A894" s="78"/>
      <c r="B894" s="78"/>
      <c r="C894" s="78"/>
      <c r="D894" s="45"/>
      <c r="E894" s="45"/>
      <c r="F894" s="45"/>
      <c r="G894" s="45"/>
    </row>
    <row r="895">
      <c r="A895" s="78"/>
      <c r="B895" s="78"/>
      <c r="C895" s="78"/>
      <c r="D895" s="45"/>
      <c r="E895" s="45"/>
      <c r="F895" s="45"/>
      <c r="G895" s="45"/>
    </row>
    <row r="896">
      <c r="A896" s="78"/>
      <c r="B896" s="78"/>
      <c r="C896" s="78"/>
      <c r="D896" s="45"/>
      <c r="E896" s="45"/>
      <c r="F896" s="45"/>
      <c r="G896" s="45"/>
    </row>
    <row r="897">
      <c r="A897" s="78"/>
      <c r="B897" s="78"/>
      <c r="C897" s="78"/>
      <c r="D897" s="45"/>
      <c r="E897" s="45"/>
      <c r="F897" s="45"/>
      <c r="G897" s="45"/>
    </row>
    <row r="898">
      <c r="A898" s="78"/>
      <c r="B898" s="78"/>
      <c r="C898" s="78"/>
      <c r="D898" s="45"/>
      <c r="E898" s="45"/>
      <c r="F898" s="45"/>
      <c r="G898" s="45"/>
    </row>
    <row r="899">
      <c r="A899" s="78"/>
      <c r="B899" s="78"/>
      <c r="C899" s="78"/>
      <c r="D899" s="45"/>
      <c r="E899" s="45"/>
      <c r="F899" s="45"/>
      <c r="G899" s="45"/>
    </row>
    <row r="900">
      <c r="A900" s="78"/>
      <c r="B900" s="78"/>
      <c r="C900" s="78"/>
      <c r="D900" s="45"/>
      <c r="E900" s="45"/>
      <c r="F900" s="45"/>
      <c r="G900" s="45"/>
    </row>
    <row r="901">
      <c r="A901" s="78"/>
      <c r="B901" s="78"/>
      <c r="C901" s="78"/>
      <c r="D901" s="45"/>
      <c r="E901" s="45"/>
      <c r="F901" s="45"/>
      <c r="G901" s="45"/>
    </row>
    <row r="902">
      <c r="A902" s="78"/>
      <c r="B902" s="78"/>
      <c r="C902" s="78"/>
      <c r="D902" s="45"/>
      <c r="E902" s="45"/>
      <c r="F902" s="45"/>
      <c r="G902" s="45"/>
    </row>
    <row r="903">
      <c r="A903" s="78"/>
      <c r="B903" s="78"/>
      <c r="C903" s="78"/>
      <c r="D903" s="45"/>
      <c r="E903" s="45"/>
      <c r="F903" s="45"/>
      <c r="G903" s="45"/>
    </row>
    <row r="904">
      <c r="A904" s="78"/>
      <c r="B904" s="78"/>
      <c r="C904" s="78"/>
      <c r="D904" s="45"/>
      <c r="E904" s="45"/>
      <c r="F904" s="45"/>
      <c r="G904" s="45"/>
    </row>
    <row r="905">
      <c r="A905" s="78"/>
      <c r="B905" s="78"/>
      <c r="C905" s="78"/>
      <c r="D905" s="45"/>
      <c r="E905" s="45"/>
      <c r="F905" s="45"/>
      <c r="G905" s="45"/>
    </row>
    <row r="906">
      <c r="A906" s="78"/>
      <c r="B906" s="78"/>
      <c r="C906" s="78"/>
      <c r="D906" s="45"/>
      <c r="E906" s="45"/>
      <c r="F906" s="45"/>
      <c r="G906" s="45"/>
    </row>
    <row r="907">
      <c r="A907" s="78"/>
      <c r="B907" s="78"/>
      <c r="C907" s="78"/>
      <c r="D907" s="45"/>
      <c r="E907" s="45"/>
      <c r="F907" s="45"/>
      <c r="G907" s="45"/>
    </row>
    <row r="908">
      <c r="A908" s="78"/>
      <c r="B908" s="78"/>
      <c r="C908" s="78"/>
      <c r="D908" s="45"/>
      <c r="E908" s="45"/>
      <c r="F908" s="45"/>
      <c r="G908" s="45"/>
    </row>
    <row r="909">
      <c r="A909" s="78"/>
      <c r="B909" s="78"/>
      <c r="C909" s="78"/>
      <c r="D909" s="45"/>
      <c r="E909" s="45"/>
      <c r="F909" s="45"/>
      <c r="G909" s="45"/>
    </row>
    <row r="910">
      <c r="A910" s="78"/>
      <c r="B910" s="78"/>
      <c r="C910" s="78"/>
      <c r="D910" s="45"/>
      <c r="E910" s="45"/>
      <c r="F910" s="45"/>
      <c r="G910" s="45"/>
    </row>
    <row r="911">
      <c r="A911" s="78"/>
      <c r="B911" s="78"/>
      <c r="C911" s="78"/>
      <c r="D911" s="45"/>
      <c r="E911" s="45"/>
      <c r="F911" s="45"/>
      <c r="G911" s="45"/>
    </row>
    <row r="912">
      <c r="A912" s="78"/>
      <c r="B912" s="78"/>
      <c r="C912" s="78"/>
      <c r="D912" s="45"/>
      <c r="E912" s="45"/>
      <c r="F912" s="45"/>
      <c r="G912" s="45"/>
    </row>
    <row r="913">
      <c r="A913" s="78"/>
      <c r="B913" s="78"/>
      <c r="C913" s="78"/>
      <c r="D913" s="45"/>
      <c r="E913" s="45"/>
      <c r="F913" s="45"/>
      <c r="G913" s="45"/>
    </row>
    <row r="914">
      <c r="A914" s="78"/>
      <c r="B914" s="78"/>
      <c r="C914" s="78"/>
      <c r="D914" s="45"/>
      <c r="E914" s="45"/>
      <c r="F914" s="45"/>
      <c r="G914" s="45"/>
    </row>
    <row r="915">
      <c r="A915" s="78"/>
      <c r="B915" s="78"/>
      <c r="C915" s="78"/>
      <c r="D915" s="45"/>
      <c r="E915" s="45"/>
      <c r="F915" s="45"/>
      <c r="G915" s="45"/>
    </row>
    <row r="916">
      <c r="A916" s="78"/>
      <c r="B916" s="78"/>
      <c r="C916" s="78"/>
      <c r="D916" s="45"/>
      <c r="E916" s="45"/>
      <c r="F916" s="45"/>
      <c r="G916" s="45"/>
    </row>
    <row r="917">
      <c r="A917" s="78"/>
      <c r="B917" s="78"/>
      <c r="C917" s="78"/>
      <c r="D917" s="45"/>
      <c r="E917" s="45"/>
      <c r="F917" s="45"/>
      <c r="G917" s="45"/>
    </row>
    <row r="918">
      <c r="A918" s="78"/>
      <c r="B918" s="78"/>
      <c r="C918" s="78"/>
      <c r="D918" s="45"/>
      <c r="E918" s="45"/>
      <c r="F918" s="45"/>
      <c r="G918" s="45"/>
    </row>
    <row r="919">
      <c r="A919" s="78"/>
      <c r="B919" s="78"/>
      <c r="C919" s="78"/>
      <c r="D919" s="45"/>
      <c r="E919" s="45"/>
      <c r="F919" s="45"/>
      <c r="G919" s="45"/>
    </row>
    <row r="920">
      <c r="A920" s="78"/>
      <c r="B920" s="78"/>
      <c r="C920" s="78"/>
      <c r="D920" s="45"/>
      <c r="E920" s="45"/>
      <c r="F920" s="45"/>
      <c r="G920" s="45"/>
    </row>
    <row r="921">
      <c r="A921" s="78"/>
      <c r="B921" s="78"/>
      <c r="C921" s="78"/>
      <c r="D921" s="45"/>
      <c r="E921" s="45"/>
      <c r="F921" s="45"/>
      <c r="G921" s="45"/>
    </row>
    <row r="922">
      <c r="A922" s="78"/>
      <c r="B922" s="78"/>
      <c r="C922" s="78"/>
      <c r="D922" s="45"/>
      <c r="E922" s="45"/>
      <c r="F922" s="45"/>
      <c r="G922" s="45"/>
    </row>
    <row r="923">
      <c r="A923" s="78"/>
      <c r="B923" s="78"/>
      <c r="C923" s="78"/>
      <c r="D923" s="45"/>
      <c r="E923" s="45"/>
      <c r="F923" s="45"/>
      <c r="G923" s="45"/>
    </row>
    <row r="924">
      <c r="A924" s="78"/>
      <c r="B924" s="78"/>
      <c r="C924" s="78"/>
      <c r="D924" s="45"/>
      <c r="E924" s="45"/>
      <c r="F924" s="45"/>
      <c r="G924" s="45"/>
    </row>
    <row r="925">
      <c r="A925" s="78"/>
      <c r="B925" s="78"/>
      <c r="C925" s="78"/>
      <c r="D925" s="45"/>
      <c r="E925" s="45"/>
      <c r="F925" s="45"/>
      <c r="G925" s="45"/>
    </row>
    <row r="926">
      <c r="A926" s="78"/>
      <c r="B926" s="78"/>
      <c r="C926" s="78"/>
      <c r="D926" s="45"/>
      <c r="E926" s="45"/>
      <c r="F926" s="45"/>
      <c r="G926" s="45"/>
    </row>
    <row r="927">
      <c r="A927" s="78"/>
      <c r="B927" s="78"/>
      <c r="C927" s="78"/>
      <c r="D927" s="45"/>
      <c r="E927" s="45"/>
      <c r="F927" s="45"/>
      <c r="G927" s="45"/>
    </row>
    <row r="928">
      <c r="A928" s="78"/>
      <c r="B928" s="78"/>
      <c r="C928" s="78"/>
      <c r="D928" s="45"/>
      <c r="E928" s="45"/>
      <c r="F928" s="45"/>
      <c r="G928" s="45"/>
    </row>
    <row r="929">
      <c r="A929" s="78"/>
      <c r="B929" s="78"/>
      <c r="C929" s="78"/>
      <c r="D929" s="45"/>
      <c r="E929" s="45"/>
      <c r="F929" s="45"/>
      <c r="G929" s="45"/>
    </row>
    <row r="930">
      <c r="A930" s="78"/>
      <c r="B930" s="78"/>
      <c r="C930" s="78"/>
      <c r="D930" s="45"/>
      <c r="E930" s="45"/>
      <c r="F930" s="45"/>
      <c r="G930" s="45"/>
    </row>
    <row r="931">
      <c r="A931" s="78"/>
      <c r="B931" s="78"/>
      <c r="C931" s="78"/>
      <c r="D931" s="45"/>
      <c r="E931" s="45"/>
      <c r="F931" s="45"/>
      <c r="G931" s="45"/>
    </row>
    <row r="932">
      <c r="A932" s="78"/>
      <c r="B932" s="78"/>
      <c r="C932" s="78"/>
      <c r="D932" s="45"/>
      <c r="E932" s="45"/>
      <c r="F932" s="45"/>
      <c r="G932" s="45"/>
    </row>
    <row r="933">
      <c r="A933" s="78"/>
      <c r="B933" s="78"/>
      <c r="C933" s="78"/>
      <c r="D933" s="45"/>
      <c r="E933" s="45"/>
      <c r="F933" s="45"/>
      <c r="G933" s="45"/>
    </row>
    <row r="934">
      <c r="A934" s="78"/>
      <c r="B934" s="78"/>
      <c r="C934" s="78"/>
      <c r="D934" s="45"/>
      <c r="E934" s="45"/>
      <c r="F934" s="45"/>
      <c r="G934" s="45"/>
    </row>
    <row r="935">
      <c r="A935" s="78"/>
      <c r="B935" s="78"/>
      <c r="C935" s="78"/>
      <c r="D935" s="45"/>
      <c r="E935" s="45"/>
      <c r="F935" s="45"/>
      <c r="G935" s="45"/>
    </row>
    <row r="936">
      <c r="A936" s="78"/>
      <c r="B936" s="78"/>
      <c r="C936" s="78"/>
      <c r="D936" s="45"/>
      <c r="E936" s="45"/>
      <c r="F936" s="45"/>
      <c r="G936" s="45"/>
    </row>
    <row r="937">
      <c r="A937" s="78"/>
      <c r="B937" s="78"/>
      <c r="C937" s="78"/>
      <c r="D937" s="45"/>
      <c r="E937" s="45"/>
      <c r="F937" s="45"/>
      <c r="G937" s="45"/>
    </row>
    <row r="938">
      <c r="A938" s="78"/>
      <c r="B938" s="78"/>
      <c r="C938" s="78"/>
      <c r="D938" s="45"/>
      <c r="E938" s="45"/>
      <c r="F938" s="45"/>
      <c r="G938" s="45"/>
    </row>
    <row r="939">
      <c r="A939" s="78"/>
      <c r="B939" s="78"/>
      <c r="C939" s="78"/>
      <c r="D939" s="45"/>
      <c r="E939" s="45"/>
      <c r="F939" s="45"/>
      <c r="G939" s="45"/>
    </row>
    <row r="940">
      <c r="A940" s="78"/>
      <c r="B940" s="78"/>
      <c r="C940" s="78"/>
      <c r="D940" s="45"/>
      <c r="E940" s="45"/>
      <c r="F940" s="45"/>
      <c r="G940" s="45"/>
    </row>
    <row r="941">
      <c r="A941" s="78"/>
      <c r="B941" s="78"/>
      <c r="C941" s="78"/>
      <c r="D941" s="45"/>
      <c r="E941" s="45"/>
      <c r="F941" s="45"/>
      <c r="G941" s="45"/>
    </row>
    <row r="942">
      <c r="A942" s="78"/>
      <c r="B942" s="78"/>
      <c r="C942" s="78"/>
      <c r="D942" s="45"/>
      <c r="E942" s="45"/>
      <c r="F942" s="45"/>
      <c r="G942" s="45"/>
    </row>
    <row r="943">
      <c r="A943" s="78"/>
      <c r="B943" s="78"/>
      <c r="C943" s="78"/>
      <c r="D943" s="45"/>
      <c r="E943" s="45"/>
      <c r="F943" s="45"/>
      <c r="G943" s="45"/>
    </row>
    <row r="944">
      <c r="A944" s="78"/>
      <c r="B944" s="78"/>
      <c r="C944" s="78"/>
      <c r="D944" s="45"/>
      <c r="E944" s="45"/>
      <c r="F944" s="45"/>
      <c r="G944" s="45"/>
    </row>
    <row r="945">
      <c r="A945" s="78"/>
      <c r="B945" s="78"/>
      <c r="C945" s="78"/>
      <c r="D945" s="45"/>
      <c r="E945" s="45"/>
      <c r="F945" s="45"/>
      <c r="G945" s="45"/>
    </row>
    <row r="946">
      <c r="A946" s="78"/>
      <c r="B946" s="78"/>
      <c r="C946" s="78"/>
      <c r="D946" s="45"/>
      <c r="E946" s="45"/>
      <c r="F946" s="45"/>
      <c r="G946" s="45"/>
    </row>
    <row r="947">
      <c r="A947" s="78"/>
      <c r="B947" s="78"/>
      <c r="C947" s="78"/>
      <c r="D947" s="45"/>
      <c r="E947" s="45"/>
      <c r="F947" s="45"/>
      <c r="G947" s="45"/>
    </row>
    <row r="948">
      <c r="A948" s="78"/>
      <c r="B948" s="78"/>
      <c r="C948" s="78"/>
      <c r="D948" s="45"/>
      <c r="E948" s="45"/>
      <c r="F948" s="45"/>
      <c r="G948" s="45"/>
    </row>
    <row r="949">
      <c r="A949" s="78"/>
      <c r="B949" s="78"/>
      <c r="C949" s="78"/>
      <c r="D949" s="45"/>
      <c r="E949" s="45"/>
      <c r="F949" s="45"/>
      <c r="G949" s="45"/>
    </row>
    <row r="950">
      <c r="A950" s="78"/>
      <c r="B950" s="78"/>
      <c r="C950" s="78"/>
      <c r="D950" s="45"/>
      <c r="E950" s="45"/>
      <c r="F950" s="45"/>
      <c r="G950" s="45"/>
    </row>
    <row r="951">
      <c r="A951" s="78"/>
      <c r="B951" s="78"/>
      <c r="C951" s="78"/>
      <c r="D951" s="45"/>
      <c r="E951" s="45"/>
      <c r="F951" s="45"/>
      <c r="G951" s="45"/>
    </row>
    <row r="952">
      <c r="A952" s="78"/>
      <c r="B952" s="78"/>
      <c r="C952" s="78"/>
      <c r="D952" s="45"/>
      <c r="E952" s="45"/>
      <c r="F952" s="45"/>
      <c r="G952" s="45"/>
    </row>
    <row r="953">
      <c r="A953" s="78"/>
      <c r="B953" s="78"/>
      <c r="C953" s="78"/>
      <c r="D953" s="45"/>
      <c r="E953" s="45"/>
      <c r="F953" s="45"/>
      <c r="G953" s="45"/>
    </row>
    <row r="954">
      <c r="A954" s="78"/>
      <c r="B954" s="78"/>
      <c r="C954" s="78"/>
      <c r="D954" s="45"/>
      <c r="E954" s="45"/>
      <c r="F954" s="45"/>
      <c r="G954" s="45"/>
    </row>
    <row r="955">
      <c r="A955" s="78"/>
      <c r="B955" s="78"/>
      <c r="C955" s="78"/>
      <c r="D955" s="45"/>
      <c r="E955" s="45"/>
      <c r="F955" s="45"/>
      <c r="G955" s="45"/>
    </row>
    <row r="956">
      <c r="A956" s="78"/>
      <c r="B956" s="78"/>
      <c r="C956" s="78"/>
      <c r="D956" s="45"/>
      <c r="E956" s="45"/>
      <c r="F956" s="45"/>
      <c r="G956" s="45"/>
    </row>
    <row r="957">
      <c r="A957" s="78"/>
      <c r="B957" s="78"/>
      <c r="C957" s="78"/>
      <c r="D957" s="45"/>
      <c r="E957" s="45"/>
      <c r="F957" s="45"/>
      <c r="G957" s="45"/>
    </row>
    <row r="958">
      <c r="A958" s="78"/>
      <c r="B958" s="78"/>
      <c r="C958" s="78"/>
      <c r="D958" s="45"/>
      <c r="E958" s="45"/>
      <c r="F958" s="45"/>
      <c r="G958" s="45"/>
    </row>
    <row r="959">
      <c r="A959" s="78"/>
      <c r="B959" s="78"/>
      <c r="C959" s="78"/>
      <c r="D959" s="45"/>
      <c r="E959" s="45"/>
      <c r="F959" s="45"/>
      <c r="G959" s="45"/>
    </row>
    <row r="960">
      <c r="A960" s="78"/>
      <c r="B960" s="78"/>
      <c r="C960" s="78"/>
      <c r="D960" s="45"/>
      <c r="E960" s="45"/>
      <c r="F960" s="45"/>
      <c r="G960" s="45"/>
    </row>
    <row r="961">
      <c r="A961" s="78"/>
      <c r="B961" s="78"/>
      <c r="C961" s="78"/>
      <c r="D961" s="45"/>
      <c r="E961" s="45"/>
      <c r="F961" s="45"/>
      <c r="G961" s="45"/>
    </row>
    <row r="962">
      <c r="A962" s="78"/>
      <c r="B962" s="78"/>
      <c r="C962" s="78"/>
      <c r="D962" s="45"/>
      <c r="E962" s="45"/>
      <c r="F962" s="45"/>
      <c r="G962" s="45"/>
    </row>
    <row r="963">
      <c r="A963" s="78"/>
      <c r="B963" s="78"/>
      <c r="C963" s="78"/>
      <c r="D963" s="45"/>
      <c r="E963" s="45"/>
      <c r="F963" s="45"/>
      <c r="G963" s="45"/>
    </row>
    <row r="964">
      <c r="A964" s="78"/>
      <c r="B964" s="78"/>
      <c r="C964" s="78"/>
      <c r="D964" s="45"/>
      <c r="E964" s="45"/>
      <c r="F964" s="45"/>
      <c r="G964" s="45"/>
    </row>
    <row r="965">
      <c r="A965" s="78"/>
      <c r="B965" s="78"/>
      <c r="C965" s="78"/>
      <c r="D965" s="45"/>
      <c r="E965" s="45"/>
      <c r="F965" s="45"/>
      <c r="G965" s="45"/>
    </row>
    <row r="966">
      <c r="A966" s="78"/>
      <c r="B966" s="78"/>
      <c r="C966" s="78"/>
      <c r="D966" s="45"/>
      <c r="E966" s="45"/>
      <c r="F966" s="45"/>
      <c r="G966" s="45"/>
    </row>
    <row r="967">
      <c r="A967" s="78"/>
      <c r="B967" s="78"/>
      <c r="C967" s="78"/>
      <c r="D967" s="45"/>
      <c r="E967" s="45"/>
      <c r="F967" s="45"/>
      <c r="G967" s="45"/>
    </row>
    <row r="968">
      <c r="A968" s="78"/>
      <c r="B968" s="78"/>
      <c r="C968" s="78"/>
      <c r="D968" s="45"/>
      <c r="E968" s="45"/>
      <c r="F968" s="45"/>
      <c r="G968" s="45"/>
    </row>
    <row r="969">
      <c r="A969" s="78"/>
      <c r="B969" s="78"/>
      <c r="C969" s="78"/>
      <c r="D969" s="45"/>
      <c r="E969" s="45"/>
      <c r="F969" s="45"/>
      <c r="G969" s="45"/>
    </row>
    <row r="970">
      <c r="A970" s="78"/>
      <c r="B970" s="78"/>
      <c r="C970" s="78"/>
      <c r="D970" s="45"/>
      <c r="E970" s="45"/>
      <c r="F970" s="45"/>
      <c r="G970" s="45"/>
    </row>
    <row r="971">
      <c r="A971" s="78"/>
      <c r="B971" s="78"/>
      <c r="C971" s="78"/>
      <c r="D971" s="45"/>
      <c r="E971" s="45"/>
      <c r="F971" s="45"/>
      <c r="G971" s="45"/>
    </row>
    <row r="972">
      <c r="A972" s="78"/>
      <c r="B972" s="78"/>
      <c r="C972" s="78"/>
      <c r="D972" s="45"/>
      <c r="E972" s="45"/>
      <c r="F972" s="45"/>
      <c r="G972" s="45"/>
    </row>
    <row r="973">
      <c r="A973" s="78"/>
      <c r="B973" s="78"/>
      <c r="C973" s="78"/>
      <c r="D973" s="45"/>
      <c r="E973" s="45"/>
      <c r="F973" s="45"/>
      <c r="G973" s="45"/>
    </row>
    <row r="974">
      <c r="A974" s="78"/>
      <c r="B974" s="78"/>
      <c r="C974" s="78"/>
      <c r="D974" s="45"/>
      <c r="E974" s="45"/>
      <c r="F974" s="45"/>
      <c r="G974" s="45"/>
    </row>
    <row r="975">
      <c r="A975" s="78"/>
      <c r="B975" s="78"/>
      <c r="C975" s="78"/>
      <c r="D975" s="45"/>
      <c r="E975" s="45"/>
      <c r="F975" s="45"/>
      <c r="G975" s="45"/>
    </row>
    <row r="976">
      <c r="A976" s="78"/>
      <c r="B976" s="78"/>
      <c r="C976" s="78"/>
      <c r="D976" s="45"/>
      <c r="E976" s="45"/>
      <c r="F976" s="45"/>
      <c r="G976" s="45"/>
    </row>
    <row r="977">
      <c r="A977" s="78"/>
      <c r="B977" s="78"/>
      <c r="C977" s="78"/>
      <c r="D977" s="45"/>
      <c r="E977" s="45"/>
      <c r="F977" s="45"/>
      <c r="G977" s="45"/>
    </row>
    <row r="978">
      <c r="A978" s="78"/>
      <c r="B978" s="78"/>
      <c r="C978" s="78"/>
      <c r="D978" s="45"/>
      <c r="E978" s="45"/>
      <c r="F978" s="45"/>
      <c r="G978" s="45"/>
    </row>
    <row r="979">
      <c r="A979" s="78"/>
      <c r="B979" s="78"/>
      <c r="C979" s="78"/>
      <c r="D979" s="45"/>
      <c r="E979" s="45"/>
      <c r="F979" s="45"/>
      <c r="G979" s="45"/>
    </row>
    <row r="980">
      <c r="A980" s="78"/>
      <c r="B980" s="78"/>
      <c r="C980" s="78"/>
      <c r="D980" s="45"/>
      <c r="E980" s="45"/>
      <c r="F980" s="45"/>
      <c r="G980" s="45"/>
    </row>
    <row r="981">
      <c r="A981" s="78"/>
      <c r="B981" s="78"/>
      <c r="C981" s="78"/>
      <c r="D981" s="45"/>
      <c r="E981" s="45"/>
      <c r="F981" s="45"/>
      <c r="G981" s="45"/>
    </row>
    <row r="982">
      <c r="A982" s="78"/>
      <c r="B982" s="78"/>
      <c r="C982" s="78"/>
      <c r="D982" s="45"/>
      <c r="E982" s="45"/>
      <c r="F982" s="45"/>
      <c r="G982" s="45"/>
    </row>
    <row r="983">
      <c r="A983" s="78"/>
      <c r="B983" s="78"/>
      <c r="C983" s="78"/>
      <c r="D983" s="45"/>
      <c r="E983" s="45"/>
      <c r="F983" s="45"/>
      <c r="G983" s="45"/>
    </row>
    <row r="984">
      <c r="A984" s="78"/>
      <c r="B984" s="78"/>
      <c r="C984" s="78"/>
      <c r="D984" s="45"/>
      <c r="E984" s="45"/>
      <c r="F984" s="45"/>
      <c r="G984" s="45"/>
    </row>
    <row r="985">
      <c r="A985" s="78"/>
      <c r="B985" s="78"/>
      <c r="C985" s="78"/>
      <c r="D985" s="45"/>
      <c r="E985" s="45"/>
      <c r="F985" s="45"/>
      <c r="G985" s="45"/>
    </row>
    <row r="986">
      <c r="A986" s="78"/>
      <c r="B986" s="78"/>
      <c r="C986" s="78"/>
      <c r="D986" s="45"/>
      <c r="E986" s="45"/>
      <c r="F986" s="45"/>
      <c r="G986" s="45"/>
    </row>
    <row r="987">
      <c r="A987" s="78"/>
      <c r="B987" s="78"/>
      <c r="C987" s="78"/>
      <c r="D987" s="45"/>
      <c r="E987" s="45"/>
      <c r="F987" s="45"/>
      <c r="G987" s="45"/>
    </row>
    <row r="988">
      <c r="A988" s="78"/>
      <c r="B988" s="78"/>
      <c r="C988" s="78"/>
      <c r="D988" s="45"/>
      <c r="E988" s="45"/>
      <c r="F988" s="45"/>
      <c r="G988" s="45"/>
    </row>
    <row r="989">
      <c r="A989" s="78"/>
      <c r="B989" s="78"/>
      <c r="C989" s="78"/>
      <c r="D989" s="45"/>
      <c r="E989" s="45"/>
      <c r="F989" s="45"/>
      <c r="G989" s="45"/>
    </row>
    <row r="990">
      <c r="A990" s="78"/>
      <c r="B990" s="78"/>
      <c r="C990" s="78"/>
      <c r="D990" s="45"/>
      <c r="E990" s="45"/>
      <c r="F990" s="45"/>
      <c r="G990" s="45"/>
    </row>
    <row r="991">
      <c r="A991" s="78"/>
      <c r="B991" s="78"/>
      <c r="C991" s="78"/>
      <c r="D991" s="45"/>
      <c r="E991" s="45"/>
      <c r="F991" s="45"/>
      <c r="G991" s="45"/>
    </row>
    <row r="992">
      <c r="A992" s="78"/>
      <c r="B992" s="78"/>
      <c r="C992" s="78"/>
      <c r="D992" s="45"/>
      <c r="E992" s="45"/>
      <c r="F992" s="45"/>
      <c r="G992" s="45"/>
    </row>
    <row r="993">
      <c r="A993" s="78"/>
      <c r="B993" s="78"/>
      <c r="C993" s="78"/>
      <c r="D993" s="45"/>
      <c r="E993" s="45"/>
      <c r="F993" s="45"/>
      <c r="G993" s="45"/>
    </row>
    <row r="994">
      <c r="A994" s="78"/>
      <c r="B994" s="78"/>
      <c r="C994" s="78"/>
      <c r="D994" s="45"/>
      <c r="E994" s="45"/>
      <c r="F994" s="45"/>
      <c r="G994" s="45"/>
    </row>
    <row r="995">
      <c r="A995" s="78"/>
      <c r="B995" s="78"/>
      <c r="C995" s="78"/>
      <c r="D995" s="45"/>
      <c r="E995" s="45"/>
      <c r="F995" s="45"/>
      <c r="G995" s="45"/>
    </row>
    <row r="996">
      <c r="A996" s="78"/>
      <c r="B996" s="78"/>
      <c r="C996" s="78"/>
      <c r="D996" s="45"/>
      <c r="E996" s="45"/>
      <c r="F996" s="45"/>
      <c r="G996" s="45"/>
    </row>
    <row r="997">
      <c r="A997" s="78"/>
      <c r="B997" s="78"/>
      <c r="C997" s="78"/>
      <c r="D997" s="45"/>
      <c r="E997" s="45"/>
      <c r="F997" s="45"/>
      <c r="G997" s="45"/>
    </row>
    <row r="998">
      <c r="A998" s="78"/>
      <c r="B998" s="78"/>
      <c r="C998" s="78"/>
      <c r="D998" s="45"/>
      <c r="E998" s="45"/>
      <c r="F998" s="45"/>
      <c r="G998" s="45"/>
    </row>
    <row r="999">
      <c r="A999" s="78"/>
      <c r="B999" s="78"/>
      <c r="C999" s="78"/>
      <c r="D999" s="45"/>
      <c r="E999" s="45"/>
      <c r="F999" s="45"/>
      <c r="G999" s="45"/>
    </row>
    <row r="1000">
      <c r="A1000" s="78"/>
      <c r="B1000" s="78"/>
      <c r="C1000" s="78"/>
      <c r="D1000" s="45"/>
      <c r="E1000" s="45"/>
      <c r="F1000" s="45"/>
      <c r="G1000" s="45"/>
    </row>
    <row r="1001">
      <c r="A1001" s="78"/>
      <c r="B1001" s="78"/>
      <c r="C1001" s="78"/>
      <c r="D1001" s="45"/>
      <c r="E1001" s="45"/>
      <c r="F1001" s="45"/>
      <c r="G1001" s="45"/>
    </row>
    <row r="1002">
      <c r="A1002" s="78"/>
      <c r="B1002" s="78"/>
      <c r="C1002" s="78"/>
      <c r="D1002" s="45"/>
      <c r="E1002" s="45"/>
      <c r="F1002" s="45"/>
      <c r="G1002" s="45"/>
    </row>
    <row r="1003">
      <c r="A1003" s="78"/>
      <c r="B1003" s="78"/>
      <c r="C1003" s="78"/>
      <c r="D1003" s="45"/>
      <c r="E1003" s="45"/>
      <c r="F1003" s="45"/>
      <c r="G1003" s="45"/>
    </row>
    <row r="1004">
      <c r="A1004" s="78"/>
      <c r="B1004" s="78"/>
      <c r="C1004" s="78"/>
      <c r="D1004" s="45"/>
      <c r="E1004" s="45"/>
      <c r="F1004" s="45"/>
      <c r="G1004" s="45"/>
    </row>
    <row r="1005">
      <c r="A1005" s="78"/>
      <c r="B1005" s="78"/>
      <c r="C1005" s="78"/>
      <c r="D1005" s="45"/>
      <c r="E1005" s="45"/>
      <c r="F1005" s="45"/>
      <c r="G1005" s="45"/>
    </row>
    <row r="1006">
      <c r="A1006" s="78"/>
      <c r="B1006" s="78"/>
      <c r="C1006" s="78"/>
      <c r="D1006" s="45"/>
      <c r="E1006" s="45"/>
      <c r="F1006" s="45"/>
      <c r="G1006" s="45"/>
    </row>
    <row r="1007">
      <c r="A1007" s="78"/>
      <c r="B1007" s="78"/>
      <c r="C1007" s="78"/>
      <c r="D1007" s="45"/>
      <c r="E1007" s="45"/>
      <c r="F1007" s="45"/>
      <c r="G1007" s="45"/>
    </row>
    <row r="1008">
      <c r="A1008" s="78"/>
      <c r="B1008" s="78"/>
      <c r="C1008" s="78"/>
      <c r="D1008" s="45"/>
      <c r="E1008" s="45"/>
      <c r="F1008" s="45"/>
      <c r="G1008" s="45"/>
    </row>
    <row r="1009">
      <c r="A1009" s="78"/>
      <c r="B1009" s="78"/>
      <c r="C1009" s="78"/>
      <c r="D1009" s="45"/>
      <c r="E1009" s="45"/>
      <c r="F1009" s="45"/>
      <c r="G1009" s="45"/>
    </row>
    <row r="1010">
      <c r="A1010" s="78"/>
      <c r="B1010" s="78"/>
      <c r="C1010" s="78"/>
      <c r="D1010" s="45"/>
      <c r="E1010" s="45"/>
      <c r="F1010" s="45"/>
      <c r="G1010" s="45"/>
    </row>
    <row r="1011">
      <c r="A1011" s="78"/>
      <c r="B1011" s="78"/>
      <c r="C1011" s="78"/>
      <c r="D1011" s="45"/>
      <c r="E1011" s="45"/>
      <c r="F1011" s="45"/>
      <c r="G1011" s="45"/>
    </row>
    <row r="1012">
      <c r="A1012" s="78"/>
      <c r="B1012" s="78"/>
      <c r="C1012" s="78"/>
      <c r="D1012" s="45"/>
      <c r="E1012" s="45"/>
      <c r="F1012" s="45"/>
      <c r="G1012" s="45"/>
    </row>
    <row r="1013">
      <c r="A1013" s="78"/>
      <c r="B1013" s="78"/>
      <c r="C1013" s="78"/>
      <c r="D1013" s="45"/>
      <c r="E1013" s="45"/>
      <c r="F1013" s="45"/>
      <c r="G1013" s="45"/>
    </row>
    <row r="1014">
      <c r="A1014" s="78"/>
      <c r="B1014" s="78"/>
      <c r="C1014" s="78"/>
      <c r="D1014" s="45"/>
      <c r="E1014" s="45"/>
      <c r="F1014" s="45"/>
      <c r="G1014" s="45"/>
    </row>
    <row r="1015">
      <c r="A1015" s="78"/>
      <c r="B1015" s="78"/>
      <c r="C1015" s="78"/>
      <c r="D1015" s="45"/>
      <c r="E1015" s="45"/>
      <c r="F1015" s="45"/>
      <c r="G1015" s="45"/>
    </row>
    <row r="1016">
      <c r="A1016" s="78"/>
      <c r="B1016" s="78"/>
      <c r="C1016" s="78"/>
      <c r="D1016" s="45"/>
      <c r="E1016" s="45"/>
      <c r="F1016" s="45"/>
      <c r="G1016" s="45"/>
    </row>
    <row r="1017">
      <c r="A1017" s="78"/>
      <c r="B1017" s="78"/>
      <c r="C1017" s="78"/>
      <c r="D1017" s="45"/>
      <c r="E1017" s="45"/>
      <c r="F1017" s="45"/>
      <c r="G1017" s="45"/>
    </row>
    <row r="1018">
      <c r="A1018" s="78"/>
      <c r="B1018" s="78"/>
      <c r="C1018" s="78"/>
      <c r="D1018" s="45"/>
      <c r="E1018" s="45"/>
      <c r="F1018" s="45"/>
      <c r="G1018" s="45"/>
    </row>
    <row r="1019">
      <c r="A1019" s="78"/>
      <c r="B1019" s="78"/>
      <c r="C1019" s="78"/>
      <c r="D1019" s="45"/>
      <c r="E1019" s="45"/>
      <c r="F1019" s="45"/>
      <c r="G1019" s="45"/>
    </row>
    <row r="1020">
      <c r="A1020" s="78"/>
      <c r="B1020" s="78"/>
      <c r="C1020" s="78"/>
      <c r="D1020" s="45"/>
      <c r="E1020" s="45"/>
      <c r="F1020" s="45"/>
      <c r="G1020" s="45"/>
    </row>
    <row r="1021">
      <c r="A1021" s="78"/>
      <c r="B1021" s="78"/>
      <c r="C1021" s="78"/>
      <c r="D1021" s="45"/>
      <c r="E1021" s="45"/>
      <c r="F1021" s="45"/>
      <c r="G1021" s="45"/>
    </row>
    <row r="1022">
      <c r="A1022" s="78"/>
      <c r="B1022" s="78"/>
      <c r="C1022" s="78"/>
      <c r="D1022" s="45"/>
      <c r="E1022" s="45"/>
      <c r="F1022" s="45"/>
      <c r="G1022" s="45"/>
    </row>
    <row r="1023">
      <c r="A1023" s="78"/>
      <c r="B1023" s="78"/>
      <c r="C1023" s="78"/>
      <c r="D1023" s="45"/>
      <c r="E1023" s="45"/>
      <c r="F1023" s="45"/>
      <c r="G1023" s="45"/>
    </row>
    <row r="1024">
      <c r="A1024" s="78"/>
      <c r="B1024" s="78"/>
      <c r="C1024" s="78"/>
      <c r="D1024" s="45"/>
      <c r="E1024" s="45"/>
      <c r="F1024" s="45"/>
      <c r="G1024" s="45"/>
    </row>
    <row r="1025">
      <c r="A1025" s="78"/>
      <c r="B1025" s="78"/>
      <c r="C1025" s="78"/>
      <c r="D1025" s="45"/>
      <c r="E1025" s="45"/>
      <c r="F1025" s="45"/>
      <c r="G1025" s="45"/>
    </row>
    <row r="1026">
      <c r="A1026" s="78"/>
      <c r="B1026" s="78"/>
      <c r="C1026" s="78"/>
      <c r="D1026" s="45"/>
      <c r="E1026" s="45"/>
      <c r="F1026" s="45"/>
      <c r="G1026" s="45"/>
    </row>
    <row r="1027">
      <c r="A1027" s="78"/>
      <c r="B1027" s="78"/>
      <c r="C1027" s="78"/>
      <c r="D1027" s="45"/>
      <c r="E1027" s="45"/>
      <c r="F1027" s="45"/>
      <c r="G1027" s="45"/>
    </row>
    <row r="1028">
      <c r="A1028" s="78"/>
      <c r="B1028" s="78"/>
      <c r="C1028" s="78"/>
      <c r="D1028" s="45"/>
      <c r="E1028" s="45"/>
      <c r="F1028" s="45"/>
      <c r="G1028" s="45"/>
    </row>
    <row r="1029">
      <c r="A1029" s="78"/>
      <c r="B1029" s="78"/>
      <c r="C1029" s="78"/>
      <c r="D1029" s="45"/>
      <c r="E1029" s="45"/>
      <c r="F1029" s="45"/>
      <c r="G1029" s="45"/>
    </row>
    <row r="1030">
      <c r="A1030" s="78"/>
      <c r="B1030" s="78"/>
      <c r="C1030" s="78"/>
      <c r="D1030" s="45"/>
      <c r="E1030" s="45"/>
      <c r="F1030" s="45"/>
      <c r="G1030" s="45"/>
    </row>
    <row r="1031">
      <c r="A1031" s="78"/>
      <c r="B1031" s="78"/>
      <c r="C1031" s="78"/>
      <c r="D1031" s="45"/>
      <c r="E1031" s="45"/>
      <c r="F1031" s="45"/>
      <c r="G1031" s="45"/>
    </row>
    <row r="1032">
      <c r="A1032" s="78"/>
      <c r="B1032" s="78"/>
      <c r="C1032" s="78"/>
      <c r="D1032" s="45"/>
      <c r="E1032" s="45"/>
      <c r="F1032" s="45"/>
      <c r="G1032" s="45"/>
    </row>
    <row r="1033">
      <c r="A1033" s="78"/>
      <c r="B1033" s="78"/>
      <c r="C1033" s="78"/>
      <c r="D1033" s="45"/>
      <c r="E1033" s="45"/>
      <c r="F1033" s="45"/>
      <c r="G1033" s="45"/>
    </row>
    <row r="1034">
      <c r="A1034" s="78"/>
      <c r="B1034" s="78"/>
      <c r="C1034" s="78"/>
      <c r="D1034" s="45"/>
      <c r="E1034" s="45"/>
      <c r="F1034" s="45"/>
      <c r="G1034" s="45"/>
    </row>
    <row r="1035">
      <c r="A1035" s="78"/>
      <c r="B1035" s="78"/>
      <c r="C1035" s="78"/>
      <c r="D1035" s="45"/>
      <c r="E1035" s="45"/>
      <c r="F1035" s="45"/>
      <c r="G1035" s="45"/>
    </row>
    <row r="1036">
      <c r="A1036" s="78"/>
      <c r="B1036" s="78"/>
      <c r="C1036" s="78"/>
      <c r="D1036" s="45"/>
      <c r="E1036" s="45"/>
      <c r="F1036" s="45"/>
      <c r="G1036" s="45"/>
    </row>
    <row r="1037">
      <c r="A1037" s="78"/>
      <c r="B1037" s="78"/>
      <c r="C1037" s="78"/>
      <c r="D1037" s="45"/>
      <c r="E1037" s="45"/>
      <c r="F1037" s="45"/>
      <c r="G1037" s="45"/>
    </row>
    <row r="1038">
      <c r="A1038" s="78"/>
      <c r="B1038" s="78"/>
      <c r="C1038" s="78"/>
      <c r="D1038" s="45"/>
      <c r="E1038" s="45"/>
      <c r="F1038" s="45"/>
      <c r="G1038" s="45"/>
    </row>
    <row r="1039">
      <c r="A1039" s="78"/>
      <c r="B1039" s="78"/>
      <c r="C1039" s="78"/>
      <c r="D1039" s="45"/>
      <c r="E1039" s="45"/>
      <c r="F1039" s="45"/>
      <c r="G1039" s="45"/>
    </row>
    <row r="1040">
      <c r="A1040" s="78"/>
      <c r="B1040" s="78"/>
      <c r="C1040" s="78"/>
      <c r="D1040" s="45"/>
      <c r="E1040" s="45"/>
      <c r="F1040" s="45"/>
      <c r="G1040" s="45"/>
    </row>
    <row r="1041">
      <c r="A1041" s="78"/>
      <c r="B1041" s="78"/>
      <c r="C1041" s="78"/>
      <c r="D1041" s="45"/>
      <c r="E1041" s="45"/>
      <c r="F1041" s="45"/>
      <c r="G1041" s="45"/>
    </row>
    <row r="1042">
      <c r="A1042" s="78"/>
      <c r="B1042" s="78"/>
      <c r="C1042" s="78"/>
      <c r="D1042" s="45"/>
      <c r="E1042" s="45"/>
      <c r="F1042" s="45"/>
      <c r="G1042" s="45"/>
    </row>
    <row r="1043">
      <c r="A1043" s="78"/>
      <c r="B1043" s="78"/>
      <c r="C1043" s="78"/>
      <c r="D1043" s="45"/>
      <c r="E1043" s="45"/>
      <c r="F1043" s="45"/>
      <c r="G1043" s="45"/>
    </row>
    <row r="1044">
      <c r="A1044" s="78"/>
      <c r="B1044" s="78"/>
      <c r="C1044" s="78"/>
      <c r="D1044" s="45"/>
      <c r="E1044" s="45"/>
      <c r="F1044" s="45"/>
      <c r="G1044" s="45"/>
    </row>
    <row r="1045">
      <c r="A1045" s="78"/>
      <c r="B1045" s="78"/>
      <c r="C1045" s="78"/>
      <c r="D1045" s="45"/>
      <c r="E1045" s="45"/>
      <c r="F1045" s="45"/>
      <c r="G1045" s="45"/>
    </row>
    <row r="1046">
      <c r="A1046" s="78"/>
      <c r="B1046" s="78"/>
      <c r="C1046" s="78"/>
      <c r="D1046" s="45"/>
      <c r="E1046" s="45"/>
      <c r="F1046" s="45"/>
      <c r="G1046" s="45"/>
    </row>
    <row r="1047">
      <c r="A1047" s="78"/>
      <c r="B1047" s="78"/>
      <c r="C1047" s="78"/>
      <c r="D1047" s="45"/>
      <c r="E1047" s="45"/>
      <c r="F1047" s="45"/>
      <c r="G1047" s="45"/>
    </row>
    <row r="1048">
      <c r="A1048" s="78"/>
      <c r="B1048" s="78"/>
      <c r="C1048" s="78"/>
      <c r="D1048" s="45"/>
      <c r="E1048" s="45"/>
      <c r="F1048" s="45"/>
      <c r="G1048" s="45"/>
    </row>
    <row r="1049">
      <c r="A1049" s="78"/>
      <c r="B1049" s="78"/>
      <c r="C1049" s="78"/>
      <c r="D1049" s="45"/>
      <c r="E1049" s="45"/>
      <c r="F1049" s="45"/>
      <c r="G1049" s="45"/>
    </row>
    <row r="1050">
      <c r="A1050" s="78"/>
      <c r="B1050" s="78"/>
      <c r="C1050" s="78"/>
      <c r="D1050" s="45"/>
      <c r="E1050" s="45"/>
      <c r="F1050" s="45"/>
      <c r="G1050" s="45"/>
    </row>
    <row r="1051">
      <c r="A1051" s="78"/>
      <c r="B1051" s="78"/>
      <c r="C1051" s="78"/>
      <c r="D1051" s="45"/>
      <c r="E1051" s="45"/>
      <c r="F1051" s="45"/>
      <c r="G1051" s="45"/>
    </row>
    <row r="1052">
      <c r="A1052" s="78"/>
      <c r="B1052" s="78"/>
      <c r="C1052" s="78"/>
      <c r="D1052" s="45"/>
      <c r="E1052" s="45"/>
      <c r="F1052" s="45"/>
      <c r="G1052" s="45"/>
    </row>
    <row r="1053">
      <c r="A1053" s="78"/>
      <c r="B1053" s="78"/>
      <c r="C1053" s="78"/>
      <c r="D1053" s="45"/>
      <c r="E1053" s="45"/>
      <c r="F1053" s="45"/>
      <c r="G1053" s="45"/>
    </row>
    <row r="1054">
      <c r="A1054" s="78"/>
      <c r="B1054" s="78"/>
      <c r="C1054" s="78"/>
      <c r="D1054" s="45"/>
      <c r="E1054" s="45"/>
      <c r="F1054" s="45"/>
      <c r="G1054" s="45"/>
    </row>
    <row r="1055">
      <c r="A1055" s="78"/>
      <c r="B1055" s="78"/>
      <c r="C1055" s="78"/>
      <c r="D1055" s="45"/>
      <c r="E1055" s="45"/>
      <c r="F1055" s="45"/>
      <c r="G1055" s="45"/>
    </row>
    <row r="1056">
      <c r="A1056" s="78"/>
      <c r="B1056" s="78"/>
      <c r="C1056" s="78"/>
      <c r="D1056" s="45"/>
      <c r="E1056" s="45"/>
      <c r="F1056" s="45"/>
      <c r="G1056" s="45"/>
    </row>
    <row r="1057">
      <c r="A1057" s="78"/>
      <c r="B1057" s="78"/>
      <c r="C1057" s="78"/>
      <c r="D1057" s="45"/>
      <c r="E1057" s="45"/>
      <c r="F1057" s="45"/>
      <c r="G1057" s="45"/>
    </row>
    <row r="1058">
      <c r="A1058" s="78"/>
      <c r="B1058" s="78"/>
      <c r="C1058" s="78"/>
      <c r="D1058" s="45"/>
      <c r="E1058" s="45"/>
      <c r="F1058" s="45"/>
      <c r="G1058" s="45"/>
    </row>
    <row r="1059">
      <c r="A1059" s="78"/>
      <c r="B1059" s="78"/>
      <c r="C1059" s="78"/>
      <c r="D1059" s="45"/>
      <c r="E1059" s="45"/>
      <c r="F1059" s="45"/>
      <c r="G1059" s="45"/>
    </row>
    <row r="1060">
      <c r="A1060" s="78"/>
      <c r="B1060" s="78"/>
      <c r="C1060" s="78"/>
      <c r="D1060" s="45"/>
      <c r="E1060" s="45"/>
      <c r="F1060" s="45"/>
      <c r="G1060" s="45"/>
    </row>
    <row r="1061">
      <c r="A1061" s="78"/>
      <c r="B1061" s="78"/>
      <c r="C1061" s="78"/>
      <c r="D1061" s="45"/>
      <c r="E1061" s="45"/>
      <c r="F1061" s="45"/>
      <c r="G1061" s="45"/>
    </row>
    <row r="1062">
      <c r="A1062" s="78"/>
      <c r="B1062" s="78"/>
      <c r="C1062" s="78"/>
      <c r="D1062" s="45"/>
      <c r="E1062" s="45"/>
      <c r="F1062" s="45"/>
      <c r="G1062" s="45"/>
    </row>
    <row r="1063">
      <c r="A1063" s="78"/>
      <c r="B1063" s="78"/>
      <c r="C1063" s="78"/>
      <c r="D1063" s="45"/>
      <c r="E1063" s="45"/>
      <c r="F1063" s="45"/>
      <c r="G1063" s="45"/>
    </row>
    <row r="1064">
      <c r="A1064" s="78"/>
      <c r="B1064" s="78"/>
      <c r="C1064" s="78"/>
      <c r="D1064" s="45"/>
      <c r="E1064" s="45"/>
      <c r="F1064" s="45"/>
      <c r="G1064" s="45"/>
    </row>
    <row r="1065">
      <c r="A1065" s="78"/>
      <c r="B1065" s="78"/>
      <c r="C1065" s="78"/>
      <c r="D1065" s="45"/>
      <c r="E1065" s="45"/>
      <c r="F1065" s="45"/>
      <c r="G1065" s="45"/>
    </row>
    <row r="1066">
      <c r="A1066" s="78"/>
      <c r="B1066" s="78"/>
      <c r="C1066" s="78"/>
      <c r="D1066" s="45"/>
      <c r="E1066" s="45"/>
      <c r="F1066" s="45"/>
      <c r="G1066" s="45"/>
    </row>
    <row r="1067">
      <c r="A1067" s="78"/>
      <c r="B1067" s="78"/>
      <c r="C1067" s="78"/>
      <c r="D1067" s="45"/>
      <c r="E1067" s="45"/>
      <c r="F1067" s="45"/>
      <c r="G1067" s="45"/>
    </row>
    <row r="1068">
      <c r="A1068" s="78"/>
      <c r="B1068" s="78"/>
      <c r="C1068" s="78"/>
      <c r="D1068" s="45"/>
      <c r="E1068" s="45"/>
      <c r="F1068" s="45"/>
      <c r="G1068" s="45"/>
    </row>
    <row r="1069">
      <c r="A1069" s="78"/>
      <c r="B1069" s="78"/>
      <c r="C1069" s="78"/>
      <c r="D1069" s="45"/>
      <c r="E1069" s="45"/>
      <c r="F1069" s="45"/>
      <c r="G1069" s="45"/>
    </row>
    <row r="1070">
      <c r="A1070" s="78"/>
      <c r="B1070" s="78"/>
      <c r="C1070" s="78"/>
      <c r="D1070" s="45"/>
      <c r="E1070" s="45"/>
      <c r="F1070" s="45"/>
      <c r="G1070" s="45"/>
    </row>
    <row r="1071">
      <c r="A1071" s="78"/>
      <c r="B1071" s="78"/>
      <c r="C1071" s="78"/>
      <c r="D1071" s="45"/>
      <c r="E1071" s="45"/>
      <c r="F1071" s="45"/>
      <c r="G1071" s="45"/>
    </row>
    <row r="1072">
      <c r="A1072" s="78"/>
      <c r="B1072" s="78"/>
      <c r="C1072" s="78"/>
      <c r="D1072" s="45"/>
      <c r="E1072" s="45"/>
      <c r="F1072" s="45"/>
      <c r="G1072" s="45"/>
    </row>
    <row r="1073">
      <c r="A1073" s="78"/>
      <c r="B1073" s="78"/>
      <c r="C1073" s="78"/>
      <c r="D1073" s="45"/>
      <c r="E1073" s="45"/>
      <c r="F1073" s="45"/>
      <c r="G1073" s="45"/>
    </row>
    <row r="1074">
      <c r="A1074" s="78"/>
      <c r="B1074" s="78"/>
      <c r="C1074" s="78"/>
      <c r="D1074" s="45"/>
      <c r="E1074" s="45"/>
      <c r="F1074" s="45"/>
      <c r="G1074" s="45"/>
    </row>
    <row r="1075">
      <c r="A1075" s="78"/>
      <c r="B1075" s="78"/>
      <c r="C1075" s="78"/>
      <c r="D1075" s="45"/>
      <c r="E1075" s="45"/>
      <c r="F1075" s="45"/>
      <c r="G1075" s="45"/>
    </row>
    <row r="1076">
      <c r="A1076" s="78"/>
      <c r="B1076" s="78"/>
      <c r="C1076" s="78"/>
      <c r="D1076" s="45"/>
      <c r="E1076" s="45"/>
      <c r="F1076" s="45"/>
      <c r="G1076" s="45"/>
    </row>
    <row r="1077">
      <c r="A1077" s="78"/>
      <c r="B1077" s="78"/>
      <c r="C1077" s="78"/>
      <c r="D1077" s="45"/>
      <c r="E1077" s="45"/>
      <c r="F1077" s="45"/>
      <c r="G1077" s="45"/>
    </row>
    <row r="1078">
      <c r="A1078" s="78"/>
      <c r="B1078" s="78"/>
      <c r="C1078" s="78"/>
      <c r="D1078" s="45"/>
      <c r="E1078" s="45"/>
      <c r="F1078" s="45"/>
      <c r="G1078" s="45"/>
    </row>
    <row r="1079">
      <c r="A1079" s="78"/>
      <c r="B1079" s="78"/>
      <c r="C1079" s="78"/>
      <c r="D1079" s="45"/>
      <c r="E1079" s="45"/>
      <c r="F1079" s="45"/>
      <c r="G1079" s="45"/>
    </row>
    <row r="1080">
      <c r="A1080" s="78"/>
      <c r="B1080" s="78"/>
      <c r="C1080" s="78"/>
      <c r="D1080" s="45"/>
      <c r="E1080" s="45"/>
      <c r="F1080" s="45"/>
      <c r="G1080" s="45"/>
    </row>
    <row r="1081">
      <c r="A1081" s="78"/>
      <c r="B1081" s="78"/>
      <c r="C1081" s="78"/>
      <c r="D1081" s="45"/>
      <c r="E1081" s="45"/>
      <c r="F1081" s="45"/>
      <c r="G1081" s="45"/>
    </row>
    <row r="1082">
      <c r="A1082" s="78"/>
      <c r="B1082" s="78"/>
      <c r="C1082" s="78"/>
      <c r="D1082" s="45"/>
      <c r="E1082" s="45"/>
      <c r="F1082" s="45"/>
      <c r="G1082" s="45"/>
    </row>
    <row r="1083">
      <c r="A1083" s="78"/>
      <c r="B1083" s="78"/>
      <c r="C1083" s="78"/>
      <c r="D1083" s="45"/>
      <c r="E1083" s="45"/>
      <c r="F1083" s="45"/>
      <c r="G1083" s="45"/>
    </row>
    <row r="1084">
      <c r="A1084" s="78"/>
      <c r="B1084" s="78"/>
      <c r="C1084" s="78"/>
      <c r="D1084" s="45"/>
      <c r="E1084" s="45"/>
      <c r="F1084" s="45"/>
      <c r="G1084" s="45"/>
    </row>
    <row r="1085">
      <c r="A1085" s="78"/>
      <c r="B1085" s="78"/>
      <c r="C1085" s="78"/>
      <c r="D1085" s="45"/>
      <c r="E1085" s="45"/>
      <c r="F1085" s="45"/>
      <c r="G1085" s="45"/>
    </row>
    <row r="1086">
      <c r="A1086" s="78"/>
      <c r="B1086" s="78"/>
      <c r="C1086" s="78"/>
      <c r="D1086" s="45"/>
      <c r="E1086" s="45"/>
      <c r="F1086" s="45"/>
      <c r="G1086" s="45"/>
    </row>
    <row r="1087">
      <c r="A1087" s="78"/>
      <c r="B1087" s="78"/>
      <c r="C1087" s="78"/>
      <c r="D1087" s="45"/>
      <c r="E1087" s="45"/>
      <c r="F1087" s="45"/>
      <c r="G1087" s="45"/>
    </row>
    <row r="1088">
      <c r="A1088" s="78"/>
      <c r="B1088" s="78"/>
      <c r="C1088" s="78"/>
      <c r="D1088" s="45"/>
      <c r="E1088" s="45"/>
      <c r="F1088" s="45"/>
      <c r="G1088" s="45"/>
    </row>
    <row r="1089">
      <c r="A1089" s="78"/>
      <c r="B1089" s="78"/>
      <c r="C1089" s="78"/>
      <c r="D1089" s="45"/>
      <c r="E1089" s="45"/>
      <c r="F1089" s="45"/>
      <c r="G1089" s="45"/>
    </row>
    <row r="1090">
      <c r="A1090" s="78"/>
      <c r="B1090" s="78"/>
      <c r="C1090" s="78"/>
      <c r="D1090" s="45"/>
      <c r="E1090" s="45"/>
      <c r="F1090" s="45"/>
      <c r="G1090" s="45"/>
    </row>
    <row r="1091">
      <c r="A1091" s="78"/>
      <c r="B1091" s="78"/>
      <c r="C1091" s="78"/>
      <c r="D1091" s="45"/>
      <c r="E1091" s="45"/>
      <c r="F1091" s="45"/>
      <c r="G1091" s="45"/>
    </row>
    <row r="1092">
      <c r="A1092" s="78"/>
      <c r="B1092" s="78"/>
      <c r="C1092" s="78"/>
      <c r="D1092" s="45"/>
      <c r="E1092" s="45"/>
      <c r="F1092" s="45"/>
      <c r="G1092" s="45"/>
    </row>
    <row r="1093">
      <c r="A1093" s="78"/>
      <c r="B1093" s="78"/>
      <c r="C1093" s="78"/>
      <c r="D1093" s="45"/>
      <c r="E1093" s="45"/>
      <c r="F1093" s="45"/>
      <c r="G1093" s="45"/>
    </row>
    <row r="1094">
      <c r="A1094" s="78"/>
      <c r="B1094" s="78"/>
      <c r="C1094" s="78"/>
      <c r="D1094" s="45"/>
      <c r="E1094" s="45"/>
      <c r="F1094" s="45"/>
      <c r="G1094" s="45"/>
    </row>
    <row r="1095">
      <c r="A1095" s="78"/>
      <c r="B1095" s="78"/>
      <c r="C1095" s="78"/>
      <c r="D1095" s="45"/>
      <c r="E1095" s="45"/>
      <c r="F1095" s="45"/>
      <c r="G1095" s="45"/>
    </row>
    <row r="1096">
      <c r="A1096" s="78"/>
      <c r="B1096" s="78"/>
      <c r="C1096" s="78"/>
      <c r="D1096" s="45"/>
      <c r="E1096" s="45"/>
      <c r="F1096" s="45"/>
      <c r="G1096" s="45"/>
    </row>
    <row r="1097">
      <c r="A1097" s="78"/>
      <c r="B1097" s="78"/>
      <c r="C1097" s="78"/>
      <c r="D1097" s="45"/>
      <c r="E1097" s="45"/>
      <c r="F1097" s="45"/>
      <c r="G1097" s="45"/>
    </row>
    <row r="1098">
      <c r="A1098" s="78"/>
      <c r="B1098" s="78"/>
      <c r="C1098" s="78"/>
      <c r="D1098" s="45"/>
      <c r="E1098" s="45"/>
      <c r="F1098" s="45"/>
      <c r="G1098" s="45"/>
    </row>
    <row r="1099">
      <c r="A1099" s="78"/>
      <c r="B1099" s="78"/>
      <c r="C1099" s="78"/>
      <c r="D1099" s="45"/>
      <c r="E1099" s="45"/>
      <c r="F1099" s="45"/>
      <c r="G1099" s="45"/>
    </row>
    <row r="1100">
      <c r="A1100" s="78"/>
      <c r="B1100" s="78"/>
      <c r="C1100" s="78"/>
      <c r="D1100" s="45"/>
      <c r="E1100" s="45"/>
      <c r="F1100" s="45"/>
      <c r="G1100" s="45"/>
    </row>
    <row r="1101">
      <c r="A1101" s="78"/>
      <c r="B1101" s="78"/>
      <c r="C1101" s="78"/>
      <c r="D1101" s="45"/>
      <c r="E1101" s="45"/>
      <c r="F1101" s="45"/>
      <c r="G1101" s="45"/>
    </row>
    <row r="1102">
      <c r="A1102" s="78"/>
      <c r="B1102" s="78"/>
      <c r="C1102" s="78"/>
      <c r="D1102" s="45"/>
      <c r="E1102" s="45"/>
      <c r="F1102" s="45"/>
      <c r="G1102" s="45"/>
    </row>
    <row r="1103">
      <c r="A1103" s="78"/>
      <c r="B1103" s="78"/>
      <c r="C1103" s="78"/>
      <c r="D1103" s="45"/>
      <c r="E1103" s="45"/>
      <c r="F1103" s="45"/>
      <c r="G1103" s="45"/>
    </row>
    <row r="1104">
      <c r="A1104" s="78"/>
      <c r="B1104" s="78"/>
      <c r="C1104" s="78"/>
      <c r="D1104" s="45"/>
      <c r="E1104" s="45"/>
      <c r="F1104" s="45"/>
      <c r="G1104" s="45"/>
    </row>
    <row r="1105">
      <c r="A1105" s="78"/>
      <c r="B1105" s="78"/>
      <c r="C1105" s="78"/>
      <c r="D1105" s="45"/>
      <c r="E1105" s="45"/>
      <c r="F1105" s="45"/>
      <c r="G1105" s="45"/>
    </row>
    <row r="1106">
      <c r="A1106" s="78"/>
      <c r="B1106" s="78"/>
      <c r="C1106" s="78"/>
      <c r="D1106" s="45"/>
      <c r="E1106" s="45"/>
      <c r="F1106" s="45"/>
      <c r="G1106" s="45"/>
    </row>
    <row r="1107">
      <c r="A1107" s="78"/>
      <c r="B1107" s="78"/>
      <c r="C1107" s="78"/>
      <c r="D1107" s="45"/>
      <c r="E1107" s="45"/>
      <c r="F1107" s="45"/>
      <c r="G1107" s="45"/>
    </row>
    <row r="1108">
      <c r="A1108" s="78"/>
      <c r="B1108" s="78"/>
      <c r="C1108" s="78"/>
      <c r="D1108" s="45"/>
      <c r="E1108" s="45"/>
      <c r="F1108" s="45"/>
      <c r="G1108" s="45"/>
    </row>
    <row r="1109">
      <c r="A1109" s="78"/>
      <c r="B1109" s="78"/>
      <c r="C1109" s="78"/>
      <c r="D1109" s="45"/>
      <c r="E1109" s="45"/>
      <c r="F1109" s="45"/>
      <c r="G1109" s="45"/>
    </row>
    <row r="1110">
      <c r="A1110" s="78"/>
      <c r="B1110" s="78"/>
      <c r="C1110" s="78"/>
      <c r="D1110" s="45"/>
      <c r="E1110" s="45"/>
      <c r="F1110" s="45"/>
      <c r="G1110" s="45"/>
    </row>
    <row r="1111">
      <c r="A1111" s="78"/>
      <c r="B1111" s="78"/>
      <c r="C1111" s="78"/>
      <c r="D1111" s="45"/>
      <c r="E1111" s="45"/>
      <c r="F1111" s="45"/>
      <c r="G1111" s="45"/>
    </row>
    <row r="1112">
      <c r="A1112" s="78"/>
      <c r="B1112" s="78"/>
      <c r="C1112" s="78"/>
      <c r="D1112" s="45"/>
      <c r="E1112" s="45"/>
      <c r="F1112" s="45"/>
      <c r="G1112" s="45"/>
    </row>
    <row r="1113">
      <c r="A1113" s="78"/>
      <c r="B1113" s="78"/>
      <c r="C1113" s="78"/>
      <c r="D1113" s="45"/>
      <c r="E1113" s="45"/>
      <c r="F1113" s="45"/>
      <c r="G1113" s="45"/>
    </row>
    <row r="1114">
      <c r="A1114" s="78"/>
      <c r="B1114" s="78"/>
      <c r="C1114" s="78"/>
      <c r="D1114" s="45"/>
      <c r="E1114" s="45"/>
      <c r="F1114" s="45"/>
      <c r="G1114" s="45"/>
    </row>
    <row r="1115">
      <c r="A1115" s="78"/>
      <c r="B1115" s="78"/>
      <c r="C1115" s="78"/>
      <c r="D1115" s="45"/>
      <c r="E1115" s="45"/>
      <c r="F1115" s="45"/>
      <c r="G1115" s="45"/>
    </row>
    <row r="1116">
      <c r="A1116" s="78"/>
      <c r="B1116" s="78"/>
      <c r="C1116" s="78"/>
      <c r="D1116" s="45"/>
      <c r="E1116" s="45"/>
      <c r="F1116" s="45"/>
      <c r="G1116" s="45"/>
    </row>
    <row r="1117">
      <c r="A1117" s="78"/>
      <c r="B1117" s="78"/>
      <c r="C1117" s="78"/>
      <c r="D1117" s="45"/>
      <c r="E1117" s="45"/>
      <c r="F1117" s="45"/>
      <c r="G1117" s="45"/>
    </row>
    <row r="1118">
      <c r="A1118" s="78"/>
      <c r="B1118" s="78"/>
      <c r="C1118" s="78"/>
      <c r="D1118" s="45"/>
      <c r="E1118" s="45"/>
      <c r="F1118" s="45"/>
      <c r="G1118" s="45"/>
    </row>
    <row r="1119">
      <c r="A1119" s="78"/>
      <c r="B1119" s="78"/>
      <c r="C1119" s="78"/>
      <c r="D1119" s="45"/>
      <c r="E1119" s="45"/>
      <c r="F1119" s="45"/>
      <c r="G1119" s="45"/>
    </row>
    <row r="1120">
      <c r="A1120" s="78"/>
      <c r="B1120" s="78"/>
      <c r="C1120" s="78"/>
      <c r="D1120" s="45"/>
      <c r="E1120" s="45"/>
      <c r="F1120" s="45"/>
      <c r="G1120" s="45"/>
    </row>
    <row r="1121">
      <c r="A1121" s="78"/>
      <c r="B1121" s="78"/>
      <c r="C1121" s="78"/>
      <c r="D1121" s="45"/>
      <c r="E1121" s="45"/>
      <c r="F1121" s="45"/>
      <c r="G1121" s="45"/>
    </row>
    <row r="1122">
      <c r="A1122" s="78"/>
      <c r="B1122" s="78"/>
      <c r="C1122" s="78"/>
      <c r="D1122" s="45"/>
      <c r="E1122" s="45"/>
      <c r="F1122" s="45"/>
      <c r="G1122" s="45"/>
    </row>
    <row r="1123">
      <c r="A1123" s="78"/>
      <c r="B1123" s="78"/>
      <c r="C1123" s="78"/>
      <c r="D1123" s="45"/>
      <c r="E1123" s="45"/>
      <c r="F1123" s="45"/>
      <c r="G1123" s="45"/>
    </row>
    <row r="1124">
      <c r="A1124" s="78"/>
      <c r="B1124" s="78"/>
      <c r="C1124" s="78"/>
      <c r="D1124" s="45"/>
      <c r="E1124" s="45"/>
      <c r="F1124" s="45"/>
      <c r="G1124" s="45"/>
    </row>
    <row r="1125">
      <c r="A1125" s="78"/>
      <c r="B1125" s="78"/>
      <c r="C1125" s="78"/>
      <c r="D1125" s="45"/>
      <c r="E1125" s="45"/>
      <c r="F1125" s="45"/>
      <c r="G1125" s="45"/>
    </row>
    <row r="1126">
      <c r="A1126" s="78"/>
      <c r="B1126" s="78"/>
      <c r="C1126" s="78"/>
      <c r="D1126" s="45"/>
      <c r="E1126" s="45"/>
      <c r="F1126" s="45"/>
      <c r="G1126" s="45"/>
    </row>
    <row r="1127">
      <c r="A1127" s="78"/>
      <c r="B1127" s="78"/>
      <c r="C1127" s="78"/>
      <c r="D1127" s="45"/>
      <c r="E1127" s="45"/>
      <c r="F1127" s="45"/>
      <c r="G1127" s="45"/>
    </row>
    <row r="1128">
      <c r="A1128" s="78"/>
      <c r="B1128" s="78"/>
      <c r="C1128" s="78"/>
      <c r="D1128" s="45"/>
      <c r="E1128" s="45"/>
      <c r="F1128" s="45"/>
      <c r="G1128" s="45"/>
    </row>
    <row r="1129">
      <c r="A1129" s="78"/>
      <c r="B1129" s="78"/>
      <c r="C1129" s="78"/>
      <c r="D1129" s="45"/>
      <c r="E1129" s="45"/>
      <c r="F1129" s="45"/>
      <c r="G1129" s="45"/>
    </row>
    <row r="1130">
      <c r="A1130" s="78"/>
      <c r="B1130" s="78"/>
      <c r="C1130" s="78"/>
      <c r="D1130" s="45"/>
      <c r="E1130" s="45"/>
      <c r="F1130" s="45"/>
      <c r="G1130" s="45"/>
    </row>
    <row r="1131">
      <c r="A1131" s="78"/>
      <c r="B1131" s="78"/>
      <c r="C1131" s="78"/>
      <c r="D1131" s="45"/>
      <c r="E1131" s="45"/>
      <c r="F1131" s="45"/>
      <c r="G1131" s="45"/>
    </row>
    <row r="1132">
      <c r="A1132" s="78"/>
      <c r="B1132" s="78"/>
      <c r="C1132" s="78"/>
      <c r="D1132" s="45"/>
      <c r="E1132" s="45"/>
      <c r="F1132" s="45"/>
      <c r="G1132" s="45"/>
    </row>
    <row r="1133">
      <c r="A1133" s="78"/>
      <c r="B1133" s="78"/>
      <c r="C1133" s="78"/>
      <c r="D1133" s="45"/>
      <c r="E1133" s="45"/>
      <c r="F1133" s="45"/>
      <c r="G1133" s="45"/>
    </row>
    <row r="1134">
      <c r="A1134" s="78"/>
      <c r="B1134" s="78"/>
      <c r="C1134" s="78"/>
      <c r="D1134" s="45"/>
      <c r="E1134" s="45"/>
      <c r="F1134" s="45"/>
      <c r="G1134" s="45"/>
    </row>
    <row r="1135">
      <c r="A1135" s="78"/>
      <c r="B1135" s="78"/>
      <c r="C1135" s="78"/>
      <c r="D1135" s="45"/>
      <c r="E1135" s="45"/>
      <c r="F1135" s="45"/>
      <c r="G1135" s="45"/>
    </row>
    <row r="1136">
      <c r="A1136" s="78"/>
      <c r="B1136" s="78"/>
      <c r="C1136" s="78"/>
      <c r="D1136" s="45"/>
      <c r="E1136" s="45"/>
      <c r="F1136" s="45"/>
      <c r="G1136" s="45"/>
    </row>
    <row r="1137">
      <c r="A1137" s="78"/>
      <c r="B1137" s="78"/>
      <c r="C1137" s="78"/>
      <c r="D1137" s="45"/>
      <c r="E1137" s="45"/>
      <c r="F1137" s="45"/>
      <c r="G1137" s="45"/>
    </row>
    <row r="1138">
      <c r="A1138" s="78"/>
      <c r="B1138" s="78"/>
      <c r="C1138" s="78"/>
      <c r="D1138" s="45"/>
      <c r="E1138" s="45"/>
      <c r="F1138" s="45"/>
      <c r="G1138" s="45"/>
    </row>
    <row r="1139">
      <c r="A1139" s="78"/>
      <c r="B1139" s="78"/>
      <c r="C1139" s="78"/>
      <c r="D1139" s="45"/>
      <c r="E1139" s="45"/>
      <c r="F1139" s="45"/>
      <c r="G1139" s="45"/>
    </row>
    <row r="1140">
      <c r="A1140" s="78"/>
      <c r="B1140" s="78"/>
      <c r="C1140" s="78"/>
      <c r="D1140" s="45"/>
      <c r="E1140" s="45"/>
      <c r="F1140" s="45"/>
      <c r="G1140" s="45"/>
    </row>
    <row r="1141">
      <c r="A1141" s="78"/>
      <c r="B1141" s="78"/>
      <c r="C1141" s="78"/>
      <c r="D1141" s="45"/>
      <c r="E1141" s="45"/>
      <c r="F1141" s="45"/>
      <c r="G1141" s="45"/>
    </row>
    <row r="1142">
      <c r="A1142" s="78"/>
      <c r="B1142" s="78"/>
      <c r="C1142" s="78"/>
      <c r="D1142" s="45"/>
      <c r="E1142" s="45"/>
      <c r="F1142" s="45"/>
      <c r="G1142" s="45"/>
    </row>
    <row r="1143">
      <c r="A1143" s="78"/>
      <c r="B1143" s="78"/>
      <c r="C1143" s="78"/>
      <c r="D1143" s="45"/>
      <c r="E1143" s="45"/>
      <c r="F1143" s="45"/>
      <c r="G1143" s="45"/>
    </row>
    <row r="1144">
      <c r="A1144" s="78"/>
      <c r="B1144" s="78"/>
      <c r="C1144" s="78"/>
      <c r="D1144" s="45"/>
      <c r="E1144" s="45"/>
      <c r="F1144" s="45"/>
      <c r="G1144" s="45"/>
    </row>
    <row r="1145">
      <c r="A1145" s="78"/>
      <c r="B1145" s="78"/>
      <c r="C1145" s="78"/>
      <c r="D1145" s="45"/>
      <c r="E1145" s="45"/>
      <c r="F1145" s="45"/>
      <c r="G1145" s="45"/>
    </row>
    <row r="1146">
      <c r="A1146" s="78"/>
      <c r="B1146" s="78"/>
      <c r="C1146" s="78"/>
      <c r="D1146" s="45"/>
      <c r="E1146" s="45"/>
      <c r="F1146" s="45"/>
      <c r="G1146" s="45"/>
    </row>
    <row r="1147">
      <c r="A1147" s="78"/>
      <c r="B1147" s="78"/>
      <c r="C1147" s="78"/>
      <c r="D1147" s="45"/>
      <c r="E1147" s="45"/>
      <c r="F1147" s="45"/>
      <c r="G1147" s="45"/>
    </row>
    <row r="1148">
      <c r="A1148" s="78"/>
      <c r="B1148" s="78"/>
      <c r="C1148" s="78"/>
      <c r="D1148" s="45"/>
      <c r="E1148" s="45"/>
      <c r="F1148" s="45"/>
      <c r="G1148" s="45"/>
    </row>
    <row r="1149">
      <c r="A1149" s="78"/>
      <c r="B1149" s="78"/>
      <c r="C1149" s="78"/>
      <c r="D1149" s="45"/>
      <c r="E1149" s="45"/>
      <c r="F1149" s="45"/>
      <c r="G1149" s="45"/>
    </row>
    <row r="1150">
      <c r="A1150" s="78"/>
      <c r="B1150" s="78"/>
      <c r="C1150" s="78"/>
      <c r="D1150" s="45"/>
      <c r="E1150" s="45"/>
      <c r="F1150" s="45"/>
      <c r="G1150" s="45"/>
    </row>
    <row r="1151">
      <c r="A1151" s="78"/>
      <c r="B1151" s="78"/>
      <c r="C1151" s="78"/>
      <c r="D1151" s="45"/>
      <c r="E1151" s="45"/>
      <c r="F1151" s="45"/>
      <c r="G1151" s="45"/>
    </row>
    <row r="1152">
      <c r="A1152" s="78"/>
      <c r="B1152" s="78"/>
      <c r="C1152" s="78"/>
      <c r="D1152" s="45"/>
      <c r="E1152" s="45"/>
      <c r="F1152" s="45"/>
      <c r="G1152" s="45"/>
    </row>
    <row r="1153">
      <c r="A1153" s="78"/>
      <c r="B1153" s="78"/>
      <c r="C1153" s="78"/>
      <c r="D1153" s="45"/>
      <c r="E1153" s="45"/>
      <c r="F1153" s="45"/>
      <c r="G1153" s="45"/>
    </row>
    <row r="1154">
      <c r="A1154" s="78"/>
      <c r="B1154" s="78"/>
      <c r="C1154" s="78"/>
      <c r="D1154" s="45"/>
      <c r="E1154" s="45"/>
      <c r="F1154" s="45"/>
      <c r="G1154" s="45"/>
    </row>
    <row r="1155">
      <c r="A1155" s="78"/>
      <c r="B1155" s="78"/>
      <c r="C1155" s="78"/>
      <c r="D1155" s="45"/>
      <c r="E1155" s="45"/>
      <c r="F1155" s="45"/>
      <c r="G1155" s="45"/>
    </row>
    <row r="1156">
      <c r="A1156" s="78"/>
      <c r="B1156" s="78"/>
      <c r="C1156" s="78"/>
      <c r="D1156" s="45"/>
      <c r="E1156" s="45"/>
      <c r="F1156" s="45"/>
      <c r="G1156" s="45"/>
    </row>
    <row r="1157">
      <c r="A1157" s="78"/>
      <c r="B1157" s="78"/>
      <c r="C1157" s="78"/>
      <c r="D1157" s="45"/>
      <c r="E1157" s="45"/>
      <c r="F1157" s="45"/>
      <c r="G1157" s="45"/>
    </row>
    <row r="1158">
      <c r="A1158" s="78"/>
      <c r="B1158" s="78"/>
      <c r="C1158" s="78"/>
      <c r="D1158" s="45"/>
      <c r="E1158" s="45"/>
      <c r="F1158" s="45"/>
      <c r="G1158" s="45"/>
    </row>
    <row r="1159">
      <c r="A1159" s="78"/>
      <c r="B1159" s="78"/>
      <c r="C1159" s="78"/>
      <c r="D1159" s="45"/>
      <c r="E1159" s="45"/>
      <c r="F1159" s="45"/>
      <c r="G1159" s="45"/>
    </row>
    <row r="1160">
      <c r="A1160" s="78"/>
      <c r="B1160" s="78"/>
      <c r="C1160" s="78"/>
      <c r="D1160" s="45"/>
      <c r="E1160" s="45"/>
      <c r="F1160" s="45"/>
      <c r="G1160" s="45"/>
    </row>
    <row r="1161">
      <c r="A1161" s="78"/>
      <c r="B1161" s="78"/>
      <c r="C1161" s="78"/>
      <c r="D1161" s="45"/>
      <c r="E1161" s="45"/>
      <c r="F1161" s="45"/>
      <c r="G1161" s="45"/>
    </row>
    <row r="1162">
      <c r="A1162" s="78"/>
      <c r="B1162" s="78"/>
      <c r="C1162" s="78"/>
      <c r="D1162" s="45"/>
      <c r="E1162" s="45"/>
      <c r="F1162" s="45"/>
      <c r="G1162" s="45"/>
    </row>
    <row r="1163">
      <c r="A1163" s="78"/>
      <c r="B1163" s="78"/>
      <c r="C1163" s="78"/>
      <c r="D1163" s="45"/>
      <c r="E1163" s="45"/>
      <c r="F1163" s="45"/>
      <c r="G1163" s="45"/>
    </row>
    <row r="1164">
      <c r="A1164" s="78"/>
      <c r="B1164" s="78"/>
      <c r="C1164" s="78"/>
      <c r="D1164" s="45"/>
      <c r="E1164" s="45"/>
      <c r="F1164" s="45"/>
      <c r="G1164" s="45"/>
    </row>
    <row r="1165">
      <c r="A1165" s="78"/>
      <c r="B1165" s="78"/>
      <c r="C1165" s="78"/>
      <c r="D1165" s="45"/>
      <c r="E1165" s="45"/>
      <c r="F1165" s="45"/>
      <c r="G1165" s="45"/>
    </row>
    <row r="1166">
      <c r="A1166" s="78"/>
      <c r="B1166" s="78"/>
      <c r="C1166" s="78"/>
      <c r="D1166" s="45"/>
      <c r="E1166" s="45"/>
      <c r="F1166" s="45"/>
      <c r="G1166" s="45"/>
    </row>
    <row r="1167">
      <c r="A1167" s="78"/>
      <c r="B1167" s="78"/>
      <c r="C1167" s="78"/>
      <c r="D1167" s="45"/>
      <c r="E1167" s="45"/>
      <c r="F1167" s="45"/>
      <c r="G1167" s="45"/>
    </row>
    <row r="1168">
      <c r="A1168" s="78"/>
      <c r="B1168" s="78"/>
      <c r="C1168" s="78"/>
      <c r="D1168" s="45"/>
      <c r="E1168" s="45"/>
      <c r="F1168" s="45"/>
      <c r="G1168" s="45"/>
    </row>
    <row r="1169">
      <c r="A1169" s="78"/>
      <c r="B1169" s="78"/>
      <c r="C1169" s="78"/>
      <c r="D1169" s="45"/>
      <c r="E1169" s="45"/>
      <c r="F1169" s="45"/>
      <c r="G1169" s="45"/>
    </row>
    <row r="1170">
      <c r="A1170" s="78"/>
      <c r="B1170" s="78"/>
      <c r="C1170" s="78"/>
      <c r="D1170" s="45"/>
      <c r="E1170" s="45"/>
      <c r="F1170" s="45"/>
      <c r="G1170" s="45"/>
    </row>
    <row r="1171">
      <c r="A1171" s="78"/>
      <c r="B1171" s="78"/>
      <c r="C1171" s="78"/>
      <c r="D1171" s="45"/>
      <c r="E1171" s="45"/>
      <c r="F1171" s="45"/>
      <c r="G1171" s="45"/>
    </row>
    <row r="1172">
      <c r="A1172" s="78"/>
      <c r="B1172" s="78"/>
      <c r="C1172" s="78"/>
      <c r="D1172" s="45"/>
      <c r="E1172" s="45"/>
      <c r="F1172" s="45"/>
      <c r="G1172" s="45"/>
    </row>
    <row r="1173">
      <c r="A1173" s="78"/>
      <c r="B1173" s="78"/>
      <c r="C1173" s="78"/>
      <c r="D1173" s="45"/>
      <c r="E1173" s="45"/>
      <c r="F1173" s="45"/>
      <c r="G1173" s="45"/>
    </row>
    <row r="1174">
      <c r="A1174" s="78"/>
      <c r="B1174" s="78"/>
      <c r="C1174" s="78"/>
      <c r="D1174" s="45"/>
      <c r="E1174" s="45"/>
      <c r="F1174" s="45"/>
      <c r="G1174" s="45"/>
    </row>
    <row r="1175">
      <c r="A1175" s="78"/>
      <c r="B1175" s="78"/>
      <c r="C1175" s="78"/>
      <c r="D1175" s="45"/>
      <c r="E1175" s="45"/>
      <c r="F1175" s="45"/>
      <c r="G1175" s="45"/>
    </row>
    <row r="1176">
      <c r="A1176" s="78"/>
      <c r="B1176" s="78"/>
      <c r="C1176" s="78"/>
      <c r="D1176" s="45"/>
      <c r="E1176" s="45"/>
      <c r="F1176" s="45"/>
      <c r="G1176" s="45"/>
    </row>
    <row r="1177">
      <c r="A1177" s="78"/>
      <c r="B1177" s="78"/>
      <c r="C1177" s="78"/>
      <c r="D1177" s="45"/>
      <c r="E1177" s="45"/>
      <c r="F1177" s="45"/>
      <c r="G1177" s="45"/>
    </row>
    <row r="1178">
      <c r="A1178" s="78"/>
      <c r="B1178" s="78"/>
      <c r="C1178" s="78"/>
      <c r="D1178" s="45"/>
      <c r="E1178" s="45"/>
      <c r="F1178" s="45"/>
      <c r="G1178" s="45"/>
    </row>
    <row r="1179">
      <c r="A1179" s="78"/>
      <c r="B1179" s="78"/>
      <c r="C1179" s="78"/>
      <c r="D1179" s="45"/>
      <c r="E1179" s="45"/>
      <c r="F1179" s="45"/>
      <c r="G1179" s="45"/>
    </row>
    <row r="1180">
      <c r="A1180" s="78"/>
      <c r="B1180" s="78"/>
      <c r="C1180" s="78"/>
      <c r="D1180" s="45"/>
      <c r="E1180" s="45"/>
      <c r="F1180" s="45"/>
      <c r="G1180" s="45"/>
    </row>
    <row r="1181">
      <c r="A1181" s="78"/>
      <c r="B1181" s="78"/>
      <c r="C1181" s="78"/>
      <c r="D1181" s="45"/>
      <c r="E1181" s="45"/>
      <c r="F1181" s="45"/>
      <c r="G1181" s="45"/>
    </row>
    <row r="1182">
      <c r="A1182" s="78"/>
      <c r="B1182" s="78"/>
      <c r="C1182" s="78"/>
      <c r="D1182" s="45"/>
      <c r="E1182" s="45"/>
      <c r="F1182" s="45"/>
      <c r="G1182" s="45"/>
    </row>
    <row r="1183">
      <c r="A1183" s="78"/>
      <c r="B1183" s="78"/>
      <c r="C1183" s="78"/>
      <c r="D1183" s="45"/>
      <c r="E1183" s="45"/>
      <c r="F1183" s="45"/>
      <c r="G1183" s="45"/>
    </row>
    <row r="1184">
      <c r="A1184" s="78"/>
      <c r="B1184" s="78"/>
      <c r="C1184" s="78"/>
      <c r="D1184" s="45"/>
      <c r="E1184" s="45"/>
      <c r="F1184" s="45"/>
      <c r="G1184" s="45"/>
    </row>
    <row r="1185">
      <c r="A1185" s="78"/>
      <c r="B1185" s="78"/>
      <c r="C1185" s="78"/>
      <c r="D1185" s="45"/>
      <c r="E1185" s="45"/>
      <c r="F1185" s="45"/>
      <c r="G1185" s="45"/>
    </row>
    <row r="1186">
      <c r="A1186" s="78"/>
      <c r="B1186" s="78"/>
      <c r="C1186" s="78"/>
      <c r="D1186" s="45"/>
      <c r="E1186" s="45"/>
      <c r="F1186" s="45"/>
      <c r="G1186" s="45"/>
    </row>
    <row r="1187">
      <c r="A1187" s="78"/>
      <c r="B1187" s="78"/>
      <c r="C1187" s="78"/>
      <c r="D1187" s="45"/>
      <c r="E1187" s="45"/>
      <c r="F1187" s="45"/>
      <c r="G1187" s="45"/>
    </row>
    <row r="1188">
      <c r="A1188" s="78"/>
      <c r="B1188" s="78"/>
      <c r="C1188" s="78"/>
      <c r="D1188" s="45"/>
      <c r="E1188" s="45"/>
      <c r="F1188" s="45"/>
      <c r="G1188" s="45"/>
    </row>
    <row r="1189">
      <c r="A1189" s="78"/>
      <c r="B1189" s="78"/>
      <c r="C1189" s="78"/>
      <c r="D1189" s="45"/>
      <c r="E1189" s="45"/>
      <c r="F1189" s="45"/>
      <c r="G1189" s="45"/>
    </row>
    <row r="1190">
      <c r="A1190" s="78"/>
      <c r="B1190" s="78"/>
      <c r="C1190" s="78"/>
      <c r="D1190" s="45"/>
      <c r="E1190" s="45"/>
      <c r="F1190" s="45"/>
      <c r="G1190" s="45"/>
    </row>
    <row r="1191">
      <c r="A1191" s="78"/>
      <c r="B1191" s="78"/>
      <c r="C1191" s="78"/>
      <c r="D1191" s="45"/>
      <c r="E1191" s="45"/>
      <c r="F1191" s="45"/>
      <c r="G1191" s="45"/>
    </row>
    <row r="1192">
      <c r="A1192" s="78"/>
      <c r="B1192" s="78"/>
      <c r="C1192" s="78"/>
      <c r="D1192" s="45"/>
      <c r="E1192" s="45"/>
      <c r="F1192" s="45"/>
      <c r="G1192" s="45"/>
    </row>
    <row r="1193">
      <c r="A1193" s="78"/>
      <c r="B1193" s="78"/>
      <c r="C1193" s="78"/>
      <c r="D1193" s="45"/>
      <c r="E1193" s="45"/>
      <c r="F1193" s="45"/>
      <c r="G1193" s="45"/>
    </row>
    <row r="1194">
      <c r="A1194" s="78"/>
      <c r="B1194" s="78"/>
      <c r="C1194" s="78"/>
      <c r="D1194" s="45"/>
      <c r="E1194" s="45"/>
      <c r="F1194" s="45"/>
      <c r="G1194" s="45"/>
    </row>
    <row r="1195">
      <c r="A1195" s="78"/>
      <c r="B1195" s="78"/>
      <c r="C1195" s="78"/>
      <c r="D1195" s="45"/>
      <c r="E1195" s="45"/>
      <c r="F1195" s="45"/>
      <c r="G1195" s="45"/>
    </row>
    <row r="1196">
      <c r="A1196" s="78"/>
      <c r="B1196" s="78"/>
      <c r="C1196" s="78"/>
      <c r="D1196" s="45"/>
      <c r="E1196" s="45"/>
      <c r="F1196" s="45"/>
      <c r="G1196" s="45"/>
    </row>
    <row r="1197">
      <c r="A1197" s="78"/>
      <c r="B1197" s="78"/>
      <c r="C1197" s="78"/>
      <c r="D1197" s="45"/>
      <c r="E1197" s="45"/>
      <c r="F1197" s="45"/>
      <c r="G1197" s="45"/>
    </row>
    <row r="1198">
      <c r="A1198" s="78"/>
      <c r="B1198" s="78"/>
      <c r="C1198" s="78"/>
      <c r="D1198" s="45"/>
      <c r="E1198" s="45"/>
      <c r="F1198" s="45"/>
      <c r="G1198" s="45"/>
    </row>
    <row r="1199">
      <c r="A1199" s="78"/>
      <c r="B1199" s="78"/>
      <c r="C1199" s="78"/>
      <c r="D1199" s="45"/>
      <c r="E1199" s="45"/>
      <c r="F1199" s="45"/>
      <c r="G1199" s="45"/>
    </row>
    <row r="1200">
      <c r="A1200" s="78"/>
      <c r="B1200" s="78"/>
      <c r="C1200" s="78"/>
      <c r="D1200" s="45"/>
      <c r="E1200" s="45"/>
      <c r="F1200" s="45"/>
      <c r="G1200" s="45"/>
    </row>
    <row r="1201">
      <c r="A1201" s="78"/>
      <c r="B1201" s="78"/>
      <c r="C1201" s="78"/>
      <c r="D1201" s="45"/>
      <c r="E1201" s="45"/>
      <c r="F1201" s="45"/>
      <c r="G1201" s="45"/>
    </row>
    <row r="1202">
      <c r="A1202" s="78"/>
      <c r="B1202" s="78"/>
      <c r="C1202" s="78"/>
      <c r="D1202" s="45"/>
      <c r="E1202" s="45"/>
      <c r="F1202" s="45"/>
      <c r="G1202" s="45"/>
    </row>
    <row r="1203">
      <c r="A1203" s="78"/>
      <c r="B1203" s="78"/>
      <c r="C1203" s="78"/>
      <c r="D1203" s="45"/>
      <c r="E1203" s="45"/>
      <c r="F1203" s="45"/>
      <c r="G1203" s="45"/>
    </row>
    <row r="1204">
      <c r="A1204" s="78"/>
      <c r="B1204" s="78"/>
      <c r="C1204" s="78"/>
      <c r="D1204" s="45"/>
      <c r="E1204" s="45"/>
      <c r="F1204" s="45"/>
      <c r="G1204" s="45"/>
    </row>
    <row r="1205">
      <c r="A1205" s="78"/>
      <c r="B1205" s="78"/>
      <c r="C1205" s="78"/>
      <c r="D1205" s="45"/>
      <c r="E1205" s="45"/>
      <c r="F1205" s="45"/>
      <c r="G1205" s="45"/>
    </row>
    <row r="1206">
      <c r="A1206" s="78"/>
      <c r="B1206" s="78"/>
      <c r="C1206" s="78"/>
      <c r="D1206" s="45"/>
      <c r="E1206" s="45"/>
      <c r="F1206" s="45"/>
      <c r="G1206" s="45"/>
    </row>
    <row r="1207">
      <c r="A1207" s="78"/>
      <c r="B1207" s="78"/>
      <c r="C1207" s="78"/>
      <c r="D1207" s="45"/>
      <c r="E1207" s="45"/>
      <c r="F1207" s="45"/>
      <c r="G1207" s="45"/>
    </row>
    <row r="1208">
      <c r="A1208" s="78"/>
      <c r="B1208" s="78"/>
      <c r="C1208" s="78"/>
      <c r="D1208" s="45"/>
      <c r="E1208" s="45"/>
      <c r="F1208" s="45"/>
      <c r="G1208" s="45"/>
    </row>
    <row r="1209">
      <c r="A1209" s="78"/>
      <c r="B1209" s="78"/>
      <c r="C1209" s="78"/>
      <c r="D1209" s="45"/>
      <c r="E1209" s="45"/>
      <c r="F1209" s="45"/>
      <c r="G1209" s="45"/>
    </row>
    <row r="1210">
      <c r="A1210" s="78"/>
      <c r="B1210" s="78"/>
      <c r="C1210" s="78"/>
      <c r="D1210" s="45"/>
      <c r="E1210" s="45"/>
      <c r="F1210" s="45"/>
      <c r="G1210" s="45"/>
    </row>
    <row r="1211">
      <c r="A1211" s="78"/>
      <c r="B1211" s="78"/>
      <c r="C1211" s="78"/>
      <c r="D1211" s="45"/>
      <c r="E1211" s="45"/>
      <c r="F1211" s="45"/>
      <c r="G1211" s="45"/>
    </row>
    <row r="1212">
      <c r="A1212" s="78"/>
      <c r="B1212" s="78"/>
      <c r="C1212" s="78"/>
      <c r="D1212" s="45"/>
      <c r="E1212" s="45"/>
      <c r="F1212" s="45"/>
      <c r="G1212" s="45"/>
    </row>
    <row r="1213">
      <c r="A1213" s="78"/>
      <c r="B1213" s="78"/>
      <c r="C1213" s="78"/>
      <c r="D1213" s="45"/>
      <c r="E1213" s="45"/>
      <c r="F1213" s="45"/>
      <c r="G1213" s="45"/>
    </row>
    <row r="1214">
      <c r="A1214" s="78"/>
      <c r="B1214" s="78"/>
      <c r="C1214" s="78"/>
      <c r="D1214" s="45"/>
      <c r="E1214" s="45"/>
      <c r="F1214" s="45"/>
      <c r="G1214" s="45"/>
    </row>
    <row r="1215">
      <c r="A1215" s="78"/>
      <c r="B1215" s="78"/>
      <c r="C1215" s="78"/>
      <c r="D1215" s="45"/>
      <c r="E1215" s="45"/>
      <c r="F1215" s="45"/>
      <c r="G1215" s="45"/>
    </row>
    <row r="1216">
      <c r="A1216" s="78"/>
      <c r="B1216" s="78"/>
      <c r="C1216" s="78"/>
      <c r="D1216" s="45"/>
      <c r="E1216" s="45"/>
      <c r="F1216" s="45"/>
      <c r="G1216" s="45"/>
    </row>
    <row r="1217">
      <c r="A1217" s="78"/>
      <c r="B1217" s="78"/>
      <c r="C1217" s="78"/>
      <c r="D1217" s="45"/>
      <c r="E1217" s="45"/>
      <c r="F1217" s="45"/>
      <c r="G1217" s="45"/>
    </row>
    <row r="1218">
      <c r="A1218" s="78"/>
      <c r="B1218" s="78"/>
      <c r="C1218" s="78"/>
      <c r="D1218" s="45"/>
      <c r="E1218" s="45"/>
      <c r="F1218" s="45"/>
      <c r="G1218" s="45"/>
    </row>
    <row r="1219">
      <c r="A1219" s="78"/>
      <c r="B1219" s="78"/>
      <c r="C1219" s="78"/>
      <c r="D1219" s="45"/>
      <c r="E1219" s="45"/>
      <c r="F1219" s="45"/>
      <c r="G1219" s="45"/>
    </row>
    <row r="1220">
      <c r="A1220" s="78"/>
      <c r="B1220" s="78"/>
      <c r="C1220" s="78"/>
      <c r="D1220" s="45"/>
      <c r="E1220" s="45"/>
      <c r="F1220" s="45"/>
      <c r="G1220" s="45"/>
    </row>
    <row r="1221">
      <c r="A1221" s="78"/>
      <c r="B1221" s="78"/>
      <c r="C1221" s="78"/>
      <c r="D1221" s="45"/>
      <c r="E1221" s="45"/>
      <c r="F1221" s="45"/>
      <c r="G1221" s="45"/>
    </row>
    <row r="1222">
      <c r="A1222" s="78"/>
      <c r="B1222" s="78"/>
      <c r="C1222" s="78"/>
      <c r="D1222" s="45"/>
      <c r="E1222" s="45"/>
      <c r="F1222" s="45"/>
      <c r="G1222" s="45"/>
    </row>
    <row r="1223">
      <c r="A1223" s="78"/>
      <c r="B1223" s="78"/>
      <c r="C1223" s="78"/>
      <c r="D1223" s="45"/>
      <c r="E1223" s="45"/>
      <c r="F1223" s="45"/>
      <c r="G1223" s="45"/>
    </row>
    <row r="1224">
      <c r="A1224" s="78"/>
      <c r="B1224" s="78"/>
      <c r="C1224" s="78"/>
      <c r="D1224" s="45"/>
      <c r="E1224" s="45"/>
      <c r="F1224" s="45"/>
      <c r="G1224" s="45"/>
    </row>
    <row r="1225">
      <c r="A1225" s="78"/>
      <c r="B1225" s="78"/>
      <c r="C1225" s="78"/>
      <c r="D1225" s="45"/>
      <c r="E1225" s="45"/>
      <c r="F1225" s="45"/>
      <c r="G1225" s="45"/>
    </row>
    <row r="1226">
      <c r="A1226" s="78"/>
      <c r="B1226" s="78"/>
      <c r="C1226" s="78"/>
      <c r="D1226" s="45"/>
      <c r="E1226" s="45"/>
      <c r="F1226" s="45"/>
      <c r="G1226" s="45"/>
    </row>
    <row r="1227">
      <c r="A1227" s="78"/>
      <c r="B1227" s="78"/>
      <c r="C1227" s="78"/>
      <c r="D1227" s="45"/>
      <c r="E1227" s="45"/>
      <c r="F1227" s="45"/>
      <c r="G1227" s="45"/>
    </row>
    <row r="1228">
      <c r="A1228" s="78"/>
      <c r="B1228" s="78"/>
      <c r="C1228" s="78"/>
      <c r="D1228" s="45"/>
      <c r="E1228" s="45"/>
      <c r="F1228" s="45"/>
      <c r="G1228" s="45"/>
    </row>
    <row r="1229">
      <c r="A1229" s="78"/>
      <c r="B1229" s="78"/>
      <c r="C1229" s="78"/>
      <c r="D1229" s="45"/>
      <c r="E1229" s="45"/>
      <c r="F1229" s="45"/>
      <c r="G1229" s="45"/>
    </row>
    <row r="1230">
      <c r="A1230" s="78"/>
      <c r="B1230" s="78"/>
      <c r="C1230" s="78"/>
      <c r="D1230" s="45"/>
      <c r="E1230" s="45"/>
      <c r="F1230" s="45"/>
      <c r="G1230" s="45"/>
    </row>
    <row r="1231">
      <c r="A1231" s="78"/>
      <c r="B1231" s="78"/>
      <c r="C1231" s="78"/>
      <c r="D1231" s="45"/>
      <c r="E1231" s="45"/>
      <c r="F1231" s="45"/>
      <c r="G1231" s="45"/>
    </row>
    <row r="1232">
      <c r="A1232" s="78"/>
      <c r="B1232" s="78"/>
      <c r="C1232" s="78"/>
      <c r="D1232" s="45"/>
      <c r="E1232" s="45"/>
      <c r="F1232" s="45"/>
      <c r="G1232" s="45"/>
    </row>
    <row r="1233">
      <c r="A1233" s="78"/>
      <c r="B1233" s="78"/>
      <c r="C1233" s="78"/>
      <c r="D1233" s="45"/>
      <c r="E1233" s="45"/>
      <c r="F1233" s="45"/>
      <c r="G1233" s="45"/>
    </row>
    <row r="1234">
      <c r="A1234" s="78"/>
      <c r="B1234" s="78"/>
      <c r="C1234" s="78"/>
      <c r="D1234" s="45"/>
      <c r="E1234" s="45"/>
      <c r="F1234" s="45"/>
      <c r="G1234" s="45"/>
    </row>
    <row r="1235">
      <c r="A1235" s="78"/>
      <c r="B1235" s="78"/>
      <c r="C1235" s="78"/>
      <c r="D1235" s="45"/>
      <c r="E1235" s="45"/>
      <c r="F1235" s="45"/>
      <c r="G1235" s="45"/>
    </row>
    <row r="1236">
      <c r="A1236" s="78"/>
      <c r="B1236" s="78"/>
      <c r="C1236" s="78"/>
      <c r="D1236" s="45"/>
      <c r="E1236" s="45"/>
      <c r="F1236" s="45"/>
      <c r="G1236" s="45"/>
    </row>
    <row r="1237">
      <c r="A1237" s="78"/>
      <c r="B1237" s="78"/>
      <c r="C1237" s="78"/>
      <c r="D1237" s="45"/>
      <c r="E1237" s="45"/>
      <c r="F1237" s="45"/>
      <c r="G1237" s="45"/>
    </row>
    <row r="1238">
      <c r="A1238" s="78"/>
      <c r="B1238" s="78"/>
      <c r="C1238" s="78"/>
      <c r="D1238" s="45"/>
      <c r="E1238" s="45"/>
      <c r="F1238" s="45"/>
      <c r="G1238" s="45"/>
    </row>
    <row r="1239">
      <c r="A1239" s="78"/>
      <c r="B1239" s="78"/>
      <c r="C1239" s="78"/>
      <c r="D1239" s="45"/>
      <c r="E1239" s="45"/>
      <c r="F1239" s="45"/>
      <c r="G1239" s="45"/>
    </row>
    <row r="1240">
      <c r="A1240" s="78"/>
      <c r="B1240" s="78"/>
      <c r="C1240" s="78"/>
      <c r="D1240" s="45"/>
      <c r="E1240" s="45"/>
      <c r="F1240" s="45"/>
      <c r="G1240" s="45"/>
    </row>
    <row r="1241">
      <c r="A1241" s="78"/>
      <c r="B1241" s="78"/>
      <c r="C1241" s="78"/>
      <c r="D1241" s="45"/>
      <c r="E1241" s="45"/>
      <c r="F1241" s="45"/>
      <c r="G1241" s="45"/>
    </row>
    <row r="1242">
      <c r="A1242" s="78"/>
      <c r="B1242" s="78"/>
      <c r="C1242" s="78"/>
      <c r="D1242" s="45"/>
      <c r="E1242" s="45"/>
      <c r="F1242" s="45"/>
      <c r="G1242" s="45"/>
    </row>
    <row r="1243">
      <c r="A1243" s="78"/>
      <c r="B1243" s="78"/>
      <c r="C1243" s="78"/>
      <c r="D1243" s="45"/>
      <c r="E1243" s="45"/>
      <c r="F1243" s="45"/>
      <c r="G1243" s="45"/>
    </row>
    <row r="1244">
      <c r="A1244" s="78"/>
      <c r="B1244" s="78"/>
      <c r="C1244" s="78"/>
      <c r="D1244" s="45"/>
      <c r="E1244" s="45"/>
      <c r="F1244" s="45"/>
      <c r="G1244" s="45"/>
    </row>
    <row r="1245">
      <c r="A1245" s="78"/>
      <c r="B1245" s="78"/>
      <c r="C1245" s="78"/>
      <c r="D1245" s="45"/>
      <c r="E1245" s="45"/>
      <c r="F1245" s="45"/>
      <c r="G1245" s="45"/>
    </row>
    <row r="1246">
      <c r="A1246" s="78"/>
      <c r="B1246" s="78"/>
      <c r="C1246" s="78"/>
      <c r="D1246" s="45"/>
      <c r="E1246" s="45"/>
      <c r="F1246" s="45"/>
      <c r="G1246" s="45"/>
    </row>
    <row r="1247">
      <c r="A1247" s="78"/>
      <c r="B1247" s="78"/>
      <c r="C1247" s="78"/>
      <c r="D1247" s="45"/>
      <c r="E1247" s="45"/>
      <c r="F1247" s="45"/>
      <c r="G1247" s="45"/>
    </row>
    <row r="1248">
      <c r="A1248" s="78"/>
      <c r="B1248" s="78"/>
      <c r="C1248" s="78"/>
      <c r="D1248" s="45"/>
      <c r="E1248" s="45"/>
      <c r="F1248" s="45"/>
      <c r="G1248" s="45"/>
    </row>
    <row r="1249">
      <c r="A1249" s="78"/>
      <c r="B1249" s="78"/>
      <c r="C1249" s="78"/>
      <c r="D1249" s="45"/>
      <c r="E1249" s="45"/>
      <c r="F1249" s="45"/>
      <c r="G1249" s="45"/>
    </row>
    <row r="1250">
      <c r="A1250" s="78"/>
      <c r="B1250" s="78"/>
      <c r="C1250" s="78"/>
      <c r="D1250" s="45"/>
      <c r="E1250" s="45"/>
      <c r="F1250" s="45"/>
      <c r="G1250" s="45"/>
    </row>
    <row r="1251">
      <c r="A1251" s="78"/>
      <c r="B1251" s="78"/>
      <c r="C1251" s="78"/>
      <c r="D1251" s="45"/>
      <c r="E1251" s="45"/>
      <c r="F1251" s="45"/>
      <c r="G1251" s="45"/>
    </row>
    <row r="1252">
      <c r="A1252" s="78"/>
      <c r="B1252" s="78"/>
      <c r="C1252" s="78"/>
      <c r="D1252" s="45"/>
      <c r="E1252" s="45"/>
      <c r="F1252" s="45"/>
      <c r="G1252" s="45"/>
    </row>
    <row r="1253">
      <c r="A1253" s="78"/>
      <c r="B1253" s="78"/>
      <c r="C1253" s="78"/>
      <c r="D1253" s="45"/>
      <c r="E1253" s="45"/>
      <c r="F1253" s="45"/>
      <c r="G1253" s="45"/>
    </row>
    <row r="1254">
      <c r="A1254" s="78"/>
      <c r="B1254" s="78"/>
      <c r="C1254" s="78"/>
      <c r="D1254" s="45"/>
      <c r="E1254" s="45"/>
      <c r="F1254" s="45"/>
      <c r="G1254" s="45"/>
    </row>
    <row r="1255">
      <c r="A1255" s="78"/>
      <c r="B1255" s="78"/>
      <c r="C1255" s="78"/>
      <c r="D1255" s="45"/>
      <c r="E1255" s="45"/>
      <c r="F1255" s="45"/>
      <c r="G1255" s="45"/>
    </row>
    <row r="1256">
      <c r="A1256" s="78"/>
      <c r="B1256" s="78"/>
      <c r="C1256" s="78"/>
      <c r="D1256" s="45"/>
      <c r="E1256" s="45"/>
      <c r="F1256" s="45"/>
      <c r="G1256" s="45"/>
    </row>
    <row r="1257">
      <c r="A1257" s="78"/>
      <c r="B1257" s="78"/>
      <c r="C1257" s="78"/>
      <c r="D1257" s="45"/>
      <c r="E1257" s="45"/>
      <c r="F1257" s="45"/>
      <c r="G1257" s="45"/>
    </row>
    <row r="1258">
      <c r="A1258" s="78"/>
      <c r="B1258" s="78"/>
      <c r="C1258" s="78"/>
      <c r="D1258" s="45"/>
      <c r="E1258" s="45"/>
      <c r="F1258" s="45"/>
      <c r="G1258" s="45"/>
    </row>
    <row r="1259">
      <c r="A1259" s="78"/>
      <c r="B1259" s="78"/>
      <c r="C1259" s="78"/>
      <c r="D1259" s="45"/>
      <c r="E1259" s="45"/>
      <c r="F1259" s="45"/>
      <c r="G1259" s="45"/>
    </row>
    <row r="1260">
      <c r="A1260" s="78"/>
      <c r="B1260" s="78"/>
      <c r="C1260" s="78"/>
      <c r="D1260" s="45"/>
      <c r="E1260" s="45"/>
      <c r="F1260" s="45"/>
      <c r="G1260" s="45"/>
    </row>
    <row r="1261">
      <c r="A1261" s="78"/>
      <c r="B1261" s="78"/>
      <c r="C1261" s="78"/>
      <c r="D1261" s="45"/>
      <c r="E1261" s="45"/>
      <c r="F1261" s="45"/>
      <c r="G1261" s="45"/>
    </row>
    <row r="1262">
      <c r="A1262" s="78"/>
      <c r="B1262" s="78"/>
      <c r="C1262" s="78"/>
      <c r="D1262" s="45"/>
      <c r="E1262" s="45"/>
      <c r="F1262" s="45"/>
      <c r="G1262" s="45"/>
    </row>
    <row r="1263">
      <c r="A1263" s="78"/>
      <c r="B1263" s="78"/>
      <c r="C1263" s="78"/>
      <c r="D1263" s="45"/>
      <c r="E1263" s="45"/>
      <c r="F1263" s="45"/>
      <c r="G1263" s="45"/>
    </row>
    <row r="1264">
      <c r="A1264" s="78"/>
      <c r="B1264" s="78"/>
      <c r="C1264" s="78"/>
      <c r="D1264" s="45"/>
      <c r="E1264" s="45"/>
      <c r="F1264" s="45"/>
      <c r="G1264" s="45"/>
    </row>
    <row r="1265">
      <c r="A1265" s="78"/>
      <c r="B1265" s="78"/>
      <c r="C1265" s="78"/>
      <c r="D1265" s="45"/>
      <c r="E1265" s="45"/>
      <c r="F1265" s="45"/>
      <c r="G1265" s="45"/>
    </row>
    <row r="1266">
      <c r="A1266" s="78"/>
      <c r="B1266" s="78"/>
      <c r="C1266" s="78"/>
      <c r="D1266" s="45"/>
      <c r="E1266" s="45"/>
      <c r="F1266" s="45"/>
      <c r="G1266" s="45"/>
    </row>
    <row r="1267">
      <c r="A1267" s="78"/>
      <c r="B1267" s="78"/>
      <c r="C1267" s="78"/>
      <c r="D1267" s="45"/>
      <c r="E1267" s="45"/>
      <c r="F1267" s="45"/>
      <c r="G1267" s="45"/>
    </row>
    <row r="1268">
      <c r="A1268" s="78"/>
      <c r="B1268" s="78"/>
      <c r="C1268" s="78"/>
      <c r="D1268" s="45"/>
      <c r="E1268" s="45"/>
      <c r="F1268" s="45"/>
      <c r="G1268" s="45"/>
    </row>
    <row r="1269">
      <c r="A1269" s="78"/>
      <c r="B1269" s="78"/>
      <c r="C1269" s="78"/>
      <c r="D1269" s="45"/>
      <c r="E1269" s="45"/>
      <c r="F1269" s="45"/>
      <c r="G1269" s="45"/>
    </row>
    <row r="1270">
      <c r="A1270" s="78"/>
      <c r="B1270" s="78"/>
      <c r="C1270" s="78"/>
      <c r="D1270" s="45"/>
      <c r="E1270" s="45"/>
      <c r="F1270" s="45"/>
      <c r="G1270" s="45"/>
    </row>
    <row r="1271">
      <c r="A1271" s="78"/>
      <c r="B1271" s="78"/>
      <c r="C1271" s="78"/>
      <c r="D1271" s="45"/>
      <c r="E1271" s="45"/>
      <c r="F1271" s="45"/>
      <c r="G1271" s="45"/>
    </row>
    <row r="1272">
      <c r="A1272" s="78"/>
      <c r="B1272" s="78"/>
      <c r="C1272" s="78"/>
      <c r="D1272" s="45"/>
      <c r="E1272" s="45"/>
      <c r="F1272" s="45"/>
      <c r="G1272" s="45"/>
    </row>
    <row r="1273">
      <c r="A1273" s="78"/>
      <c r="B1273" s="78"/>
      <c r="C1273" s="78"/>
      <c r="D1273" s="45"/>
      <c r="E1273" s="45"/>
      <c r="F1273" s="45"/>
      <c r="G1273" s="45"/>
    </row>
    <row r="1274">
      <c r="A1274" s="78"/>
      <c r="B1274" s="78"/>
      <c r="C1274" s="78"/>
      <c r="D1274" s="45"/>
      <c r="E1274" s="45"/>
      <c r="F1274" s="45"/>
      <c r="G1274" s="45"/>
    </row>
    <row r="1275">
      <c r="A1275" s="78"/>
      <c r="B1275" s="78"/>
      <c r="C1275" s="78"/>
      <c r="D1275" s="45"/>
      <c r="E1275" s="45"/>
      <c r="F1275" s="45"/>
      <c r="G1275" s="45"/>
    </row>
    <row r="1276">
      <c r="A1276" s="78"/>
      <c r="B1276" s="78"/>
      <c r="C1276" s="78"/>
      <c r="D1276" s="45"/>
      <c r="E1276" s="45"/>
      <c r="F1276" s="45"/>
      <c r="G1276" s="45"/>
    </row>
    <row r="1277">
      <c r="A1277" s="78"/>
      <c r="B1277" s="78"/>
      <c r="C1277" s="78"/>
      <c r="D1277" s="45"/>
      <c r="E1277" s="45"/>
      <c r="F1277" s="45"/>
      <c r="G1277" s="45"/>
    </row>
    <row r="1278">
      <c r="A1278" s="78"/>
      <c r="B1278" s="78"/>
      <c r="C1278" s="78"/>
      <c r="D1278" s="45"/>
      <c r="E1278" s="45"/>
      <c r="F1278" s="45"/>
      <c r="G1278" s="45"/>
    </row>
    <row r="1279">
      <c r="A1279" s="78"/>
      <c r="B1279" s="78"/>
      <c r="C1279" s="78"/>
      <c r="D1279" s="45"/>
      <c r="E1279" s="45"/>
      <c r="F1279" s="45"/>
      <c r="G1279" s="45"/>
    </row>
    <row r="1280">
      <c r="A1280" s="78"/>
      <c r="B1280" s="78"/>
      <c r="C1280" s="78"/>
      <c r="D1280" s="45"/>
      <c r="E1280" s="45"/>
      <c r="F1280" s="45"/>
      <c r="G1280" s="45"/>
    </row>
    <row r="1281">
      <c r="A1281" s="78"/>
      <c r="B1281" s="78"/>
      <c r="C1281" s="78"/>
      <c r="D1281" s="45"/>
      <c r="E1281" s="45"/>
      <c r="F1281" s="45"/>
      <c r="G1281" s="45"/>
    </row>
    <row r="1282">
      <c r="A1282" s="78"/>
      <c r="B1282" s="78"/>
      <c r="C1282" s="78"/>
      <c r="D1282" s="45"/>
      <c r="E1282" s="45"/>
      <c r="F1282" s="45"/>
      <c r="G1282" s="45"/>
    </row>
    <row r="1283">
      <c r="A1283" s="78"/>
      <c r="B1283" s="78"/>
      <c r="C1283" s="78"/>
      <c r="D1283" s="45"/>
      <c r="E1283" s="45"/>
      <c r="F1283" s="45"/>
      <c r="G1283" s="45"/>
    </row>
    <row r="1284">
      <c r="A1284" s="78"/>
      <c r="B1284" s="78"/>
      <c r="C1284" s="78"/>
      <c r="D1284" s="45"/>
      <c r="E1284" s="45"/>
      <c r="F1284" s="45"/>
      <c r="G1284" s="45"/>
    </row>
    <row r="1285">
      <c r="A1285" s="78"/>
      <c r="B1285" s="78"/>
      <c r="C1285" s="78"/>
      <c r="D1285" s="45"/>
      <c r="E1285" s="45"/>
      <c r="F1285" s="45"/>
      <c r="G1285" s="45"/>
    </row>
    <row r="1286">
      <c r="A1286" s="78"/>
      <c r="B1286" s="78"/>
      <c r="C1286" s="78"/>
      <c r="D1286" s="45"/>
      <c r="E1286" s="45"/>
      <c r="F1286" s="45"/>
      <c r="G1286" s="45"/>
    </row>
    <row r="1287">
      <c r="A1287" s="78"/>
      <c r="B1287" s="78"/>
      <c r="C1287" s="78"/>
      <c r="D1287" s="45"/>
      <c r="E1287" s="45"/>
      <c r="F1287" s="45"/>
      <c r="G1287" s="45"/>
    </row>
    <row r="1288">
      <c r="A1288" s="78"/>
      <c r="B1288" s="78"/>
      <c r="C1288" s="78"/>
      <c r="D1288" s="45"/>
      <c r="E1288" s="45"/>
      <c r="F1288" s="45"/>
      <c r="G1288" s="45"/>
    </row>
    <row r="1289">
      <c r="A1289" s="78"/>
      <c r="B1289" s="78"/>
      <c r="C1289" s="78"/>
      <c r="D1289" s="45"/>
      <c r="E1289" s="45"/>
      <c r="F1289" s="45"/>
      <c r="G1289" s="45"/>
    </row>
    <row r="1290">
      <c r="A1290" s="78"/>
      <c r="B1290" s="78"/>
      <c r="C1290" s="78"/>
      <c r="D1290" s="45"/>
      <c r="E1290" s="45"/>
      <c r="F1290" s="45"/>
      <c r="G1290" s="45"/>
    </row>
    <row r="1291">
      <c r="A1291" s="78"/>
      <c r="B1291" s="78"/>
      <c r="C1291" s="78"/>
      <c r="D1291" s="45"/>
      <c r="E1291" s="45"/>
      <c r="F1291" s="45"/>
      <c r="G1291" s="45"/>
    </row>
    <row r="1292">
      <c r="A1292" s="78"/>
      <c r="B1292" s="78"/>
      <c r="C1292" s="78"/>
      <c r="D1292" s="45"/>
      <c r="E1292" s="45"/>
      <c r="F1292" s="45"/>
      <c r="G1292" s="45"/>
    </row>
    <row r="1293">
      <c r="A1293" s="78"/>
      <c r="B1293" s="78"/>
      <c r="C1293" s="78"/>
      <c r="D1293" s="45"/>
      <c r="E1293" s="45"/>
      <c r="F1293" s="45"/>
      <c r="G1293" s="45"/>
    </row>
    <row r="1294">
      <c r="A1294" s="78"/>
      <c r="B1294" s="78"/>
      <c r="C1294" s="78"/>
      <c r="D1294" s="45"/>
      <c r="E1294" s="45"/>
      <c r="F1294" s="45"/>
      <c r="G1294" s="45"/>
    </row>
    <row r="1295">
      <c r="A1295" s="78"/>
      <c r="B1295" s="78"/>
      <c r="C1295" s="78"/>
      <c r="D1295" s="45"/>
      <c r="E1295" s="45"/>
      <c r="F1295" s="45"/>
      <c r="G1295" s="45"/>
    </row>
    <row r="1296">
      <c r="A1296" s="78"/>
      <c r="B1296" s="78"/>
      <c r="C1296" s="78"/>
      <c r="D1296" s="45"/>
      <c r="E1296" s="45"/>
      <c r="F1296" s="45"/>
      <c r="G1296" s="45"/>
    </row>
    <row r="1297">
      <c r="A1297" s="78"/>
      <c r="B1297" s="78"/>
      <c r="C1297" s="78"/>
      <c r="D1297" s="45"/>
      <c r="E1297" s="45"/>
      <c r="F1297" s="45"/>
      <c r="G1297" s="45"/>
    </row>
    <row r="1298">
      <c r="A1298" s="78"/>
      <c r="B1298" s="78"/>
      <c r="C1298" s="78"/>
      <c r="D1298" s="45"/>
      <c r="E1298" s="45"/>
      <c r="F1298" s="45"/>
      <c r="G1298" s="45"/>
    </row>
    <row r="1299">
      <c r="A1299" s="78"/>
      <c r="B1299" s="78"/>
      <c r="C1299" s="78"/>
      <c r="D1299" s="45"/>
      <c r="E1299" s="45"/>
      <c r="F1299" s="45"/>
      <c r="G1299" s="45"/>
    </row>
    <row r="1300">
      <c r="A1300" s="78"/>
      <c r="B1300" s="78"/>
      <c r="C1300" s="78"/>
      <c r="D1300" s="45"/>
      <c r="E1300" s="45"/>
      <c r="F1300" s="45"/>
      <c r="G1300" s="45"/>
    </row>
    <row r="1301">
      <c r="A1301" s="78"/>
      <c r="B1301" s="78"/>
      <c r="C1301" s="78"/>
      <c r="D1301" s="45"/>
      <c r="E1301" s="45"/>
      <c r="F1301" s="45"/>
      <c r="G1301" s="45"/>
    </row>
    <row r="1302">
      <c r="A1302" s="78"/>
      <c r="B1302" s="78"/>
      <c r="C1302" s="78"/>
      <c r="D1302" s="45"/>
      <c r="E1302" s="45"/>
      <c r="F1302" s="45"/>
      <c r="G1302" s="45"/>
    </row>
    <row r="1303">
      <c r="A1303" s="78"/>
      <c r="B1303" s="78"/>
      <c r="C1303" s="78"/>
      <c r="D1303" s="45"/>
      <c r="E1303" s="45"/>
      <c r="F1303" s="45"/>
      <c r="G1303" s="45"/>
    </row>
    <row r="1304">
      <c r="A1304" s="78"/>
      <c r="B1304" s="78"/>
      <c r="C1304" s="78"/>
      <c r="D1304" s="45"/>
      <c r="E1304" s="45"/>
      <c r="F1304" s="45"/>
      <c r="G1304" s="45"/>
    </row>
    <row r="1305">
      <c r="A1305" s="78"/>
      <c r="B1305" s="78"/>
      <c r="C1305" s="78"/>
      <c r="D1305" s="45"/>
      <c r="E1305" s="45"/>
      <c r="F1305" s="45"/>
      <c r="G1305" s="45"/>
    </row>
    <row r="1306">
      <c r="A1306" s="78"/>
      <c r="B1306" s="78"/>
      <c r="C1306" s="78"/>
      <c r="D1306" s="45"/>
      <c r="E1306" s="45"/>
      <c r="F1306" s="45"/>
      <c r="G1306" s="45"/>
    </row>
    <row r="1307">
      <c r="A1307" s="78"/>
      <c r="B1307" s="78"/>
      <c r="C1307" s="78"/>
      <c r="D1307" s="45"/>
      <c r="E1307" s="45"/>
      <c r="F1307" s="45"/>
      <c r="G1307" s="45"/>
    </row>
    <row r="1308">
      <c r="A1308" s="78"/>
      <c r="B1308" s="78"/>
      <c r="C1308" s="78"/>
      <c r="D1308" s="45"/>
      <c r="E1308" s="45"/>
      <c r="F1308" s="45"/>
      <c r="G1308" s="45"/>
    </row>
    <row r="1309">
      <c r="A1309" s="78"/>
      <c r="B1309" s="78"/>
      <c r="C1309" s="78"/>
      <c r="D1309" s="45"/>
      <c r="E1309" s="45"/>
      <c r="F1309" s="45"/>
      <c r="G1309" s="45"/>
    </row>
    <row r="1310">
      <c r="A1310" s="78"/>
      <c r="B1310" s="78"/>
      <c r="C1310" s="78"/>
      <c r="D1310" s="45"/>
      <c r="E1310" s="45"/>
      <c r="F1310" s="45"/>
      <c r="G1310" s="45"/>
    </row>
    <row r="1311">
      <c r="A1311" s="78"/>
      <c r="B1311" s="78"/>
      <c r="C1311" s="78"/>
      <c r="D1311" s="45"/>
      <c r="E1311" s="45"/>
      <c r="F1311" s="45"/>
      <c r="G1311" s="45"/>
    </row>
    <row r="1312">
      <c r="A1312" s="78"/>
      <c r="B1312" s="78"/>
      <c r="C1312" s="78"/>
      <c r="D1312" s="45"/>
      <c r="E1312" s="45"/>
      <c r="F1312" s="45"/>
      <c r="G1312" s="45"/>
    </row>
    <row r="1313">
      <c r="A1313" s="78"/>
      <c r="B1313" s="78"/>
      <c r="C1313" s="78"/>
      <c r="D1313" s="45"/>
      <c r="E1313" s="45"/>
      <c r="F1313" s="45"/>
      <c r="G1313" s="45"/>
    </row>
    <row r="1314">
      <c r="A1314" s="78"/>
      <c r="B1314" s="78"/>
      <c r="C1314" s="78"/>
      <c r="D1314" s="45"/>
      <c r="E1314" s="45"/>
      <c r="F1314" s="45"/>
      <c r="G1314" s="45"/>
    </row>
    <row r="1315">
      <c r="A1315" s="78"/>
      <c r="B1315" s="78"/>
      <c r="C1315" s="78"/>
      <c r="D1315" s="45"/>
      <c r="E1315" s="45"/>
      <c r="F1315" s="45"/>
      <c r="G1315" s="45"/>
    </row>
    <row r="1316">
      <c r="A1316" s="78"/>
      <c r="B1316" s="78"/>
      <c r="C1316" s="78"/>
      <c r="D1316" s="45"/>
      <c r="E1316" s="45"/>
      <c r="F1316" s="45"/>
      <c r="G1316" s="45"/>
    </row>
    <row r="1317">
      <c r="A1317" s="78"/>
      <c r="B1317" s="78"/>
      <c r="C1317" s="78"/>
      <c r="D1317" s="45"/>
      <c r="E1317" s="45"/>
      <c r="F1317" s="45"/>
      <c r="G1317" s="45"/>
    </row>
    <row r="1318">
      <c r="A1318" s="78"/>
      <c r="B1318" s="78"/>
      <c r="C1318" s="78"/>
      <c r="D1318" s="45"/>
      <c r="E1318" s="45"/>
      <c r="F1318" s="45"/>
      <c r="G1318" s="45"/>
    </row>
    <row r="1319">
      <c r="A1319" s="78"/>
      <c r="B1319" s="78"/>
      <c r="C1319" s="78"/>
      <c r="D1319" s="45"/>
      <c r="E1319" s="45"/>
      <c r="F1319" s="45"/>
      <c r="G1319" s="45"/>
    </row>
    <row r="1320">
      <c r="A1320" s="78"/>
      <c r="B1320" s="78"/>
      <c r="C1320" s="78"/>
      <c r="D1320" s="45"/>
      <c r="E1320" s="45"/>
      <c r="F1320" s="45"/>
      <c r="G1320" s="45"/>
    </row>
    <row r="1321">
      <c r="A1321" s="78"/>
      <c r="B1321" s="78"/>
      <c r="C1321" s="78"/>
      <c r="D1321" s="45"/>
      <c r="E1321" s="45"/>
      <c r="F1321" s="45"/>
      <c r="G1321" s="45"/>
    </row>
    <row r="1322">
      <c r="A1322" s="78"/>
      <c r="B1322" s="78"/>
      <c r="C1322" s="78"/>
      <c r="D1322" s="45"/>
      <c r="E1322" s="45"/>
      <c r="F1322" s="45"/>
      <c r="G1322" s="45"/>
    </row>
    <row r="1323">
      <c r="A1323" s="78"/>
      <c r="B1323" s="78"/>
      <c r="C1323" s="78"/>
      <c r="D1323" s="45"/>
      <c r="E1323" s="45"/>
      <c r="F1323" s="45"/>
      <c r="G1323" s="45"/>
    </row>
    <row r="1324">
      <c r="A1324" s="78"/>
      <c r="B1324" s="78"/>
      <c r="C1324" s="78"/>
      <c r="D1324" s="45"/>
      <c r="E1324" s="45"/>
      <c r="F1324" s="45"/>
      <c r="G1324" s="45"/>
    </row>
    <row r="1325">
      <c r="A1325" s="78"/>
      <c r="B1325" s="78"/>
      <c r="C1325" s="78"/>
      <c r="D1325" s="45"/>
      <c r="E1325" s="45"/>
      <c r="F1325" s="45"/>
      <c r="G1325" s="45"/>
    </row>
    <row r="1326">
      <c r="A1326" s="78"/>
      <c r="B1326" s="78"/>
      <c r="C1326" s="78"/>
      <c r="D1326" s="45"/>
      <c r="E1326" s="45"/>
      <c r="F1326" s="45"/>
      <c r="G1326" s="45"/>
    </row>
    <row r="1327">
      <c r="A1327" s="78"/>
      <c r="B1327" s="78"/>
      <c r="C1327" s="78"/>
      <c r="D1327" s="45"/>
      <c r="E1327" s="45"/>
      <c r="F1327" s="45"/>
      <c r="G1327" s="45"/>
    </row>
    <row r="1328">
      <c r="A1328" s="78"/>
      <c r="B1328" s="78"/>
      <c r="C1328" s="78"/>
      <c r="D1328" s="45"/>
      <c r="E1328" s="45"/>
      <c r="F1328" s="45"/>
      <c r="G1328" s="45"/>
    </row>
    <row r="1329">
      <c r="A1329" s="78"/>
      <c r="B1329" s="78"/>
      <c r="C1329" s="78"/>
      <c r="D1329" s="45"/>
      <c r="E1329" s="45"/>
      <c r="F1329" s="45"/>
      <c r="G1329" s="45"/>
    </row>
    <row r="1330">
      <c r="A1330" s="78"/>
      <c r="B1330" s="78"/>
      <c r="C1330" s="78"/>
      <c r="D1330" s="45"/>
      <c r="E1330" s="45"/>
      <c r="F1330" s="45"/>
      <c r="G1330" s="45"/>
    </row>
    <row r="1331">
      <c r="A1331" s="78"/>
      <c r="B1331" s="78"/>
      <c r="C1331" s="78"/>
      <c r="D1331" s="45"/>
      <c r="E1331" s="45"/>
      <c r="F1331" s="45"/>
      <c r="G1331" s="45"/>
    </row>
    <row r="1332">
      <c r="A1332" s="78"/>
      <c r="B1332" s="78"/>
      <c r="C1332" s="78"/>
      <c r="D1332" s="45"/>
      <c r="E1332" s="45"/>
      <c r="F1332" s="45"/>
      <c r="G1332" s="45"/>
    </row>
    <row r="1333">
      <c r="A1333" s="78"/>
      <c r="B1333" s="78"/>
      <c r="C1333" s="78"/>
      <c r="D1333" s="45"/>
      <c r="E1333" s="45"/>
      <c r="F1333" s="45"/>
      <c r="G1333" s="45"/>
    </row>
    <row r="1334">
      <c r="A1334" s="78"/>
      <c r="B1334" s="78"/>
      <c r="C1334" s="78"/>
      <c r="D1334" s="45"/>
      <c r="E1334" s="45"/>
      <c r="F1334" s="45"/>
      <c r="G1334" s="45"/>
    </row>
    <row r="1335">
      <c r="A1335" s="78"/>
      <c r="B1335" s="78"/>
      <c r="C1335" s="78"/>
      <c r="D1335" s="45"/>
      <c r="E1335" s="45"/>
      <c r="F1335" s="45"/>
      <c r="G1335" s="45"/>
    </row>
    <row r="1336">
      <c r="A1336" s="78"/>
      <c r="B1336" s="78"/>
      <c r="C1336" s="78"/>
      <c r="D1336" s="45"/>
      <c r="E1336" s="45"/>
      <c r="F1336" s="45"/>
      <c r="G1336" s="45"/>
    </row>
    <row r="1337">
      <c r="A1337" s="78"/>
      <c r="B1337" s="78"/>
      <c r="C1337" s="78"/>
      <c r="D1337" s="45"/>
      <c r="E1337" s="45"/>
      <c r="F1337" s="45"/>
      <c r="G1337" s="45"/>
    </row>
    <row r="1338">
      <c r="A1338" s="78"/>
      <c r="B1338" s="78"/>
      <c r="C1338" s="78"/>
      <c r="D1338" s="45"/>
      <c r="E1338" s="45"/>
      <c r="F1338" s="45"/>
      <c r="G1338" s="45"/>
    </row>
    <row r="1339">
      <c r="A1339" s="78"/>
      <c r="B1339" s="78"/>
      <c r="C1339" s="78"/>
      <c r="D1339" s="45"/>
      <c r="E1339" s="45"/>
      <c r="F1339" s="45"/>
      <c r="G1339" s="45"/>
    </row>
    <row r="1340">
      <c r="A1340" s="78"/>
      <c r="B1340" s="78"/>
      <c r="C1340" s="78"/>
      <c r="D1340" s="45"/>
      <c r="E1340" s="45"/>
      <c r="F1340" s="45"/>
      <c r="G1340" s="45"/>
    </row>
    <row r="1341">
      <c r="A1341" s="78"/>
      <c r="B1341" s="78"/>
      <c r="C1341" s="78"/>
      <c r="D1341" s="45"/>
      <c r="E1341" s="45"/>
      <c r="F1341" s="45"/>
      <c r="G1341" s="45"/>
    </row>
    <row r="1342">
      <c r="A1342" s="78"/>
      <c r="B1342" s="78"/>
      <c r="C1342" s="78"/>
      <c r="D1342" s="45"/>
      <c r="E1342" s="45"/>
      <c r="F1342" s="45"/>
      <c r="G1342" s="45"/>
    </row>
    <row r="1343">
      <c r="A1343" s="78"/>
      <c r="B1343" s="78"/>
      <c r="C1343" s="78"/>
      <c r="D1343" s="45"/>
      <c r="E1343" s="45"/>
      <c r="F1343" s="45"/>
      <c r="G1343" s="45"/>
    </row>
    <row r="1344">
      <c r="A1344" s="78"/>
      <c r="B1344" s="78"/>
      <c r="C1344" s="78"/>
      <c r="D1344" s="45"/>
      <c r="E1344" s="45"/>
      <c r="F1344" s="45"/>
      <c r="G1344" s="45"/>
    </row>
    <row r="1345">
      <c r="A1345" s="78"/>
      <c r="B1345" s="78"/>
      <c r="C1345" s="78"/>
      <c r="D1345" s="45"/>
      <c r="E1345" s="45"/>
      <c r="F1345" s="45"/>
      <c r="G1345" s="45"/>
    </row>
    <row r="1346">
      <c r="A1346" s="78"/>
      <c r="B1346" s="78"/>
      <c r="C1346" s="78"/>
      <c r="D1346" s="45"/>
      <c r="E1346" s="45"/>
      <c r="F1346" s="45"/>
      <c r="G1346" s="45"/>
    </row>
    <row r="1347">
      <c r="A1347" s="78"/>
      <c r="B1347" s="78"/>
      <c r="C1347" s="78"/>
      <c r="D1347" s="45"/>
      <c r="E1347" s="45"/>
      <c r="F1347" s="45"/>
      <c r="G1347" s="45"/>
    </row>
    <row r="1348">
      <c r="A1348" s="78"/>
      <c r="B1348" s="78"/>
      <c r="C1348" s="78"/>
      <c r="D1348" s="45"/>
      <c r="E1348" s="45"/>
      <c r="F1348" s="45"/>
      <c r="G1348" s="45"/>
    </row>
    <row r="1349">
      <c r="A1349" s="78"/>
      <c r="B1349" s="78"/>
      <c r="C1349" s="78"/>
      <c r="D1349" s="45"/>
      <c r="E1349" s="45"/>
      <c r="F1349" s="45"/>
      <c r="G1349" s="45"/>
    </row>
    <row r="1350">
      <c r="A1350" s="78"/>
      <c r="B1350" s="78"/>
      <c r="C1350" s="78"/>
      <c r="D1350" s="45"/>
      <c r="E1350" s="45"/>
      <c r="F1350" s="45"/>
      <c r="G1350" s="45"/>
    </row>
    <row r="1351">
      <c r="A1351" s="78"/>
      <c r="B1351" s="78"/>
      <c r="C1351" s="78"/>
      <c r="D1351" s="45"/>
      <c r="E1351" s="45"/>
      <c r="F1351" s="45"/>
      <c r="G1351" s="45"/>
    </row>
    <row r="1352">
      <c r="A1352" s="78"/>
      <c r="B1352" s="78"/>
      <c r="C1352" s="78"/>
      <c r="D1352" s="45"/>
      <c r="E1352" s="45"/>
      <c r="F1352" s="45"/>
      <c r="G1352" s="45"/>
    </row>
    <row r="1353">
      <c r="A1353" s="78"/>
      <c r="B1353" s="78"/>
      <c r="C1353" s="78"/>
      <c r="D1353" s="45"/>
      <c r="E1353" s="45"/>
      <c r="F1353" s="45"/>
      <c r="G1353" s="45"/>
    </row>
    <row r="1354">
      <c r="A1354" s="78"/>
      <c r="B1354" s="78"/>
      <c r="C1354" s="78"/>
      <c r="D1354" s="45"/>
      <c r="E1354" s="45"/>
      <c r="F1354" s="45"/>
      <c r="G1354" s="45"/>
    </row>
    <row r="1355">
      <c r="A1355" s="78"/>
      <c r="B1355" s="78"/>
      <c r="C1355" s="78"/>
      <c r="D1355" s="45"/>
      <c r="E1355" s="45"/>
      <c r="F1355" s="45"/>
      <c r="G1355" s="45"/>
    </row>
    <row r="1356">
      <c r="A1356" s="78"/>
      <c r="B1356" s="78"/>
      <c r="C1356" s="78"/>
      <c r="D1356" s="45"/>
      <c r="E1356" s="45"/>
      <c r="F1356" s="45"/>
      <c r="G1356" s="45"/>
    </row>
    <row r="1357">
      <c r="A1357" s="78"/>
      <c r="B1357" s="78"/>
      <c r="C1357" s="78"/>
      <c r="D1357" s="45"/>
      <c r="E1357" s="45"/>
      <c r="F1357" s="45"/>
      <c r="G1357" s="45"/>
    </row>
    <row r="1358">
      <c r="A1358" s="78"/>
      <c r="B1358" s="78"/>
      <c r="C1358" s="78"/>
      <c r="D1358" s="45"/>
      <c r="E1358" s="45"/>
      <c r="F1358" s="45"/>
      <c r="G1358" s="45"/>
    </row>
    <row r="1359">
      <c r="A1359" s="78"/>
      <c r="B1359" s="78"/>
      <c r="C1359" s="78"/>
      <c r="D1359" s="45"/>
      <c r="E1359" s="45"/>
      <c r="F1359" s="45"/>
      <c r="G1359" s="45"/>
    </row>
    <row r="1360">
      <c r="A1360" s="78"/>
      <c r="B1360" s="78"/>
      <c r="C1360" s="78"/>
      <c r="D1360" s="45"/>
      <c r="E1360" s="45"/>
      <c r="F1360" s="45"/>
      <c r="G1360" s="45"/>
    </row>
    <row r="1361">
      <c r="A1361" s="78"/>
      <c r="B1361" s="78"/>
      <c r="C1361" s="78"/>
      <c r="D1361" s="45"/>
      <c r="E1361" s="45"/>
      <c r="F1361" s="45"/>
      <c r="G1361" s="45"/>
    </row>
    <row r="1362">
      <c r="A1362" s="78"/>
      <c r="B1362" s="78"/>
      <c r="C1362" s="78"/>
      <c r="D1362" s="45"/>
      <c r="E1362" s="45"/>
      <c r="F1362" s="45"/>
      <c r="G1362" s="45"/>
    </row>
    <row r="1363">
      <c r="A1363" s="78"/>
      <c r="B1363" s="78"/>
      <c r="C1363" s="78"/>
      <c r="D1363" s="45"/>
      <c r="E1363" s="45"/>
      <c r="F1363" s="45"/>
      <c r="G1363" s="45"/>
    </row>
    <row r="1364">
      <c r="A1364" s="78"/>
      <c r="B1364" s="78"/>
      <c r="C1364" s="78"/>
      <c r="D1364" s="45"/>
      <c r="E1364" s="45"/>
      <c r="F1364" s="45"/>
      <c r="G1364" s="45"/>
    </row>
    <row r="1365">
      <c r="A1365" s="78"/>
      <c r="B1365" s="78"/>
      <c r="C1365" s="78"/>
      <c r="D1365" s="45"/>
      <c r="E1365" s="45"/>
      <c r="F1365" s="45"/>
      <c r="G1365" s="45"/>
    </row>
    <row r="1366">
      <c r="A1366" s="78"/>
      <c r="B1366" s="78"/>
      <c r="C1366" s="78"/>
      <c r="D1366" s="45"/>
      <c r="E1366" s="45"/>
      <c r="F1366" s="45"/>
      <c r="G1366" s="45"/>
    </row>
    <row r="1367">
      <c r="A1367" s="78"/>
      <c r="B1367" s="78"/>
      <c r="C1367" s="78"/>
      <c r="D1367" s="45"/>
      <c r="E1367" s="45"/>
      <c r="F1367" s="45"/>
      <c r="G1367" s="45"/>
    </row>
    <row r="1368">
      <c r="A1368" s="78"/>
      <c r="B1368" s="78"/>
      <c r="C1368" s="78"/>
      <c r="D1368" s="45"/>
      <c r="E1368" s="45"/>
      <c r="F1368" s="45"/>
      <c r="G1368" s="45"/>
    </row>
    <row r="1369">
      <c r="A1369" s="78"/>
      <c r="B1369" s="78"/>
      <c r="C1369" s="78"/>
      <c r="D1369" s="45"/>
      <c r="E1369" s="45"/>
      <c r="F1369" s="45"/>
      <c r="G1369" s="45"/>
    </row>
    <row r="1370">
      <c r="A1370" s="78"/>
      <c r="B1370" s="78"/>
      <c r="C1370" s="78"/>
      <c r="D1370" s="45"/>
      <c r="E1370" s="45"/>
      <c r="F1370" s="45"/>
      <c r="G1370" s="45"/>
    </row>
    <row r="1371">
      <c r="A1371" s="78"/>
      <c r="B1371" s="78"/>
      <c r="C1371" s="78"/>
      <c r="D1371" s="45"/>
      <c r="E1371" s="45"/>
      <c r="F1371" s="45"/>
      <c r="G1371" s="45"/>
    </row>
    <row r="1372">
      <c r="A1372" s="78"/>
      <c r="B1372" s="78"/>
      <c r="C1372" s="78"/>
      <c r="D1372" s="45"/>
      <c r="E1372" s="45"/>
      <c r="F1372" s="45"/>
      <c r="G1372" s="45"/>
    </row>
    <row r="1373">
      <c r="A1373" s="78"/>
      <c r="B1373" s="78"/>
      <c r="C1373" s="78"/>
      <c r="D1373" s="45"/>
      <c r="E1373" s="45"/>
      <c r="F1373" s="45"/>
      <c r="G1373" s="45"/>
    </row>
    <row r="1374">
      <c r="A1374" s="78"/>
      <c r="B1374" s="78"/>
      <c r="C1374" s="78"/>
      <c r="D1374" s="45"/>
      <c r="E1374" s="45"/>
      <c r="F1374" s="45"/>
      <c r="G1374" s="45"/>
    </row>
    <row r="1375">
      <c r="A1375" s="78"/>
      <c r="B1375" s="78"/>
      <c r="C1375" s="78"/>
      <c r="D1375" s="45"/>
      <c r="E1375" s="45"/>
      <c r="F1375" s="45"/>
      <c r="G1375" s="45"/>
    </row>
    <row r="1376">
      <c r="A1376" s="78"/>
      <c r="B1376" s="78"/>
      <c r="C1376" s="78"/>
      <c r="D1376" s="45"/>
      <c r="E1376" s="45"/>
      <c r="F1376" s="45"/>
      <c r="G1376" s="45"/>
    </row>
    <row r="1377">
      <c r="A1377" s="78"/>
      <c r="B1377" s="78"/>
      <c r="C1377" s="78"/>
      <c r="D1377" s="45"/>
      <c r="E1377" s="45"/>
      <c r="F1377" s="45"/>
      <c r="G1377" s="45"/>
    </row>
    <row r="1378">
      <c r="A1378" s="78"/>
      <c r="B1378" s="78"/>
      <c r="C1378" s="78"/>
      <c r="D1378" s="45"/>
      <c r="E1378" s="45"/>
      <c r="F1378" s="45"/>
      <c r="G1378" s="45"/>
    </row>
    <row r="1379">
      <c r="A1379" s="78"/>
      <c r="B1379" s="78"/>
      <c r="C1379" s="78"/>
      <c r="D1379" s="45"/>
      <c r="E1379" s="45"/>
      <c r="F1379" s="45"/>
      <c r="G1379" s="45"/>
    </row>
    <row r="1380">
      <c r="A1380" s="78"/>
      <c r="B1380" s="78"/>
      <c r="C1380" s="78"/>
      <c r="D1380" s="45"/>
      <c r="E1380" s="45"/>
      <c r="F1380" s="45"/>
      <c r="G1380" s="45"/>
    </row>
    <row r="1381">
      <c r="A1381" s="78"/>
      <c r="B1381" s="78"/>
      <c r="C1381" s="78"/>
      <c r="D1381" s="45"/>
      <c r="E1381" s="45"/>
      <c r="F1381" s="45"/>
      <c r="G1381" s="45"/>
    </row>
    <row r="1382">
      <c r="A1382" s="78"/>
      <c r="B1382" s="78"/>
      <c r="C1382" s="78"/>
      <c r="D1382" s="45"/>
      <c r="E1382" s="45"/>
      <c r="F1382" s="45"/>
      <c r="G1382" s="45"/>
    </row>
    <row r="1383">
      <c r="A1383" s="78"/>
      <c r="B1383" s="78"/>
      <c r="C1383" s="78"/>
      <c r="D1383" s="45"/>
      <c r="E1383" s="45"/>
      <c r="F1383" s="45"/>
      <c r="G1383" s="45"/>
    </row>
    <row r="1384">
      <c r="A1384" s="78"/>
      <c r="B1384" s="78"/>
      <c r="C1384" s="78"/>
      <c r="D1384" s="45"/>
      <c r="E1384" s="45"/>
      <c r="F1384" s="45"/>
      <c r="G1384" s="45"/>
    </row>
    <row r="1385">
      <c r="A1385" s="78"/>
      <c r="B1385" s="78"/>
      <c r="C1385" s="78"/>
      <c r="D1385" s="45"/>
      <c r="E1385" s="45"/>
      <c r="F1385" s="45"/>
      <c r="G1385" s="45"/>
    </row>
    <row r="1386">
      <c r="A1386" s="78"/>
      <c r="B1386" s="78"/>
      <c r="C1386" s="78"/>
      <c r="D1386" s="45"/>
      <c r="E1386" s="45"/>
      <c r="F1386" s="45"/>
      <c r="G1386" s="45"/>
    </row>
    <row r="1387">
      <c r="A1387" s="78"/>
      <c r="B1387" s="78"/>
      <c r="C1387" s="78"/>
      <c r="D1387" s="45"/>
      <c r="E1387" s="45"/>
      <c r="F1387" s="45"/>
      <c r="G1387" s="45"/>
    </row>
    <row r="1388">
      <c r="A1388" s="78"/>
      <c r="B1388" s="78"/>
      <c r="C1388" s="78"/>
      <c r="D1388" s="45"/>
      <c r="E1388" s="45"/>
      <c r="F1388" s="45"/>
      <c r="G1388" s="45"/>
    </row>
    <row r="1389">
      <c r="A1389" s="78"/>
      <c r="B1389" s="78"/>
      <c r="C1389" s="78"/>
      <c r="D1389" s="45"/>
      <c r="E1389" s="45"/>
      <c r="F1389" s="45"/>
      <c r="G1389" s="45"/>
    </row>
    <row r="1390">
      <c r="A1390" s="78"/>
      <c r="B1390" s="78"/>
      <c r="C1390" s="78"/>
      <c r="D1390" s="45"/>
      <c r="E1390" s="45"/>
      <c r="F1390" s="45"/>
      <c r="G1390" s="45"/>
    </row>
    <row r="1391">
      <c r="A1391" s="78"/>
      <c r="B1391" s="78"/>
      <c r="C1391" s="78"/>
      <c r="D1391" s="45"/>
      <c r="E1391" s="45"/>
      <c r="F1391" s="45"/>
      <c r="G1391" s="45"/>
    </row>
    <row r="1392">
      <c r="A1392" s="78"/>
      <c r="B1392" s="78"/>
      <c r="C1392" s="78"/>
      <c r="D1392" s="45"/>
      <c r="E1392" s="45"/>
      <c r="F1392" s="45"/>
      <c r="G1392" s="45"/>
    </row>
    <row r="1393">
      <c r="A1393" s="78"/>
      <c r="B1393" s="78"/>
      <c r="C1393" s="78"/>
      <c r="D1393" s="45"/>
      <c r="E1393" s="45"/>
      <c r="F1393" s="45"/>
      <c r="G1393" s="45"/>
    </row>
    <row r="1394">
      <c r="A1394" s="78"/>
      <c r="B1394" s="78"/>
      <c r="C1394" s="78"/>
      <c r="D1394" s="45"/>
      <c r="E1394" s="45"/>
      <c r="F1394" s="45"/>
      <c r="G1394" s="45"/>
    </row>
    <row r="1395">
      <c r="A1395" s="78"/>
      <c r="B1395" s="78"/>
      <c r="C1395" s="78"/>
      <c r="D1395" s="45"/>
      <c r="E1395" s="45"/>
      <c r="F1395" s="45"/>
      <c r="G1395" s="45"/>
    </row>
    <row r="1396">
      <c r="A1396" s="78"/>
      <c r="B1396" s="78"/>
      <c r="C1396" s="78"/>
      <c r="D1396" s="45"/>
      <c r="E1396" s="45"/>
      <c r="F1396" s="45"/>
      <c r="G1396" s="45"/>
    </row>
    <row r="1397">
      <c r="A1397" s="78"/>
      <c r="B1397" s="78"/>
      <c r="C1397" s="78"/>
      <c r="D1397" s="45"/>
      <c r="E1397" s="45"/>
      <c r="F1397" s="45"/>
      <c r="G1397" s="45"/>
    </row>
    <row r="1398">
      <c r="A1398" s="78"/>
      <c r="B1398" s="78"/>
      <c r="C1398" s="78"/>
      <c r="D1398" s="45"/>
      <c r="E1398" s="45"/>
      <c r="F1398" s="45"/>
      <c r="G1398" s="45"/>
    </row>
    <row r="1399">
      <c r="A1399" s="78"/>
      <c r="B1399" s="78"/>
      <c r="C1399" s="78"/>
      <c r="D1399" s="45"/>
      <c r="E1399" s="45"/>
      <c r="F1399" s="45"/>
      <c r="G1399" s="45"/>
    </row>
    <row r="1400">
      <c r="A1400" s="78"/>
      <c r="B1400" s="78"/>
      <c r="C1400" s="78"/>
      <c r="D1400" s="45"/>
      <c r="E1400" s="45"/>
      <c r="F1400" s="45"/>
      <c r="G1400" s="45"/>
    </row>
    <row r="1401">
      <c r="A1401" s="78"/>
      <c r="B1401" s="78"/>
      <c r="C1401" s="78"/>
      <c r="D1401" s="45"/>
      <c r="E1401" s="45"/>
      <c r="F1401" s="45"/>
      <c r="G1401" s="45"/>
    </row>
    <row r="1402">
      <c r="A1402" s="78"/>
      <c r="B1402" s="78"/>
      <c r="C1402" s="78"/>
      <c r="D1402" s="45"/>
      <c r="E1402" s="45"/>
      <c r="F1402" s="45"/>
      <c r="G1402" s="45"/>
    </row>
    <row r="1403">
      <c r="A1403" s="78"/>
      <c r="B1403" s="78"/>
      <c r="C1403" s="78"/>
      <c r="D1403" s="45"/>
      <c r="E1403" s="45"/>
      <c r="F1403" s="45"/>
      <c r="G1403" s="45"/>
    </row>
    <row r="1404">
      <c r="A1404" s="78"/>
      <c r="B1404" s="78"/>
      <c r="C1404" s="78"/>
      <c r="D1404" s="45"/>
      <c r="E1404" s="45"/>
      <c r="F1404" s="45"/>
      <c r="G1404" s="45"/>
    </row>
    <row r="1405">
      <c r="A1405" s="78"/>
      <c r="B1405" s="78"/>
      <c r="C1405" s="78"/>
      <c r="D1405" s="45"/>
      <c r="E1405" s="45"/>
      <c r="F1405" s="45"/>
      <c r="G1405" s="45"/>
    </row>
    <row r="1406">
      <c r="A1406" s="78"/>
      <c r="B1406" s="78"/>
      <c r="C1406" s="78"/>
      <c r="D1406" s="45"/>
      <c r="E1406" s="45"/>
      <c r="F1406" s="45"/>
      <c r="G1406" s="45"/>
    </row>
    <row r="1407">
      <c r="A1407" s="78"/>
      <c r="B1407" s="78"/>
      <c r="C1407" s="78"/>
      <c r="D1407" s="45"/>
      <c r="E1407" s="45"/>
      <c r="F1407" s="45"/>
      <c r="G1407" s="45"/>
    </row>
    <row r="1408">
      <c r="A1408" s="78"/>
      <c r="B1408" s="78"/>
      <c r="C1408" s="78"/>
      <c r="D1408" s="45"/>
      <c r="E1408" s="45"/>
      <c r="F1408" s="45"/>
      <c r="G1408" s="45"/>
    </row>
    <row r="1409">
      <c r="A1409" s="78"/>
      <c r="B1409" s="78"/>
      <c r="C1409" s="78"/>
      <c r="D1409" s="45"/>
      <c r="E1409" s="45"/>
      <c r="F1409" s="45"/>
      <c r="G1409" s="45"/>
    </row>
    <row r="1410">
      <c r="A1410" s="78"/>
      <c r="B1410" s="78"/>
      <c r="C1410" s="78"/>
      <c r="D1410" s="45"/>
      <c r="E1410" s="45"/>
      <c r="F1410" s="45"/>
      <c r="G1410" s="45"/>
    </row>
    <row r="1411">
      <c r="A1411" s="78"/>
      <c r="B1411" s="78"/>
      <c r="C1411" s="78"/>
      <c r="D1411" s="45"/>
      <c r="E1411" s="45"/>
      <c r="F1411" s="45"/>
      <c r="G1411" s="45"/>
    </row>
    <row r="1412">
      <c r="A1412" s="78"/>
      <c r="B1412" s="78"/>
      <c r="C1412" s="78"/>
      <c r="D1412" s="45"/>
      <c r="E1412" s="45"/>
      <c r="F1412" s="45"/>
      <c r="G1412" s="45"/>
    </row>
    <row r="1413">
      <c r="A1413" s="78"/>
      <c r="B1413" s="78"/>
      <c r="C1413" s="78"/>
      <c r="D1413" s="45"/>
      <c r="E1413" s="45"/>
      <c r="F1413" s="45"/>
      <c r="G1413" s="45"/>
    </row>
    <row r="1414">
      <c r="A1414" s="78"/>
      <c r="B1414" s="78"/>
      <c r="C1414" s="78"/>
      <c r="D1414" s="45"/>
      <c r="E1414" s="45"/>
      <c r="F1414" s="45"/>
      <c r="G1414" s="45"/>
    </row>
    <row r="1415">
      <c r="A1415" s="78"/>
      <c r="B1415" s="78"/>
      <c r="C1415" s="78"/>
      <c r="D1415" s="45"/>
      <c r="E1415" s="45"/>
      <c r="F1415" s="45"/>
      <c r="G1415" s="45"/>
    </row>
    <row r="1416">
      <c r="A1416" s="78"/>
      <c r="B1416" s="78"/>
      <c r="C1416" s="78"/>
      <c r="D1416" s="45"/>
      <c r="E1416" s="45"/>
      <c r="F1416" s="45"/>
      <c r="G1416" s="45"/>
    </row>
    <row r="1417">
      <c r="A1417" s="78"/>
      <c r="B1417" s="78"/>
      <c r="C1417" s="78"/>
      <c r="D1417" s="45"/>
      <c r="E1417" s="45"/>
      <c r="F1417" s="45"/>
      <c r="G1417" s="45"/>
    </row>
    <row r="1418">
      <c r="A1418" s="78"/>
      <c r="B1418" s="78"/>
      <c r="C1418" s="78"/>
      <c r="D1418" s="45"/>
      <c r="E1418" s="45"/>
      <c r="F1418" s="45"/>
      <c r="G1418" s="45"/>
    </row>
    <row r="1419">
      <c r="A1419" s="78"/>
      <c r="B1419" s="78"/>
      <c r="C1419" s="78"/>
      <c r="D1419" s="45"/>
      <c r="E1419" s="45"/>
      <c r="F1419" s="45"/>
      <c r="G1419" s="45"/>
    </row>
    <row r="1420">
      <c r="A1420" s="78"/>
      <c r="B1420" s="78"/>
      <c r="C1420" s="78"/>
      <c r="D1420" s="45"/>
      <c r="E1420" s="45"/>
      <c r="F1420" s="45"/>
      <c r="G1420" s="45"/>
    </row>
    <row r="1421">
      <c r="A1421" s="78"/>
      <c r="B1421" s="78"/>
      <c r="C1421" s="78"/>
      <c r="D1421" s="45"/>
      <c r="E1421" s="45"/>
      <c r="F1421" s="45"/>
      <c r="G1421" s="45"/>
    </row>
    <row r="1422">
      <c r="A1422" s="78"/>
      <c r="B1422" s="78"/>
      <c r="C1422" s="78"/>
      <c r="D1422" s="45"/>
      <c r="E1422" s="45"/>
      <c r="F1422" s="45"/>
      <c r="G1422" s="45"/>
    </row>
    <row r="1423">
      <c r="A1423" s="78"/>
      <c r="B1423" s="78"/>
      <c r="C1423" s="78"/>
      <c r="D1423" s="45"/>
      <c r="E1423" s="45"/>
      <c r="F1423" s="45"/>
      <c r="G1423" s="45"/>
    </row>
    <row r="1424">
      <c r="A1424" s="78"/>
      <c r="B1424" s="78"/>
      <c r="C1424" s="78"/>
      <c r="D1424" s="45"/>
      <c r="E1424" s="45"/>
      <c r="F1424" s="45"/>
      <c r="G1424" s="45"/>
    </row>
    <row r="1425">
      <c r="A1425" s="78"/>
      <c r="B1425" s="78"/>
      <c r="C1425" s="78"/>
      <c r="D1425" s="45"/>
      <c r="E1425" s="45"/>
      <c r="F1425" s="45"/>
      <c r="G1425" s="45"/>
    </row>
    <row r="1426">
      <c r="A1426" s="78"/>
      <c r="B1426" s="78"/>
      <c r="C1426" s="78"/>
      <c r="D1426" s="45"/>
      <c r="E1426" s="45"/>
      <c r="F1426" s="45"/>
      <c r="G1426" s="45"/>
    </row>
    <row r="1427">
      <c r="A1427" s="78"/>
      <c r="B1427" s="78"/>
      <c r="C1427" s="78"/>
      <c r="D1427" s="45"/>
      <c r="E1427" s="45"/>
      <c r="F1427" s="45"/>
      <c r="G1427" s="45"/>
    </row>
    <row r="1428">
      <c r="A1428" s="78"/>
      <c r="B1428" s="78"/>
      <c r="C1428" s="78"/>
      <c r="D1428" s="45"/>
      <c r="E1428" s="45"/>
      <c r="F1428" s="45"/>
      <c r="G1428" s="45"/>
    </row>
    <row r="1429">
      <c r="A1429" s="78"/>
      <c r="B1429" s="78"/>
      <c r="C1429" s="78"/>
      <c r="D1429" s="45"/>
      <c r="E1429" s="45"/>
      <c r="F1429" s="45"/>
      <c r="G1429" s="45"/>
    </row>
    <row r="1430">
      <c r="A1430" s="78"/>
      <c r="B1430" s="78"/>
      <c r="C1430" s="78"/>
      <c r="D1430" s="45"/>
      <c r="E1430" s="45"/>
      <c r="F1430" s="45"/>
      <c r="G1430" s="45"/>
    </row>
    <row r="1431">
      <c r="A1431" s="78"/>
      <c r="B1431" s="78"/>
      <c r="C1431" s="78"/>
      <c r="D1431" s="45"/>
      <c r="E1431" s="45"/>
      <c r="F1431" s="45"/>
      <c r="G1431" s="45"/>
    </row>
    <row r="1432">
      <c r="A1432" s="78"/>
      <c r="B1432" s="78"/>
      <c r="C1432" s="78"/>
      <c r="D1432" s="45"/>
      <c r="E1432" s="45"/>
      <c r="F1432" s="45"/>
      <c r="G1432" s="45"/>
    </row>
    <row r="1433">
      <c r="A1433" s="78"/>
      <c r="B1433" s="78"/>
      <c r="C1433" s="78"/>
      <c r="D1433" s="45"/>
      <c r="E1433" s="45"/>
      <c r="F1433" s="45"/>
      <c r="G1433" s="45"/>
    </row>
    <row r="1434">
      <c r="A1434" s="78"/>
      <c r="B1434" s="78"/>
      <c r="C1434" s="78"/>
      <c r="D1434" s="45"/>
      <c r="E1434" s="45"/>
      <c r="F1434" s="45"/>
      <c r="G1434" s="45"/>
    </row>
    <row r="1435">
      <c r="A1435" s="78"/>
      <c r="B1435" s="78"/>
      <c r="C1435" s="78"/>
      <c r="D1435" s="45"/>
      <c r="E1435" s="45"/>
      <c r="F1435" s="45"/>
      <c r="G1435" s="45"/>
    </row>
    <row r="1436">
      <c r="A1436" s="78"/>
      <c r="B1436" s="78"/>
      <c r="C1436" s="78"/>
      <c r="D1436" s="45"/>
      <c r="E1436" s="45"/>
      <c r="F1436" s="45"/>
      <c r="G1436" s="45"/>
    </row>
    <row r="1437">
      <c r="A1437" s="78"/>
      <c r="B1437" s="78"/>
      <c r="C1437" s="78"/>
      <c r="D1437" s="45"/>
      <c r="E1437" s="45"/>
      <c r="F1437" s="45"/>
      <c r="G1437" s="45"/>
    </row>
    <row r="1438">
      <c r="A1438" s="78"/>
      <c r="B1438" s="78"/>
      <c r="C1438" s="78"/>
      <c r="D1438" s="45"/>
      <c r="E1438" s="45"/>
      <c r="F1438" s="45"/>
      <c r="G1438" s="45"/>
    </row>
    <row r="1439">
      <c r="A1439" s="78"/>
      <c r="B1439" s="78"/>
      <c r="C1439" s="78"/>
      <c r="D1439" s="45"/>
      <c r="E1439" s="45"/>
      <c r="F1439" s="45"/>
      <c r="G1439" s="45"/>
    </row>
    <row r="1440">
      <c r="A1440" s="78"/>
      <c r="B1440" s="78"/>
      <c r="C1440" s="78"/>
      <c r="D1440" s="45"/>
      <c r="E1440" s="45"/>
      <c r="F1440" s="45"/>
      <c r="G1440" s="45"/>
    </row>
    <row r="1441">
      <c r="A1441" s="78"/>
      <c r="B1441" s="78"/>
      <c r="C1441" s="78"/>
      <c r="D1441" s="45"/>
      <c r="E1441" s="45"/>
      <c r="F1441" s="45"/>
      <c r="G1441" s="45"/>
    </row>
    <row r="1442">
      <c r="A1442" s="78"/>
      <c r="B1442" s="78"/>
      <c r="C1442" s="78"/>
      <c r="D1442" s="45"/>
      <c r="E1442" s="45"/>
      <c r="F1442" s="45"/>
      <c r="G1442" s="45"/>
    </row>
    <row r="1443">
      <c r="A1443" s="78"/>
      <c r="B1443" s="78"/>
      <c r="C1443" s="78"/>
      <c r="D1443" s="45"/>
      <c r="E1443" s="45"/>
      <c r="F1443" s="45"/>
      <c r="G1443" s="45"/>
    </row>
    <row r="1444">
      <c r="A1444" s="78"/>
      <c r="B1444" s="78"/>
      <c r="C1444" s="78"/>
      <c r="D1444" s="45"/>
      <c r="E1444" s="45"/>
      <c r="F1444" s="45"/>
      <c r="G1444" s="45"/>
    </row>
    <row r="1445">
      <c r="A1445" s="78"/>
      <c r="B1445" s="78"/>
      <c r="C1445" s="78"/>
      <c r="D1445" s="45"/>
      <c r="E1445" s="45"/>
      <c r="F1445" s="45"/>
      <c r="G1445" s="45"/>
    </row>
    <row r="1446">
      <c r="A1446" s="78"/>
      <c r="B1446" s="78"/>
      <c r="C1446" s="78"/>
      <c r="D1446" s="45"/>
      <c r="E1446" s="45"/>
      <c r="F1446" s="45"/>
      <c r="G1446" s="45"/>
    </row>
    <row r="1447">
      <c r="A1447" s="78"/>
      <c r="B1447" s="78"/>
      <c r="C1447" s="78"/>
      <c r="D1447" s="45"/>
      <c r="E1447" s="45"/>
      <c r="F1447" s="45"/>
      <c r="G1447" s="45"/>
    </row>
    <row r="1448">
      <c r="A1448" s="78"/>
      <c r="B1448" s="78"/>
      <c r="C1448" s="78"/>
      <c r="D1448" s="45"/>
      <c r="E1448" s="45"/>
      <c r="F1448" s="45"/>
      <c r="G1448" s="45"/>
    </row>
    <row r="1449">
      <c r="A1449" s="78"/>
      <c r="B1449" s="78"/>
      <c r="C1449" s="78"/>
      <c r="D1449" s="45"/>
      <c r="E1449" s="45"/>
      <c r="F1449" s="45"/>
      <c r="G1449" s="45"/>
    </row>
    <row r="1450">
      <c r="A1450" s="136"/>
      <c r="B1450" s="78"/>
      <c r="C1450" s="78"/>
      <c r="D1450" s="45"/>
      <c r="E1450" s="45"/>
      <c r="F1450" s="45"/>
      <c r="G1450" s="45"/>
    </row>
    <row r="1451">
      <c r="A1451" s="136"/>
      <c r="B1451" s="78"/>
      <c r="C1451" s="78"/>
      <c r="D1451" s="45"/>
      <c r="E1451" s="45"/>
      <c r="F1451" s="45"/>
      <c r="G1451" s="45"/>
    </row>
    <row r="1452">
      <c r="A1452" s="136"/>
      <c r="B1452" s="78"/>
      <c r="C1452" s="78"/>
      <c r="D1452" s="45"/>
      <c r="E1452" s="45"/>
      <c r="F1452" s="45"/>
      <c r="G1452" s="45"/>
    </row>
    <row r="1453">
      <c r="A1453" s="136"/>
      <c r="B1453" s="78"/>
      <c r="C1453" s="78"/>
      <c r="D1453" s="45"/>
      <c r="E1453" s="45"/>
      <c r="F1453" s="45"/>
      <c r="G1453" s="45"/>
    </row>
    <row r="1454">
      <c r="A1454" s="136"/>
      <c r="B1454" s="78"/>
      <c r="C1454" s="78"/>
      <c r="D1454" s="45"/>
      <c r="E1454" s="45"/>
      <c r="F1454" s="45"/>
      <c r="G1454" s="45"/>
    </row>
    <row r="1455">
      <c r="A1455" s="136"/>
      <c r="B1455" s="78"/>
      <c r="C1455" s="78"/>
      <c r="D1455" s="45"/>
      <c r="E1455" s="45"/>
      <c r="F1455" s="45"/>
      <c r="G1455" s="45"/>
    </row>
    <row r="1456">
      <c r="A1456" s="136"/>
      <c r="B1456" s="78"/>
      <c r="C1456" s="78"/>
      <c r="D1456" s="45"/>
      <c r="E1456" s="45"/>
      <c r="F1456" s="45"/>
      <c r="G1456" s="45"/>
    </row>
    <row r="1457">
      <c r="A1457" s="136"/>
      <c r="B1457" s="78"/>
      <c r="C1457" s="78"/>
      <c r="D1457" s="45"/>
      <c r="E1457" s="45"/>
      <c r="F1457" s="45"/>
      <c r="G1457" s="45"/>
    </row>
    <row r="1458">
      <c r="A1458" s="136"/>
      <c r="B1458" s="78"/>
      <c r="C1458" s="78"/>
      <c r="D1458" s="45"/>
      <c r="E1458" s="45"/>
      <c r="F1458" s="45"/>
      <c r="G1458" s="45"/>
    </row>
    <row r="1459">
      <c r="A1459" s="136"/>
      <c r="B1459" s="78"/>
      <c r="C1459" s="78"/>
      <c r="D1459" s="45"/>
      <c r="E1459" s="45"/>
      <c r="F1459" s="45"/>
      <c r="G1459" s="45"/>
    </row>
    <row r="1460">
      <c r="A1460" s="136"/>
      <c r="B1460" s="78"/>
      <c r="C1460" s="78"/>
      <c r="D1460" s="45"/>
      <c r="E1460" s="45"/>
      <c r="F1460" s="45"/>
      <c r="G1460" s="45"/>
    </row>
    <row r="1461">
      <c r="A1461" s="136"/>
      <c r="B1461" s="78"/>
      <c r="C1461" s="78"/>
      <c r="D1461" s="45"/>
      <c r="E1461" s="45"/>
      <c r="F1461" s="45"/>
      <c r="G1461" s="45"/>
    </row>
    <row r="1462">
      <c r="A1462" s="136"/>
      <c r="B1462" s="78"/>
      <c r="C1462" s="78"/>
      <c r="D1462" s="45"/>
      <c r="E1462" s="45"/>
      <c r="F1462" s="45"/>
      <c r="G1462" s="45"/>
    </row>
    <row r="1463">
      <c r="A1463" s="136"/>
      <c r="B1463" s="78"/>
      <c r="C1463" s="78"/>
      <c r="D1463" s="45"/>
      <c r="E1463" s="45"/>
      <c r="F1463" s="45"/>
      <c r="G1463" s="45"/>
    </row>
    <row r="1464">
      <c r="A1464" s="136"/>
      <c r="B1464" s="78"/>
      <c r="C1464" s="78"/>
      <c r="D1464" s="45"/>
      <c r="E1464" s="45"/>
      <c r="F1464" s="45"/>
      <c r="G1464" s="45"/>
    </row>
    <row r="1465">
      <c r="A1465" s="136"/>
      <c r="B1465" s="78"/>
      <c r="C1465" s="78"/>
      <c r="D1465" s="45"/>
      <c r="E1465" s="45"/>
      <c r="F1465" s="45"/>
      <c r="G1465" s="45"/>
    </row>
    <row r="1466">
      <c r="A1466" s="136"/>
      <c r="B1466" s="78"/>
      <c r="C1466" s="78"/>
      <c r="D1466" s="45"/>
      <c r="E1466" s="45"/>
      <c r="F1466" s="45"/>
      <c r="G1466" s="45"/>
    </row>
    <row r="1467">
      <c r="A1467" s="136"/>
      <c r="B1467" s="78"/>
      <c r="C1467" s="78"/>
      <c r="D1467" s="45"/>
      <c r="E1467" s="45"/>
      <c r="F1467" s="45"/>
      <c r="G1467" s="45"/>
    </row>
    <row r="1468">
      <c r="A1468" s="136"/>
      <c r="B1468" s="78"/>
      <c r="C1468" s="78"/>
      <c r="D1468" s="45"/>
      <c r="E1468" s="45"/>
      <c r="F1468" s="45"/>
      <c r="G1468" s="45"/>
    </row>
    <row r="1469">
      <c r="A1469" s="136"/>
      <c r="B1469" s="78"/>
      <c r="C1469" s="78"/>
      <c r="D1469" s="45"/>
      <c r="E1469" s="45"/>
      <c r="F1469" s="45"/>
      <c r="G1469" s="45"/>
    </row>
    <row r="1470">
      <c r="A1470" s="136"/>
      <c r="B1470" s="78"/>
      <c r="C1470" s="78"/>
      <c r="D1470" s="45"/>
      <c r="E1470" s="45"/>
      <c r="F1470" s="45"/>
      <c r="G1470" s="45"/>
    </row>
    <row r="1471">
      <c r="A1471" s="136"/>
      <c r="B1471" s="78"/>
      <c r="C1471" s="78"/>
      <c r="D1471" s="45"/>
      <c r="E1471" s="45"/>
      <c r="F1471" s="45"/>
      <c r="G1471" s="45"/>
    </row>
    <row r="1472">
      <c r="A1472" s="136"/>
      <c r="B1472" s="78"/>
      <c r="C1472" s="78"/>
      <c r="D1472" s="45"/>
      <c r="E1472" s="45"/>
      <c r="F1472" s="45"/>
      <c r="G1472" s="45"/>
    </row>
    <row r="1473">
      <c r="A1473" s="136"/>
      <c r="B1473" s="78"/>
      <c r="C1473" s="78"/>
      <c r="D1473" s="45"/>
      <c r="E1473" s="45"/>
      <c r="F1473" s="45"/>
      <c r="G1473" s="45"/>
    </row>
    <row r="1474">
      <c r="A1474" s="136"/>
      <c r="B1474" s="78"/>
      <c r="C1474" s="78"/>
      <c r="D1474" s="45"/>
      <c r="E1474" s="45"/>
      <c r="F1474" s="45"/>
      <c r="G1474" s="45"/>
    </row>
    <row r="1475">
      <c r="A1475" s="136"/>
      <c r="B1475" s="78"/>
      <c r="C1475" s="78"/>
      <c r="D1475" s="45"/>
      <c r="E1475" s="45"/>
      <c r="F1475" s="45"/>
      <c r="G1475" s="45"/>
    </row>
    <row r="1476">
      <c r="A1476" s="136"/>
      <c r="B1476" s="78"/>
      <c r="C1476" s="78"/>
      <c r="D1476" s="45"/>
      <c r="E1476" s="45"/>
      <c r="F1476" s="45"/>
      <c r="G1476" s="45"/>
    </row>
    <row r="1477">
      <c r="A1477" s="136"/>
      <c r="B1477" s="78"/>
      <c r="C1477" s="78"/>
      <c r="D1477" s="45"/>
      <c r="E1477" s="45"/>
      <c r="F1477" s="45"/>
      <c r="G1477" s="45"/>
    </row>
    <row r="1478">
      <c r="A1478" s="136"/>
      <c r="B1478" s="78"/>
      <c r="C1478" s="78"/>
      <c r="D1478" s="45"/>
      <c r="E1478" s="45"/>
      <c r="F1478" s="45"/>
      <c r="G1478" s="45"/>
    </row>
    <row r="1479">
      <c r="A1479" s="136"/>
      <c r="B1479" s="78"/>
      <c r="C1479" s="78"/>
      <c r="D1479" s="45"/>
      <c r="E1479" s="45"/>
      <c r="F1479" s="45"/>
      <c r="G1479" s="45"/>
    </row>
    <row r="1480">
      <c r="A1480" s="136"/>
      <c r="B1480" s="78"/>
      <c r="C1480" s="78"/>
      <c r="D1480" s="45"/>
      <c r="E1480" s="45"/>
      <c r="F1480" s="45"/>
      <c r="G1480" s="45"/>
    </row>
    <row r="1481">
      <c r="A1481" s="136"/>
      <c r="B1481" s="78"/>
      <c r="C1481" s="78"/>
      <c r="D1481" s="45"/>
      <c r="E1481" s="45"/>
      <c r="F1481" s="45"/>
      <c r="G1481" s="45"/>
    </row>
    <row r="1482">
      <c r="A1482" s="136"/>
      <c r="B1482" s="78"/>
      <c r="C1482" s="78"/>
      <c r="D1482" s="45"/>
      <c r="E1482" s="45"/>
      <c r="F1482" s="45"/>
      <c r="G1482" s="45"/>
    </row>
    <row r="1483">
      <c r="A1483" s="136"/>
      <c r="B1483" s="78"/>
      <c r="C1483" s="78"/>
      <c r="D1483" s="45"/>
      <c r="E1483" s="45"/>
      <c r="F1483" s="45"/>
      <c r="G1483" s="45"/>
    </row>
    <row r="1484">
      <c r="A1484" s="136"/>
      <c r="B1484" s="78"/>
      <c r="C1484" s="78"/>
      <c r="D1484" s="45"/>
      <c r="E1484" s="45"/>
      <c r="F1484" s="45"/>
      <c r="G1484" s="45"/>
    </row>
    <row r="1485">
      <c r="A1485" s="136"/>
      <c r="B1485" s="78"/>
      <c r="C1485" s="78"/>
      <c r="D1485" s="45"/>
      <c r="E1485" s="45"/>
      <c r="F1485" s="45"/>
      <c r="G1485" s="45"/>
    </row>
    <row r="1486">
      <c r="A1486" s="136"/>
      <c r="B1486" s="78"/>
      <c r="C1486" s="78"/>
      <c r="D1486" s="45"/>
      <c r="E1486" s="45"/>
      <c r="F1486" s="45"/>
      <c r="G1486" s="45"/>
    </row>
    <row r="1487">
      <c r="A1487" s="136"/>
      <c r="B1487" s="78"/>
      <c r="C1487" s="78"/>
      <c r="D1487" s="45"/>
      <c r="E1487" s="45"/>
      <c r="F1487" s="45"/>
      <c r="G1487" s="45"/>
    </row>
    <row r="1488">
      <c r="A1488" s="136"/>
      <c r="B1488" s="78"/>
      <c r="C1488" s="78"/>
      <c r="D1488" s="45"/>
      <c r="E1488" s="45"/>
      <c r="F1488" s="45"/>
      <c r="G1488" s="45"/>
    </row>
    <row r="1489">
      <c r="A1489" s="136"/>
      <c r="B1489" s="78"/>
      <c r="C1489" s="78"/>
      <c r="D1489" s="45"/>
      <c r="E1489" s="45"/>
      <c r="F1489" s="45"/>
      <c r="G1489" s="45"/>
    </row>
    <row r="1490">
      <c r="A1490" s="136"/>
      <c r="B1490" s="78"/>
      <c r="C1490" s="78"/>
      <c r="D1490" s="45"/>
      <c r="E1490" s="45"/>
      <c r="F1490" s="45"/>
      <c r="G1490" s="45"/>
    </row>
    <row r="1491">
      <c r="A1491" s="136"/>
      <c r="B1491" s="78"/>
      <c r="C1491" s="78"/>
      <c r="D1491" s="45"/>
      <c r="E1491" s="45"/>
      <c r="F1491" s="45"/>
      <c r="G1491" s="45"/>
    </row>
    <row r="1492">
      <c r="A1492" s="136"/>
      <c r="B1492" s="78"/>
      <c r="C1492" s="78"/>
      <c r="D1492" s="45"/>
      <c r="E1492" s="45"/>
      <c r="F1492" s="45"/>
      <c r="G1492" s="45"/>
    </row>
    <row r="1493">
      <c r="A1493" s="136"/>
      <c r="B1493" s="78"/>
      <c r="C1493" s="78"/>
      <c r="D1493" s="45"/>
      <c r="E1493" s="45"/>
      <c r="F1493" s="45"/>
      <c r="G1493" s="45"/>
    </row>
    <row r="1494">
      <c r="A1494" s="136"/>
      <c r="B1494" s="78"/>
      <c r="C1494" s="78"/>
      <c r="D1494" s="45"/>
      <c r="E1494" s="45"/>
      <c r="F1494" s="45"/>
      <c r="G1494" s="45"/>
    </row>
    <row r="1495">
      <c r="A1495" s="136"/>
      <c r="B1495" s="78"/>
      <c r="C1495" s="78"/>
      <c r="D1495" s="45"/>
      <c r="E1495" s="45"/>
      <c r="F1495" s="45"/>
      <c r="G1495" s="45"/>
    </row>
    <row r="1496">
      <c r="A1496" s="136"/>
      <c r="B1496" s="78"/>
      <c r="C1496" s="78"/>
      <c r="D1496" s="45"/>
      <c r="E1496" s="45"/>
      <c r="F1496" s="45"/>
      <c r="G1496" s="45"/>
    </row>
    <row r="1497">
      <c r="A1497" s="136"/>
      <c r="B1497" s="78"/>
      <c r="C1497" s="78"/>
      <c r="D1497" s="45"/>
      <c r="E1497" s="45"/>
      <c r="F1497" s="45"/>
      <c r="G1497" s="45"/>
    </row>
    <row r="1498">
      <c r="A1498" s="136"/>
      <c r="B1498" s="78"/>
      <c r="C1498" s="78"/>
      <c r="D1498" s="45"/>
      <c r="E1498" s="45"/>
      <c r="F1498" s="45"/>
      <c r="G1498" s="45"/>
    </row>
    <row r="1499">
      <c r="A1499" s="136"/>
      <c r="B1499" s="78"/>
      <c r="C1499" s="78"/>
      <c r="D1499" s="45"/>
      <c r="E1499" s="45"/>
      <c r="F1499" s="45"/>
      <c r="G1499" s="45"/>
    </row>
    <row r="1500">
      <c r="A1500" s="136"/>
      <c r="B1500" s="78"/>
      <c r="C1500" s="78"/>
      <c r="D1500" s="45"/>
      <c r="E1500" s="45"/>
      <c r="F1500" s="45"/>
      <c r="G1500" s="45"/>
    </row>
    <row r="1501">
      <c r="A1501" s="136"/>
      <c r="B1501" s="78"/>
      <c r="C1501" s="78"/>
      <c r="D1501" s="45"/>
      <c r="E1501" s="45"/>
      <c r="F1501" s="45"/>
      <c r="G1501" s="45"/>
    </row>
    <row r="1502">
      <c r="A1502" s="136"/>
      <c r="B1502" s="78"/>
      <c r="C1502" s="78"/>
      <c r="D1502" s="45"/>
      <c r="E1502" s="45"/>
      <c r="F1502" s="45"/>
      <c r="G1502" s="45"/>
    </row>
    <row r="1503">
      <c r="A1503" s="136"/>
      <c r="B1503" s="78"/>
      <c r="C1503" s="78"/>
      <c r="D1503" s="45"/>
      <c r="E1503" s="45"/>
      <c r="F1503" s="45"/>
      <c r="G1503" s="45"/>
    </row>
    <row r="1504">
      <c r="A1504" s="136"/>
      <c r="B1504" s="78"/>
      <c r="C1504" s="78"/>
      <c r="D1504" s="45"/>
      <c r="E1504" s="45"/>
      <c r="F1504" s="45"/>
      <c r="G1504" s="45"/>
    </row>
    <row r="1505">
      <c r="A1505" s="136"/>
      <c r="B1505" s="78"/>
      <c r="C1505" s="78"/>
      <c r="D1505" s="45"/>
      <c r="E1505" s="45"/>
      <c r="F1505" s="45"/>
      <c r="G1505" s="45"/>
    </row>
    <row r="1506">
      <c r="A1506" s="136"/>
      <c r="B1506" s="78"/>
      <c r="C1506" s="78"/>
      <c r="D1506" s="45"/>
      <c r="E1506" s="45"/>
      <c r="F1506" s="45"/>
      <c r="G1506" s="45"/>
    </row>
    <row r="1507">
      <c r="A1507" s="136"/>
      <c r="B1507" s="78"/>
      <c r="C1507" s="78"/>
      <c r="D1507" s="45"/>
      <c r="E1507" s="45"/>
      <c r="F1507" s="45"/>
      <c r="G1507" s="45"/>
    </row>
    <row r="1508">
      <c r="A1508" s="136"/>
      <c r="B1508" s="78"/>
      <c r="C1508" s="78"/>
      <c r="D1508" s="45"/>
      <c r="E1508" s="45"/>
      <c r="F1508" s="45"/>
      <c r="G1508" s="45"/>
    </row>
    <row r="1509">
      <c r="A1509" s="136"/>
      <c r="B1509" s="78"/>
      <c r="C1509" s="78"/>
      <c r="D1509" s="45"/>
      <c r="E1509" s="45"/>
      <c r="F1509" s="45"/>
      <c r="G1509" s="45"/>
    </row>
    <row r="1510">
      <c r="A1510" s="136"/>
      <c r="B1510" s="78"/>
      <c r="C1510" s="78"/>
      <c r="D1510" s="45"/>
      <c r="E1510" s="45"/>
      <c r="F1510" s="45"/>
      <c r="G1510" s="45"/>
    </row>
    <row r="1511">
      <c r="A1511" s="136"/>
      <c r="B1511" s="78"/>
      <c r="C1511" s="78"/>
      <c r="D1511" s="45"/>
      <c r="E1511" s="45"/>
      <c r="F1511" s="45"/>
      <c r="G1511" s="45"/>
    </row>
    <row r="1512">
      <c r="A1512" s="136"/>
      <c r="B1512" s="78"/>
      <c r="C1512" s="78"/>
      <c r="D1512" s="45"/>
      <c r="E1512" s="45"/>
      <c r="F1512" s="45"/>
      <c r="G1512" s="45"/>
    </row>
    <row r="1513">
      <c r="A1513" s="136"/>
      <c r="B1513" s="78"/>
      <c r="C1513" s="78"/>
      <c r="D1513" s="45"/>
      <c r="E1513" s="45"/>
      <c r="F1513" s="45"/>
      <c r="G1513" s="45"/>
    </row>
    <row r="1514">
      <c r="A1514" s="136"/>
      <c r="B1514" s="78"/>
      <c r="C1514" s="78"/>
      <c r="D1514" s="45"/>
      <c r="E1514" s="45"/>
      <c r="F1514" s="45"/>
      <c r="G1514" s="45"/>
    </row>
    <row r="1515">
      <c r="A1515" s="136"/>
      <c r="B1515" s="78"/>
      <c r="C1515" s="78"/>
      <c r="D1515" s="45"/>
      <c r="E1515" s="45"/>
      <c r="F1515" s="45"/>
      <c r="G1515" s="45"/>
    </row>
    <row r="1516">
      <c r="A1516" s="136"/>
      <c r="B1516" s="78"/>
      <c r="C1516" s="78"/>
      <c r="D1516" s="45"/>
      <c r="E1516" s="45"/>
      <c r="F1516" s="45"/>
      <c r="G1516" s="45"/>
    </row>
    <row r="1517">
      <c r="A1517" s="136"/>
      <c r="B1517" s="78"/>
      <c r="C1517" s="78"/>
      <c r="D1517" s="45"/>
      <c r="E1517" s="45"/>
      <c r="F1517" s="45"/>
      <c r="G1517" s="45"/>
    </row>
    <row r="1518">
      <c r="A1518" s="136"/>
      <c r="B1518" s="78"/>
      <c r="C1518" s="78"/>
      <c r="D1518" s="45"/>
      <c r="E1518" s="45"/>
      <c r="F1518" s="45"/>
      <c r="G1518" s="45"/>
    </row>
    <row r="1519">
      <c r="A1519" s="136"/>
      <c r="B1519" s="78"/>
      <c r="C1519" s="78"/>
      <c r="D1519" s="45"/>
      <c r="E1519" s="45"/>
      <c r="F1519" s="45"/>
      <c r="G1519" s="45"/>
    </row>
    <row r="1520">
      <c r="A1520" s="136"/>
      <c r="B1520" s="78"/>
      <c r="C1520" s="78"/>
      <c r="D1520" s="45"/>
      <c r="E1520" s="45"/>
      <c r="F1520" s="45"/>
      <c r="G1520" s="45"/>
    </row>
    <row r="1521">
      <c r="A1521" s="136"/>
      <c r="B1521" s="78"/>
      <c r="C1521" s="78"/>
      <c r="D1521" s="45"/>
      <c r="E1521" s="45"/>
      <c r="F1521" s="45"/>
      <c r="G1521" s="45"/>
    </row>
    <row r="1522">
      <c r="A1522" s="136"/>
      <c r="B1522" s="78"/>
      <c r="C1522" s="78"/>
      <c r="D1522" s="45"/>
      <c r="E1522" s="45"/>
      <c r="F1522" s="45"/>
      <c r="G1522" s="45"/>
    </row>
    <row r="1523">
      <c r="A1523" s="136"/>
      <c r="B1523" s="78"/>
      <c r="C1523" s="78"/>
      <c r="D1523" s="45"/>
      <c r="E1523" s="45"/>
      <c r="F1523" s="45"/>
      <c r="G1523" s="45"/>
    </row>
    <row r="1524">
      <c r="A1524" s="136"/>
      <c r="B1524" s="78"/>
      <c r="C1524" s="78"/>
      <c r="D1524" s="45"/>
      <c r="E1524" s="45"/>
      <c r="F1524" s="45"/>
      <c r="G1524" s="45"/>
    </row>
    <row r="1525">
      <c r="A1525" s="136"/>
      <c r="B1525" s="78"/>
      <c r="C1525" s="78"/>
      <c r="D1525" s="45"/>
      <c r="E1525" s="45"/>
      <c r="F1525" s="45"/>
      <c r="G1525" s="45"/>
    </row>
    <row r="1526">
      <c r="A1526" s="136"/>
      <c r="B1526" s="78"/>
      <c r="C1526" s="78"/>
      <c r="D1526" s="45"/>
      <c r="E1526" s="45"/>
      <c r="F1526" s="45"/>
      <c r="G1526" s="45"/>
    </row>
    <row r="1527">
      <c r="A1527" s="136"/>
      <c r="B1527" s="78"/>
      <c r="C1527" s="78"/>
      <c r="D1527" s="45"/>
      <c r="E1527" s="45"/>
      <c r="F1527" s="45"/>
      <c r="G1527" s="45"/>
    </row>
    <row r="1528">
      <c r="A1528" s="136"/>
      <c r="B1528" s="78"/>
      <c r="C1528" s="78"/>
      <c r="D1528" s="45"/>
      <c r="E1528" s="45"/>
      <c r="F1528" s="45"/>
      <c r="G1528" s="45"/>
    </row>
    <row r="1529">
      <c r="A1529" s="136"/>
      <c r="B1529" s="78"/>
      <c r="C1529" s="78"/>
      <c r="D1529" s="45"/>
      <c r="E1529" s="45"/>
      <c r="F1529" s="45"/>
      <c r="G1529" s="45"/>
    </row>
    <row r="1530">
      <c r="A1530" s="136"/>
      <c r="B1530" s="78"/>
      <c r="C1530" s="78"/>
      <c r="D1530" s="45"/>
      <c r="E1530" s="45"/>
      <c r="F1530" s="45"/>
      <c r="G1530" s="45"/>
    </row>
    <row r="1531">
      <c r="A1531" s="136"/>
      <c r="B1531" s="78"/>
      <c r="C1531" s="78"/>
      <c r="D1531" s="45"/>
      <c r="E1531" s="45"/>
      <c r="F1531" s="45"/>
      <c r="G1531" s="45"/>
    </row>
    <row r="1532">
      <c r="A1532" s="136"/>
      <c r="B1532" s="78"/>
      <c r="C1532" s="78"/>
      <c r="D1532" s="45"/>
      <c r="E1532" s="45"/>
      <c r="F1532" s="45"/>
      <c r="G1532" s="45"/>
    </row>
    <row r="1533">
      <c r="A1533" s="136"/>
      <c r="B1533" s="78"/>
      <c r="C1533" s="78"/>
      <c r="D1533" s="45"/>
      <c r="E1533" s="45"/>
      <c r="F1533" s="45"/>
      <c r="G1533" s="45"/>
    </row>
    <row r="1534">
      <c r="A1534" s="136"/>
      <c r="B1534" s="78"/>
      <c r="C1534" s="78"/>
      <c r="D1534" s="45"/>
      <c r="E1534" s="45"/>
      <c r="F1534" s="45"/>
      <c r="G1534" s="45"/>
    </row>
    <row r="1535">
      <c r="A1535" s="136"/>
      <c r="B1535" s="78"/>
      <c r="C1535" s="78"/>
      <c r="D1535" s="45"/>
      <c r="E1535" s="45"/>
      <c r="F1535" s="45"/>
      <c r="G1535" s="45"/>
    </row>
    <row r="1536">
      <c r="A1536" s="136"/>
      <c r="B1536" s="78"/>
      <c r="C1536" s="78"/>
      <c r="D1536" s="45"/>
      <c r="E1536" s="45"/>
      <c r="F1536" s="45"/>
      <c r="G1536" s="45"/>
    </row>
    <row r="1537">
      <c r="A1537" s="136"/>
      <c r="B1537" s="78"/>
      <c r="C1537" s="78"/>
      <c r="D1537" s="45"/>
      <c r="E1537" s="45"/>
      <c r="F1537" s="45"/>
      <c r="G1537" s="45"/>
    </row>
    <row r="1538">
      <c r="A1538" s="136"/>
      <c r="B1538" s="78"/>
      <c r="C1538" s="78"/>
      <c r="D1538" s="45"/>
      <c r="E1538" s="45"/>
      <c r="F1538" s="45"/>
      <c r="G1538" s="45"/>
    </row>
    <row r="1539">
      <c r="A1539" s="136"/>
      <c r="B1539" s="78"/>
      <c r="C1539" s="78"/>
      <c r="D1539" s="45"/>
      <c r="E1539" s="45"/>
      <c r="F1539" s="45"/>
      <c r="G1539" s="45"/>
    </row>
    <row r="1540">
      <c r="A1540" s="136"/>
      <c r="B1540" s="78"/>
      <c r="C1540" s="78"/>
      <c r="D1540" s="45"/>
      <c r="E1540" s="45"/>
      <c r="F1540" s="45"/>
      <c r="G1540" s="45"/>
    </row>
    <row r="1541">
      <c r="A1541" s="136"/>
      <c r="B1541" s="78"/>
      <c r="C1541" s="78"/>
      <c r="D1541" s="45"/>
      <c r="E1541" s="45"/>
      <c r="F1541" s="45"/>
      <c r="G1541" s="45"/>
    </row>
    <row r="1542">
      <c r="A1542" s="136"/>
      <c r="B1542" s="78"/>
      <c r="C1542" s="78"/>
      <c r="D1542" s="45"/>
      <c r="E1542" s="45"/>
      <c r="F1542" s="45"/>
      <c r="G1542" s="45"/>
    </row>
    <row r="1543">
      <c r="A1543" s="136"/>
      <c r="B1543" s="78"/>
      <c r="C1543" s="78"/>
      <c r="D1543" s="45"/>
      <c r="E1543" s="45"/>
      <c r="F1543" s="45"/>
      <c r="G1543" s="45"/>
    </row>
    <row r="1544">
      <c r="A1544" s="136"/>
      <c r="B1544" s="78"/>
      <c r="C1544" s="78"/>
      <c r="D1544" s="45"/>
      <c r="E1544" s="45"/>
      <c r="F1544" s="45"/>
      <c r="G1544" s="45"/>
    </row>
    <row r="1545">
      <c r="A1545" s="136"/>
      <c r="B1545" s="78"/>
      <c r="C1545" s="78"/>
      <c r="D1545" s="45"/>
      <c r="E1545" s="45"/>
      <c r="F1545" s="45"/>
      <c r="G1545" s="45"/>
    </row>
    <row r="1546">
      <c r="A1546" s="136"/>
      <c r="B1546" s="78"/>
      <c r="C1546" s="78"/>
      <c r="D1546" s="45"/>
      <c r="E1546" s="45"/>
      <c r="F1546" s="45"/>
      <c r="G1546" s="45"/>
    </row>
    <row r="1547">
      <c r="A1547" s="136"/>
      <c r="B1547" s="78"/>
      <c r="C1547" s="78"/>
      <c r="D1547" s="45"/>
      <c r="E1547" s="45"/>
      <c r="F1547" s="45"/>
      <c r="G1547" s="45"/>
    </row>
    <row r="1548">
      <c r="A1548" s="136"/>
      <c r="B1548" s="78"/>
      <c r="C1548" s="78"/>
      <c r="D1548" s="45"/>
      <c r="E1548" s="45"/>
      <c r="F1548" s="45"/>
      <c r="G1548" s="45"/>
    </row>
    <row r="1549">
      <c r="A1549" s="136"/>
      <c r="B1549" s="78"/>
      <c r="C1549" s="78"/>
      <c r="D1549" s="45"/>
      <c r="E1549" s="45"/>
      <c r="F1549" s="45"/>
      <c r="G1549" s="45"/>
    </row>
    <row r="1550">
      <c r="A1550" s="136"/>
      <c r="B1550" s="78"/>
      <c r="C1550" s="78"/>
      <c r="D1550" s="45"/>
      <c r="E1550" s="45"/>
      <c r="F1550" s="45"/>
      <c r="G1550" s="45"/>
    </row>
    <row r="1551">
      <c r="A1551" s="136"/>
      <c r="B1551" s="78"/>
      <c r="C1551" s="78"/>
      <c r="D1551" s="45"/>
      <c r="E1551" s="45"/>
      <c r="F1551" s="45"/>
      <c r="G1551" s="45"/>
    </row>
    <row r="1552">
      <c r="A1552" s="136"/>
      <c r="B1552" s="78"/>
      <c r="C1552" s="78"/>
      <c r="D1552" s="45"/>
      <c r="E1552" s="45"/>
      <c r="F1552" s="45"/>
      <c r="G1552" s="45"/>
    </row>
    <row r="1553">
      <c r="A1553" s="136"/>
      <c r="B1553" s="78"/>
      <c r="C1553" s="78"/>
      <c r="D1553" s="45"/>
      <c r="E1553" s="45"/>
      <c r="F1553" s="45"/>
      <c r="G1553" s="45"/>
    </row>
    <row r="1554">
      <c r="A1554" s="136"/>
      <c r="B1554" s="78"/>
      <c r="C1554" s="78"/>
      <c r="D1554" s="45"/>
      <c r="E1554" s="45"/>
      <c r="F1554" s="45"/>
      <c r="G1554" s="45"/>
    </row>
    <row r="1555">
      <c r="A1555" s="136"/>
      <c r="B1555" s="78"/>
      <c r="C1555" s="78"/>
      <c r="D1555" s="45"/>
      <c r="E1555" s="45"/>
      <c r="F1555" s="45"/>
      <c r="G1555" s="45"/>
    </row>
    <row r="1556">
      <c r="A1556" s="136"/>
      <c r="B1556" s="78"/>
      <c r="C1556" s="78"/>
      <c r="D1556" s="45"/>
      <c r="E1556" s="45"/>
      <c r="F1556" s="45"/>
      <c r="G1556" s="45"/>
    </row>
    <row r="1557">
      <c r="A1557" s="136"/>
      <c r="B1557" s="78"/>
      <c r="C1557" s="78"/>
      <c r="D1557" s="45"/>
      <c r="E1557" s="45"/>
      <c r="F1557" s="45"/>
      <c r="G1557" s="45"/>
    </row>
    <row r="1558">
      <c r="A1558" s="136"/>
      <c r="B1558" s="78"/>
      <c r="C1558" s="78"/>
      <c r="D1558" s="45"/>
      <c r="E1558" s="45"/>
      <c r="F1558" s="45"/>
      <c r="G1558" s="45"/>
    </row>
    <row r="1559">
      <c r="A1559" s="136"/>
      <c r="B1559" s="78"/>
      <c r="C1559" s="78"/>
      <c r="D1559" s="45"/>
      <c r="E1559" s="45"/>
      <c r="F1559" s="45"/>
      <c r="G1559" s="45"/>
    </row>
    <row r="1560">
      <c r="A1560" s="136"/>
      <c r="B1560" s="78"/>
      <c r="C1560" s="78"/>
      <c r="D1560" s="45"/>
      <c r="E1560" s="45"/>
      <c r="F1560" s="45"/>
      <c r="G1560" s="45"/>
    </row>
    <row r="1561">
      <c r="A1561" s="136"/>
      <c r="B1561" s="78"/>
      <c r="C1561" s="78"/>
      <c r="D1561" s="45"/>
      <c r="E1561" s="45"/>
      <c r="F1561" s="45"/>
      <c r="G1561" s="45"/>
    </row>
    <row r="1562">
      <c r="A1562" s="136"/>
      <c r="B1562" s="78"/>
      <c r="C1562" s="78"/>
      <c r="D1562" s="45"/>
      <c r="E1562" s="45"/>
      <c r="F1562" s="45"/>
      <c r="G1562" s="45"/>
    </row>
    <row r="1563">
      <c r="A1563" s="136"/>
      <c r="B1563" s="78"/>
      <c r="C1563" s="78"/>
      <c r="D1563" s="45"/>
      <c r="E1563" s="45"/>
      <c r="F1563" s="45"/>
      <c r="G1563" s="45"/>
    </row>
    <row r="1564">
      <c r="A1564" s="136"/>
      <c r="B1564" s="78"/>
      <c r="C1564" s="78"/>
      <c r="D1564" s="45"/>
      <c r="E1564" s="45"/>
      <c r="F1564" s="45"/>
      <c r="G1564" s="45"/>
    </row>
    <row r="1565">
      <c r="A1565" s="136"/>
      <c r="B1565" s="78"/>
      <c r="C1565" s="78"/>
      <c r="D1565" s="45"/>
      <c r="E1565" s="45"/>
      <c r="F1565" s="45"/>
      <c r="G1565" s="45"/>
    </row>
    <row r="1566">
      <c r="A1566" s="136"/>
      <c r="B1566" s="78"/>
      <c r="C1566" s="78"/>
      <c r="D1566" s="45"/>
      <c r="E1566" s="45"/>
      <c r="F1566" s="45"/>
      <c r="G1566" s="45"/>
    </row>
    <row r="1567">
      <c r="A1567" s="136"/>
      <c r="B1567" s="78"/>
      <c r="C1567" s="78"/>
      <c r="D1567" s="45"/>
      <c r="E1567" s="45"/>
      <c r="F1567" s="45"/>
      <c r="G1567" s="45"/>
    </row>
    <row r="1568">
      <c r="A1568" s="136"/>
      <c r="B1568" s="78"/>
      <c r="C1568" s="78"/>
      <c r="D1568" s="45"/>
      <c r="E1568" s="45"/>
      <c r="F1568" s="45"/>
      <c r="G1568" s="45"/>
    </row>
    <row r="1569">
      <c r="A1569" s="136"/>
      <c r="B1569" s="78"/>
      <c r="C1569" s="78"/>
      <c r="D1569" s="45"/>
      <c r="E1569" s="45"/>
      <c r="F1569" s="45"/>
      <c r="G1569" s="45"/>
    </row>
    <row r="1570">
      <c r="A1570" s="136"/>
      <c r="B1570" s="78"/>
      <c r="C1570" s="78"/>
      <c r="D1570" s="45"/>
      <c r="E1570" s="45"/>
      <c r="F1570" s="45"/>
      <c r="G1570" s="45"/>
    </row>
    <row r="1571">
      <c r="A1571" s="136"/>
      <c r="B1571" s="78"/>
      <c r="C1571" s="78"/>
      <c r="D1571" s="45"/>
      <c r="E1571" s="45"/>
      <c r="F1571" s="45"/>
      <c r="G1571" s="45"/>
    </row>
    <row r="1572">
      <c r="A1572" s="136"/>
      <c r="B1572" s="78"/>
      <c r="C1572" s="78"/>
      <c r="D1572" s="45"/>
      <c r="E1572" s="45"/>
      <c r="F1572" s="45"/>
      <c r="G1572" s="45"/>
    </row>
    <row r="1573">
      <c r="A1573" s="136"/>
      <c r="B1573" s="78"/>
      <c r="C1573" s="78"/>
      <c r="D1573" s="45"/>
      <c r="E1573" s="45"/>
      <c r="F1573" s="45"/>
      <c r="G1573" s="45"/>
    </row>
    <row r="1574">
      <c r="A1574" s="136"/>
      <c r="B1574" s="78"/>
      <c r="C1574" s="78"/>
      <c r="D1574" s="45"/>
      <c r="E1574" s="45"/>
      <c r="F1574" s="45"/>
      <c r="G1574" s="45"/>
    </row>
    <row r="1575">
      <c r="A1575" s="136"/>
      <c r="B1575" s="78"/>
      <c r="C1575" s="78"/>
      <c r="D1575" s="45"/>
      <c r="E1575" s="45"/>
      <c r="F1575" s="45"/>
      <c r="G1575" s="45"/>
    </row>
    <row r="1576">
      <c r="A1576" s="136"/>
      <c r="B1576" s="78"/>
      <c r="C1576" s="78"/>
      <c r="D1576" s="45"/>
      <c r="E1576" s="45"/>
      <c r="F1576" s="45"/>
      <c r="G1576" s="45"/>
    </row>
    <row r="1577">
      <c r="A1577" s="136"/>
      <c r="B1577" s="78"/>
      <c r="C1577" s="78"/>
      <c r="D1577" s="45"/>
      <c r="E1577" s="45"/>
      <c r="F1577" s="45"/>
      <c r="G1577" s="45"/>
    </row>
    <row r="1578">
      <c r="A1578" s="136"/>
      <c r="B1578" s="78"/>
      <c r="C1578" s="78"/>
      <c r="D1578" s="45"/>
      <c r="E1578" s="45"/>
      <c r="F1578" s="45"/>
      <c r="G1578" s="45"/>
    </row>
    <row r="1579">
      <c r="A1579" s="136"/>
      <c r="B1579" s="78"/>
      <c r="C1579" s="78"/>
      <c r="D1579" s="45"/>
      <c r="E1579" s="45"/>
      <c r="F1579" s="45"/>
      <c r="G1579" s="45"/>
    </row>
    <row r="1580">
      <c r="A1580" s="136"/>
      <c r="B1580" s="78"/>
      <c r="C1580" s="78"/>
      <c r="D1580" s="45"/>
      <c r="E1580" s="45"/>
      <c r="F1580" s="45"/>
      <c r="G1580" s="45"/>
    </row>
    <row r="1581">
      <c r="A1581" s="136"/>
      <c r="B1581" s="78"/>
      <c r="C1581" s="78"/>
      <c r="D1581" s="45"/>
      <c r="E1581" s="45"/>
      <c r="F1581" s="45"/>
      <c r="G1581" s="45"/>
    </row>
    <row r="1582">
      <c r="A1582" s="136"/>
      <c r="B1582" s="78"/>
      <c r="C1582" s="78"/>
      <c r="D1582" s="45"/>
      <c r="E1582" s="45"/>
      <c r="F1582" s="45"/>
      <c r="G1582" s="45"/>
    </row>
    <row r="1583">
      <c r="A1583" s="136"/>
      <c r="B1583" s="78"/>
      <c r="C1583" s="78"/>
      <c r="D1583" s="45"/>
      <c r="E1583" s="45"/>
      <c r="F1583" s="45"/>
      <c r="G1583" s="45"/>
    </row>
    <row r="1584">
      <c r="A1584" s="136"/>
      <c r="B1584" s="78"/>
      <c r="C1584" s="78"/>
      <c r="D1584" s="45"/>
      <c r="E1584" s="45"/>
      <c r="F1584" s="45"/>
      <c r="G1584" s="45"/>
    </row>
    <row r="1585">
      <c r="A1585" s="136"/>
      <c r="B1585" s="78"/>
      <c r="C1585" s="78"/>
      <c r="D1585" s="45"/>
      <c r="E1585" s="45"/>
      <c r="F1585" s="45"/>
      <c r="G1585" s="45"/>
    </row>
    <row r="1586">
      <c r="A1586" s="136"/>
      <c r="B1586" s="78"/>
      <c r="C1586" s="78"/>
      <c r="D1586" s="45"/>
      <c r="E1586" s="45"/>
      <c r="F1586" s="45"/>
      <c r="G1586" s="45"/>
    </row>
    <row r="1587">
      <c r="A1587" s="136"/>
      <c r="B1587" s="78"/>
      <c r="C1587" s="78"/>
      <c r="D1587" s="45"/>
      <c r="E1587" s="45"/>
      <c r="F1587" s="45"/>
      <c r="G1587" s="45"/>
    </row>
    <row r="1588">
      <c r="A1588" s="136"/>
      <c r="B1588" s="78"/>
      <c r="C1588" s="78"/>
      <c r="D1588" s="45"/>
      <c r="E1588" s="45"/>
      <c r="F1588" s="45"/>
      <c r="G1588" s="45"/>
    </row>
    <row r="1589">
      <c r="A1589" s="136"/>
      <c r="B1589" s="78"/>
      <c r="C1589" s="78"/>
      <c r="D1589" s="45"/>
      <c r="E1589" s="45"/>
      <c r="F1589" s="45"/>
      <c r="G1589" s="45"/>
    </row>
    <row r="1590">
      <c r="A1590" s="136"/>
      <c r="B1590" s="78"/>
      <c r="C1590" s="78"/>
      <c r="D1590" s="45"/>
      <c r="E1590" s="45"/>
      <c r="F1590" s="45"/>
      <c r="G1590" s="45"/>
    </row>
    <row r="1591">
      <c r="A1591" s="136"/>
      <c r="B1591" s="78"/>
      <c r="C1591" s="78"/>
      <c r="D1591" s="45"/>
      <c r="E1591" s="45"/>
      <c r="F1591" s="45"/>
      <c r="G1591" s="45"/>
    </row>
    <row r="1592">
      <c r="A1592" s="136"/>
      <c r="B1592" s="78"/>
      <c r="C1592" s="78"/>
      <c r="D1592" s="45"/>
      <c r="E1592" s="45"/>
      <c r="F1592" s="45"/>
      <c r="G1592" s="45"/>
    </row>
    <row r="1593">
      <c r="A1593" s="136"/>
      <c r="B1593" s="78"/>
      <c r="C1593" s="78"/>
      <c r="D1593" s="45"/>
      <c r="E1593" s="45"/>
      <c r="F1593" s="45"/>
      <c r="G1593" s="45"/>
    </row>
    <row r="1594">
      <c r="A1594" s="136"/>
      <c r="B1594" s="78"/>
      <c r="C1594" s="78"/>
      <c r="D1594" s="45"/>
      <c r="E1594" s="45"/>
      <c r="F1594" s="45"/>
      <c r="G1594" s="45"/>
    </row>
    <row r="1595">
      <c r="A1595" s="136"/>
      <c r="B1595" s="78"/>
      <c r="C1595" s="78"/>
      <c r="D1595" s="45"/>
      <c r="E1595" s="45"/>
      <c r="F1595" s="45"/>
      <c r="G1595" s="45"/>
    </row>
    <row r="1596">
      <c r="A1596" s="136"/>
      <c r="B1596" s="78"/>
      <c r="C1596" s="78"/>
      <c r="D1596" s="45"/>
      <c r="E1596" s="45"/>
      <c r="F1596" s="45"/>
      <c r="G1596" s="45"/>
    </row>
    <row r="1597">
      <c r="A1597" s="136"/>
      <c r="B1597" s="78"/>
      <c r="C1597" s="78"/>
      <c r="D1597" s="45"/>
      <c r="E1597" s="45"/>
      <c r="F1597" s="45"/>
      <c r="G1597" s="45"/>
    </row>
    <row r="1598">
      <c r="A1598" s="136"/>
      <c r="B1598" s="78"/>
      <c r="C1598" s="78"/>
      <c r="D1598" s="45"/>
      <c r="E1598" s="45"/>
      <c r="F1598" s="45"/>
      <c r="G1598" s="45"/>
    </row>
    <row r="1599">
      <c r="A1599" s="136"/>
      <c r="B1599" s="78"/>
      <c r="C1599" s="78"/>
      <c r="D1599" s="45"/>
      <c r="E1599" s="45"/>
      <c r="F1599" s="45"/>
      <c r="G1599" s="45"/>
    </row>
    <row r="1600">
      <c r="A1600" s="136"/>
      <c r="B1600" s="78"/>
      <c r="C1600" s="78"/>
      <c r="D1600" s="45"/>
      <c r="E1600" s="45"/>
      <c r="F1600" s="45"/>
      <c r="G1600" s="45"/>
    </row>
    <row r="1601">
      <c r="A1601" s="136"/>
      <c r="B1601" s="78"/>
      <c r="C1601" s="78"/>
      <c r="D1601" s="45"/>
      <c r="E1601" s="45"/>
      <c r="F1601" s="45"/>
      <c r="G1601" s="45"/>
    </row>
    <row r="1602">
      <c r="A1602" s="136"/>
      <c r="B1602" s="78"/>
      <c r="C1602" s="78"/>
      <c r="D1602" s="45"/>
      <c r="E1602" s="45"/>
      <c r="F1602" s="45"/>
      <c r="G1602" s="45"/>
    </row>
    <row r="1603">
      <c r="A1603" s="136"/>
      <c r="B1603" s="78"/>
      <c r="C1603" s="78"/>
      <c r="D1603" s="45"/>
      <c r="E1603" s="45"/>
      <c r="F1603" s="45"/>
      <c r="G1603" s="45"/>
    </row>
    <row r="1604">
      <c r="A1604" s="136"/>
      <c r="B1604" s="78"/>
      <c r="C1604" s="78"/>
      <c r="D1604" s="45"/>
      <c r="E1604" s="45"/>
      <c r="F1604" s="45"/>
      <c r="G1604" s="45"/>
    </row>
    <row r="1605">
      <c r="A1605" s="136"/>
      <c r="B1605" s="78"/>
      <c r="C1605" s="78"/>
      <c r="D1605" s="45"/>
      <c r="E1605" s="45"/>
      <c r="F1605" s="45"/>
      <c r="G1605" s="45"/>
    </row>
    <row r="1606">
      <c r="A1606" s="136"/>
      <c r="B1606" s="78"/>
      <c r="C1606" s="78"/>
      <c r="D1606" s="45"/>
      <c r="E1606" s="45"/>
      <c r="F1606" s="45"/>
      <c r="G1606" s="45"/>
    </row>
    <row r="1607">
      <c r="A1607" s="136"/>
      <c r="B1607" s="78"/>
      <c r="C1607" s="78"/>
      <c r="D1607" s="45"/>
      <c r="E1607" s="45"/>
      <c r="F1607" s="45"/>
      <c r="G1607" s="45"/>
    </row>
    <row r="1608">
      <c r="A1608" s="136"/>
      <c r="B1608" s="78"/>
      <c r="C1608" s="78"/>
      <c r="D1608" s="45"/>
      <c r="E1608" s="45"/>
      <c r="F1608" s="45"/>
      <c r="G1608" s="45"/>
    </row>
    <row r="1609">
      <c r="A1609" s="136"/>
      <c r="B1609" s="78"/>
      <c r="C1609" s="78"/>
      <c r="D1609" s="45"/>
      <c r="E1609" s="45"/>
      <c r="F1609" s="45"/>
      <c r="G1609" s="45"/>
    </row>
    <row r="1610">
      <c r="A1610" s="136"/>
      <c r="B1610" s="78"/>
      <c r="C1610" s="78"/>
      <c r="D1610" s="45"/>
      <c r="E1610" s="45"/>
      <c r="F1610" s="45"/>
      <c r="G1610" s="45"/>
    </row>
    <row r="1611">
      <c r="A1611" s="136"/>
      <c r="B1611" s="78"/>
      <c r="C1611" s="78"/>
      <c r="D1611" s="45"/>
      <c r="E1611" s="45"/>
      <c r="F1611" s="45"/>
      <c r="G1611" s="45"/>
    </row>
    <row r="1612">
      <c r="A1612" s="136"/>
      <c r="B1612" s="78"/>
      <c r="C1612" s="78"/>
      <c r="D1612" s="45"/>
      <c r="E1612" s="45"/>
      <c r="F1612" s="45"/>
      <c r="G1612" s="45"/>
    </row>
    <row r="1613">
      <c r="A1613" s="136"/>
      <c r="B1613" s="78"/>
      <c r="C1613" s="78"/>
      <c r="D1613" s="45"/>
      <c r="E1613" s="45"/>
      <c r="F1613" s="45"/>
      <c r="G1613" s="45"/>
    </row>
    <row r="1614">
      <c r="A1614" s="136"/>
      <c r="B1614" s="78"/>
      <c r="C1614" s="78"/>
      <c r="D1614" s="45"/>
      <c r="E1614" s="45"/>
      <c r="F1614" s="45"/>
      <c r="G1614" s="45"/>
    </row>
    <row r="1615">
      <c r="A1615" s="136"/>
      <c r="B1615" s="78"/>
      <c r="C1615" s="78"/>
      <c r="D1615" s="45"/>
      <c r="E1615" s="45"/>
      <c r="F1615" s="45"/>
      <c r="G1615" s="45"/>
    </row>
    <row r="1616">
      <c r="A1616" s="136"/>
      <c r="B1616" s="78"/>
      <c r="C1616" s="78"/>
      <c r="D1616" s="45"/>
      <c r="E1616" s="45"/>
      <c r="F1616" s="45"/>
      <c r="G1616" s="45"/>
    </row>
    <row r="1617">
      <c r="A1617" s="136"/>
      <c r="B1617" s="78"/>
      <c r="C1617" s="78"/>
      <c r="D1617" s="45"/>
      <c r="E1617" s="45"/>
      <c r="F1617" s="45"/>
      <c r="G1617" s="45"/>
    </row>
    <row r="1618">
      <c r="A1618" s="136"/>
      <c r="B1618" s="78"/>
      <c r="C1618" s="78"/>
      <c r="D1618" s="45"/>
      <c r="E1618" s="45"/>
      <c r="F1618" s="45"/>
      <c r="G1618" s="45"/>
    </row>
    <row r="1619">
      <c r="A1619" s="136"/>
      <c r="B1619" s="78"/>
      <c r="C1619" s="78"/>
      <c r="D1619" s="45"/>
      <c r="E1619" s="45"/>
      <c r="F1619" s="45"/>
      <c r="G1619" s="45"/>
    </row>
    <row r="1620">
      <c r="A1620" s="136"/>
      <c r="B1620" s="78"/>
      <c r="C1620" s="78"/>
      <c r="D1620" s="45"/>
      <c r="E1620" s="45"/>
      <c r="F1620" s="45"/>
      <c r="G1620" s="45"/>
    </row>
    <row r="1621">
      <c r="A1621" s="136"/>
      <c r="B1621" s="78"/>
      <c r="C1621" s="78"/>
      <c r="D1621" s="45"/>
      <c r="E1621" s="45"/>
      <c r="F1621" s="45"/>
      <c r="G1621" s="45"/>
    </row>
    <row r="1622">
      <c r="A1622" s="136"/>
      <c r="B1622" s="78"/>
      <c r="C1622" s="78"/>
      <c r="D1622" s="45"/>
      <c r="E1622" s="45"/>
      <c r="F1622" s="45"/>
      <c r="G1622" s="45"/>
    </row>
    <row r="1623">
      <c r="A1623" s="136"/>
      <c r="B1623" s="78"/>
      <c r="C1623" s="78"/>
      <c r="D1623" s="45"/>
      <c r="E1623" s="45"/>
      <c r="F1623" s="45"/>
      <c r="G1623" s="45"/>
    </row>
    <row r="1624">
      <c r="A1624" s="136"/>
      <c r="B1624" s="78"/>
      <c r="C1624" s="78"/>
      <c r="D1624" s="45"/>
      <c r="E1624" s="45"/>
      <c r="F1624" s="45"/>
      <c r="G1624" s="45"/>
    </row>
    <row r="1625">
      <c r="A1625" s="136"/>
      <c r="B1625" s="78"/>
      <c r="C1625" s="78"/>
      <c r="D1625" s="45"/>
      <c r="E1625" s="45"/>
      <c r="F1625" s="45"/>
      <c r="G1625" s="45"/>
    </row>
    <row r="1626">
      <c r="A1626" s="136"/>
      <c r="B1626" s="78"/>
      <c r="C1626" s="78"/>
      <c r="D1626" s="45"/>
      <c r="E1626" s="45"/>
      <c r="F1626" s="45"/>
      <c r="G1626" s="45"/>
    </row>
    <row r="1627">
      <c r="A1627" s="136"/>
      <c r="B1627" s="78"/>
      <c r="C1627" s="78"/>
      <c r="D1627" s="45"/>
      <c r="E1627" s="45"/>
      <c r="F1627" s="45"/>
      <c r="G1627" s="45"/>
    </row>
    <row r="1628">
      <c r="A1628" s="136"/>
      <c r="B1628" s="78"/>
      <c r="C1628" s="78"/>
      <c r="D1628" s="45"/>
      <c r="E1628" s="45"/>
      <c r="F1628" s="45"/>
      <c r="G1628" s="45"/>
    </row>
    <row r="1629">
      <c r="A1629" s="136"/>
      <c r="B1629" s="78"/>
      <c r="C1629" s="78"/>
      <c r="D1629" s="45"/>
      <c r="E1629" s="45"/>
      <c r="F1629" s="45"/>
      <c r="G1629" s="45"/>
    </row>
    <row r="1630">
      <c r="A1630" s="136"/>
      <c r="B1630" s="78"/>
      <c r="C1630" s="78"/>
      <c r="D1630" s="45"/>
      <c r="E1630" s="45"/>
      <c r="F1630" s="45"/>
      <c r="G1630" s="45"/>
    </row>
    <row r="1631">
      <c r="A1631" s="136"/>
      <c r="B1631" s="78"/>
      <c r="C1631" s="78"/>
      <c r="D1631" s="45"/>
      <c r="E1631" s="45"/>
      <c r="F1631" s="45"/>
      <c r="G1631" s="45"/>
    </row>
    <row r="1632">
      <c r="A1632" s="136"/>
      <c r="B1632" s="78"/>
      <c r="C1632" s="78"/>
      <c r="D1632" s="45"/>
      <c r="E1632" s="45"/>
      <c r="F1632" s="45"/>
      <c r="G1632" s="45"/>
    </row>
    <row r="1633">
      <c r="A1633" s="136"/>
      <c r="B1633" s="78"/>
      <c r="C1633" s="78"/>
      <c r="D1633" s="45"/>
      <c r="E1633" s="45"/>
      <c r="F1633" s="45"/>
      <c r="G1633" s="45"/>
    </row>
    <row r="1634">
      <c r="A1634" s="136"/>
      <c r="B1634" s="78"/>
      <c r="C1634" s="78"/>
      <c r="D1634" s="45"/>
      <c r="E1634" s="45"/>
      <c r="F1634" s="45"/>
      <c r="G1634" s="45"/>
    </row>
    <row r="1635">
      <c r="A1635" s="136"/>
      <c r="B1635" s="78"/>
      <c r="C1635" s="78"/>
      <c r="D1635" s="45"/>
      <c r="E1635" s="45"/>
      <c r="F1635" s="45"/>
      <c r="G1635" s="45"/>
    </row>
    <row r="1636">
      <c r="A1636" s="136"/>
      <c r="B1636" s="78"/>
      <c r="C1636" s="78"/>
      <c r="D1636" s="45"/>
      <c r="E1636" s="45"/>
      <c r="F1636" s="45"/>
      <c r="G1636" s="45"/>
    </row>
    <row r="1637">
      <c r="A1637" s="136"/>
      <c r="B1637" s="78"/>
      <c r="C1637" s="78"/>
      <c r="D1637" s="45"/>
      <c r="E1637" s="45"/>
      <c r="F1637" s="45"/>
      <c r="G1637" s="45"/>
    </row>
    <row r="1638">
      <c r="A1638" s="136"/>
      <c r="B1638" s="78"/>
      <c r="C1638" s="78"/>
      <c r="D1638" s="45"/>
      <c r="E1638" s="45"/>
      <c r="F1638" s="45"/>
      <c r="G1638" s="45"/>
    </row>
    <row r="1639">
      <c r="A1639" s="136"/>
      <c r="B1639" s="78"/>
      <c r="C1639" s="78"/>
      <c r="D1639" s="45"/>
      <c r="E1639" s="45"/>
      <c r="F1639" s="45"/>
      <c r="G1639" s="45"/>
    </row>
    <row r="1640">
      <c r="A1640" s="136"/>
      <c r="B1640" s="78"/>
      <c r="C1640" s="78"/>
      <c r="D1640" s="45"/>
      <c r="E1640" s="45"/>
      <c r="F1640" s="45"/>
      <c r="G1640" s="45"/>
    </row>
    <row r="1641">
      <c r="A1641" s="136"/>
      <c r="B1641" s="78"/>
      <c r="C1641" s="78"/>
      <c r="D1641" s="45"/>
      <c r="E1641" s="45"/>
      <c r="F1641" s="45"/>
      <c r="G1641" s="45"/>
    </row>
    <row r="1642">
      <c r="A1642" s="136"/>
      <c r="B1642" s="78"/>
      <c r="C1642" s="78"/>
      <c r="D1642" s="45"/>
      <c r="E1642" s="45"/>
      <c r="F1642" s="45"/>
      <c r="G1642" s="45"/>
    </row>
    <row r="1643">
      <c r="A1643" s="136"/>
      <c r="B1643" s="78"/>
      <c r="C1643" s="78"/>
      <c r="D1643" s="45"/>
      <c r="E1643" s="45"/>
      <c r="F1643" s="45"/>
      <c r="G1643" s="45"/>
    </row>
    <row r="1644">
      <c r="A1644" s="136"/>
      <c r="B1644" s="78"/>
      <c r="C1644" s="78"/>
      <c r="D1644" s="45"/>
      <c r="E1644" s="45"/>
      <c r="F1644" s="45"/>
      <c r="G1644" s="45"/>
    </row>
    <row r="1645">
      <c r="A1645" s="136"/>
      <c r="B1645" s="78"/>
      <c r="C1645" s="78"/>
      <c r="D1645" s="45"/>
      <c r="E1645" s="45"/>
      <c r="F1645" s="45"/>
      <c r="G1645" s="45"/>
    </row>
    <row r="1646">
      <c r="A1646" s="136"/>
      <c r="B1646" s="78"/>
      <c r="C1646" s="78"/>
      <c r="D1646" s="45"/>
      <c r="E1646" s="45"/>
      <c r="F1646" s="45"/>
      <c r="G1646" s="45"/>
    </row>
    <row r="1647">
      <c r="A1647" s="136"/>
      <c r="B1647" s="78"/>
      <c r="C1647" s="78"/>
      <c r="D1647" s="45"/>
      <c r="E1647" s="45"/>
      <c r="F1647" s="45"/>
      <c r="G1647" s="45"/>
    </row>
    <row r="1648">
      <c r="A1648" s="136"/>
      <c r="B1648" s="78"/>
      <c r="C1648" s="78"/>
      <c r="D1648" s="45"/>
      <c r="E1648" s="45"/>
      <c r="F1648" s="45"/>
      <c r="G1648" s="45"/>
    </row>
    <row r="1649">
      <c r="A1649" s="136"/>
      <c r="B1649" s="78"/>
      <c r="C1649" s="78"/>
      <c r="D1649" s="45"/>
      <c r="E1649" s="45"/>
      <c r="F1649" s="45"/>
      <c r="G1649" s="45"/>
    </row>
    <row r="1650">
      <c r="A1650" s="136"/>
      <c r="B1650" s="78"/>
      <c r="C1650" s="78"/>
      <c r="D1650" s="45"/>
      <c r="E1650" s="45"/>
      <c r="F1650" s="45"/>
      <c r="G1650" s="45"/>
    </row>
    <row r="1651">
      <c r="A1651" s="136"/>
      <c r="B1651" s="78"/>
      <c r="C1651" s="78"/>
      <c r="D1651" s="45"/>
      <c r="E1651" s="45"/>
      <c r="F1651" s="45"/>
      <c r="G1651" s="45"/>
    </row>
    <row r="1652">
      <c r="A1652" s="136"/>
      <c r="B1652" s="78"/>
      <c r="C1652" s="78"/>
      <c r="D1652" s="45"/>
      <c r="E1652" s="45"/>
      <c r="F1652" s="45"/>
      <c r="G1652" s="45"/>
    </row>
    <row r="1653">
      <c r="A1653" s="136"/>
      <c r="B1653" s="78"/>
      <c r="C1653" s="78"/>
      <c r="D1653" s="45"/>
      <c r="E1653" s="45"/>
      <c r="F1653" s="45"/>
      <c r="G1653" s="45"/>
    </row>
    <row r="1654">
      <c r="A1654" s="136"/>
      <c r="B1654" s="78"/>
      <c r="C1654" s="78"/>
      <c r="D1654" s="45"/>
      <c r="E1654" s="45"/>
      <c r="F1654" s="45"/>
      <c r="G1654" s="45"/>
    </row>
    <row r="1655">
      <c r="A1655" s="136"/>
      <c r="B1655" s="78"/>
      <c r="C1655" s="78"/>
      <c r="D1655" s="45"/>
      <c r="E1655" s="45"/>
      <c r="F1655" s="45"/>
      <c r="G1655" s="45"/>
    </row>
    <row r="1656">
      <c r="A1656" s="136"/>
      <c r="B1656" s="78"/>
      <c r="C1656" s="78"/>
      <c r="D1656" s="45"/>
      <c r="E1656" s="45"/>
      <c r="F1656" s="45"/>
      <c r="G1656" s="45"/>
    </row>
    <row r="1657">
      <c r="A1657" s="136"/>
      <c r="B1657" s="78"/>
      <c r="C1657" s="78"/>
      <c r="D1657" s="45"/>
      <c r="E1657" s="45"/>
      <c r="F1657" s="45"/>
      <c r="G1657" s="45"/>
    </row>
    <row r="1658">
      <c r="A1658" s="136"/>
      <c r="B1658" s="78"/>
      <c r="C1658" s="78"/>
      <c r="D1658" s="45"/>
      <c r="E1658" s="45"/>
      <c r="F1658" s="45"/>
      <c r="G1658" s="45"/>
    </row>
    <row r="1659">
      <c r="A1659" s="136"/>
      <c r="B1659" s="78"/>
      <c r="C1659" s="78"/>
      <c r="D1659" s="45"/>
      <c r="E1659" s="45"/>
      <c r="F1659" s="45"/>
      <c r="G1659" s="45"/>
    </row>
    <row r="1660">
      <c r="A1660" s="136"/>
      <c r="B1660" s="78"/>
      <c r="C1660" s="78"/>
      <c r="D1660" s="45"/>
      <c r="E1660" s="45"/>
      <c r="F1660" s="45"/>
      <c r="G1660" s="45"/>
    </row>
    <row r="1661">
      <c r="A1661" s="136"/>
      <c r="B1661" s="78"/>
      <c r="C1661" s="78"/>
      <c r="D1661" s="45"/>
      <c r="E1661" s="45"/>
      <c r="F1661" s="45"/>
      <c r="G1661" s="45"/>
    </row>
    <row r="1662">
      <c r="A1662" s="136"/>
      <c r="B1662" s="78"/>
      <c r="C1662" s="78"/>
      <c r="D1662" s="45"/>
      <c r="E1662" s="45"/>
      <c r="F1662" s="45"/>
      <c r="G1662" s="45"/>
    </row>
    <row r="1663">
      <c r="A1663" s="136"/>
      <c r="B1663" s="78"/>
      <c r="C1663" s="78"/>
      <c r="D1663" s="45"/>
      <c r="E1663" s="45"/>
      <c r="F1663" s="45"/>
      <c r="G1663" s="45"/>
    </row>
    <row r="1664">
      <c r="A1664" s="136"/>
      <c r="B1664" s="78"/>
      <c r="C1664" s="78"/>
      <c r="D1664" s="45"/>
      <c r="E1664" s="45"/>
      <c r="F1664" s="45"/>
      <c r="G1664" s="45"/>
    </row>
    <row r="1665">
      <c r="A1665" s="136"/>
      <c r="B1665" s="78"/>
      <c r="C1665" s="78"/>
      <c r="D1665" s="45"/>
      <c r="E1665" s="45"/>
      <c r="F1665" s="45"/>
      <c r="G1665" s="45"/>
    </row>
    <row r="1666">
      <c r="A1666" s="136"/>
      <c r="B1666" s="78"/>
      <c r="C1666" s="78"/>
      <c r="D1666" s="45"/>
      <c r="E1666" s="45"/>
      <c r="F1666" s="45"/>
      <c r="G1666" s="45"/>
    </row>
    <row r="1667">
      <c r="A1667" s="136"/>
      <c r="B1667" s="78"/>
      <c r="C1667" s="78"/>
      <c r="D1667" s="45"/>
      <c r="E1667" s="45"/>
      <c r="F1667" s="45"/>
      <c r="G1667" s="45"/>
    </row>
    <row r="1668">
      <c r="A1668" s="136"/>
      <c r="B1668" s="78"/>
      <c r="C1668" s="78"/>
      <c r="D1668" s="45"/>
      <c r="E1668" s="45"/>
      <c r="F1668" s="45"/>
      <c r="G1668" s="45"/>
    </row>
    <row r="1669">
      <c r="A1669" s="136"/>
      <c r="B1669" s="78"/>
      <c r="C1669" s="78"/>
      <c r="D1669" s="45"/>
      <c r="E1669" s="45"/>
      <c r="F1669" s="45"/>
      <c r="G1669" s="45"/>
    </row>
    <row r="1670">
      <c r="A1670" s="136"/>
      <c r="B1670" s="78"/>
      <c r="C1670" s="78"/>
      <c r="D1670" s="45"/>
      <c r="E1670" s="45"/>
      <c r="F1670" s="45"/>
      <c r="G1670" s="45"/>
    </row>
    <row r="1671">
      <c r="A1671" s="136"/>
      <c r="B1671" s="78"/>
      <c r="C1671" s="78"/>
      <c r="D1671" s="45"/>
      <c r="E1671" s="45"/>
      <c r="F1671" s="45"/>
      <c r="G1671" s="45"/>
    </row>
    <row r="1672">
      <c r="A1672" s="136"/>
      <c r="B1672" s="78"/>
      <c r="C1672" s="78"/>
      <c r="D1672" s="45"/>
      <c r="E1672" s="45"/>
      <c r="F1672" s="45"/>
      <c r="G1672" s="45"/>
    </row>
    <row r="1673">
      <c r="A1673" s="136"/>
      <c r="B1673" s="78"/>
      <c r="C1673" s="78"/>
      <c r="D1673" s="45"/>
      <c r="E1673" s="45"/>
      <c r="F1673" s="45"/>
      <c r="G1673" s="45"/>
    </row>
    <row r="1674">
      <c r="A1674" s="136"/>
      <c r="B1674" s="78"/>
      <c r="C1674" s="78"/>
      <c r="D1674" s="45"/>
      <c r="E1674" s="45"/>
      <c r="F1674" s="45"/>
      <c r="G1674" s="45"/>
    </row>
    <row r="1675">
      <c r="A1675" s="136"/>
      <c r="B1675" s="78"/>
      <c r="C1675" s="78"/>
      <c r="D1675" s="45"/>
      <c r="E1675" s="45"/>
      <c r="F1675" s="45"/>
      <c r="G1675" s="45"/>
    </row>
    <row r="1676">
      <c r="A1676" s="136"/>
      <c r="B1676" s="78"/>
      <c r="C1676" s="78"/>
      <c r="D1676" s="45"/>
      <c r="E1676" s="45"/>
      <c r="F1676" s="45"/>
      <c r="G1676" s="45"/>
    </row>
    <row r="1677">
      <c r="A1677" s="136"/>
      <c r="B1677" s="78"/>
      <c r="C1677" s="78"/>
      <c r="D1677" s="45"/>
      <c r="E1677" s="45"/>
      <c r="F1677" s="45"/>
      <c r="G1677" s="45"/>
    </row>
    <row r="1678">
      <c r="A1678" s="136"/>
      <c r="B1678" s="78"/>
      <c r="C1678" s="78"/>
      <c r="D1678" s="45"/>
      <c r="E1678" s="45"/>
      <c r="F1678" s="45"/>
      <c r="G1678" s="45"/>
    </row>
    <row r="1679">
      <c r="A1679" s="136"/>
      <c r="B1679" s="78"/>
      <c r="C1679" s="78"/>
      <c r="D1679" s="45"/>
      <c r="E1679" s="45"/>
      <c r="F1679" s="45"/>
      <c r="G1679" s="45"/>
    </row>
    <row r="1680">
      <c r="A1680" s="136"/>
      <c r="B1680" s="78"/>
      <c r="C1680" s="78"/>
      <c r="D1680" s="45"/>
      <c r="E1680" s="45"/>
      <c r="F1680" s="45"/>
      <c r="G1680" s="45"/>
    </row>
    <row r="1681">
      <c r="A1681" s="136"/>
      <c r="B1681" s="78"/>
      <c r="C1681" s="78"/>
      <c r="D1681" s="45"/>
      <c r="E1681" s="45"/>
      <c r="F1681" s="45"/>
      <c r="G1681" s="45"/>
    </row>
    <row r="1682">
      <c r="A1682" s="136"/>
      <c r="B1682" s="78"/>
      <c r="C1682" s="78"/>
      <c r="D1682" s="45"/>
      <c r="E1682" s="45"/>
      <c r="F1682" s="45"/>
      <c r="G1682" s="45"/>
    </row>
    <row r="1683">
      <c r="A1683" s="136"/>
      <c r="B1683" s="78"/>
      <c r="C1683" s="78"/>
      <c r="D1683" s="45"/>
      <c r="E1683" s="45"/>
      <c r="F1683" s="45"/>
      <c r="G1683" s="45"/>
    </row>
    <row r="1684">
      <c r="A1684" s="136"/>
      <c r="B1684" s="78"/>
      <c r="C1684" s="78"/>
      <c r="D1684" s="45"/>
      <c r="E1684" s="45"/>
      <c r="F1684" s="45"/>
      <c r="G1684" s="45"/>
    </row>
    <row r="1685">
      <c r="A1685" s="136"/>
      <c r="B1685" s="78"/>
      <c r="C1685" s="78"/>
      <c r="D1685" s="45"/>
      <c r="E1685" s="45"/>
      <c r="F1685" s="45"/>
      <c r="G1685" s="45"/>
    </row>
    <row r="1686">
      <c r="A1686" s="136"/>
      <c r="B1686" s="78"/>
      <c r="C1686" s="78"/>
      <c r="D1686" s="45"/>
      <c r="E1686" s="45"/>
      <c r="F1686" s="45"/>
      <c r="G1686" s="45"/>
    </row>
    <row r="1687">
      <c r="A1687" s="136"/>
      <c r="B1687" s="78"/>
      <c r="C1687" s="78"/>
      <c r="D1687" s="45"/>
      <c r="E1687" s="45"/>
      <c r="F1687" s="45"/>
      <c r="G1687" s="45"/>
    </row>
    <row r="1688">
      <c r="A1688" s="136"/>
      <c r="B1688" s="78"/>
      <c r="C1688" s="78"/>
      <c r="D1688" s="45"/>
      <c r="E1688" s="45"/>
      <c r="F1688" s="45"/>
      <c r="G1688" s="45"/>
    </row>
    <row r="1689">
      <c r="A1689" s="136"/>
      <c r="B1689" s="78"/>
      <c r="C1689" s="78"/>
      <c r="D1689" s="45"/>
      <c r="E1689" s="45"/>
      <c r="F1689" s="45"/>
      <c r="G1689" s="45"/>
    </row>
    <row r="1690">
      <c r="A1690" s="136"/>
      <c r="B1690" s="78"/>
      <c r="C1690" s="78"/>
      <c r="D1690" s="45"/>
      <c r="E1690" s="45"/>
      <c r="F1690" s="45"/>
      <c r="G1690" s="45"/>
    </row>
    <row r="1691">
      <c r="A1691" s="136"/>
      <c r="B1691" s="78"/>
      <c r="C1691" s="78"/>
      <c r="D1691" s="45"/>
      <c r="E1691" s="45"/>
      <c r="F1691" s="45"/>
      <c r="G1691" s="45"/>
    </row>
    <row r="1692">
      <c r="A1692" s="136"/>
      <c r="B1692" s="78"/>
      <c r="C1692" s="78"/>
      <c r="D1692" s="45"/>
      <c r="E1692" s="45"/>
      <c r="F1692" s="45"/>
      <c r="G1692" s="45"/>
    </row>
    <row r="1693">
      <c r="A1693" s="136"/>
      <c r="B1693" s="78"/>
      <c r="C1693" s="78"/>
      <c r="D1693" s="45"/>
      <c r="E1693" s="45"/>
      <c r="F1693" s="45"/>
      <c r="G1693" s="45"/>
    </row>
    <row r="1694">
      <c r="A1694" s="136"/>
      <c r="B1694" s="78"/>
      <c r="C1694" s="78"/>
      <c r="D1694" s="45"/>
      <c r="E1694" s="45"/>
      <c r="F1694" s="45"/>
      <c r="G1694" s="45"/>
    </row>
    <row r="1695">
      <c r="A1695" s="136"/>
      <c r="B1695" s="78"/>
      <c r="C1695" s="78"/>
      <c r="D1695" s="45"/>
      <c r="E1695" s="45"/>
      <c r="F1695" s="45"/>
      <c r="G1695" s="45"/>
    </row>
    <row r="1696">
      <c r="A1696" s="136"/>
      <c r="B1696" s="78"/>
      <c r="C1696" s="78"/>
      <c r="D1696" s="45"/>
      <c r="E1696" s="45"/>
      <c r="F1696" s="45"/>
      <c r="G1696" s="45"/>
    </row>
    <row r="1697">
      <c r="A1697" s="136"/>
      <c r="B1697" s="78"/>
      <c r="C1697" s="78"/>
      <c r="D1697" s="45"/>
      <c r="E1697" s="45"/>
      <c r="F1697" s="45"/>
      <c r="G1697" s="45"/>
    </row>
    <row r="1698">
      <c r="A1698" s="136"/>
      <c r="B1698" s="78"/>
      <c r="C1698" s="78"/>
      <c r="D1698" s="45"/>
      <c r="E1698" s="45"/>
      <c r="F1698" s="45"/>
      <c r="G1698" s="45"/>
    </row>
    <row r="1699">
      <c r="A1699" s="136"/>
      <c r="B1699" s="78"/>
      <c r="C1699" s="78"/>
      <c r="D1699" s="45"/>
      <c r="E1699" s="45"/>
      <c r="F1699" s="45"/>
      <c r="G1699" s="45"/>
    </row>
    <row r="1700">
      <c r="A1700" s="136"/>
      <c r="B1700" s="78"/>
      <c r="C1700" s="78"/>
      <c r="D1700" s="45"/>
      <c r="E1700" s="45"/>
      <c r="F1700" s="45"/>
      <c r="G1700" s="45"/>
    </row>
    <row r="1701">
      <c r="A1701" s="136"/>
      <c r="B1701" s="78"/>
      <c r="C1701" s="78"/>
      <c r="D1701" s="45"/>
      <c r="E1701" s="45"/>
      <c r="F1701" s="45"/>
      <c r="G1701" s="45"/>
    </row>
    <row r="1702">
      <c r="A1702" s="136"/>
      <c r="B1702" s="78"/>
      <c r="C1702" s="78"/>
      <c r="D1702" s="45"/>
      <c r="E1702" s="45"/>
      <c r="F1702" s="45"/>
      <c r="G1702" s="45"/>
    </row>
    <row r="1703">
      <c r="A1703" s="136"/>
      <c r="B1703" s="78"/>
      <c r="C1703" s="78"/>
      <c r="D1703" s="45"/>
      <c r="E1703" s="45"/>
      <c r="F1703" s="45"/>
      <c r="G1703" s="45"/>
    </row>
    <row r="1704">
      <c r="A1704" s="136"/>
      <c r="B1704" s="78"/>
      <c r="C1704" s="78"/>
      <c r="D1704" s="45"/>
      <c r="E1704" s="45"/>
      <c r="F1704" s="45"/>
      <c r="G1704" s="45"/>
    </row>
    <row r="1705">
      <c r="A1705" s="136"/>
      <c r="B1705" s="78"/>
      <c r="C1705" s="78"/>
      <c r="D1705" s="45"/>
      <c r="E1705" s="45"/>
      <c r="F1705" s="45"/>
      <c r="G1705" s="45"/>
    </row>
    <row r="1706">
      <c r="A1706" s="136"/>
      <c r="B1706" s="78"/>
      <c r="C1706" s="78"/>
      <c r="D1706" s="45"/>
      <c r="E1706" s="45"/>
      <c r="F1706" s="45"/>
      <c r="G1706" s="45"/>
    </row>
    <row r="1707">
      <c r="A1707" s="136"/>
      <c r="B1707" s="78"/>
      <c r="C1707" s="78"/>
      <c r="D1707" s="45"/>
      <c r="E1707" s="45"/>
      <c r="F1707" s="45"/>
      <c r="G1707" s="45"/>
    </row>
    <row r="1708">
      <c r="A1708" s="136"/>
      <c r="B1708" s="78"/>
      <c r="C1708" s="78"/>
      <c r="D1708" s="45"/>
      <c r="E1708" s="45"/>
      <c r="F1708" s="45"/>
      <c r="G1708" s="45"/>
    </row>
    <row r="1709">
      <c r="A1709" s="136"/>
      <c r="B1709" s="78"/>
      <c r="C1709" s="78"/>
      <c r="D1709" s="45"/>
      <c r="E1709" s="45"/>
      <c r="F1709" s="45"/>
      <c r="G1709" s="45"/>
    </row>
    <row r="1710">
      <c r="A1710" s="136"/>
      <c r="B1710" s="78"/>
      <c r="C1710" s="78"/>
      <c r="D1710" s="45"/>
      <c r="E1710" s="45"/>
      <c r="F1710" s="45"/>
      <c r="G1710" s="45"/>
    </row>
    <row r="1711">
      <c r="A1711" s="136"/>
      <c r="B1711" s="78"/>
      <c r="C1711" s="78"/>
      <c r="D1711" s="45"/>
      <c r="E1711" s="45"/>
      <c r="F1711" s="45"/>
      <c r="G1711" s="45"/>
    </row>
    <row r="1712">
      <c r="A1712" s="136"/>
      <c r="B1712" s="78"/>
      <c r="C1712" s="78"/>
      <c r="D1712" s="45"/>
      <c r="E1712" s="45"/>
      <c r="F1712" s="45"/>
      <c r="G1712" s="45"/>
    </row>
    <row r="1713">
      <c r="A1713" s="136"/>
      <c r="B1713" s="78"/>
      <c r="C1713" s="78"/>
      <c r="D1713" s="45"/>
      <c r="E1713" s="45"/>
      <c r="F1713" s="45"/>
      <c r="G1713" s="45"/>
    </row>
    <row r="1714">
      <c r="A1714" s="136"/>
      <c r="B1714" s="78"/>
      <c r="C1714" s="78"/>
      <c r="D1714" s="45"/>
      <c r="E1714" s="45"/>
      <c r="F1714" s="45"/>
      <c r="G1714" s="45"/>
    </row>
    <row r="1715">
      <c r="A1715" s="136"/>
      <c r="B1715" s="78"/>
      <c r="C1715" s="78"/>
      <c r="D1715" s="45"/>
      <c r="E1715" s="45"/>
      <c r="F1715" s="45"/>
      <c r="G1715" s="45"/>
    </row>
    <row r="1716">
      <c r="A1716" s="136"/>
      <c r="B1716" s="78"/>
      <c r="C1716" s="78"/>
      <c r="D1716" s="45"/>
      <c r="E1716" s="45"/>
      <c r="F1716" s="45"/>
      <c r="G1716" s="45"/>
    </row>
    <row r="1717">
      <c r="A1717" s="136"/>
      <c r="B1717" s="78"/>
      <c r="C1717" s="78"/>
      <c r="D1717" s="45"/>
      <c r="E1717" s="45"/>
      <c r="F1717" s="45"/>
      <c r="G1717" s="45"/>
    </row>
    <row r="1718">
      <c r="A1718" s="136"/>
      <c r="B1718" s="78"/>
      <c r="C1718" s="78"/>
      <c r="D1718" s="45"/>
      <c r="E1718" s="45"/>
      <c r="F1718" s="45"/>
      <c r="G1718" s="45"/>
    </row>
    <row r="1719">
      <c r="A1719" s="136"/>
      <c r="B1719" s="78"/>
      <c r="C1719" s="78"/>
      <c r="D1719" s="45"/>
      <c r="E1719" s="45"/>
      <c r="F1719" s="45"/>
      <c r="G1719" s="45"/>
    </row>
    <row r="1720">
      <c r="A1720" s="136"/>
      <c r="B1720" s="78"/>
      <c r="C1720" s="78"/>
      <c r="D1720" s="45"/>
      <c r="E1720" s="45"/>
      <c r="F1720" s="45"/>
      <c r="G1720" s="45"/>
    </row>
    <row r="1721">
      <c r="A1721" s="136"/>
      <c r="B1721" s="78"/>
      <c r="C1721" s="78"/>
      <c r="D1721" s="45"/>
      <c r="E1721" s="45"/>
      <c r="F1721" s="45"/>
      <c r="G1721" s="45"/>
    </row>
    <row r="1722">
      <c r="A1722" s="136"/>
      <c r="B1722" s="78"/>
      <c r="C1722" s="78"/>
      <c r="D1722" s="45"/>
      <c r="E1722" s="45"/>
      <c r="F1722" s="45"/>
      <c r="G1722" s="45"/>
    </row>
    <row r="1723">
      <c r="A1723" s="136"/>
      <c r="B1723" s="78"/>
      <c r="C1723" s="78"/>
      <c r="D1723" s="45"/>
      <c r="E1723" s="45"/>
      <c r="F1723" s="45"/>
      <c r="G1723" s="45"/>
    </row>
    <row r="1724">
      <c r="A1724" s="136"/>
      <c r="B1724" s="78"/>
      <c r="C1724" s="78"/>
      <c r="D1724" s="45"/>
      <c r="E1724" s="45"/>
      <c r="F1724" s="45"/>
      <c r="G1724" s="45"/>
    </row>
    <row r="1725">
      <c r="A1725" s="136"/>
      <c r="B1725" s="78"/>
      <c r="C1725" s="78"/>
      <c r="D1725" s="45"/>
      <c r="E1725" s="45"/>
      <c r="F1725" s="45"/>
      <c r="G1725" s="45"/>
    </row>
    <row r="1726">
      <c r="A1726" s="136"/>
      <c r="B1726" s="78"/>
      <c r="C1726" s="78"/>
      <c r="D1726" s="45"/>
      <c r="E1726" s="45"/>
      <c r="F1726" s="45"/>
      <c r="G1726" s="45"/>
    </row>
    <row r="1727">
      <c r="A1727" s="136"/>
      <c r="B1727" s="78"/>
      <c r="C1727" s="78"/>
      <c r="D1727" s="45"/>
      <c r="E1727" s="45"/>
      <c r="F1727" s="45"/>
      <c r="G1727" s="45"/>
    </row>
    <row r="1728">
      <c r="A1728" s="136"/>
      <c r="B1728" s="78"/>
      <c r="C1728" s="78"/>
      <c r="D1728" s="45"/>
      <c r="E1728" s="45"/>
      <c r="F1728" s="45"/>
      <c r="G1728" s="45"/>
    </row>
    <row r="1729">
      <c r="A1729" s="136"/>
      <c r="B1729" s="78"/>
      <c r="C1729" s="78"/>
      <c r="D1729" s="45"/>
      <c r="E1729" s="45"/>
      <c r="F1729" s="45"/>
      <c r="G1729" s="45"/>
    </row>
    <row r="1730">
      <c r="A1730" s="136"/>
      <c r="B1730" s="78"/>
      <c r="C1730" s="78"/>
      <c r="D1730" s="45"/>
      <c r="E1730" s="45"/>
      <c r="F1730" s="45"/>
      <c r="G1730" s="45"/>
    </row>
    <row r="1731">
      <c r="A1731" s="136"/>
      <c r="B1731" s="78"/>
      <c r="C1731" s="78"/>
      <c r="D1731" s="45"/>
      <c r="E1731" s="45"/>
      <c r="F1731" s="45"/>
      <c r="G1731" s="45"/>
    </row>
    <row r="1732">
      <c r="A1732" s="136"/>
      <c r="B1732" s="78"/>
      <c r="C1732" s="78"/>
      <c r="D1732" s="45"/>
      <c r="E1732" s="45"/>
      <c r="F1732" s="45"/>
      <c r="G1732" s="45"/>
    </row>
    <row r="1733">
      <c r="A1733" s="136"/>
      <c r="B1733" s="78"/>
      <c r="C1733" s="78"/>
      <c r="D1733" s="45"/>
      <c r="E1733" s="45"/>
      <c r="F1733" s="45"/>
      <c r="G1733" s="45"/>
    </row>
    <row r="1734">
      <c r="A1734" s="136"/>
      <c r="B1734" s="78"/>
      <c r="C1734" s="78"/>
      <c r="D1734" s="45"/>
      <c r="E1734" s="45"/>
      <c r="F1734" s="45"/>
      <c r="G1734" s="45"/>
    </row>
    <row r="1735">
      <c r="A1735" s="136"/>
      <c r="B1735" s="78"/>
      <c r="C1735" s="78"/>
      <c r="D1735" s="45"/>
      <c r="E1735" s="45"/>
      <c r="F1735" s="45"/>
      <c r="G1735" s="45"/>
    </row>
    <row r="1736">
      <c r="A1736" s="136"/>
      <c r="B1736" s="78"/>
      <c r="C1736" s="78"/>
      <c r="D1736" s="45"/>
      <c r="E1736" s="45"/>
      <c r="F1736" s="45"/>
      <c r="G1736" s="45"/>
    </row>
    <row r="1737">
      <c r="A1737" s="136"/>
      <c r="B1737" s="78"/>
      <c r="C1737" s="78"/>
      <c r="D1737" s="45"/>
      <c r="E1737" s="45"/>
      <c r="F1737" s="45"/>
      <c r="G1737" s="45"/>
    </row>
    <row r="1738">
      <c r="A1738" s="136"/>
      <c r="B1738" s="78"/>
      <c r="C1738" s="78"/>
      <c r="D1738" s="45"/>
      <c r="E1738" s="45"/>
      <c r="F1738" s="45"/>
      <c r="G1738" s="45"/>
    </row>
    <row r="1739">
      <c r="A1739" s="136"/>
      <c r="B1739" s="78"/>
      <c r="C1739" s="78"/>
      <c r="D1739" s="45"/>
      <c r="E1739" s="45"/>
      <c r="F1739" s="45"/>
      <c r="G1739" s="45"/>
    </row>
    <row r="1740">
      <c r="A1740" s="136"/>
      <c r="B1740" s="78"/>
      <c r="C1740" s="78"/>
      <c r="D1740" s="45"/>
      <c r="E1740" s="45"/>
      <c r="F1740" s="45"/>
      <c r="G1740" s="45"/>
    </row>
    <row r="1741">
      <c r="A1741" s="136"/>
      <c r="B1741" s="78"/>
      <c r="C1741" s="78"/>
      <c r="D1741" s="45"/>
      <c r="E1741" s="45"/>
      <c r="F1741" s="45"/>
      <c r="G1741" s="45"/>
    </row>
    <row r="1742">
      <c r="A1742" s="136"/>
      <c r="B1742" s="78"/>
      <c r="C1742" s="78"/>
      <c r="D1742" s="45"/>
      <c r="E1742" s="45"/>
      <c r="F1742" s="45"/>
      <c r="G1742" s="45"/>
    </row>
    <row r="1743">
      <c r="A1743" s="136"/>
      <c r="B1743" s="78"/>
      <c r="C1743" s="78"/>
      <c r="D1743" s="45"/>
      <c r="E1743" s="45"/>
      <c r="F1743" s="45"/>
      <c r="G1743" s="45"/>
    </row>
    <row r="1744">
      <c r="A1744" s="136"/>
      <c r="B1744" s="78"/>
      <c r="C1744" s="78"/>
      <c r="D1744" s="45"/>
      <c r="E1744" s="45"/>
      <c r="F1744" s="45"/>
      <c r="G1744" s="45"/>
    </row>
    <row r="1745">
      <c r="A1745" s="136"/>
      <c r="B1745" s="78"/>
      <c r="C1745" s="78"/>
      <c r="D1745" s="45"/>
      <c r="E1745" s="45"/>
      <c r="F1745" s="45"/>
      <c r="G1745" s="45"/>
    </row>
    <row r="1746">
      <c r="A1746" s="136"/>
      <c r="B1746" s="78"/>
      <c r="C1746" s="78"/>
      <c r="D1746" s="45"/>
      <c r="E1746" s="45"/>
      <c r="F1746" s="45"/>
      <c r="G1746" s="45"/>
    </row>
    <row r="1747">
      <c r="A1747" s="136"/>
      <c r="B1747" s="78"/>
      <c r="C1747" s="78"/>
      <c r="D1747" s="45"/>
      <c r="E1747" s="45"/>
      <c r="F1747" s="45"/>
      <c r="G1747" s="45"/>
    </row>
    <row r="1748">
      <c r="A1748" s="136"/>
      <c r="B1748" s="78"/>
      <c r="C1748" s="78"/>
      <c r="D1748" s="45"/>
      <c r="E1748" s="45"/>
      <c r="F1748" s="45"/>
      <c r="G1748" s="45"/>
    </row>
    <row r="1749">
      <c r="A1749" s="136"/>
      <c r="B1749" s="78"/>
      <c r="C1749" s="78"/>
      <c r="D1749" s="45"/>
      <c r="E1749" s="45"/>
      <c r="F1749" s="45"/>
      <c r="G1749" s="45"/>
    </row>
    <row r="1750">
      <c r="A1750" s="136"/>
      <c r="B1750" s="78"/>
      <c r="C1750" s="78"/>
      <c r="D1750" s="45"/>
      <c r="E1750" s="45"/>
      <c r="F1750" s="45"/>
      <c r="G1750" s="45"/>
    </row>
    <row r="1751">
      <c r="A1751" s="136"/>
      <c r="B1751" s="78"/>
      <c r="C1751" s="78"/>
      <c r="D1751" s="45"/>
      <c r="E1751" s="45"/>
      <c r="F1751" s="45"/>
      <c r="G1751" s="45"/>
    </row>
    <row r="1752">
      <c r="A1752" s="136"/>
      <c r="B1752" s="78"/>
      <c r="C1752" s="78"/>
      <c r="D1752" s="45"/>
      <c r="E1752" s="45"/>
      <c r="F1752" s="45"/>
      <c r="G1752" s="45"/>
    </row>
    <row r="1753">
      <c r="A1753" s="136"/>
      <c r="B1753" s="78"/>
      <c r="C1753" s="78"/>
      <c r="D1753" s="45"/>
      <c r="E1753" s="45"/>
      <c r="F1753" s="45"/>
      <c r="G1753" s="45"/>
    </row>
    <row r="1754">
      <c r="A1754" s="136"/>
      <c r="B1754" s="78"/>
      <c r="C1754" s="78"/>
      <c r="D1754" s="45"/>
      <c r="E1754" s="45"/>
      <c r="F1754" s="45"/>
      <c r="G1754" s="45"/>
    </row>
    <row r="1755">
      <c r="A1755" s="136"/>
      <c r="B1755" s="78"/>
      <c r="C1755" s="78"/>
      <c r="D1755" s="45"/>
      <c r="E1755" s="45"/>
      <c r="F1755" s="45"/>
      <c r="G1755" s="45"/>
    </row>
    <row r="1756">
      <c r="A1756" s="136"/>
      <c r="B1756" s="78"/>
      <c r="C1756" s="78"/>
      <c r="D1756" s="45"/>
      <c r="E1756" s="45"/>
      <c r="F1756" s="45"/>
      <c r="G1756" s="45"/>
    </row>
    <row r="1757">
      <c r="A1757" s="136"/>
      <c r="B1757" s="78"/>
      <c r="C1757" s="78"/>
      <c r="D1757" s="45"/>
      <c r="E1757" s="45"/>
      <c r="F1757" s="45"/>
      <c r="G1757" s="45"/>
    </row>
    <row r="1758">
      <c r="A1758" s="136"/>
      <c r="B1758" s="78"/>
      <c r="C1758" s="78"/>
      <c r="D1758" s="45"/>
      <c r="E1758" s="45"/>
      <c r="F1758" s="45"/>
      <c r="G1758" s="45"/>
    </row>
    <row r="1759">
      <c r="A1759" s="136"/>
      <c r="B1759" s="78"/>
      <c r="C1759" s="78"/>
      <c r="D1759" s="45"/>
      <c r="E1759" s="45"/>
      <c r="F1759" s="45"/>
      <c r="G1759" s="45"/>
    </row>
    <row r="1760">
      <c r="A1760" s="136"/>
      <c r="B1760" s="78"/>
      <c r="C1760" s="78"/>
      <c r="D1760" s="45"/>
      <c r="E1760" s="45"/>
      <c r="F1760" s="45"/>
      <c r="G1760" s="45"/>
    </row>
    <row r="1761">
      <c r="A1761" s="136"/>
      <c r="B1761" s="78"/>
      <c r="C1761" s="78"/>
      <c r="D1761" s="45"/>
      <c r="E1761" s="45"/>
      <c r="F1761" s="45"/>
      <c r="G1761" s="45"/>
    </row>
    <row r="1762">
      <c r="A1762" s="136"/>
      <c r="B1762" s="78"/>
      <c r="C1762" s="78"/>
      <c r="D1762" s="45"/>
      <c r="E1762" s="45"/>
      <c r="F1762" s="45"/>
      <c r="G1762" s="45"/>
    </row>
    <row r="1763">
      <c r="A1763" s="136"/>
      <c r="B1763" s="78"/>
      <c r="C1763" s="78"/>
      <c r="D1763" s="45"/>
      <c r="E1763" s="45"/>
      <c r="F1763" s="45"/>
      <c r="G1763" s="45"/>
    </row>
    <row r="1764">
      <c r="A1764" s="136"/>
      <c r="B1764" s="78"/>
      <c r="C1764" s="78"/>
      <c r="D1764" s="45"/>
      <c r="E1764" s="45"/>
      <c r="F1764" s="45"/>
      <c r="G1764" s="45"/>
    </row>
    <row r="1765">
      <c r="A1765" s="136"/>
      <c r="B1765" s="78"/>
      <c r="C1765" s="78"/>
      <c r="D1765" s="45"/>
      <c r="E1765" s="45"/>
      <c r="F1765" s="45"/>
      <c r="G1765" s="45"/>
    </row>
    <row r="1766">
      <c r="A1766" s="136"/>
      <c r="B1766" s="78"/>
      <c r="C1766" s="78"/>
      <c r="D1766" s="45"/>
      <c r="E1766" s="45"/>
      <c r="F1766" s="45"/>
      <c r="G1766" s="45"/>
    </row>
    <row r="1767">
      <c r="A1767" s="136"/>
      <c r="B1767" s="78"/>
      <c r="C1767" s="78"/>
      <c r="D1767" s="45"/>
      <c r="E1767" s="45"/>
      <c r="F1767" s="45"/>
      <c r="G1767" s="45"/>
    </row>
    <row r="1768">
      <c r="A1768" s="136"/>
      <c r="B1768" s="78"/>
      <c r="C1768" s="78"/>
      <c r="D1768" s="45"/>
      <c r="E1768" s="45"/>
      <c r="F1768" s="45"/>
      <c r="G1768" s="45"/>
    </row>
    <row r="1769">
      <c r="A1769" s="136"/>
      <c r="B1769" s="78"/>
      <c r="C1769" s="78"/>
      <c r="D1769" s="45"/>
      <c r="E1769" s="45"/>
      <c r="F1769" s="45"/>
      <c r="G1769" s="45"/>
    </row>
    <row r="1770">
      <c r="A1770" s="136"/>
      <c r="B1770" s="78"/>
      <c r="C1770" s="78"/>
      <c r="D1770" s="45"/>
      <c r="E1770" s="45"/>
      <c r="F1770" s="45"/>
      <c r="G1770" s="45"/>
    </row>
    <row r="1771">
      <c r="A1771" s="136"/>
      <c r="B1771" s="78"/>
      <c r="C1771" s="78"/>
      <c r="D1771" s="45"/>
      <c r="E1771" s="45"/>
      <c r="F1771" s="45"/>
      <c r="G1771" s="45"/>
    </row>
    <row r="1772">
      <c r="A1772" s="136"/>
      <c r="B1772" s="78"/>
      <c r="C1772" s="78"/>
      <c r="D1772" s="45"/>
      <c r="E1772" s="45"/>
      <c r="F1772" s="45"/>
      <c r="G1772" s="45"/>
    </row>
    <row r="1773">
      <c r="A1773" s="136"/>
      <c r="B1773" s="78"/>
      <c r="C1773" s="78"/>
      <c r="D1773" s="45"/>
      <c r="E1773" s="45"/>
      <c r="F1773" s="45"/>
      <c r="G1773" s="45"/>
    </row>
    <row r="1774">
      <c r="A1774" s="136"/>
      <c r="B1774" s="78"/>
      <c r="C1774" s="78"/>
      <c r="D1774" s="45"/>
      <c r="E1774" s="45"/>
      <c r="F1774" s="45"/>
      <c r="G1774" s="45"/>
    </row>
    <row r="1775">
      <c r="A1775" s="136"/>
      <c r="B1775" s="78"/>
      <c r="C1775" s="78"/>
      <c r="D1775" s="45"/>
      <c r="E1775" s="45"/>
      <c r="F1775" s="45"/>
      <c r="G1775" s="45"/>
    </row>
    <row r="1776">
      <c r="A1776" s="136"/>
      <c r="B1776" s="78"/>
      <c r="C1776" s="78"/>
      <c r="D1776" s="45"/>
      <c r="E1776" s="45"/>
      <c r="F1776" s="45"/>
      <c r="G1776" s="45"/>
    </row>
    <row r="1777">
      <c r="A1777" s="136"/>
      <c r="B1777" s="78"/>
      <c r="C1777" s="78"/>
      <c r="D1777" s="45"/>
      <c r="E1777" s="45"/>
      <c r="F1777" s="45"/>
      <c r="G1777" s="45"/>
    </row>
    <row r="1778">
      <c r="A1778" s="136"/>
      <c r="B1778" s="78"/>
      <c r="C1778" s="78"/>
      <c r="D1778" s="45"/>
      <c r="E1778" s="45"/>
      <c r="F1778" s="45"/>
      <c r="G1778" s="45"/>
    </row>
    <row r="1779">
      <c r="A1779" s="136"/>
      <c r="B1779" s="78"/>
      <c r="C1779" s="78"/>
      <c r="D1779" s="45"/>
      <c r="E1779" s="45"/>
      <c r="F1779" s="45"/>
      <c r="G1779" s="45"/>
    </row>
    <row r="1780">
      <c r="A1780" s="136"/>
      <c r="B1780" s="78"/>
      <c r="C1780" s="78"/>
      <c r="D1780" s="45"/>
      <c r="E1780" s="45"/>
      <c r="F1780" s="45"/>
      <c r="G1780" s="45"/>
    </row>
    <row r="1781">
      <c r="A1781" s="136"/>
      <c r="B1781" s="78"/>
      <c r="C1781" s="78"/>
      <c r="D1781" s="45"/>
      <c r="E1781" s="45"/>
      <c r="F1781" s="45"/>
      <c r="G1781" s="45"/>
    </row>
    <row r="1782">
      <c r="A1782" s="136"/>
      <c r="B1782" s="78"/>
      <c r="C1782" s="78"/>
      <c r="D1782" s="45"/>
      <c r="E1782" s="45"/>
      <c r="F1782" s="45"/>
      <c r="G1782" s="45"/>
    </row>
    <row r="1783">
      <c r="A1783" s="136"/>
      <c r="B1783" s="78"/>
      <c r="C1783" s="78"/>
      <c r="D1783" s="45"/>
      <c r="E1783" s="45"/>
      <c r="F1783" s="45"/>
      <c r="G1783" s="45"/>
    </row>
    <row r="1784">
      <c r="A1784" s="136"/>
      <c r="B1784" s="78"/>
      <c r="C1784" s="78"/>
      <c r="D1784" s="45"/>
      <c r="E1784" s="45"/>
      <c r="F1784" s="45"/>
      <c r="G1784" s="45"/>
    </row>
    <row r="1785">
      <c r="A1785" s="136"/>
      <c r="B1785" s="78"/>
      <c r="C1785" s="78"/>
      <c r="D1785" s="45"/>
      <c r="E1785" s="45"/>
      <c r="F1785" s="45"/>
      <c r="G1785" s="45"/>
    </row>
    <row r="1786">
      <c r="A1786" s="136"/>
      <c r="B1786" s="78"/>
      <c r="C1786" s="78"/>
      <c r="D1786" s="45"/>
      <c r="E1786" s="45"/>
      <c r="F1786" s="45"/>
      <c r="G1786" s="45"/>
    </row>
    <row r="1787">
      <c r="A1787" s="136"/>
      <c r="B1787" s="78"/>
      <c r="C1787" s="78"/>
      <c r="D1787" s="45"/>
      <c r="E1787" s="45"/>
      <c r="F1787" s="45"/>
      <c r="G1787" s="45"/>
    </row>
    <row r="1788">
      <c r="A1788" s="136"/>
      <c r="B1788" s="78"/>
      <c r="C1788" s="78"/>
      <c r="D1788" s="45"/>
      <c r="E1788" s="45"/>
      <c r="F1788" s="45"/>
      <c r="G1788" s="45"/>
    </row>
    <row r="1789">
      <c r="A1789" s="136"/>
      <c r="B1789" s="78"/>
      <c r="C1789" s="78"/>
      <c r="D1789" s="45"/>
      <c r="E1789" s="45"/>
      <c r="F1789" s="45"/>
      <c r="G1789" s="45"/>
    </row>
    <row r="1790">
      <c r="A1790" s="136"/>
      <c r="B1790" s="78"/>
      <c r="C1790" s="78"/>
      <c r="D1790" s="45"/>
      <c r="E1790" s="45"/>
      <c r="F1790" s="45"/>
      <c r="G1790" s="45"/>
    </row>
    <row r="1791">
      <c r="A1791" s="136"/>
      <c r="B1791" s="78"/>
      <c r="C1791" s="78"/>
      <c r="D1791" s="45"/>
      <c r="E1791" s="45"/>
      <c r="F1791" s="45"/>
      <c r="G1791" s="45"/>
    </row>
    <row r="1792">
      <c r="A1792" s="136"/>
      <c r="B1792" s="78"/>
      <c r="C1792" s="78"/>
      <c r="D1792" s="45"/>
      <c r="E1792" s="45"/>
      <c r="F1792" s="45"/>
      <c r="G1792" s="45"/>
    </row>
    <row r="1793">
      <c r="A1793" s="136"/>
      <c r="B1793" s="78"/>
      <c r="C1793" s="78"/>
      <c r="D1793" s="45"/>
      <c r="E1793" s="45"/>
      <c r="F1793" s="45"/>
      <c r="G1793" s="45"/>
    </row>
    <row r="1794">
      <c r="A1794" s="136"/>
      <c r="B1794" s="78"/>
      <c r="C1794" s="78"/>
      <c r="D1794" s="45"/>
      <c r="E1794" s="45"/>
      <c r="F1794" s="45"/>
      <c r="G1794" s="45"/>
    </row>
    <row r="1795">
      <c r="A1795" s="136"/>
      <c r="B1795" s="78"/>
      <c r="C1795" s="78"/>
      <c r="D1795" s="45"/>
      <c r="E1795" s="45"/>
      <c r="F1795" s="45"/>
      <c r="G1795" s="45"/>
    </row>
    <row r="1796">
      <c r="A1796" s="136"/>
      <c r="B1796" s="78"/>
      <c r="C1796" s="78"/>
      <c r="D1796" s="45"/>
      <c r="E1796" s="45"/>
      <c r="F1796" s="45"/>
      <c r="G1796" s="45"/>
    </row>
    <row r="1797">
      <c r="A1797" s="136"/>
      <c r="B1797" s="78"/>
      <c r="C1797" s="78"/>
      <c r="D1797" s="45"/>
      <c r="E1797" s="45"/>
      <c r="F1797" s="45"/>
      <c r="G1797" s="45"/>
    </row>
    <row r="1798">
      <c r="A1798" s="136"/>
      <c r="B1798" s="78"/>
      <c r="C1798" s="78"/>
      <c r="D1798" s="45"/>
      <c r="E1798" s="45"/>
      <c r="F1798" s="45"/>
      <c r="G1798" s="45"/>
    </row>
    <row r="1799">
      <c r="A1799" s="136"/>
      <c r="B1799" s="78"/>
      <c r="C1799" s="78"/>
      <c r="D1799" s="45"/>
      <c r="E1799" s="45"/>
      <c r="F1799" s="45"/>
      <c r="G1799" s="45"/>
    </row>
    <row r="1800">
      <c r="A1800" s="136"/>
      <c r="B1800" s="78"/>
      <c r="C1800" s="78"/>
      <c r="D1800" s="45"/>
      <c r="E1800" s="45"/>
      <c r="F1800" s="45"/>
      <c r="G1800" s="45"/>
    </row>
    <row r="1801">
      <c r="A1801" s="136"/>
      <c r="B1801" s="78"/>
      <c r="C1801" s="78"/>
      <c r="D1801" s="45"/>
      <c r="E1801" s="45"/>
      <c r="F1801" s="45"/>
      <c r="G1801" s="45"/>
    </row>
    <row r="1802">
      <c r="A1802" s="136"/>
      <c r="B1802" s="78"/>
      <c r="C1802" s="78"/>
      <c r="D1802" s="45"/>
      <c r="E1802" s="45"/>
      <c r="F1802" s="45"/>
      <c r="G1802" s="45"/>
    </row>
    <row r="1803">
      <c r="A1803" s="136"/>
      <c r="B1803" s="78"/>
      <c r="C1803" s="78"/>
      <c r="D1803" s="45"/>
      <c r="E1803" s="45"/>
      <c r="F1803" s="45"/>
      <c r="G1803" s="45"/>
    </row>
    <row r="1804">
      <c r="A1804" s="136"/>
      <c r="B1804" s="78"/>
      <c r="C1804" s="78"/>
      <c r="D1804" s="45"/>
      <c r="E1804" s="45"/>
      <c r="F1804" s="45"/>
      <c r="G1804" s="45"/>
    </row>
    <row r="1805">
      <c r="A1805" s="136"/>
      <c r="B1805" s="78"/>
      <c r="C1805" s="78"/>
      <c r="D1805" s="45"/>
      <c r="E1805" s="45"/>
      <c r="F1805" s="45"/>
      <c r="G1805" s="45"/>
    </row>
    <row r="1806">
      <c r="A1806" s="136"/>
      <c r="B1806" s="78"/>
      <c r="C1806" s="78"/>
      <c r="D1806" s="45"/>
      <c r="E1806" s="45"/>
      <c r="F1806" s="45"/>
      <c r="G1806" s="45"/>
    </row>
    <row r="1807">
      <c r="A1807" s="136"/>
      <c r="B1807" s="78"/>
      <c r="C1807" s="78"/>
      <c r="D1807" s="45"/>
      <c r="E1807" s="45"/>
      <c r="F1807" s="45"/>
      <c r="G1807" s="45"/>
    </row>
    <row r="1808">
      <c r="A1808" s="136"/>
      <c r="B1808" s="78"/>
      <c r="C1808" s="78"/>
      <c r="D1808" s="45"/>
      <c r="E1808" s="45"/>
      <c r="F1808" s="45"/>
      <c r="G1808" s="45"/>
    </row>
    <row r="1809">
      <c r="A1809" s="136"/>
      <c r="B1809" s="78"/>
      <c r="C1809" s="78"/>
      <c r="D1809" s="45"/>
      <c r="E1809" s="45"/>
      <c r="F1809" s="45"/>
      <c r="G1809" s="45"/>
    </row>
    <row r="1810">
      <c r="A1810" s="136"/>
      <c r="B1810" s="78"/>
      <c r="C1810" s="78"/>
      <c r="D1810" s="45"/>
      <c r="E1810" s="45"/>
      <c r="F1810" s="45"/>
      <c r="G1810" s="45"/>
    </row>
    <row r="1811">
      <c r="A1811" s="136"/>
      <c r="B1811" s="78"/>
      <c r="C1811" s="78"/>
      <c r="D1811" s="45"/>
      <c r="E1811" s="45"/>
      <c r="F1811" s="45"/>
      <c r="G1811" s="45"/>
    </row>
    <row r="1812">
      <c r="A1812" s="136"/>
      <c r="B1812" s="78"/>
      <c r="C1812" s="78"/>
      <c r="D1812" s="45"/>
      <c r="E1812" s="45"/>
      <c r="F1812" s="45"/>
      <c r="G1812" s="45"/>
    </row>
    <row r="1813">
      <c r="A1813" s="136"/>
      <c r="B1813" s="78"/>
      <c r="C1813" s="78"/>
      <c r="D1813" s="45"/>
      <c r="E1813" s="45"/>
      <c r="F1813" s="45"/>
      <c r="G1813" s="45"/>
    </row>
    <row r="1814">
      <c r="A1814" s="136"/>
      <c r="B1814" s="78"/>
      <c r="C1814" s="78"/>
      <c r="D1814" s="45"/>
      <c r="E1814" s="45"/>
      <c r="F1814" s="45"/>
      <c r="G1814" s="45"/>
    </row>
    <row r="1815">
      <c r="A1815" s="136"/>
      <c r="B1815" s="78"/>
      <c r="C1815" s="78"/>
      <c r="D1815" s="45"/>
      <c r="E1815" s="45"/>
      <c r="F1815" s="45"/>
      <c r="G1815" s="45"/>
    </row>
    <row r="1816">
      <c r="A1816" s="136"/>
      <c r="B1816" s="78"/>
      <c r="C1816" s="78"/>
      <c r="D1816" s="45"/>
      <c r="E1816" s="45"/>
      <c r="F1816" s="45"/>
      <c r="G1816" s="45"/>
    </row>
    <row r="1817">
      <c r="A1817" s="136"/>
      <c r="B1817" s="78"/>
      <c r="C1817" s="78"/>
      <c r="D1817" s="45"/>
      <c r="E1817" s="45"/>
      <c r="F1817" s="45"/>
      <c r="G1817" s="45"/>
    </row>
    <row r="1818">
      <c r="A1818" s="136"/>
      <c r="B1818" s="78"/>
      <c r="C1818" s="78"/>
      <c r="D1818" s="45"/>
      <c r="E1818" s="45"/>
      <c r="F1818" s="45"/>
      <c r="G1818" s="45"/>
    </row>
    <row r="1819">
      <c r="A1819" s="136"/>
      <c r="B1819" s="78"/>
      <c r="C1819" s="78"/>
      <c r="D1819" s="45"/>
      <c r="E1819" s="45"/>
      <c r="F1819" s="45"/>
      <c r="G1819" s="45"/>
    </row>
    <row r="1820">
      <c r="A1820" s="136"/>
      <c r="B1820" s="78"/>
      <c r="C1820" s="78"/>
      <c r="D1820" s="45"/>
      <c r="E1820" s="45"/>
      <c r="F1820" s="45"/>
      <c r="G1820" s="45"/>
    </row>
    <row r="1821">
      <c r="A1821" s="136"/>
      <c r="B1821" s="78"/>
      <c r="C1821" s="78"/>
      <c r="D1821" s="45"/>
      <c r="E1821" s="45"/>
      <c r="F1821" s="45"/>
      <c r="G1821" s="45"/>
    </row>
    <row r="1822">
      <c r="A1822" s="136"/>
      <c r="B1822" s="78"/>
      <c r="C1822" s="78"/>
      <c r="D1822" s="45"/>
      <c r="E1822" s="45"/>
      <c r="F1822" s="45"/>
      <c r="G1822" s="45"/>
    </row>
    <row r="1823">
      <c r="A1823" s="136"/>
      <c r="B1823" s="78"/>
      <c r="C1823" s="78"/>
      <c r="D1823" s="45"/>
      <c r="E1823" s="45"/>
      <c r="F1823" s="45"/>
      <c r="G1823" s="45"/>
    </row>
    <row r="1824">
      <c r="A1824" s="136"/>
      <c r="B1824" s="78"/>
      <c r="C1824" s="78"/>
      <c r="D1824" s="45"/>
      <c r="E1824" s="45"/>
      <c r="F1824" s="45"/>
      <c r="G1824" s="45"/>
    </row>
    <row r="1825">
      <c r="A1825" s="136"/>
      <c r="B1825" s="78"/>
      <c r="C1825" s="78"/>
      <c r="D1825" s="45"/>
      <c r="E1825" s="45"/>
      <c r="F1825" s="45"/>
      <c r="G1825" s="45"/>
    </row>
    <row r="1826">
      <c r="A1826" s="136"/>
      <c r="B1826" s="78"/>
      <c r="C1826" s="78"/>
      <c r="D1826" s="45"/>
      <c r="E1826" s="45"/>
      <c r="F1826" s="45"/>
      <c r="G1826" s="45"/>
    </row>
    <row r="1827">
      <c r="A1827" s="136"/>
      <c r="B1827" s="78"/>
      <c r="C1827" s="78"/>
      <c r="D1827" s="45"/>
      <c r="E1827" s="45"/>
      <c r="F1827" s="45"/>
      <c r="G1827" s="45"/>
    </row>
    <row r="1828">
      <c r="A1828" s="136"/>
      <c r="B1828" s="78"/>
      <c r="C1828" s="78"/>
      <c r="D1828" s="45"/>
      <c r="E1828" s="45"/>
      <c r="F1828" s="45"/>
      <c r="G1828" s="45"/>
    </row>
    <row r="1829">
      <c r="A1829" s="136"/>
      <c r="B1829" s="78"/>
      <c r="C1829" s="78"/>
      <c r="D1829" s="45"/>
      <c r="E1829" s="45"/>
      <c r="F1829" s="45"/>
      <c r="G1829" s="45"/>
    </row>
    <row r="1830">
      <c r="A1830" s="136"/>
      <c r="B1830" s="78"/>
      <c r="C1830" s="78"/>
      <c r="D1830" s="45"/>
      <c r="E1830" s="45"/>
      <c r="F1830" s="45"/>
      <c r="G1830" s="45"/>
    </row>
    <row r="1831">
      <c r="A1831" s="136"/>
      <c r="B1831" s="78"/>
      <c r="C1831" s="78"/>
      <c r="D1831" s="45"/>
      <c r="E1831" s="45"/>
      <c r="F1831" s="45"/>
      <c r="G1831" s="45"/>
    </row>
    <row r="1832">
      <c r="A1832" s="136"/>
      <c r="B1832" s="78"/>
      <c r="C1832" s="78"/>
      <c r="D1832" s="45"/>
      <c r="E1832" s="45"/>
      <c r="F1832" s="45"/>
      <c r="G1832" s="45"/>
    </row>
    <row r="1833">
      <c r="A1833" s="136"/>
      <c r="B1833" s="78"/>
      <c r="C1833" s="78"/>
      <c r="D1833" s="45"/>
      <c r="E1833" s="45"/>
      <c r="F1833" s="45"/>
      <c r="G1833" s="45"/>
    </row>
    <row r="1834">
      <c r="A1834" s="136"/>
      <c r="B1834" s="78"/>
      <c r="C1834" s="78"/>
      <c r="D1834" s="45"/>
      <c r="E1834" s="45"/>
      <c r="F1834" s="45"/>
      <c r="G1834" s="45"/>
    </row>
    <row r="1835">
      <c r="A1835" s="136"/>
      <c r="B1835" s="78"/>
      <c r="C1835" s="78"/>
      <c r="D1835" s="45"/>
      <c r="E1835" s="45"/>
      <c r="F1835" s="45"/>
      <c r="G1835" s="45"/>
    </row>
    <row r="1836">
      <c r="A1836" s="136"/>
      <c r="B1836" s="78"/>
      <c r="C1836" s="78"/>
      <c r="D1836" s="45"/>
      <c r="E1836" s="45"/>
      <c r="F1836" s="45"/>
      <c r="G1836" s="45"/>
    </row>
    <row r="1837">
      <c r="A1837" s="136"/>
      <c r="B1837" s="78"/>
      <c r="C1837" s="78"/>
      <c r="D1837" s="45"/>
      <c r="E1837" s="45"/>
      <c r="F1837" s="45"/>
      <c r="G1837" s="45"/>
    </row>
    <row r="1838">
      <c r="A1838" s="136"/>
      <c r="B1838" s="78"/>
      <c r="C1838" s="78"/>
      <c r="D1838" s="45"/>
      <c r="E1838" s="45"/>
      <c r="F1838" s="45"/>
      <c r="G1838" s="45"/>
    </row>
    <row r="1839">
      <c r="A1839" s="136"/>
      <c r="B1839" s="78"/>
      <c r="C1839" s="78"/>
      <c r="D1839" s="45"/>
      <c r="E1839" s="45"/>
      <c r="F1839" s="45"/>
      <c r="G1839" s="45"/>
    </row>
    <row r="1840">
      <c r="A1840" s="136"/>
      <c r="B1840" s="78"/>
      <c r="C1840" s="78"/>
      <c r="D1840" s="45"/>
      <c r="E1840" s="45"/>
      <c r="F1840" s="45"/>
      <c r="G1840" s="45"/>
    </row>
    <row r="1841">
      <c r="A1841" s="136"/>
      <c r="B1841" s="78"/>
      <c r="C1841" s="78"/>
      <c r="D1841" s="45"/>
      <c r="E1841" s="45"/>
      <c r="F1841" s="45"/>
      <c r="G1841" s="45"/>
    </row>
    <row r="1842">
      <c r="A1842" s="136"/>
      <c r="B1842" s="78"/>
      <c r="C1842" s="78"/>
      <c r="D1842" s="45"/>
      <c r="E1842" s="45"/>
      <c r="F1842" s="45"/>
      <c r="G1842" s="45"/>
    </row>
    <row r="1843">
      <c r="A1843" s="136"/>
      <c r="B1843" s="78"/>
      <c r="C1843" s="78"/>
      <c r="D1843" s="45"/>
      <c r="E1843" s="45"/>
      <c r="F1843" s="45"/>
      <c r="G1843" s="45"/>
    </row>
    <row r="1844">
      <c r="A1844" s="136"/>
      <c r="B1844" s="78"/>
      <c r="C1844" s="78"/>
      <c r="D1844" s="45"/>
      <c r="E1844" s="45"/>
      <c r="F1844" s="45"/>
      <c r="G1844" s="45"/>
    </row>
    <row r="1845">
      <c r="A1845" s="136"/>
      <c r="B1845" s="78"/>
      <c r="C1845" s="78"/>
      <c r="D1845" s="45"/>
      <c r="E1845" s="45"/>
      <c r="F1845" s="45"/>
      <c r="G1845" s="45"/>
    </row>
    <row r="1846">
      <c r="A1846" s="136"/>
      <c r="B1846" s="78"/>
      <c r="C1846" s="78"/>
      <c r="D1846" s="45"/>
      <c r="E1846" s="45"/>
      <c r="F1846" s="45"/>
      <c r="G1846" s="45"/>
    </row>
    <row r="1847">
      <c r="A1847" s="136"/>
      <c r="B1847" s="78"/>
      <c r="C1847" s="78"/>
      <c r="D1847" s="45"/>
      <c r="E1847" s="45"/>
      <c r="F1847" s="45"/>
      <c r="G1847" s="45"/>
    </row>
    <row r="1848">
      <c r="A1848" s="136"/>
      <c r="B1848" s="78"/>
      <c r="C1848" s="78"/>
      <c r="D1848" s="45"/>
      <c r="E1848" s="45"/>
      <c r="F1848" s="45"/>
      <c r="G1848" s="45"/>
    </row>
    <row r="1849">
      <c r="A1849" s="136"/>
      <c r="B1849" s="78"/>
      <c r="C1849" s="78"/>
      <c r="D1849" s="45"/>
      <c r="E1849" s="45"/>
      <c r="F1849" s="45"/>
      <c r="G1849" s="45"/>
    </row>
    <row r="1850">
      <c r="A1850" s="136"/>
      <c r="B1850" s="78"/>
      <c r="C1850" s="78"/>
      <c r="D1850" s="45"/>
      <c r="E1850" s="45"/>
      <c r="F1850" s="45"/>
      <c r="G1850" s="45"/>
    </row>
    <row r="1851">
      <c r="A1851" s="136"/>
      <c r="B1851" s="78"/>
      <c r="C1851" s="78"/>
      <c r="D1851" s="45"/>
      <c r="E1851" s="45"/>
      <c r="F1851" s="45"/>
      <c r="G1851" s="45"/>
    </row>
    <row r="1852">
      <c r="A1852" s="136"/>
      <c r="B1852" s="78"/>
      <c r="C1852" s="78"/>
      <c r="D1852" s="45"/>
      <c r="E1852" s="45"/>
      <c r="F1852" s="45"/>
      <c r="G1852" s="45"/>
    </row>
    <row r="1853">
      <c r="A1853" s="136"/>
      <c r="B1853" s="78"/>
      <c r="C1853" s="78"/>
      <c r="D1853" s="45"/>
      <c r="E1853" s="45"/>
      <c r="F1853" s="45"/>
      <c r="G1853" s="45"/>
    </row>
    <row r="1854">
      <c r="A1854" s="136"/>
      <c r="B1854" s="78"/>
      <c r="C1854" s="78"/>
      <c r="D1854" s="45"/>
      <c r="E1854" s="45"/>
      <c r="F1854" s="45"/>
      <c r="G1854" s="45"/>
    </row>
    <row r="1855">
      <c r="A1855" s="136"/>
      <c r="B1855" s="78"/>
      <c r="C1855" s="78"/>
      <c r="D1855" s="45"/>
      <c r="E1855" s="45"/>
      <c r="F1855" s="45"/>
      <c r="G1855" s="45"/>
    </row>
    <row r="1856">
      <c r="A1856" s="136"/>
      <c r="B1856" s="78"/>
      <c r="C1856" s="78"/>
      <c r="D1856" s="45"/>
      <c r="E1856" s="45"/>
      <c r="F1856" s="45"/>
      <c r="G1856" s="45"/>
    </row>
    <row r="1857">
      <c r="A1857" s="136"/>
      <c r="B1857" s="78"/>
      <c r="C1857" s="78"/>
      <c r="D1857" s="45"/>
      <c r="E1857" s="45"/>
      <c r="F1857" s="45"/>
      <c r="G1857" s="45"/>
    </row>
    <row r="1858">
      <c r="A1858" s="136"/>
      <c r="B1858" s="78"/>
      <c r="C1858" s="78"/>
      <c r="D1858" s="45"/>
      <c r="E1858" s="45"/>
      <c r="F1858" s="45"/>
      <c r="G1858" s="45"/>
    </row>
    <row r="1859">
      <c r="A1859" s="136"/>
      <c r="B1859" s="78"/>
      <c r="C1859" s="78"/>
      <c r="D1859" s="45"/>
      <c r="E1859" s="45"/>
      <c r="F1859" s="45"/>
      <c r="G1859" s="45"/>
    </row>
    <row r="1860">
      <c r="A1860" s="136"/>
      <c r="B1860" s="78"/>
      <c r="C1860" s="78"/>
      <c r="D1860" s="45"/>
      <c r="E1860" s="45"/>
      <c r="F1860" s="45"/>
      <c r="G1860" s="45"/>
    </row>
    <row r="1861">
      <c r="A1861" s="136"/>
      <c r="B1861" s="78"/>
      <c r="C1861" s="78"/>
      <c r="D1861" s="45"/>
      <c r="E1861" s="45"/>
      <c r="F1861" s="45"/>
      <c r="G1861" s="45"/>
    </row>
    <row r="1862">
      <c r="A1862" s="136"/>
      <c r="B1862" s="78"/>
      <c r="C1862" s="78"/>
      <c r="D1862" s="45"/>
      <c r="E1862" s="45"/>
      <c r="F1862" s="45"/>
      <c r="G1862" s="45"/>
    </row>
    <row r="1863">
      <c r="A1863" s="136"/>
      <c r="B1863" s="78"/>
      <c r="C1863" s="78"/>
      <c r="D1863" s="45"/>
      <c r="E1863" s="45"/>
      <c r="F1863" s="45"/>
      <c r="G1863" s="45"/>
    </row>
    <row r="1864">
      <c r="A1864" s="136"/>
      <c r="B1864" s="78"/>
      <c r="C1864" s="78"/>
      <c r="D1864" s="45"/>
      <c r="E1864" s="45"/>
      <c r="F1864" s="45"/>
      <c r="G1864" s="45"/>
    </row>
    <row r="1865">
      <c r="A1865" s="136"/>
      <c r="B1865" s="78"/>
      <c r="C1865" s="78"/>
      <c r="D1865" s="45"/>
      <c r="E1865" s="45"/>
      <c r="F1865" s="45"/>
      <c r="G1865" s="45"/>
    </row>
    <row r="1866">
      <c r="A1866" s="136"/>
      <c r="B1866" s="78"/>
      <c r="C1866" s="78"/>
      <c r="D1866" s="45"/>
      <c r="E1866" s="45"/>
      <c r="F1866" s="45"/>
      <c r="G1866" s="45"/>
    </row>
    <row r="1867">
      <c r="A1867" s="136"/>
      <c r="B1867" s="78"/>
      <c r="C1867" s="78"/>
      <c r="D1867" s="45"/>
      <c r="E1867" s="45"/>
      <c r="F1867" s="45"/>
      <c r="G1867" s="45"/>
    </row>
    <row r="1868">
      <c r="A1868" s="136"/>
      <c r="B1868" s="78"/>
      <c r="C1868" s="78"/>
      <c r="D1868" s="45"/>
      <c r="E1868" s="45"/>
      <c r="F1868" s="45"/>
      <c r="G1868" s="45"/>
    </row>
    <row r="1869">
      <c r="A1869" s="136"/>
      <c r="B1869" s="78"/>
      <c r="C1869" s="78"/>
      <c r="D1869" s="45"/>
      <c r="E1869" s="45"/>
      <c r="F1869" s="45"/>
      <c r="G1869" s="45"/>
    </row>
    <row r="1870">
      <c r="A1870" s="136"/>
      <c r="B1870" s="78"/>
      <c r="C1870" s="78"/>
      <c r="D1870" s="45"/>
      <c r="E1870" s="45"/>
      <c r="F1870" s="45"/>
      <c r="G1870" s="45"/>
    </row>
    <row r="1871">
      <c r="A1871" s="136"/>
      <c r="B1871" s="78"/>
      <c r="C1871" s="78"/>
      <c r="D1871" s="45"/>
      <c r="E1871" s="45"/>
      <c r="F1871" s="45"/>
      <c r="G1871" s="45"/>
    </row>
    <row r="1872">
      <c r="A1872" s="136"/>
      <c r="B1872" s="78"/>
      <c r="C1872" s="78"/>
      <c r="D1872" s="45"/>
      <c r="E1872" s="45"/>
      <c r="F1872" s="45"/>
      <c r="G1872" s="45"/>
    </row>
    <row r="1873">
      <c r="A1873" s="136"/>
      <c r="B1873" s="78"/>
      <c r="C1873" s="78"/>
      <c r="D1873" s="45"/>
      <c r="E1873" s="45"/>
      <c r="F1873" s="45"/>
      <c r="G1873" s="45"/>
    </row>
    <row r="1874">
      <c r="A1874" s="136"/>
      <c r="B1874" s="78"/>
      <c r="C1874" s="78"/>
      <c r="D1874" s="45"/>
      <c r="E1874" s="45"/>
      <c r="F1874" s="45"/>
      <c r="G1874" s="45"/>
    </row>
    <row r="1875">
      <c r="A1875" s="136"/>
      <c r="B1875" s="78"/>
      <c r="C1875" s="78"/>
      <c r="D1875" s="45"/>
      <c r="E1875" s="45"/>
      <c r="F1875" s="45"/>
      <c r="G1875" s="45"/>
    </row>
    <row r="1876">
      <c r="A1876" s="136"/>
      <c r="B1876" s="78"/>
      <c r="C1876" s="78"/>
      <c r="D1876" s="45"/>
      <c r="E1876" s="45"/>
      <c r="F1876" s="45"/>
      <c r="G1876" s="45"/>
    </row>
    <row r="1877">
      <c r="A1877" s="136"/>
      <c r="B1877" s="78"/>
      <c r="C1877" s="78"/>
      <c r="D1877" s="45"/>
      <c r="E1877" s="45"/>
      <c r="F1877" s="45"/>
      <c r="G1877" s="45"/>
    </row>
    <row r="1878">
      <c r="A1878" s="136"/>
      <c r="B1878" s="78"/>
      <c r="C1878" s="78"/>
      <c r="D1878" s="45"/>
      <c r="E1878" s="45"/>
      <c r="F1878" s="45"/>
      <c r="G1878" s="45"/>
    </row>
    <row r="1879">
      <c r="A1879" s="136"/>
      <c r="B1879" s="78"/>
      <c r="C1879" s="78"/>
      <c r="D1879" s="45"/>
      <c r="E1879" s="45"/>
      <c r="F1879" s="45"/>
      <c r="G1879" s="45"/>
    </row>
    <row r="1880">
      <c r="A1880" s="136"/>
      <c r="B1880" s="78"/>
      <c r="C1880" s="78"/>
      <c r="D1880" s="45"/>
      <c r="E1880" s="45"/>
      <c r="F1880" s="45"/>
      <c r="G1880" s="45"/>
    </row>
    <row r="1881">
      <c r="A1881" s="136"/>
      <c r="B1881" s="78"/>
      <c r="C1881" s="78"/>
      <c r="D1881" s="45"/>
      <c r="E1881" s="45"/>
      <c r="F1881" s="45"/>
      <c r="G1881" s="45"/>
    </row>
    <row r="1882">
      <c r="A1882" s="136"/>
      <c r="B1882" s="78"/>
      <c r="C1882" s="78"/>
      <c r="D1882" s="45"/>
      <c r="E1882" s="45"/>
      <c r="F1882" s="45"/>
      <c r="G1882" s="45"/>
    </row>
    <row r="1883">
      <c r="A1883" s="136"/>
      <c r="B1883" s="78"/>
      <c r="C1883" s="78"/>
      <c r="D1883" s="45"/>
      <c r="E1883" s="45"/>
      <c r="F1883" s="45"/>
      <c r="G1883" s="45"/>
    </row>
    <row r="1884">
      <c r="A1884" s="136"/>
      <c r="B1884" s="78"/>
      <c r="C1884" s="78"/>
      <c r="D1884" s="45"/>
      <c r="E1884" s="45"/>
      <c r="F1884" s="45"/>
      <c r="G1884" s="45"/>
    </row>
    <row r="1885">
      <c r="A1885" s="136"/>
      <c r="B1885" s="78"/>
      <c r="C1885" s="78"/>
      <c r="D1885" s="45"/>
      <c r="E1885" s="45"/>
      <c r="F1885" s="45"/>
      <c r="G1885" s="45"/>
    </row>
    <row r="1886">
      <c r="A1886" s="136"/>
      <c r="B1886" s="78"/>
      <c r="C1886" s="78"/>
      <c r="D1886" s="45"/>
      <c r="E1886" s="45"/>
      <c r="F1886" s="45"/>
      <c r="G1886" s="45"/>
    </row>
    <row r="1887">
      <c r="A1887" s="136"/>
      <c r="B1887" s="78"/>
      <c r="C1887" s="78"/>
      <c r="D1887" s="45"/>
      <c r="E1887" s="45"/>
      <c r="F1887" s="45"/>
      <c r="G1887" s="45"/>
    </row>
    <row r="1888">
      <c r="A1888" s="136"/>
      <c r="B1888" s="78"/>
      <c r="C1888" s="78"/>
      <c r="D1888" s="45"/>
      <c r="E1888" s="45"/>
      <c r="F1888" s="45"/>
      <c r="G1888" s="45"/>
    </row>
    <row r="1889">
      <c r="A1889" s="136"/>
      <c r="B1889" s="78"/>
      <c r="C1889" s="78"/>
      <c r="D1889" s="45"/>
      <c r="E1889" s="45"/>
      <c r="F1889" s="45"/>
      <c r="G1889" s="45"/>
    </row>
    <row r="1890">
      <c r="A1890" s="136"/>
      <c r="B1890" s="78"/>
      <c r="C1890" s="78"/>
      <c r="D1890" s="45"/>
      <c r="E1890" s="45"/>
      <c r="F1890" s="45"/>
      <c r="G1890" s="45"/>
    </row>
    <row r="1891">
      <c r="A1891" s="136"/>
      <c r="B1891" s="78"/>
      <c r="C1891" s="78"/>
      <c r="D1891" s="45"/>
      <c r="E1891" s="45"/>
      <c r="F1891" s="45"/>
      <c r="G1891" s="45"/>
    </row>
    <row r="1892">
      <c r="A1892" s="136"/>
      <c r="B1892" s="78"/>
      <c r="C1892" s="78"/>
      <c r="D1892" s="45"/>
      <c r="E1892" s="45"/>
      <c r="F1892" s="45"/>
      <c r="G1892" s="45"/>
    </row>
    <row r="1893">
      <c r="A1893" s="136"/>
      <c r="B1893" s="78"/>
      <c r="C1893" s="78"/>
      <c r="D1893" s="45"/>
      <c r="E1893" s="45"/>
      <c r="F1893" s="45"/>
      <c r="G1893" s="45"/>
    </row>
    <row r="1894">
      <c r="A1894" s="136"/>
      <c r="B1894" s="78"/>
      <c r="C1894" s="78"/>
      <c r="D1894" s="45"/>
      <c r="E1894" s="45"/>
      <c r="F1894" s="45"/>
      <c r="G1894" s="45"/>
    </row>
    <row r="1895">
      <c r="A1895" s="136"/>
      <c r="B1895" s="78"/>
      <c r="C1895" s="78"/>
      <c r="D1895" s="45"/>
      <c r="E1895" s="45"/>
      <c r="F1895" s="45"/>
      <c r="G1895" s="45"/>
    </row>
    <row r="1896">
      <c r="A1896" s="136"/>
      <c r="B1896" s="78"/>
      <c r="C1896" s="78"/>
      <c r="D1896" s="45"/>
      <c r="E1896" s="45"/>
      <c r="F1896" s="45"/>
      <c r="G1896" s="45"/>
    </row>
    <row r="1897">
      <c r="A1897" s="136"/>
      <c r="B1897" s="78"/>
      <c r="C1897" s="78"/>
      <c r="D1897" s="45"/>
      <c r="E1897" s="45"/>
      <c r="F1897" s="45"/>
      <c r="G1897" s="45"/>
    </row>
    <row r="1898">
      <c r="A1898" s="136"/>
      <c r="B1898" s="78"/>
      <c r="C1898" s="78"/>
      <c r="D1898" s="45"/>
      <c r="E1898" s="45"/>
      <c r="F1898" s="45"/>
      <c r="G1898" s="45"/>
    </row>
    <row r="1899">
      <c r="A1899" s="136"/>
      <c r="B1899" s="78"/>
      <c r="C1899" s="78"/>
      <c r="D1899" s="45"/>
      <c r="E1899" s="45"/>
      <c r="F1899" s="45"/>
      <c r="G1899" s="45"/>
    </row>
    <row r="1900">
      <c r="A1900" s="136"/>
      <c r="B1900" s="78"/>
      <c r="C1900" s="78"/>
      <c r="D1900" s="45"/>
      <c r="E1900" s="45"/>
      <c r="F1900" s="45"/>
      <c r="G1900" s="45"/>
    </row>
    <row r="1901">
      <c r="A1901" s="136"/>
      <c r="B1901" s="78"/>
      <c r="C1901" s="78"/>
      <c r="D1901" s="45"/>
      <c r="E1901" s="45"/>
      <c r="F1901" s="45"/>
      <c r="G1901" s="45"/>
    </row>
    <row r="1902">
      <c r="A1902" s="136"/>
      <c r="B1902" s="78"/>
      <c r="C1902" s="78"/>
      <c r="D1902" s="45"/>
      <c r="E1902" s="45"/>
      <c r="F1902" s="45"/>
      <c r="G1902" s="45"/>
    </row>
    <row r="1903">
      <c r="A1903" s="136"/>
      <c r="B1903" s="78"/>
      <c r="C1903" s="78"/>
      <c r="D1903" s="45"/>
      <c r="E1903" s="45"/>
      <c r="F1903" s="45"/>
      <c r="G1903" s="45"/>
    </row>
    <row r="1904">
      <c r="A1904" s="136"/>
      <c r="B1904" s="78"/>
      <c r="C1904" s="78"/>
      <c r="D1904" s="45"/>
      <c r="E1904" s="45"/>
      <c r="F1904" s="45"/>
      <c r="G1904" s="45"/>
    </row>
    <row r="1905">
      <c r="A1905" s="136"/>
      <c r="B1905" s="78"/>
      <c r="C1905" s="78"/>
      <c r="D1905" s="45"/>
      <c r="E1905" s="45"/>
      <c r="F1905" s="45"/>
      <c r="G1905" s="45"/>
    </row>
    <row r="1906">
      <c r="A1906" s="136"/>
      <c r="B1906" s="78"/>
      <c r="C1906" s="78"/>
      <c r="D1906" s="45"/>
      <c r="E1906" s="45"/>
      <c r="F1906" s="45"/>
      <c r="G1906" s="45"/>
    </row>
    <row r="1907">
      <c r="A1907" s="136"/>
      <c r="B1907" s="78"/>
      <c r="C1907" s="78"/>
      <c r="D1907" s="45"/>
      <c r="E1907" s="45"/>
      <c r="F1907" s="45"/>
      <c r="G1907" s="45"/>
    </row>
    <row r="1908">
      <c r="A1908" s="136"/>
      <c r="B1908" s="78"/>
      <c r="C1908" s="78"/>
      <c r="D1908" s="45"/>
      <c r="E1908" s="45"/>
      <c r="F1908" s="45"/>
      <c r="G1908" s="45"/>
    </row>
    <row r="1909">
      <c r="A1909" s="136"/>
      <c r="B1909" s="78"/>
      <c r="C1909" s="78"/>
      <c r="D1909" s="45"/>
      <c r="E1909" s="45"/>
      <c r="F1909" s="45"/>
      <c r="G1909" s="45"/>
    </row>
    <row r="1910">
      <c r="A1910" s="136"/>
      <c r="B1910" s="78"/>
      <c r="C1910" s="78"/>
      <c r="D1910" s="45"/>
      <c r="E1910" s="45"/>
      <c r="F1910" s="45"/>
      <c r="G1910" s="45"/>
    </row>
    <row r="1911">
      <c r="A1911" s="136"/>
      <c r="B1911" s="78"/>
      <c r="C1911" s="78"/>
      <c r="D1911" s="45"/>
      <c r="E1911" s="45"/>
      <c r="F1911" s="45"/>
      <c r="G1911" s="45"/>
    </row>
    <row r="1912">
      <c r="A1912" s="136"/>
      <c r="B1912" s="78"/>
      <c r="C1912" s="78"/>
      <c r="D1912" s="45"/>
      <c r="E1912" s="45"/>
      <c r="F1912" s="45"/>
      <c r="G1912" s="45"/>
    </row>
    <row r="1913">
      <c r="A1913" s="136"/>
      <c r="B1913" s="78"/>
      <c r="C1913" s="78"/>
      <c r="D1913" s="45"/>
      <c r="E1913" s="45"/>
      <c r="F1913" s="45"/>
      <c r="G1913" s="45"/>
    </row>
    <row r="1914">
      <c r="A1914" s="136"/>
      <c r="B1914" s="78"/>
      <c r="C1914" s="78"/>
      <c r="D1914" s="45"/>
      <c r="E1914" s="45"/>
      <c r="F1914" s="45"/>
      <c r="G1914" s="45"/>
    </row>
    <row r="1915">
      <c r="A1915" s="136"/>
      <c r="B1915" s="78"/>
      <c r="C1915" s="78"/>
      <c r="D1915" s="45"/>
      <c r="E1915" s="45"/>
      <c r="F1915" s="45"/>
      <c r="G1915" s="45"/>
    </row>
    <row r="1916">
      <c r="A1916" s="136"/>
      <c r="B1916" s="78"/>
      <c r="C1916" s="78"/>
      <c r="D1916" s="45"/>
      <c r="E1916" s="45"/>
      <c r="F1916" s="45"/>
      <c r="G1916" s="45"/>
    </row>
    <row r="1917">
      <c r="A1917" s="136"/>
      <c r="B1917" s="78"/>
      <c r="C1917" s="78"/>
      <c r="D1917" s="45"/>
      <c r="E1917" s="45"/>
      <c r="F1917" s="45"/>
      <c r="G1917" s="45"/>
    </row>
    <row r="1918">
      <c r="A1918" s="136"/>
      <c r="B1918" s="78"/>
      <c r="C1918" s="78"/>
      <c r="D1918" s="45"/>
      <c r="E1918" s="45"/>
      <c r="F1918" s="45"/>
      <c r="G1918" s="45"/>
    </row>
    <row r="1919">
      <c r="A1919" s="136"/>
      <c r="B1919" s="78"/>
      <c r="C1919" s="78"/>
      <c r="D1919" s="45"/>
      <c r="E1919" s="45"/>
      <c r="F1919" s="45"/>
      <c r="G1919" s="45"/>
    </row>
    <row r="1920">
      <c r="A1920" s="136"/>
      <c r="B1920" s="78"/>
      <c r="C1920" s="78"/>
      <c r="D1920" s="45"/>
      <c r="E1920" s="45"/>
      <c r="F1920" s="45"/>
      <c r="G1920" s="45"/>
    </row>
    <row r="1921">
      <c r="A1921" s="136"/>
      <c r="B1921" s="78"/>
      <c r="C1921" s="78"/>
      <c r="D1921" s="45"/>
      <c r="E1921" s="45"/>
      <c r="F1921" s="45"/>
      <c r="G1921" s="45"/>
    </row>
    <row r="1922">
      <c r="A1922" s="136"/>
      <c r="B1922" s="78"/>
      <c r="C1922" s="78"/>
      <c r="D1922" s="45"/>
      <c r="E1922" s="45"/>
      <c r="F1922" s="45"/>
      <c r="G1922" s="45"/>
    </row>
    <row r="1923">
      <c r="A1923" s="136"/>
      <c r="B1923" s="78"/>
      <c r="C1923" s="78"/>
      <c r="D1923" s="45"/>
      <c r="E1923" s="45"/>
      <c r="F1923" s="45"/>
      <c r="G1923" s="45"/>
    </row>
    <row r="1924">
      <c r="A1924" s="136"/>
      <c r="B1924" s="78"/>
      <c r="C1924" s="78"/>
      <c r="D1924" s="45"/>
      <c r="E1924" s="45"/>
      <c r="F1924" s="45"/>
      <c r="G1924" s="45"/>
    </row>
    <row r="1925">
      <c r="A1925" s="136"/>
      <c r="B1925" s="78"/>
      <c r="C1925" s="78"/>
      <c r="D1925" s="45"/>
      <c r="E1925" s="45"/>
      <c r="F1925" s="45"/>
      <c r="G1925" s="45"/>
    </row>
    <row r="1926">
      <c r="A1926" s="136"/>
      <c r="B1926" s="78"/>
      <c r="C1926" s="78"/>
      <c r="D1926" s="45"/>
      <c r="E1926" s="45"/>
      <c r="F1926" s="45"/>
      <c r="G1926" s="45"/>
    </row>
    <row r="1927">
      <c r="A1927" s="136"/>
      <c r="B1927" s="78"/>
      <c r="C1927" s="78"/>
      <c r="D1927" s="45"/>
      <c r="E1927" s="45"/>
      <c r="F1927" s="45"/>
      <c r="G1927" s="45"/>
    </row>
    <row r="1928">
      <c r="A1928" s="136"/>
      <c r="B1928" s="78"/>
      <c r="C1928" s="78"/>
      <c r="D1928" s="45"/>
      <c r="E1928" s="45"/>
      <c r="F1928" s="45"/>
      <c r="G1928" s="45"/>
    </row>
    <row r="1929">
      <c r="A1929" s="136"/>
      <c r="B1929" s="78"/>
      <c r="C1929" s="78"/>
      <c r="D1929" s="45"/>
      <c r="E1929" s="45"/>
      <c r="F1929" s="45"/>
      <c r="G1929" s="45"/>
    </row>
    <row r="1930">
      <c r="A1930" s="136"/>
      <c r="B1930" s="78"/>
      <c r="C1930" s="78"/>
      <c r="D1930" s="45"/>
      <c r="E1930" s="45"/>
      <c r="F1930" s="45"/>
      <c r="G1930" s="45"/>
    </row>
    <row r="1931">
      <c r="A1931" s="136"/>
      <c r="B1931" s="78"/>
      <c r="C1931" s="78"/>
      <c r="D1931" s="45"/>
      <c r="E1931" s="45"/>
      <c r="F1931" s="45"/>
      <c r="G1931" s="45"/>
    </row>
    <row r="1932">
      <c r="A1932" s="136"/>
      <c r="B1932" s="78"/>
      <c r="C1932" s="78"/>
      <c r="D1932" s="45"/>
      <c r="E1932" s="45"/>
      <c r="F1932" s="45"/>
      <c r="G1932" s="45"/>
    </row>
    <row r="1933">
      <c r="A1933" s="136"/>
      <c r="B1933" s="78"/>
      <c r="C1933" s="78"/>
      <c r="D1933" s="45"/>
      <c r="E1933" s="45"/>
      <c r="F1933" s="45"/>
      <c r="G1933" s="45"/>
    </row>
    <row r="1934">
      <c r="A1934" s="136"/>
      <c r="B1934" s="78"/>
      <c r="C1934" s="78"/>
      <c r="D1934" s="45"/>
      <c r="E1934" s="45"/>
      <c r="F1934" s="45"/>
      <c r="G1934" s="45"/>
    </row>
    <row r="1935">
      <c r="A1935" s="136"/>
      <c r="B1935" s="78"/>
      <c r="C1935" s="78"/>
      <c r="D1935" s="45"/>
      <c r="E1935" s="45"/>
      <c r="F1935" s="45"/>
      <c r="G1935" s="45"/>
    </row>
    <row r="1936">
      <c r="A1936" s="136"/>
      <c r="B1936" s="78"/>
      <c r="C1936" s="78"/>
      <c r="D1936" s="45"/>
      <c r="E1936" s="45"/>
      <c r="F1936" s="45"/>
      <c r="G1936" s="45"/>
    </row>
    <row r="1937">
      <c r="A1937" s="136"/>
      <c r="B1937" s="78"/>
      <c r="C1937" s="78"/>
      <c r="D1937" s="45"/>
      <c r="E1937" s="45"/>
      <c r="F1937" s="45"/>
      <c r="G1937" s="45"/>
    </row>
    <row r="1938">
      <c r="A1938" s="136"/>
      <c r="B1938" s="78"/>
      <c r="C1938" s="78"/>
      <c r="D1938" s="45"/>
      <c r="E1938" s="45"/>
      <c r="F1938" s="45"/>
      <c r="G1938" s="45"/>
    </row>
    <row r="1939">
      <c r="A1939" s="136"/>
      <c r="B1939" s="78"/>
      <c r="C1939" s="78"/>
      <c r="D1939" s="45"/>
      <c r="E1939" s="45"/>
      <c r="F1939" s="45"/>
      <c r="G1939" s="45"/>
    </row>
    <row r="1940">
      <c r="A1940" s="136"/>
      <c r="B1940" s="78"/>
      <c r="C1940" s="78"/>
      <c r="D1940" s="45"/>
      <c r="E1940" s="45"/>
      <c r="F1940" s="45"/>
      <c r="G1940" s="45"/>
    </row>
    <row r="1941">
      <c r="A1941" s="136"/>
      <c r="B1941" s="78"/>
      <c r="C1941" s="78"/>
      <c r="D1941" s="45"/>
      <c r="E1941" s="45"/>
      <c r="F1941" s="45"/>
      <c r="G1941" s="45"/>
    </row>
    <row r="1942">
      <c r="A1942" s="136"/>
      <c r="B1942" s="78"/>
      <c r="C1942" s="78"/>
      <c r="D1942" s="45"/>
      <c r="E1942" s="45"/>
      <c r="F1942" s="45"/>
      <c r="G1942" s="45"/>
    </row>
    <row r="1943">
      <c r="A1943" s="136"/>
      <c r="B1943" s="78"/>
      <c r="C1943" s="78"/>
      <c r="D1943" s="45"/>
      <c r="E1943" s="45"/>
      <c r="F1943" s="45"/>
      <c r="G1943" s="45"/>
    </row>
    <row r="1944">
      <c r="A1944" s="136"/>
      <c r="B1944" s="78"/>
      <c r="C1944" s="78"/>
      <c r="D1944" s="45"/>
      <c r="E1944" s="45"/>
      <c r="F1944" s="45"/>
      <c r="G1944" s="45"/>
    </row>
    <row r="1945">
      <c r="A1945" s="136"/>
      <c r="B1945" s="78"/>
      <c r="C1945" s="78"/>
      <c r="D1945" s="45"/>
      <c r="E1945" s="45"/>
      <c r="F1945" s="45"/>
      <c r="G1945" s="45"/>
    </row>
    <row r="1946">
      <c r="A1946" s="136"/>
      <c r="B1946" s="78"/>
      <c r="C1946" s="78"/>
      <c r="D1946" s="45"/>
      <c r="E1946" s="45"/>
      <c r="F1946" s="45"/>
      <c r="G1946" s="45"/>
    </row>
    <row r="1947">
      <c r="A1947" s="136"/>
      <c r="B1947" s="78"/>
      <c r="C1947" s="78"/>
      <c r="D1947" s="45"/>
      <c r="E1947" s="45"/>
      <c r="F1947" s="45"/>
      <c r="G1947" s="45"/>
    </row>
    <row r="1948">
      <c r="A1948" s="136"/>
      <c r="B1948" s="78"/>
      <c r="C1948" s="78"/>
      <c r="D1948" s="45"/>
      <c r="E1948" s="45"/>
      <c r="F1948" s="45"/>
      <c r="G1948" s="45"/>
    </row>
    <row r="1949">
      <c r="A1949" s="136"/>
      <c r="B1949" s="78"/>
      <c r="C1949" s="78"/>
      <c r="D1949" s="45"/>
      <c r="E1949" s="45"/>
      <c r="F1949" s="45"/>
      <c r="G1949" s="45"/>
    </row>
    <row r="1950">
      <c r="A1950" s="136"/>
      <c r="B1950" s="78"/>
      <c r="C1950" s="78"/>
      <c r="D1950" s="45"/>
      <c r="E1950" s="45"/>
      <c r="F1950" s="45"/>
      <c r="G1950" s="45"/>
    </row>
    <row r="1951">
      <c r="A1951" s="136"/>
      <c r="B1951" s="78"/>
      <c r="C1951" s="78"/>
      <c r="D1951" s="45"/>
      <c r="E1951" s="45"/>
      <c r="F1951" s="45"/>
      <c r="G1951" s="45"/>
    </row>
    <row r="1952">
      <c r="A1952" s="136"/>
      <c r="B1952" s="78"/>
      <c r="C1952" s="78"/>
      <c r="D1952" s="45"/>
      <c r="E1952" s="45"/>
      <c r="F1952" s="45"/>
      <c r="G1952" s="45"/>
    </row>
    <row r="1953">
      <c r="A1953" s="136"/>
      <c r="B1953" s="78"/>
      <c r="C1953" s="78"/>
      <c r="D1953" s="45"/>
      <c r="E1953" s="45"/>
      <c r="F1953" s="45"/>
      <c r="G1953" s="45"/>
    </row>
    <row r="1954">
      <c r="A1954" s="136"/>
      <c r="B1954" s="78"/>
      <c r="C1954" s="78"/>
      <c r="D1954" s="45"/>
      <c r="E1954" s="45"/>
      <c r="F1954" s="45"/>
      <c r="G1954" s="45"/>
    </row>
    <row r="1955">
      <c r="A1955" s="136"/>
      <c r="B1955" s="78"/>
      <c r="C1955" s="78"/>
      <c r="D1955" s="45"/>
      <c r="E1955" s="45"/>
      <c r="F1955" s="45"/>
      <c r="G1955" s="45"/>
    </row>
    <row r="1956">
      <c r="A1956" s="136"/>
      <c r="B1956" s="78"/>
      <c r="C1956" s="78"/>
      <c r="D1956" s="45"/>
      <c r="E1956" s="45"/>
      <c r="F1956" s="45"/>
      <c r="G1956" s="45"/>
    </row>
    <row r="1957">
      <c r="A1957" s="136"/>
      <c r="B1957" s="78"/>
      <c r="C1957" s="78"/>
      <c r="D1957" s="45"/>
      <c r="E1957" s="45"/>
      <c r="F1957" s="45"/>
      <c r="G1957" s="45"/>
    </row>
    <row r="1958">
      <c r="A1958" s="136"/>
      <c r="B1958" s="78"/>
      <c r="C1958" s="78"/>
      <c r="D1958" s="45"/>
      <c r="E1958" s="45"/>
      <c r="F1958" s="45"/>
      <c r="G1958" s="45"/>
    </row>
    <row r="1959">
      <c r="A1959" s="136"/>
      <c r="B1959" s="78"/>
      <c r="C1959" s="78"/>
      <c r="D1959" s="45"/>
      <c r="E1959" s="45"/>
      <c r="F1959" s="45"/>
      <c r="G1959" s="45"/>
    </row>
    <row r="1960">
      <c r="A1960" s="136"/>
      <c r="B1960" s="78"/>
      <c r="C1960" s="78"/>
      <c r="D1960" s="45"/>
      <c r="E1960" s="45"/>
      <c r="F1960" s="45"/>
      <c r="G1960" s="45"/>
    </row>
    <row r="1961">
      <c r="A1961" s="136"/>
      <c r="B1961" s="78"/>
      <c r="C1961" s="78"/>
      <c r="D1961" s="45"/>
      <c r="E1961" s="45"/>
      <c r="F1961" s="45"/>
      <c r="G1961" s="45"/>
    </row>
    <row r="1962">
      <c r="A1962" s="136"/>
      <c r="B1962" s="78"/>
      <c r="C1962" s="78"/>
      <c r="D1962" s="45"/>
      <c r="E1962" s="45"/>
      <c r="F1962" s="45"/>
      <c r="G1962" s="45"/>
    </row>
    <row r="1963">
      <c r="A1963" s="136"/>
      <c r="B1963" s="78"/>
      <c r="C1963" s="78"/>
      <c r="D1963" s="45"/>
      <c r="E1963" s="45"/>
      <c r="F1963" s="45"/>
      <c r="G1963" s="45"/>
    </row>
    <row r="1964">
      <c r="A1964" s="136"/>
      <c r="B1964" s="78"/>
      <c r="C1964" s="78"/>
      <c r="D1964" s="45"/>
      <c r="E1964" s="45"/>
      <c r="F1964" s="45"/>
      <c r="G1964" s="45"/>
    </row>
    <row r="1965">
      <c r="A1965" s="136"/>
      <c r="B1965" s="78"/>
      <c r="C1965" s="78"/>
      <c r="D1965" s="45"/>
      <c r="E1965" s="45"/>
      <c r="F1965" s="45"/>
      <c r="G1965" s="45"/>
    </row>
    <row r="1966">
      <c r="A1966" s="136"/>
      <c r="B1966" s="78"/>
      <c r="C1966" s="78"/>
      <c r="D1966" s="45"/>
      <c r="E1966" s="45"/>
      <c r="F1966" s="45"/>
      <c r="G1966" s="45"/>
    </row>
    <row r="1967">
      <c r="A1967" s="136"/>
      <c r="B1967" s="78"/>
      <c r="C1967" s="78"/>
      <c r="D1967" s="45"/>
      <c r="E1967" s="45"/>
      <c r="F1967" s="45"/>
      <c r="G1967" s="45"/>
    </row>
    <row r="1968">
      <c r="A1968" s="136"/>
      <c r="B1968" s="78"/>
      <c r="C1968" s="78"/>
      <c r="D1968" s="45"/>
      <c r="E1968" s="45"/>
      <c r="F1968" s="45"/>
      <c r="G1968" s="45"/>
    </row>
    <row r="1969">
      <c r="A1969" s="136"/>
      <c r="B1969" s="78"/>
      <c r="C1969" s="78"/>
      <c r="D1969" s="45"/>
      <c r="E1969" s="45"/>
      <c r="F1969" s="45"/>
      <c r="G1969" s="45"/>
    </row>
    <row r="1970">
      <c r="A1970" s="136"/>
      <c r="B1970" s="78"/>
      <c r="C1970" s="78"/>
      <c r="D1970" s="45"/>
      <c r="E1970" s="45"/>
      <c r="F1970" s="45"/>
      <c r="G1970" s="45"/>
    </row>
    <row r="1971">
      <c r="A1971" s="136"/>
      <c r="B1971" s="78"/>
      <c r="C1971" s="78"/>
      <c r="D1971" s="45"/>
      <c r="E1971" s="45"/>
      <c r="F1971" s="45"/>
      <c r="G1971" s="45"/>
    </row>
    <row r="1972">
      <c r="A1972" s="136"/>
      <c r="B1972" s="78"/>
      <c r="C1972" s="78"/>
      <c r="D1972" s="45"/>
      <c r="E1972" s="45"/>
      <c r="F1972" s="45"/>
      <c r="G1972" s="45"/>
    </row>
    <row r="1973">
      <c r="A1973" s="136"/>
      <c r="B1973" s="78"/>
      <c r="C1973" s="78"/>
      <c r="D1973" s="45"/>
      <c r="E1973" s="45"/>
      <c r="F1973" s="45"/>
      <c r="G1973" s="45"/>
    </row>
    <row r="1974">
      <c r="A1974" s="136"/>
      <c r="B1974" s="78"/>
      <c r="C1974" s="78"/>
      <c r="D1974" s="45"/>
      <c r="E1974" s="45"/>
      <c r="F1974" s="45"/>
      <c r="G1974" s="45"/>
    </row>
    <row r="1975">
      <c r="A1975" s="136"/>
      <c r="B1975" s="78"/>
      <c r="C1975" s="78"/>
      <c r="D1975" s="45"/>
      <c r="E1975" s="45"/>
      <c r="F1975" s="45"/>
      <c r="G1975" s="45"/>
    </row>
    <row r="1976">
      <c r="A1976" s="136"/>
      <c r="B1976" s="78"/>
      <c r="C1976" s="78"/>
      <c r="D1976" s="45"/>
      <c r="E1976" s="45"/>
      <c r="F1976" s="45"/>
      <c r="G1976" s="45"/>
    </row>
    <row r="1977">
      <c r="A1977" s="136"/>
      <c r="B1977" s="78"/>
      <c r="C1977" s="78"/>
      <c r="D1977" s="45"/>
      <c r="E1977" s="45"/>
      <c r="F1977" s="45"/>
      <c r="G1977" s="45"/>
    </row>
    <row r="1978">
      <c r="A1978" s="136"/>
      <c r="B1978" s="78"/>
      <c r="C1978" s="78"/>
      <c r="D1978" s="45"/>
      <c r="E1978" s="45"/>
      <c r="F1978" s="45"/>
      <c r="G1978" s="45"/>
    </row>
    <row r="1979">
      <c r="A1979" s="136"/>
      <c r="B1979" s="78"/>
      <c r="C1979" s="78"/>
      <c r="D1979" s="45"/>
      <c r="E1979" s="45"/>
      <c r="F1979" s="45"/>
      <c r="G1979" s="45"/>
    </row>
    <row r="1980">
      <c r="A1980" s="136"/>
      <c r="B1980" s="78"/>
      <c r="C1980" s="78"/>
      <c r="D1980" s="45"/>
      <c r="E1980" s="45"/>
      <c r="F1980" s="45"/>
      <c r="G1980" s="45"/>
    </row>
    <row r="1981">
      <c r="A1981" s="136"/>
      <c r="B1981" s="78"/>
      <c r="C1981" s="78"/>
      <c r="D1981" s="45"/>
      <c r="E1981" s="45"/>
      <c r="F1981" s="45"/>
      <c r="G1981" s="45"/>
    </row>
    <row r="1982">
      <c r="A1982" s="136"/>
      <c r="B1982" s="78"/>
      <c r="C1982" s="78"/>
      <c r="D1982" s="45"/>
      <c r="E1982" s="45"/>
      <c r="F1982" s="45"/>
      <c r="G1982" s="45"/>
    </row>
    <row r="1983">
      <c r="A1983" s="136"/>
      <c r="B1983" s="78"/>
      <c r="C1983" s="78"/>
      <c r="D1983" s="45"/>
      <c r="E1983" s="45"/>
      <c r="F1983" s="45"/>
      <c r="G1983" s="45"/>
    </row>
    <row r="1984">
      <c r="A1984" s="136"/>
      <c r="B1984" s="78"/>
      <c r="C1984" s="78"/>
      <c r="D1984" s="45"/>
      <c r="E1984" s="45"/>
      <c r="F1984" s="45"/>
      <c r="G1984" s="45"/>
    </row>
    <row r="1985">
      <c r="A1985" s="136"/>
      <c r="B1985" s="78"/>
      <c r="C1985" s="78"/>
      <c r="D1985" s="45"/>
      <c r="E1985" s="45"/>
      <c r="F1985" s="45"/>
      <c r="G1985" s="45"/>
    </row>
    <row r="1986">
      <c r="A1986" s="136"/>
      <c r="B1986" s="78"/>
      <c r="C1986" s="78"/>
      <c r="D1986" s="45"/>
      <c r="E1986" s="45"/>
      <c r="F1986" s="45"/>
      <c r="G1986" s="45"/>
    </row>
    <row r="1987">
      <c r="A1987" s="136"/>
      <c r="B1987" s="78"/>
      <c r="C1987" s="78"/>
      <c r="D1987" s="45"/>
      <c r="E1987" s="45"/>
      <c r="F1987" s="45"/>
      <c r="G1987" s="45"/>
    </row>
    <row r="1988">
      <c r="A1988" s="136"/>
      <c r="B1988" s="78"/>
      <c r="C1988" s="78"/>
      <c r="D1988" s="45"/>
      <c r="E1988" s="45"/>
      <c r="F1988" s="45"/>
      <c r="G1988" s="45"/>
    </row>
    <row r="1989">
      <c r="A1989" s="136"/>
      <c r="B1989" s="78"/>
      <c r="C1989" s="78"/>
      <c r="D1989" s="45"/>
      <c r="E1989" s="45"/>
      <c r="F1989" s="45"/>
      <c r="G1989" s="45"/>
    </row>
    <row r="1990">
      <c r="A1990" s="136"/>
      <c r="B1990" s="78"/>
      <c r="C1990" s="78"/>
      <c r="D1990" s="45"/>
      <c r="E1990" s="45"/>
      <c r="F1990" s="45"/>
      <c r="G1990" s="45"/>
    </row>
    <row r="1991">
      <c r="A1991" s="136"/>
      <c r="B1991" s="78"/>
      <c r="C1991" s="78"/>
      <c r="D1991" s="45"/>
      <c r="E1991" s="45"/>
      <c r="F1991" s="45"/>
      <c r="G1991" s="45"/>
    </row>
    <row r="1992">
      <c r="A1992" s="136"/>
      <c r="B1992" s="78"/>
      <c r="C1992" s="78"/>
      <c r="D1992" s="45"/>
      <c r="E1992" s="45"/>
      <c r="F1992" s="45"/>
      <c r="G1992" s="45"/>
    </row>
    <row r="1993">
      <c r="A1993" s="136"/>
      <c r="B1993" s="78"/>
      <c r="C1993" s="78"/>
      <c r="D1993" s="45"/>
      <c r="E1993" s="45"/>
      <c r="F1993" s="45"/>
      <c r="G1993" s="45"/>
    </row>
    <row r="1994">
      <c r="A1994" s="136"/>
      <c r="B1994" s="78"/>
      <c r="C1994" s="78"/>
      <c r="D1994" s="45"/>
      <c r="E1994" s="45"/>
      <c r="F1994" s="45"/>
      <c r="G1994" s="45"/>
    </row>
    <row r="1995">
      <c r="A1995" s="136"/>
      <c r="B1995" s="78"/>
      <c r="C1995" s="78"/>
      <c r="D1995" s="45"/>
      <c r="E1995" s="45"/>
      <c r="F1995" s="45"/>
      <c r="G1995" s="45"/>
    </row>
    <row r="1996">
      <c r="A1996" s="136"/>
      <c r="B1996" s="78"/>
      <c r="C1996" s="78"/>
      <c r="D1996" s="45"/>
      <c r="E1996" s="45"/>
      <c r="F1996" s="45"/>
      <c r="G1996" s="45"/>
    </row>
    <row r="1997">
      <c r="A1997" s="136"/>
      <c r="B1997" s="78"/>
      <c r="C1997" s="78"/>
      <c r="D1997" s="45"/>
      <c r="E1997" s="45"/>
      <c r="F1997" s="45"/>
      <c r="G1997" s="45"/>
    </row>
    <row r="1998">
      <c r="A1998" s="136"/>
      <c r="B1998" s="78"/>
      <c r="C1998" s="78"/>
      <c r="D1998" s="45"/>
      <c r="E1998" s="45"/>
      <c r="F1998" s="45"/>
      <c r="G1998" s="45"/>
    </row>
    <row r="1999">
      <c r="A1999" s="136"/>
      <c r="B1999" s="78"/>
      <c r="C1999" s="78"/>
      <c r="D1999" s="45"/>
      <c r="E1999" s="45"/>
      <c r="F1999" s="45"/>
      <c r="G1999" s="45"/>
    </row>
    <row r="2000">
      <c r="A2000" s="136"/>
      <c r="B2000" s="78"/>
      <c r="C2000" s="78"/>
      <c r="D2000" s="45"/>
      <c r="E2000" s="45"/>
      <c r="F2000" s="45"/>
      <c r="G2000" s="45"/>
    </row>
    <row r="2001">
      <c r="A2001" s="136"/>
      <c r="B2001" s="78"/>
      <c r="C2001" s="78"/>
      <c r="D2001" s="45"/>
      <c r="E2001" s="45"/>
      <c r="F2001" s="45"/>
      <c r="G2001" s="45"/>
    </row>
    <row r="2002">
      <c r="A2002" s="136"/>
      <c r="B2002" s="78"/>
      <c r="C2002" s="78"/>
      <c r="D2002" s="45"/>
      <c r="E2002" s="45"/>
      <c r="F2002" s="45"/>
      <c r="G2002" s="45"/>
    </row>
    <row r="2003">
      <c r="A2003" s="136"/>
      <c r="B2003" s="78"/>
      <c r="C2003" s="78"/>
      <c r="D2003" s="45"/>
      <c r="E2003" s="45"/>
      <c r="F2003" s="45"/>
      <c r="G2003" s="45"/>
    </row>
    <row r="2004">
      <c r="A2004" s="136"/>
      <c r="B2004" s="78"/>
      <c r="C2004" s="78"/>
      <c r="D2004" s="45"/>
      <c r="E2004" s="45"/>
      <c r="F2004" s="45"/>
      <c r="G2004" s="45"/>
    </row>
    <row r="2005">
      <c r="A2005" s="136"/>
      <c r="B2005" s="78"/>
      <c r="C2005" s="78"/>
      <c r="D2005" s="45"/>
      <c r="E2005" s="45"/>
      <c r="F2005" s="45"/>
      <c r="G2005" s="45"/>
    </row>
    <row r="2006">
      <c r="A2006" s="136"/>
      <c r="B2006" s="78"/>
      <c r="C2006" s="78"/>
      <c r="D2006" s="45"/>
      <c r="E2006" s="45"/>
      <c r="F2006" s="45"/>
      <c r="G2006" s="45"/>
    </row>
    <row r="2007">
      <c r="A2007" s="136"/>
      <c r="B2007" s="78"/>
      <c r="C2007" s="78"/>
      <c r="D2007" s="45"/>
      <c r="E2007" s="45"/>
      <c r="F2007" s="45"/>
      <c r="G2007" s="45"/>
    </row>
    <row r="2008">
      <c r="A2008" s="136"/>
      <c r="B2008" s="78"/>
      <c r="C2008" s="78"/>
      <c r="D2008" s="45"/>
      <c r="E2008" s="45"/>
      <c r="F2008" s="45"/>
      <c r="G2008" s="45"/>
    </row>
    <row r="2009">
      <c r="A2009" s="136"/>
      <c r="B2009" s="78"/>
      <c r="C2009" s="78"/>
      <c r="D2009" s="45"/>
      <c r="E2009" s="45"/>
      <c r="F2009" s="45"/>
      <c r="G2009" s="45"/>
    </row>
    <row r="2010">
      <c r="A2010" s="136"/>
      <c r="B2010" s="78"/>
      <c r="C2010" s="78"/>
      <c r="D2010" s="45"/>
      <c r="E2010" s="45"/>
      <c r="F2010" s="45"/>
      <c r="G2010" s="45"/>
    </row>
    <row r="2011">
      <c r="A2011" s="136"/>
      <c r="B2011" s="78"/>
      <c r="C2011" s="78"/>
      <c r="D2011" s="45"/>
      <c r="E2011" s="45"/>
      <c r="F2011" s="45"/>
      <c r="G2011" s="45"/>
    </row>
    <row r="2012">
      <c r="A2012" s="136"/>
      <c r="B2012" s="78"/>
      <c r="C2012" s="78"/>
      <c r="D2012" s="45"/>
      <c r="E2012" s="45"/>
      <c r="F2012" s="45"/>
      <c r="G2012" s="45"/>
    </row>
    <row r="2013">
      <c r="A2013" s="136"/>
      <c r="B2013" s="78"/>
      <c r="C2013" s="78"/>
      <c r="D2013" s="45"/>
      <c r="E2013" s="45"/>
      <c r="F2013" s="45"/>
      <c r="G2013" s="45"/>
    </row>
    <row r="2014">
      <c r="A2014" s="136"/>
      <c r="B2014" s="78"/>
      <c r="C2014" s="78"/>
      <c r="D2014" s="45"/>
      <c r="E2014" s="45"/>
      <c r="F2014" s="45"/>
      <c r="G2014" s="45"/>
    </row>
    <row r="2015">
      <c r="A2015" s="136"/>
      <c r="B2015" s="78"/>
      <c r="C2015" s="78"/>
      <c r="D2015" s="45"/>
      <c r="E2015" s="45"/>
      <c r="F2015" s="45"/>
      <c r="G2015" s="45"/>
    </row>
    <row r="2016">
      <c r="A2016" s="136"/>
      <c r="B2016" s="78"/>
      <c r="C2016" s="78"/>
      <c r="D2016" s="45"/>
      <c r="E2016" s="45"/>
      <c r="F2016" s="45"/>
      <c r="G2016" s="45"/>
    </row>
    <row r="2017">
      <c r="A2017" s="136"/>
      <c r="B2017" s="78"/>
      <c r="C2017" s="78"/>
      <c r="D2017" s="45"/>
      <c r="E2017" s="45"/>
      <c r="F2017" s="45"/>
      <c r="G2017" s="45"/>
    </row>
    <row r="2018">
      <c r="A2018" s="136"/>
      <c r="B2018" s="78"/>
      <c r="C2018" s="78"/>
      <c r="D2018" s="45"/>
      <c r="E2018" s="45"/>
      <c r="F2018" s="45"/>
      <c r="G2018" s="45"/>
    </row>
    <row r="2019">
      <c r="A2019" s="136"/>
      <c r="B2019" s="78"/>
      <c r="C2019" s="78"/>
      <c r="D2019" s="45"/>
      <c r="E2019" s="45"/>
      <c r="F2019" s="45"/>
      <c r="G2019" s="45"/>
    </row>
    <row r="2020">
      <c r="A2020" s="136"/>
      <c r="B2020" s="78"/>
      <c r="C2020" s="78"/>
      <c r="D2020" s="45"/>
      <c r="E2020" s="45"/>
      <c r="F2020" s="45"/>
      <c r="G2020" s="45"/>
    </row>
    <row r="2021">
      <c r="A2021" s="136"/>
      <c r="B2021" s="78"/>
      <c r="C2021" s="78"/>
      <c r="D2021" s="45"/>
      <c r="E2021" s="45"/>
      <c r="F2021" s="45"/>
      <c r="G2021" s="45"/>
    </row>
    <row r="2022">
      <c r="A2022" s="136"/>
      <c r="B2022" s="78"/>
      <c r="C2022" s="78"/>
      <c r="D2022" s="45"/>
      <c r="E2022" s="45"/>
      <c r="F2022" s="45"/>
      <c r="G2022" s="45"/>
    </row>
    <row r="2023">
      <c r="A2023" s="136"/>
      <c r="B2023" s="78"/>
      <c r="C2023" s="78"/>
      <c r="D2023" s="45"/>
      <c r="E2023" s="45"/>
      <c r="F2023" s="45"/>
      <c r="G2023" s="45"/>
    </row>
    <row r="2024">
      <c r="A2024" s="136"/>
      <c r="B2024" s="78"/>
      <c r="C2024" s="78"/>
      <c r="D2024" s="45"/>
      <c r="E2024" s="45"/>
      <c r="F2024" s="45"/>
      <c r="G2024" s="45"/>
    </row>
    <row r="2025">
      <c r="A2025" s="136"/>
      <c r="B2025" s="78"/>
      <c r="C2025" s="78"/>
      <c r="D2025" s="45"/>
      <c r="E2025" s="45"/>
      <c r="F2025" s="45"/>
      <c r="G2025" s="45"/>
    </row>
    <row r="2026">
      <c r="A2026" s="136"/>
      <c r="B2026" s="78"/>
      <c r="C2026" s="78"/>
      <c r="D2026" s="45"/>
      <c r="E2026" s="45"/>
      <c r="F2026" s="45"/>
      <c r="G2026" s="45"/>
    </row>
    <row r="2027">
      <c r="A2027" s="136"/>
      <c r="B2027" s="78"/>
      <c r="C2027" s="78"/>
      <c r="D2027" s="45"/>
      <c r="E2027" s="45"/>
      <c r="F2027" s="45"/>
      <c r="G2027" s="45"/>
    </row>
    <row r="2028">
      <c r="A2028" s="136"/>
      <c r="B2028" s="78"/>
      <c r="C2028" s="78"/>
      <c r="D2028" s="45"/>
      <c r="E2028" s="45"/>
      <c r="F2028" s="45"/>
      <c r="G2028" s="45"/>
    </row>
    <row r="2029">
      <c r="A2029" s="136"/>
      <c r="B2029" s="78"/>
      <c r="C2029" s="78"/>
      <c r="D2029" s="45"/>
      <c r="E2029" s="45"/>
      <c r="F2029" s="45"/>
      <c r="G2029" s="45"/>
    </row>
    <row r="2030">
      <c r="A2030" s="136"/>
      <c r="B2030" s="78"/>
      <c r="C2030" s="78"/>
      <c r="D2030" s="45"/>
      <c r="E2030" s="45"/>
      <c r="F2030" s="45"/>
      <c r="G2030" s="45"/>
    </row>
    <row r="2031">
      <c r="A2031" s="136"/>
      <c r="B2031" s="78"/>
      <c r="C2031" s="78"/>
      <c r="D2031" s="45"/>
      <c r="E2031" s="45"/>
      <c r="F2031" s="45"/>
      <c r="G2031" s="45"/>
    </row>
    <row r="2032">
      <c r="A2032" s="136"/>
      <c r="B2032" s="78"/>
      <c r="C2032" s="78"/>
      <c r="D2032" s="45"/>
      <c r="E2032" s="45"/>
      <c r="F2032" s="45"/>
      <c r="G2032" s="45"/>
    </row>
    <row r="2033">
      <c r="A2033" s="136"/>
      <c r="B2033" s="78"/>
      <c r="C2033" s="78"/>
      <c r="D2033" s="45"/>
      <c r="E2033" s="45"/>
      <c r="F2033" s="45"/>
      <c r="G2033" s="45"/>
    </row>
    <row r="2034">
      <c r="A2034" s="136"/>
      <c r="B2034" s="78"/>
      <c r="C2034" s="78"/>
      <c r="D2034" s="45"/>
      <c r="E2034" s="45"/>
      <c r="F2034" s="45"/>
      <c r="G2034" s="45"/>
    </row>
    <row r="2035">
      <c r="A2035" s="136"/>
      <c r="B2035" s="78"/>
      <c r="C2035" s="78"/>
      <c r="D2035" s="45"/>
      <c r="E2035" s="45"/>
      <c r="F2035" s="45"/>
      <c r="G2035" s="45"/>
    </row>
    <row r="2036">
      <c r="A2036" s="136"/>
      <c r="B2036" s="78"/>
      <c r="C2036" s="78"/>
      <c r="D2036" s="45"/>
      <c r="E2036" s="45"/>
      <c r="F2036" s="45"/>
      <c r="G2036" s="45"/>
    </row>
    <row r="2037">
      <c r="A2037" s="136"/>
      <c r="B2037" s="78"/>
      <c r="C2037" s="78"/>
      <c r="D2037" s="45"/>
      <c r="E2037" s="45"/>
      <c r="F2037" s="45"/>
      <c r="G2037" s="45"/>
    </row>
    <row r="2038">
      <c r="A2038" s="136"/>
      <c r="B2038" s="78"/>
      <c r="C2038" s="78"/>
      <c r="D2038" s="45"/>
      <c r="E2038" s="45"/>
      <c r="F2038" s="45"/>
      <c r="G2038" s="45"/>
    </row>
    <row r="2039">
      <c r="A2039" s="136"/>
      <c r="B2039" s="78"/>
      <c r="C2039" s="78"/>
      <c r="D2039" s="45"/>
      <c r="E2039" s="45"/>
      <c r="F2039" s="45"/>
      <c r="G2039" s="45"/>
    </row>
    <row r="2040">
      <c r="A2040" s="136"/>
      <c r="B2040" s="78"/>
      <c r="C2040" s="78"/>
      <c r="D2040" s="45"/>
      <c r="E2040" s="45"/>
      <c r="F2040" s="45"/>
      <c r="G2040" s="45"/>
    </row>
    <row r="2041">
      <c r="A2041" s="136"/>
      <c r="B2041" s="78"/>
      <c r="C2041" s="78"/>
      <c r="D2041" s="45"/>
      <c r="E2041" s="45"/>
      <c r="F2041" s="45"/>
      <c r="G2041" s="45"/>
    </row>
    <row r="2042">
      <c r="A2042" s="136"/>
      <c r="B2042" s="78"/>
      <c r="C2042" s="78"/>
      <c r="D2042" s="45"/>
      <c r="E2042" s="45"/>
      <c r="F2042" s="45"/>
      <c r="G2042" s="45"/>
    </row>
    <row r="2043">
      <c r="A2043" s="136"/>
      <c r="B2043" s="78"/>
      <c r="C2043" s="78"/>
      <c r="D2043" s="45"/>
      <c r="E2043" s="45"/>
      <c r="F2043" s="45"/>
      <c r="G2043" s="45"/>
    </row>
    <row r="2044">
      <c r="A2044" s="136"/>
      <c r="B2044" s="78"/>
      <c r="C2044" s="78"/>
      <c r="D2044" s="45"/>
      <c r="E2044" s="45"/>
      <c r="F2044" s="45"/>
      <c r="G2044" s="45"/>
    </row>
    <row r="2045">
      <c r="A2045" s="136"/>
      <c r="B2045" s="78"/>
      <c r="C2045" s="78"/>
      <c r="D2045" s="45"/>
      <c r="E2045" s="45"/>
      <c r="F2045" s="45"/>
      <c r="G2045" s="45"/>
    </row>
    <row r="2046">
      <c r="A2046" s="136"/>
      <c r="B2046" s="78"/>
      <c r="C2046" s="78"/>
      <c r="D2046" s="45"/>
      <c r="E2046" s="45"/>
      <c r="F2046" s="45"/>
      <c r="G2046" s="45"/>
    </row>
    <row r="2047">
      <c r="A2047" s="136"/>
      <c r="B2047" s="78"/>
      <c r="C2047" s="78"/>
      <c r="D2047" s="45"/>
      <c r="E2047" s="45"/>
      <c r="F2047" s="45"/>
      <c r="G2047" s="45"/>
    </row>
    <row r="2048">
      <c r="A2048" s="136"/>
      <c r="B2048" s="78"/>
      <c r="C2048" s="78"/>
      <c r="D2048" s="45"/>
      <c r="E2048" s="45"/>
      <c r="F2048" s="45"/>
      <c r="G2048" s="45"/>
    </row>
    <row r="2049">
      <c r="A2049" s="136"/>
      <c r="B2049" s="78"/>
      <c r="C2049" s="78"/>
      <c r="D2049" s="45"/>
      <c r="E2049" s="45"/>
      <c r="F2049" s="45"/>
      <c r="G2049" s="45"/>
    </row>
    <row r="2050">
      <c r="A2050" s="136"/>
      <c r="B2050" s="78"/>
      <c r="C2050" s="78"/>
      <c r="D2050" s="45"/>
      <c r="E2050" s="45"/>
      <c r="F2050" s="45"/>
      <c r="G2050" s="45"/>
    </row>
    <row r="2051">
      <c r="A2051" s="136"/>
      <c r="B2051" s="78"/>
      <c r="C2051" s="78"/>
      <c r="D2051" s="45"/>
      <c r="E2051" s="45"/>
      <c r="F2051" s="45"/>
      <c r="G2051" s="45"/>
    </row>
    <row r="2052">
      <c r="A2052" s="136"/>
      <c r="B2052" s="78"/>
      <c r="C2052" s="78"/>
      <c r="D2052" s="45"/>
      <c r="E2052" s="45"/>
      <c r="F2052" s="45"/>
      <c r="G2052" s="45"/>
    </row>
    <row r="2053">
      <c r="A2053" s="136"/>
      <c r="B2053" s="78"/>
      <c r="C2053" s="78"/>
      <c r="D2053" s="45"/>
      <c r="E2053" s="45"/>
      <c r="F2053" s="45"/>
      <c r="G2053" s="45"/>
    </row>
    <row r="2054">
      <c r="A2054" s="136"/>
      <c r="B2054" s="78"/>
      <c r="C2054" s="78"/>
      <c r="D2054" s="45"/>
      <c r="E2054" s="45"/>
      <c r="F2054" s="45"/>
      <c r="G2054" s="45"/>
    </row>
    <row r="2055">
      <c r="A2055" s="136"/>
      <c r="B2055" s="78"/>
      <c r="C2055" s="78"/>
      <c r="D2055" s="45"/>
      <c r="E2055" s="45"/>
      <c r="F2055" s="45"/>
      <c r="G2055" s="45"/>
    </row>
    <row r="2056">
      <c r="A2056" s="136"/>
      <c r="B2056" s="78"/>
      <c r="C2056" s="78"/>
      <c r="D2056" s="45"/>
      <c r="E2056" s="45"/>
      <c r="F2056" s="45"/>
      <c r="G2056" s="45"/>
    </row>
    <row r="2057">
      <c r="A2057" s="136"/>
      <c r="B2057" s="78"/>
      <c r="C2057" s="78"/>
      <c r="D2057" s="45"/>
      <c r="E2057" s="45"/>
      <c r="F2057" s="45"/>
      <c r="G2057" s="45"/>
    </row>
    <row r="2058">
      <c r="A2058" s="136"/>
      <c r="B2058" s="78"/>
      <c r="C2058" s="78"/>
      <c r="D2058" s="45"/>
      <c r="E2058" s="45"/>
      <c r="F2058" s="45"/>
      <c r="G2058" s="45"/>
    </row>
    <row r="2059">
      <c r="A2059" s="136"/>
      <c r="B2059" s="78"/>
      <c r="C2059" s="78"/>
      <c r="D2059" s="45"/>
      <c r="E2059" s="45"/>
      <c r="F2059" s="45"/>
      <c r="G2059" s="45"/>
    </row>
    <row r="2060">
      <c r="A2060" s="136"/>
      <c r="B2060" s="78"/>
      <c r="C2060" s="78"/>
      <c r="D2060" s="45"/>
      <c r="E2060" s="45"/>
      <c r="F2060" s="45"/>
      <c r="G2060" s="45"/>
    </row>
    <row r="2061">
      <c r="A2061" s="136"/>
      <c r="B2061" s="78"/>
      <c r="C2061" s="78"/>
      <c r="D2061" s="45"/>
      <c r="E2061" s="45"/>
      <c r="F2061" s="45"/>
      <c r="G2061" s="45"/>
    </row>
    <row r="2062">
      <c r="A2062" s="136"/>
      <c r="B2062" s="78"/>
      <c r="C2062" s="78"/>
      <c r="D2062" s="45"/>
      <c r="E2062" s="45"/>
      <c r="F2062" s="45"/>
      <c r="G2062" s="45"/>
    </row>
    <row r="2063">
      <c r="A2063" s="136"/>
      <c r="B2063" s="78"/>
      <c r="C2063" s="78"/>
      <c r="D2063" s="45"/>
      <c r="E2063" s="45"/>
      <c r="F2063" s="45"/>
      <c r="G2063" s="45"/>
    </row>
    <row r="2064">
      <c r="A2064" s="136"/>
      <c r="B2064" s="78"/>
      <c r="C2064" s="78"/>
      <c r="D2064" s="45"/>
      <c r="E2064" s="45"/>
      <c r="F2064" s="45"/>
      <c r="G2064" s="45"/>
    </row>
    <row r="2065">
      <c r="A2065" s="136"/>
      <c r="B2065" s="78"/>
      <c r="C2065" s="78"/>
      <c r="D2065" s="45"/>
      <c r="E2065" s="45"/>
      <c r="F2065" s="45"/>
      <c r="G2065" s="45"/>
    </row>
    <row r="2066">
      <c r="A2066" s="136"/>
      <c r="B2066" s="78"/>
      <c r="C2066" s="78"/>
      <c r="D2066" s="45"/>
      <c r="E2066" s="45"/>
      <c r="F2066" s="45"/>
      <c r="G2066" s="45"/>
    </row>
    <row r="2067">
      <c r="A2067" s="136"/>
      <c r="B2067" s="78"/>
      <c r="C2067" s="78"/>
      <c r="D2067" s="45"/>
      <c r="E2067" s="45"/>
      <c r="F2067" s="45"/>
      <c r="G2067" s="45"/>
    </row>
    <row r="2068">
      <c r="A2068" s="136"/>
      <c r="B2068" s="78"/>
      <c r="C2068" s="78"/>
      <c r="D2068" s="45"/>
      <c r="E2068" s="45"/>
      <c r="F2068" s="45"/>
      <c r="G2068" s="45"/>
    </row>
    <row r="2069">
      <c r="A2069" s="136"/>
      <c r="B2069" s="78"/>
      <c r="C2069" s="78"/>
      <c r="D2069" s="45"/>
      <c r="E2069" s="45"/>
      <c r="F2069" s="45"/>
      <c r="G2069" s="45"/>
    </row>
    <row r="2070">
      <c r="A2070" s="136"/>
      <c r="B2070" s="78"/>
      <c r="C2070" s="78"/>
      <c r="D2070" s="45"/>
      <c r="E2070" s="45"/>
      <c r="F2070" s="45"/>
      <c r="G2070" s="45"/>
    </row>
    <row r="2071">
      <c r="A2071" s="136"/>
      <c r="B2071" s="78"/>
      <c r="C2071" s="78"/>
      <c r="D2071" s="45"/>
      <c r="E2071" s="45"/>
      <c r="F2071" s="45"/>
      <c r="G2071" s="45"/>
    </row>
    <row r="2072">
      <c r="A2072" s="136"/>
      <c r="B2072" s="78"/>
      <c r="C2072" s="78"/>
      <c r="D2072" s="45"/>
      <c r="E2072" s="45"/>
      <c r="F2072" s="45"/>
      <c r="G2072" s="45"/>
    </row>
    <row r="2073">
      <c r="A2073" s="136"/>
      <c r="B2073" s="78"/>
      <c r="C2073" s="78"/>
      <c r="D2073" s="45"/>
      <c r="E2073" s="45"/>
      <c r="F2073" s="45"/>
      <c r="G2073" s="45"/>
    </row>
    <row r="2074">
      <c r="A2074" s="136"/>
      <c r="B2074" s="78"/>
      <c r="C2074" s="78"/>
      <c r="D2074" s="45"/>
      <c r="E2074" s="45"/>
      <c r="F2074" s="45"/>
      <c r="G2074" s="45"/>
    </row>
    <row r="2075">
      <c r="A2075" s="136"/>
      <c r="B2075" s="78"/>
      <c r="C2075" s="78"/>
      <c r="D2075" s="45"/>
      <c r="E2075" s="45"/>
      <c r="F2075" s="45"/>
      <c r="G2075" s="45"/>
    </row>
    <row r="2076">
      <c r="A2076" s="136"/>
      <c r="B2076" s="78"/>
      <c r="C2076" s="78"/>
      <c r="D2076" s="45"/>
      <c r="E2076" s="45"/>
      <c r="F2076" s="45"/>
      <c r="G2076" s="45"/>
    </row>
    <row r="2077">
      <c r="A2077" s="136"/>
      <c r="B2077" s="78"/>
      <c r="C2077" s="78"/>
      <c r="D2077" s="45"/>
      <c r="E2077" s="45"/>
      <c r="F2077" s="45"/>
      <c r="G2077" s="45"/>
    </row>
    <row r="2078">
      <c r="A2078" s="136"/>
      <c r="B2078" s="78"/>
      <c r="C2078" s="78"/>
      <c r="D2078" s="45"/>
      <c r="E2078" s="45"/>
      <c r="F2078" s="45"/>
      <c r="G2078" s="45"/>
    </row>
    <row r="2079">
      <c r="A2079" s="136"/>
      <c r="B2079" s="78"/>
      <c r="C2079" s="78"/>
      <c r="D2079" s="45"/>
      <c r="E2079" s="45"/>
      <c r="F2079" s="45"/>
      <c r="G2079" s="45"/>
    </row>
    <row r="2080">
      <c r="A2080" s="136"/>
      <c r="B2080" s="78"/>
      <c r="C2080" s="78"/>
      <c r="D2080" s="45"/>
      <c r="E2080" s="45"/>
      <c r="F2080" s="45"/>
      <c r="G2080" s="45"/>
    </row>
    <row r="2081">
      <c r="A2081" s="136"/>
      <c r="B2081" s="78"/>
      <c r="C2081" s="78"/>
      <c r="D2081" s="45"/>
      <c r="E2081" s="45"/>
      <c r="F2081" s="45"/>
      <c r="G2081" s="45"/>
    </row>
    <row r="2082">
      <c r="A2082" s="136"/>
      <c r="B2082" s="78"/>
      <c r="C2082" s="78"/>
      <c r="D2082" s="45"/>
      <c r="E2082" s="45"/>
      <c r="F2082" s="45"/>
      <c r="G2082" s="45"/>
    </row>
    <row r="2083">
      <c r="A2083" s="136"/>
      <c r="B2083" s="78"/>
      <c r="C2083" s="78"/>
      <c r="D2083" s="45"/>
      <c r="E2083" s="45"/>
      <c r="F2083" s="45"/>
      <c r="G2083" s="45"/>
    </row>
    <row r="2084">
      <c r="A2084" s="136"/>
      <c r="B2084" s="78"/>
      <c r="C2084" s="78"/>
      <c r="D2084" s="45"/>
      <c r="E2084" s="45"/>
      <c r="F2084" s="45"/>
      <c r="G2084" s="45"/>
    </row>
    <row r="2085">
      <c r="A2085" s="136"/>
      <c r="B2085" s="78"/>
      <c r="C2085" s="78"/>
      <c r="D2085" s="45"/>
      <c r="E2085" s="45"/>
      <c r="F2085" s="45"/>
      <c r="G2085" s="45"/>
    </row>
    <row r="2086">
      <c r="A2086" s="136"/>
      <c r="B2086" s="78"/>
      <c r="C2086" s="78"/>
      <c r="D2086" s="45"/>
      <c r="E2086" s="45"/>
      <c r="F2086" s="45"/>
      <c r="G2086" s="45"/>
    </row>
    <row r="2087">
      <c r="A2087" s="136"/>
      <c r="B2087" s="78"/>
      <c r="C2087" s="78"/>
      <c r="D2087" s="45"/>
      <c r="E2087" s="45"/>
      <c r="F2087" s="45"/>
      <c r="G2087" s="45"/>
    </row>
    <row r="2088">
      <c r="A2088" s="136"/>
      <c r="B2088" s="78"/>
      <c r="C2088" s="78"/>
      <c r="D2088" s="45"/>
      <c r="E2088" s="45"/>
      <c r="F2088" s="45"/>
      <c r="G2088" s="45"/>
    </row>
    <row r="2089">
      <c r="A2089" s="136"/>
      <c r="B2089" s="78"/>
      <c r="C2089" s="78"/>
      <c r="D2089" s="45"/>
      <c r="E2089" s="45"/>
      <c r="F2089" s="45"/>
      <c r="G2089" s="45"/>
    </row>
    <row r="2090">
      <c r="A2090" s="136"/>
      <c r="B2090" s="78"/>
      <c r="C2090" s="78"/>
      <c r="D2090" s="45"/>
      <c r="E2090" s="45"/>
      <c r="F2090" s="45"/>
      <c r="G2090" s="45"/>
    </row>
    <row r="2091">
      <c r="A2091" s="136"/>
      <c r="B2091" s="78"/>
      <c r="C2091" s="78"/>
      <c r="D2091" s="45"/>
      <c r="E2091" s="45"/>
      <c r="F2091" s="45"/>
      <c r="G2091" s="45"/>
    </row>
    <row r="2092">
      <c r="A2092" s="136"/>
      <c r="B2092" s="78"/>
      <c r="C2092" s="78"/>
      <c r="D2092" s="45"/>
      <c r="E2092" s="45"/>
      <c r="F2092" s="45"/>
      <c r="G2092" s="45"/>
    </row>
    <row r="2093">
      <c r="A2093" s="136"/>
      <c r="B2093" s="78"/>
      <c r="C2093" s="78"/>
      <c r="D2093" s="45"/>
      <c r="E2093" s="45"/>
      <c r="F2093" s="45"/>
      <c r="G2093" s="45"/>
    </row>
    <row r="2094">
      <c r="A2094" s="136"/>
      <c r="B2094" s="78"/>
      <c r="C2094" s="78"/>
      <c r="D2094" s="45"/>
      <c r="E2094" s="45"/>
      <c r="F2094" s="45"/>
      <c r="G2094" s="45"/>
    </row>
    <row r="2095">
      <c r="A2095" s="136"/>
      <c r="B2095" s="78"/>
      <c r="C2095" s="78"/>
      <c r="D2095" s="45"/>
      <c r="E2095" s="45"/>
      <c r="F2095" s="45"/>
      <c r="G2095" s="45"/>
    </row>
    <row r="2096">
      <c r="A2096" s="136"/>
      <c r="B2096" s="78"/>
      <c r="C2096" s="78"/>
      <c r="D2096" s="45"/>
      <c r="E2096" s="45"/>
      <c r="F2096" s="45"/>
      <c r="G2096" s="45"/>
    </row>
    <row r="2097">
      <c r="A2097" s="136"/>
      <c r="B2097" s="78"/>
      <c r="C2097" s="78"/>
      <c r="D2097" s="45"/>
      <c r="E2097" s="45"/>
      <c r="F2097" s="45"/>
      <c r="G2097" s="45"/>
    </row>
    <row r="2098">
      <c r="A2098" s="136"/>
      <c r="B2098" s="78"/>
      <c r="C2098" s="78"/>
      <c r="D2098" s="45"/>
      <c r="E2098" s="45"/>
      <c r="F2098" s="45"/>
      <c r="G2098" s="45"/>
    </row>
    <row r="2099">
      <c r="A2099" s="136"/>
      <c r="B2099" s="78"/>
      <c r="C2099" s="78"/>
      <c r="D2099" s="45"/>
      <c r="E2099" s="45"/>
      <c r="F2099" s="45"/>
      <c r="G2099" s="45"/>
    </row>
    <row r="2100">
      <c r="A2100" s="136"/>
      <c r="B2100" s="78"/>
      <c r="C2100" s="78"/>
      <c r="D2100" s="45"/>
      <c r="E2100" s="45"/>
      <c r="F2100" s="45"/>
      <c r="G2100" s="45"/>
    </row>
    <row r="2101">
      <c r="A2101" s="136"/>
      <c r="B2101" s="78"/>
      <c r="C2101" s="78"/>
      <c r="D2101" s="45"/>
      <c r="E2101" s="45"/>
      <c r="F2101" s="45"/>
      <c r="G2101" s="45"/>
    </row>
    <row r="2102">
      <c r="A2102" s="136"/>
      <c r="B2102" s="78"/>
      <c r="C2102" s="78"/>
      <c r="D2102" s="45"/>
      <c r="E2102" s="45"/>
      <c r="F2102" s="45"/>
      <c r="G2102" s="45"/>
    </row>
    <row r="2103">
      <c r="A2103" s="136"/>
      <c r="B2103" s="78"/>
      <c r="C2103" s="78"/>
      <c r="D2103" s="45"/>
      <c r="E2103" s="45"/>
      <c r="F2103" s="45"/>
      <c r="G2103" s="45"/>
    </row>
    <row r="2104">
      <c r="A2104" s="136"/>
      <c r="B2104" s="78"/>
      <c r="C2104" s="78"/>
      <c r="D2104" s="45"/>
      <c r="E2104" s="45"/>
      <c r="F2104" s="45"/>
      <c r="G2104" s="45"/>
    </row>
    <row r="2105">
      <c r="A2105" s="136"/>
      <c r="B2105" s="78"/>
      <c r="C2105" s="78"/>
      <c r="D2105" s="45"/>
      <c r="E2105" s="45"/>
      <c r="F2105" s="45"/>
      <c r="G2105" s="45"/>
    </row>
    <row r="2106">
      <c r="A2106" s="136"/>
      <c r="B2106" s="78"/>
      <c r="C2106" s="78"/>
      <c r="D2106" s="45"/>
      <c r="E2106" s="45"/>
      <c r="F2106" s="45"/>
      <c r="G2106" s="45"/>
    </row>
    <row r="2107">
      <c r="A2107" s="136"/>
      <c r="B2107" s="78"/>
      <c r="C2107" s="78"/>
      <c r="D2107" s="45"/>
      <c r="E2107" s="45"/>
      <c r="F2107" s="45"/>
      <c r="G2107" s="45"/>
    </row>
    <row r="2108">
      <c r="A2108" s="136"/>
      <c r="B2108" s="78"/>
      <c r="C2108" s="78"/>
      <c r="D2108" s="45"/>
      <c r="E2108" s="45"/>
      <c r="F2108" s="45"/>
      <c r="G2108" s="45"/>
    </row>
    <row r="2109">
      <c r="A2109" s="136"/>
      <c r="B2109" s="78"/>
      <c r="C2109" s="78"/>
      <c r="D2109" s="45"/>
      <c r="E2109" s="45"/>
      <c r="F2109" s="45"/>
      <c r="G2109" s="45"/>
    </row>
    <row r="2110">
      <c r="A2110" s="136"/>
      <c r="B2110" s="78"/>
      <c r="C2110" s="78"/>
      <c r="D2110" s="45"/>
      <c r="E2110" s="45"/>
      <c r="F2110" s="45"/>
      <c r="G2110" s="45"/>
    </row>
    <row r="2111">
      <c r="A2111" s="136"/>
      <c r="B2111" s="78"/>
      <c r="C2111" s="78"/>
      <c r="D2111" s="45"/>
      <c r="E2111" s="45"/>
      <c r="F2111" s="45"/>
      <c r="G2111" s="45"/>
    </row>
    <row r="2112">
      <c r="A2112" s="136"/>
      <c r="B2112" s="78"/>
      <c r="C2112" s="78"/>
      <c r="D2112" s="45"/>
      <c r="E2112" s="45"/>
      <c r="F2112" s="45"/>
      <c r="G2112" s="45"/>
    </row>
    <row r="2113">
      <c r="A2113" s="136"/>
      <c r="B2113" s="78"/>
      <c r="C2113" s="78"/>
      <c r="D2113" s="45"/>
      <c r="E2113" s="45"/>
      <c r="F2113" s="45"/>
      <c r="G2113" s="45"/>
    </row>
    <row r="2114">
      <c r="A2114" s="136"/>
      <c r="B2114" s="78"/>
      <c r="C2114" s="78"/>
      <c r="D2114" s="45"/>
      <c r="E2114" s="45"/>
      <c r="F2114" s="45"/>
      <c r="G2114" s="45"/>
    </row>
    <row r="2115">
      <c r="A2115" s="136"/>
      <c r="B2115" s="78"/>
      <c r="C2115" s="78"/>
      <c r="D2115" s="45"/>
      <c r="E2115" s="45"/>
      <c r="F2115" s="45"/>
      <c r="G2115" s="45"/>
    </row>
    <row r="2116">
      <c r="A2116" s="136"/>
      <c r="B2116" s="78"/>
      <c r="C2116" s="78"/>
      <c r="D2116" s="45"/>
      <c r="E2116" s="45"/>
      <c r="F2116" s="45"/>
      <c r="G2116" s="45"/>
    </row>
    <row r="2117">
      <c r="A2117" s="136"/>
      <c r="B2117" s="78"/>
      <c r="C2117" s="78"/>
      <c r="D2117" s="45"/>
      <c r="E2117" s="45"/>
      <c r="F2117" s="45"/>
      <c r="G2117" s="45"/>
    </row>
    <row r="2118">
      <c r="A2118" s="136"/>
      <c r="B2118" s="78"/>
      <c r="C2118" s="78"/>
      <c r="D2118" s="45"/>
      <c r="E2118" s="45"/>
      <c r="F2118" s="45"/>
      <c r="G2118" s="45"/>
    </row>
    <row r="2119">
      <c r="A2119" s="136"/>
      <c r="B2119" s="78"/>
      <c r="C2119" s="78"/>
      <c r="D2119" s="45"/>
      <c r="E2119" s="45"/>
      <c r="F2119" s="45"/>
      <c r="G2119" s="45"/>
    </row>
    <row r="2120">
      <c r="A2120" s="136"/>
      <c r="B2120" s="78"/>
      <c r="C2120" s="78"/>
      <c r="D2120" s="45"/>
      <c r="E2120" s="45"/>
      <c r="F2120" s="45"/>
      <c r="G2120" s="45"/>
    </row>
    <row r="2121">
      <c r="A2121" s="136"/>
      <c r="B2121" s="78"/>
      <c r="C2121" s="78"/>
      <c r="D2121" s="45"/>
      <c r="E2121" s="45"/>
      <c r="F2121" s="45"/>
      <c r="G2121" s="45"/>
    </row>
    <row r="2122">
      <c r="A2122" s="136"/>
      <c r="B2122" s="78"/>
      <c r="C2122" s="78"/>
      <c r="D2122" s="45"/>
      <c r="E2122" s="45"/>
      <c r="F2122" s="45"/>
      <c r="G2122" s="45"/>
    </row>
    <row r="2123">
      <c r="A2123" s="136"/>
      <c r="B2123" s="78"/>
      <c r="C2123" s="78"/>
      <c r="D2123" s="45"/>
      <c r="E2123" s="45"/>
      <c r="F2123" s="45"/>
      <c r="G2123" s="45"/>
    </row>
    <row r="2124">
      <c r="A2124" s="136"/>
      <c r="B2124" s="78"/>
      <c r="C2124" s="78"/>
      <c r="D2124" s="45"/>
      <c r="E2124" s="45"/>
      <c r="F2124" s="45"/>
      <c r="G2124" s="45"/>
    </row>
    <row r="2125">
      <c r="A2125" s="136"/>
      <c r="B2125" s="78"/>
      <c r="C2125" s="78"/>
      <c r="D2125" s="45"/>
      <c r="E2125" s="45"/>
      <c r="F2125" s="45"/>
      <c r="G2125" s="45"/>
    </row>
    <row r="2126">
      <c r="A2126" s="136"/>
      <c r="B2126" s="78"/>
      <c r="C2126" s="78"/>
      <c r="D2126" s="45"/>
      <c r="E2126" s="45"/>
      <c r="F2126" s="45"/>
      <c r="G2126" s="45"/>
    </row>
    <row r="2127">
      <c r="A2127" s="136"/>
      <c r="B2127" s="78"/>
      <c r="C2127" s="78"/>
      <c r="D2127" s="45"/>
      <c r="E2127" s="45"/>
      <c r="F2127" s="45"/>
      <c r="G2127" s="45"/>
    </row>
    <row r="2128">
      <c r="A2128" s="136"/>
      <c r="B2128" s="78"/>
      <c r="C2128" s="78"/>
      <c r="D2128" s="45"/>
      <c r="E2128" s="45"/>
      <c r="F2128" s="45"/>
      <c r="G2128" s="45"/>
    </row>
    <row r="2129">
      <c r="A2129" s="136"/>
      <c r="B2129" s="78"/>
      <c r="C2129" s="78"/>
      <c r="D2129" s="45"/>
      <c r="E2129" s="45"/>
      <c r="F2129" s="45"/>
      <c r="G2129" s="45"/>
    </row>
    <row r="2130">
      <c r="A2130" s="136"/>
      <c r="B2130" s="78"/>
      <c r="C2130" s="78"/>
      <c r="D2130" s="45"/>
      <c r="E2130" s="45"/>
      <c r="F2130" s="45"/>
      <c r="G2130" s="45"/>
    </row>
    <row r="2131">
      <c r="A2131" s="136"/>
      <c r="B2131" s="78"/>
      <c r="C2131" s="78"/>
      <c r="D2131" s="45"/>
      <c r="E2131" s="45"/>
      <c r="F2131" s="45"/>
      <c r="G2131" s="45"/>
    </row>
    <row r="2132">
      <c r="A2132" s="136"/>
      <c r="B2132" s="78"/>
      <c r="C2132" s="78"/>
      <c r="D2132" s="45"/>
      <c r="E2132" s="45"/>
      <c r="F2132" s="45"/>
      <c r="G2132" s="45"/>
    </row>
    <row r="2133">
      <c r="A2133" s="136"/>
      <c r="B2133" s="78"/>
      <c r="C2133" s="78"/>
      <c r="D2133" s="45"/>
      <c r="E2133" s="45"/>
      <c r="F2133" s="45"/>
      <c r="G2133" s="45"/>
    </row>
    <row r="2134">
      <c r="A2134" s="136"/>
      <c r="B2134" s="78"/>
      <c r="C2134" s="78"/>
      <c r="D2134" s="45"/>
      <c r="E2134" s="45"/>
      <c r="F2134" s="45"/>
      <c r="G2134" s="45"/>
    </row>
    <row r="2135">
      <c r="A2135" s="136"/>
      <c r="B2135" s="78"/>
      <c r="C2135" s="78"/>
      <c r="D2135" s="45"/>
      <c r="E2135" s="45"/>
      <c r="F2135" s="45"/>
      <c r="G2135" s="45"/>
    </row>
    <row r="2136">
      <c r="A2136" s="136"/>
      <c r="B2136" s="78"/>
      <c r="C2136" s="78"/>
      <c r="D2136" s="45"/>
      <c r="E2136" s="45"/>
      <c r="F2136" s="45"/>
      <c r="G2136" s="45"/>
    </row>
    <row r="2137">
      <c r="A2137" s="136"/>
      <c r="B2137" s="78"/>
      <c r="C2137" s="78"/>
      <c r="D2137" s="45"/>
      <c r="E2137" s="45"/>
      <c r="F2137" s="45"/>
      <c r="G2137" s="45"/>
    </row>
    <row r="2138">
      <c r="A2138" s="136"/>
      <c r="B2138" s="78"/>
      <c r="C2138" s="78"/>
      <c r="D2138" s="45"/>
      <c r="E2138" s="45"/>
      <c r="F2138" s="45"/>
      <c r="G2138" s="45"/>
    </row>
    <row r="2139">
      <c r="A2139" s="136"/>
      <c r="B2139" s="78"/>
      <c r="C2139" s="78"/>
      <c r="D2139" s="45"/>
      <c r="E2139" s="45"/>
      <c r="F2139" s="45"/>
      <c r="G2139" s="45"/>
    </row>
    <row r="2140">
      <c r="A2140" s="136"/>
      <c r="B2140" s="78"/>
      <c r="C2140" s="78"/>
      <c r="D2140" s="45"/>
      <c r="E2140" s="45"/>
      <c r="F2140" s="45"/>
      <c r="G2140" s="45"/>
    </row>
    <row r="2141">
      <c r="A2141" s="136"/>
      <c r="B2141" s="78"/>
      <c r="C2141" s="78"/>
      <c r="D2141" s="45"/>
      <c r="E2141" s="45"/>
      <c r="F2141" s="45"/>
      <c r="G2141" s="45"/>
    </row>
    <row r="2142">
      <c r="A2142" s="136"/>
      <c r="B2142" s="78"/>
      <c r="C2142" s="78"/>
      <c r="D2142" s="45"/>
      <c r="E2142" s="45"/>
      <c r="F2142" s="45"/>
      <c r="G2142" s="45"/>
    </row>
    <row r="2143">
      <c r="A2143" s="136"/>
      <c r="B2143" s="78"/>
      <c r="C2143" s="78"/>
      <c r="D2143" s="45"/>
      <c r="E2143" s="45"/>
      <c r="F2143" s="45"/>
      <c r="G2143" s="45"/>
    </row>
    <row r="2144">
      <c r="A2144" s="136"/>
      <c r="B2144" s="78"/>
      <c r="C2144" s="78"/>
      <c r="D2144" s="45"/>
      <c r="E2144" s="45"/>
      <c r="F2144" s="45"/>
      <c r="G2144" s="45"/>
    </row>
    <row r="2145">
      <c r="A2145" s="136"/>
      <c r="B2145" s="78"/>
      <c r="C2145" s="78"/>
      <c r="D2145" s="45"/>
      <c r="E2145" s="45"/>
      <c r="F2145" s="45"/>
      <c r="G2145" s="45"/>
    </row>
    <row r="2146">
      <c r="A2146" s="136"/>
      <c r="B2146" s="78"/>
      <c r="C2146" s="78"/>
      <c r="D2146" s="45"/>
      <c r="E2146" s="45"/>
      <c r="F2146" s="45"/>
      <c r="G2146" s="45"/>
    </row>
    <row r="2147">
      <c r="A2147" s="136"/>
      <c r="B2147" s="78"/>
      <c r="C2147" s="78"/>
      <c r="D2147" s="45"/>
      <c r="E2147" s="45"/>
      <c r="F2147" s="45"/>
      <c r="G2147" s="45"/>
    </row>
    <row r="2148">
      <c r="A2148" s="136"/>
      <c r="B2148" s="78"/>
      <c r="C2148" s="78"/>
      <c r="D2148" s="45"/>
      <c r="E2148" s="45"/>
      <c r="F2148" s="45"/>
      <c r="G2148" s="45"/>
    </row>
    <row r="2149">
      <c r="A2149" s="136"/>
      <c r="B2149" s="78"/>
      <c r="C2149" s="78"/>
      <c r="D2149" s="45"/>
      <c r="E2149" s="45"/>
      <c r="F2149" s="45"/>
      <c r="G2149" s="45"/>
    </row>
    <row r="2150">
      <c r="A2150" s="136"/>
      <c r="B2150" s="78"/>
      <c r="C2150" s="78"/>
      <c r="D2150" s="45"/>
      <c r="E2150" s="45"/>
      <c r="F2150" s="45"/>
      <c r="G2150" s="45"/>
    </row>
    <row r="2151">
      <c r="A2151" s="136"/>
      <c r="B2151" s="78"/>
      <c r="C2151" s="78"/>
      <c r="D2151" s="45"/>
      <c r="E2151" s="45"/>
      <c r="F2151" s="45"/>
      <c r="G2151" s="45"/>
    </row>
    <row r="2152">
      <c r="A2152" s="136"/>
      <c r="B2152" s="78"/>
      <c r="C2152" s="78"/>
      <c r="D2152" s="45"/>
      <c r="E2152" s="45"/>
      <c r="F2152" s="45"/>
      <c r="G2152" s="45"/>
    </row>
    <row r="2153">
      <c r="A2153" s="136"/>
      <c r="B2153" s="78"/>
      <c r="C2153" s="78"/>
      <c r="D2153" s="45"/>
      <c r="E2153" s="45"/>
      <c r="F2153" s="45"/>
      <c r="G2153" s="45"/>
    </row>
    <row r="2154">
      <c r="A2154" s="136"/>
      <c r="B2154" s="78"/>
      <c r="C2154" s="78"/>
      <c r="D2154" s="45"/>
      <c r="E2154" s="45"/>
      <c r="F2154" s="45"/>
      <c r="G2154" s="45"/>
    </row>
    <row r="2155">
      <c r="A2155" s="136"/>
      <c r="B2155" s="78"/>
      <c r="C2155" s="78"/>
      <c r="D2155" s="45"/>
      <c r="E2155" s="45"/>
      <c r="F2155" s="45"/>
      <c r="G2155" s="45"/>
    </row>
    <row r="2156">
      <c r="A2156" s="136"/>
      <c r="B2156" s="78"/>
      <c r="C2156" s="78"/>
      <c r="D2156" s="45"/>
      <c r="E2156" s="45"/>
      <c r="F2156" s="45"/>
      <c r="G2156" s="45"/>
    </row>
    <row r="2157">
      <c r="A2157" s="136"/>
      <c r="B2157" s="78"/>
      <c r="C2157" s="78"/>
      <c r="D2157" s="45"/>
      <c r="E2157" s="45"/>
      <c r="F2157" s="45"/>
      <c r="G2157" s="45"/>
    </row>
    <row r="2158">
      <c r="A2158" s="136"/>
      <c r="B2158" s="78"/>
      <c r="C2158" s="78"/>
      <c r="D2158" s="45"/>
      <c r="E2158" s="45"/>
      <c r="F2158" s="45"/>
      <c r="G2158" s="45"/>
    </row>
    <row r="2159">
      <c r="A2159" s="136"/>
      <c r="B2159" s="78"/>
      <c r="C2159" s="78"/>
      <c r="D2159" s="45"/>
      <c r="E2159" s="45"/>
      <c r="F2159" s="45"/>
      <c r="G2159" s="45"/>
    </row>
    <row r="2160">
      <c r="A2160" s="136"/>
      <c r="B2160" s="78"/>
      <c r="C2160" s="78"/>
      <c r="D2160" s="45"/>
      <c r="E2160" s="45"/>
      <c r="F2160" s="45"/>
      <c r="G2160" s="45"/>
    </row>
    <row r="2161">
      <c r="A2161" s="136"/>
      <c r="B2161" s="78"/>
      <c r="C2161" s="78"/>
      <c r="D2161" s="45"/>
      <c r="E2161" s="45"/>
      <c r="F2161" s="45"/>
      <c r="G2161" s="45"/>
    </row>
    <row r="2162">
      <c r="A2162" s="136"/>
      <c r="B2162" s="78"/>
      <c r="C2162" s="78"/>
      <c r="D2162" s="45"/>
      <c r="E2162" s="45"/>
      <c r="F2162" s="45"/>
      <c r="G2162" s="45"/>
    </row>
    <row r="2163">
      <c r="A2163" s="136"/>
      <c r="B2163" s="78"/>
      <c r="C2163" s="78"/>
      <c r="D2163" s="45"/>
      <c r="E2163" s="45"/>
      <c r="F2163" s="45"/>
      <c r="G2163" s="45"/>
    </row>
    <row r="2164">
      <c r="A2164" s="136"/>
      <c r="B2164" s="78"/>
      <c r="C2164" s="78"/>
      <c r="D2164" s="45"/>
      <c r="E2164" s="45"/>
      <c r="F2164" s="45"/>
      <c r="G2164" s="45"/>
    </row>
    <row r="2165">
      <c r="A2165" s="136"/>
      <c r="B2165" s="78"/>
      <c r="C2165" s="78"/>
      <c r="D2165" s="45"/>
      <c r="E2165" s="45"/>
      <c r="F2165" s="45"/>
      <c r="G2165" s="45"/>
    </row>
    <row r="2166">
      <c r="A2166" s="136"/>
      <c r="B2166" s="78"/>
      <c r="C2166" s="78"/>
      <c r="D2166" s="45"/>
      <c r="E2166" s="45"/>
      <c r="F2166" s="45"/>
      <c r="G2166" s="45"/>
    </row>
    <row r="2167">
      <c r="A2167" s="136"/>
      <c r="B2167" s="78"/>
      <c r="C2167" s="78"/>
      <c r="D2167" s="45"/>
      <c r="E2167" s="45"/>
      <c r="F2167" s="45"/>
      <c r="G2167" s="45"/>
    </row>
    <row r="2168">
      <c r="A2168" s="136"/>
      <c r="B2168" s="78"/>
      <c r="C2168" s="78"/>
      <c r="D2168" s="45"/>
      <c r="E2168" s="45"/>
      <c r="F2168" s="45"/>
      <c r="G2168" s="45"/>
    </row>
    <row r="2169">
      <c r="A2169" s="136"/>
      <c r="B2169" s="78"/>
      <c r="C2169" s="78"/>
      <c r="D2169" s="45"/>
      <c r="E2169" s="45"/>
      <c r="F2169" s="45"/>
      <c r="G2169" s="45"/>
    </row>
    <row r="2170">
      <c r="A2170" s="136"/>
      <c r="B2170" s="78"/>
      <c r="C2170" s="78"/>
      <c r="D2170" s="45"/>
      <c r="E2170" s="45"/>
      <c r="F2170" s="45"/>
      <c r="G2170" s="45"/>
    </row>
    <row r="2171">
      <c r="A2171" s="136"/>
      <c r="B2171" s="78"/>
      <c r="C2171" s="78"/>
      <c r="D2171" s="45"/>
      <c r="E2171" s="45"/>
      <c r="F2171" s="45"/>
      <c r="G2171" s="45"/>
    </row>
    <row r="2172">
      <c r="A2172" s="136"/>
      <c r="B2172" s="78"/>
      <c r="C2172" s="78"/>
      <c r="D2172" s="45"/>
      <c r="E2172" s="45"/>
      <c r="F2172" s="45"/>
      <c r="G2172" s="45"/>
    </row>
    <row r="2173">
      <c r="A2173" s="136"/>
      <c r="B2173" s="78"/>
      <c r="C2173" s="78"/>
      <c r="D2173" s="45"/>
      <c r="E2173" s="45"/>
      <c r="F2173" s="45"/>
      <c r="G2173" s="45"/>
    </row>
    <row r="2174">
      <c r="A2174" s="136"/>
      <c r="B2174" s="78"/>
      <c r="C2174" s="78"/>
      <c r="D2174" s="45"/>
      <c r="E2174" s="45"/>
      <c r="F2174" s="45"/>
      <c r="G2174" s="45"/>
    </row>
    <row r="2175">
      <c r="A2175" s="136"/>
      <c r="B2175" s="78"/>
      <c r="C2175" s="78"/>
      <c r="D2175" s="45"/>
      <c r="E2175" s="45"/>
      <c r="F2175" s="45"/>
      <c r="G2175" s="45"/>
    </row>
    <row r="2176">
      <c r="A2176" s="136"/>
      <c r="B2176" s="78"/>
      <c r="C2176" s="78"/>
      <c r="D2176" s="45"/>
      <c r="E2176" s="45"/>
      <c r="F2176" s="45"/>
      <c r="G2176" s="45"/>
    </row>
    <row r="2177">
      <c r="A2177" s="136"/>
      <c r="B2177" s="78"/>
      <c r="C2177" s="78"/>
      <c r="D2177" s="45"/>
      <c r="E2177" s="45"/>
      <c r="F2177" s="45"/>
      <c r="G2177" s="45"/>
    </row>
    <row r="2178">
      <c r="A2178" s="136"/>
      <c r="B2178" s="78"/>
      <c r="C2178" s="78"/>
      <c r="D2178" s="45"/>
      <c r="E2178" s="45"/>
      <c r="F2178" s="45"/>
      <c r="G2178" s="45"/>
    </row>
    <row r="2179">
      <c r="A2179" s="136"/>
      <c r="B2179" s="78"/>
      <c r="C2179" s="78"/>
      <c r="D2179" s="45"/>
      <c r="E2179" s="45"/>
      <c r="F2179" s="45"/>
      <c r="G2179" s="45"/>
    </row>
    <row r="2180">
      <c r="A2180" s="136"/>
      <c r="B2180" s="78"/>
      <c r="C2180" s="78"/>
      <c r="D2180" s="45"/>
      <c r="E2180" s="45"/>
      <c r="F2180" s="45"/>
      <c r="G2180" s="45"/>
    </row>
    <row r="2181">
      <c r="A2181" s="136"/>
      <c r="B2181" s="78"/>
      <c r="C2181" s="78"/>
      <c r="D2181" s="45"/>
      <c r="E2181" s="45"/>
      <c r="F2181" s="45"/>
      <c r="G2181" s="45"/>
    </row>
    <row r="2182">
      <c r="A2182" s="136"/>
      <c r="B2182" s="78"/>
      <c r="C2182" s="78"/>
      <c r="D2182" s="45"/>
      <c r="E2182" s="45"/>
      <c r="F2182" s="45"/>
      <c r="G2182" s="45"/>
    </row>
    <row r="2183">
      <c r="A2183" s="136"/>
      <c r="B2183" s="78"/>
      <c r="C2183" s="78"/>
      <c r="D2183" s="45"/>
      <c r="E2183" s="45"/>
      <c r="F2183" s="45"/>
      <c r="G2183" s="45"/>
    </row>
    <row r="2184">
      <c r="A2184" s="136"/>
      <c r="B2184" s="78"/>
      <c r="C2184" s="78"/>
      <c r="D2184" s="45"/>
      <c r="E2184" s="45"/>
      <c r="F2184" s="45"/>
      <c r="G2184" s="45"/>
    </row>
    <row r="2185">
      <c r="A2185" s="136"/>
      <c r="B2185" s="78"/>
      <c r="C2185" s="78"/>
      <c r="D2185" s="45"/>
      <c r="E2185" s="45"/>
      <c r="F2185" s="45"/>
      <c r="G2185" s="45"/>
    </row>
    <row r="2186">
      <c r="A2186" s="136"/>
      <c r="B2186" s="78"/>
      <c r="C2186" s="78"/>
      <c r="D2186" s="45"/>
      <c r="E2186" s="45"/>
      <c r="F2186" s="45"/>
      <c r="G2186" s="45"/>
    </row>
    <row r="2187">
      <c r="A2187" s="136"/>
      <c r="B2187" s="78"/>
      <c r="C2187" s="78"/>
      <c r="D2187" s="45"/>
      <c r="E2187" s="45"/>
      <c r="F2187" s="45"/>
      <c r="G2187" s="45"/>
    </row>
    <row r="2188">
      <c r="A2188" s="136"/>
      <c r="B2188" s="78"/>
      <c r="C2188" s="78"/>
      <c r="D2188" s="45"/>
      <c r="E2188" s="45"/>
      <c r="F2188" s="45"/>
      <c r="G2188" s="45"/>
    </row>
    <row r="2189">
      <c r="A2189" s="136"/>
      <c r="B2189" s="78"/>
      <c r="C2189" s="78"/>
      <c r="D2189" s="45"/>
      <c r="E2189" s="45"/>
      <c r="F2189" s="45"/>
      <c r="G2189" s="45"/>
    </row>
    <row r="2190">
      <c r="A2190" s="136"/>
      <c r="B2190" s="78"/>
      <c r="C2190" s="78"/>
      <c r="D2190" s="45"/>
      <c r="E2190" s="45"/>
      <c r="F2190" s="45"/>
      <c r="G2190" s="45"/>
    </row>
    <row r="2191">
      <c r="A2191" s="136"/>
      <c r="B2191" s="78"/>
      <c r="C2191" s="78"/>
      <c r="D2191" s="45"/>
      <c r="E2191" s="45"/>
      <c r="F2191" s="45"/>
      <c r="G2191" s="45"/>
    </row>
    <row r="2192">
      <c r="A2192" s="136"/>
      <c r="B2192" s="78"/>
      <c r="C2192" s="78"/>
      <c r="D2192" s="45"/>
      <c r="E2192" s="45"/>
      <c r="F2192" s="45"/>
      <c r="G2192" s="45"/>
    </row>
    <row r="2193">
      <c r="A2193" s="136"/>
      <c r="B2193" s="78"/>
      <c r="C2193" s="78"/>
      <c r="D2193" s="45"/>
      <c r="E2193" s="45"/>
      <c r="F2193" s="45"/>
      <c r="G2193" s="45"/>
    </row>
    <row r="2194">
      <c r="A2194" s="136"/>
      <c r="B2194" s="78"/>
      <c r="C2194" s="78"/>
      <c r="D2194" s="45"/>
      <c r="E2194" s="45"/>
      <c r="F2194" s="45"/>
      <c r="G2194" s="45"/>
    </row>
    <row r="2195">
      <c r="A2195" s="136"/>
      <c r="B2195" s="78"/>
      <c r="C2195" s="78"/>
      <c r="D2195" s="45"/>
      <c r="E2195" s="45"/>
      <c r="F2195" s="45"/>
      <c r="G2195" s="45"/>
    </row>
    <row r="2196">
      <c r="A2196" s="136"/>
      <c r="B2196" s="78"/>
      <c r="C2196" s="78"/>
      <c r="D2196" s="45"/>
      <c r="E2196" s="45"/>
      <c r="F2196" s="45"/>
      <c r="G2196" s="45"/>
    </row>
    <row r="2197">
      <c r="A2197" s="136"/>
      <c r="B2197" s="78"/>
      <c r="C2197" s="78"/>
      <c r="D2197" s="45"/>
      <c r="E2197" s="45"/>
      <c r="F2197" s="45"/>
      <c r="G2197" s="45"/>
    </row>
    <row r="2198">
      <c r="A2198" s="136"/>
      <c r="B2198" s="78"/>
      <c r="C2198" s="78"/>
      <c r="D2198" s="45"/>
      <c r="E2198" s="45"/>
      <c r="F2198" s="45"/>
      <c r="G2198" s="45"/>
    </row>
    <row r="2199">
      <c r="A2199" s="136"/>
      <c r="B2199" s="78"/>
      <c r="C2199" s="78"/>
      <c r="D2199" s="45"/>
      <c r="E2199" s="45"/>
      <c r="F2199" s="45"/>
      <c r="G2199" s="45"/>
    </row>
    <row r="2200">
      <c r="A2200" s="136"/>
      <c r="B2200" s="78"/>
      <c r="C2200" s="78"/>
      <c r="D2200" s="45"/>
      <c r="E2200" s="45"/>
      <c r="F2200" s="45"/>
      <c r="G2200" s="45"/>
    </row>
    <row r="2201">
      <c r="A2201" s="136"/>
      <c r="B2201" s="78"/>
      <c r="C2201" s="78"/>
      <c r="D2201" s="45"/>
      <c r="E2201" s="45"/>
      <c r="F2201" s="45"/>
      <c r="G2201" s="45"/>
    </row>
    <row r="2202">
      <c r="A2202" s="136"/>
      <c r="B2202" s="78"/>
      <c r="C2202" s="78"/>
      <c r="D2202" s="45"/>
      <c r="E2202" s="45"/>
      <c r="F2202" s="45"/>
      <c r="G2202" s="45"/>
    </row>
    <row r="2203">
      <c r="A2203" s="136"/>
      <c r="B2203" s="78"/>
      <c r="C2203" s="78"/>
      <c r="D2203" s="45"/>
      <c r="E2203" s="45"/>
      <c r="F2203" s="45"/>
      <c r="G2203" s="45"/>
    </row>
    <row r="2204">
      <c r="A2204" s="136"/>
      <c r="B2204" s="78"/>
      <c r="C2204" s="78"/>
      <c r="D2204" s="45"/>
      <c r="E2204" s="45"/>
      <c r="F2204" s="45"/>
      <c r="G2204" s="45"/>
    </row>
    <row r="2205">
      <c r="A2205" s="136"/>
      <c r="B2205" s="78"/>
      <c r="C2205" s="78"/>
      <c r="D2205" s="45"/>
      <c r="E2205" s="45"/>
      <c r="F2205" s="45"/>
      <c r="G2205" s="45"/>
    </row>
    <row r="2206">
      <c r="A2206" s="136"/>
      <c r="B2206" s="78"/>
      <c r="C2206" s="78"/>
      <c r="D2206" s="45"/>
      <c r="E2206" s="45"/>
      <c r="F2206" s="45"/>
      <c r="G2206" s="45"/>
    </row>
    <row r="2207">
      <c r="A2207" s="136"/>
      <c r="B2207" s="78"/>
      <c r="C2207" s="78"/>
      <c r="D2207" s="45"/>
      <c r="E2207" s="45"/>
      <c r="F2207" s="45"/>
      <c r="G2207" s="45"/>
    </row>
    <row r="2208">
      <c r="A2208" s="136"/>
      <c r="B2208" s="78"/>
      <c r="C2208" s="78"/>
      <c r="D2208" s="45"/>
      <c r="E2208" s="45"/>
      <c r="F2208" s="45"/>
      <c r="G2208" s="45"/>
    </row>
    <row r="2209">
      <c r="A2209" s="136"/>
      <c r="B2209" s="78"/>
      <c r="C2209" s="78"/>
      <c r="D2209" s="45"/>
      <c r="E2209" s="45"/>
      <c r="F2209" s="45"/>
      <c r="G2209" s="45"/>
    </row>
    <row r="2210">
      <c r="A2210" s="136"/>
      <c r="B2210" s="78"/>
      <c r="C2210" s="78"/>
      <c r="D2210" s="45"/>
      <c r="E2210" s="45"/>
      <c r="F2210" s="45"/>
      <c r="G2210" s="45"/>
    </row>
    <row r="2211">
      <c r="A2211" s="136"/>
      <c r="B2211" s="78"/>
      <c r="C2211" s="78"/>
      <c r="D2211" s="45"/>
      <c r="E2211" s="45"/>
      <c r="F2211" s="45"/>
      <c r="G2211" s="45"/>
    </row>
    <row r="2212">
      <c r="A2212" s="136"/>
      <c r="B2212" s="78"/>
      <c r="C2212" s="78"/>
      <c r="D2212" s="45"/>
      <c r="E2212" s="45"/>
      <c r="F2212" s="45"/>
      <c r="G2212" s="45"/>
    </row>
    <row r="2213">
      <c r="A2213" s="136"/>
      <c r="B2213" s="78"/>
      <c r="C2213" s="78"/>
      <c r="D2213" s="45"/>
      <c r="E2213" s="45"/>
      <c r="F2213" s="45"/>
      <c r="G2213" s="45"/>
    </row>
    <row r="2214">
      <c r="A2214" s="136"/>
      <c r="B2214" s="78"/>
      <c r="C2214" s="78"/>
      <c r="D2214" s="45"/>
      <c r="E2214" s="45"/>
      <c r="F2214" s="45"/>
      <c r="G2214" s="45"/>
    </row>
    <row r="2215">
      <c r="A2215" s="136"/>
      <c r="B2215" s="78"/>
      <c r="C2215" s="78"/>
      <c r="D2215" s="45"/>
      <c r="E2215" s="45"/>
      <c r="F2215" s="45"/>
      <c r="G2215" s="45"/>
    </row>
    <row r="2216">
      <c r="A2216" s="136"/>
      <c r="B2216" s="78"/>
      <c r="C2216" s="78"/>
      <c r="D2216" s="45"/>
      <c r="E2216" s="45"/>
      <c r="F2216" s="45"/>
      <c r="G2216" s="45"/>
    </row>
    <row r="2217">
      <c r="A2217" s="136"/>
      <c r="B2217" s="78"/>
      <c r="C2217" s="78"/>
      <c r="D2217" s="45"/>
      <c r="E2217" s="45"/>
      <c r="F2217" s="45"/>
      <c r="G2217" s="45"/>
    </row>
    <row r="2218">
      <c r="A2218" s="136"/>
      <c r="B2218" s="78"/>
      <c r="C2218" s="78"/>
      <c r="D2218" s="45"/>
      <c r="E2218" s="45"/>
      <c r="F2218" s="45"/>
      <c r="G2218" s="45"/>
    </row>
    <row r="2219">
      <c r="A2219" s="136"/>
      <c r="B2219" s="78"/>
      <c r="C2219" s="78"/>
      <c r="D2219" s="45"/>
      <c r="E2219" s="45"/>
      <c r="F2219" s="45"/>
      <c r="G2219" s="45"/>
    </row>
    <row r="2220">
      <c r="A2220" s="136"/>
      <c r="B2220" s="78"/>
      <c r="C2220" s="78"/>
      <c r="D2220" s="45"/>
      <c r="E2220" s="45"/>
      <c r="F2220" s="45"/>
      <c r="G2220" s="45"/>
    </row>
    <row r="2221">
      <c r="A2221" s="136"/>
      <c r="B2221" s="78"/>
      <c r="C2221" s="78"/>
      <c r="D2221" s="45"/>
      <c r="E2221" s="45"/>
      <c r="F2221" s="45"/>
      <c r="G2221" s="45"/>
    </row>
    <row r="2222">
      <c r="A2222" s="136"/>
      <c r="B2222" s="78"/>
      <c r="C2222" s="78"/>
      <c r="D2222" s="45"/>
      <c r="E2222" s="45"/>
      <c r="F2222" s="45"/>
      <c r="G2222" s="45"/>
    </row>
    <row r="2223">
      <c r="A2223" s="136"/>
      <c r="B2223" s="78"/>
      <c r="C2223" s="78"/>
      <c r="D2223" s="45"/>
      <c r="E2223" s="45"/>
      <c r="F2223" s="45"/>
      <c r="G2223" s="45"/>
    </row>
    <row r="2224">
      <c r="A2224" s="136"/>
      <c r="B2224" s="78"/>
      <c r="C2224" s="78"/>
      <c r="D2224" s="45"/>
      <c r="E2224" s="45"/>
      <c r="F2224" s="45"/>
      <c r="G2224" s="45"/>
    </row>
    <row r="2225">
      <c r="A2225" s="136"/>
      <c r="B2225" s="78"/>
      <c r="C2225" s="78"/>
      <c r="D2225" s="45"/>
      <c r="E2225" s="45"/>
      <c r="F2225" s="45"/>
      <c r="G2225" s="45"/>
    </row>
    <row r="2226">
      <c r="A2226" s="136"/>
      <c r="B2226" s="78"/>
      <c r="C2226" s="78"/>
      <c r="D2226" s="45"/>
      <c r="E2226" s="45"/>
      <c r="F2226" s="45"/>
      <c r="G2226" s="45"/>
    </row>
    <row r="2227">
      <c r="A2227" s="136"/>
      <c r="B2227" s="78"/>
      <c r="C2227" s="78"/>
      <c r="D2227" s="45"/>
      <c r="E2227" s="45"/>
      <c r="F2227" s="45"/>
      <c r="G2227" s="45"/>
    </row>
    <row r="2228">
      <c r="A2228" s="136"/>
      <c r="B2228" s="78"/>
      <c r="C2228" s="78"/>
      <c r="D2228" s="45"/>
      <c r="E2228" s="45"/>
      <c r="F2228" s="45"/>
      <c r="G2228" s="45"/>
    </row>
    <row r="2229">
      <c r="A2229" s="136"/>
      <c r="B2229" s="78"/>
      <c r="C2229" s="78"/>
      <c r="D2229" s="45"/>
      <c r="E2229" s="45"/>
      <c r="F2229" s="45"/>
      <c r="G2229" s="45"/>
    </row>
    <row r="2230">
      <c r="A2230" s="136"/>
      <c r="B2230" s="78"/>
      <c r="C2230" s="78"/>
      <c r="D2230" s="45"/>
      <c r="E2230" s="45"/>
      <c r="F2230" s="45"/>
      <c r="G2230" s="45"/>
    </row>
    <row r="2231">
      <c r="A2231" s="136"/>
      <c r="B2231" s="78"/>
      <c r="C2231" s="78"/>
      <c r="D2231" s="45"/>
      <c r="E2231" s="45"/>
      <c r="F2231" s="45"/>
      <c r="G2231" s="45"/>
    </row>
    <row r="2232">
      <c r="A2232" s="136"/>
      <c r="B2232" s="78"/>
      <c r="C2232" s="78"/>
      <c r="D2232" s="45"/>
      <c r="E2232" s="45"/>
      <c r="F2232" s="45"/>
      <c r="G2232" s="45"/>
    </row>
    <row r="2233">
      <c r="A2233" s="136"/>
      <c r="B2233" s="78"/>
      <c r="C2233" s="78"/>
      <c r="D2233" s="45"/>
      <c r="E2233" s="45"/>
      <c r="F2233" s="45"/>
      <c r="G2233" s="45"/>
    </row>
    <row r="2234">
      <c r="A2234" s="136"/>
      <c r="B2234" s="78"/>
      <c r="C2234" s="78"/>
      <c r="D2234" s="45"/>
      <c r="E2234" s="45"/>
      <c r="F2234" s="45"/>
      <c r="G2234" s="45"/>
    </row>
    <row r="2235">
      <c r="A2235" s="136"/>
      <c r="B2235" s="78"/>
      <c r="C2235" s="78"/>
      <c r="D2235" s="45"/>
      <c r="E2235" s="45"/>
      <c r="F2235" s="45"/>
      <c r="G2235" s="45"/>
    </row>
    <row r="2236">
      <c r="A2236" s="136"/>
      <c r="B2236" s="78"/>
      <c r="C2236" s="78"/>
      <c r="D2236" s="45"/>
      <c r="E2236" s="45"/>
      <c r="F2236" s="45"/>
      <c r="G2236" s="45"/>
    </row>
    <row r="2237">
      <c r="A2237" s="136"/>
      <c r="B2237" s="78"/>
      <c r="C2237" s="78"/>
      <c r="D2237" s="45"/>
      <c r="E2237" s="45"/>
      <c r="F2237" s="45"/>
      <c r="G2237" s="45"/>
    </row>
    <row r="2238">
      <c r="A2238" s="136"/>
      <c r="B2238" s="78"/>
      <c r="C2238" s="78"/>
      <c r="D2238" s="45"/>
      <c r="E2238" s="45"/>
      <c r="F2238" s="45"/>
      <c r="G2238" s="45"/>
    </row>
    <row r="2239">
      <c r="A2239" s="136"/>
      <c r="B2239" s="78"/>
      <c r="C2239" s="78"/>
      <c r="D2239" s="45"/>
      <c r="E2239" s="45"/>
      <c r="F2239" s="45"/>
      <c r="G2239" s="45"/>
    </row>
    <row r="2240">
      <c r="A2240" s="136"/>
      <c r="B2240" s="78"/>
      <c r="C2240" s="78"/>
      <c r="D2240" s="45"/>
      <c r="E2240" s="45"/>
      <c r="F2240" s="45"/>
      <c r="G2240" s="45"/>
    </row>
    <row r="2241">
      <c r="A2241" s="136"/>
      <c r="B2241" s="78"/>
      <c r="C2241" s="78"/>
      <c r="D2241" s="45"/>
      <c r="E2241" s="45"/>
      <c r="F2241" s="45"/>
      <c r="G2241" s="45"/>
    </row>
    <row r="2242">
      <c r="A2242" s="136"/>
      <c r="B2242" s="78"/>
      <c r="C2242" s="78"/>
      <c r="D2242" s="45"/>
      <c r="E2242" s="45"/>
      <c r="F2242" s="45"/>
      <c r="G2242" s="45"/>
    </row>
    <row r="2243">
      <c r="A2243" s="136"/>
      <c r="B2243" s="78"/>
      <c r="C2243" s="78"/>
      <c r="D2243" s="45"/>
      <c r="E2243" s="45"/>
      <c r="F2243" s="45"/>
      <c r="G2243" s="45"/>
    </row>
    <row r="2244">
      <c r="A2244" s="136"/>
      <c r="B2244" s="78"/>
      <c r="C2244" s="78"/>
      <c r="D2244" s="45"/>
      <c r="E2244" s="45"/>
      <c r="F2244" s="45"/>
      <c r="G2244" s="45"/>
    </row>
    <row r="2245">
      <c r="A2245" s="136"/>
      <c r="B2245" s="78"/>
      <c r="C2245" s="78"/>
      <c r="D2245" s="45"/>
      <c r="E2245" s="45"/>
      <c r="F2245" s="45"/>
      <c r="G2245" s="45"/>
    </row>
    <row r="2246">
      <c r="A2246" s="136"/>
      <c r="B2246" s="78"/>
      <c r="C2246" s="78"/>
      <c r="D2246" s="45"/>
      <c r="E2246" s="45"/>
      <c r="F2246" s="45"/>
      <c r="G2246" s="45"/>
    </row>
    <row r="2247">
      <c r="A2247" s="136"/>
      <c r="B2247" s="78"/>
      <c r="C2247" s="78"/>
      <c r="D2247" s="45"/>
      <c r="E2247" s="45"/>
      <c r="F2247" s="45"/>
      <c r="G2247" s="45"/>
    </row>
    <row r="2248">
      <c r="A2248" s="136"/>
      <c r="B2248" s="78"/>
      <c r="C2248" s="78"/>
      <c r="D2248" s="45"/>
      <c r="E2248" s="45"/>
      <c r="F2248" s="45"/>
      <c r="G2248" s="45"/>
    </row>
    <row r="2249">
      <c r="A2249" s="136"/>
      <c r="B2249" s="78"/>
      <c r="C2249" s="78"/>
      <c r="D2249" s="45"/>
      <c r="E2249" s="45"/>
      <c r="F2249" s="45"/>
      <c r="G2249" s="45"/>
    </row>
    <row r="2250">
      <c r="A2250" s="136"/>
      <c r="B2250" s="78"/>
      <c r="C2250" s="78"/>
      <c r="D2250" s="45"/>
      <c r="E2250" s="45"/>
      <c r="F2250" s="45"/>
      <c r="G2250" s="45"/>
    </row>
    <row r="2251">
      <c r="A2251" s="136"/>
      <c r="B2251" s="78"/>
      <c r="C2251" s="78"/>
      <c r="D2251" s="45"/>
      <c r="E2251" s="45"/>
      <c r="F2251" s="45"/>
      <c r="G2251" s="45"/>
    </row>
    <row r="2252">
      <c r="A2252" s="136"/>
      <c r="B2252" s="78"/>
      <c r="C2252" s="78"/>
      <c r="D2252" s="45"/>
      <c r="E2252" s="45"/>
      <c r="F2252" s="45"/>
      <c r="G2252" s="45"/>
    </row>
    <row r="2253">
      <c r="A2253" s="136"/>
      <c r="B2253" s="78"/>
      <c r="C2253" s="78"/>
      <c r="D2253" s="45"/>
      <c r="E2253" s="45"/>
      <c r="F2253" s="45"/>
      <c r="G2253" s="45"/>
    </row>
    <row r="2254">
      <c r="A2254" s="136"/>
      <c r="B2254" s="78"/>
      <c r="C2254" s="78"/>
      <c r="D2254" s="45"/>
      <c r="E2254" s="45"/>
      <c r="F2254" s="45"/>
      <c r="G2254" s="45"/>
    </row>
    <row r="2255">
      <c r="A2255" s="136"/>
      <c r="B2255" s="78"/>
      <c r="C2255" s="78"/>
      <c r="D2255" s="45"/>
      <c r="E2255" s="45"/>
      <c r="F2255" s="45"/>
      <c r="G2255" s="45"/>
    </row>
    <row r="2256">
      <c r="A2256" s="136"/>
      <c r="B2256" s="78"/>
      <c r="C2256" s="78"/>
      <c r="D2256" s="45"/>
      <c r="E2256" s="45"/>
      <c r="F2256" s="45"/>
      <c r="G2256" s="45"/>
    </row>
    <row r="2257">
      <c r="A2257" s="136"/>
      <c r="B2257" s="78"/>
      <c r="C2257" s="78"/>
      <c r="D2257" s="45"/>
      <c r="E2257" s="45"/>
      <c r="F2257" s="45"/>
      <c r="G2257" s="45"/>
    </row>
    <row r="2258">
      <c r="A2258" s="136"/>
      <c r="B2258" s="78"/>
      <c r="C2258" s="78"/>
      <c r="D2258" s="45"/>
      <c r="E2258" s="45"/>
      <c r="F2258" s="45"/>
      <c r="G2258" s="45"/>
    </row>
    <row r="2259">
      <c r="A2259" s="136"/>
      <c r="B2259" s="78"/>
      <c r="C2259" s="78"/>
      <c r="D2259" s="45"/>
      <c r="E2259" s="45"/>
      <c r="F2259" s="45"/>
      <c r="G2259" s="45"/>
    </row>
    <row r="2260">
      <c r="A2260" s="136"/>
      <c r="B2260" s="78"/>
      <c r="C2260" s="78"/>
      <c r="D2260" s="45"/>
      <c r="E2260" s="45"/>
      <c r="F2260" s="45"/>
      <c r="G2260" s="45"/>
    </row>
    <row r="2261">
      <c r="A2261" s="136"/>
      <c r="B2261" s="78"/>
      <c r="C2261" s="78"/>
      <c r="D2261" s="45"/>
      <c r="E2261" s="45"/>
      <c r="F2261" s="45"/>
      <c r="G2261" s="45"/>
    </row>
    <row r="2262">
      <c r="A2262" s="136"/>
      <c r="B2262" s="78"/>
      <c r="C2262" s="78"/>
      <c r="D2262" s="45"/>
      <c r="E2262" s="45"/>
      <c r="F2262" s="45"/>
      <c r="G2262" s="45"/>
    </row>
    <row r="2263">
      <c r="A2263" s="136"/>
      <c r="B2263" s="78"/>
      <c r="C2263" s="78"/>
      <c r="D2263" s="45"/>
      <c r="E2263" s="45"/>
      <c r="F2263" s="45"/>
      <c r="G2263" s="45"/>
    </row>
    <row r="2264">
      <c r="A2264" s="136"/>
      <c r="B2264" s="78"/>
      <c r="C2264" s="78"/>
      <c r="D2264" s="45"/>
      <c r="E2264" s="45"/>
      <c r="F2264" s="45"/>
      <c r="G2264" s="45"/>
    </row>
    <row r="2265">
      <c r="A2265" s="136"/>
      <c r="B2265" s="78"/>
      <c r="C2265" s="78"/>
      <c r="D2265" s="45"/>
      <c r="E2265" s="45"/>
      <c r="F2265" s="45"/>
      <c r="G2265" s="45"/>
    </row>
    <row r="2266">
      <c r="A2266" s="136"/>
      <c r="B2266" s="78"/>
      <c r="C2266" s="78"/>
      <c r="D2266" s="45"/>
      <c r="E2266" s="45"/>
      <c r="F2266" s="45"/>
      <c r="G2266" s="45"/>
    </row>
    <row r="2267">
      <c r="A2267" s="136"/>
      <c r="B2267" s="78"/>
      <c r="C2267" s="78"/>
      <c r="D2267" s="45"/>
      <c r="E2267" s="45"/>
      <c r="F2267" s="45"/>
      <c r="G2267" s="45"/>
    </row>
    <row r="2268">
      <c r="A2268" s="136"/>
      <c r="B2268" s="78"/>
      <c r="C2268" s="78"/>
      <c r="D2268" s="45"/>
      <c r="E2268" s="45"/>
      <c r="F2268" s="45"/>
      <c r="G2268" s="45"/>
    </row>
    <row r="2269">
      <c r="A2269" s="136"/>
      <c r="B2269" s="78"/>
      <c r="C2269" s="78"/>
      <c r="D2269" s="45"/>
      <c r="E2269" s="45"/>
      <c r="F2269" s="45"/>
      <c r="G2269" s="45"/>
    </row>
    <row r="2270">
      <c r="A2270" s="136"/>
      <c r="B2270" s="78"/>
      <c r="C2270" s="78"/>
      <c r="D2270" s="45"/>
      <c r="E2270" s="45"/>
      <c r="F2270" s="45"/>
      <c r="G2270" s="45"/>
    </row>
    <row r="2271">
      <c r="A2271" s="136"/>
      <c r="B2271" s="78"/>
      <c r="C2271" s="78"/>
      <c r="D2271" s="45"/>
      <c r="E2271" s="45"/>
      <c r="F2271" s="45"/>
      <c r="G2271" s="45"/>
    </row>
    <row r="2272">
      <c r="A2272" s="136"/>
      <c r="B2272" s="78"/>
      <c r="C2272" s="78"/>
      <c r="D2272" s="45"/>
      <c r="E2272" s="45"/>
      <c r="F2272" s="45"/>
      <c r="G2272" s="45"/>
    </row>
    <row r="2273">
      <c r="A2273" s="136"/>
      <c r="B2273" s="78"/>
      <c r="C2273" s="78"/>
      <c r="D2273" s="45"/>
      <c r="E2273" s="45"/>
      <c r="F2273" s="45"/>
      <c r="G2273" s="45"/>
    </row>
    <row r="2274">
      <c r="A2274" s="136"/>
      <c r="B2274" s="78"/>
      <c r="C2274" s="78"/>
      <c r="D2274" s="45"/>
      <c r="E2274" s="45"/>
      <c r="F2274" s="45"/>
      <c r="G2274" s="45"/>
    </row>
    <row r="2275">
      <c r="A2275" s="136"/>
      <c r="B2275" s="78"/>
      <c r="C2275" s="78"/>
      <c r="D2275" s="45"/>
      <c r="E2275" s="45"/>
      <c r="F2275" s="45"/>
      <c r="G2275" s="45"/>
    </row>
    <row r="2276">
      <c r="A2276" s="136"/>
      <c r="B2276" s="78"/>
      <c r="C2276" s="78"/>
      <c r="D2276" s="45"/>
      <c r="E2276" s="45"/>
      <c r="F2276" s="45"/>
      <c r="G2276" s="45"/>
    </row>
    <row r="2277">
      <c r="A2277" s="136"/>
      <c r="B2277" s="78"/>
      <c r="C2277" s="78"/>
      <c r="D2277" s="45"/>
      <c r="E2277" s="45"/>
      <c r="F2277" s="45"/>
      <c r="G2277" s="45"/>
    </row>
    <row r="2278">
      <c r="A2278" s="136"/>
      <c r="B2278" s="78"/>
      <c r="C2278" s="78"/>
      <c r="D2278" s="45"/>
      <c r="E2278" s="45"/>
      <c r="F2278" s="45"/>
      <c r="G2278" s="45"/>
    </row>
    <row r="2279">
      <c r="A2279" s="136"/>
      <c r="B2279" s="78"/>
      <c r="C2279" s="78"/>
      <c r="D2279" s="45"/>
      <c r="E2279" s="45"/>
      <c r="F2279" s="45"/>
      <c r="G2279" s="45"/>
    </row>
    <row r="2280">
      <c r="A2280" s="136"/>
      <c r="B2280" s="78"/>
      <c r="C2280" s="78"/>
      <c r="D2280" s="45"/>
      <c r="E2280" s="45"/>
      <c r="F2280" s="45"/>
      <c r="G2280" s="45"/>
    </row>
    <row r="2281">
      <c r="A2281" s="136"/>
      <c r="B2281" s="78"/>
      <c r="C2281" s="78"/>
      <c r="D2281" s="45"/>
      <c r="E2281" s="45"/>
      <c r="F2281" s="45"/>
      <c r="G2281" s="45"/>
    </row>
    <row r="2282">
      <c r="A2282" s="136"/>
      <c r="B2282" s="78"/>
      <c r="C2282" s="78"/>
      <c r="D2282" s="45"/>
      <c r="E2282" s="45"/>
      <c r="F2282" s="45"/>
      <c r="G2282" s="45"/>
    </row>
    <row r="2283">
      <c r="A2283" s="136"/>
      <c r="B2283" s="78"/>
      <c r="C2283" s="78"/>
      <c r="D2283" s="45"/>
      <c r="E2283" s="45"/>
      <c r="F2283" s="45"/>
      <c r="G2283" s="45"/>
    </row>
    <row r="2284">
      <c r="A2284" s="136"/>
      <c r="B2284" s="78"/>
      <c r="C2284" s="78"/>
      <c r="D2284" s="45"/>
      <c r="E2284" s="45"/>
      <c r="F2284" s="45"/>
      <c r="G2284" s="45"/>
    </row>
    <row r="2285">
      <c r="A2285" s="136"/>
      <c r="B2285" s="78"/>
      <c r="C2285" s="78"/>
      <c r="D2285" s="45"/>
      <c r="E2285" s="45"/>
      <c r="F2285" s="45"/>
      <c r="G2285" s="45"/>
    </row>
    <row r="2286">
      <c r="A2286" s="136"/>
      <c r="B2286" s="78"/>
      <c r="C2286" s="78"/>
      <c r="D2286" s="45"/>
      <c r="E2286" s="45"/>
      <c r="F2286" s="45"/>
      <c r="G2286" s="45"/>
    </row>
    <row r="2287">
      <c r="A2287" s="136"/>
      <c r="B2287" s="78"/>
      <c r="C2287" s="78"/>
      <c r="D2287" s="45"/>
      <c r="E2287" s="45"/>
      <c r="F2287" s="45"/>
      <c r="G2287" s="45"/>
    </row>
    <row r="2288">
      <c r="A2288" s="136"/>
      <c r="B2288" s="78"/>
      <c r="C2288" s="78"/>
      <c r="D2288" s="45"/>
      <c r="E2288" s="45"/>
      <c r="F2288" s="45"/>
      <c r="G2288" s="45"/>
    </row>
    <row r="2289">
      <c r="A2289" s="136"/>
      <c r="B2289" s="78"/>
      <c r="C2289" s="78"/>
      <c r="D2289" s="45"/>
      <c r="E2289" s="45"/>
      <c r="F2289" s="45"/>
      <c r="G2289" s="45"/>
    </row>
    <row r="2290">
      <c r="A2290" s="136"/>
      <c r="B2290" s="78"/>
      <c r="C2290" s="78"/>
      <c r="D2290" s="45"/>
      <c r="E2290" s="45"/>
      <c r="F2290" s="45"/>
      <c r="G2290" s="45"/>
    </row>
    <row r="2291">
      <c r="A2291" s="136"/>
      <c r="B2291" s="78"/>
      <c r="C2291" s="78"/>
      <c r="D2291" s="45"/>
      <c r="E2291" s="45"/>
      <c r="F2291" s="45"/>
      <c r="G2291" s="45"/>
    </row>
    <row r="2292">
      <c r="A2292" s="136"/>
      <c r="B2292" s="78"/>
      <c r="C2292" s="78"/>
      <c r="D2292" s="45"/>
      <c r="E2292" s="45"/>
      <c r="F2292" s="45"/>
      <c r="G2292" s="45"/>
    </row>
    <row r="2293">
      <c r="A2293" s="136"/>
      <c r="B2293" s="78"/>
      <c r="C2293" s="78"/>
      <c r="D2293" s="45"/>
      <c r="E2293" s="45"/>
      <c r="F2293" s="45"/>
      <c r="G2293" s="45"/>
    </row>
    <row r="2294">
      <c r="A2294" s="136"/>
      <c r="B2294" s="78"/>
      <c r="C2294" s="78"/>
      <c r="D2294" s="45"/>
      <c r="E2294" s="45"/>
      <c r="F2294" s="45"/>
      <c r="G2294" s="45"/>
    </row>
    <row r="2295">
      <c r="A2295" s="136"/>
      <c r="B2295" s="78"/>
      <c r="C2295" s="78"/>
      <c r="D2295" s="45"/>
      <c r="E2295" s="45"/>
      <c r="F2295" s="45"/>
      <c r="G2295" s="45"/>
    </row>
    <row r="2296">
      <c r="A2296" s="136"/>
      <c r="B2296" s="78"/>
      <c r="C2296" s="78"/>
      <c r="D2296" s="45"/>
      <c r="E2296" s="45"/>
      <c r="F2296" s="45"/>
      <c r="G2296" s="45"/>
    </row>
    <row r="2297">
      <c r="A2297" s="136"/>
      <c r="B2297" s="78"/>
      <c r="C2297" s="78"/>
      <c r="D2297" s="45"/>
      <c r="E2297" s="45"/>
      <c r="F2297" s="45"/>
      <c r="G2297" s="45"/>
    </row>
    <row r="2298">
      <c r="A2298" s="136"/>
      <c r="B2298" s="78"/>
      <c r="C2298" s="78"/>
      <c r="D2298" s="45"/>
      <c r="E2298" s="45"/>
      <c r="F2298" s="45"/>
      <c r="G2298" s="45"/>
    </row>
    <row r="2299">
      <c r="A2299" s="136"/>
      <c r="B2299" s="78"/>
      <c r="C2299" s="78"/>
      <c r="D2299" s="45"/>
      <c r="E2299" s="45"/>
      <c r="F2299" s="45"/>
      <c r="G2299" s="45"/>
    </row>
    <row r="2300">
      <c r="A2300" s="136"/>
      <c r="B2300" s="78"/>
      <c r="C2300" s="78"/>
      <c r="D2300" s="45"/>
      <c r="E2300" s="45"/>
      <c r="F2300" s="45"/>
      <c r="G2300" s="45"/>
    </row>
    <row r="2301">
      <c r="A2301" s="136"/>
      <c r="B2301" s="78"/>
      <c r="C2301" s="78"/>
      <c r="D2301" s="45"/>
      <c r="E2301" s="45"/>
      <c r="F2301" s="45"/>
      <c r="G2301" s="45"/>
    </row>
    <row r="2302">
      <c r="A2302" s="136"/>
      <c r="B2302" s="78"/>
      <c r="C2302" s="78"/>
      <c r="D2302" s="45"/>
      <c r="E2302" s="45"/>
      <c r="F2302" s="45"/>
      <c r="G2302" s="45"/>
    </row>
    <row r="2303">
      <c r="A2303" s="136"/>
      <c r="B2303" s="78"/>
      <c r="C2303" s="78"/>
      <c r="D2303" s="45"/>
      <c r="E2303" s="45"/>
      <c r="F2303" s="45"/>
      <c r="G2303" s="45"/>
    </row>
    <row r="2304">
      <c r="A2304" s="136"/>
      <c r="B2304" s="78"/>
      <c r="C2304" s="78"/>
      <c r="D2304" s="45"/>
      <c r="E2304" s="45"/>
      <c r="F2304" s="45"/>
      <c r="G2304" s="45"/>
    </row>
    <row r="2305">
      <c r="A2305" s="136"/>
      <c r="B2305" s="78"/>
      <c r="C2305" s="78"/>
      <c r="D2305" s="45"/>
      <c r="E2305" s="45"/>
      <c r="F2305" s="45"/>
      <c r="G2305" s="45"/>
    </row>
    <row r="2306">
      <c r="A2306" s="136"/>
      <c r="B2306" s="78"/>
      <c r="C2306" s="78"/>
      <c r="D2306" s="45"/>
      <c r="E2306" s="45"/>
      <c r="F2306" s="45"/>
      <c r="G2306" s="45"/>
    </row>
    <row r="2307">
      <c r="A2307" s="136"/>
      <c r="B2307" s="78"/>
      <c r="C2307" s="78"/>
      <c r="D2307" s="45"/>
      <c r="E2307" s="45"/>
      <c r="F2307" s="45"/>
      <c r="G2307" s="45"/>
    </row>
    <row r="2308">
      <c r="A2308" s="136"/>
      <c r="B2308" s="78"/>
      <c r="C2308" s="78"/>
      <c r="D2308" s="45"/>
      <c r="E2308" s="45"/>
      <c r="F2308" s="45"/>
      <c r="G2308" s="45"/>
    </row>
    <row r="2309">
      <c r="A2309" s="136"/>
      <c r="B2309" s="78"/>
      <c r="C2309" s="78"/>
      <c r="D2309" s="45"/>
      <c r="E2309" s="45"/>
      <c r="F2309" s="45"/>
      <c r="G2309" s="45"/>
    </row>
    <row r="2310">
      <c r="A2310" s="136"/>
      <c r="B2310" s="78"/>
      <c r="C2310" s="78"/>
      <c r="D2310" s="45"/>
      <c r="E2310" s="45"/>
      <c r="F2310" s="45"/>
      <c r="G2310" s="45"/>
    </row>
    <row r="2311">
      <c r="A2311" s="136"/>
      <c r="B2311" s="78"/>
      <c r="C2311" s="78"/>
      <c r="D2311" s="45"/>
      <c r="E2311" s="45"/>
      <c r="F2311" s="45"/>
      <c r="G2311" s="45"/>
    </row>
    <row r="2312">
      <c r="A2312" s="136"/>
      <c r="B2312" s="78"/>
      <c r="C2312" s="78"/>
      <c r="D2312" s="45"/>
      <c r="E2312" s="45"/>
      <c r="F2312" s="45"/>
      <c r="G2312" s="45"/>
    </row>
    <row r="2313">
      <c r="A2313" s="136"/>
      <c r="B2313" s="78"/>
      <c r="C2313" s="78"/>
      <c r="D2313" s="45"/>
      <c r="E2313" s="45"/>
      <c r="F2313" s="45"/>
      <c r="G2313" s="45"/>
    </row>
    <row r="2314">
      <c r="A2314" s="136"/>
      <c r="B2314" s="78"/>
      <c r="C2314" s="78"/>
      <c r="D2314" s="45"/>
      <c r="E2314" s="45"/>
      <c r="F2314" s="45"/>
      <c r="G2314" s="45"/>
    </row>
    <row r="2315">
      <c r="A2315" s="136"/>
      <c r="B2315" s="78"/>
      <c r="C2315" s="78"/>
      <c r="D2315" s="45"/>
      <c r="E2315" s="45"/>
      <c r="F2315" s="45"/>
      <c r="G2315" s="45"/>
    </row>
    <row r="2316">
      <c r="A2316" s="136"/>
      <c r="B2316" s="78"/>
      <c r="C2316" s="78"/>
      <c r="D2316" s="45"/>
      <c r="E2316" s="45"/>
      <c r="F2316" s="45"/>
      <c r="G2316" s="45"/>
    </row>
    <row r="2317">
      <c r="A2317" s="136"/>
      <c r="B2317" s="78"/>
      <c r="C2317" s="78"/>
      <c r="D2317" s="45"/>
      <c r="E2317" s="45"/>
      <c r="F2317" s="45"/>
      <c r="G2317" s="45"/>
    </row>
    <row r="2318">
      <c r="A2318" s="136"/>
      <c r="B2318" s="78"/>
      <c r="C2318" s="78"/>
      <c r="D2318" s="45"/>
      <c r="E2318" s="45"/>
      <c r="F2318" s="45"/>
      <c r="G2318" s="45"/>
    </row>
    <row r="2319">
      <c r="A2319" s="136"/>
      <c r="B2319" s="78"/>
      <c r="C2319" s="78"/>
      <c r="D2319" s="45"/>
      <c r="E2319" s="45"/>
      <c r="F2319" s="45"/>
      <c r="G2319" s="45"/>
    </row>
    <row r="2320">
      <c r="A2320" s="136"/>
      <c r="B2320" s="78"/>
      <c r="C2320" s="78"/>
      <c r="D2320" s="45"/>
      <c r="E2320" s="45"/>
      <c r="F2320" s="45"/>
      <c r="G2320" s="45"/>
    </row>
    <row r="2321">
      <c r="A2321" s="136"/>
      <c r="B2321" s="78"/>
      <c r="C2321" s="78"/>
      <c r="D2321" s="45"/>
      <c r="E2321" s="45"/>
      <c r="F2321" s="45"/>
      <c r="G2321" s="45"/>
    </row>
    <row r="2322">
      <c r="A2322" s="136"/>
      <c r="B2322" s="78"/>
      <c r="C2322" s="78"/>
      <c r="D2322" s="45"/>
      <c r="E2322" s="45"/>
      <c r="F2322" s="45"/>
      <c r="G2322" s="45"/>
    </row>
    <row r="2323">
      <c r="A2323" s="136"/>
      <c r="B2323" s="78"/>
      <c r="C2323" s="78"/>
      <c r="D2323" s="45"/>
      <c r="E2323" s="45"/>
      <c r="F2323" s="45"/>
      <c r="G2323" s="45"/>
    </row>
    <row r="2324">
      <c r="A2324" s="136"/>
      <c r="B2324" s="78"/>
      <c r="C2324" s="78"/>
      <c r="D2324" s="45"/>
      <c r="E2324" s="45"/>
      <c r="F2324" s="45"/>
      <c r="G2324" s="45"/>
    </row>
    <row r="2325">
      <c r="A2325" s="136"/>
      <c r="B2325" s="78"/>
      <c r="C2325" s="78"/>
      <c r="D2325" s="45"/>
      <c r="E2325" s="45"/>
      <c r="F2325" s="45"/>
      <c r="G2325" s="45"/>
    </row>
    <row r="2326">
      <c r="A2326" s="136"/>
      <c r="B2326" s="78"/>
      <c r="C2326" s="78"/>
      <c r="D2326" s="45"/>
      <c r="E2326" s="45"/>
      <c r="F2326" s="45"/>
      <c r="G2326" s="45"/>
    </row>
    <row r="2327">
      <c r="A2327" s="136"/>
      <c r="B2327" s="78"/>
      <c r="C2327" s="78"/>
      <c r="D2327" s="45"/>
      <c r="E2327" s="45"/>
      <c r="F2327" s="45"/>
      <c r="G2327" s="45"/>
    </row>
    <row r="2328">
      <c r="A2328" s="136"/>
      <c r="B2328" s="78"/>
      <c r="C2328" s="78"/>
      <c r="D2328" s="45"/>
      <c r="E2328" s="45"/>
      <c r="F2328" s="45"/>
      <c r="G2328" s="45"/>
    </row>
    <row r="2329">
      <c r="A2329" s="136"/>
      <c r="B2329" s="78"/>
      <c r="C2329" s="78"/>
      <c r="D2329" s="45"/>
      <c r="E2329" s="45"/>
      <c r="F2329" s="45"/>
      <c r="G2329" s="45"/>
    </row>
    <row r="2330">
      <c r="A2330" s="136"/>
      <c r="B2330" s="78"/>
      <c r="C2330" s="78"/>
      <c r="D2330" s="45"/>
      <c r="E2330" s="45"/>
      <c r="F2330" s="45"/>
      <c r="G2330" s="45"/>
    </row>
    <row r="2331">
      <c r="A2331" s="136"/>
      <c r="B2331" s="78"/>
      <c r="C2331" s="78"/>
      <c r="D2331" s="45"/>
      <c r="E2331" s="45"/>
      <c r="F2331" s="45"/>
      <c r="G2331" s="45"/>
    </row>
    <row r="2332">
      <c r="A2332" s="136"/>
      <c r="B2332" s="78"/>
      <c r="C2332" s="78"/>
      <c r="D2332" s="45"/>
      <c r="E2332" s="45"/>
      <c r="F2332" s="45"/>
      <c r="G2332" s="45"/>
    </row>
    <row r="2333">
      <c r="A2333" s="136"/>
      <c r="B2333" s="78"/>
      <c r="C2333" s="78"/>
      <c r="D2333" s="45"/>
      <c r="E2333" s="45"/>
      <c r="F2333" s="45"/>
      <c r="G2333" s="45"/>
    </row>
    <row r="2334">
      <c r="A2334" s="136"/>
      <c r="B2334" s="78"/>
      <c r="C2334" s="78"/>
      <c r="D2334" s="45"/>
      <c r="E2334" s="45"/>
      <c r="F2334" s="45"/>
      <c r="G2334" s="45"/>
    </row>
    <row r="2335">
      <c r="A2335" s="136"/>
      <c r="B2335" s="78"/>
      <c r="C2335" s="78"/>
      <c r="D2335" s="45"/>
      <c r="E2335" s="45"/>
      <c r="F2335" s="45"/>
      <c r="G2335" s="45"/>
    </row>
    <row r="2336">
      <c r="A2336" s="136"/>
      <c r="B2336" s="78"/>
      <c r="C2336" s="78"/>
      <c r="D2336" s="45"/>
      <c r="E2336" s="45"/>
      <c r="F2336" s="45"/>
      <c r="G2336" s="45"/>
    </row>
    <row r="2337">
      <c r="A2337" s="136"/>
      <c r="B2337" s="78"/>
      <c r="C2337" s="78"/>
      <c r="D2337" s="45"/>
      <c r="E2337" s="45"/>
      <c r="F2337" s="45"/>
      <c r="G2337" s="45"/>
    </row>
    <row r="2338">
      <c r="A2338" s="136"/>
      <c r="B2338" s="78"/>
      <c r="C2338" s="78"/>
      <c r="D2338" s="45"/>
      <c r="E2338" s="45"/>
      <c r="F2338" s="45"/>
      <c r="G2338" s="45"/>
    </row>
    <row r="2339">
      <c r="A2339" s="136"/>
      <c r="B2339" s="78"/>
      <c r="C2339" s="78"/>
      <c r="D2339" s="45"/>
      <c r="E2339" s="45"/>
      <c r="F2339" s="45"/>
      <c r="G2339" s="45"/>
    </row>
    <row r="2340">
      <c r="A2340" s="136"/>
      <c r="B2340" s="78"/>
      <c r="C2340" s="78"/>
      <c r="D2340" s="45"/>
      <c r="E2340" s="45"/>
      <c r="F2340" s="45"/>
      <c r="G2340" s="45"/>
    </row>
    <row r="2341">
      <c r="A2341" s="136"/>
      <c r="B2341" s="78"/>
      <c r="C2341" s="78"/>
      <c r="D2341" s="45"/>
      <c r="E2341" s="45"/>
      <c r="F2341" s="45"/>
      <c r="G2341" s="45"/>
    </row>
    <row r="2342">
      <c r="A2342" s="136"/>
      <c r="B2342" s="78"/>
      <c r="C2342" s="78"/>
      <c r="D2342" s="45"/>
      <c r="E2342" s="45"/>
      <c r="F2342" s="45"/>
      <c r="G2342" s="45"/>
    </row>
    <row r="2343">
      <c r="A2343" s="136"/>
      <c r="B2343" s="78"/>
      <c r="C2343" s="78"/>
      <c r="D2343" s="45"/>
      <c r="E2343" s="45"/>
      <c r="F2343" s="45"/>
      <c r="G2343" s="45"/>
    </row>
    <row r="2344">
      <c r="A2344" s="136"/>
      <c r="B2344" s="78"/>
      <c r="C2344" s="78"/>
      <c r="D2344" s="45"/>
      <c r="E2344" s="45"/>
      <c r="F2344" s="45"/>
      <c r="G2344" s="45"/>
    </row>
    <row r="2345">
      <c r="A2345" s="136"/>
      <c r="B2345" s="78"/>
      <c r="C2345" s="78"/>
      <c r="D2345" s="45"/>
      <c r="E2345" s="45"/>
      <c r="F2345" s="45"/>
      <c r="G2345" s="45"/>
    </row>
    <row r="2346">
      <c r="A2346" s="136"/>
      <c r="B2346" s="78"/>
      <c r="C2346" s="78"/>
      <c r="D2346" s="45"/>
      <c r="E2346" s="45"/>
      <c r="F2346" s="45"/>
      <c r="G2346" s="45"/>
    </row>
    <row r="2347">
      <c r="A2347" s="136"/>
      <c r="B2347" s="78"/>
      <c r="C2347" s="78"/>
      <c r="D2347" s="45"/>
      <c r="E2347" s="45"/>
      <c r="F2347" s="45"/>
      <c r="G2347" s="45"/>
    </row>
    <row r="2348">
      <c r="A2348" s="136"/>
      <c r="B2348" s="78"/>
      <c r="C2348" s="78"/>
      <c r="D2348" s="45"/>
      <c r="E2348" s="45"/>
      <c r="F2348" s="45"/>
      <c r="G2348" s="45"/>
    </row>
    <row r="2349">
      <c r="A2349" s="136"/>
      <c r="B2349" s="78"/>
      <c r="C2349" s="78"/>
      <c r="D2349" s="45"/>
      <c r="E2349" s="45"/>
      <c r="F2349" s="45"/>
      <c r="G2349" s="45"/>
    </row>
    <row r="2350">
      <c r="A2350" s="136"/>
      <c r="B2350" s="78"/>
      <c r="C2350" s="78"/>
      <c r="D2350" s="45"/>
      <c r="E2350" s="45"/>
      <c r="F2350" s="45"/>
      <c r="G2350" s="45"/>
    </row>
    <row r="2351">
      <c r="A2351" s="136"/>
      <c r="B2351" s="78"/>
      <c r="C2351" s="78"/>
      <c r="D2351" s="45"/>
      <c r="E2351" s="45"/>
      <c r="F2351" s="45"/>
      <c r="G2351" s="45"/>
    </row>
    <row r="2352">
      <c r="A2352" s="136"/>
      <c r="B2352" s="78"/>
      <c r="C2352" s="78"/>
      <c r="D2352" s="45"/>
      <c r="E2352" s="45"/>
      <c r="F2352" s="45"/>
      <c r="G2352" s="45"/>
    </row>
    <row r="2353">
      <c r="A2353" s="136"/>
      <c r="B2353" s="78"/>
      <c r="C2353" s="78"/>
      <c r="D2353" s="45"/>
      <c r="E2353" s="45"/>
      <c r="F2353" s="45"/>
      <c r="G2353" s="45"/>
    </row>
    <row r="2354">
      <c r="A2354" s="136"/>
      <c r="B2354" s="78"/>
      <c r="C2354" s="78"/>
      <c r="D2354" s="45"/>
      <c r="E2354" s="45"/>
      <c r="F2354" s="45"/>
      <c r="G2354" s="45"/>
    </row>
    <row r="2355">
      <c r="A2355" s="136"/>
      <c r="B2355" s="78"/>
      <c r="C2355" s="78"/>
      <c r="D2355" s="45"/>
      <c r="E2355" s="45"/>
      <c r="F2355" s="45"/>
      <c r="G2355" s="45"/>
    </row>
    <row r="2356">
      <c r="A2356" s="136"/>
      <c r="B2356" s="78"/>
      <c r="C2356" s="78"/>
      <c r="D2356" s="45"/>
      <c r="E2356" s="45"/>
      <c r="F2356" s="45"/>
      <c r="G2356" s="45"/>
    </row>
    <row r="2357">
      <c r="A2357" s="136"/>
      <c r="B2357" s="78"/>
      <c r="C2357" s="78"/>
      <c r="D2357" s="45"/>
      <c r="E2357" s="45"/>
      <c r="F2357" s="45"/>
      <c r="G2357" s="45"/>
    </row>
    <row r="2358">
      <c r="A2358" s="136"/>
      <c r="B2358" s="78"/>
      <c r="C2358" s="78"/>
      <c r="D2358" s="45"/>
      <c r="E2358" s="45"/>
      <c r="F2358" s="45"/>
      <c r="G2358" s="45"/>
    </row>
    <row r="2359">
      <c r="A2359" s="136"/>
      <c r="B2359" s="78"/>
      <c r="C2359" s="78"/>
      <c r="D2359" s="45"/>
      <c r="E2359" s="45"/>
      <c r="F2359" s="45"/>
      <c r="G2359" s="45"/>
    </row>
    <row r="2360">
      <c r="A2360" s="136"/>
      <c r="B2360" s="78"/>
      <c r="C2360" s="78"/>
      <c r="D2360" s="45"/>
      <c r="E2360" s="45"/>
      <c r="F2360" s="45"/>
      <c r="G2360" s="45"/>
    </row>
    <row r="2361">
      <c r="A2361" s="136"/>
      <c r="B2361" s="78"/>
      <c r="C2361" s="78"/>
      <c r="D2361" s="45"/>
      <c r="E2361" s="45"/>
      <c r="F2361" s="45"/>
      <c r="G2361" s="45"/>
    </row>
    <row r="2362">
      <c r="A2362" s="136"/>
      <c r="B2362" s="78"/>
      <c r="C2362" s="78"/>
      <c r="D2362" s="45"/>
      <c r="E2362" s="45"/>
      <c r="F2362" s="45"/>
      <c r="G2362" s="45"/>
    </row>
    <row r="2363">
      <c r="A2363" s="136"/>
      <c r="B2363" s="78"/>
      <c r="C2363" s="78"/>
      <c r="D2363" s="45"/>
      <c r="E2363" s="45"/>
      <c r="F2363" s="45"/>
      <c r="G2363" s="45"/>
    </row>
    <row r="2364">
      <c r="A2364" s="136"/>
      <c r="B2364" s="78"/>
      <c r="C2364" s="78"/>
      <c r="D2364" s="45"/>
      <c r="E2364" s="45"/>
      <c r="F2364" s="45"/>
      <c r="G2364" s="45"/>
    </row>
    <row r="2365">
      <c r="A2365" s="136"/>
      <c r="B2365" s="78"/>
      <c r="C2365" s="78"/>
      <c r="D2365" s="45"/>
      <c r="E2365" s="45"/>
      <c r="F2365" s="45"/>
      <c r="G2365" s="45"/>
    </row>
    <row r="2366">
      <c r="A2366" s="136"/>
      <c r="B2366" s="78"/>
      <c r="C2366" s="78"/>
      <c r="D2366" s="45"/>
      <c r="E2366" s="45"/>
      <c r="F2366" s="45"/>
      <c r="G2366" s="45"/>
    </row>
    <row r="2367">
      <c r="A2367" s="136"/>
      <c r="B2367" s="78"/>
      <c r="C2367" s="78"/>
      <c r="D2367" s="45"/>
      <c r="E2367" s="45"/>
      <c r="F2367" s="45"/>
      <c r="G2367" s="45"/>
    </row>
    <row r="2368">
      <c r="A2368" s="136"/>
      <c r="B2368" s="78"/>
      <c r="C2368" s="78"/>
      <c r="D2368" s="45"/>
      <c r="E2368" s="45"/>
      <c r="F2368" s="45"/>
      <c r="G2368" s="45"/>
    </row>
    <row r="2369">
      <c r="A2369" s="136"/>
      <c r="B2369" s="78"/>
      <c r="C2369" s="78"/>
      <c r="D2369" s="45"/>
      <c r="E2369" s="45"/>
      <c r="F2369" s="45"/>
      <c r="G2369" s="45"/>
    </row>
    <row r="2370">
      <c r="A2370" s="136"/>
      <c r="B2370" s="78"/>
      <c r="C2370" s="78"/>
      <c r="D2370" s="45"/>
      <c r="E2370" s="45"/>
      <c r="F2370" s="45"/>
      <c r="G2370" s="45"/>
    </row>
    <row r="2371">
      <c r="A2371" s="136"/>
      <c r="B2371" s="78"/>
      <c r="C2371" s="78"/>
      <c r="D2371" s="45"/>
      <c r="E2371" s="45"/>
      <c r="F2371" s="45"/>
      <c r="G2371" s="45"/>
    </row>
    <row r="2372">
      <c r="A2372" s="136"/>
      <c r="B2372" s="78"/>
      <c r="C2372" s="78"/>
      <c r="D2372" s="45"/>
      <c r="E2372" s="45"/>
      <c r="F2372" s="45"/>
      <c r="G2372" s="45"/>
    </row>
    <row r="2373">
      <c r="A2373" s="136"/>
      <c r="B2373" s="78"/>
      <c r="C2373" s="78"/>
      <c r="D2373" s="45"/>
      <c r="E2373" s="45"/>
      <c r="F2373" s="45"/>
      <c r="G2373" s="45"/>
    </row>
    <row r="2374">
      <c r="A2374" s="136"/>
      <c r="B2374" s="78"/>
      <c r="C2374" s="78"/>
      <c r="D2374" s="45"/>
      <c r="E2374" s="45"/>
      <c r="F2374" s="45"/>
      <c r="G2374" s="45"/>
    </row>
    <row r="2375">
      <c r="A2375" s="136"/>
      <c r="B2375" s="78"/>
      <c r="C2375" s="78"/>
      <c r="D2375" s="45"/>
      <c r="E2375" s="45"/>
      <c r="F2375" s="45"/>
      <c r="G2375" s="45"/>
    </row>
    <row r="2376">
      <c r="A2376" s="136"/>
      <c r="B2376" s="78"/>
      <c r="C2376" s="78"/>
      <c r="D2376" s="45"/>
      <c r="E2376" s="45"/>
      <c r="F2376" s="45"/>
      <c r="G2376" s="45"/>
    </row>
    <row r="2377">
      <c r="A2377" s="136"/>
      <c r="B2377" s="78"/>
      <c r="C2377" s="78"/>
      <c r="D2377" s="45"/>
      <c r="E2377" s="45"/>
      <c r="F2377" s="45"/>
      <c r="G2377" s="45"/>
    </row>
    <row r="2378">
      <c r="A2378" s="136"/>
      <c r="B2378" s="78"/>
      <c r="C2378" s="78"/>
      <c r="D2378" s="45"/>
      <c r="E2378" s="45"/>
      <c r="F2378" s="45"/>
      <c r="G2378" s="45"/>
    </row>
    <row r="2379">
      <c r="A2379" s="136"/>
      <c r="B2379" s="78"/>
      <c r="C2379" s="78"/>
      <c r="D2379" s="45"/>
      <c r="E2379" s="45"/>
      <c r="F2379" s="45"/>
      <c r="G2379" s="45"/>
    </row>
    <row r="2380">
      <c r="A2380" s="136"/>
      <c r="B2380" s="78"/>
      <c r="C2380" s="78"/>
      <c r="D2380" s="45"/>
      <c r="E2380" s="45"/>
      <c r="F2380" s="45"/>
      <c r="G2380" s="45"/>
    </row>
    <row r="2381">
      <c r="A2381" s="136"/>
      <c r="B2381" s="78"/>
      <c r="C2381" s="78"/>
      <c r="D2381" s="45"/>
      <c r="E2381" s="45"/>
      <c r="F2381" s="45"/>
      <c r="G2381" s="45"/>
    </row>
    <row r="2382">
      <c r="A2382" s="136"/>
      <c r="B2382" s="78"/>
      <c r="C2382" s="78"/>
      <c r="D2382" s="45"/>
      <c r="E2382" s="45"/>
      <c r="F2382" s="45"/>
      <c r="G2382" s="45"/>
    </row>
    <row r="2383">
      <c r="A2383" s="136"/>
      <c r="B2383" s="78"/>
      <c r="C2383" s="78"/>
      <c r="D2383" s="45"/>
      <c r="E2383" s="45"/>
      <c r="F2383" s="45"/>
      <c r="G2383" s="45"/>
    </row>
    <row r="2384">
      <c r="A2384" s="136"/>
      <c r="B2384" s="78"/>
      <c r="C2384" s="78"/>
      <c r="D2384" s="45"/>
      <c r="E2384" s="45"/>
      <c r="F2384" s="45"/>
      <c r="G2384" s="45"/>
    </row>
    <row r="2385">
      <c r="A2385" s="136"/>
      <c r="B2385" s="78"/>
      <c r="C2385" s="78"/>
      <c r="D2385" s="45"/>
      <c r="E2385" s="45"/>
      <c r="F2385" s="45"/>
      <c r="G2385" s="45"/>
    </row>
    <row r="2386">
      <c r="A2386" s="136"/>
      <c r="B2386" s="78"/>
      <c r="C2386" s="78"/>
      <c r="D2386" s="45"/>
      <c r="E2386" s="45"/>
      <c r="F2386" s="45"/>
      <c r="G2386" s="45"/>
    </row>
    <row r="2387">
      <c r="A2387" s="136"/>
      <c r="B2387" s="78"/>
      <c r="C2387" s="78"/>
      <c r="D2387" s="45"/>
      <c r="E2387" s="45"/>
      <c r="F2387" s="45"/>
      <c r="G2387" s="45"/>
    </row>
    <row r="2388">
      <c r="A2388" s="136"/>
      <c r="B2388" s="78"/>
      <c r="C2388" s="78"/>
      <c r="D2388" s="45"/>
      <c r="E2388" s="45"/>
      <c r="F2388" s="45"/>
      <c r="G2388" s="45"/>
    </row>
    <row r="2389">
      <c r="A2389" s="136"/>
      <c r="B2389" s="78"/>
      <c r="C2389" s="78"/>
      <c r="D2389" s="45"/>
      <c r="E2389" s="45"/>
      <c r="F2389" s="45"/>
      <c r="G2389" s="45"/>
    </row>
    <row r="2390">
      <c r="A2390" s="136"/>
      <c r="B2390" s="78"/>
      <c r="C2390" s="78"/>
      <c r="D2390" s="45"/>
      <c r="E2390" s="45"/>
      <c r="F2390" s="45"/>
      <c r="G2390" s="45"/>
    </row>
    <row r="2391">
      <c r="A2391" s="136"/>
      <c r="B2391" s="78"/>
      <c r="C2391" s="78"/>
      <c r="D2391" s="45"/>
      <c r="E2391" s="45"/>
      <c r="F2391" s="45"/>
      <c r="G2391" s="45"/>
    </row>
    <row r="2392">
      <c r="A2392" s="136"/>
      <c r="B2392" s="78"/>
      <c r="C2392" s="78"/>
      <c r="D2392" s="45"/>
      <c r="E2392" s="45"/>
      <c r="F2392" s="45"/>
      <c r="G2392" s="45"/>
    </row>
    <row r="2393">
      <c r="A2393" s="136"/>
      <c r="B2393" s="78"/>
      <c r="C2393" s="78"/>
      <c r="D2393" s="45"/>
      <c r="E2393" s="45"/>
      <c r="F2393" s="45"/>
      <c r="G2393" s="45"/>
    </row>
    <row r="2394">
      <c r="A2394" s="136"/>
      <c r="B2394" s="78"/>
      <c r="C2394" s="78"/>
      <c r="D2394" s="45"/>
      <c r="E2394" s="45"/>
      <c r="F2394" s="45"/>
      <c r="G2394" s="45"/>
    </row>
    <row r="2395">
      <c r="A2395" s="136"/>
      <c r="B2395" s="78"/>
      <c r="C2395" s="78"/>
      <c r="D2395" s="45"/>
      <c r="E2395" s="45"/>
      <c r="F2395" s="45"/>
      <c r="G2395" s="45"/>
    </row>
    <row r="2396">
      <c r="A2396" s="136"/>
      <c r="B2396" s="78"/>
      <c r="C2396" s="78"/>
      <c r="D2396" s="45"/>
      <c r="E2396" s="45"/>
      <c r="F2396" s="45"/>
      <c r="G2396" s="45"/>
    </row>
    <row r="2397">
      <c r="A2397" s="136"/>
      <c r="B2397" s="78"/>
      <c r="C2397" s="78"/>
      <c r="D2397" s="45"/>
      <c r="E2397" s="45"/>
      <c r="F2397" s="45"/>
      <c r="G2397" s="45"/>
    </row>
    <row r="2398">
      <c r="A2398" s="136"/>
      <c r="B2398" s="78"/>
      <c r="C2398" s="78"/>
      <c r="D2398" s="45"/>
      <c r="E2398" s="45"/>
      <c r="F2398" s="45"/>
      <c r="G2398" s="45"/>
    </row>
    <row r="2399">
      <c r="A2399" s="136"/>
      <c r="B2399" s="78"/>
      <c r="C2399" s="78"/>
      <c r="D2399" s="45"/>
      <c r="E2399" s="45"/>
      <c r="F2399" s="45"/>
      <c r="G2399" s="45"/>
    </row>
    <row r="2400">
      <c r="A2400" s="136"/>
      <c r="B2400" s="78"/>
      <c r="C2400" s="78"/>
      <c r="D2400" s="45"/>
      <c r="E2400" s="45"/>
      <c r="F2400" s="45"/>
      <c r="G2400" s="45"/>
    </row>
    <row r="2401">
      <c r="A2401" s="136"/>
      <c r="B2401" s="78"/>
      <c r="C2401" s="78"/>
      <c r="D2401" s="45"/>
      <c r="E2401" s="45"/>
      <c r="F2401" s="45"/>
      <c r="G2401" s="45"/>
    </row>
    <row r="2402">
      <c r="A2402" s="136"/>
      <c r="B2402" s="78"/>
      <c r="C2402" s="78"/>
      <c r="D2402" s="45"/>
      <c r="E2402" s="45"/>
      <c r="F2402" s="45"/>
      <c r="G2402" s="45"/>
    </row>
    <row r="2403">
      <c r="A2403" s="136"/>
      <c r="B2403" s="78"/>
      <c r="C2403" s="78"/>
      <c r="D2403" s="45"/>
      <c r="E2403" s="45"/>
      <c r="F2403" s="45"/>
      <c r="G2403" s="45"/>
    </row>
    <row r="2404">
      <c r="A2404" s="136"/>
      <c r="B2404" s="78"/>
      <c r="C2404" s="78"/>
      <c r="D2404" s="45"/>
      <c r="E2404" s="45"/>
      <c r="F2404" s="45"/>
      <c r="G2404" s="45"/>
    </row>
    <row r="2405">
      <c r="A2405" s="136"/>
      <c r="B2405" s="78"/>
      <c r="C2405" s="78"/>
      <c r="D2405" s="45"/>
      <c r="E2405" s="45"/>
      <c r="F2405" s="45"/>
      <c r="G2405" s="45"/>
    </row>
    <row r="2406">
      <c r="A2406" s="136"/>
      <c r="B2406" s="78"/>
      <c r="C2406" s="78"/>
      <c r="D2406" s="45"/>
      <c r="E2406" s="45"/>
      <c r="F2406" s="45"/>
      <c r="G2406" s="45"/>
    </row>
    <row r="2407">
      <c r="A2407" s="136"/>
      <c r="B2407" s="78"/>
      <c r="C2407" s="78"/>
      <c r="D2407" s="45"/>
      <c r="E2407" s="45"/>
      <c r="F2407" s="45"/>
      <c r="G2407" s="45"/>
    </row>
    <row r="2408">
      <c r="A2408" s="136"/>
      <c r="B2408" s="78"/>
      <c r="C2408" s="78"/>
      <c r="D2408" s="45"/>
      <c r="E2408" s="45"/>
      <c r="F2408" s="45"/>
      <c r="G2408" s="45"/>
    </row>
    <row r="2409">
      <c r="A2409" s="136"/>
      <c r="B2409" s="78"/>
      <c r="C2409" s="78"/>
      <c r="D2409" s="45"/>
      <c r="E2409" s="45"/>
      <c r="F2409" s="45"/>
      <c r="G2409" s="45"/>
    </row>
    <row r="2410">
      <c r="A2410" s="136"/>
      <c r="B2410" s="78"/>
      <c r="C2410" s="78"/>
      <c r="D2410" s="45"/>
      <c r="E2410" s="45"/>
      <c r="F2410" s="45"/>
      <c r="G2410" s="45"/>
    </row>
    <row r="2411">
      <c r="A2411" s="136"/>
      <c r="B2411" s="78"/>
      <c r="C2411" s="78"/>
      <c r="D2411" s="45"/>
      <c r="E2411" s="45"/>
      <c r="F2411" s="45"/>
      <c r="G2411" s="45"/>
    </row>
    <row r="2412">
      <c r="A2412" s="136"/>
      <c r="B2412" s="78"/>
      <c r="C2412" s="78"/>
      <c r="D2412" s="45"/>
      <c r="E2412" s="45"/>
      <c r="F2412" s="45"/>
      <c r="G2412" s="45"/>
    </row>
    <row r="2413">
      <c r="A2413" s="136"/>
      <c r="B2413" s="78"/>
      <c r="C2413" s="78"/>
      <c r="D2413" s="45"/>
      <c r="E2413" s="45"/>
      <c r="F2413" s="45"/>
      <c r="G2413" s="45"/>
    </row>
    <row r="2414">
      <c r="A2414" s="136"/>
      <c r="B2414" s="78"/>
      <c r="C2414" s="78"/>
      <c r="D2414" s="45"/>
      <c r="E2414" s="45"/>
      <c r="F2414" s="45"/>
      <c r="G2414" s="45"/>
    </row>
    <row r="2415">
      <c r="A2415" s="136"/>
      <c r="B2415" s="78"/>
      <c r="C2415" s="78"/>
      <c r="D2415" s="45"/>
      <c r="E2415" s="45"/>
      <c r="F2415" s="45"/>
      <c r="G2415" s="45"/>
    </row>
    <row r="2416">
      <c r="A2416" s="136"/>
      <c r="B2416" s="78"/>
      <c r="C2416" s="78"/>
      <c r="D2416" s="45"/>
      <c r="E2416" s="45"/>
      <c r="F2416" s="45"/>
      <c r="G2416" s="45"/>
    </row>
    <row r="2417">
      <c r="A2417" s="136"/>
      <c r="B2417" s="78"/>
      <c r="C2417" s="78"/>
      <c r="D2417" s="45"/>
      <c r="E2417" s="45"/>
      <c r="F2417" s="45"/>
      <c r="G2417" s="45"/>
    </row>
    <row r="2418">
      <c r="A2418" s="136"/>
      <c r="B2418" s="78"/>
      <c r="C2418" s="78"/>
      <c r="D2418" s="45"/>
      <c r="E2418" s="45"/>
      <c r="F2418" s="45"/>
      <c r="G2418" s="45"/>
    </row>
    <row r="2419">
      <c r="A2419" s="136"/>
      <c r="B2419" s="78"/>
      <c r="C2419" s="78"/>
      <c r="D2419" s="45"/>
      <c r="E2419" s="45"/>
      <c r="F2419" s="45"/>
      <c r="G2419" s="45"/>
    </row>
    <row r="2420">
      <c r="A2420" s="136"/>
      <c r="B2420" s="78"/>
      <c r="C2420" s="78"/>
      <c r="D2420" s="45"/>
      <c r="E2420" s="45"/>
      <c r="F2420" s="45"/>
      <c r="G2420" s="45"/>
    </row>
    <row r="2421">
      <c r="A2421" s="136"/>
      <c r="B2421" s="78"/>
      <c r="C2421" s="78"/>
      <c r="D2421" s="45"/>
      <c r="E2421" s="45"/>
      <c r="F2421" s="45"/>
      <c r="G2421" s="45"/>
    </row>
    <row r="2422">
      <c r="A2422" s="136"/>
      <c r="B2422" s="78"/>
      <c r="C2422" s="78"/>
      <c r="D2422" s="45"/>
      <c r="E2422" s="45"/>
      <c r="F2422" s="45"/>
      <c r="G2422" s="45"/>
    </row>
    <row r="2423">
      <c r="A2423" s="136"/>
      <c r="B2423" s="78"/>
      <c r="C2423" s="78"/>
      <c r="D2423" s="45"/>
      <c r="E2423" s="45"/>
      <c r="F2423" s="45"/>
      <c r="G2423" s="45"/>
    </row>
    <row r="2424">
      <c r="A2424" s="136"/>
      <c r="B2424" s="78"/>
      <c r="C2424" s="78"/>
      <c r="D2424" s="45"/>
      <c r="E2424" s="45"/>
      <c r="F2424" s="45"/>
      <c r="G2424" s="45"/>
    </row>
    <row r="2425">
      <c r="A2425" s="136"/>
      <c r="B2425" s="78"/>
      <c r="C2425" s="78"/>
      <c r="D2425" s="45"/>
      <c r="E2425" s="45"/>
      <c r="F2425" s="45"/>
      <c r="G2425" s="45"/>
    </row>
    <row r="2426">
      <c r="A2426" s="136"/>
      <c r="B2426" s="78"/>
      <c r="C2426" s="78"/>
      <c r="D2426" s="45"/>
      <c r="E2426" s="45"/>
      <c r="F2426" s="45"/>
      <c r="G2426" s="45"/>
    </row>
    <row r="2427">
      <c r="A2427" s="136"/>
      <c r="B2427" s="78"/>
      <c r="C2427" s="78"/>
      <c r="D2427" s="45"/>
      <c r="E2427" s="45"/>
      <c r="F2427" s="45"/>
      <c r="G2427" s="45"/>
    </row>
    <row r="2428">
      <c r="A2428" s="136"/>
      <c r="B2428" s="78"/>
      <c r="C2428" s="78"/>
      <c r="D2428" s="45"/>
      <c r="E2428" s="45"/>
      <c r="F2428" s="45"/>
      <c r="G2428" s="45"/>
    </row>
    <row r="2429">
      <c r="A2429" s="136"/>
      <c r="B2429" s="78"/>
      <c r="C2429" s="78"/>
      <c r="D2429" s="45"/>
      <c r="E2429" s="45"/>
      <c r="F2429" s="45"/>
      <c r="G2429" s="45"/>
    </row>
    <row r="2430">
      <c r="A2430" s="136"/>
      <c r="B2430" s="78"/>
      <c r="C2430" s="78"/>
      <c r="D2430" s="45"/>
      <c r="E2430" s="45"/>
      <c r="F2430" s="45"/>
      <c r="G2430" s="45"/>
    </row>
    <row r="2431">
      <c r="A2431" s="136"/>
      <c r="B2431" s="78"/>
      <c r="C2431" s="78"/>
      <c r="D2431" s="45"/>
      <c r="E2431" s="45"/>
      <c r="F2431" s="45"/>
      <c r="G2431" s="45"/>
    </row>
    <row r="2432">
      <c r="A2432" s="136"/>
      <c r="B2432" s="78"/>
      <c r="C2432" s="78"/>
      <c r="D2432" s="45"/>
      <c r="E2432" s="45"/>
      <c r="F2432" s="45"/>
      <c r="G2432" s="45"/>
    </row>
    <row r="2433">
      <c r="A2433" s="136"/>
      <c r="B2433" s="78"/>
      <c r="C2433" s="78"/>
      <c r="D2433" s="45"/>
      <c r="E2433" s="45"/>
      <c r="F2433" s="45"/>
      <c r="G2433" s="45"/>
    </row>
    <row r="2434">
      <c r="A2434" s="136"/>
      <c r="B2434" s="78"/>
      <c r="C2434" s="78"/>
      <c r="D2434" s="45"/>
      <c r="E2434" s="45"/>
      <c r="F2434" s="45"/>
      <c r="G2434" s="45"/>
    </row>
    <row r="2435">
      <c r="A2435" s="136"/>
      <c r="B2435" s="78"/>
      <c r="C2435" s="78"/>
      <c r="D2435" s="45"/>
      <c r="E2435" s="45"/>
      <c r="F2435" s="45"/>
      <c r="G2435" s="45"/>
    </row>
    <row r="2436">
      <c r="A2436" s="136"/>
      <c r="B2436" s="78"/>
      <c r="C2436" s="78"/>
      <c r="D2436" s="45"/>
      <c r="E2436" s="45"/>
      <c r="F2436" s="45"/>
      <c r="G2436" s="45"/>
    </row>
    <row r="2437">
      <c r="A2437" s="136"/>
      <c r="B2437" s="78"/>
      <c r="C2437" s="78"/>
      <c r="D2437" s="45"/>
      <c r="E2437" s="45"/>
      <c r="F2437" s="45"/>
      <c r="G2437" s="45"/>
    </row>
    <row r="2438">
      <c r="A2438" s="136"/>
      <c r="B2438" s="78"/>
      <c r="C2438" s="78"/>
      <c r="D2438" s="45"/>
      <c r="E2438" s="45"/>
      <c r="F2438" s="45"/>
      <c r="G2438" s="45"/>
    </row>
    <row r="2439">
      <c r="A2439" s="136"/>
      <c r="B2439" s="78"/>
      <c r="C2439" s="78"/>
      <c r="D2439" s="45"/>
      <c r="E2439" s="45"/>
      <c r="F2439" s="45"/>
      <c r="G2439" s="45"/>
    </row>
    <row r="2440">
      <c r="A2440" s="136"/>
      <c r="B2440" s="78"/>
      <c r="C2440" s="78"/>
      <c r="D2440" s="45"/>
      <c r="E2440" s="45"/>
      <c r="F2440" s="45"/>
      <c r="G2440" s="45"/>
    </row>
    <row r="2441">
      <c r="A2441" s="136"/>
      <c r="B2441" s="78"/>
      <c r="C2441" s="78"/>
      <c r="D2441" s="45"/>
      <c r="E2441" s="45"/>
      <c r="F2441" s="45"/>
      <c r="G2441" s="45"/>
    </row>
    <row r="2442">
      <c r="A2442" s="136"/>
      <c r="B2442" s="78"/>
      <c r="C2442" s="78"/>
      <c r="D2442" s="45"/>
      <c r="E2442" s="45"/>
      <c r="F2442" s="45"/>
      <c r="G2442" s="45"/>
    </row>
    <row r="2443">
      <c r="A2443" s="136"/>
      <c r="B2443" s="78"/>
      <c r="C2443" s="78"/>
      <c r="D2443" s="45"/>
      <c r="E2443" s="45"/>
      <c r="F2443" s="45"/>
      <c r="G2443" s="45"/>
    </row>
    <row r="2444">
      <c r="A2444" s="136"/>
      <c r="B2444" s="78"/>
      <c r="C2444" s="78"/>
      <c r="D2444" s="45"/>
      <c r="E2444" s="45"/>
      <c r="F2444" s="45"/>
      <c r="G2444" s="45"/>
    </row>
    <row r="2445">
      <c r="A2445" s="136"/>
      <c r="B2445" s="78"/>
      <c r="C2445" s="78"/>
      <c r="D2445" s="45"/>
      <c r="E2445" s="45"/>
      <c r="F2445" s="45"/>
      <c r="G2445" s="45"/>
    </row>
    <row r="2446">
      <c r="A2446" s="136"/>
      <c r="B2446" s="78"/>
      <c r="C2446" s="78"/>
      <c r="D2446" s="45"/>
      <c r="E2446" s="45"/>
      <c r="F2446" s="45"/>
      <c r="G2446" s="45"/>
    </row>
    <row r="2447">
      <c r="A2447" s="136"/>
      <c r="B2447" s="78"/>
      <c r="C2447" s="78"/>
      <c r="D2447" s="45"/>
      <c r="E2447" s="45"/>
      <c r="F2447" s="45"/>
      <c r="G2447" s="45"/>
    </row>
    <row r="2448">
      <c r="A2448" s="136"/>
      <c r="B2448" s="78"/>
      <c r="C2448" s="78"/>
      <c r="D2448" s="45"/>
      <c r="E2448" s="45"/>
      <c r="F2448" s="45"/>
      <c r="G2448" s="45"/>
    </row>
    <row r="2449">
      <c r="A2449" s="136"/>
      <c r="B2449" s="78"/>
      <c r="C2449" s="78"/>
      <c r="D2449" s="45"/>
      <c r="E2449" s="45"/>
      <c r="F2449" s="45"/>
      <c r="G2449" s="45"/>
    </row>
    <row r="2450">
      <c r="A2450" s="136"/>
      <c r="B2450" s="78"/>
      <c r="C2450" s="78"/>
      <c r="D2450" s="45"/>
      <c r="E2450" s="45"/>
      <c r="F2450" s="45"/>
      <c r="G2450" s="45"/>
    </row>
    <row r="2451">
      <c r="A2451" s="136"/>
      <c r="B2451" s="78"/>
      <c r="C2451" s="78"/>
      <c r="D2451" s="45"/>
      <c r="E2451" s="45"/>
      <c r="F2451" s="45"/>
      <c r="G2451" s="45"/>
    </row>
    <row r="2452">
      <c r="A2452" s="136"/>
      <c r="B2452" s="78"/>
      <c r="C2452" s="78"/>
      <c r="D2452" s="45"/>
      <c r="E2452" s="45"/>
      <c r="F2452" s="45"/>
      <c r="G2452" s="45"/>
    </row>
    <row r="2453">
      <c r="A2453" s="136"/>
      <c r="B2453" s="78"/>
      <c r="C2453" s="78"/>
      <c r="D2453" s="45"/>
      <c r="E2453" s="45"/>
      <c r="F2453" s="45"/>
      <c r="G2453" s="45"/>
    </row>
    <row r="2454">
      <c r="A2454" s="136"/>
      <c r="B2454" s="78"/>
      <c r="C2454" s="78"/>
      <c r="D2454" s="45"/>
      <c r="E2454" s="45"/>
      <c r="F2454" s="45"/>
      <c r="G2454" s="45"/>
    </row>
    <row r="2455">
      <c r="A2455" s="136"/>
      <c r="B2455" s="78"/>
      <c r="C2455" s="78"/>
      <c r="D2455" s="45"/>
      <c r="E2455" s="45"/>
      <c r="F2455" s="45"/>
      <c r="G2455" s="45"/>
    </row>
    <row r="2456">
      <c r="A2456" s="136"/>
      <c r="B2456" s="78"/>
      <c r="C2456" s="78"/>
      <c r="D2456" s="45"/>
      <c r="E2456" s="45"/>
      <c r="F2456" s="45"/>
      <c r="G2456" s="45"/>
    </row>
    <row r="2457">
      <c r="A2457" s="136"/>
      <c r="B2457" s="78"/>
      <c r="C2457" s="78"/>
      <c r="D2457" s="45"/>
      <c r="E2457" s="45"/>
      <c r="F2457" s="45"/>
      <c r="G2457" s="45"/>
    </row>
  </sheetData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2.38"/>
    <col customWidth="1" min="2" max="2" width="49.5"/>
    <col hidden="1" min="7" max="10" width="12.63"/>
    <col customWidth="1" hidden="1" min="11" max="11" width="20.38"/>
    <col hidden="1" min="12" max="12" width="12.63"/>
    <col customWidth="1" hidden="1" min="13" max="13" width="26.13"/>
    <col customWidth="1" hidden="1" min="14" max="14" width="13.88"/>
    <col customWidth="1" hidden="1" min="15" max="15" width="20.38"/>
    <col customWidth="1" hidden="1" min="16" max="16" width="13.88"/>
    <col customWidth="1" min="17" max="17" width="13.88"/>
  </cols>
  <sheetData>
    <row r="1">
      <c r="A1" s="276" t="s">
        <v>5102</v>
      </c>
      <c r="B1" s="7"/>
      <c r="H1" s="277" t="s">
        <v>4476</v>
      </c>
      <c r="I1" s="278"/>
      <c r="J1" s="278" t="s">
        <v>1</v>
      </c>
      <c r="K1" s="19" t="s">
        <v>3706</v>
      </c>
      <c r="L1" s="114" t="s">
        <v>6148</v>
      </c>
      <c r="M1" s="165" t="s">
        <v>3708</v>
      </c>
      <c r="N1" s="166">
        <v>100.0</v>
      </c>
      <c r="O1" s="279" t="s">
        <v>6149</v>
      </c>
      <c r="P1" s="280"/>
    </row>
    <row r="2">
      <c r="A2" s="281" t="s">
        <v>5103</v>
      </c>
      <c r="B2" s="7" t="s">
        <v>5104</v>
      </c>
      <c r="H2" s="282" t="s">
        <v>6150</v>
      </c>
      <c r="I2" s="283"/>
      <c r="J2" s="283"/>
      <c r="K2" s="284" t="e">
        <v>#N/A</v>
      </c>
      <c r="L2" s="7"/>
      <c r="M2" s="168" t="s">
        <v>2008</v>
      </c>
      <c r="N2" s="169">
        <v>1.0</v>
      </c>
      <c r="O2" s="285" t="s">
        <v>6151</v>
      </c>
      <c r="P2" s="286"/>
      <c r="Q2" s="29"/>
    </row>
    <row r="3">
      <c r="A3" s="287">
        <v>6722.0</v>
      </c>
      <c r="B3" s="288" t="str">
        <f>G3&amp;A3</f>
        <v>https://digizag.go2cloud.org/aff_c?offer_id=1316&amp;aff_id=6722</v>
      </c>
      <c r="G3" s="48" t="s">
        <v>6152</v>
      </c>
      <c r="H3" s="282" t="s">
        <v>6153</v>
      </c>
      <c r="I3" s="289"/>
      <c r="J3" s="289">
        <v>986.0</v>
      </c>
      <c r="K3" s="284" t="e">
        <v>#N/A</v>
      </c>
      <c r="L3" s="7"/>
      <c r="M3" s="168" t="s">
        <v>3709</v>
      </c>
      <c r="N3" s="169"/>
      <c r="O3" s="290" t="s">
        <v>6154</v>
      </c>
      <c r="P3" s="291">
        <v>189.0</v>
      </c>
      <c r="Q3" s="39"/>
    </row>
    <row r="4">
      <c r="A4" s="11">
        <v>14298.0</v>
      </c>
      <c r="B4" s="292" t="s">
        <v>6155</v>
      </c>
      <c r="H4" s="282" t="s">
        <v>6156</v>
      </c>
      <c r="I4" s="289"/>
      <c r="J4" s="289">
        <v>986.0</v>
      </c>
      <c r="K4" s="284" t="e">
        <v>#N/A</v>
      </c>
      <c r="L4" s="7"/>
      <c r="M4" s="168" t="s">
        <v>3710</v>
      </c>
      <c r="N4" s="171" t="s">
        <v>6157</v>
      </c>
      <c r="O4" s="290" t="s">
        <v>6158</v>
      </c>
      <c r="P4" s="291">
        <v>189.0</v>
      </c>
      <c r="Q4" s="39"/>
    </row>
    <row r="5">
      <c r="A5" s="11">
        <v>7747.0</v>
      </c>
      <c r="B5" s="292" t="s">
        <v>6159</v>
      </c>
      <c r="H5" s="282" t="s">
        <v>6160</v>
      </c>
      <c r="I5" s="289"/>
      <c r="J5" s="289">
        <v>986.0</v>
      </c>
      <c r="K5" s="284" t="e">
        <v>#N/A</v>
      </c>
      <c r="L5" s="7"/>
      <c r="M5" s="168" t="s">
        <v>3711</v>
      </c>
      <c r="N5" s="172"/>
      <c r="O5" s="290" t="s">
        <v>6161</v>
      </c>
      <c r="P5" s="291">
        <v>663.0</v>
      </c>
      <c r="Q5" s="29"/>
    </row>
    <row r="6">
      <c r="A6" s="11">
        <v>12932.0</v>
      </c>
      <c r="B6" s="293" t="s">
        <v>6162</v>
      </c>
      <c r="H6" s="282" t="s">
        <v>6163</v>
      </c>
      <c r="I6" s="283"/>
      <c r="J6" s="283"/>
      <c r="K6" s="284" t="e">
        <v>#N/A</v>
      </c>
      <c r="L6" s="7"/>
      <c r="M6" s="168" t="s">
        <v>3712</v>
      </c>
      <c r="N6" s="173" t="s">
        <v>6157</v>
      </c>
      <c r="O6" s="290" t="s">
        <v>3700</v>
      </c>
      <c r="P6" s="291">
        <v>663.0</v>
      </c>
      <c r="Q6" s="39"/>
    </row>
    <row r="7">
      <c r="A7" s="11">
        <v>7229.0</v>
      </c>
      <c r="B7" s="48" t="s">
        <v>6164</v>
      </c>
      <c r="H7" s="282" t="s">
        <v>6165</v>
      </c>
      <c r="I7" s="289"/>
      <c r="J7" s="289">
        <v>189.0</v>
      </c>
      <c r="K7" s="284" t="e">
        <v>#N/A</v>
      </c>
      <c r="O7" s="290" t="s">
        <v>6166</v>
      </c>
      <c r="P7" s="291">
        <v>700.0</v>
      </c>
      <c r="Q7" s="29"/>
    </row>
    <row r="8">
      <c r="A8" s="11">
        <v>14560.0</v>
      </c>
      <c r="B8" s="48" t="s">
        <v>6167</v>
      </c>
      <c r="H8" s="282" t="s">
        <v>6168</v>
      </c>
      <c r="I8" s="294"/>
      <c r="J8" s="294">
        <v>6726.0</v>
      </c>
      <c r="K8" s="284" t="e">
        <v>#N/A</v>
      </c>
      <c r="O8" s="290" t="s">
        <v>6169</v>
      </c>
      <c r="P8" s="291">
        <v>986.0</v>
      </c>
      <c r="Q8" s="39"/>
    </row>
    <row r="9">
      <c r="A9" s="11">
        <v>14465.0</v>
      </c>
      <c r="B9" s="48" t="s">
        <v>6170</v>
      </c>
      <c r="H9" s="244" t="s">
        <v>6171</v>
      </c>
      <c r="I9" s="294"/>
      <c r="J9" s="294">
        <v>6726.0</v>
      </c>
      <c r="K9" s="284" t="e">
        <v>#N/A</v>
      </c>
      <c r="M9" s="21"/>
      <c r="N9" s="81"/>
      <c r="O9" s="290" t="s">
        <v>6172</v>
      </c>
      <c r="P9" s="291">
        <v>986.0</v>
      </c>
      <c r="Q9" s="29"/>
    </row>
    <row r="10">
      <c r="A10" s="11">
        <v>986.0</v>
      </c>
      <c r="B10" s="48" t="s">
        <v>6173</v>
      </c>
      <c r="H10" s="244" t="s">
        <v>6174</v>
      </c>
      <c r="I10" s="289"/>
      <c r="J10" s="289">
        <v>663.0</v>
      </c>
      <c r="K10" s="284" t="e">
        <v>#N/A</v>
      </c>
      <c r="L10" s="59"/>
      <c r="M10" s="21"/>
      <c r="N10" s="81"/>
      <c r="O10" s="290" t="s">
        <v>6175</v>
      </c>
      <c r="P10" s="291">
        <v>986.0</v>
      </c>
      <c r="Q10" s="39"/>
    </row>
  </sheetData>
  <hyperlinks>
    <hyperlink r:id="rId1" ref="G3"/>
    <hyperlink r:id="rId2" ref="B4"/>
    <hyperlink r:id="rId3" ref="B5"/>
    <hyperlink r:id="rId4" ref="B6"/>
    <hyperlink r:id="rId5" ref="B7"/>
    <hyperlink r:id="rId6" ref="B8"/>
    <hyperlink r:id="rId7" ref="B9"/>
    <hyperlink r:id="rId8" ref="B10"/>
  </hyperlinks>
  <drawing r:id="rId9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outlinePr summaryBelow="0" summaryRight="0"/>
  </sheetPr>
  <sheetViews>
    <sheetView workbookViewId="0"/>
  </sheetViews>
  <sheetFormatPr customHeight="1" defaultColWidth="12.63" defaultRowHeight="15.75"/>
  <sheetData>
    <row r="1">
      <c r="A1" s="11" t="s">
        <v>1</v>
      </c>
      <c r="B1" s="11" t="s">
        <v>1</v>
      </c>
    </row>
    <row r="2">
      <c r="A2" s="11" t="s">
        <v>3547</v>
      </c>
      <c r="B2" s="11">
        <v>189.0</v>
      </c>
    </row>
    <row r="3">
      <c r="A3" s="11" t="s">
        <v>3548</v>
      </c>
      <c r="B3" s="11">
        <v>3307.0</v>
      </c>
    </row>
    <row r="4">
      <c r="A4" s="11" t="s">
        <v>3549</v>
      </c>
      <c r="B4" s="11">
        <v>3381.0</v>
      </c>
    </row>
    <row r="5">
      <c r="A5" s="11" t="s">
        <v>3550</v>
      </c>
      <c r="B5" s="11">
        <v>6924.0</v>
      </c>
    </row>
    <row r="6">
      <c r="A6" s="11" t="s">
        <v>3551</v>
      </c>
      <c r="B6" s="11">
        <v>663.0</v>
      </c>
    </row>
    <row r="7">
      <c r="A7" s="11" t="s">
        <v>3552</v>
      </c>
      <c r="B7" s="11">
        <v>7040.0</v>
      </c>
    </row>
    <row r="8">
      <c r="A8" s="11" t="s">
        <v>3553</v>
      </c>
      <c r="B8" s="11">
        <v>189.0</v>
      </c>
    </row>
    <row r="9">
      <c r="A9" s="11" t="s">
        <v>3704</v>
      </c>
      <c r="B9" s="11">
        <v>7100.0</v>
      </c>
    </row>
    <row r="10">
      <c r="A10" s="11" t="s">
        <v>3705</v>
      </c>
      <c r="B10" s="11">
        <v>136.0</v>
      </c>
    </row>
    <row r="11">
      <c r="A11" s="11" t="s">
        <v>65</v>
      </c>
      <c r="B11" s="11">
        <v>7132.0</v>
      </c>
    </row>
    <row r="12">
      <c r="A12" s="11" t="s">
        <v>66</v>
      </c>
      <c r="B12" s="11">
        <v>7414.0</v>
      </c>
    </row>
    <row r="13">
      <c r="A13" s="11" t="s">
        <v>67</v>
      </c>
      <c r="B13" s="11">
        <v>10141.0</v>
      </c>
    </row>
    <row r="14">
      <c r="A14" s="11" t="s">
        <v>68</v>
      </c>
      <c r="B14" s="11">
        <v>7158.0</v>
      </c>
    </row>
    <row r="15">
      <c r="A15" s="11" t="s">
        <v>69</v>
      </c>
      <c r="B15" s="11">
        <v>7246.0</v>
      </c>
    </row>
    <row r="16">
      <c r="A16" s="11" t="s">
        <v>70</v>
      </c>
      <c r="B16" s="11">
        <v>6671.0</v>
      </c>
    </row>
    <row r="17">
      <c r="A17" s="11" t="s">
        <v>71</v>
      </c>
      <c r="B17" s="11">
        <v>6669.0</v>
      </c>
    </row>
    <row r="18">
      <c r="A18" s="11" t="s">
        <v>72</v>
      </c>
      <c r="B18" s="11">
        <v>6669.0</v>
      </c>
    </row>
    <row r="19">
      <c r="A19" s="11" t="s">
        <v>73</v>
      </c>
      <c r="B19" s="11">
        <v>6669.0</v>
      </c>
    </row>
    <row r="20">
      <c r="A20" s="11" t="s">
        <v>74</v>
      </c>
      <c r="B20" s="11">
        <v>10856.0</v>
      </c>
    </row>
    <row r="21">
      <c r="A21" s="11" t="s">
        <v>75</v>
      </c>
      <c r="B21" s="11">
        <v>8199.0</v>
      </c>
    </row>
    <row r="22">
      <c r="A22" s="11" t="s">
        <v>76</v>
      </c>
      <c r="B22" s="11">
        <v>11708.0</v>
      </c>
    </row>
    <row r="23">
      <c r="A23" s="11" t="s">
        <v>77</v>
      </c>
      <c r="B23" s="11">
        <v>8199.0</v>
      </c>
    </row>
    <row r="24">
      <c r="A24" s="11" t="s">
        <v>78</v>
      </c>
      <c r="B24" s="11">
        <v>9746.0</v>
      </c>
    </row>
    <row r="25">
      <c r="A25" s="11" t="s">
        <v>79</v>
      </c>
      <c r="B25" s="11">
        <v>14065.0</v>
      </c>
    </row>
    <row r="26">
      <c r="A26" s="11" t="s">
        <v>80</v>
      </c>
      <c r="B26" s="11">
        <v>6936.0</v>
      </c>
    </row>
    <row r="27">
      <c r="A27" s="11" t="s">
        <v>81</v>
      </c>
      <c r="B27" s="11">
        <v>6893.0</v>
      </c>
    </row>
    <row r="28">
      <c r="A28" s="11" t="s">
        <v>82</v>
      </c>
      <c r="B28" s="11">
        <v>6106.0</v>
      </c>
    </row>
    <row r="29">
      <c r="A29" s="11" t="s">
        <v>83</v>
      </c>
      <c r="B29" s="11">
        <v>3689.0</v>
      </c>
    </row>
    <row r="30">
      <c r="A30" s="11" t="s">
        <v>84</v>
      </c>
      <c r="B30" s="11">
        <v>12609.0</v>
      </c>
    </row>
    <row r="31">
      <c r="A31" s="11" t="s">
        <v>85</v>
      </c>
      <c r="B31" s="11">
        <v>7183.0</v>
      </c>
    </row>
    <row r="32">
      <c r="A32" s="11" t="s">
        <v>86</v>
      </c>
      <c r="B32" s="11">
        <v>14646.0</v>
      </c>
    </row>
    <row r="33">
      <c r="A33" s="11" t="s">
        <v>87</v>
      </c>
      <c r="B33" s="11">
        <v>14337.0</v>
      </c>
    </row>
    <row r="34">
      <c r="A34" s="11" t="s">
        <v>88</v>
      </c>
      <c r="B34" s="11">
        <v>11104.0</v>
      </c>
    </row>
    <row r="35">
      <c r="A35" s="11" t="s">
        <v>89</v>
      </c>
      <c r="B35" s="11">
        <v>7747.0</v>
      </c>
    </row>
    <row r="36">
      <c r="A36" s="11" t="s">
        <v>90</v>
      </c>
      <c r="B36" s="11">
        <v>6729.0</v>
      </c>
    </row>
    <row r="37">
      <c r="A37" s="11" t="s">
        <v>91</v>
      </c>
      <c r="B37" s="11">
        <v>5421.0</v>
      </c>
    </row>
    <row r="38">
      <c r="A38" s="11" t="s">
        <v>92</v>
      </c>
      <c r="B38" s="11">
        <v>5421.0</v>
      </c>
    </row>
    <row r="39">
      <c r="A39" s="11" t="s">
        <v>93</v>
      </c>
      <c r="B39" s="11">
        <v>5421.0</v>
      </c>
    </row>
    <row r="40">
      <c r="A40" s="11" t="s">
        <v>94</v>
      </c>
      <c r="B40" s="11">
        <v>5421.0</v>
      </c>
    </row>
    <row r="41">
      <c r="A41" s="11" t="s">
        <v>95</v>
      </c>
      <c r="B41" s="11">
        <v>7186.0</v>
      </c>
    </row>
    <row r="42">
      <c r="A42" s="11" t="s">
        <v>96</v>
      </c>
      <c r="B42" s="11">
        <v>5421.0</v>
      </c>
    </row>
    <row r="43">
      <c r="A43" s="11" t="s">
        <v>97</v>
      </c>
    </row>
    <row r="44">
      <c r="A44" s="11" t="s">
        <v>98</v>
      </c>
      <c r="B44" s="11">
        <v>6675.0</v>
      </c>
    </row>
    <row r="45">
      <c r="A45" s="11" t="s">
        <v>99</v>
      </c>
      <c r="B45" s="11">
        <v>6557.0</v>
      </c>
    </row>
    <row r="46">
      <c r="A46" s="11" t="s">
        <v>100</v>
      </c>
      <c r="B46" s="11">
        <v>12932.0</v>
      </c>
    </row>
    <row r="47">
      <c r="A47" s="11" t="s">
        <v>101</v>
      </c>
      <c r="B47" s="11">
        <v>14575.0</v>
      </c>
    </row>
    <row r="48">
      <c r="A48" s="11" t="s">
        <v>102</v>
      </c>
    </row>
    <row r="49">
      <c r="A49" s="11" t="s">
        <v>103</v>
      </c>
      <c r="B49" s="11">
        <v>13829.0</v>
      </c>
    </row>
    <row r="50">
      <c r="A50" s="11" t="s">
        <v>104</v>
      </c>
    </row>
    <row r="51">
      <c r="A51" s="11" t="s">
        <v>105</v>
      </c>
      <c r="B51" s="158">
        <v>14055.0</v>
      </c>
    </row>
    <row r="52">
      <c r="A52" s="11" t="s">
        <v>3554</v>
      </c>
      <c r="B52" s="11">
        <v>11049.0</v>
      </c>
    </row>
    <row r="53">
      <c r="A53" s="11" t="s">
        <v>3555</v>
      </c>
      <c r="B53" s="11">
        <v>11049.0</v>
      </c>
    </row>
    <row r="54">
      <c r="A54" s="11" t="s">
        <v>3556</v>
      </c>
      <c r="B54" s="11">
        <v>11049.0</v>
      </c>
    </row>
    <row r="55">
      <c r="A55" s="11" t="s">
        <v>3557</v>
      </c>
      <c r="B55" s="11">
        <v>11049.0</v>
      </c>
    </row>
    <row r="56">
      <c r="A56" s="11" t="s">
        <v>3558</v>
      </c>
      <c r="B56" s="11">
        <v>11049.0</v>
      </c>
    </row>
    <row r="57">
      <c r="A57" s="11" t="s">
        <v>3559</v>
      </c>
      <c r="B57" s="11">
        <v>11049.0</v>
      </c>
    </row>
    <row r="58">
      <c r="A58" s="11" t="s">
        <v>3560</v>
      </c>
      <c r="B58" s="11">
        <v>11049.0</v>
      </c>
    </row>
    <row r="59">
      <c r="A59" s="11" t="s">
        <v>3561</v>
      </c>
      <c r="B59" s="11">
        <v>11049.0</v>
      </c>
    </row>
    <row r="60">
      <c r="A60" s="11" t="s">
        <v>3562</v>
      </c>
      <c r="B60" s="11">
        <v>11049.0</v>
      </c>
    </row>
    <row r="61">
      <c r="A61" s="11" t="s">
        <v>3563</v>
      </c>
      <c r="B61" s="11">
        <v>11049.0</v>
      </c>
    </row>
    <row r="62">
      <c r="A62" s="11" t="s">
        <v>3564</v>
      </c>
      <c r="B62" s="11">
        <v>11049.0</v>
      </c>
    </row>
    <row r="63">
      <c r="A63" s="11" t="s">
        <v>3565</v>
      </c>
      <c r="B63" s="11">
        <v>11049.0</v>
      </c>
    </row>
    <row r="64">
      <c r="A64" s="11" t="s">
        <v>3566</v>
      </c>
      <c r="B64" s="11">
        <v>11049.0</v>
      </c>
    </row>
    <row r="65">
      <c r="A65" s="11" t="s">
        <v>3567</v>
      </c>
      <c r="B65" s="11">
        <v>11049.0</v>
      </c>
    </row>
    <row r="66">
      <c r="A66" s="11" t="s">
        <v>3568</v>
      </c>
      <c r="B66" s="11">
        <v>11049.0</v>
      </c>
    </row>
    <row r="67">
      <c r="A67" s="11" t="s">
        <v>3569</v>
      </c>
      <c r="B67" s="11">
        <v>6829.0</v>
      </c>
    </row>
    <row r="68">
      <c r="A68" s="11" t="s">
        <v>3570</v>
      </c>
      <c r="B68" s="11">
        <v>11049.0</v>
      </c>
    </row>
    <row r="69">
      <c r="A69" s="11" t="s">
        <v>3571</v>
      </c>
      <c r="B69" s="11">
        <v>11049.0</v>
      </c>
    </row>
    <row r="70">
      <c r="A70" s="11" t="s">
        <v>3572</v>
      </c>
      <c r="B70" s="11">
        <v>11049.0</v>
      </c>
    </row>
    <row r="71">
      <c r="A71" s="11" t="s">
        <v>3573</v>
      </c>
      <c r="B71" s="11">
        <v>11049.0</v>
      </c>
    </row>
    <row r="72">
      <c r="A72" s="11" t="s">
        <v>3574</v>
      </c>
      <c r="B72" s="11">
        <v>11049.0</v>
      </c>
    </row>
    <row r="73">
      <c r="A73" s="11" t="s">
        <v>3575</v>
      </c>
      <c r="B73" s="11">
        <v>11049.0</v>
      </c>
    </row>
    <row r="74">
      <c r="A74" s="11" t="s">
        <v>3576</v>
      </c>
    </row>
    <row r="75">
      <c r="A75" s="11" t="s">
        <v>3577</v>
      </c>
    </row>
    <row r="76">
      <c r="A76" s="11" t="s">
        <v>3578</v>
      </c>
    </row>
    <row r="77">
      <c r="A77" s="11" t="s">
        <v>3579</v>
      </c>
    </row>
    <row r="78">
      <c r="A78" s="11" t="s">
        <v>3580</v>
      </c>
      <c r="B78" s="11">
        <v>6875.0</v>
      </c>
    </row>
    <row r="79">
      <c r="A79" s="11" t="s">
        <v>3581</v>
      </c>
    </row>
    <row r="80">
      <c r="A80" s="11" t="s">
        <v>3582</v>
      </c>
    </row>
    <row r="81">
      <c r="A81" s="11" t="s">
        <v>3583</v>
      </c>
    </row>
    <row r="82">
      <c r="A82" s="11" t="s">
        <v>3584</v>
      </c>
      <c r="B82" s="11">
        <v>14465.0</v>
      </c>
    </row>
    <row r="83">
      <c r="A83" s="11" t="s">
        <v>3585</v>
      </c>
    </row>
    <row r="84">
      <c r="A84" s="11" t="s">
        <v>3586</v>
      </c>
    </row>
    <row r="85">
      <c r="A85" s="11" t="s">
        <v>3587</v>
      </c>
    </row>
    <row r="86">
      <c r="A86" s="11" t="s">
        <v>3588</v>
      </c>
      <c r="B86" s="11">
        <v>14480.0</v>
      </c>
    </row>
    <row r="87">
      <c r="A87" s="7" t="s">
        <v>3589</v>
      </c>
      <c r="B87" s="7"/>
      <c r="C87" s="11" t="s">
        <v>207</v>
      </c>
    </row>
    <row r="88">
      <c r="A88" s="7" t="s">
        <v>3590</v>
      </c>
      <c r="B88" s="7"/>
      <c r="C88" s="11" t="s">
        <v>207</v>
      </c>
    </row>
    <row r="89">
      <c r="A89" s="7" t="s">
        <v>3591</v>
      </c>
      <c r="B89" s="199">
        <v>12277.0</v>
      </c>
      <c r="C89" s="11" t="s">
        <v>207</v>
      </c>
    </row>
    <row r="90">
      <c r="A90" s="7" t="s">
        <v>3592</v>
      </c>
      <c r="B90" s="7"/>
      <c r="C90" s="11" t="s">
        <v>207</v>
      </c>
    </row>
    <row r="91">
      <c r="A91" s="7" t="s">
        <v>3593</v>
      </c>
      <c r="B91" s="7"/>
      <c r="C91" s="11" t="s">
        <v>207</v>
      </c>
    </row>
    <row r="92">
      <c r="A92" s="7" t="s">
        <v>3594</v>
      </c>
      <c r="B92" s="5">
        <v>7416.0</v>
      </c>
      <c r="C92" s="11" t="s">
        <v>207</v>
      </c>
    </row>
    <row r="93">
      <c r="A93" s="7" t="s">
        <v>3595</v>
      </c>
      <c r="B93" s="7"/>
      <c r="C93" s="11" t="s">
        <v>207</v>
      </c>
    </row>
    <row r="94">
      <c r="A94" s="7" t="s">
        <v>3596</v>
      </c>
      <c r="B94" s="7"/>
      <c r="C94" s="11" t="s">
        <v>207</v>
      </c>
    </row>
    <row r="95">
      <c r="A95" s="7" t="s">
        <v>3597</v>
      </c>
      <c r="B95" s="5">
        <v>14031.0</v>
      </c>
      <c r="C95" s="11" t="s">
        <v>207</v>
      </c>
    </row>
    <row r="96">
      <c r="A96" s="7" t="s">
        <v>3598</v>
      </c>
      <c r="B96" s="7"/>
      <c r="C96" s="11" t="s">
        <v>207</v>
      </c>
    </row>
    <row r="97">
      <c r="A97" s="7" t="s">
        <v>3599</v>
      </c>
      <c r="B97" s="7"/>
      <c r="C97" s="11" t="s">
        <v>207</v>
      </c>
    </row>
    <row r="98">
      <c r="A98" s="7" t="s">
        <v>3600</v>
      </c>
      <c r="B98" s="7"/>
      <c r="C98" s="11" t="s">
        <v>207</v>
      </c>
    </row>
    <row r="99">
      <c r="A99" s="7" t="s">
        <v>3601</v>
      </c>
      <c r="B99" s="7"/>
      <c r="C99" s="11" t="s">
        <v>207</v>
      </c>
    </row>
    <row r="100">
      <c r="A100" s="7" t="s">
        <v>3602</v>
      </c>
      <c r="B100" s="5">
        <v>13988.0</v>
      </c>
      <c r="C100" s="11" t="s">
        <v>207</v>
      </c>
    </row>
  </sheetData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outlinePr summaryBelow="0" summaryRight="0"/>
  </sheetPr>
  <sheetViews>
    <sheetView workbookViewId="0"/>
  </sheetViews>
  <sheetFormatPr customHeight="1" defaultColWidth="12.63" defaultRowHeight="15.75"/>
  <sheetData>
    <row r="1">
      <c r="A1" s="184" t="s">
        <v>1654</v>
      </c>
      <c r="B1" s="295" t="s">
        <v>1</v>
      </c>
      <c r="C1" s="11" t="s">
        <v>252</v>
      </c>
    </row>
    <row r="2">
      <c r="A2" s="11" t="s">
        <v>6176</v>
      </c>
      <c r="B2" s="11">
        <v>14298.0</v>
      </c>
      <c r="C2" s="18">
        <v>1.0</v>
      </c>
      <c r="D2" s="21"/>
    </row>
    <row r="3">
      <c r="A3" s="35" t="s">
        <v>6177</v>
      </c>
      <c r="B3" s="35">
        <v>6729.0</v>
      </c>
      <c r="C3" s="36" t="e">
        <v>#N/A</v>
      </c>
      <c r="D3" s="21"/>
      <c r="G3" s="39">
        <v>1319.0</v>
      </c>
      <c r="H3" s="174" t="s">
        <v>6178</v>
      </c>
      <c r="I3" s="39">
        <v>2.0</v>
      </c>
    </row>
    <row r="4">
      <c r="A4" s="35" t="s">
        <v>6179</v>
      </c>
      <c r="B4" s="35">
        <v>7040.0</v>
      </c>
      <c r="C4" s="36" t="e">
        <v>#N/A</v>
      </c>
      <c r="D4" s="21"/>
      <c r="G4" s="39">
        <v>1319.0</v>
      </c>
      <c r="H4" s="174" t="s">
        <v>6176</v>
      </c>
      <c r="I4" s="39">
        <v>2.0</v>
      </c>
    </row>
    <row r="5">
      <c r="A5" s="35" t="s">
        <v>6180</v>
      </c>
      <c r="B5" s="35">
        <v>189.0</v>
      </c>
      <c r="C5" s="36" t="e">
        <v>#N/A</v>
      </c>
      <c r="D5" s="21"/>
      <c r="G5" s="39">
        <v>1319.0</v>
      </c>
      <c r="H5" s="174" t="s">
        <v>6181</v>
      </c>
      <c r="I5" s="39">
        <v>1.0</v>
      </c>
    </row>
    <row r="6">
      <c r="A6" s="35" t="s">
        <v>6182</v>
      </c>
      <c r="B6" s="35">
        <v>6675.0</v>
      </c>
      <c r="C6" s="36" t="e">
        <v>#N/A</v>
      </c>
      <c r="G6" s="39">
        <v>1319.0</v>
      </c>
      <c r="H6" s="174" t="s">
        <v>6183</v>
      </c>
      <c r="I6" s="39">
        <v>2.0</v>
      </c>
    </row>
    <row r="7">
      <c r="A7" s="35" t="s">
        <v>6184</v>
      </c>
      <c r="B7" s="35">
        <v>986.0</v>
      </c>
      <c r="C7" s="36" t="e">
        <v>#N/A</v>
      </c>
    </row>
    <row r="8">
      <c r="A8" s="35" t="s">
        <v>6185</v>
      </c>
      <c r="B8" s="35">
        <v>986.0</v>
      </c>
      <c r="C8" s="36" t="e">
        <v>#N/A</v>
      </c>
    </row>
    <row r="9">
      <c r="A9" s="35" t="s">
        <v>6186</v>
      </c>
      <c r="B9" s="35">
        <v>7010.0</v>
      </c>
      <c r="C9" s="36" t="e">
        <v>#N/A</v>
      </c>
    </row>
    <row r="10">
      <c r="A10" s="35" t="s">
        <v>6187</v>
      </c>
      <c r="B10" s="35">
        <v>12609.0</v>
      </c>
      <c r="C10" s="36" t="e">
        <v>#N/A</v>
      </c>
    </row>
    <row r="11">
      <c r="A11" s="35" t="s">
        <v>6188</v>
      </c>
      <c r="B11" s="35">
        <v>3307.0</v>
      </c>
      <c r="C11" s="36" t="e">
        <v>#N/A</v>
      </c>
    </row>
    <row r="12">
      <c r="A12" s="35" t="s">
        <v>6189</v>
      </c>
      <c r="B12" s="35">
        <v>8486.0</v>
      </c>
      <c r="C12" s="36" t="e">
        <v>#N/A</v>
      </c>
    </row>
    <row r="13">
      <c r="A13" s="35" t="s">
        <v>6190</v>
      </c>
      <c r="B13" s="35">
        <v>7747.0</v>
      </c>
      <c r="C13" s="36" t="e">
        <v>#N/A</v>
      </c>
    </row>
    <row r="14">
      <c r="A14" s="11" t="s">
        <v>6181</v>
      </c>
      <c r="B14" s="11">
        <v>8486.0</v>
      </c>
      <c r="C14" s="18">
        <v>1.0</v>
      </c>
    </row>
    <row r="15">
      <c r="A15" s="11" t="s">
        <v>6178</v>
      </c>
      <c r="B15" s="11">
        <v>8486.0</v>
      </c>
      <c r="C15" s="18">
        <v>1.0</v>
      </c>
    </row>
    <row r="16">
      <c r="A16" s="35" t="s">
        <v>6191</v>
      </c>
      <c r="B16" s="35">
        <v>6903.0</v>
      </c>
      <c r="C16" s="36" t="e">
        <v>#N/A</v>
      </c>
    </row>
    <row r="17">
      <c r="A17" s="35" t="s">
        <v>6192</v>
      </c>
      <c r="B17" s="35">
        <v>14337.0</v>
      </c>
      <c r="C17" s="36" t="e">
        <v>#N/A</v>
      </c>
    </row>
    <row r="18">
      <c r="A18" s="35" t="s">
        <v>6193</v>
      </c>
      <c r="B18" s="35">
        <v>14590.0</v>
      </c>
      <c r="C18" s="36" t="e">
        <v>#N/A</v>
      </c>
    </row>
    <row r="19">
      <c r="A19" s="35" t="s">
        <v>6194</v>
      </c>
      <c r="B19" s="35">
        <v>6728.0</v>
      </c>
      <c r="C19" s="36" t="e">
        <v>#N/A</v>
      </c>
    </row>
    <row r="20">
      <c r="A20" s="35" t="s">
        <v>6195</v>
      </c>
      <c r="B20" s="35">
        <v>14590.0</v>
      </c>
      <c r="C20" s="36" t="e">
        <v>#N/A</v>
      </c>
    </row>
    <row r="21">
      <c r="A21" s="35" t="s">
        <v>6196</v>
      </c>
      <c r="B21" s="35">
        <v>14516.0</v>
      </c>
      <c r="C21" s="36" t="e">
        <v>#N/A</v>
      </c>
    </row>
    <row r="22">
      <c r="A22" s="35" t="s">
        <v>6197</v>
      </c>
      <c r="B22" s="35">
        <v>14590.0</v>
      </c>
      <c r="C22" s="36" t="e">
        <v>#N/A</v>
      </c>
    </row>
    <row r="23">
      <c r="A23" s="35" t="s">
        <v>6198</v>
      </c>
      <c r="B23" s="35">
        <v>14590.0</v>
      </c>
      <c r="C23" s="36" t="e">
        <v>#N/A</v>
      </c>
    </row>
    <row r="24">
      <c r="A24" s="35" t="s">
        <v>6199</v>
      </c>
      <c r="B24" s="35">
        <v>6811.0</v>
      </c>
      <c r="C24" s="36" t="e">
        <v>#N/A</v>
      </c>
    </row>
    <row r="25">
      <c r="A25" s="35" t="s">
        <v>6200</v>
      </c>
      <c r="B25" s="35">
        <v>14590.0</v>
      </c>
      <c r="C25" s="36" t="e">
        <v>#N/A</v>
      </c>
    </row>
    <row r="26">
      <c r="A26" s="35" t="s">
        <v>6201</v>
      </c>
      <c r="B26" s="35">
        <v>14590.0</v>
      </c>
      <c r="C26" s="36" t="e">
        <v>#N/A</v>
      </c>
    </row>
    <row r="27">
      <c r="A27" s="35" t="s">
        <v>6202</v>
      </c>
      <c r="B27" s="35">
        <v>14590.0</v>
      </c>
      <c r="C27" s="36" t="e">
        <v>#N/A</v>
      </c>
    </row>
    <row r="28">
      <c r="A28" s="35" t="s">
        <v>6203</v>
      </c>
      <c r="B28" s="35">
        <v>14590.0</v>
      </c>
      <c r="C28" s="36" t="e">
        <v>#N/A</v>
      </c>
    </row>
    <row r="29">
      <c r="A29" s="35" t="s">
        <v>6204</v>
      </c>
      <c r="B29" s="35">
        <v>6722.0</v>
      </c>
      <c r="C29" s="36" t="e">
        <v>#N/A</v>
      </c>
    </row>
    <row r="30">
      <c r="A30" s="35" t="s">
        <v>6205</v>
      </c>
      <c r="B30" s="35">
        <v>14590.0</v>
      </c>
      <c r="C30" s="36" t="e">
        <v>#N/A</v>
      </c>
    </row>
    <row r="31">
      <c r="A31" s="35" t="s">
        <v>6206</v>
      </c>
      <c r="B31" s="35">
        <v>14590.0</v>
      </c>
      <c r="C31" s="36" t="e">
        <v>#N/A</v>
      </c>
    </row>
    <row r="32">
      <c r="A32" s="11" t="s">
        <v>6183</v>
      </c>
      <c r="B32" s="11">
        <v>6924.0</v>
      </c>
      <c r="C32" s="18">
        <v>1.0</v>
      </c>
    </row>
    <row r="33">
      <c r="A33" s="35" t="s">
        <v>6207</v>
      </c>
      <c r="B33" s="35">
        <v>14590.0</v>
      </c>
      <c r="C33" s="36" t="e">
        <v>#N/A</v>
      </c>
    </row>
    <row r="34">
      <c r="A34" s="35" t="s">
        <v>6208</v>
      </c>
      <c r="B34" s="35">
        <v>7100.0</v>
      </c>
      <c r="C34" s="36" t="e">
        <v>#N/A</v>
      </c>
    </row>
    <row r="35">
      <c r="A35" s="35" t="s">
        <v>6209</v>
      </c>
      <c r="B35" s="35">
        <v>14590.0</v>
      </c>
      <c r="C35" s="36" t="e">
        <v>#N/A</v>
      </c>
    </row>
    <row r="36">
      <c r="A36" s="35" t="s">
        <v>6210</v>
      </c>
      <c r="B36" s="35">
        <v>12553.0</v>
      </c>
      <c r="C36" s="36" t="e">
        <v>#N/A</v>
      </c>
    </row>
    <row r="37">
      <c r="A37" s="35" t="s">
        <v>6211</v>
      </c>
      <c r="B37" s="36"/>
      <c r="C37" s="36" t="e">
        <v>#N/A</v>
      </c>
    </row>
    <row r="38">
      <c r="A38" s="35" t="s">
        <v>6212</v>
      </c>
      <c r="B38" s="35">
        <v>6947.0</v>
      </c>
      <c r="C38" s="36" t="e">
        <v>#N/A</v>
      </c>
    </row>
    <row r="39">
      <c r="A39" s="35" t="s">
        <v>6213</v>
      </c>
      <c r="B39" s="36"/>
      <c r="C39" s="36" t="e">
        <v>#N/A</v>
      </c>
    </row>
    <row r="40">
      <c r="A40" s="35" t="s">
        <v>6214</v>
      </c>
      <c r="B40" s="36"/>
      <c r="C40" s="36" t="e">
        <v>#N/A</v>
      </c>
    </row>
    <row r="41">
      <c r="A41" s="35" t="s">
        <v>6215</v>
      </c>
      <c r="B41" s="35">
        <v>3381.0</v>
      </c>
      <c r="C41" s="36" t="e">
        <v>#N/A</v>
      </c>
    </row>
    <row r="42">
      <c r="A42" s="35" t="s">
        <v>6216</v>
      </c>
      <c r="B42" s="36"/>
      <c r="C42" s="36" t="e">
        <v>#N/A</v>
      </c>
    </row>
    <row r="43">
      <c r="A43" s="35" t="s">
        <v>6217</v>
      </c>
      <c r="B43" s="35">
        <v>6706.0</v>
      </c>
      <c r="C43" s="36" t="e">
        <v>#N/A</v>
      </c>
    </row>
    <row r="44">
      <c r="A44" s="35" t="s">
        <v>6218</v>
      </c>
      <c r="B44" s="35">
        <v>12932.0</v>
      </c>
      <c r="C44" s="36" t="e">
        <v>#N/A</v>
      </c>
    </row>
    <row r="45">
      <c r="A45" s="11" t="s">
        <v>6219</v>
      </c>
      <c r="B45" s="11">
        <v>6557.0</v>
      </c>
      <c r="C45" s="18" t="e">
        <v>#N/A</v>
      </c>
    </row>
    <row r="46">
      <c r="A46" s="11" t="s">
        <v>6220</v>
      </c>
      <c r="B46" s="11">
        <v>6557.0</v>
      </c>
      <c r="C46" s="18" t="e">
        <v>#N/A</v>
      </c>
    </row>
    <row r="47">
      <c r="A47" s="11" t="s">
        <v>6221</v>
      </c>
      <c r="B47" s="11">
        <v>6557.0</v>
      </c>
      <c r="C47" s="18" t="e">
        <v>#N/A</v>
      </c>
    </row>
    <row r="48">
      <c r="A48" s="35" t="s">
        <v>6222</v>
      </c>
      <c r="B48" s="36"/>
      <c r="C48" s="36" t="e">
        <v>#N/A</v>
      </c>
    </row>
    <row r="49">
      <c r="A49" s="35" t="s">
        <v>6223</v>
      </c>
      <c r="B49" s="35">
        <v>6132.0</v>
      </c>
      <c r="C49" s="36" t="e">
        <v>#N/A</v>
      </c>
    </row>
    <row r="50">
      <c r="A50" s="35" t="s">
        <v>6224</v>
      </c>
      <c r="B50" s="35">
        <v>7023.0</v>
      </c>
      <c r="C50" s="36" t="e">
        <v>#N/A</v>
      </c>
    </row>
    <row r="51">
      <c r="A51" s="35" t="s">
        <v>6225</v>
      </c>
      <c r="B51" s="36"/>
      <c r="C51" s="36" t="e">
        <v>#N/A</v>
      </c>
    </row>
    <row r="52">
      <c r="A52" s="35" t="s">
        <v>6226</v>
      </c>
      <c r="B52" s="36"/>
      <c r="C52" s="36" t="e">
        <v>#N/A</v>
      </c>
    </row>
    <row r="53">
      <c r="A53" s="35" t="s">
        <v>6227</v>
      </c>
      <c r="B53" s="36"/>
      <c r="C53" s="36" t="e">
        <v>#N/A</v>
      </c>
    </row>
    <row r="54">
      <c r="A54" s="35" t="s">
        <v>6228</v>
      </c>
      <c r="B54" s="35">
        <v>6706.0</v>
      </c>
      <c r="C54" s="36" t="e">
        <v>#N/A</v>
      </c>
    </row>
    <row r="55">
      <c r="A55" s="35" t="s">
        <v>6229</v>
      </c>
      <c r="B55" s="35">
        <v>11049.0</v>
      </c>
      <c r="C55" s="36" t="e">
        <v>#N/A</v>
      </c>
    </row>
    <row r="56">
      <c r="A56" s="35" t="s">
        <v>6230</v>
      </c>
      <c r="B56" s="35">
        <v>11049.0</v>
      </c>
      <c r="C56" s="36" t="e">
        <v>#N/A</v>
      </c>
    </row>
    <row r="57">
      <c r="A57" s="35" t="s">
        <v>6231</v>
      </c>
      <c r="B57" s="35">
        <v>11049.0</v>
      </c>
      <c r="C57" s="36" t="e">
        <v>#N/A</v>
      </c>
    </row>
    <row r="58">
      <c r="A58" s="35" t="s">
        <v>6232</v>
      </c>
      <c r="B58" s="35">
        <v>11049.0</v>
      </c>
      <c r="C58" s="36" t="e">
        <v>#N/A</v>
      </c>
    </row>
    <row r="59">
      <c r="A59" s="35" t="s">
        <v>6233</v>
      </c>
      <c r="B59" s="35">
        <v>11049.0</v>
      </c>
      <c r="C59" s="36" t="e">
        <v>#N/A</v>
      </c>
    </row>
    <row r="60">
      <c r="A60" s="35" t="s">
        <v>6234</v>
      </c>
      <c r="B60" s="35">
        <v>11049.0</v>
      </c>
      <c r="C60" s="36" t="e">
        <v>#N/A</v>
      </c>
    </row>
    <row r="61">
      <c r="A61" s="35" t="s">
        <v>6235</v>
      </c>
      <c r="B61" s="35">
        <v>11049.0</v>
      </c>
      <c r="C61" s="36" t="e">
        <v>#N/A</v>
      </c>
    </row>
    <row r="62">
      <c r="A62" s="35" t="s">
        <v>6236</v>
      </c>
      <c r="B62" s="35">
        <v>11049.0</v>
      </c>
      <c r="C62" s="36" t="e">
        <v>#N/A</v>
      </c>
    </row>
    <row r="63">
      <c r="A63" s="35" t="s">
        <v>6237</v>
      </c>
      <c r="B63" s="35">
        <v>11049.0</v>
      </c>
      <c r="C63" s="36" t="e">
        <v>#N/A</v>
      </c>
    </row>
    <row r="64">
      <c r="A64" s="35" t="s">
        <v>6238</v>
      </c>
      <c r="B64" s="35">
        <v>11049.0</v>
      </c>
      <c r="C64" s="36" t="e">
        <v>#N/A</v>
      </c>
    </row>
    <row r="65">
      <c r="A65" s="35" t="s">
        <v>6239</v>
      </c>
      <c r="B65" s="35">
        <v>11049.0</v>
      </c>
      <c r="C65" s="36" t="e">
        <v>#N/A</v>
      </c>
    </row>
    <row r="66">
      <c r="A66" s="35" t="s">
        <v>6240</v>
      </c>
      <c r="B66" s="35">
        <v>11049.0</v>
      </c>
      <c r="C66" s="36" t="e">
        <v>#N/A</v>
      </c>
    </row>
    <row r="67">
      <c r="A67" s="35" t="s">
        <v>6241</v>
      </c>
      <c r="B67" s="35">
        <v>11049.0</v>
      </c>
      <c r="C67" s="36" t="e">
        <v>#N/A</v>
      </c>
    </row>
    <row r="68">
      <c r="A68" s="35" t="s">
        <v>6242</v>
      </c>
      <c r="B68" s="35">
        <v>3607.0</v>
      </c>
      <c r="C68" s="36" t="e">
        <v>#N/A</v>
      </c>
    </row>
    <row r="69">
      <c r="A69" s="35" t="s">
        <v>6243</v>
      </c>
      <c r="B69" s="35">
        <v>3607.0</v>
      </c>
      <c r="C69" s="36" t="e">
        <v>#N/A</v>
      </c>
    </row>
    <row r="70">
      <c r="A70" s="35" t="s">
        <v>6244</v>
      </c>
      <c r="B70" s="35">
        <v>3607.0</v>
      </c>
      <c r="C70" s="36" t="e">
        <v>#N/A</v>
      </c>
    </row>
    <row r="71">
      <c r="A71" s="35" t="s">
        <v>6245</v>
      </c>
      <c r="B71" s="35">
        <v>3607.0</v>
      </c>
      <c r="C71" s="36" t="e">
        <v>#N/A</v>
      </c>
    </row>
    <row r="72">
      <c r="A72" s="35" t="s">
        <v>6246</v>
      </c>
      <c r="B72" s="35">
        <v>3607.0</v>
      </c>
      <c r="C72" s="36" t="e">
        <v>#N/A</v>
      </c>
    </row>
    <row r="73">
      <c r="A73" s="35" t="s">
        <v>6247</v>
      </c>
      <c r="B73" s="35">
        <v>3607.0</v>
      </c>
      <c r="C73" s="36" t="e">
        <v>#N/A</v>
      </c>
    </row>
    <row r="74">
      <c r="A74" s="35" t="s">
        <v>6248</v>
      </c>
      <c r="B74" s="35">
        <v>3607.0</v>
      </c>
      <c r="C74" s="36" t="e">
        <v>#N/A</v>
      </c>
    </row>
    <row r="75">
      <c r="A75" s="35" t="s">
        <v>6249</v>
      </c>
      <c r="B75" s="35">
        <v>3607.0</v>
      </c>
      <c r="C75" s="36" t="e">
        <v>#N/A</v>
      </c>
    </row>
    <row r="76">
      <c r="A76" s="35" t="s">
        <v>6250</v>
      </c>
      <c r="B76" s="35">
        <v>7157.0</v>
      </c>
      <c r="C76" s="36" t="e">
        <v>#N/A</v>
      </c>
    </row>
    <row r="77">
      <c r="A77" s="35" t="s">
        <v>6251</v>
      </c>
      <c r="B77" s="36"/>
      <c r="C77" s="36" t="e">
        <v>#N/A</v>
      </c>
    </row>
    <row r="78">
      <c r="A78" s="35" t="s">
        <v>6252</v>
      </c>
      <c r="B78" s="36"/>
      <c r="C78" s="36" t="e">
        <v>#N/A</v>
      </c>
    </row>
    <row r="79">
      <c r="A79" s="35" t="s">
        <v>6253</v>
      </c>
      <c r="B79" s="35">
        <v>14594.0</v>
      </c>
      <c r="C79" s="36" t="e">
        <v>#N/A</v>
      </c>
    </row>
    <row r="80">
      <c r="A80" s="35" t="s">
        <v>6254</v>
      </c>
      <c r="B80" s="36"/>
      <c r="C80" s="36" t="e">
        <v>#N/A</v>
      </c>
    </row>
    <row r="81">
      <c r="A81" s="35" t="s">
        <v>6255</v>
      </c>
      <c r="B81" s="35">
        <v>6726.0</v>
      </c>
      <c r="C81" s="36" t="e">
        <v>#N/A</v>
      </c>
    </row>
    <row r="82">
      <c r="A82" s="35" t="s">
        <v>6256</v>
      </c>
      <c r="B82" s="35">
        <v>6726.0</v>
      </c>
      <c r="C82" s="36" t="e">
        <v>#N/A</v>
      </c>
    </row>
    <row r="83">
      <c r="A83" s="35" t="s">
        <v>6257</v>
      </c>
      <c r="B83" s="36"/>
      <c r="C83" s="36" t="e">
        <v>#N/A</v>
      </c>
    </row>
    <row r="84">
      <c r="A84" s="35" t="s">
        <v>6258</v>
      </c>
      <c r="B84" s="35">
        <v>6875.0</v>
      </c>
      <c r="C84" s="36" t="e">
        <v>#N/A</v>
      </c>
    </row>
    <row r="85">
      <c r="A85" s="35" t="s">
        <v>6259</v>
      </c>
      <c r="B85" s="36"/>
      <c r="C85" s="36" t="e">
        <v>#N/A</v>
      </c>
    </row>
    <row r="86">
      <c r="A86" s="35" t="s">
        <v>6260</v>
      </c>
      <c r="B86" s="36"/>
      <c r="C86" s="36" t="e">
        <v>#N/A</v>
      </c>
    </row>
    <row r="87">
      <c r="A87" s="35" t="s">
        <v>6261</v>
      </c>
      <c r="B87" s="35">
        <v>7033.0</v>
      </c>
      <c r="C87" s="36" t="e">
        <v>#N/A</v>
      </c>
    </row>
    <row r="88">
      <c r="A88" s="35" t="s">
        <v>6262</v>
      </c>
      <c r="B88" s="36"/>
      <c r="C88" s="36" t="e">
        <v>#N/A</v>
      </c>
    </row>
    <row r="89">
      <c r="A89" s="35" t="s">
        <v>6263</v>
      </c>
      <c r="B89" s="35">
        <v>12932.0</v>
      </c>
      <c r="C89" s="36" t="e">
        <v>#N/A</v>
      </c>
    </row>
    <row r="90">
      <c r="A90" s="35" t="s">
        <v>6264</v>
      </c>
      <c r="B90" s="36"/>
      <c r="C90" s="36" t="e">
        <v>#N/A</v>
      </c>
    </row>
    <row r="91">
      <c r="A91" s="35" t="s">
        <v>6265</v>
      </c>
      <c r="B91" s="35">
        <v>6772.0</v>
      </c>
      <c r="C91" s="36" t="e">
        <v>#N/A</v>
      </c>
    </row>
    <row r="92">
      <c r="A92" s="35" t="s">
        <v>6266</v>
      </c>
      <c r="B92" s="35">
        <v>7033.0</v>
      </c>
      <c r="C92" s="36" t="e">
        <v>#N/A</v>
      </c>
    </row>
    <row r="93">
      <c r="A93" s="35" t="s">
        <v>6267</v>
      </c>
      <c r="B93" s="36"/>
      <c r="C93" s="36" t="e">
        <v>#N/A</v>
      </c>
    </row>
    <row r="94">
      <c r="A94" s="35" t="s">
        <v>6268</v>
      </c>
      <c r="B94" s="35">
        <v>663.0</v>
      </c>
      <c r="C94" s="36" t="e">
        <v>#N/A</v>
      </c>
    </row>
    <row r="95">
      <c r="A95" s="35" t="s">
        <v>6269</v>
      </c>
      <c r="B95" s="36"/>
      <c r="C95" s="36" t="e">
        <v>#N/A</v>
      </c>
    </row>
    <row r="96">
      <c r="A96" s="35" t="s">
        <v>6270</v>
      </c>
      <c r="B96" s="35">
        <v>6779.0</v>
      </c>
      <c r="C96" s="36" t="e">
        <v>#N/A</v>
      </c>
    </row>
    <row r="97">
      <c r="A97" s="35" t="s">
        <v>6271</v>
      </c>
      <c r="B97" s="16">
        <v>14465.0</v>
      </c>
      <c r="C97" s="36" t="e">
        <v>#N/A</v>
      </c>
    </row>
    <row r="98">
      <c r="A98" s="35" t="s">
        <v>6272</v>
      </c>
      <c r="B98" s="35">
        <v>7010.0</v>
      </c>
      <c r="C98" s="36" t="e">
        <v>#N/A</v>
      </c>
    </row>
    <row r="99">
      <c r="A99" s="35" t="s">
        <v>6273</v>
      </c>
      <c r="B99" s="35">
        <v>7142.0</v>
      </c>
      <c r="C99" s="36" t="e">
        <v>#N/A</v>
      </c>
    </row>
    <row r="100">
      <c r="A100" s="35" t="s">
        <v>11</v>
      </c>
      <c r="B100" s="35">
        <v>6675.0</v>
      </c>
      <c r="C100" s="36" t="e">
        <v>#N/A</v>
      </c>
    </row>
    <row r="101">
      <c r="A101" s="35" t="s">
        <v>6274</v>
      </c>
      <c r="B101" s="36"/>
      <c r="C101" s="36" t="e">
        <v>#N/A</v>
      </c>
    </row>
    <row r="102">
      <c r="A102" s="35" t="s">
        <v>6275</v>
      </c>
      <c r="B102" s="36"/>
      <c r="C102" s="36" t="e">
        <v>#N/A</v>
      </c>
    </row>
    <row r="103">
      <c r="A103" s="35" t="s">
        <v>6276</v>
      </c>
      <c r="B103" s="36"/>
      <c r="C103" s="36" t="e">
        <v>#N/A</v>
      </c>
    </row>
    <row r="104">
      <c r="A104" s="35" t="s">
        <v>6277</v>
      </c>
      <c r="B104" s="36"/>
      <c r="C104" s="36" t="e">
        <v>#N/A</v>
      </c>
    </row>
    <row r="105">
      <c r="A105" s="35" t="s">
        <v>7</v>
      </c>
      <c r="B105" s="36"/>
      <c r="C105" s="36" t="e">
        <v>#N/A</v>
      </c>
    </row>
    <row r="106">
      <c r="A106" s="35" t="s">
        <v>6278</v>
      </c>
      <c r="B106" s="36"/>
      <c r="C106" s="36" t="e">
        <v>#N/A</v>
      </c>
    </row>
    <row r="107">
      <c r="A107" s="35" t="s">
        <v>6279</v>
      </c>
      <c r="B107" s="36"/>
      <c r="C107" s="36" t="e">
        <v>#N/A</v>
      </c>
    </row>
    <row r="108">
      <c r="A108" s="35" t="s">
        <v>6280</v>
      </c>
      <c r="B108" s="36"/>
      <c r="C108" s="36" t="e">
        <v>#N/A</v>
      </c>
    </row>
    <row r="109">
      <c r="A109" s="35" t="s">
        <v>6281</v>
      </c>
      <c r="B109" s="261">
        <v>14663.0</v>
      </c>
      <c r="C109" s="36" t="e">
        <v>#N/A</v>
      </c>
    </row>
    <row r="110">
      <c r="A110" s="35" t="s">
        <v>6282</v>
      </c>
      <c r="B110" s="36"/>
      <c r="C110" s="36" t="e">
        <v>#N/A</v>
      </c>
    </row>
    <row r="111">
      <c r="A111" s="35" t="s">
        <v>6283</v>
      </c>
      <c r="B111" s="36"/>
      <c r="C111" s="36" t="e">
        <v>#N/A</v>
      </c>
    </row>
    <row r="112">
      <c r="A112" s="35" t="s">
        <v>2069</v>
      </c>
      <c r="B112" s="36"/>
      <c r="C112" s="36" t="e">
        <v>#N/A</v>
      </c>
    </row>
    <row r="113">
      <c r="A113" s="35" t="s">
        <v>6284</v>
      </c>
      <c r="B113" s="36"/>
      <c r="C113" s="36" t="e">
        <v>#N/A</v>
      </c>
    </row>
    <row r="114">
      <c r="A114" s="35" t="s">
        <v>6285</v>
      </c>
      <c r="B114" s="36"/>
      <c r="C114" s="36" t="e">
        <v>#N/A</v>
      </c>
    </row>
    <row r="115">
      <c r="A115" s="35" t="s">
        <v>6286</v>
      </c>
      <c r="B115" s="35"/>
      <c r="C115" s="36" t="e">
        <v>#N/A</v>
      </c>
    </row>
    <row r="116">
      <c r="A116" s="35" t="s">
        <v>6287</v>
      </c>
      <c r="B116" s="35"/>
      <c r="C116" s="36" t="e">
        <v>#N/A</v>
      </c>
    </row>
    <row r="117">
      <c r="A117" s="35" t="s">
        <v>6288</v>
      </c>
      <c r="B117" s="35"/>
      <c r="C117" s="36" t="e">
        <v>#N/A</v>
      </c>
    </row>
    <row r="118">
      <c r="A118" s="35" t="s">
        <v>6289</v>
      </c>
      <c r="B118" s="35"/>
      <c r="C118" s="36" t="e">
        <v>#N/A</v>
      </c>
    </row>
    <row r="119">
      <c r="A119" s="35" t="s">
        <v>6290</v>
      </c>
      <c r="B119" s="36"/>
      <c r="C119" s="36" t="e">
        <v>#N/A</v>
      </c>
    </row>
    <row r="120">
      <c r="A120" s="35" t="s">
        <v>6291</v>
      </c>
      <c r="B120" s="36"/>
      <c r="C120" s="36" t="e">
        <v>#N/A</v>
      </c>
    </row>
    <row r="121">
      <c r="A121" s="35" t="s">
        <v>6292</v>
      </c>
      <c r="B121" s="36"/>
      <c r="C121" s="36" t="e">
        <v>#N/A</v>
      </c>
    </row>
    <row r="122">
      <c r="A122" s="35" t="s">
        <v>1675</v>
      </c>
      <c r="B122" s="11">
        <v>14480.0</v>
      </c>
      <c r="C122" s="36" t="e">
        <v>#N/A</v>
      </c>
    </row>
    <row r="123">
      <c r="A123" s="35" t="s">
        <v>1727</v>
      </c>
      <c r="C123" s="36" t="e">
        <v>#N/A</v>
      </c>
    </row>
    <row r="124">
      <c r="A124" s="5" t="s">
        <v>6293</v>
      </c>
      <c r="B124" s="7"/>
      <c r="C124" s="11" t="s">
        <v>207</v>
      </c>
    </row>
    <row r="125">
      <c r="A125" s="5" t="s">
        <v>6294</v>
      </c>
      <c r="B125" s="7"/>
      <c r="C125" s="11" t="s">
        <v>207</v>
      </c>
    </row>
    <row r="126">
      <c r="A126" s="5" t="s">
        <v>6295</v>
      </c>
      <c r="B126" s="5">
        <v>13987.0</v>
      </c>
      <c r="C126" s="11" t="s">
        <v>207</v>
      </c>
    </row>
    <row r="127">
      <c r="A127" s="5" t="s">
        <v>6296</v>
      </c>
      <c r="B127" s="5" t="s">
        <v>6297</v>
      </c>
      <c r="C127" s="11" t="s">
        <v>207</v>
      </c>
    </row>
    <row r="128">
      <c r="A128" s="5" t="s">
        <v>5594</v>
      </c>
      <c r="B128" s="5">
        <v>14173.0</v>
      </c>
      <c r="C128" s="11" t="s">
        <v>207</v>
      </c>
    </row>
    <row r="129">
      <c r="A129" s="5" t="s">
        <v>6298</v>
      </c>
      <c r="B129" s="5">
        <v>13867.0</v>
      </c>
      <c r="C129" s="11" t="s">
        <v>207</v>
      </c>
    </row>
    <row r="130">
      <c r="A130" s="5" t="s">
        <v>6299</v>
      </c>
      <c r="B130" s="5">
        <v>14192.0</v>
      </c>
      <c r="C130" s="11" t="s">
        <v>207</v>
      </c>
    </row>
    <row r="131">
      <c r="A131" s="5" t="s">
        <v>6300</v>
      </c>
      <c r="B131" s="5">
        <v>14098.0</v>
      </c>
      <c r="C131" s="11" t="s">
        <v>207</v>
      </c>
    </row>
    <row r="132">
      <c r="A132" s="5" t="s">
        <v>6301</v>
      </c>
      <c r="B132" s="5">
        <v>13969.0</v>
      </c>
      <c r="C132" s="11" t="s">
        <v>207</v>
      </c>
    </row>
    <row r="133">
      <c r="A133" s="5" t="s">
        <v>6302</v>
      </c>
      <c r="B133" s="199">
        <v>13907.0</v>
      </c>
      <c r="C133" s="11" t="s">
        <v>207</v>
      </c>
    </row>
  </sheetData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23.38"/>
    <col hidden="1" min="11" max="13" width="12.63"/>
    <col customWidth="1" hidden="1" min="14" max="14" width="16.5"/>
    <col hidden="1" min="15" max="21" width="12.63"/>
  </cols>
  <sheetData>
    <row r="1">
      <c r="A1" s="56" t="s">
        <v>44</v>
      </c>
      <c r="B1" s="296" t="s">
        <v>1</v>
      </c>
      <c r="C1" s="248" t="s">
        <v>294</v>
      </c>
      <c r="D1" s="11" t="s">
        <v>248</v>
      </c>
      <c r="E1" s="11" t="s">
        <v>249</v>
      </c>
      <c r="F1" s="11" t="s">
        <v>250</v>
      </c>
      <c r="N1" s="11" t="s">
        <v>6303</v>
      </c>
      <c r="Q1" s="184" t="s">
        <v>1654</v>
      </c>
      <c r="R1" s="295" t="s">
        <v>1</v>
      </c>
    </row>
    <row r="2">
      <c r="A2" s="244" t="s">
        <v>6304</v>
      </c>
      <c r="B2" s="297">
        <v>6706.0</v>
      </c>
      <c r="C2" s="167" t="s">
        <v>6305</v>
      </c>
      <c r="D2" s="74">
        <v>0.8</v>
      </c>
      <c r="E2" s="74">
        <v>0.8</v>
      </c>
      <c r="F2" s="229" t="s">
        <v>1656</v>
      </c>
      <c r="K2" s="245" t="s">
        <v>6306</v>
      </c>
      <c r="L2" s="81">
        <v>1.0</v>
      </c>
      <c r="N2" s="11" t="s">
        <v>6307</v>
      </c>
      <c r="O2" s="11">
        <v>6706.0</v>
      </c>
      <c r="Q2" s="7" t="s">
        <v>6304</v>
      </c>
      <c r="R2" s="9">
        <v>6706.0</v>
      </c>
      <c r="S2" s="18">
        <f t="shared" ref="S2:S8" si="1">VLOOKUP(Q2,$K$2:$L$126,2,FALSE)</f>
        <v>1</v>
      </c>
    </row>
    <row r="3">
      <c r="A3" s="244" t="s">
        <v>6308</v>
      </c>
      <c r="B3" s="297">
        <v>6706.0</v>
      </c>
      <c r="C3" s="167" t="s">
        <v>6305</v>
      </c>
      <c r="D3" s="74">
        <v>0.8</v>
      </c>
      <c r="E3" s="74">
        <v>0.8</v>
      </c>
      <c r="F3" s="229" t="s">
        <v>1656</v>
      </c>
      <c r="K3" s="245" t="s">
        <v>6309</v>
      </c>
      <c r="L3" s="81">
        <v>1.0</v>
      </c>
      <c r="N3" s="11" t="s">
        <v>6310</v>
      </c>
      <c r="O3" s="11">
        <v>6706.0</v>
      </c>
      <c r="Q3" s="7" t="s">
        <v>6308</v>
      </c>
      <c r="R3" s="9">
        <v>6706.0</v>
      </c>
      <c r="S3" s="18">
        <f t="shared" si="1"/>
        <v>1</v>
      </c>
    </row>
    <row r="4">
      <c r="A4" s="244" t="s">
        <v>6311</v>
      </c>
      <c r="B4" s="297">
        <v>6671.0</v>
      </c>
      <c r="C4" s="167" t="s">
        <v>6305</v>
      </c>
      <c r="D4" s="74">
        <v>0.7</v>
      </c>
      <c r="E4" s="74">
        <v>0.7</v>
      </c>
      <c r="F4" s="229" t="s">
        <v>1656</v>
      </c>
      <c r="K4" s="245" t="s">
        <v>6312</v>
      </c>
      <c r="L4" s="81">
        <v>1.0</v>
      </c>
      <c r="N4" s="11" t="s">
        <v>6313</v>
      </c>
      <c r="O4" s="11">
        <v>6671.0</v>
      </c>
      <c r="Q4" s="7" t="s">
        <v>6311</v>
      </c>
      <c r="R4" s="9">
        <v>6671.0</v>
      </c>
      <c r="S4" s="18">
        <f t="shared" si="1"/>
        <v>1</v>
      </c>
    </row>
    <row r="5">
      <c r="A5" s="244" t="s">
        <v>6314</v>
      </c>
      <c r="B5" s="297">
        <v>6675.0</v>
      </c>
      <c r="C5" s="167" t="s">
        <v>6305</v>
      </c>
      <c r="D5" s="74">
        <v>0.7</v>
      </c>
      <c r="E5" s="74">
        <v>0.7</v>
      </c>
      <c r="F5" s="229" t="s">
        <v>1656</v>
      </c>
      <c r="K5" s="245" t="s">
        <v>6315</v>
      </c>
      <c r="L5" s="81">
        <v>1.0</v>
      </c>
      <c r="N5" s="11" t="s">
        <v>6316</v>
      </c>
      <c r="O5" s="11">
        <v>6675.0</v>
      </c>
      <c r="Q5" s="7" t="s">
        <v>6314</v>
      </c>
      <c r="R5" s="9">
        <v>6675.0</v>
      </c>
      <c r="S5" s="18">
        <f t="shared" si="1"/>
        <v>1</v>
      </c>
    </row>
    <row r="6">
      <c r="A6" s="244" t="s">
        <v>6317</v>
      </c>
      <c r="B6" s="297">
        <v>5458.0</v>
      </c>
      <c r="C6" s="167" t="s">
        <v>6305</v>
      </c>
      <c r="D6" s="74">
        <v>0.7</v>
      </c>
      <c r="E6" s="74">
        <v>0.7</v>
      </c>
      <c r="F6" s="229" t="s">
        <v>1656</v>
      </c>
      <c r="K6" s="245" t="s">
        <v>6318</v>
      </c>
      <c r="L6" s="81">
        <v>1.0</v>
      </c>
      <c r="N6" s="11" t="s">
        <v>6312</v>
      </c>
      <c r="O6" s="11">
        <v>5458.0</v>
      </c>
      <c r="Q6" s="7" t="s">
        <v>6317</v>
      </c>
      <c r="R6" s="9">
        <v>5458.0</v>
      </c>
      <c r="S6" s="18">
        <f t="shared" si="1"/>
        <v>1</v>
      </c>
    </row>
    <row r="7">
      <c r="A7" s="244" t="s">
        <v>6319</v>
      </c>
      <c r="B7" s="297">
        <v>7100.0</v>
      </c>
      <c r="C7" s="167" t="s">
        <v>6305</v>
      </c>
      <c r="D7" s="74">
        <v>0.7</v>
      </c>
      <c r="E7" s="74">
        <v>0.7</v>
      </c>
      <c r="F7" s="229" t="s">
        <v>1656</v>
      </c>
      <c r="K7" s="245" t="s">
        <v>6320</v>
      </c>
      <c r="L7" s="81">
        <v>1.0</v>
      </c>
      <c r="N7" s="11" t="s">
        <v>6321</v>
      </c>
      <c r="O7" s="11">
        <v>7100.0</v>
      </c>
      <c r="Q7" s="7" t="s">
        <v>6319</v>
      </c>
      <c r="R7" s="9">
        <v>7100.0</v>
      </c>
      <c r="S7" s="18">
        <f t="shared" si="1"/>
        <v>1</v>
      </c>
    </row>
    <row r="8">
      <c r="A8" s="244" t="s">
        <v>6322</v>
      </c>
      <c r="B8" s="297">
        <v>7010.0</v>
      </c>
      <c r="C8" s="167" t="s">
        <v>6305</v>
      </c>
      <c r="D8" s="74">
        <v>0.8</v>
      </c>
      <c r="E8" s="74">
        <v>0.8</v>
      </c>
      <c r="F8" s="229" t="s">
        <v>1656</v>
      </c>
      <c r="K8" s="245" t="s">
        <v>6319</v>
      </c>
      <c r="L8" s="81">
        <v>1.0</v>
      </c>
      <c r="N8" s="11" t="s">
        <v>6323</v>
      </c>
      <c r="O8" s="11">
        <v>7010.0</v>
      </c>
      <c r="Q8" s="7" t="s">
        <v>6322</v>
      </c>
      <c r="R8" s="9">
        <v>7010.0</v>
      </c>
      <c r="S8" s="18">
        <f t="shared" si="1"/>
        <v>1</v>
      </c>
    </row>
    <row r="9">
      <c r="A9" s="244" t="s">
        <v>6324</v>
      </c>
      <c r="B9" s="297">
        <v>8486.0</v>
      </c>
      <c r="C9" s="167" t="s">
        <v>6305</v>
      </c>
      <c r="D9" s="74">
        <v>0.83</v>
      </c>
      <c r="E9" s="74">
        <v>0.83</v>
      </c>
      <c r="F9" s="229" t="s">
        <v>1656</v>
      </c>
      <c r="K9" s="245" t="s">
        <v>6325</v>
      </c>
      <c r="L9" s="81">
        <v>1.0</v>
      </c>
      <c r="N9" s="11" t="s">
        <v>6326</v>
      </c>
      <c r="Q9" s="7" t="s">
        <v>6324</v>
      </c>
      <c r="R9" s="9">
        <v>8486.0</v>
      </c>
      <c r="S9" s="11">
        <v>12932.0</v>
      </c>
      <c r="T9" s="9">
        <v>5389.0</v>
      </c>
      <c r="U9" s="11">
        <v>7326.0</v>
      </c>
    </row>
    <row r="10">
      <c r="A10" s="244" t="s">
        <v>6327</v>
      </c>
      <c r="B10" s="297">
        <v>6829.0</v>
      </c>
      <c r="C10" s="167" t="s">
        <v>6305</v>
      </c>
      <c r="D10" s="74">
        <v>0.7</v>
      </c>
      <c r="E10" s="74">
        <v>0.7</v>
      </c>
      <c r="F10" s="229" t="s">
        <v>1656</v>
      </c>
      <c r="K10" s="245" t="s">
        <v>6328</v>
      </c>
      <c r="L10" s="81">
        <v>1.0</v>
      </c>
      <c r="N10" s="11" t="s">
        <v>6329</v>
      </c>
      <c r="O10" s="11"/>
      <c r="Q10" s="7" t="s">
        <v>6327</v>
      </c>
      <c r="R10" s="9">
        <v>6829.0</v>
      </c>
      <c r="S10" s="18">
        <f t="shared" ref="S10:S82" si="2">VLOOKUP(Q10,$K$2:$L$126,2,FALSE)</f>
        <v>1</v>
      </c>
    </row>
    <row r="11">
      <c r="A11" s="244" t="s">
        <v>6330</v>
      </c>
      <c r="B11" s="297">
        <v>6829.0</v>
      </c>
      <c r="C11" s="167" t="s">
        <v>6305</v>
      </c>
      <c r="D11" s="74">
        <v>0.7</v>
      </c>
      <c r="E11" s="74">
        <v>0.7</v>
      </c>
      <c r="F11" s="229" t="s">
        <v>1656</v>
      </c>
      <c r="K11" s="245" t="s">
        <v>6331</v>
      </c>
      <c r="L11" s="81">
        <v>1.0</v>
      </c>
      <c r="N11" s="11" t="s">
        <v>6332</v>
      </c>
      <c r="Q11" s="7" t="s">
        <v>6330</v>
      </c>
      <c r="R11" s="9">
        <v>6829.0</v>
      </c>
      <c r="S11" s="18">
        <f t="shared" si="2"/>
        <v>1</v>
      </c>
    </row>
    <row r="12">
      <c r="A12" s="244" t="s">
        <v>6333</v>
      </c>
      <c r="B12" s="297">
        <v>5458.0</v>
      </c>
      <c r="C12" s="167" t="s">
        <v>6305</v>
      </c>
      <c r="D12" s="74">
        <v>0.7</v>
      </c>
      <c r="E12" s="74">
        <v>0.7</v>
      </c>
      <c r="F12" s="229" t="s">
        <v>1656</v>
      </c>
      <c r="K12" s="245" t="s">
        <v>6334</v>
      </c>
      <c r="L12" s="81">
        <v>1.0</v>
      </c>
      <c r="N12" s="11" t="s">
        <v>6335</v>
      </c>
      <c r="O12" s="11">
        <v>5458.0</v>
      </c>
      <c r="Q12" s="7" t="s">
        <v>6333</v>
      </c>
      <c r="R12" s="9">
        <v>5458.0</v>
      </c>
      <c r="S12" s="18">
        <f t="shared" si="2"/>
        <v>1</v>
      </c>
    </row>
    <row r="13">
      <c r="A13" s="244" t="s">
        <v>6336</v>
      </c>
      <c r="B13" s="297">
        <v>11708.0</v>
      </c>
      <c r="C13" s="167" t="s">
        <v>6305</v>
      </c>
      <c r="D13" s="74">
        <v>0.7</v>
      </c>
      <c r="E13" s="74">
        <v>0.7</v>
      </c>
      <c r="F13" s="229" t="s">
        <v>1656</v>
      </c>
      <c r="K13" s="245" t="s">
        <v>6337</v>
      </c>
      <c r="L13" s="81">
        <v>1.0</v>
      </c>
      <c r="N13" s="11" t="s">
        <v>6338</v>
      </c>
      <c r="Q13" s="7" t="s">
        <v>6336</v>
      </c>
      <c r="R13" s="9">
        <v>11708.0</v>
      </c>
      <c r="S13" s="18">
        <f t="shared" si="2"/>
        <v>1</v>
      </c>
    </row>
    <row r="14">
      <c r="A14" s="244" t="s">
        <v>6339</v>
      </c>
      <c r="B14" s="297">
        <v>12278.0</v>
      </c>
      <c r="C14" s="167" t="s">
        <v>6305</v>
      </c>
      <c r="D14" s="74">
        <v>0.7</v>
      </c>
      <c r="E14" s="74">
        <v>0.7</v>
      </c>
      <c r="F14" s="229" t="s">
        <v>1656</v>
      </c>
      <c r="K14" s="245" t="s">
        <v>6340</v>
      </c>
      <c r="L14" s="81">
        <v>1.0</v>
      </c>
      <c r="N14" s="11" t="s">
        <v>6341</v>
      </c>
      <c r="Q14" s="7" t="s">
        <v>6339</v>
      </c>
      <c r="R14" s="9">
        <v>12278.0</v>
      </c>
      <c r="S14" s="18">
        <f t="shared" si="2"/>
        <v>1</v>
      </c>
    </row>
    <row r="15">
      <c r="A15" s="244" t="s">
        <v>6342</v>
      </c>
      <c r="B15" s="297">
        <v>6732.0</v>
      </c>
      <c r="C15" s="167" t="s">
        <v>6305</v>
      </c>
      <c r="D15" s="74">
        <v>0.8</v>
      </c>
      <c r="E15" s="74">
        <v>0.8</v>
      </c>
      <c r="F15" s="229" t="s">
        <v>1656</v>
      </c>
      <c r="K15" s="245" t="s">
        <v>6343</v>
      </c>
      <c r="L15" s="81">
        <v>1.0</v>
      </c>
      <c r="N15" s="11" t="s">
        <v>6344</v>
      </c>
      <c r="Q15" s="208" t="s">
        <v>6342</v>
      </c>
      <c r="R15" s="111">
        <v>6732.0</v>
      </c>
      <c r="S15" s="36">
        <f t="shared" si="2"/>
        <v>1</v>
      </c>
      <c r="T15" s="36"/>
      <c r="U15" s="36"/>
    </row>
    <row r="16">
      <c r="A16" s="244" t="s">
        <v>6345</v>
      </c>
      <c r="B16" s="297">
        <v>7847.0</v>
      </c>
      <c r="C16" s="167" t="s">
        <v>6305</v>
      </c>
      <c r="D16" s="74">
        <v>0.7</v>
      </c>
      <c r="E16" s="74">
        <v>0.7</v>
      </c>
      <c r="F16" s="229" t="s">
        <v>1656</v>
      </c>
      <c r="K16" s="245" t="s">
        <v>6346</v>
      </c>
      <c r="L16" s="81">
        <v>1.0</v>
      </c>
      <c r="N16" s="11" t="s">
        <v>6347</v>
      </c>
      <c r="O16" s="11">
        <v>7847.0</v>
      </c>
      <c r="Q16" s="7" t="s">
        <v>6345</v>
      </c>
      <c r="R16" s="9">
        <v>7847.0</v>
      </c>
      <c r="S16" s="18">
        <f t="shared" si="2"/>
        <v>1</v>
      </c>
    </row>
    <row r="17">
      <c r="A17" s="244" t="s">
        <v>6348</v>
      </c>
      <c r="B17" s="297">
        <v>2345.0</v>
      </c>
      <c r="C17" s="167" t="s">
        <v>6305</v>
      </c>
      <c r="D17" s="74">
        <v>0.9</v>
      </c>
      <c r="E17" s="74">
        <v>0.9</v>
      </c>
      <c r="F17" s="229" t="s">
        <v>1656</v>
      </c>
      <c r="K17" s="245" t="s">
        <v>6349</v>
      </c>
      <c r="L17" s="81">
        <v>1.0</v>
      </c>
      <c r="N17" s="11" t="s">
        <v>6350</v>
      </c>
      <c r="Q17" s="7" t="s">
        <v>6348</v>
      </c>
      <c r="R17" s="9">
        <v>2345.0</v>
      </c>
      <c r="S17" s="18">
        <f t="shared" si="2"/>
        <v>1</v>
      </c>
    </row>
    <row r="18">
      <c r="A18" s="244" t="s">
        <v>6351</v>
      </c>
      <c r="B18" s="297">
        <v>6729.0</v>
      </c>
      <c r="C18" s="167" t="s">
        <v>6305</v>
      </c>
      <c r="D18" s="74">
        <v>0.8</v>
      </c>
      <c r="E18" s="74">
        <v>0.8</v>
      </c>
      <c r="F18" s="229" t="s">
        <v>1656</v>
      </c>
      <c r="K18" s="245" t="s">
        <v>6352</v>
      </c>
      <c r="L18" s="81">
        <v>1.0</v>
      </c>
      <c r="N18" s="11" t="s">
        <v>6353</v>
      </c>
      <c r="O18" s="11">
        <v>6726.0</v>
      </c>
      <c r="Q18" s="7" t="s">
        <v>6351</v>
      </c>
      <c r="R18" s="9">
        <v>6729.0</v>
      </c>
      <c r="S18" s="18" t="str">
        <f t="shared" si="2"/>
        <v>#N/A</v>
      </c>
      <c r="T18" s="11">
        <v>6726.0</v>
      </c>
    </row>
    <row r="19">
      <c r="A19" s="244" t="s">
        <v>6354</v>
      </c>
      <c r="B19" s="297">
        <v>6726.0</v>
      </c>
      <c r="C19" s="167" t="s">
        <v>6305</v>
      </c>
      <c r="D19" s="74">
        <v>0.7</v>
      </c>
      <c r="E19" s="74">
        <v>0.7</v>
      </c>
      <c r="F19" s="229" t="s">
        <v>1656</v>
      </c>
      <c r="K19" s="245" t="s">
        <v>6355</v>
      </c>
      <c r="L19" s="81">
        <v>1.0</v>
      </c>
      <c r="N19" s="11" t="s">
        <v>6356</v>
      </c>
      <c r="O19" s="11">
        <v>6726.0</v>
      </c>
      <c r="Q19" s="7" t="s">
        <v>6354</v>
      </c>
      <c r="R19" s="9">
        <v>6726.0</v>
      </c>
      <c r="S19" s="18">
        <f t="shared" si="2"/>
        <v>1</v>
      </c>
    </row>
    <row r="20">
      <c r="A20" s="244" t="s">
        <v>6357</v>
      </c>
      <c r="B20" s="297">
        <v>7168.0</v>
      </c>
      <c r="C20" s="167" t="s">
        <v>6305</v>
      </c>
      <c r="D20" s="74">
        <v>0.7</v>
      </c>
      <c r="E20" s="74">
        <v>0.7</v>
      </c>
      <c r="F20" s="229" t="s">
        <v>1656</v>
      </c>
      <c r="K20" s="245" t="s">
        <v>6358</v>
      </c>
      <c r="L20" s="81">
        <v>1.0</v>
      </c>
      <c r="N20" s="11" t="s">
        <v>6359</v>
      </c>
      <c r="Q20" s="7" t="s">
        <v>6357</v>
      </c>
      <c r="R20" s="9">
        <v>7168.0</v>
      </c>
      <c r="S20" s="18">
        <f t="shared" si="2"/>
        <v>1</v>
      </c>
    </row>
    <row r="21">
      <c r="A21" s="244" t="s">
        <v>6360</v>
      </c>
      <c r="B21" s="297">
        <v>6772.0</v>
      </c>
      <c r="C21" s="167" t="s">
        <v>6305</v>
      </c>
      <c r="D21" s="74">
        <v>0.7</v>
      </c>
      <c r="E21" s="74">
        <v>0.7</v>
      </c>
      <c r="F21" s="229" t="s">
        <v>1656</v>
      </c>
      <c r="K21" s="245" t="s">
        <v>6361</v>
      </c>
      <c r="L21" s="81">
        <v>1.0</v>
      </c>
      <c r="N21" s="11" t="s">
        <v>6362</v>
      </c>
      <c r="O21" s="11">
        <v>6772.0</v>
      </c>
      <c r="Q21" s="7" t="s">
        <v>6360</v>
      </c>
      <c r="R21" s="9">
        <v>6772.0</v>
      </c>
      <c r="S21" s="18">
        <f t="shared" si="2"/>
        <v>1</v>
      </c>
    </row>
    <row r="22">
      <c r="A22" s="244" t="s">
        <v>6363</v>
      </c>
      <c r="B22" s="297">
        <v>7033.0</v>
      </c>
      <c r="C22" s="167" t="s">
        <v>6305</v>
      </c>
      <c r="D22" s="74">
        <v>0.7</v>
      </c>
      <c r="E22" s="74">
        <v>0.7</v>
      </c>
      <c r="F22" s="229" t="s">
        <v>1656</v>
      </c>
      <c r="K22" s="245" t="s">
        <v>6364</v>
      </c>
      <c r="L22" s="81">
        <v>1.0</v>
      </c>
      <c r="N22" s="11" t="s">
        <v>6365</v>
      </c>
      <c r="O22" s="11">
        <v>7033.0</v>
      </c>
      <c r="Q22" s="7" t="s">
        <v>6363</v>
      </c>
      <c r="R22" s="9">
        <v>7033.0</v>
      </c>
      <c r="S22" s="18">
        <f t="shared" si="2"/>
        <v>1</v>
      </c>
    </row>
    <row r="23">
      <c r="A23" s="244" t="s">
        <v>6366</v>
      </c>
      <c r="B23" s="297">
        <v>6133.0</v>
      </c>
      <c r="C23" s="167" t="s">
        <v>6305</v>
      </c>
      <c r="D23" s="74">
        <v>0.8</v>
      </c>
      <c r="E23" s="74">
        <v>0.8</v>
      </c>
      <c r="F23" s="229" t="s">
        <v>1656</v>
      </c>
      <c r="K23" s="245" t="s">
        <v>6367</v>
      </c>
      <c r="L23" s="81">
        <v>1.0</v>
      </c>
      <c r="N23" s="11" t="s">
        <v>6368</v>
      </c>
      <c r="O23" s="11">
        <v>6133.0</v>
      </c>
      <c r="Q23" s="7" t="s">
        <v>6366</v>
      </c>
      <c r="R23" s="9">
        <v>6133.0</v>
      </c>
      <c r="S23" s="18">
        <f t="shared" si="2"/>
        <v>1</v>
      </c>
    </row>
    <row r="24">
      <c r="A24" s="244" t="s">
        <v>6369</v>
      </c>
      <c r="B24" s="297">
        <v>7010.0</v>
      </c>
      <c r="C24" s="167" t="s">
        <v>6305</v>
      </c>
      <c r="D24" s="74">
        <v>0.8</v>
      </c>
      <c r="E24" s="74">
        <v>0.8</v>
      </c>
      <c r="F24" s="229" t="s">
        <v>1656</v>
      </c>
      <c r="K24" s="245" t="s">
        <v>6370</v>
      </c>
      <c r="L24" s="81">
        <v>1.0</v>
      </c>
      <c r="N24" s="11" t="s">
        <v>6371</v>
      </c>
      <c r="Q24" s="7" t="s">
        <v>6369</v>
      </c>
      <c r="R24" s="9">
        <v>7010.0</v>
      </c>
      <c r="S24" s="18">
        <f t="shared" si="2"/>
        <v>1</v>
      </c>
    </row>
    <row r="25">
      <c r="A25" s="244" t="s">
        <v>6372</v>
      </c>
      <c r="B25" s="297">
        <v>7847.0</v>
      </c>
      <c r="C25" s="167" t="s">
        <v>6305</v>
      </c>
      <c r="D25" s="74">
        <v>0.7</v>
      </c>
      <c r="E25" s="74">
        <v>0.7</v>
      </c>
      <c r="F25" s="229" t="s">
        <v>1656</v>
      </c>
      <c r="K25" s="245" t="s">
        <v>6373</v>
      </c>
      <c r="L25" s="81">
        <v>1.0</v>
      </c>
      <c r="N25" s="11" t="s">
        <v>6374</v>
      </c>
      <c r="O25" s="11"/>
      <c r="Q25" s="7" t="s">
        <v>6372</v>
      </c>
      <c r="R25" s="9">
        <v>7847.0</v>
      </c>
      <c r="S25" s="18">
        <f t="shared" si="2"/>
        <v>1</v>
      </c>
    </row>
    <row r="26">
      <c r="A26" s="244" t="s">
        <v>6375</v>
      </c>
      <c r="B26" s="297">
        <v>5125.0</v>
      </c>
      <c r="C26" s="167" t="s">
        <v>6305</v>
      </c>
      <c r="D26" s="74">
        <v>0.7</v>
      </c>
      <c r="E26" s="74">
        <v>0.7</v>
      </c>
      <c r="F26" s="229" t="s">
        <v>1656</v>
      </c>
      <c r="K26" s="245" t="s">
        <v>6348</v>
      </c>
      <c r="L26" s="81">
        <v>1.0</v>
      </c>
      <c r="N26" s="11" t="s">
        <v>6376</v>
      </c>
      <c r="Q26" s="7" t="s">
        <v>6375</v>
      </c>
      <c r="R26" s="9">
        <v>5125.0</v>
      </c>
      <c r="S26" s="18">
        <f t="shared" si="2"/>
        <v>1</v>
      </c>
    </row>
    <row r="27">
      <c r="A27" s="244" t="s">
        <v>6377</v>
      </c>
      <c r="B27" s="297">
        <v>8199.0</v>
      </c>
      <c r="C27" s="167" t="s">
        <v>6305</v>
      </c>
      <c r="D27" s="74">
        <v>0.7</v>
      </c>
      <c r="E27" s="74">
        <v>0.7</v>
      </c>
      <c r="F27" s="229" t="s">
        <v>1656</v>
      </c>
      <c r="K27" s="245" t="s">
        <v>6378</v>
      </c>
      <c r="L27" s="81">
        <v>1.0</v>
      </c>
      <c r="N27" s="11" t="s">
        <v>6379</v>
      </c>
      <c r="O27" s="11"/>
      <c r="Q27" s="7" t="s">
        <v>6377</v>
      </c>
      <c r="R27" s="9">
        <v>8199.0</v>
      </c>
      <c r="S27" s="18">
        <f t="shared" si="2"/>
        <v>1</v>
      </c>
    </row>
    <row r="28">
      <c r="A28" s="244" t="s">
        <v>6380</v>
      </c>
      <c r="B28" s="297">
        <v>6132.0</v>
      </c>
      <c r="C28" s="167" t="s">
        <v>6305</v>
      </c>
      <c r="D28" s="74">
        <v>0.7</v>
      </c>
      <c r="E28" s="74">
        <v>0.7</v>
      </c>
      <c r="F28" s="229" t="s">
        <v>1656</v>
      </c>
      <c r="K28" s="245" t="s">
        <v>6381</v>
      </c>
      <c r="L28" s="81">
        <v>1.0</v>
      </c>
      <c r="N28" s="11" t="s">
        <v>6382</v>
      </c>
      <c r="Q28" s="7" t="s">
        <v>6380</v>
      </c>
      <c r="R28" s="9">
        <v>6132.0</v>
      </c>
      <c r="S28" s="18">
        <f t="shared" si="2"/>
        <v>1</v>
      </c>
    </row>
    <row r="29">
      <c r="A29" s="244" t="s">
        <v>6383</v>
      </c>
      <c r="B29" s="11">
        <v>6947.0</v>
      </c>
      <c r="C29" s="167" t="s">
        <v>6305</v>
      </c>
      <c r="D29" s="74">
        <v>0.7</v>
      </c>
      <c r="E29" s="74">
        <v>0.7</v>
      </c>
      <c r="F29" s="229" t="s">
        <v>1656</v>
      </c>
      <c r="K29" s="245" t="s">
        <v>6384</v>
      </c>
      <c r="L29" s="81">
        <v>1.0</v>
      </c>
      <c r="N29" s="11" t="s">
        <v>6385</v>
      </c>
      <c r="Q29" s="7" t="s">
        <v>6383</v>
      </c>
      <c r="R29" s="9">
        <v>6109.0</v>
      </c>
      <c r="S29" s="18">
        <f t="shared" si="2"/>
        <v>1</v>
      </c>
    </row>
    <row r="30">
      <c r="A30" s="244" t="s">
        <v>6386</v>
      </c>
      <c r="B30" s="297">
        <v>11601.0</v>
      </c>
      <c r="C30" s="167" t="s">
        <v>6305</v>
      </c>
      <c r="D30" s="74">
        <v>0.7</v>
      </c>
      <c r="E30" s="74">
        <v>0.7</v>
      </c>
      <c r="F30" s="229" t="s">
        <v>1656</v>
      </c>
      <c r="K30" s="245" t="s">
        <v>6387</v>
      </c>
      <c r="L30" s="81">
        <v>1.0</v>
      </c>
      <c r="N30" s="11" t="s">
        <v>6388</v>
      </c>
      <c r="Q30" s="7" t="s">
        <v>6386</v>
      </c>
      <c r="R30" s="9">
        <v>11601.0</v>
      </c>
      <c r="S30" s="18">
        <f t="shared" si="2"/>
        <v>1</v>
      </c>
    </row>
    <row r="31">
      <c r="A31" s="244" t="s">
        <v>6389</v>
      </c>
      <c r="B31" s="297">
        <v>7083.0</v>
      </c>
      <c r="C31" s="167" t="s">
        <v>6305</v>
      </c>
      <c r="D31" s="74">
        <v>0.7</v>
      </c>
      <c r="E31" s="74">
        <v>0.7</v>
      </c>
      <c r="F31" s="229" t="s">
        <v>1656</v>
      </c>
      <c r="K31" s="245" t="s">
        <v>6390</v>
      </c>
      <c r="L31" s="81">
        <v>1.0</v>
      </c>
      <c r="N31" s="11" t="s">
        <v>6391</v>
      </c>
      <c r="Q31" s="7" t="s">
        <v>6389</v>
      </c>
      <c r="R31" s="9">
        <v>7083.0</v>
      </c>
      <c r="S31" s="18">
        <f t="shared" si="2"/>
        <v>1</v>
      </c>
    </row>
    <row r="32">
      <c r="A32" s="244" t="s">
        <v>6392</v>
      </c>
      <c r="B32" s="297">
        <v>6143.0</v>
      </c>
      <c r="C32" s="167" t="s">
        <v>6305</v>
      </c>
      <c r="D32" s="74">
        <v>0.7</v>
      </c>
      <c r="E32" s="74">
        <v>0.7</v>
      </c>
      <c r="F32" s="229" t="s">
        <v>1656</v>
      </c>
      <c r="K32" s="245" t="s">
        <v>6393</v>
      </c>
      <c r="L32" s="81">
        <v>1.0</v>
      </c>
      <c r="N32" s="11" t="s">
        <v>6394</v>
      </c>
      <c r="O32" s="11">
        <v>6143.0</v>
      </c>
      <c r="Q32" s="7" t="s">
        <v>6392</v>
      </c>
      <c r="R32" s="9">
        <v>6143.0</v>
      </c>
      <c r="S32" s="18">
        <f t="shared" si="2"/>
        <v>1</v>
      </c>
    </row>
    <row r="33">
      <c r="A33" s="244" t="s">
        <v>6395</v>
      </c>
      <c r="B33" s="297">
        <v>6936.0</v>
      </c>
      <c r="C33" s="167" t="s">
        <v>6305</v>
      </c>
      <c r="D33" s="74">
        <v>0.7</v>
      </c>
      <c r="E33" s="74">
        <v>0.7</v>
      </c>
      <c r="F33" s="229" t="s">
        <v>1656</v>
      </c>
      <c r="K33" s="245" t="s">
        <v>6396</v>
      </c>
      <c r="L33" s="81">
        <v>1.0</v>
      </c>
      <c r="N33" s="11" t="s">
        <v>6397</v>
      </c>
      <c r="Q33" s="7" t="s">
        <v>6395</v>
      </c>
      <c r="R33" s="9">
        <v>6936.0</v>
      </c>
      <c r="S33" s="18">
        <f t="shared" si="2"/>
        <v>1</v>
      </c>
    </row>
    <row r="34">
      <c r="A34" s="244" t="s">
        <v>6398</v>
      </c>
      <c r="B34" s="297">
        <v>9645.0</v>
      </c>
      <c r="C34" s="167" t="s">
        <v>6305</v>
      </c>
      <c r="D34" s="74">
        <v>0.7</v>
      </c>
      <c r="E34" s="74">
        <v>0.7</v>
      </c>
      <c r="F34" s="229" t="s">
        <v>1656</v>
      </c>
      <c r="K34" s="245" t="s">
        <v>6304</v>
      </c>
      <c r="L34" s="81">
        <v>1.0</v>
      </c>
      <c r="N34" s="11" t="s">
        <v>6399</v>
      </c>
      <c r="Q34" s="7" t="s">
        <v>6398</v>
      </c>
      <c r="R34" s="9">
        <v>9645.0</v>
      </c>
      <c r="S34" s="18">
        <f t="shared" si="2"/>
        <v>1</v>
      </c>
    </row>
    <row r="35">
      <c r="A35" s="244" t="s">
        <v>6400</v>
      </c>
      <c r="B35" s="297">
        <v>9715.0</v>
      </c>
      <c r="C35" s="167" t="s">
        <v>6305</v>
      </c>
      <c r="D35" s="74">
        <v>0.7</v>
      </c>
      <c r="E35" s="74">
        <v>0.7</v>
      </c>
      <c r="F35" s="229" t="s">
        <v>1656</v>
      </c>
      <c r="K35" s="245" t="s">
        <v>6401</v>
      </c>
      <c r="L35" s="81">
        <v>1.0</v>
      </c>
      <c r="N35" s="11" t="s">
        <v>6402</v>
      </c>
      <c r="Q35" s="7" t="s">
        <v>6400</v>
      </c>
      <c r="R35" s="9">
        <v>9715.0</v>
      </c>
      <c r="S35" s="18">
        <f t="shared" si="2"/>
        <v>1</v>
      </c>
    </row>
    <row r="36">
      <c r="A36" s="244" t="s">
        <v>6403</v>
      </c>
      <c r="B36" s="297">
        <v>9715.0</v>
      </c>
      <c r="C36" s="167" t="s">
        <v>6305</v>
      </c>
      <c r="D36" s="74">
        <v>0.7</v>
      </c>
      <c r="E36" s="74">
        <v>0.7</v>
      </c>
      <c r="F36" s="229" t="s">
        <v>1656</v>
      </c>
      <c r="K36" s="245" t="s">
        <v>6404</v>
      </c>
      <c r="L36" s="81">
        <v>1.0</v>
      </c>
      <c r="N36" s="11" t="s">
        <v>6405</v>
      </c>
      <c r="Q36" s="7" t="s">
        <v>6403</v>
      </c>
      <c r="R36" s="9">
        <v>9715.0</v>
      </c>
      <c r="S36" s="18">
        <f t="shared" si="2"/>
        <v>1</v>
      </c>
    </row>
    <row r="37">
      <c r="A37" s="244" t="s">
        <v>6406</v>
      </c>
      <c r="B37" s="297">
        <v>663.0</v>
      </c>
      <c r="C37" s="167" t="s">
        <v>6305</v>
      </c>
      <c r="D37" s="74">
        <v>0.7</v>
      </c>
      <c r="E37" s="74">
        <v>0.7</v>
      </c>
      <c r="F37" s="229" t="s">
        <v>1656</v>
      </c>
      <c r="K37" s="245" t="s">
        <v>6407</v>
      </c>
      <c r="L37" s="81">
        <v>1.0</v>
      </c>
      <c r="N37" s="11" t="s">
        <v>6408</v>
      </c>
      <c r="O37" s="11">
        <v>663.0</v>
      </c>
      <c r="Q37" s="7" t="s">
        <v>6406</v>
      </c>
      <c r="R37" s="9">
        <v>663.0</v>
      </c>
      <c r="S37" s="18">
        <f t="shared" si="2"/>
        <v>1</v>
      </c>
    </row>
    <row r="38">
      <c r="A38" s="244" t="s">
        <v>6409</v>
      </c>
      <c r="B38" s="297">
        <v>189.0</v>
      </c>
      <c r="C38" s="167" t="s">
        <v>6305</v>
      </c>
      <c r="D38" s="74">
        <v>0.8</v>
      </c>
      <c r="E38" s="74">
        <v>0.8</v>
      </c>
      <c r="F38" s="229" t="s">
        <v>1656</v>
      </c>
      <c r="K38" s="245" t="s">
        <v>6410</v>
      </c>
      <c r="L38" s="81">
        <v>1.0</v>
      </c>
      <c r="N38" s="11" t="s">
        <v>6411</v>
      </c>
      <c r="Q38" s="7" t="s">
        <v>6409</v>
      </c>
      <c r="R38" s="9">
        <v>189.0</v>
      </c>
      <c r="S38" s="18">
        <f t="shared" si="2"/>
        <v>1</v>
      </c>
    </row>
    <row r="39">
      <c r="A39" s="244" t="s">
        <v>6412</v>
      </c>
      <c r="B39" s="297">
        <v>189.0</v>
      </c>
      <c r="C39" s="167" t="s">
        <v>6305</v>
      </c>
      <c r="D39" s="74">
        <v>0.8</v>
      </c>
      <c r="E39" s="74">
        <v>0.8</v>
      </c>
      <c r="F39" s="229" t="s">
        <v>1656</v>
      </c>
      <c r="K39" s="245" t="s">
        <v>6413</v>
      </c>
      <c r="L39" s="81">
        <v>1.0</v>
      </c>
      <c r="N39" s="11" t="s">
        <v>6414</v>
      </c>
      <c r="Q39" s="7" t="s">
        <v>6412</v>
      </c>
      <c r="R39" s="9">
        <v>189.0</v>
      </c>
      <c r="S39" s="18">
        <f t="shared" si="2"/>
        <v>1</v>
      </c>
    </row>
    <row r="40">
      <c r="A40" s="244" t="s">
        <v>6415</v>
      </c>
      <c r="B40" s="297">
        <v>14482.0</v>
      </c>
      <c r="C40" s="167" t="s">
        <v>6305</v>
      </c>
      <c r="D40" s="74">
        <v>0.7</v>
      </c>
      <c r="E40" s="74">
        <v>0.7</v>
      </c>
      <c r="F40" s="229" t="s">
        <v>1656</v>
      </c>
      <c r="K40" s="245" t="s">
        <v>6416</v>
      </c>
      <c r="L40" s="81">
        <v>1.0</v>
      </c>
      <c r="N40" s="11" t="s">
        <v>6417</v>
      </c>
      <c r="Q40" s="7" t="s">
        <v>6415</v>
      </c>
      <c r="R40" s="9">
        <v>4193.0</v>
      </c>
      <c r="S40" s="18">
        <f t="shared" si="2"/>
        <v>1</v>
      </c>
    </row>
    <row r="41">
      <c r="A41" s="244" t="s">
        <v>6418</v>
      </c>
      <c r="B41" s="297">
        <v>4514.0</v>
      </c>
      <c r="C41" s="167" t="s">
        <v>6305</v>
      </c>
      <c r="D41" s="74">
        <v>0.7</v>
      </c>
      <c r="E41" s="74">
        <v>0.7</v>
      </c>
      <c r="F41" s="229" t="s">
        <v>1656</v>
      </c>
      <c r="K41" s="245" t="s">
        <v>6419</v>
      </c>
      <c r="L41" s="81">
        <v>1.0</v>
      </c>
      <c r="N41" s="11" t="s">
        <v>6420</v>
      </c>
      <c r="Q41" s="7" t="s">
        <v>6418</v>
      </c>
      <c r="R41" s="9">
        <v>4514.0</v>
      </c>
      <c r="S41" s="18">
        <f t="shared" si="2"/>
        <v>1</v>
      </c>
    </row>
    <row r="42">
      <c r="A42" s="244" t="s">
        <v>6421</v>
      </c>
      <c r="B42" s="297">
        <v>189.0</v>
      </c>
      <c r="C42" s="167" t="s">
        <v>6305</v>
      </c>
      <c r="D42" s="74">
        <v>0.8</v>
      </c>
      <c r="E42" s="74">
        <v>0.8</v>
      </c>
      <c r="F42" s="229" t="s">
        <v>1656</v>
      </c>
      <c r="K42" s="245" t="s">
        <v>6330</v>
      </c>
      <c r="L42" s="81">
        <v>1.0</v>
      </c>
      <c r="N42" s="11" t="s">
        <v>6422</v>
      </c>
      <c r="Q42" s="7" t="s">
        <v>6421</v>
      </c>
      <c r="R42" s="9">
        <v>189.0</v>
      </c>
      <c r="S42" s="18">
        <f t="shared" si="2"/>
        <v>1</v>
      </c>
    </row>
    <row r="43">
      <c r="A43" s="244" t="s">
        <v>6423</v>
      </c>
      <c r="B43" s="297">
        <v>9715.0</v>
      </c>
      <c r="C43" s="167" t="s">
        <v>6305</v>
      </c>
      <c r="D43" s="74">
        <v>0.7</v>
      </c>
      <c r="E43" s="74">
        <v>0.7</v>
      </c>
      <c r="F43" s="229" t="s">
        <v>1656</v>
      </c>
      <c r="K43" s="245" t="s">
        <v>6424</v>
      </c>
      <c r="L43" s="81">
        <v>1.0</v>
      </c>
      <c r="N43" s="11" t="s">
        <v>6425</v>
      </c>
      <c r="Q43" s="7" t="s">
        <v>6423</v>
      </c>
      <c r="R43" s="9">
        <v>9715.0</v>
      </c>
      <c r="S43" s="18">
        <f t="shared" si="2"/>
        <v>1</v>
      </c>
    </row>
    <row r="44">
      <c r="A44" s="244" t="s">
        <v>6426</v>
      </c>
      <c r="B44" s="297">
        <v>6736.0</v>
      </c>
      <c r="C44" s="167" t="s">
        <v>6305</v>
      </c>
      <c r="D44" s="74">
        <v>0.7</v>
      </c>
      <c r="E44" s="74">
        <v>0.7</v>
      </c>
      <c r="F44" s="229" t="s">
        <v>1656</v>
      </c>
      <c r="K44" s="245" t="s">
        <v>6427</v>
      </c>
      <c r="L44" s="81">
        <v>1.0</v>
      </c>
      <c r="N44" s="11" t="s">
        <v>6428</v>
      </c>
      <c r="Q44" s="7" t="s">
        <v>6426</v>
      </c>
      <c r="R44" s="9">
        <v>6736.0</v>
      </c>
      <c r="S44" s="18">
        <f t="shared" si="2"/>
        <v>1</v>
      </c>
    </row>
    <row r="45">
      <c r="A45" s="244" t="s">
        <v>6424</v>
      </c>
      <c r="B45" s="297">
        <v>9715.0</v>
      </c>
      <c r="C45" s="167" t="s">
        <v>6305</v>
      </c>
      <c r="D45" s="74">
        <v>0.7</v>
      </c>
      <c r="E45" s="74">
        <v>0.7</v>
      </c>
      <c r="F45" s="229" t="s">
        <v>1656</v>
      </c>
      <c r="K45" s="245" t="s">
        <v>6429</v>
      </c>
      <c r="L45" s="81">
        <v>1.0</v>
      </c>
      <c r="N45" s="11" t="s">
        <v>6430</v>
      </c>
      <c r="Q45" s="7" t="s">
        <v>6424</v>
      </c>
      <c r="R45" s="9">
        <v>9715.0</v>
      </c>
      <c r="S45" s="18">
        <f t="shared" si="2"/>
        <v>1</v>
      </c>
    </row>
    <row r="46">
      <c r="A46" s="244" t="s">
        <v>6431</v>
      </c>
      <c r="B46" s="297">
        <v>7023.0</v>
      </c>
      <c r="C46" s="167" t="s">
        <v>6305</v>
      </c>
      <c r="D46" s="74">
        <v>0.7</v>
      </c>
      <c r="E46" s="74">
        <v>0.7</v>
      </c>
      <c r="F46" s="229" t="s">
        <v>1656</v>
      </c>
      <c r="K46" s="245" t="s">
        <v>6432</v>
      </c>
      <c r="L46" s="81">
        <v>1.0</v>
      </c>
      <c r="N46" s="11" t="s">
        <v>6433</v>
      </c>
      <c r="Q46" s="7" t="s">
        <v>6431</v>
      </c>
      <c r="R46" s="9">
        <v>7023.0</v>
      </c>
      <c r="S46" s="18">
        <f t="shared" si="2"/>
        <v>1</v>
      </c>
    </row>
    <row r="47">
      <c r="A47" s="244" t="s">
        <v>6434</v>
      </c>
      <c r="B47" s="297">
        <v>14603.0</v>
      </c>
      <c r="C47" s="167" t="s">
        <v>6305</v>
      </c>
      <c r="D47" s="74">
        <v>0.7</v>
      </c>
      <c r="E47" s="74">
        <v>0.7</v>
      </c>
      <c r="F47" s="229" t="s">
        <v>1656</v>
      </c>
      <c r="K47" s="245" t="s">
        <v>6435</v>
      </c>
      <c r="L47" s="81">
        <v>1.0</v>
      </c>
      <c r="N47" s="11" t="s">
        <v>6436</v>
      </c>
      <c r="Q47" s="208" t="s">
        <v>6434</v>
      </c>
      <c r="R47" s="111">
        <v>9715.0</v>
      </c>
      <c r="S47" s="36" t="str">
        <f t="shared" si="2"/>
        <v>#N/A</v>
      </c>
      <c r="T47" s="36"/>
      <c r="U47" s="36"/>
    </row>
    <row r="48">
      <c r="A48" s="244" t="s">
        <v>6437</v>
      </c>
      <c r="B48" s="297">
        <v>7183.0</v>
      </c>
      <c r="C48" s="167" t="s">
        <v>6305</v>
      </c>
      <c r="D48" s="74">
        <v>0.7</v>
      </c>
      <c r="E48" s="74">
        <v>0.7</v>
      </c>
      <c r="F48" s="229" t="s">
        <v>1656</v>
      </c>
      <c r="K48" s="245" t="s">
        <v>6438</v>
      </c>
      <c r="L48" s="81">
        <v>1.0</v>
      </c>
      <c r="N48" s="11" t="s">
        <v>6439</v>
      </c>
      <c r="Q48" s="7" t="s">
        <v>6437</v>
      </c>
      <c r="R48" s="9">
        <v>7183.0</v>
      </c>
      <c r="S48" s="18">
        <f t="shared" si="2"/>
        <v>1</v>
      </c>
    </row>
    <row r="49">
      <c r="A49" s="244" t="s">
        <v>6440</v>
      </c>
      <c r="B49" s="297">
        <v>7186.0</v>
      </c>
      <c r="C49" s="167" t="s">
        <v>6305</v>
      </c>
      <c r="D49" s="74">
        <v>0.7</v>
      </c>
      <c r="E49" s="74">
        <v>0.7</v>
      </c>
      <c r="F49" s="229" t="s">
        <v>1656</v>
      </c>
      <c r="K49" s="245" t="s">
        <v>6441</v>
      </c>
      <c r="L49" s="81">
        <v>1.0</v>
      </c>
      <c r="N49" s="11" t="s">
        <v>6442</v>
      </c>
      <c r="Q49" s="7" t="s">
        <v>6440</v>
      </c>
      <c r="R49" s="9">
        <v>7186.0</v>
      </c>
      <c r="S49" s="18">
        <f t="shared" si="2"/>
        <v>1</v>
      </c>
    </row>
    <row r="50">
      <c r="A50" s="244" t="s">
        <v>6443</v>
      </c>
      <c r="B50" s="297">
        <v>499.0</v>
      </c>
      <c r="C50" s="167" t="s">
        <v>6305</v>
      </c>
      <c r="D50" s="74">
        <v>0.7</v>
      </c>
      <c r="E50" s="74">
        <v>0.7</v>
      </c>
      <c r="F50" s="229" t="s">
        <v>1656</v>
      </c>
      <c r="K50" s="245" t="s">
        <v>6444</v>
      </c>
      <c r="L50" s="81">
        <v>1.0</v>
      </c>
      <c r="N50" s="11" t="s">
        <v>6445</v>
      </c>
      <c r="Q50" s="208" t="s">
        <v>6443</v>
      </c>
      <c r="R50" s="111">
        <v>9701.0</v>
      </c>
      <c r="S50" s="36">
        <f t="shared" si="2"/>
        <v>1</v>
      </c>
      <c r="T50" s="36"/>
      <c r="U50" s="36"/>
    </row>
    <row r="51">
      <c r="A51" s="244" t="s">
        <v>6446</v>
      </c>
      <c r="B51" s="297">
        <v>7747.0</v>
      </c>
      <c r="C51" s="167" t="s">
        <v>6305</v>
      </c>
      <c r="D51" s="74">
        <v>0.7</v>
      </c>
      <c r="E51" s="74">
        <v>0.7</v>
      </c>
      <c r="F51" s="229" t="s">
        <v>1656</v>
      </c>
      <c r="K51" s="245" t="s">
        <v>6447</v>
      </c>
      <c r="L51" s="81">
        <v>1.0</v>
      </c>
      <c r="N51" s="11" t="s">
        <v>6448</v>
      </c>
      <c r="Q51" s="208" t="s">
        <v>6446</v>
      </c>
      <c r="R51" s="111">
        <v>6272.0</v>
      </c>
      <c r="S51" s="36">
        <f t="shared" si="2"/>
        <v>1</v>
      </c>
      <c r="T51" s="36"/>
      <c r="U51" s="36"/>
    </row>
    <row r="52">
      <c r="A52" s="244" t="s">
        <v>6449</v>
      </c>
      <c r="B52" s="297">
        <v>6924.0</v>
      </c>
      <c r="C52" s="167" t="s">
        <v>6305</v>
      </c>
      <c r="D52" s="74">
        <v>0.7</v>
      </c>
      <c r="E52" s="74">
        <v>0.7</v>
      </c>
      <c r="F52" s="229" t="s">
        <v>1656</v>
      </c>
      <c r="K52" s="245" t="s">
        <v>6450</v>
      </c>
      <c r="L52" s="81">
        <v>1.0</v>
      </c>
      <c r="N52" s="11" t="s">
        <v>6451</v>
      </c>
      <c r="O52" s="11">
        <v>6924.0</v>
      </c>
      <c r="Q52" s="7" t="s">
        <v>6449</v>
      </c>
      <c r="R52" s="9">
        <v>6924.0</v>
      </c>
      <c r="S52" s="18">
        <f t="shared" si="2"/>
        <v>1</v>
      </c>
    </row>
    <row r="53">
      <c r="A53" s="244" t="s">
        <v>6452</v>
      </c>
      <c r="B53" s="297">
        <v>14482.0</v>
      </c>
      <c r="C53" s="167" t="s">
        <v>6305</v>
      </c>
      <c r="D53" s="74">
        <v>0.7</v>
      </c>
      <c r="E53" s="74">
        <v>0.7</v>
      </c>
      <c r="F53" s="229" t="s">
        <v>1656</v>
      </c>
      <c r="K53" s="245" t="s">
        <v>6453</v>
      </c>
      <c r="L53" s="81">
        <v>1.0</v>
      </c>
      <c r="N53" s="11" t="s">
        <v>6454</v>
      </c>
      <c r="Q53" s="7" t="s">
        <v>6452</v>
      </c>
      <c r="R53" s="9">
        <v>4193.0</v>
      </c>
      <c r="S53" s="18">
        <f t="shared" si="2"/>
        <v>1</v>
      </c>
    </row>
    <row r="54">
      <c r="A54" s="244" t="s">
        <v>6455</v>
      </c>
      <c r="B54" s="297">
        <v>6729.0</v>
      </c>
      <c r="C54" s="167" t="s">
        <v>6305</v>
      </c>
      <c r="D54" s="74">
        <v>0.8</v>
      </c>
      <c r="E54" s="74">
        <v>0.8</v>
      </c>
      <c r="F54" s="229" t="s">
        <v>1656</v>
      </c>
      <c r="K54" s="245" t="s">
        <v>6456</v>
      </c>
      <c r="L54" s="81">
        <v>1.0</v>
      </c>
      <c r="N54" s="11" t="s">
        <v>6457</v>
      </c>
      <c r="Q54" s="7" t="s">
        <v>6455</v>
      </c>
      <c r="R54" s="9">
        <v>6729.0</v>
      </c>
      <c r="S54" s="18">
        <f t="shared" si="2"/>
        <v>1</v>
      </c>
      <c r="T54" s="11">
        <v>136.0</v>
      </c>
    </row>
    <row r="55">
      <c r="A55" s="244" t="s">
        <v>6458</v>
      </c>
      <c r="B55" s="297">
        <v>6671.0</v>
      </c>
      <c r="C55" s="167" t="s">
        <v>6305</v>
      </c>
      <c r="D55" s="74">
        <v>0.7</v>
      </c>
      <c r="E55" s="74">
        <v>0.7</v>
      </c>
      <c r="F55" s="229" t="s">
        <v>1656</v>
      </c>
      <c r="K55" s="245" t="s">
        <v>6423</v>
      </c>
      <c r="L55" s="81">
        <v>1.0</v>
      </c>
      <c r="N55" s="11" t="s">
        <v>6459</v>
      </c>
      <c r="Q55" s="7" t="s">
        <v>6458</v>
      </c>
      <c r="R55" s="9">
        <v>6671.0</v>
      </c>
      <c r="S55" s="18" t="str">
        <f t="shared" si="2"/>
        <v>#N/A</v>
      </c>
    </row>
    <row r="56">
      <c r="A56" s="244" t="s">
        <v>6460</v>
      </c>
      <c r="B56" s="297">
        <v>2345.0</v>
      </c>
      <c r="C56" s="167" t="s">
        <v>6305</v>
      </c>
      <c r="D56" s="74">
        <v>0.9</v>
      </c>
      <c r="E56" s="74">
        <v>0.9</v>
      </c>
      <c r="F56" s="229" t="s">
        <v>1656</v>
      </c>
      <c r="K56" s="245" t="s">
        <v>6461</v>
      </c>
      <c r="L56" s="81">
        <v>1.0</v>
      </c>
      <c r="N56" s="11" t="s">
        <v>6462</v>
      </c>
      <c r="Q56" s="7" t="s">
        <v>6460</v>
      </c>
      <c r="R56" s="9">
        <v>2345.0</v>
      </c>
      <c r="S56" s="18">
        <f t="shared" si="2"/>
        <v>1</v>
      </c>
    </row>
    <row r="57">
      <c r="A57" s="244" t="s">
        <v>6463</v>
      </c>
      <c r="B57" s="297">
        <v>2345.0</v>
      </c>
      <c r="C57" s="167" t="s">
        <v>6305</v>
      </c>
      <c r="D57" s="74">
        <v>0.9</v>
      </c>
      <c r="E57" s="74">
        <v>0.9</v>
      </c>
      <c r="F57" s="229" t="s">
        <v>1656</v>
      </c>
      <c r="K57" s="245" t="s">
        <v>6406</v>
      </c>
      <c r="L57" s="81">
        <v>1.0</v>
      </c>
      <c r="N57" s="11" t="s">
        <v>6464</v>
      </c>
      <c r="Q57" s="7" t="s">
        <v>6463</v>
      </c>
      <c r="R57" s="9">
        <v>2345.0</v>
      </c>
      <c r="S57" s="18">
        <f t="shared" si="2"/>
        <v>1</v>
      </c>
    </row>
    <row r="58">
      <c r="A58" s="244" t="s">
        <v>6465</v>
      </c>
      <c r="B58" s="297">
        <v>2345.0</v>
      </c>
      <c r="C58" s="167" t="s">
        <v>6305</v>
      </c>
      <c r="D58" s="74">
        <v>0.9</v>
      </c>
      <c r="E58" s="74">
        <v>0.9</v>
      </c>
      <c r="F58" s="229" t="s">
        <v>1656</v>
      </c>
      <c r="K58" s="245" t="s">
        <v>6466</v>
      </c>
      <c r="L58" s="81">
        <v>1.0</v>
      </c>
      <c r="N58" s="11" t="s">
        <v>6467</v>
      </c>
      <c r="Q58" s="7" t="s">
        <v>6465</v>
      </c>
      <c r="R58" s="9">
        <v>2345.0</v>
      </c>
      <c r="S58" s="18">
        <f t="shared" si="2"/>
        <v>1</v>
      </c>
    </row>
    <row r="59">
      <c r="A59" s="244" t="s">
        <v>6468</v>
      </c>
      <c r="B59" s="297">
        <v>3307.0</v>
      </c>
      <c r="C59" s="167" t="s">
        <v>6305</v>
      </c>
      <c r="D59" s="74">
        <v>0.7</v>
      </c>
      <c r="E59" s="74">
        <v>0.7</v>
      </c>
      <c r="F59" s="229" t="s">
        <v>1656</v>
      </c>
      <c r="K59" s="245" t="s">
        <v>6469</v>
      </c>
      <c r="L59" s="81">
        <v>1.0</v>
      </c>
      <c r="N59" s="11" t="s">
        <v>6470</v>
      </c>
      <c r="Q59" s="208" t="s">
        <v>6468</v>
      </c>
      <c r="R59" s="111">
        <v>2345.0</v>
      </c>
      <c r="S59" s="36" t="str">
        <f t="shared" si="2"/>
        <v>#N/A</v>
      </c>
      <c r="T59" s="36"/>
      <c r="U59" s="36"/>
    </row>
    <row r="60">
      <c r="A60" s="244" t="s">
        <v>6471</v>
      </c>
      <c r="B60" s="297">
        <v>2345.0</v>
      </c>
      <c r="C60" s="167" t="s">
        <v>6305</v>
      </c>
      <c r="D60" s="74">
        <v>0.9</v>
      </c>
      <c r="E60" s="74">
        <v>0.9</v>
      </c>
      <c r="F60" s="229" t="s">
        <v>1656</v>
      </c>
      <c r="K60" s="245" t="s">
        <v>6403</v>
      </c>
      <c r="L60" s="81">
        <v>1.0</v>
      </c>
      <c r="N60" s="11" t="s">
        <v>6472</v>
      </c>
      <c r="Q60" s="7" t="s">
        <v>6471</v>
      </c>
      <c r="R60" s="9">
        <v>2345.0</v>
      </c>
      <c r="S60" s="18">
        <f t="shared" si="2"/>
        <v>1</v>
      </c>
    </row>
    <row r="61">
      <c r="A61" s="244" t="s">
        <v>6473</v>
      </c>
      <c r="B61" s="297">
        <v>2345.0</v>
      </c>
      <c r="C61" s="167" t="s">
        <v>6305</v>
      </c>
      <c r="D61" s="74">
        <v>0.9</v>
      </c>
      <c r="E61" s="74">
        <v>0.9</v>
      </c>
      <c r="F61" s="229" t="s">
        <v>1656</v>
      </c>
      <c r="K61" s="245" t="s">
        <v>6452</v>
      </c>
      <c r="L61" s="81">
        <v>1.0</v>
      </c>
      <c r="N61" s="11" t="s">
        <v>6474</v>
      </c>
      <c r="Q61" s="7" t="s">
        <v>6473</v>
      </c>
      <c r="R61" s="9">
        <v>2345.0</v>
      </c>
      <c r="S61" s="18">
        <f t="shared" si="2"/>
        <v>1</v>
      </c>
    </row>
    <row r="62">
      <c r="A62" s="244" t="s">
        <v>6475</v>
      </c>
      <c r="B62" s="297">
        <v>7157.0</v>
      </c>
      <c r="C62" s="167" t="s">
        <v>6305</v>
      </c>
      <c r="D62" s="74">
        <v>0.7</v>
      </c>
      <c r="E62" s="74">
        <v>0.7</v>
      </c>
      <c r="F62" s="229" t="s">
        <v>1656</v>
      </c>
      <c r="K62" s="245" t="s">
        <v>6476</v>
      </c>
      <c r="L62" s="81">
        <v>1.0</v>
      </c>
      <c r="N62" s="11" t="s">
        <v>6477</v>
      </c>
      <c r="Q62" s="7" t="s">
        <v>6475</v>
      </c>
      <c r="R62" s="9">
        <v>7157.0</v>
      </c>
      <c r="S62" s="18">
        <f t="shared" si="2"/>
        <v>1</v>
      </c>
    </row>
    <row r="63">
      <c r="A63" s="244" t="s">
        <v>6478</v>
      </c>
      <c r="B63" s="297">
        <v>2345.0</v>
      </c>
      <c r="C63" s="167" t="s">
        <v>6305</v>
      </c>
      <c r="D63" s="74">
        <v>0.9</v>
      </c>
      <c r="E63" s="74">
        <v>0.9</v>
      </c>
      <c r="F63" s="229" t="s">
        <v>1656</v>
      </c>
      <c r="K63" s="245" t="s">
        <v>6479</v>
      </c>
      <c r="L63" s="81">
        <v>1.0</v>
      </c>
      <c r="N63" s="11" t="s">
        <v>6480</v>
      </c>
      <c r="Q63" s="7" t="s">
        <v>6478</v>
      </c>
      <c r="R63" s="9">
        <v>2345.0</v>
      </c>
      <c r="S63" s="18">
        <f t="shared" si="2"/>
        <v>1</v>
      </c>
    </row>
    <row r="64">
      <c r="A64" s="244" t="s">
        <v>6481</v>
      </c>
      <c r="B64" s="297">
        <v>7283.0</v>
      </c>
      <c r="C64" s="167" t="s">
        <v>6305</v>
      </c>
      <c r="D64" s="74">
        <v>0.7</v>
      </c>
      <c r="E64" s="74">
        <v>0.7</v>
      </c>
      <c r="F64" s="229" t="s">
        <v>1656</v>
      </c>
      <c r="K64" s="245" t="s">
        <v>6482</v>
      </c>
      <c r="L64" s="81">
        <v>1.0</v>
      </c>
      <c r="N64" s="11" t="s">
        <v>6483</v>
      </c>
      <c r="Q64" s="7" t="s">
        <v>6481</v>
      </c>
      <c r="R64" s="9">
        <v>7283.0</v>
      </c>
      <c r="S64" s="18">
        <f t="shared" si="2"/>
        <v>1</v>
      </c>
    </row>
    <row r="65">
      <c r="A65" s="244" t="s">
        <v>6484</v>
      </c>
      <c r="B65" s="297">
        <v>6132.0</v>
      </c>
      <c r="C65" s="167" t="s">
        <v>6305</v>
      </c>
      <c r="D65" s="74">
        <v>0.7</v>
      </c>
      <c r="E65" s="74">
        <v>0.7</v>
      </c>
      <c r="F65" s="229" t="s">
        <v>1656</v>
      </c>
      <c r="K65" s="245" t="s">
        <v>6412</v>
      </c>
      <c r="L65" s="81">
        <v>1.0</v>
      </c>
      <c r="N65" s="11" t="s">
        <v>6485</v>
      </c>
      <c r="Q65" s="208" t="s">
        <v>6484</v>
      </c>
      <c r="R65" s="111">
        <v>6995.0</v>
      </c>
      <c r="S65" s="36">
        <f t="shared" si="2"/>
        <v>1</v>
      </c>
      <c r="T65" s="36"/>
      <c r="U65" s="36"/>
    </row>
    <row r="66">
      <c r="A66" s="244" t="s">
        <v>6486</v>
      </c>
      <c r="B66" s="297">
        <v>12774.0</v>
      </c>
      <c r="C66" s="167" t="s">
        <v>6305</v>
      </c>
      <c r="D66" s="74">
        <v>0.7</v>
      </c>
      <c r="E66" s="74">
        <v>0.7</v>
      </c>
      <c r="F66" s="229" t="s">
        <v>1656</v>
      </c>
      <c r="K66" s="245" t="s">
        <v>6354</v>
      </c>
      <c r="L66" s="81">
        <v>1.0</v>
      </c>
      <c r="N66" s="11" t="s">
        <v>6485</v>
      </c>
      <c r="Q66" s="208" t="s">
        <v>6486</v>
      </c>
      <c r="R66" s="111">
        <v>3381.0</v>
      </c>
      <c r="S66" s="36">
        <f t="shared" si="2"/>
        <v>1</v>
      </c>
      <c r="T66" s="36"/>
      <c r="U66" s="36"/>
    </row>
    <row r="67">
      <c r="A67" s="244" t="s">
        <v>6381</v>
      </c>
      <c r="B67" s="297">
        <v>6875.0</v>
      </c>
      <c r="C67" s="167" t="s">
        <v>6305</v>
      </c>
      <c r="D67" s="74">
        <v>0.7</v>
      </c>
      <c r="E67" s="74">
        <v>0.7</v>
      </c>
      <c r="F67" s="229" t="s">
        <v>1656</v>
      </c>
      <c r="K67" s="245" t="s">
        <v>6487</v>
      </c>
      <c r="L67" s="81">
        <v>1.0</v>
      </c>
      <c r="N67" s="11" t="s">
        <v>6488</v>
      </c>
      <c r="Q67" s="7" t="s">
        <v>6381</v>
      </c>
      <c r="R67" s="9">
        <v>6875.0</v>
      </c>
      <c r="S67" s="18">
        <f t="shared" si="2"/>
        <v>1</v>
      </c>
    </row>
    <row r="68">
      <c r="A68" s="244" t="s">
        <v>6489</v>
      </c>
      <c r="B68" s="297">
        <v>6977.0</v>
      </c>
      <c r="C68" s="167" t="s">
        <v>6305</v>
      </c>
      <c r="D68" s="74">
        <v>0.7</v>
      </c>
      <c r="E68" s="74">
        <v>0.7</v>
      </c>
      <c r="F68" s="229" t="s">
        <v>1656</v>
      </c>
      <c r="K68" s="245" t="s">
        <v>6490</v>
      </c>
      <c r="L68" s="81">
        <v>1.0</v>
      </c>
      <c r="N68" s="11" t="s">
        <v>6491</v>
      </c>
      <c r="Q68" s="7" t="s">
        <v>6489</v>
      </c>
      <c r="R68" s="9">
        <v>6977.0</v>
      </c>
      <c r="S68" s="18">
        <f t="shared" si="2"/>
        <v>1</v>
      </c>
    </row>
    <row r="69">
      <c r="A69" s="244" t="s">
        <v>6492</v>
      </c>
      <c r="B69" s="297">
        <v>3142.0</v>
      </c>
      <c r="C69" s="167" t="s">
        <v>6305</v>
      </c>
      <c r="D69" s="74">
        <v>0.7</v>
      </c>
      <c r="E69" s="74">
        <v>0.7</v>
      </c>
      <c r="F69" s="229" t="s">
        <v>1656</v>
      </c>
      <c r="K69" s="245" t="s">
        <v>6357</v>
      </c>
      <c r="L69" s="81">
        <v>1.0</v>
      </c>
      <c r="N69" s="11" t="s">
        <v>6493</v>
      </c>
      <c r="Q69" s="7" t="s">
        <v>6492</v>
      </c>
      <c r="R69" s="9">
        <v>3142.0</v>
      </c>
      <c r="S69" s="18">
        <f t="shared" si="2"/>
        <v>1</v>
      </c>
    </row>
    <row r="70">
      <c r="A70" s="244" t="s">
        <v>6494</v>
      </c>
      <c r="B70" s="297">
        <v>189.0</v>
      </c>
      <c r="C70" s="167" t="s">
        <v>6305</v>
      </c>
      <c r="D70" s="74">
        <v>0.8</v>
      </c>
      <c r="E70" s="74">
        <v>0.8</v>
      </c>
      <c r="F70" s="229" t="s">
        <v>1656</v>
      </c>
      <c r="K70" s="245" t="s">
        <v>6495</v>
      </c>
      <c r="L70" s="81">
        <v>1.0</v>
      </c>
      <c r="N70" s="11" t="s">
        <v>6496</v>
      </c>
      <c r="Q70" s="7" t="s">
        <v>6494</v>
      </c>
      <c r="R70" s="9">
        <v>189.0</v>
      </c>
      <c r="S70" s="18">
        <f t="shared" si="2"/>
        <v>1</v>
      </c>
    </row>
    <row r="71">
      <c r="A71" s="244" t="s">
        <v>6497</v>
      </c>
      <c r="B71" s="297">
        <v>189.0</v>
      </c>
      <c r="C71" s="167" t="s">
        <v>6305</v>
      </c>
      <c r="D71" s="74">
        <v>0.8</v>
      </c>
      <c r="E71" s="74">
        <v>0.8</v>
      </c>
      <c r="F71" s="229" t="s">
        <v>1656</v>
      </c>
      <c r="K71" s="245" t="s">
        <v>6494</v>
      </c>
      <c r="L71" s="81">
        <v>1.0</v>
      </c>
      <c r="N71" s="11" t="s">
        <v>6498</v>
      </c>
      <c r="Q71" s="7" t="s">
        <v>6497</v>
      </c>
      <c r="R71" s="9">
        <v>189.0</v>
      </c>
      <c r="S71" s="18">
        <f t="shared" si="2"/>
        <v>1</v>
      </c>
    </row>
    <row r="72">
      <c r="A72" s="244" t="s">
        <v>6499</v>
      </c>
      <c r="B72" s="297">
        <v>6827.0</v>
      </c>
      <c r="C72" s="167" t="s">
        <v>6305</v>
      </c>
      <c r="D72" s="74">
        <v>0.7</v>
      </c>
      <c r="E72" s="74">
        <v>0.7</v>
      </c>
      <c r="F72" s="229" t="s">
        <v>1656</v>
      </c>
      <c r="K72" s="245" t="s">
        <v>6500</v>
      </c>
      <c r="L72" s="81">
        <v>1.0</v>
      </c>
      <c r="N72" s="11" t="s">
        <v>6501</v>
      </c>
      <c r="Q72" s="7" t="s">
        <v>6499</v>
      </c>
      <c r="R72" s="9">
        <v>6827.0</v>
      </c>
      <c r="S72" s="18">
        <f t="shared" si="2"/>
        <v>1</v>
      </c>
    </row>
    <row r="73">
      <c r="A73" s="244" t="s">
        <v>6502</v>
      </c>
      <c r="B73" s="297">
        <v>8002.0</v>
      </c>
      <c r="C73" s="167" t="s">
        <v>6305</v>
      </c>
      <c r="D73" s="74">
        <v>0.7</v>
      </c>
      <c r="E73" s="74">
        <v>0.7</v>
      </c>
      <c r="F73" s="229" t="s">
        <v>1656</v>
      </c>
      <c r="K73" s="245" t="s">
        <v>6503</v>
      </c>
      <c r="L73" s="81">
        <v>1.0</v>
      </c>
      <c r="N73" s="11" t="s">
        <v>6504</v>
      </c>
      <c r="Q73" s="208" t="s">
        <v>6502</v>
      </c>
      <c r="R73" s="111">
        <v>8491.0</v>
      </c>
      <c r="S73" s="36">
        <f t="shared" si="2"/>
        <v>1</v>
      </c>
      <c r="T73" s="36"/>
      <c r="U73" s="36"/>
    </row>
    <row r="74">
      <c r="A74" s="244" t="s">
        <v>6331</v>
      </c>
      <c r="B74" s="297">
        <v>6658.0</v>
      </c>
      <c r="C74" s="167" t="s">
        <v>6305</v>
      </c>
      <c r="D74" s="74">
        <v>0.7</v>
      </c>
      <c r="E74" s="74">
        <v>0.7</v>
      </c>
      <c r="F74" s="229" t="s">
        <v>1656</v>
      </c>
      <c r="K74" s="245" t="s">
        <v>6505</v>
      </c>
      <c r="L74" s="81">
        <v>1.0</v>
      </c>
      <c r="N74" s="11" t="s">
        <v>6506</v>
      </c>
      <c r="O74" s="11">
        <v>6658.0</v>
      </c>
      <c r="Q74" s="7" t="s">
        <v>6331</v>
      </c>
      <c r="R74" s="9">
        <v>6658.0</v>
      </c>
      <c r="S74" s="18">
        <f t="shared" si="2"/>
        <v>1</v>
      </c>
    </row>
    <row r="75">
      <c r="A75" s="244" t="s">
        <v>6507</v>
      </c>
      <c r="B75" s="297">
        <v>7031.0</v>
      </c>
      <c r="C75" s="167" t="s">
        <v>6305</v>
      </c>
      <c r="D75" s="74">
        <v>0.7</v>
      </c>
      <c r="E75" s="74">
        <v>0.7</v>
      </c>
      <c r="F75" s="229" t="s">
        <v>1656</v>
      </c>
      <c r="K75" s="245" t="s">
        <v>6508</v>
      </c>
      <c r="L75" s="81">
        <v>1.0</v>
      </c>
      <c r="N75" s="11" t="s">
        <v>6509</v>
      </c>
      <c r="Q75" s="7" t="s">
        <v>6507</v>
      </c>
      <c r="R75" s="9">
        <v>7031.0</v>
      </c>
      <c r="S75" s="18">
        <f t="shared" si="2"/>
        <v>1</v>
      </c>
    </row>
    <row r="76">
      <c r="A76" s="244" t="s">
        <v>6510</v>
      </c>
      <c r="B76" s="297">
        <v>189.0</v>
      </c>
      <c r="C76" s="167" t="s">
        <v>6305</v>
      </c>
      <c r="D76" s="74">
        <v>0.8</v>
      </c>
      <c r="E76" s="74">
        <v>0.8</v>
      </c>
      <c r="F76" s="229" t="s">
        <v>1656</v>
      </c>
      <c r="K76" s="245" t="s">
        <v>6511</v>
      </c>
      <c r="L76" s="81">
        <v>1.0</v>
      </c>
      <c r="N76" s="11" t="s">
        <v>6512</v>
      </c>
      <c r="Q76" s="7" t="s">
        <v>6510</v>
      </c>
      <c r="R76" s="9">
        <v>189.0</v>
      </c>
      <c r="S76" s="18">
        <f t="shared" si="2"/>
        <v>1</v>
      </c>
    </row>
    <row r="77">
      <c r="A77" s="244" t="s">
        <v>6513</v>
      </c>
      <c r="B77" s="297">
        <v>6924.0</v>
      </c>
      <c r="C77" s="167" t="s">
        <v>6305</v>
      </c>
      <c r="D77" s="74">
        <v>0.7</v>
      </c>
      <c r="E77" s="74">
        <v>0.7</v>
      </c>
      <c r="F77" s="229" t="s">
        <v>1656</v>
      </c>
      <c r="K77" s="245" t="s">
        <v>6494</v>
      </c>
      <c r="L77" s="81">
        <v>1.0</v>
      </c>
      <c r="N77" s="11" t="s">
        <v>6514</v>
      </c>
      <c r="Q77" s="7" t="s">
        <v>6513</v>
      </c>
      <c r="R77" s="9">
        <v>6924.0</v>
      </c>
      <c r="S77" s="18">
        <f t="shared" si="2"/>
        <v>1</v>
      </c>
    </row>
    <row r="78">
      <c r="A78" s="244" t="s">
        <v>6515</v>
      </c>
      <c r="B78" s="297">
        <v>14593.0</v>
      </c>
      <c r="C78" s="167" t="s">
        <v>6305</v>
      </c>
      <c r="D78" s="74">
        <v>0.7</v>
      </c>
      <c r="E78" s="74">
        <v>0.7</v>
      </c>
      <c r="F78" s="229" t="s">
        <v>1656</v>
      </c>
      <c r="K78" s="245" t="s">
        <v>6497</v>
      </c>
      <c r="L78" s="81">
        <v>1.0</v>
      </c>
      <c r="N78" s="11" t="s">
        <v>6516</v>
      </c>
      <c r="Q78" s="208" t="s">
        <v>6515</v>
      </c>
      <c r="R78" s="111">
        <v>283.0</v>
      </c>
      <c r="S78" s="36">
        <f t="shared" si="2"/>
        <v>1</v>
      </c>
      <c r="T78" s="36"/>
      <c r="U78" s="36"/>
    </row>
    <row r="79">
      <c r="A79" s="244" t="s">
        <v>6517</v>
      </c>
      <c r="B79" s="297">
        <v>14516.0</v>
      </c>
      <c r="C79" s="167" t="s">
        <v>6305</v>
      </c>
      <c r="D79" s="74">
        <v>0.7</v>
      </c>
      <c r="E79" s="74">
        <v>0.7</v>
      </c>
      <c r="F79" s="229" t="s">
        <v>1656</v>
      </c>
      <c r="K79" s="245" t="s">
        <v>6398</v>
      </c>
      <c r="L79" s="81">
        <v>1.0</v>
      </c>
      <c r="N79" s="11" t="s">
        <v>6518</v>
      </c>
      <c r="Q79" s="7" t="s">
        <v>6517</v>
      </c>
      <c r="R79" s="9">
        <v>6671.0</v>
      </c>
      <c r="S79" s="18">
        <f t="shared" si="2"/>
        <v>1</v>
      </c>
    </row>
    <row r="80">
      <c r="A80" s="244" t="s">
        <v>6519</v>
      </c>
      <c r="B80" s="297">
        <v>930.0</v>
      </c>
      <c r="C80" s="167" t="s">
        <v>6305</v>
      </c>
      <c r="D80" s="74">
        <v>0.7</v>
      </c>
      <c r="E80" s="74">
        <v>0.7</v>
      </c>
      <c r="F80" s="229" t="s">
        <v>1656</v>
      </c>
      <c r="K80" s="245" t="s">
        <v>6450</v>
      </c>
      <c r="L80" s="81">
        <v>1.0</v>
      </c>
      <c r="N80" s="11" t="s">
        <v>6520</v>
      </c>
      <c r="Q80" s="7" t="s">
        <v>6519</v>
      </c>
      <c r="R80" s="9">
        <v>930.0</v>
      </c>
      <c r="S80" s="18">
        <f t="shared" si="2"/>
        <v>1</v>
      </c>
    </row>
    <row r="81">
      <c r="A81" s="244" t="s">
        <v>6521</v>
      </c>
      <c r="B81" s="297">
        <v>7225.0</v>
      </c>
      <c r="C81" s="167" t="s">
        <v>6305</v>
      </c>
      <c r="D81" s="74">
        <v>0.8</v>
      </c>
      <c r="E81" s="74">
        <v>0.8</v>
      </c>
      <c r="F81" s="229" t="s">
        <v>1656</v>
      </c>
      <c r="K81" s="245" t="s">
        <v>6510</v>
      </c>
      <c r="L81" s="81">
        <v>1.0</v>
      </c>
      <c r="N81" s="11" t="s">
        <v>6522</v>
      </c>
      <c r="Q81" s="7" t="s">
        <v>6521</v>
      </c>
      <c r="R81" s="9">
        <v>7225.0</v>
      </c>
      <c r="S81" s="18">
        <f t="shared" si="2"/>
        <v>1</v>
      </c>
    </row>
    <row r="82">
      <c r="A82" s="244" t="s">
        <v>6346</v>
      </c>
      <c r="B82" s="297">
        <v>5458.0</v>
      </c>
      <c r="C82" s="167" t="s">
        <v>6305</v>
      </c>
      <c r="D82" s="74">
        <v>0.7</v>
      </c>
      <c r="E82" s="74">
        <v>0.7</v>
      </c>
      <c r="F82" s="229" t="s">
        <v>1656</v>
      </c>
      <c r="K82" s="245" t="s">
        <v>6324</v>
      </c>
      <c r="L82" s="81">
        <v>1.0</v>
      </c>
      <c r="N82" s="11" t="s">
        <v>6320</v>
      </c>
      <c r="O82" s="11">
        <v>5458.0</v>
      </c>
      <c r="Q82" s="7" t="s">
        <v>6346</v>
      </c>
      <c r="R82" s="9">
        <v>5458.0</v>
      </c>
      <c r="S82" s="18">
        <f t="shared" si="2"/>
        <v>1</v>
      </c>
    </row>
    <row r="83">
      <c r="A83" s="244" t="s">
        <v>6523</v>
      </c>
      <c r="B83" s="297">
        <v>11773.0</v>
      </c>
      <c r="C83" s="167" t="s">
        <v>6305</v>
      </c>
      <c r="D83" s="74">
        <v>0.7</v>
      </c>
      <c r="E83" s="74">
        <v>0.7</v>
      </c>
      <c r="F83" s="229" t="s">
        <v>1656</v>
      </c>
      <c r="K83" s="245" t="s">
        <v>6476</v>
      </c>
      <c r="L83" s="81">
        <v>1.0</v>
      </c>
      <c r="N83" s="11" t="s">
        <v>6524</v>
      </c>
      <c r="Q83" s="7" t="s">
        <v>6523</v>
      </c>
      <c r="R83" s="9">
        <v>11773.0</v>
      </c>
      <c r="S83" s="11">
        <v>7225.0</v>
      </c>
      <c r="T83" s="223"/>
    </row>
    <row r="84">
      <c r="A84" s="244" t="s">
        <v>6525</v>
      </c>
      <c r="B84" s="297">
        <v>986.0</v>
      </c>
      <c r="C84" s="167" t="s">
        <v>6305</v>
      </c>
      <c r="D84" s="74">
        <v>0.7</v>
      </c>
      <c r="E84" s="74">
        <v>0.7</v>
      </c>
      <c r="F84" s="229" t="s">
        <v>1656</v>
      </c>
      <c r="K84" s="245" t="s">
        <v>6526</v>
      </c>
      <c r="L84" s="81">
        <v>1.0</v>
      </c>
      <c r="N84" s="11" t="s">
        <v>6527</v>
      </c>
      <c r="Q84" s="7" t="s">
        <v>6525</v>
      </c>
      <c r="R84" s="9">
        <v>986.0</v>
      </c>
      <c r="S84" s="11">
        <v>7225.0</v>
      </c>
    </row>
    <row r="85">
      <c r="A85" s="244" t="s">
        <v>6528</v>
      </c>
      <c r="B85" s="297">
        <v>5458.0</v>
      </c>
      <c r="C85" s="167" t="s">
        <v>6305</v>
      </c>
      <c r="D85" s="74">
        <v>0.7</v>
      </c>
      <c r="E85" s="74">
        <v>0.7</v>
      </c>
      <c r="F85" s="229" t="s">
        <v>1656</v>
      </c>
      <c r="K85" s="245" t="s">
        <v>6529</v>
      </c>
      <c r="L85" s="81">
        <v>1.0</v>
      </c>
      <c r="N85" s="11" t="s">
        <v>6530</v>
      </c>
      <c r="O85" s="11">
        <v>5458.0</v>
      </c>
      <c r="Q85" s="7" t="s">
        <v>6528</v>
      </c>
      <c r="R85" s="9">
        <v>5458.0</v>
      </c>
      <c r="S85" s="18">
        <f t="shared" ref="S85:S87" si="3">VLOOKUP(Q85,$K$2:$L$126,2,FALSE)</f>
        <v>1</v>
      </c>
    </row>
    <row r="86">
      <c r="A86" s="244" t="s">
        <v>6531</v>
      </c>
      <c r="B86" s="297">
        <v>7225.0</v>
      </c>
      <c r="C86" s="167" t="s">
        <v>6305</v>
      </c>
      <c r="D86" s="74">
        <v>0.8</v>
      </c>
      <c r="E86" s="74">
        <v>0.8</v>
      </c>
      <c r="F86" s="229" t="s">
        <v>1656</v>
      </c>
      <c r="K86" s="245" t="s">
        <v>6532</v>
      </c>
      <c r="L86" s="81">
        <v>1.0</v>
      </c>
      <c r="N86" s="11" t="s">
        <v>6533</v>
      </c>
      <c r="Q86" s="7" t="s">
        <v>6531</v>
      </c>
      <c r="R86" s="9">
        <v>7225.0</v>
      </c>
      <c r="S86" s="18">
        <f t="shared" si="3"/>
        <v>1</v>
      </c>
    </row>
    <row r="87">
      <c r="A87" s="244" t="s">
        <v>6534</v>
      </c>
      <c r="B87" s="297">
        <v>7104.0</v>
      </c>
      <c r="C87" s="167" t="s">
        <v>6305</v>
      </c>
      <c r="D87" s="74">
        <v>0.7</v>
      </c>
      <c r="E87" s="74">
        <v>0.7</v>
      </c>
      <c r="F87" s="229" t="s">
        <v>1656</v>
      </c>
      <c r="K87" s="245" t="s">
        <v>6535</v>
      </c>
      <c r="L87" s="81">
        <v>1.0</v>
      </c>
      <c r="N87" s="11" t="s">
        <v>6536</v>
      </c>
      <c r="Q87" s="7" t="s">
        <v>6534</v>
      </c>
      <c r="R87" s="9">
        <v>7104.0</v>
      </c>
      <c r="S87" s="18">
        <f t="shared" si="3"/>
        <v>1</v>
      </c>
    </row>
    <row r="88">
      <c r="A88" s="244" t="s">
        <v>6537</v>
      </c>
      <c r="B88" s="297">
        <v>986.0</v>
      </c>
      <c r="C88" s="167" t="s">
        <v>6305</v>
      </c>
      <c r="D88" s="74">
        <v>0.7</v>
      </c>
      <c r="E88" s="74">
        <v>0.7</v>
      </c>
      <c r="F88" s="229" t="s">
        <v>1656</v>
      </c>
      <c r="K88" s="245" t="s">
        <v>6538</v>
      </c>
      <c r="L88" s="81">
        <v>1.0</v>
      </c>
      <c r="N88" s="11" t="s">
        <v>6539</v>
      </c>
      <c r="Q88" s="7" t="s">
        <v>6537</v>
      </c>
      <c r="R88" s="9">
        <v>986.0</v>
      </c>
      <c r="S88" s="11">
        <v>7225.0</v>
      </c>
    </row>
    <row r="89">
      <c r="A89" s="244" t="s">
        <v>6540</v>
      </c>
      <c r="B89" s="297">
        <v>7225.0</v>
      </c>
      <c r="C89" s="167" t="s">
        <v>6305</v>
      </c>
      <c r="D89" s="74">
        <v>0.8</v>
      </c>
      <c r="E89" s="74">
        <v>0.8</v>
      </c>
      <c r="F89" s="229" t="s">
        <v>1656</v>
      </c>
      <c r="K89" s="245" t="s">
        <v>6427</v>
      </c>
      <c r="L89" s="81">
        <v>1.0</v>
      </c>
      <c r="N89" s="11" t="s">
        <v>6541</v>
      </c>
      <c r="Q89" s="7" t="s">
        <v>6540</v>
      </c>
      <c r="R89" s="9">
        <v>7225.0</v>
      </c>
      <c r="S89" s="18">
        <f t="shared" ref="S89:S97" si="4">VLOOKUP(Q89,$K$2:$L$126,2,FALSE)</f>
        <v>1</v>
      </c>
    </row>
    <row r="90">
      <c r="A90" s="244" t="s">
        <v>6542</v>
      </c>
      <c r="B90" s="297">
        <v>7225.0</v>
      </c>
      <c r="C90" s="167" t="s">
        <v>6305</v>
      </c>
      <c r="D90" s="74">
        <v>0.8</v>
      </c>
      <c r="E90" s="74">
        <v>0.8</v>
      </c>
      <c r="F90" s="229" t="s">
        <v>1656</v>
      </c>
      <c r="K90" s="245" t="s">
        <v>6543</v>
      </c>
      <c r="L90" s="81">
        <v>1.0</v>
      </c>
      <c r="N90" s="11" t="s">
        <v>6544</v>
      </c>
      <c r="Q90" s="7" t="s">
        <v>6542</v>
      </c>
      <c r="R90" s="9">
        <v>7225.0</v>
      </c>
      <c r="S90" s="18">
        <f t="shared" si="4"/>
        <v>1</v>
      </c>
    </row>
    <row r="91">
      <c r="A91" s="244" t="s">
        <v>6545</v>
      </c>
      <c r="B91" s="297">
        <v>7225.0</v>
      </c>
      <c r="C91" s="167" t="s">
        <v>6305</v>
      </c>
      <c r="D91" s="74">
        <v>0.8</v>
      </c>
      <c r="E91" s="74">
        <v>0.8</v>
      </c>
      <c r="F91" s="229" t="s">
        <v>1656</v>
      </c>
      <c r="K91" s="245" t="s">
        <v>6546</v>
      </c>
      <c r="L91" s="81">
        <v>1.0</v>
      </c>
      <c r="N91" s="11" t="s">
        <v>6547</v>
      </c>
      <c r="Q91" s="7" t="s">
        <v>6545</v>
      </c>
      <c r="R91" s="9">
        <v>7225.0</v>
      </c>
      <c r="S91" s="18">
        <f t="shared" si="4"/>
        <v>1</v>
      </c>
    </row>
    <row r="92">
      <c r="A92" s="244" t="s">
        <v>6548</v>
      </c>
      <c r="B92" s="297">
        <v>6924.0</v>
      </c>
      <c r="C92" s="167" t="s">
        <v>6305</v>
      </c>
      <c r="D92" s="74">
        <v>0.7</v>
      </c>
      <c r="E92" s="74">
        <v>0.7</v>
      </c>
      <c r="F92" s="229" t="s">
        <v>1656</v>
      </c>
      <c r="K92" s="245" t="s">
        <v>6412</v>
      </c>
      <c r="L92" s="81">
        <v>1.0</v>
      </c>
      <c r="N92" s="11" t="s">
        <v>6549</v>
      </c>
      <c r="Q92" s="7" t="s">
        <v>6548</v>
      </c>
      <c r="R92" s="9">
        <v>6924.0</v>
      </c>
      <c r="S92" s="18">
        <f t="shared" si="4"/>
        <v>1</v>
      </c>
    </row>
    <row r="93">
      <c r="A93" s="244" t="s">
        <v>6550</v>
      </c>
      <c r="B93" s="297">
        <v>14516.0</v>
      </c>
      <c r="C93" s="167" t="s">
        <v>6305</v>
      </c>
      <c r="D93" s="74">
        <v>0.7</v>
      </c>
      <c r="E93" s="74">
        <v>0.7</v>
      </c>
      <c r="F93" s="229" t="s">
        <v>1656</v>
      </c>
      <c r="K93" s="245" t="s">
        <v>6551</v>
      </c>
      <c r="L93" s="81">
        <v>1.0</v>
      </c>
      <c r="N93" s="11" t="s">
        <v>6552</v>
      </c>
      <c r="Q93" s="208" t="s">
        <v>6550</v>
      </c>
      <c r="R93" s="111">
        <v>7225.0</v>
      </c>
      <c r="S93" s="36">
        <f t="shared" si="4"/>
        <v>1</v>
      </c>
      <c r="T93" s="36"/>
      <c r="U93" s="36"/>
    </row>
    <row r="94">
      <c r="A94" s="244" t="s">
        <v>6553</v>
      </c>
      <c r="B94" s="297">
        <v>7225.0</v>
      </c>
      <c r="C94" s="167" t="s">
        <v>6305</v>
      </c>
      <c r="D94" s="74">
        <v>0.8</v>
      </c>
      <c r="E94" s="74">
        <v>0.8</v>
      </c>
      <c r="F94" s="229" t="s">
        <v>1656</v>
      </c>
      <c r="K94" s="245" t="s">
        <v>6554</v>
      </c>
      <c r="L94" s="81">
        <v>1.0</v>
      </c>
      <c r="N94" s="11" t="s">
        <v>6555</v>
      </c>
      <c r="Q94" s="7" t="s">
        <v>6553</v>
      </c>
      <c r="R94" s="9">
        <v>7225.0</v>
      </c>
      <c r="S94" s="18">
        <f t="shared" si="4"/>
        <v>1</v>
      </c>
    </row>
    <row r="95">
      <c r="A95" s="244" t="s">
        <v>6556</v>
      </c>
      <c r="B95" s="297">
        <v>7142.0</v>
      </c>
      <c r="C95" s="167" t="s">
        <v>6305</v>
      </c>
      <c r="D95" s="74">
        <v>0.7</v>
      </c>
      <c r="E95" s="74">
        <v>0.7</v>
      </c>
      <c r="F95" s="229" t="s">
        <v>1656</v>
      </c>
      <c r="K95" s="245" t="s">
        <v>6534</v>
      </c>
      <c r="L95" s="81">
        <v>1.0</v>
      </c>
      <c r="N95" s="11" t="s">
        <v>6557</v>
      </c>
      <c r="Q95" s="7" t="s">
        <v>6556</v>
      </c>
      <c r="R95" s="9">
        <v>7142.0</v>
      </c>
      <c r="S95" s="18">
        <f t="shared" si="4"/>
        <v>1</v>
      </c>
    </row>
    <row r="96">
      <c r="A96" s="244" t="s">
        <v>6558</v>
      </c>
      <c r="B96" s="297">
        <v>7083.0</v>
      </c>
      <c r="C96" s="167" t="s">
        <v>6305</v>
      </c>
      <c r="D96" s="74">
        <v>0.7</v>
      </c>
      <c r="E96" s="74">
        <v>0.7</v>
      </c>
      <c r="F96" s="229" t="s">
        <v>1656</v>
      </c>
      <c r="K96" s="245" t="s">
        <v>6559</v>
      </c>
      <c r="L96" s="81">
        <v>1.0</v>
      </c>
      <c r="N96" s="11" t="s">
        <v>6560</v>
      </c>
      <c r="O96" s="11">
        <v>7083.0</v>
      </c>
      <c r="Q96" s="7" t="s">
        <v>6558</v>
      </c>
      <c r="R96" s="9">
        <v>7083.0</v>
      </c>
      <c r="S96" s="18">
        <f t="shared" si="4"/>
        <v>1</v>
      </c>
    </row>
    <row r="97">
      <c r="A97" s="289" t="s">
        <v>6561</v>
      </c>
      <c r="B97" s="297">
        <v>6669.0</v>
      </c>
      <c r="C97" s="167" t="s">
        <v>6305</v>
      </c>
      <c r="D97" s="74">
        <v>0.7</v>
      </c>
      <c r="E97" s="74">
        <v>0.7</v>
      </c>
      <c r="F97" s="229" t="s">
        <v>1656</v>
      </c>
      <c r="K97" s="245" t="s">
        <v>6540</v>
      </c>
      <c r="L97" s="81">
        <v>1.0</v>
      </c>
      <c r="Q97" s="11" t="s">
        <v>6561</v>
      </c>
      <c r="R97" s="9">
        <v>6669.0</v>
      </c>
      <c r="S97" s="18">
        <f t="shared" si="4"/>
        <v>1</v>
      </c>
    </row>
    <row r="98">
      <c r="A98" s="289" t="s">
        <v>6562</v>
      </c>
      <c r="B98" s="297">
        <v>986.0</v>
      </c>
      <c r="C98" s="167" t="s">
        <v>6305</v>
      </c>
      <c r="D98" s="74">
        <v>0.7</v>
      </c>
      <c r="E98" s="74">
        <v>0.7</v>
      </c>
      <c r="F98" s="229" t="s">
        <v>1656</v>
      </c>
      <c r="K98" s="245" t="s">
        <v>6441</v>
      </c>
      <c r="L98" s="81">
        <v>1.0</v>
      </c>
      <c r="Q98" s="11" t="s">
        <v>6562</v>
      </c>
      <c r="R98" s="9">
        <v>986.0</v>
      </c>
      <c r="S98" s="11">
        <v>10856.0</v>
      </c>
    </row>
    <row r="99">
      <c r="A99" s="289" t="s">
        <v>6563</v>
      </c>
      <c r="B99" s="297">
        <v>10141.0</v>
      </c>
      <c r="C99" s="167" t="s">
        <v>6305</v>
      </c>
      <c r="D99" s="74">
        <v>0.7</v>
      </c>
      <c r="E99" s="74">
        <v>0.7</v>
      </c>
      <c r="F99" s="229" t="s">
        <v>1656</v>
      </c>
      <c r="K99" s="245" t="s">
        <v>6564</v>
      </c>
      <c r="L99" s="81">
        <v>1.0</v>
      </c>
      <c r="Q99" s="11" t="s">
        <v>6563</v>
      </c>
      <c r="R99" s="9">
        <v>10141.0</v>
      </c>
      <c r="S99" s="18">
        <f t="shared" ref="S99:S100" si="5">VLOOKUP(Q99,$K$2:$L$126,2,FALSE)</f>
        <v>1</v>
      </c>
    </row>
    <row r="100">
      <c r="A100" s="289" t="s">
        <v>6565</v>
      </c>
      <c r="B100" s="297">
        <v>10923.0</v>
      </c>
      <c r="C100" s="167" t="s">
        <v>6305</v>
      </c>
      <c r="D100" s="74">
        <v>0.7</v>
      </c>
      <c r="E100" s="74">
        <v>0.7</v>
      </c>
      <c r="F100" s="229" t="s">
        <v>1656</v>
      </c>
      <c r="K100" s="245" t="s">
        <v>6519</v>
      </c>
      <c r="L100" s="81">
        <v>1.0</v>
      </c>
      <c r="Q100" s="11" t="s">
        <v>6565</v>
      </c>
      <c r="R100" s="9">
        <v>10923.0</v>
      </c>
      <c r="S100" s="18">
        <f t="shared" si="5"/>
        <v>1</v>
      </c>
    </row>
    <row r="101">
      <c r="A101" s="289" t="s">
        <v>6566</v>
      </c>
      <c r="B101" s="297">
        <v>12388.0</v>
      </c>
      <c r="C101" s="167" t="s">
        <v>6305</v>
      </c>
      <c r="D101" s="74">
        <v>0.7</v>
      </c>
      <c r="E101" s="74">
        <v>0.7</v>
      </c>
      <c r="F101" s="229" t="s">
        <v>1656</v>
      </c>
      <c r="K101" s="245" t="s">
        <v>6567</v>
      </c>
      <c r="L101" s="81">
        <v>1.0</v>
      </c>
      <c r="Q101" s="35" t="s">
        <v>6566</v>
      </c>
      <c r="R101" s="111">
        <v>12388.0</v>
      </c>
      <c r="S101" s="35">
        <v>6893.0</v>
      </c>
      <c r="T101" s="36"/>
      <c r="U101" s="36"/>
    </row>
    <row r="102">
      <c r="A102" s="289" t="s">
        <v>6568</v>
      </c>
      <c r="B102" s="297">
        <v>10616.0</v>
      </c>
      <c r="C102" s="167" t="s">
        <v>6305</v>
      </c>
      <c r="D102" s="74">
        <v>0.7</v>
      </c>
      <c r="E102" s="74">
        <v>0.7</v>
      </c>
      <c r="F102" s="229" t="s">
        <v>1656</v>
      </c>
      <c r="K102" s="245" t="s">
        <v>6465</v>
      </c>
      <c r="L102" s="81">
        <v>1.0</v>
      </c>
      <c r="Q102" s="11" t="s">
        <v>6568</v>
      </c>
      <c r="R102" s="9">
        <v>10616.0</v>
      </c>
    </row>
    <row r="103">
      <c r="A103" s="289" t="s">
        <v>6569</v>
      </c>
      <c r="B103" s="297">
        <v>6831.0</v>
      </c>
      <c r="C103" s="167" t="s">
        <v>6305</v>
      </c>
      <c r="D103" s="74">
        <v>0.7</v>
      </c>
      <c r="E103" s="74">
        <v>0.7</v>
      </c>
      <c r="F103" s="229" t="s">
        <v>1656</v>
      </c>
      <c r="K103" s="245" t="s">
        <v>6432</v>
      </c>
      <c r="L103" s="81">
        <v>1.0</v>
      </c>
      <c r="Q103" s="11" t="s">
        <v>6569</v>
      </c>
      <c r="R103" s="9">
        <v>6972.0</v>
      </c>
      <c r="S103" s="18">
        <f t="shared" ref="S103:S105" si="6">VLOOKUP(Q103,$K$2:$L$126,2,FALSE)</f>
        <v>1</v>
      </c>
    </row>
    <row r="104">
      <c r="A104" s="289" t="s">
        <v>6570</v>
      </c>
      <c r="B104" s="297">
        <v>12553.0</v>
      </c>
      <c r="C104" s="167" t="s">
        <v>6305</v>
      </c>
      <c r="D104" s="74">
        <v>0.7</v>
      </c>
      <c r="E104" s="74">
        <v>0.7</v>
      </c>
      <c r="F104" s="229" t="s">
        <v>1656</v>
      </c>
      <c r="K104" s="245" t="s">
        <v>6571</v>
      </c>
      <c r="L104" s="81">
        <v>1.0</v>
      </c>
      <c r="Q104" s="35" t="s">
        <v>6570</v>
      </c>
      <c r="R104" s="111">
        <v>7147.0</v>
      </c>
      <c r="S104" s="36">
        <f t="shared" si="6"/>
        <v>1</v>
      </c>
      <c r="T104" s="36"/>
      <c r="U104" s="36"/>
    </row>
    <row r="105">
      <c r="A105" s="289" t="s">
        <v>6572</v>
      </c>
      <c r="B105" s="298">
        <v>14505.0</v>
      </c>
      <c r="C105" s="167" t="s">
        <v>6305</v>
      </c>
      <c r="D105" s="74">
        <v>0.7</v>
      </c>
      <c r="E105" s="74">
        <v>0.7</v>
      </c>
      <c r="F105" s="229" t="s">
        <v>1656</v>
      </c>
      <c r="K105" s="245" t="s">
        <v>6573</v>
      </c>
      <c r="L105" s="81">
        <v>1.0</v>
      </c>
      <c r="Q105" s="11" t="s">
        <v>6572</v>
      </c>
      <c r="R105" s="299">
        <v>6891.0</v>
      </c>
      <c r="S105" s="18">
        <f t="shared" si="6"/>
        <v>1</v>
      </c>
    </row>
    <row r="106">
      <c r="A106" s="289" t="s">
        <v>6574</v>
      </c>
      <c r="B106" s="297">
        <v>5389.0</v>
      </c>
      <c r="C106" s="167" t="s">
        <v>6305</v>
      </c>
      <c r="D106" s="74">
        <v>0.7</v>
      </c>
      <c r="E106" s="74">
        <v>0.7</v>
      </c>
      <c r="F106" s="229" t="s">
        <v>1656</v>
      </c>
      <c r="K106" s="245" t="s">
        <v>6575</v>
      </c>
      <c r="L106" s="81">
        <v>1.0</v>
      </c>
      <c r="Q106" s="11" t="s">
        <v>6574</v>
      </c>
      <c r="R106" s="9">
        <v>5389.0</v>
      </c>
      <c r="S106" s="158">
        <v>6802.0</v>
      </c>
    </row>
    <row r="107">
      <c r="A107" s="289" t="s">
        <v>6576</v>
      </c>
      <c r="B107" s="297">
        <v>189.0</v>
      </c>
      <c r="C107" s="167" t="s">
        <v>6305</v>
      </c>
      <c r="D107" s="74">
        <v>0.8</v>
      </c>
      <c r="E107" s="74">
        <v>0.8</v>
      </c>
      <c r="F107" s="229" t="s">
        <v>1656</v>
      </c>
      <c r="K107" s="245" t="s">
        <v>6577</v>
      </c>
      <c r="L107" s="81">
        <v>1.0</v>
      </c>
      <c r="Q107" s="11" t="s">
        <v>6576</v>
      </c>
      <c r="R107" s="9">
        <v>189.0</v>
      </c>
      <c r="S107" s="158">
        <v>6970.0</v>
      </c>
    </row>
    <row r="108">
      <c r="A108" s="289" t="s">
        <v>6578</v>
      </c>
      <c r="B108" s="297">
        <v>6785.0</v>
      </c>
      <c r="C108" s="167" t="s">
        <v>6305</v>
      </c>
      <c r="D108" s="74">
        <v>0.7</v>
      </c>
      <c r="E108" s="74">
        <v>0.7</v>
      </c>
      <c r="F108" s="229" t="s">
        <v>1656</v>
      </c>
      <c r="K108" s="245" t="s">
        <v>6473</v>
      </c>
      <c r="L108" s="81">
        <v>1.0</v>
      </c>
      <c r="Q108" s="11" t="s">
        <v>6578</v>
      </c>
      <c r="R108" s="9">
        <v>6785.0</v>
      </c>
      <c r="S108" s="18">
        <f t="shared" ref="S108:S109" si="7">VLOOKUP(Q108,$K$2:$L$126,2,FALSE)</f>
        <v>1</v>
      </c>
    </row>
    <row r="109">
      <c r="A109" s="289" t="s">
        <v>6571</v>
      </c>
      <c r="B109" s="297">
        <v>10393.0</v>
      </c>
      <c r="C109" s="167" t="s">
        <v>6305</v>
      </c>
      <c r="D109" s="74">
        <v>0.7</v>
      </c>
      <c r="E109" s="74">
        <v>0.7</v>
      </c>
      <c r="F109" s="229" t="s">
        <v>1656</v>
      </c>
      <c r="K109" s="245" t="s">
        <v>6579</v>
      </c>
      <c r="L109" s="81">
        <v>1.0</v>
      </c>
      <c r="Q109" s="11" t="s">
        <v>6571</v>
      </c>
      <c r="R109" s="9">
        <v>10393.0</v>
      </c>
      <c r="S109" s="18">
        <f t="shared" si="7"/>
        <v>1</v>
      </c>
    </row>
    <row r="110">
      <c r="A110" s="289" t="s">
        <v>6580</v>
      </c>
      <c r="B110" s="297">
        <v>189.0</v>
      </c>
      <c r="C110" s="167" t="s">
        <v>6305</v>
      </c>
      <c r="D110" s="74">
        <v>0.8</v>
      </c>
      <c r="E110" s="74">
        <v>0.8</v>
      </c>
      <c r="F110" s="229" t="s">
        <v>1656</v>
      </c>
      <c r="K110" s="245" t="s">
        <v>6570</v>
      </c>
      <c r="L110" s="81">
        <v>1.0</v>
      </c>
      <c r="Q110" s="11" t="s">
        <v>6580</v>
      </c>
      <c r="R110" s="9">
        <v>189.0</v>
      </c>
      <c r="S110" s="11">
        <v>3307.0</v>
      </c>
    </row>
    <row r="111">
      <c r="A111" s="289" t="s">
        <v>6581</v>
      </c>
      <c r="B111" s="297">
        <v>189.0</v>
      </c>
      <c r="C111" s="167" t="s">
        <v>6305</v>
      </c>
      <c r="D111" s="74">
        <v>0.8</v>
      </c>
      <c r="E111" s="74">
        <v>0.8</v>
      </c>
      <c r="F111" s="229" t="s">
        <v>1656</v>
      </c>
      <c r="K111" s="245" t="s">
        <v>6582</v>
      </c>
      <c r="L111" s="81">
        <v>1.0</v>
      </c>
      <c r="Q111" s="11" t="s">
        <v>6581</v>
      </c>
      <c r="R111" s="9">
        <v>189.0</v>
      </c>
      <c r="S111" s="11">
        <v>9307.0</v>
      </c>
    </row>
    <row r="112">
      <c r="A112" s="289" t="s">
        <v>6583</v>
      </c>
      <c r="B112" s="297">
        <v>189.0</v>
      </c>
      <c r="C112" s="167" t="s">
        <v>6305</v>
      </c>
      <c r="D112" s="74">
        <v>0.8</v>
      </c>
      <c r="E112" s="74">
        <v>0.8</v>
      </c>
      <c r="F112" s="229" t="s">
        <v>1656</v>
      </c>
      <c r="K112" s="245" t="s">
        <v>6584</v>
      </c>
      <c r="L112" s="81">
        <v>1.0</v>
      </c>
      <c r="Q112" s="11" t="s">
        <v>6583</v>
      </c>
      <c r="R112" s="9">
        <v>189.0</v>
      </c>
      <c r="S112" s="11">
        <v>9742.0</v>
      </c>
    </row>
    <row r="113">
      <c r="A113" s="289" t="s">
        <v>6585</v>
      </c>
      <c r="B113" s="297">
        <v>14603.0</v>
      </c>
      <c r="C113" s="167" t="s">
        <v>6305</v>
      </c>
      <c r="D113" s="74">
        <v>0.7</v>
      </c>
      <c r="E113" s="74">
        <v>0.7</v>
      </c>
      <c r="F113" s="229" t="s">
        <v>1656</v>
      </c>
      <c r="K113" s="245" t="s">
        <v>6515</v>
      </c>
      <c r="L113" s="81">
        <v>1.0</v>
      </c>
      <c r="Q113" s="11" t="s">
        <v>6585</v>
      </c>
      <c r="R113" s="9">
        <v>3689.0</v>
      </c>
    </row>
    <row r="114">
      <c r="A114" s="289" t="s">
        <v>6577</v>
      </c>
      <c r="B114" s="297">
        <v>14603.0</v>
      </c>
      <c r="C114" s="167" t="s">
        <v>6305</v>
      </c>
      <c r="D114" s="74">
        <v>0.7</v>
      </c>
      <c r="E114" s="74">
        <v>0.7</v>
      </c>
      <c r="F114" s="229" t="s">
        <v>1656</v>
      </c>
      <c r="K114" s="245" t="s">
        <v>6484</v>
      </c>
      <c r="L114" s="81">
        <v>1.0</v>
      </c>
      <c r="Q114" s="11" t="s">
        <v>6577</v>
      </c>
      <c r="R114" s="9">
        <v>7492.0</v>
      </c>
      <c r="S114" s="18">
        <f t="shared" ref="S114:S115" si="8">VLOOKUP(Q114,$K$2:$L$126,2,FALSE)</f>
        <v>1</v>
      </c>
    </row>
    <row r="115">
      <c r="A115" s="289" t="s">
        <v>6564</v>
      </c>
      <c r="B115" s="297">
        <v>7229.0</v>
      </c>
      <c r="C115" s="167" t="s">
        <v>6305</v>
      </c>
      <c r="D115" s="74">
        <v>0.7</v>
      </c>
      <c r="E115" s="74">
        <v>0.7</v>
      </c>
      <c r="F115" s="229" t="s">
        <v>1656</v>
      </c>
      <c r="K115" s="245" t="s">
        <v>6586</v>
      </c>
      <c r="L115" s="81">
        <v>1.0</v>
      </c>
      <c r="Q115" s="11" t="s">
        <v>6564</v>
      </c>
      <c r="R115" s="9">
        <v>7229.0</v>
      </c>
      <c r="S115" s="18">
        <f t="shared" si="8"/>
        <v>1</v>
      </c>
    </row>
    <row r="116">
      <c r="A116" s="289" t="s">
        <v>6587</v>
      </c>
      <c r="B116" s="297">
        <v>2507.0</v>
      </c>
      <c r="C116" s="167" t="s">
        <v>6305</v>
      </c>
      <c r="D116" s="74">
        <v>0.7</v>
      </c>
      <c r="E116" s="74">
        <v>0.7</v>
      </c>
      <c r="F116" s="229" t="s">
        <v>1656</v>
      </c>
      <c r="K116" s="245" t="s">
        <v>6456</v>
      </c>
      <c r="L116" s="81">
        <v>1.0</v>
      </c>
      <c r="Q116" s="11" t="s">
        <v>6587</v>
      </c>
      <c r="R116" s="9">
        <v>2507.0</v>
      </c>
    </row>
    <row r="117">
      <c r="A117" s="289" t="s">
        <v>6588</v>
      </c>
      <c r="B117" s="289">
        <v>6106.0</v>
      </c>
      <c r="C117" s="167" t="s">
        <v>6305</v>
      </c>
      <c r="D117" s="74">
        <v>0.7</v>
      </c>
      <c r="E117" s="74">
        <v>0.7</v>
      </c>
      <c r="F117" s="229" t="s">
        <v>1656</v>
      </c>
      <c r="K117" s="245" t="s">
        <v>6589</v>
      </c>
      <c r="L117" s="81">
        <v>1.0</v>
      </c>
      <c r="Q117" s="11" t="s">
        <v>6588</v>
      </c>
      <c r="R117" s="11">
        <v>6106.0</v>
      </c>
      <c r="S117" s="9">
        <v>513.0</v>
      </c>
    </row>
    <row r="118">
      <c r="A118" s="289" t="s">
        <v>6590</v>
      </c>
      <c r="B118" s="297">
        <v>13192.0</v>
      </c>
      <c r="C118" s="167" t="s">
        <v>6305</v>
      </c>
      <c r="D118" s="74">
        <v>0.7</v>
      </c>
      <c r="E118" s="74">
        <v>0.7</v>
      </c>
      <c r="F118" s="229" t="s">
        <v>1656</v>
      </c>
      <c r="K118" s="245" t="s">
        <v>6336</v>
      </c>
      <c r="L118" s="81">
        <v>1.0</v>
      </c>
      <c r="Q118" s="11" t="s">
        <v>6590</v>
      </c>
      <c r="R118" s="9">
        <v>13192.0</v>
      </c>
    </row>
    <row r="119">
      <c r="A119" s="289" t="s">
        <v>6591</v>
      </c>
      <c r="B119" s="297">
        <v>6903.0</v>
      </c>
      <c r="C119" s="167" t="s">
        <v>6305</v>
      </c>
      <c r="D119" s="74">
        <v>0.7</v>
      </c>
      <c r="E119" s="74">
        <v>0.7</v>
      </c>
      <c r="F119" s="229" t="s">
        <v>1656</v>
      </c>
      <c r="K119" s="245" t="s">
        <v>6409</v>
      </c>
      <c r="L119" s="81">
        <v>1.0</v>
      </c>
      <c r="Q119" s="35" t="s">
        <v>6591</v>
      </c>
      <c r="R119" s="111">
        <v>14065.0</v>
      </c>
      <c r="S119" s="36"/>
      <c r="T119" s="36"/>
      <c r="U119" s="36"/>
    </row>
    <row r="120">
      <c r="A120" s="289" t="s">
        <v>6592</v>
      </c>
      <c r="B120" s="297">
        <v>14525.0</v>
      </c>
      <c r="C120" s="167" t="s">
        <v>6305</v>
      </c>
      <c r="D120" s="74">
        <v>0.7</v>
      </c>
      <c r="E120" s="74">
        <v>0.7</v>
      </c>
      <c r="F120" s="229" t="s">
        <v>1656</v>
      </c>
      <c r="K120" s="245" t="s">
        <v>6593</v>
      </c>
      <c r="L120" s="81">
        <v>1.0</v>
      </c>
      <c r="Q120" s="35" t="s">
        <v>6592</v>
      </c>
      <c r="R120" s="111">
        <v>9746.0</v>
      </c>
      <c r="S120" s="36"/>
      <c r="T120" s="36"/>
      <c r="U120" s="36"/>
    </row>
    <row r="121">
      <c r="A121" s="289" t="s">
        <v>6594</v>
      </c>
      <c r="B121" s="297">
        <v>13952.0</v>
      </c>
      <c r="C121" s="167" t="s">
        <v>6305</v>
      </c>
      <c r="D121" s="74">
        <v>0.7</v>
      </c>
      <c r="E121" s="74">
        <v>0.7</v>
      </c>
      <c r="F121" s="229" t="s">
        <v>1656</v>
      </c>
      <c r="K121" s="245" t="s">
        <v>6595</v>
      </c>
      <c r="L121" s="81">
        <v>1.0</v>
      </c>
      <c r="Q121" s="11" t="s">
        <v>6594</v>
      </c>
      <c r="R121" s="9">
        <v>13952.0</v>
      </c>
    </row>
    <row r="122">
      <c r="A122" s="289" t="s">
        <v>6596</v>
      </c>
      <c r="B122" s="11">
        <v>6939.0</v>
      </c>
      <c r="C122" s="167" t="s">
        <v>6305</v>
      </c>
      <c r="D122" s="74">
        <v>0.7</v>
      </c>
      <c r="E122" s="74">
        <v>0.7</v>
      </c>
      <c r="F122" s="229" t="s">
        <v>1656</v>
      </c>
      <c r="K122" s="245" t="s">
        <v>6597</v>
      </c>
      <c r="L122" s="81">
        <v>1.0</v>
      </c>
      <c r="Q122" s="35" t="s">
        <v>6596</v>
      </c>
      <c r="R122" s="111">
        <v>14023.0</v>
      </c>
      <c r="S122" s="36"/>
      <c r="T122" s="36"/>
      <c r="U122" s="36"/>
    </row>
    <row r="123">
      <c r="A123" s="289" t="s">
        <v>6598</v>
      </c>
      <c r="B123" s="141">
        <v>7227.0</v>
      </c>
      <c r="C123" s="167" t="s">
        <v>6305</v>
      </c>
      <c r="D123" s="74">
        <v>0.8</v>
      </c>
      <c r="E123" s="74">
        <v>0.8</v>
      </c>
      <c r="F123" s="229" t="s">
        <v>1656</v>
      </c>
      <c r="K123" s="245" t="s">
        <v>6599</v>
      </c>
      <c r="L123" s="81">
        <v>1.0</v>
      </c>
      <c r="Q123" s="11" t="s">
        <v>6598</v>
      </c>
      <c r="R123" s="141">
        <v>7227.0</v>
      </c>
    </row>
    <row r="124">
      <c r="A124" s="289" t="s">
        <v>6600</v>
      </c>
      <c r="B124" s="297">
        <v>12932.0</v>
      </c>
      <c r="C124" s="167" t="s">
        <v>6305</v>
      </c>
      <c r="D124" s="74">
        <v>0.7</v>
      </c>
      <c r="E124" s="74">
        <v>0.7</v>
      </c>
      <c r="F124" s="229" t="s">
        <v>1656</v>
      </c>
      <c r="K124" s="245" t="s">
        <v>6601</v>
      </c>
      <c r="L124" s="81">
        <v>1.0</v>
      </c>
      <c r="Q124" s="11" t="s">
        <v>6600</v>
      </c>
      <c r="R124" s="9">
        <v>12932.0</v>
      </c>
    </row>
    <row r="125">
      <c r="A125" s="289" t="s">
        <v>6602</v>
      </c>
      <c r="B125" s="297">
        <v>13829.0</v>
      </c>
      <c r="C125" s="167" t="s">
        <v>6305</v>
      </c>
      <c r="D125" s="74">
        <v>0.7</v>
      </c>
      <c r="E125" s="74">
        <v>0.7</v>
      </c>
      <c r="F125" s="229" t="s">
        <v>1656</v>
      </c>
      <c r="K125" s="245" t="s">
        <v>6603</v>
      </c>
      <c r="L125" s="81">
        <v>1.0</v>
      </c>
      <c r="Q125" s="11" t="s">
        <v>6602</v>
      </c>
      <c r="R125" s="9">
        <v>13829.0</v>
      </c>
    </row>
    <row r="126">
      <c r="A126" s="289" t="s">
        <v>6604</v>
      </c>
      <c r="B126" s="297">
        <v>6774.0</v>
      </c>
      <c r="C126" s="167" t="s">
        <v>6305</v>
      </c>
      <c r="D126" s="74">
        <v>0.7</v>
      </c>
      <c r="E126" s="74">
        <v>0.7</v>
      </c>
      <c r="F126" s="229" t="s">
        <v>1656</v>
      </c>
      <c r="K126" s="245" t="s">
        <v>6440</v>
      </c>
      <c r="L126" s="81">
        <v>1.0</v>
      </c>
      <c r="Q126" s="11" t="s">
        <v>6604</v>
      </c>
      <c r="R126" s="9">
        <v>6774.0</v>
      </c>
    </row>
    <row r="127">
      <c r="A127" s="289" t="s">
        <v>6605</v>
      </c>
      <c r="B127" s="141">
        <v>7227.0</v>
      </c>
      <c r="C127" s="167" t="s">
        <v>6305</v>
      </c>
      <c r="D127" s="74">
        <v>0.8</v>
      </c>
      <c r="E127" s="74">
        <v>0.8</v>
      </c>
      <c r="F127" s="229" t="s">
        <v>1656</v>
      </c>
      <c r="Q127" s="11" t="s">
        <v>6605</v>
      </c>
      <c r="R127" s="141">
        <v>7227.0</v>
      </c>
    </row>
    <row r="128">
      <c r="A128" s="289" t="s">
        <v>6606</v>
      </c>
      <c r="B128" s="141">
        <v>7227.0</v>
      </c>
      <c r="C128" s="167" t="s">
        <v>6305</v>
      </c>
      <c r="D128" s="74">
        <v>0.8</v>
      </c>
      <c r="E128" s="74">
        <v>0.8</v>
      </c>
      <c r="F128" s="229" t="s">
        <v>1656</v>
      </c>
      <c r="Q128" s="11" t="s">
        <v>6606</v>
      </c>
      <c r="R128" s="141">
        <v>7227.0</v>
      </c>
    </row>
    <row r="129">
      <c r="A129" s="289" t="s">
        <v>6607</v>
      </c>
      <c r="B129" s="141">
        <v>7227.0</v>
      </c>
      <c r="C129" s="167" t="s">
        <v>6305</v>
      </c>
      <c r="D129" s="74">
        <v>0.8</v>
      </c>
      <c r="E129" s="74">
        <v>0.8</v>
      </c>
      <c r="F129" s="229" t="s">
        <v>1656</v>
      </c>
      <c r="Q129" s="11" t="s">
        <v>6607</v>
      </c>
      <c r="R129" s="141">
        <v>7227.0</v>
      </c>
    </row>
    <row r="130">
      <c r="A130" s="289" t="s">
        <v>6608</v>
      </c>
      <c r="B130" s="141">
        <v>7227.0</v>
      </c>
      <c r="C130" s="167" t="s">
        <v>6305</v>
      </c>
      <c r="D130" s="74">
        <v>0.8</v>
      </c>
      <c r="E130" s="74">
        <v>0.8</v>
      </c>
      <c r="F130" s="229" t="s">
        <v>1656</v>
      </c>
      <c r="Q130" s="11" t="s">
        <v>6608</v>
      </c>
      <c r="R130" s="141">
        <v>7227.0</v>
      </c>
    </row>
    <row r="131">
      <c r="A131" s="289" t="s">
        <v>6609</v>
      </c>
      <c r="B131" s="297">
        <v>13858.0</v>
      </c>
      <c r="C131" s="167" t="s">
        <v>6305</v>
      </c>
      <c r="D131" s="74">
        <v>0.7</v>
      </c>
      <c r="E131" s="74">
        <v>0.7</v>
      </c>
      <c r="F131" s="229" t="s">
        <v>1656</v>
      </c>
      <c r="Q131" s="11" t="s">
        <v>6609</v>
      </c>
      <c r="R131" s="9">
        <v>13858.0</v>
      </c>
    </row>
    <row r="132">
      <c r="A132" s="289" t="s">
        <v>6610</v>
      </c>
      <c r="B132" s="11">
        <v>14298.0</v>
      </c>
      <c r="C132" s="167" t="s">
        <v>6305</v>
      </c>
      <c r="D132" s="74">
        <v>0.8</v>
      </c>
      <c r="E132" s="74">
        <v>0.8</v>
      </c>
      <c r="F132" s="229" t="s">
        <v>1656</v>
      </c>
      <c r="Q132" s="35" t="s">
        <v>6610</v>
      </c>
      <c r="R132" s="300">
        <v>7227.0</v>
      </c>
      <c r="S132" s="36"/>
      <c r="T132" s="36"/>
      <c r="U132" s="36"/>
    </row>
    <row r="133">
      <c r="A133" s="289" t="s">
        <v>6611</v>
      </c>
      <c r="B133" s="297">
        <v>14603.0</v>
      </c>
      <c r="C133" s="167" t="s">
        <v>6305</v>
      </c>
      <c r="D133" s="74">
        <v>0.7</v>
      </c>
      <c r="E133" s="74">
        <v>0.7</v>
      </c>
      <c r="F133" s="229" t="s">
        <v>1656</v>
      </c>
      <c r="Q133" s="35" t="s">
        <v>6611</v>
      </c>
      <c r="R133" s="300">
        <v>7227.0</v>
      </c>
      <c r="S133" s="36"/>
      <c r="T133" s="36"/>
      <c r="U133" s="36"/>
    </row>
    <row r="134">
      <c r="A134" s="289" t="s">
        <v>6612</v>
      </c>
      <c r="B134" s="141">
        <v>7227.0</v>
      </c>
      <c r="C134" s="167" t="s">
        <v>6305</v>
      </c>
      <c r="D134" s="74">
        <v>0.8</v>
      </c>
      <c r="E134" s="74">
        <v>0.8</v>
      </c>
      <c r="F134" s="229" t="s">
        <v>1656</v>
      </c>
      <c r="Q134" s="35" t="s">
        <v>6612</v>
      </c>
      <c r="R134" s="300">
        <v>7227.0</v>
      </c>
      <c r="S134" s="36"/>
      <c r="T134" s="36"/>
      <c r="U134" s="36"/>
    </row>
    <row r="135">
      <c r="A135" s="289" t="s">
        <v>6613</v>
      </c>
      <c r="B135" s="297">
        <v>7083.0</v>
      </c>
      <c r="C135" s="167" t="s">
        <v>6305</v>
      </c>
      <c r="D135" s="74">
        <v>0.7</v>
      </c>
      <c r="E135" s="74">
        <v>0.7</v>
      </c>
      <c r="F135" s="229" t="s">
        <v>1656</v>
      </c>
      <c r="Q135" s="11" t="s">
        <v>6613</v>
      </c>
      <c r="R135" s="9">
        <v>7083.0</v>
      </c>
    </row>
    <row r="136">
      <c r="A136" s="289" t="s">
        <v>6614</v>
      </c>
      <c r="B136" s="141">
        <v>7227.0</v>
      </c>
      <c r="C136" s="167" t="s">
        <v>6305</v>
      </c>
      <c r="D136" s="74">
        <v>0.8</v>
      </c>
      <c r="E136" s="74">
        <v>0.8</v>
      </c>
      <c r="F136" s="229" t="s">
        <v>1656</v>
      </c>
      <c r="Q136" s="11" t="s">
        <v>6614</v>
      </c>
      <c r="R136" s="141">
        <v>7227.0</v>
      </c>
    </row>
    <row r="137">
      <c r="A137" s="289" t="s">
        <v>6615</v>
      </c>
      <c r="B137" s="141">
        <v>14507.0</v>
      </c>
      <c r="C137" s="167" t="s">
        <v>6305</v>
      </c>
      <c r="D137" s="74">
        <v>0.7</v>
      </c>
      <c r="E137" s="74">
        <v>0.7</v>
      </c>
      <c r="F137" s="229" t="s">
        <v>1656</v>
      </c>
      <c r="Q137" s="35" t="s">
        <v>6615</v>
      </c>
      <c r="R137" s="300">
        <v>7227.0</v>
      </c>
      <c r="S137" s="36"/>
      <c r="T137" s="36"/>
      <c r="U137" s="36"/>
    </row>
    <row r="138">
      <c r="A138" s="289" t="s">
        <v>6616</v>
      </c>
      <c r="B138" s="141">
        <v>14529.0</v>
      </c>
      <c r="C138" s="167" t="s">
        <v>6305</v>
      </c>
      <c r="D138" s="74">
        <v>0.7</v>
      </c>
      <c r="E138" s="74">
        <v>0.7</v>
      </c>
      <c r="F138" s="229" t="s">
        <v>1656</v>
      </c>
      <c r="Q138" s="35" t="s">
        <v>6616</v>
      </c>
      <c r="R138" s="300">
        <v>7227.0</v>
      </c>
      <c r="S138" s="36"/>
      <c r="T138" s="36"/>
      <c r="U138" s="36"/>
    </row>
    <row r="139">
      <c r="A139" s="289" t="s">
        <v>6617</v>
      </c>
      <c r="B139" s="141">
        <v>14507.0</v>
      </c>
      <c r="C139" s="167" t="s">
        <v>6305</v>
      </c>
      <c r="D139" s="74">
        <v>0.7</v>
      </c>
      <c r="E139" s="74">
        <v>0.7</v>
      </c>
      <c r="F139" s="229" t="s">
        <v>1656</v>
      </c>
      <c r="Q139" s="35" t="s">
        <v>6617</v>
      </c>
      <c r="R139" s="300">
        <v>7227.0</v>
      </c>
      <c r="S139" s="36"/>
      <c r="T139" s="36"/>
      <c r="U139" s="36"/>
    </row>
    <row r="140">
      <c r="A140" s="289" t="s">
        <v>6618</v>
      </c>
      <c r="B140" s="297">
        <v>14603.0</v>
      </c>
      <c r="C140" s="167" t="s">
        <v>6305</v>
      </c>
      <c r="D140" s="74">
        <v>0.7</v>
      </c>
      <c r="E140" s="74">
        <v>0.7</v>
      </c>
      <c r="F140" s="229" t="s">
        <v>1656</v>
      </c>
      <c r="Q140" s="35" t="s">
        <v>6618</v>
      </c>
      <c r="R140" s="301">
        <v>12553.0</v>
      </c>
      <c r="S140" s="36"/>
      <c r="T140" s="36"/>
      <c r="U140" s="36"/>
    </row>
    <row r="141">
      <c r="A141" s="289" t="s">
        <v>6619</v>
      </c>
      <c r="B141" s="297">
        <v>12609.0</v>
      </c>
      <c r="C141" s="167" t="s">
        <v>6305</v>
      </c>
      <c r="D141" s="74">
        <v>0.7</v>
      </c>
      <c r="E141" s="74">
        <v>0.7</v>
      </c>
      <c r="F141" s="229" t="s">
        <v>1656</v>
      </c>
      <c r="Q141" s="11" t="s">
        <v>6619</v>
      </c>
      <c r="R141" s="9">
        <v>12609.0</v>
      </c>
    </row>
    <row r="142">
      <c r="A142" s="289" t="s">
        <v>6620</v>
      </c>
      <c r="B142" s="297">
        <v>8161.0</v>
      </c>
      <c r="C142" s="167" t="s">
        <v>6305</v>
      </c>
      <c r="D142" s="74">
        <v>0.7</v>
      </c>
      <c r="E142" s="74">
        <v>0.7</v>
      </c>
      <c r="F142" s="229" t="s">
        <v>1656</v>
      </c>
      <c r="Q142" s="35" t="s">
        <v>6620</v>
      </c>
      <c r="R142" s="111">
        <v>8161.0</v>
      </c>
      <c r="S142" s="36"/>
      <c r="T142" s="36"/>
      <c r="U142" s="36"/>
    </row>
    <row r="143">
      <c r="A143" s="21" t="s">
        <v>6621</v>
      </c>
      <c r="B143" s="297">
        <v>11049.0</v>
      </c>
      <c r="C143" s="167" t="s">
        <v>6305</v>
      </c>
      <c r="D143" s="74">
        <v>0.8</v>
      </c>
      <c r="E143" s="74">
        <v>0.8</v>
      </c>
      <c r="F143" s="229" t="s">
        <v>1656</v>
      </c>
      <c r="Q143" s="302" t="s">
        <v>6621</v>
      </c>
      <c r="R143" s="111">
        <v>13951.0</v>
      </c>
      <c r="S143" s="36"/>
      <c r="T143" s="36"/>
      <c r="U143" s="36"/>
    </row>
    <row r="144">
      <c r="A144" s="21" t="s">
        <v>6622</v>
      </c>
      <c r="B144" s="297">
        <v>11049.0</v>
      </c>
      <c r="C144" s="167" t="s">
        <v>6305</v>
      </c>
      <c r="D144" s="74">
        <v>0.8</v>
      </c>
      <c r="E144" s="74">
        <v>0.8</v>
      </c>
      <c r="F144" s="229" t="s">
        <v>1656</v>
      </c>
      <c r="Q144" s="302" t="s">
        <v>6622</v>
      </c>
      <c r="R144" s="111">
        <v>14337.0</v>
      </c>
      <c r="S144" s="36"/>
      <c r="T144" s="36"/>
      <c r="U144" s="36"/>
    </row>
    <row r="145">
      <c r="A145" s="21" t="s">
        <v>6623</v>
      </c>
      <c r="B145" s="297">
        <v>467.0</v>
      </c>
      <c r="C145" s="167" t="s">
        <v>6305</v>
      </c>
      <c r="D145" s="74">
        <v>0.7</v>
      </c>
      <c r="E145" s="74">
        <v>0.7</v>
      </c>
      <c r="F145" s="229" t="s">
        <v>1656</v>
      </c>
      <c r="Q145" s="21" t="s">
        <v>6623</v>
      </c>
      <c r="R145" s="9">
        <v>467.0</v>
      </c>
    </row>
    <row r="146">
      <c r="A146" s="21" t="s">
        <v>6624</v>
      </c>
      <c r="B146" s="297">
        <v>11049.0</v>
      </c>
      <c r="C146" s="167" t="s">
        <v>6305</v>
      </c>
      <c r="D146" s="74">
        <v>0.8</v>
      </c>
      <c r="E146" s="74">
        <v>0.8</v>
      </c>
      <c r="F146" s="229" t="s">
        <v>1656</v>
      </c>
      <c r="Q146" s="302" t="s">
        <v>6624</v>
      </c>
      <c r="R146" s="111">
        <v>6133.0</v>
      </c>
      <c r="S146" s="36"/>
      <c r="T146" s="36"/>
      <c r="U146" s="36"/>
    </row>
    <row r="147">
      <c r="A147" s="21" t="s">
        <v>6625</v>
      </c>
      <c r="B147" s="297">
        <v>189.0</v>
      </c>
      <c r="C147" s="167" t="s">
        <v>6305</v>
      </c>
      <c r="D147" s="74">
        <v>0.8</v>
      </c>
      <c r="E147" s="74">
        <v>0.8</v>
      </c>
      <c r="F147" s="229" t="s">
        <v>1656</v>
      </c>
      <c r="Q147" s="21" t="s">
        <v>6625</v>
      </c>
      <c r="R147" s="9">
        <v>189.0</v>
      </c>
    </row>
    <row r="148">
      <c r="A148" s="21" t="s">
        <v>6626</v>
      </c>
      <c r="B148" s="297">
        <v>189.0</v>
      </c>
      <c r="C148" s="167" t="s">
        <v>6305</v>
      </c>
      <c r="D148" s="74">
        <v>0.8</v>
      </c>
      <c r="E148" s="74">
        <v>0.8</v>
      </c>
      <c r="F148" s="229" t="s">
        <v>1656</v>
      </c>
      <c r="Q148" s="21" t="s">
        <v>6626</v>
      </c>
      <c r="R148" s="9">
        <v>189.0</v>
      </c>
    </row>
    <row r="149">
      <c r="A149" s="21" t="s">
        <v>6627</v>
      </c>
      <c r="B149" s="297">
        <v>189.0</v>
      </c>
      <c r="C149" s="167" t="s">
        <v>6305</v>
      </c>
      <c r="D149" s="74">
        <v>0.8</v>
      </c>
      <c r="E149" s="74">
        <v>0.8</v>
      </c>
      <c r="F149" s="229" t="s">
        <v>1656</v>
      </c>
      <c r="Q149" s="21" t="s">
        <v>6627</v>
      </c>
      <c r="R149" s="9">
        <v>189.0</v>
      </c>
    </row>
    <row r="150">
      <c r="A150" s="21" t="s">
        <v>6628</v>
      </c>
      <c r="B150" s="297">
        <v>189.0</v>
      </c>
      <c r="C150" s="167" t="s">
        <v>6305</v>
      </c>
      <c r="D150" s="74">
        <v>0.8</v>
      </c>
      <c r="E150" s="74">
        <v>0.8</v>
      </c>
      <c r="F150" s="229" t="s">
        <v>1656</v>
      </c>
      <c r="Q150" s="21" t="s">
        <v>6628</v>
      </c>
      <c r="R150" s="9">
        <v>189.0</v>
      </c>
    </row>
    <row r="151">
      <c r="A151" s="21" t="s">
        <v>6629</v>
      </c>
      <c r="B151" s="297">
        <v>11049.0</v>
      </c>
      <c r="C151" s="167" t="s">
        <v>6305</v>
      </c>
      <c r="D151" s="74">
        <v>0.8</v>
      </c>
      <c r="E151" s="74">
        <v>0.8</v>
      </c>
      <c r="F151" s="229" t="s">
        <v>1656</v>
      </c>
      <c r="Q151" s="302" t="s">
        <v>6629</v>
      </c>
      <c r="R151" s="111">
        <v>189.0</v>
      </c>
      <c r="S151" s="36"/>
      <c r="T151" s="36"/>
      <c r="U151" s="36"/>
    </row>
    <row r="152">
      <c r="A152" s="21" t="s">
        <v>6630</v>
      </c>
      <c r="B152" s="297">
        <v>14607.0</v>
      </c>
      <c r="C152" s="167" t="s">
        <v>6305</v>
      </c>
      <c r="D152" s="74">
        <v>0.7</v>
      </c>
      <c r="E152" s="74">
        <v>0.7</v>
      </c>
      <c r="F152" s="229" t="s">
        <v>1656</v>
      </c>
      <c r="Q152" s="302" t="s">
        <v>6630</v>
      </c>
      <c r="R152" s="111">
        <v>189.0</v>
      </c>
      <c r="S152" s="36"/>
      <c r="T152" s="36"/>
      <c r="U152" s="36"/>
    </row>
    <row r="153">
      <c r="A153" s="21" t="s">
        <v>6631</v>
      </c>
      <c r="B153" s="297">
        <v>7040.0</v>
      </c>
      <c r="C153" s="167" t="s">
        <v>6305</v>
      </c>
      <c r="D153" s="74">
        <v>0.7</v>
      </c>
      <c r="E153" s="74">
        <v>0.7</v>
      </c>
      <c r="F153" s="229" t="s">
        <v>1656</v>
      </c>
      <c r="Q153" s="21" t="s">
        <v>6631</v>
      </c>
      <c r="R153" s="9">
        <v>7040.0</v>
      </c>
    </row>
    <row r="154">
      <c r="A154" s="21" t="s">
        <v>6632</v>
      </c>
      <c r="B154" s="297">
        <v>6133.0</v>
      </c>
      <c r="C154" s="167" t="s">
        <v>6305</v>
      </c>
      <c r="D154" s="74">
        <v>0.8</v>
      </c>
      <c r="E154" s="74">
        <v>0.8</v>
      </c>
      <c r="F154" s="229" t="s">
        <v>1656</v>
      </c>
      <c r="Q154" s="302" t="s">
        <v>6632</v>
      </c>
      <c r="R154" s="111">
        <v>6133.0</v>
      </c>
      <c r="S154" s="36"/>
      <c r="T154" s="36"/>
      <c r="U154" s="36"/>
    </row>
    <row r="155">
      <c r="A155" s="21" t="s">
        <v>6633</v>
      </c>
      <c r="B155" s="297">
        <v>6887.0</v>
      </c>
      <c r="C155" s="167" t="s">
        <v>6305</v>
      </c>
      <c r="D155" s="74">
        <v>0.7</v>
      </c>
      <c r="E155" s="74">
        <v>0.7</v>
      </c>
      <c r="F155" s="229" t="s">
        <v>1656</v>
      </c>
      <c r="Q155" s="21" t="s">
        <v>6633</v>
      </c>
      <c r="R155" s="9">
        <v>6887.0</v>
      </c>
    </row>
    <row r="156">
      <c r="A156" s="21" t="s">
        <v>6634</v>
      </c>
      <c r="B156" s="297">
        <v>11049.0</v>
      </c>
      <c r="C156" s="167" t="s">
        <v>6305</v>
      </c>
      <c r="D156" s="74">
        <v>0.8</v>
      </c>
      <c r="E156" s="74">
        <v>0.8</v>
      </c>
      <c r="F156" s="229" t="s">
        <v>1656</v>
      </c>
      <c r="Q156" s="302" t="s">
        <v>6634</v>
      </c>
      <c r="R156" s="111">
        <v>11049.0</v>
      </c>
      <c r="S156" s="36"/>
      <c r="T156" s="36"/>
      <c r="U156" s="36"/>
    </row>
    <row r="157">
      <c r="A157" s="21" t="s">
        <v>6635</v>
      </c>
      <c r="B157" s="297">
        <v>11049.0</v>
      </c>
      <c r="C157" s="167" t="s">
        <v>6305</v>
      </c>
      <c r="D157" s="74">
        <v>0.8</v>
      </c>
      <c r="E157" s="74">
        <v>0.8</v>
      </c>
      <c r="F157" s="229" t="s">
        <v>1656</v>
      </c>
      <c r="Q157" s="302" t="s">
        <v>6635</v>
      </c>
      <c r="R157" s="111">
        <v>11049.0</v>
      </c>
      <c r="S157" s="36"/>
      <c r="T157" s="36"/>
      <c r="U157" s="36"/>
    </row>
    <row r="158">
      <c r="A158" s="21" t="s">
        <v>6636</v>
      </c>
      <c r="B158" s="297">
        <v>6802.0</v>
      </c>
      <c r="C158" s="167" t="s">
        <v>6305</v>
      </c>
      <c r="D158" s="74">
        <v>0.7</v>
      </c>
      <c r="E158" s="74">
        <v>0.7</v>
      </c>
      <c r="F158" s="229" t="s">
        <v>1656</v>
      </c>
      <c r="Q158" s="21" t="s">
        <v>6636</v>
      </c>
      <c r="R158" s="9">
        <v>6802.0</v>
      </c>
    </row>
    <row r="159">
      <c r="A159" s="21" t="s">
        <v>6637</v>
      </c>
      <c r="B159" s="297">
        <v>11049.0</v>
      </c>
      <c r="C159" s="167" t="s">
        <v>6305</v>
      </c>
      <c r="D159" s="74">
        <v>0.8</v>
      </c>
      <c r="E159" s="74">
        <v>0.8</v>
      </c>
      <c r="F159" s="229" t="s">
        <v>1656</v>
      </c>
      <c r="Q159" s="302" t="s">
        <v>6637</v>
      </c>
      <c r="R159" s="303"/>
      <c r="S159" s="36"/>
      <c r="T159" s="36"/>
      <c r="U159" s="36"/>
    </row>
    <row r="160">
      <c r="A160" s="21" t="s">
        <v>6638</v>
      </c>
      <c r="B160" s="297">
        <v>11049.0</v>
      </c>
      <c r="C160" s="167" t="s">
        <v>6305</v>
      </c>
      <c r="D160" s="74">
        <v>0.8</v>
      </c>
      <c r="E160" s="74">
        <v>0.8</v>
      </c>
      <c r="F160" s="229" t="s">
        <v>1656</v>
      </c>
      <c r="Q160" s="21" t="s">
        <v>6638</v>
      </c>
      <c r="R160" s="10"/>
    </row>
    <row r="161">
      <c r="A161" s="21" t="s">
        <v>6639</v>
      </c>
      <c r="B161" s="297">
        <v>2205.0</v>
      </c>
      <c r="C161" s="167" t="s">
        <v>6305</v>
      </c>
      <c r="D161" s="74">
        <v>0.7</v>
      </c>
      <c r="E161" s="74">
        <v>0.7</v>
      </c>
      <c r="F161" s="229" t="s">
        <v>1656</v>
      </c>
      <c r="Q161" s="302" t="s">
        <v>6639</v>
      </c>
      <c r="R161" s="111">
        <v>14440.0</v>
      </c>
      <c r="S161" s="36"/>
      <c r="T161" s="36"/>
      <c r="U161" s="36"/>
    </row>
    <row r="162">
      <c r="A162" s="21" t="s">
        <v>6640</v>
      </c>
      <c r="B162" s="297">
        <v>11875.0</v>
      </c>
      <c r="C162" s="167" t="s">
        <v>6305</v>
      </c>
      <c r="D162" s="74">
        <v>0.7</v>
      </c>
      <c r="E162" s="74">
        <v>0.7</v>
      </c>
      <c r="F162" s="229" t="s">
        <v>1656</v>
      </c>
      <c r="Q162" s="302" t="s">
        <v>6640</v>
      </c>
      <c r="R162" s="111">
        <v>11875.0</v>
      </c>
      <c r="S162" s="36"/>
      <c r="T162" s="36"/>
      <c r="U162" s="36"/>
    </row>
    <row r="163">
      <c r="A163" s="21" t="s">
        <v>6641</v>
      </c>
      <c r="B163" s="297">
        <v>6133.0</v>
      </c>
      <c r="C163" s="167" t="s">
        <v>6305</v>
      </c>
      <c r="D163" s="74">
        <v>0.8</v>
      </c>
      <c r="E163" s="74">
        <v>0.8</v>
      </c>
      <c r="F163" s="229" t="s">
        <v>1656</v>
      </c>
      <c r="Q163" s="302" t="s">
        <v>6641</v>
      </c>
      <c r="R163" s="111">
        <v>6133.0</v>
      </c>
      <c r="S163" s="36"/>
      <c r="T163" s="36"/>
      <c r="U163" s="36"/>
    </row>
    <row r="164">
      <c r="A164" s="21" t="s">
        <v>6642</v>
      </c>
      <c r="B164" s="297">
        <v>14580.0</v>
      </c>
      <c r="C164" s="167" t="s">
        <v>6305</v>
      </c>
      <c r="D164" s="74">
        <v>0.7</v>
      </c>
      <c r="E164" s="74">
        <v>0.7</v>
      </c>
      <c r="F164" s="229" t="s">
        <v>1656</v>
      </c>
      <c r="Q164" s="302" t="s">
        <v>6642</v>
      </c>
      <c r="R164" s="111">
        <v>6133.0</v>
      </c>
      <c r="S164" s="36"/>
      <c r="T164" s="36"/>
      <c r="U164" s="36"/>
    </row>
    <row r="165">
      <c r="A165" s="21" t="s">
        <v>6643</v>
      </c>
      <c r="B165" s="297">
        <v>14248.0</v>
      </c>
      <c r="C165" s="167" t="s">
        <v>6305</v>
      </c>
      <c r="D165" s="74">
        <v>0.7</v>
      </c>
      <c r="E165" s="74">
        <v>0.7</v>
      </c>
      <c r="F165" s="229" t="s">
        <v>1656</v>
      </c>
      <c r="Q165" s="21" t="s">
        <v>6643</v>
      </c>
      <c r="R165" s="9">
        <v>14248.0</v>
      </c>
    </row>
    <row r="166">
      <c r="A166" s="21" t="s">
        <v>6644</v>
      </c>
      <c r="B166" s="297">
        <v>11049.0</v>
      </c>
      <c r="C166" s="167" t="s">
        <v>6305</v>
      </c>
      <c r="D166" s="74">
        <v>0.8</v>
      </c>
      <c r="E166" s="74">
        <v>0.8</v>
      </c>
      <c r="F166" s="229" t="s">
        <v>1656</v>
      </c>
      <c r="Q166" s="302" t="s">
        <v>6644</v>
      </c>
      <c r="R166" s="303"/>
      <c r="S166" s="36"/>
      <c r="T166" s="36"/>
      <c r="U166" s="36"/>
    </row>
    <row r="167">
      <c r="A167" s="21" t="s">
        <v>6645</v>
      </c>
      <c r="B167" s="297">
        <v>6706.0</v>
      </c>
      <c r="C167" s="167" t="s">
        <v>6305</v>
      </c>
      <c r="D167" s="74">
        <v>0.8</v>
      </c>
      <c r="E167" s="74">
        <v>0.8</v>
      </c>
      <c r="F167" s="229" t="s">
        <v>1656</v>
      </c>
      <c r="Q167" s="302" t="s">
        <v>6645</v>
      </c>
      <c r="R167" s="303"/>
      <c r="S167" s="36"/>
      <c r="T167" s="36"/>
      <c r="U167" s="36"/>
    </row>
    <row r="168">
      <c r="A168" s="21" t="s">
        <v>6646</v>
      </c>
      <c r="B168" s="297">
        <v>6133.0</v>
      </c>
      <c r="C168" s="167" t="s">
        <v>6305</v>
      </c>
      <c r="D168" s="74">
        <v>0.8</v>
      </c>
      <c r="E168" s="74">
        <v>0.8</v>
      </c>
      <c r="F168" s="229" t="s">
        <v>1656</v>
      </c>
      <c r="Q168" s="302" t="s">
        <v>6646</v>
      </c>
      <c r="R168" s="111">
        <v>6133.0</v>
      </c>
      <c r="S168" s="36"/>
      <c r="T168" s="36"/>
      <c r="U168" s="36"/>
    </row>
    <row r="169">
      <c r="A169" s="21" t="s">
        <v>6647</v>
      </c>
      <c r="B169" s="297">
        <v>14004.0</v>
      </c>
      <c r="C169" s="167" t="s">
        <v>6305</v>
      </c>
      <c r="D169" s="74">
        <v>0.7</v>
      </c>
      <c r="E169" s="74">
        <v>0.7</v>
      </c>
      <c r="F169" s="229" t="s">
        <v>1656</v>
      </c>
      <c r="Q169" s="21" t="s">
        <v>6647</v>
      </c>
      <c r="R169" s="9">
        <v>14004.0</v>
      </c>
    </row>
    <row r="170">
      <c r="A170" s="21" t="s">
        <v>6648</v>
      </c>
      <c r="B170" s="297">
        <v>6722.0</v>
      </c>
      <c r="C170" s="167" t="s">
        <v>6305</v>
      </c>
      <c r="D170" s="74">
        <v>0.7</v>
      </c>
      <c r="E170" s="74">
        <v>0.7</v>
      </c>
      <c r="F170" s="229" t="s">
        <v>1656</v>
      </c>
      <c r="Q170" s="302" t="s">
        <v>6648</v>
      </c>
      <c r="R170" s="303"/>
      <c r="S170" s="36"/>
      <c r="T170" s="36"/>
      <c r="U170" s="36"/>
    </row>
    <row r="171">
      <c r="A171" s="21" t="s">
        <v>6649</v>
      </c>
      <c r="B171" s="297">
        <v>14030.0</v>
      </c>
      <c r="C171" s="167" t="s">
        <v>6305</v>
      </c>
      <c r="D171" s="74">
        <v>0.7</v>
      </c>
      <c r="E171" s="74">
        <v>0.7</v>
      </c>
      <c r="F171" s="229" t="s">
        <v>1656</v>
      </c>
      <c r="Q171" s="21" t="s">
        <v>6649</v>
      </c>
      <c r="R171" s="9">
        <v>14030.0</v>
      </c>
    </row>
    <row r="172">
      <c r="A172" s="21" t="s">
        <v>6650</v>
      </c>
      <c r="B172" s="297">
        <v>14603.0</v>
      </c>
      <c r="C172" s="167" t="s">
        <v>6305</v>
      </c>
      <c r="D172" s="74">
        <v>0.7</v>
      </c>
      <c r="E172" s="74">
        <v>0.7</v>
      </c>
      <c r="F172" s="229" t="s">
        <v>1656</v>
      </c>
      <c r="Q172" s="302" t="s">
        <v>6650</v>
      </c>
      <c r="R172" s="303"/>
      <c r="S172" s="36"/>
      <c r="T172" s="36"/>
      <c r="U172" s="36"/>
    </row>
    <row r="173">
      <c r="A173" s="21" t="s">
        <v>6651</v>
      </c>
      <c r="B173" s="304">
        <v>14292.0</v>
      </c>
      <c r="C173" s="167" t="s">
        <v>6305</v>
      </c>
      <c r="D173" s="74">
        <v>0.7</v>
      </c>
      <c r="E173" s="74">
        <v>0.7</v>
      </c>
      <c r="F173" s="229" t="s">
        <v>1656</v>
      </c>
      <c r="Q173" s="302" t="s">
        <v>6651</v>
      </c>
      <c r="R173" s="109">
        <v>14292.0</v>
      </c>
      <c r="S173" s="36"/>
      <c r="T173" s="36"/>
      <c r="U173" s="36"/>
    </row>
    <row r="174">
      <c r="A174" s="21" t="s">
        <v>6652</v>
      </c>
      <c r="B174" s="297">
        <v>14580.0</v>
      </c>
      <c r="C174" s="167" t="s">
        <v>6305</v>
      </c>
      <c r="D174" s="74">
        <v>0.7</v>
      </c>
      <c r="E174" s="74">
        <v>0.7</v>
      </c>
      <c r="F174" s="229" t="s">
        <v>1656</v>
      </c>
      <c r="Q174" s="302" t="s">
        <v>6652</v>
      </c>
      <c r="R174" s="111">
        <v>14420.0</v>
      </c>
      <c r="S174" s="36"/>
      <c r="T174" s="36"/>
      <c r="U174" s="36"/>
    </row>
    <row r="175">
      <c r="A175" s="21" t="s">
        <v>6653</v>
      </c>
      <c r="B175" s="297">
        <v>14292.0</v>
      </c>
      <c r="C175" s="167" t="s">
        <v>6305</v>
      </c>
      <c r="D175" s="74">
        <v>0.7</v>
      </c>
      <c r="E175" s="74">
        <v>0.7</v>
      </c>
      <c r="F175" s="229" t="s">
        <v>1656</v>
      </c>
      <c r="Q175" s="21" t="s">
        <v>6653</v>
      </c>
      <c r="R175" s="9">
        <v>14292.0</v>
      </c>
    </row>
    <row r="176">
      <c r="A176" s="21" t="s">
        <v>6654</v>
      </c>
      <c r="B176" s="297">
        <v>909.0</v>
      </c>
      <c r="C176" s="167" t="s">
        <v>6305</v>
      </c>
      <c r="D176" s="74">
        <v>0.7</v>
      </c>
      <c r="E176" s="74">
        <v>0.7</v>
      </c>
      <c r="F176" s="229" t="s">
        <v>1656</v>
      </c>
      <c r="Q176" s="21" t="s">
        <v>6654</v>
      </c>
      <c r="R176" s="9">
        <v>909.0</v>
      </c>
    </row>
    <row r="177">
      <c r="A177" s="21" t="s">
        <v>6655</v>
      </c>
      <c r="B177" s="297">
        <v>14603.0</v>
      </c>
      <c r="C177" s="167" t="s">
        <v>6305</v>
      </c>
      <c r="D177" s="74">
        <v>0.7</v>
      </c>
      <c r="E177" s="74">
        <v>0.7</v>
      </c>
      <c r="F177" s="229" t="s">
        <v>1656</v>
      </c>
      <c r="Q177" s="302" t="s">
        <v>6655</v>
      </c>
      <c r="R177" s="111">
        <v>499.0</v>
      </c>
      <c r="S177" s="36"/>
      <c r="T177" s="36"/>
      <c r="U177" s="36"/>
    </row>
    <row r="178">
      <c r="A178" s="21" t="s">
        <v>6656</v>
      </c>
      <c r="B178" s="297">
        <v>14465.0</v>
      </c>
      <c r="C178" s="167" t="s">
        <v>6305</v>
      </c>
      <c r="D178" s="74">
        <v>0.9</v>
      </c>
      <c r="E178" s="74">
        <v>0.9</v>
      </c>
      <c r="F178" s="229" t="s">
        <v>1656</v>
      </c>
      <c r="Q178" s="302" t="s">
        <v>6656</v>
      </c>
      <c r="R178" s="111">
        <v>499.0</v>
      </c>
      <c r="S178" s="36"/>
      <c r="T178" s="36"/>
      <c r="U178" s="36"/>
    </row>
    <row r="179">
      <c r="A179" s="21" t="s">
        <v>6657</v>
      </c>
      <c r="B179" s="297">
        <v>7137.0</v>
      </c>
      <c r="C179" s="167" t="s">
        <v>6305</v>
      </c>
      <c r="D179" s="74">
        <v>0.7</v>
      </c>
      <c r="E179" s="74">
        <v>0.7</v>
      </c>
      <c r="F179" s="229" t="s">
        <v>1656</v>
      </c>
      <c r="Q179" s="21" t="s">
        <v>6657</v>
      </c>
      <c r="R179" s="9">
        <v>7137.0</v>
      </c>
    </row>
    <row r="180">
      <c r="A180" s="21" t="s">
        <v>6658</v>
      </c>
      <c r="B180" s="297">
        <v>6706.0</v>
      </c>
      <c r="C180" s="167" t="s">
        <v>6305</v>
      </c>
      <c r="D180" s="74">
        <v>0.8</v>
      </c>
      <c r="E180" s="74">
        <v>0.8</v>
      </c>
      <c r="F180" s="229" t="s">
        <v>1656</v>
      </c>
      <c r="Q180" s="302" t="s">
        <v>6658</v>
      </c>
      <c r="R180" s="111">
        <v>11049.0</v>
      </c>
      <c r="S180" s="36"/>
      <c r="T180" s="36"/>
      <c r="U180" s="36"/>
    </row>
    <row r="181">
      <c r="A181" s="21" t="s">
        <v>6659</v>
      </c>
      <c r="B181" s="297">
        <v>6706.0</v>
      </c>
      <c r="C181" s="167" t="s">
        <v>6305</v>
      </c>
      <c r="D181" s="74">
        <v>0.8</v>
      </c>
      <c r="E181" s="74">
        <v>0.8</v>
      </c>
      <c r="F181" s="229" t="s">
        <v>1656</v>
      </c>
      <c r="Q181" s="302" t="s">
        <v>6659</v>
      </c>
      <c r="R181" s="111">
        <v>11049.0</v>
      </c>
      <c r="S181" s="36"/>
      <c r="T181" s="36"/>
      <c r="U181" s="36"/>
    </row>
    <row r="182">
      <c r="A182" s="21" t="s">
        <v>6660</v>
      </c>
      <c r="B182" s="297">
        <v>6706.0</v>
      </c>
      <c r="C182" s="167" t="s">
        <v>6305</v>
      </c>
      <c r="D182" s="74">
        <v>0.8</v>
      </c>
      <c r="E182" s="74">
        <v>0.8</v>
      </c>
      <c r="F182" s="229" t="s">
        <v>1656</v>
      </c>
      <c r="Q182" s="302" t="s">
        <v>6660</v>
      </c>
      <c r="R182" s="111">
        <v>11049.0</v>
      </c>
      <c r="S182" s="36"/>
      <c r="T182" s="36"/>
      <c r="U182" s="36"/>
    </row>
    <row r="183">
      <c r="A183" s="21" t="s">
        <v>6661</v>
      </c>
      <c r="B183" s="297">
        <v>6706.0</v>
      </c>
      <c r="C183" s="167" t="s">
        <v>6305</v>
      </c>
      <c r="D183" s="74">
        <v>0.8</v>
      </c>
      <c r="E183" s="74">
        <v>0.8</v>
      </c>
      <c r="F183" s="229" t="s">
        <v>1656</v>
      </c>
      <c r="Q183" s="302" t="s">
        <v>6661</v>
      </c>
      <c r="R183" s="111">
        <v>11049.0</v>
      </c>
      <c r="S183" s="36"/>
      <c r="T183" s="36"/>
      <c r="U183" s="36"/>
    </row>
    <row r="184">
      <c r="A184" s="21" t="s">
        <v>6662</v>
      </c>
      <c r="B184" s="297">
        <v>7003.0</v>
      </c>
      <c r="C184" s="167" t="s">
        <v>6305</v>
      </c>
      <c r="D184" s="74">
        <v>0.7</v>
      </c>
      <c r="E184" s="74">
        <v>0.7</v>
      </c>
      <c r="F184" s="229" t="s">
        <v>1656</v>
      </c>
      <c r="Q184" s="21" t="s">
        <v>6662</v>
      </c>
      <c r="R184" s="9">
        <v>7003.0</v>
      </c>
    </row>
    <row r="185">
      <c r="A185" s="21" t="s">
        <v>6663</v>
      </c>
      <c r="B185" s="11">
        <v>14480.0</v>
      </c>
      <c r="C185" s="167" t="s">
        <v>6305</v>
      </c>
      <c r="D185" s="74">
        <v>0.7</v>
      </c>
      <c r="E185" s="74">
        <v>0.7</v>
      </c>
      <c r="F185" s="229" t="s">
        <v>1656</v>
      </c>
      <c r="Q185" s="302" t="s">
        <v>6663</v>
      </c>
      <c r="R185" s="111">
        <v>7142.0</v>
      </c>
      <c r="S185" s="36"/>
      <c r="T185" s="36"/>
      <c r="U185" s="36"/>
    </row>
    <row r="186">
      <c r="A186" s="7" t="s">
        <v>6664</v>
      </c>
      <c r="B186" s="66">
        <v>9030.0</v>
      </c>
      <c r="C186" s="167" t="s">
        <v>6305</v>
      </c>
      <c r="D186" s="74">
        <v>0.7</v>
      </c>
      <c r="E186" s="74">
        <v>0.7</v>
      </c>
      <c r="F186" s="229" t="s">
        <v>1656</v>
      </c>
      <c r="H186" s="289"/>
      <c r="I186" s="289"/>
      <c r="J186" s="289" t="s">
        <v>207</v>
      </c>
      <c r="R186" s="10"/>
    </row>
    <row r="187">
      <c r="A187" s="7" t="s">
        <v>6665</v>
      </c>
      <c r="B187" s="66">
        <v>8623.0</v>
      </c>
      <c r="C187" s="167" t="s">
        <v>6305</v>
      </c>
      <c r="D187" s="74">
        <v>0.8</v>
      </c>
      <c r="E187" s="74">
        <v>0.8</v>
      </c>
      <c r="F187" s="229" t="s">
        <v>1656</v>
      </c>
      <c r="H187" s="289"/>
      <c r="I187" s="289"/>
      <c r="J187" s="289" t="s">
        <v>207</v>
      </c>
      <c r="R187" s="10"/>
    </row>
    <row r="188">
      <c r="A188" s="7" t="s">
        <v>6666</v>
      </c>
      <c r="B188" s="199">
        <v>9716.0</v>
      </c>
      <c r="C188" s="167" t="s">
        <v>6305</v>
      </c>
      <c r="D188" s="74">
        <v>0.7</v>
      </c>
      <c r="E188" s="74">
        <v>0.7</v>
      </c>
      <c r="F188" s="229" t="s">
        <v>1656</v>
      </c>
      <c r="H188" s="289"/>
      <c r="I188" s="289"/>
      <c r="J188" s="289" t="s">
        <v>207</v>
      </c>
      <c r="R188" s="10"/>
    </row>
    <row r="189">
      <c r="A189" s="7" t="s">
        <v>6667</v>
      </c>
      <c r="B189" s="199">
        <v>9768.0</v>
      </c>
      <c r="C189" s="167" t="s">
        <v>6305</v>
      </c>
      <c r="D189" s="74">
        <v>0.7</v>
      </c>
      <c r="E189" s="74">
        <v>0.7</v>
      </c>
      <c r="F189" s="229" t="s">
        <v>1656</v>
      </c>
      <c r="H189" s="289"/>
      <c r="I189" s="289"/>
      <c r="J189" s="289" t="s">
        <v>207</v>
      </c>
      <c r="R189" s="10"/>
    </row>
    <row r="190">
      <c r="A190" s="7" t="s">
        <v>6668</v>
      </c>
      <c r="B190" s="305">
        <v>12277.0</v>
      </c>
      <c r="C190" s="167" t="s">
        <v>6305</v>
      </c>
      <c r="D190" s="74">
        <v>0.7</v>
      </c>
      <c r="E190" s="74">
        <v>0.7</v>
      </c>
      <c r="F190" s="229" t="s">
        <v>1656</v>
      </c>
      <c r="H190" s="289"/>
      <c r="I190" s="289"/>
      <c r="J190" s="289" t="s">
        <v>207</v>
      </c>
      <c r="R190" s="10"/>
    </row>
    <row r="191">
      <c r="A191" s="7" t="s">
        <v>6669</v>
      </c>
      <c r="B191" s="66">
        <v>12575.0</v>
      </c>
      <c r="C191" s="167" t="s">
        <v>6305</v>
      </c>
      <c r="D191" s="74">
        <v>0.7</v>
      </c>
      <c r="E191" s="74">
        <v>0.7</v>
      </c>
      <c r="F191" s="229" t="s">
        <v>1656</v>
      </c>
      <c r="H191" s="289"/>
      <c r="I191" s="289"/>
      <c r="J191" s="289" t="s">
        <v>207</v>
      </c>
      <c r="R191" s="10"/>
    </row>
    <row r="192">
      <c r="A192" s="197" t="s">
        <v>6670</v>
      </c>
      <c r="B192" s="66">
        <v>10861.0</v>
      </c>
      <c r="C192" s="167" t="s">
        <v>6305</v>
      </c>
      <c r="D192" s="74">
        <v>0.7</v>
      </c>
      <c r="E192" s="74">
        <v>0.7</v>
      </c>
      <c r="F192" s="229" t="s">
        <v>1656</v>
      </c>
      <c r="H192" s="289"/>
      <c r="I192" s="289"/>
      <c r="J192" s="289" t="s">
        <v>207</v>
      </c>
      <c r="R192" s="10"/>
    </row>
    <row r="193">
      <c r="A193" s="197" t="s">
        <v>6671</v>
      </c>
      <c r="B193" s="216">
        <v>8486.0</v>
      </c>
      <c r="C193" s="167" t="s">
        <v>6305</v>
      </c>
      <c r="D193" s="74">
        <v>0.83</v>
      </c>
      <c r="E193" s="74">
        <v>0.83</v>
      </c>
      <c r="F193" s="229" t="s">
        <v>1656</v>
      </c>
      <c r="H193" s="289"/>
      <c r="I193" s="289"/>
      <c r="J193" s="289" t="s">
        <v>207</v>
      </c>
      <c r="R193" s="10"/>
    </row>
    <row r="194">
      <c r="A194" s="197" t="s">
        <v>6672</v>
      </c>
      <c r="B194" s="199">
        <v>13895.0</v>
      </c>
      <c r="C194" s="167" t="s">
        <v>6305</v>
      </c>
      <c r="D194" s="74">
        <v>0.7</v>
      </c>
      <c r="E194" s="74">
        <v>0.7</v>
      </c>
      <c r="F194" s="229" t="s">
        <v>1656</v>
      </c>
      <c r="H194" s="289"/>
      <c r="I194" s="289"/>
      <c r="J194" s="289" t="s">
        <v>207</v>
      </c>
      <c r="R194" s="10"/>
    </row>
    <row r="195">
      <c r="A195" s="197" t="s">
        <v>6673</v>
      </c>
      <c r="B195" s="199">
        <v>14071.0</v>
      </c>
      <c r="C195" s="167" t="s">
        <v>6305</v>
      </c>
      <c r="D195" s="74">
        <v>0.7</v>
      </c>
      <c r="E195" s="74">
        <v>0.7</v>
      </c>
      <c r="F195" s="229" t="s">
        <v>1656</v>
      </c>
      <c r="H195" s="289"/>
      <c r="I195" s="289"/>
      <c r="J195" s="289" t="s">
        <v>207</v>
      </c>
      <c r="R195" s="10"/>
    </row>
    <row r="196">
      <c r="A196" s="197" t="s">
        <v>6674</v>
      </c>
      <c r="B196" s="11">
        <v>14540.0</v>
      </c>
      <c r="C196" s="167" t="s">
        <v>6305</v>
      </c>
      <c r="D196" s="74">
        <v>0.7</v>
      </c>
      <c r="E196" s="74">
        <v>0.7</v>
      </c>
      <c r="F196" s="229" t="s">
        <v>1656</v>
      </c>
      <c r="H196" s="289"/>
      <c r="I196" s="289"/>
      <c r="J196" s="289" t="s">
        <v>207</v>
      </c>
      <c r="R196" s="10"/>
    </row>
    <row r="197">
      <c r="A197" s="197" t="s">
        <v>6675</v>
      </c>
      <c r="B197" s="306">
        <v>14253.0</v>
      </c>
      <c r="C197" s="167" t="s">
        <v>6305</v>
      </c>
      <c r="D197" s="74">
        <v>0.7</v>
      </c>
      <c r="E197" s="74">
        <v>0.7</v>
      </c>
      <c r="F197" s="229" t="s">
        <v>1656</v>
      </c>
      <c r="H197" s="289"/>
      <c r="I197" s="289"/>
      <c r="J197" s="289" t="s">
        <v>207</v>
      </c>
      <c r="R197" s="10"/>
    </row>
    <row r="198">
      <c r="A198" s="197" t="s">
        <v>6676</v>
      </c>
      <c r="B198" s="195">
        <v>14603.0</v>
      </c>
      <c r="C198" s="167" t="s">
        <v>6305</v>
      </c>
      <c r="D198" s="74">
        <v>0.7</v>
      </c>
      <c r="E198" s="74">
        <v>0.7</v>
      </c>
      <c r="F198" s="229" t="s">
        <v>1656</v>
      </c>
      <c r="H198" s="289"/>
      <c r="I198" s="289"/>
      <c r="J198" s="289" t="s">
        <v>207</v>
      </c>
      <c r="R198" s="10"/>
    </row>
    <row r="199">
      <c r="A199" s="197" t="s">
        <v>6677</v>
      </c>
      <c r="B199" s="195">
        <v>14603.0</v>
      </c>
      <c r="C199" s="167" t="s">
        <v>6305</v>
      </c>
      <c r="D199" s="74">
        <v>0.7</v>
      </c>
      <c r="E199" s="74">
        <v>0.7</v>
      </c>
      <c r="F199" s="229" t="s">
        <v>1656</v>
      </c>
      <c r="H199" s="289"/>
      <c r="I199" s="289"/>
      <c r="J199" s="289" t="s">
        <v>207</v>
      </c>
      <c r="R199" s="10"/>
    </row>
    <row r="200">
      <c r="A200" s="197" t="s">
        <v>6678</v>
      </c>
      <c r="B200" s="195">
        <v>14603.0</v>
      </c>
      <c r="C200" s="167" t="s">
        <v>6305</v>
      </c>
      <c r="D200" s="74">
        <v>0.7</v>
      </c>
      <c r="E200" s="74">
        <v>0.7</v>
      </c>
      <c r="F200" s="229" t="s">
        <v>1656</v>
      </c>
      <c r="H200" s="289"/>
      <c r="I200" s="289"/>
      <c r="J200" s="289" t="s">
        <v>207</v>
      </c>
      <c r="R200" s="10"/>
    </row>
    <row r="201">
      <c r="A201" s="197" t="s">
        <v>6679</v>
      </c>
      <c r="B201" s="3">
        <v>9030.0</v>
      </c>
      <c r="C201" s="167" t="s">
        <v>6305</v>
      </c>
      <c r="D201" s="74">
        <v>0.7</v>
      </c>
      <c r="E201" s="74">
        <v>0.7</v>
      </c>
      <c r="F201" s="229" t="s">
        <v>1656</v>
      </c>
      <c r="H201" s="289"/>
      <c r="I201" s="289"/>
      <c r="J201" s="289" t="s">
        <v>207</v>
      </c>
      <c r="R201" s="10"/>
    </row>
    <row r="202">
      <c r="A202" s="197" t="s">
        <v>6680</v>
      </c>
      <c r="B202" s="3">
        <v>9030.0</v>
      </c>
      <c r="C202" s="167" t="s">
        <v>6305</v>
      </c>
      <c r="D202" s="74">
        <v>0.7</v>
      </c>
      <c r="E202" s="74">
        <v>0.7</v>
      </c>
      <c r="F202" s="229" t="s">
        <v>1656</v>
      </c>
      <c r="H202" s="289"/>
      <c r="I202" s="289"/>
      <c r="J202" s="289" t="s">
        <v>207</v>
      </c>
      <c r="R202" s="10"/>
    </row>
    <row r="203">
      <c r="A203" s="289" t="s">
        <v>6681</v>
      </c>
      <c r="B203" s="297">
        <v>14659.0</v>
      </c>
      <c r="C203" s="167" t="s">
        <v>6305</v>
      </c>
      <c r="D203" s="74">
        <v>0.7</v>
      </c>
      <c r="E203" s="74">
        <v>0.7</v>
      </c>
      <c r="F203" s="229" t="s">
        <v>1656</v>
      </c>
      <c r="R203" s="10"/>
    </row>
    <row r="204">
      <c r="A204" s="289" t="s">
        <v>4660</v>
      </c>
      <c r="B204" s="16">
        <v>14732.0</v>
      </c>
      <c r="C204" s="167" t="s">
        <v>6305</v>
      </c>
      <c r="D204" s="74">
        <v>0.7</v>
      </c>
      <c r="E204" s="74">
        <v>0.7</v>
      </c>
      <c r="F204" s="229" t="s">
        <v>1656</v>
      </c>
      <c r="R204" s="10"/>
    </row>
    <row r="205">
      <c r="A205" s="289" t="s">
        <v>6682</v>
      </c>
      <c r="B205" s="297">
        <v>14646.0</v>
      </c>
      <c r="C205" s="167" t="s">
        <v>6305</v>
      </c>
      <c r="D205" s="74">
        <v>0.7</v>
      </c>
      <c r="E205" s="74">
        <v>0.7</v>
      </c>
      <c r="F205" s="229" t="s">
        <v>1656</v>
      </c>
      <c r="R205" s="10"/>
    </row>
    <row r="206">
      <c r="A206" s="289" t="s">
        <v>6683</v>
      </c>
      <c r="B206" s="297">
        <v>7142.0</v>
      </c>
      <c r="C206" s="167" t="s">
        <v>6305</v>
      </c>
      <c r="D206" s="74">
        <v>0.7</v>
      </c>
      <c r="E206" s="74">
        <v>0.7</v>
      </c>
      <c r="F206" s="229" t="s">
        <v>1656</v>
      </c>
      <c r="R206" s="10"/>
    </row>
    <row r="207">
      <c r="A207" s="289" t="s">
        <v>6684</v>
      </c>
      <c r="B207" s="297">
        <v>14590.0</v>
      </c>
      <c r="C207" s="167" t="s">
        <v>6305</v>
      </c>
      <c r="D207" s="74">
        <v>0.7</v>
      </c>
      <c r="E207" s="74">
        <v>0.7</v>
      </c>
      <c r="F207" s="229" t="s">
        <v>1656</v>
      </c>
      <c r="R207" s="10"/>
    </row>
    <row r="208">
      <c r="A208" s="289" t="s">
        <v>6685</v>
      </c>
      <c r="B208" s="297">
        <v>14590.0</v>
      </c>
      <c r="C208" s="167" t="s">
        <v>6305</v>
      </c>
      <c r="D208" s="74">
        <v>0.7</v>
      </c>
      <c r="E208" s="74">
        <v>0.7</v>
      </c>
      <c r="F208" s="229" t="s">
        <v>1656</v>
      </c>
      <c r="R208" s="10"/>
    </row>
    <row r="209">
      <c r="A209" s="289" t="s">
        <v>6686</v>
      </c>
      <c r="B209" s="307"/>
      <c r="C209" s="167" t="s">
        <v>6305</v>
      </c>
      <c r="D209" s="74">
        <v>0.7</v>
      </c>
      <c r="E209" s="74">
        <v>0.7</v>
      </c>
      <c r="F209" s="229" t="s">
        <v>1656</v>
      </c>
      <c r="R209" s="10"/>
    </row>
    <row r="210">
      <c r="A210" s="289" t="s">
        <v>6687</v>
      </c>
      <c r="B210" s="307"/>
      <c r="C210" s="167" t="s">
        <v>6305</v>
      </c>
      <c r="D210" s="74">
        <v>0.7</v>
      </c>
      <c r="E210" s="74">
        <v>0.7</v>
      </c>
      <c r="F210" s="229" t="s">
        <v>1656</v>
      </c>
      <c r="R210" s="10"/>
    </row>
    <row r="211">
      <c r="A211" s="289" t="s">
        <v>6688</v>
      </c>
      <c r="B211" s="297">
        <v>499.0</v>
      </c>
      <c r="C211" s="167" t="s">
        <v>6305</v>
      </c>
      <c r="D211" s="74">
        <v>0.7</v>
      </c>
      <c r="E211" s="74">
        <v>0.7</v>
      </c>
      <c r="F211" s="229" t="s">
        <v>1656</v>
      </c>
      <c r="R211" s="10"/>
    </row>
    <row r="212">
      <c r="A212" s="289" t="s">
        <v>6689</v>
      </c>
      <c r="B212" s="307"/>
      <c r="C212" s="167" t="s">
        <v>6305</v>
      </c>
      <c r="D212" s="74">
        <v>0.7</v>
      </c>
      <c r="E212" s="74">
        <v>0.7</v>
      </c>
      <c r="F212" s="229" t="s">
        <v>1656</v>
      </c>
      <c r="R212" s="10"/>
    </row>
    <row r="213">
      <c r="A213" s="289" t="s">
        <v>6690</v>
      </c>
      <c r="B213" s="307"/>
      <c r="C213" s="167" t="s">
        <v>6305</v>
      </c>
      <c r="D213" s="74">
        <v>0.7</v>
      </c>
      <c r="E213" s="74">
        <v>0.7</v>
      </c>
      <c r="F213" s="229" t="s">
        <v>1656</v>
      </c>
      <c r="R213" s="10"/>
    </row>
    <row r="214">
      <c r="A214" s="289" t="s">
        <v>6691</v>
      </c>
      <c r="B214" s="307"/>
      <c r="C214" s="167" t="s">
        <v>6305</v>
      </c>
      <c r="D214" s="74">
        <v>0.7</v>
      </c>
      <c r="E214" s="74">
        <v>0.7</v>
      </c>
      <c r="F214" s="229" t="s">
        <v>1656</v>
      </c>
      <c r="R214" s="10"/>
    </row>
    <row r="215">
      <c r="A215" s="289" t="s">
        <v>6692</v>
      </c>
      <c r="B215" s="297"/>
      <c r="C215" s="167" t="s">
        <v>6305</v>
      </c>
      <c r="D215" s="74">
        <v>0.7</v>
      </c>
      <c r="E215" s="74">
        <v>0.7</v>
      </c>
      <c r="F215" s="229" t="s">
        <v>1656</v>
      </c>
      <c r="R215" s="10"/>
    </row>
    <row r="216">
      <c r="A216" s="289" t="s">
        <v>6693</v>
      </c>
      <c r="B216" s="297">
        <v>14575.0</v>
      </c>
      <c r="C216" s="167" t="s">
        <v>6305</v>
      </c>
      <c r="D216" s="74">
        <v>0.85</v>
      </c>
      <c r="E216" s="74">
        <v>0.85</v>
      </c>
      <c r="F216" s="229" t="s">
        <v>1656</v>
      </c>
      <c r="R216" s="10"/>
    </row>
    <row r="217">
      <c r="A217" s="289" t="s">
        <v>4663</v>
      </c>
      <c r="B217" s="307"/>
      <c r="C217" s="167" t="s">
        <v>6305</v>
      </c>
      <c r="D217" s="74">
        <v>0.7</v>
      </c>
      <c r="E217" s="74">
        <v>0.7</v>
      </c>
      <c r="F217" s="229" t="s">
        <v>1656</v>
      </c>
      <c r="R217" s="10"/>
    </row>
    <row r="218">
      <c r="A218" s="289" t="s">
        <v>6694</v>
      </c>
      <c r="B218" s="307"/>
      <c r="C218" s="167" t="s">
        <v>6305</v>
      </c>
      <c r="D218" s="74">
        <v>0.7</v>
      </c>
      <c r="E218" s="74">
        <v>0.7</v>
      </c>
      <c r="F218" s="229" t="s">
        <v>1656</v>
      </c>
      <c r="R218" s="10"/>
    </row>
    <row r="219">
      <c r="A219" s="289" t="s">
        <v>6695</v>
      </c>
      <c r="B219" s="307"/>
      <c r="C219" s="167" t="s">
        <v>6305</v>
      </c>
      <c r="D219" s="74">
        <v>0.7</v>
      </c>
      <c r="E219" s="74">
        <v>0.7</v>
      </c>
      <c r="F219" s="229" t="s">
        <v>1656</v>
      </c>
      <c r="R219" s="10"/>
    </row>
    <row r="220">
      <c r="A220" s="289" t="s">
        <v>6696</v>
      </c>
      <c r="B220" s="307"/>
      <c r="C220" s="167" t="s">
        <v>6305</v>
      </c>
      <c r="D220" s="74">
        <v>0.7</v>
      </c>
      <c r="E220" s="74">
        <v>0.7</v>
      </c>
      <c r="F220" s="229" t="s">
        <v>1656</v>
      </c>
      <c r="R220" s="10"/>
    </row>
    <row r="221">
      <c r="A221" s="289" t="s">
        <v>6697</v>
      </c>
      <c r="B221" s="307"/>
      <c r="C221" s="167" t="s">
        <v>6305</v>
      </c>
      <c r="D221" s="74">
        <v>0.7</v>
      </c>
      <c r="E221" s="74">
        <v>0.7</v>
      </c>
      <c r="F221" s="229" t="s">
        <v>1656</v>
      </c>
      <c r="R221" s="10"/>
    </row>
    <row r="222">
      <c r="A222" s="289" t="s">
        <v>6698</v>
      </c>
      <c r="B222" s="307"/>
      <c r="C222" s="167" t="s">
        <v>6305</v>
      </c>
      <c r="D222" s="74">
        <v>0.7</v>
      </c>
      <c r="E222" s="74">
        <v>0.7</v>
      </c>
      <c r="F222" s="229" t="s">
        <v>1656</v>
      </c>
      <c r="R222" s="10"/>
    </row>
    <row r="223">
      <c r="A223" s="289" t="s">
        <v>6699</v>
      </c>
      <c r="B223" s="297">
        <v>14727.0</v>
      </c>
      <c r="C223" s="167" t="s">
        <v>6305</v>
      </c>
      <c r="D223" s="74">
        <v>0.7</v>
      </c>
      <c r="E223" s="74">
        <v>0.7</v>
      </c>
      <c r="F223" s="229" t="s">
        <v>1656</v>
      </c>
      <c r="R223" s="10"/>
    </row>
    <row r="224">
      <c r="A224" s="289" t="s">
        <v>6700</v>
      </c>
      <c r="B224" s="307"/>
      <c r="C224" s="167" t="s">
        <v>6305</v>
      </c>
      <c r="D224" s="74">
        <v>0.7</v>
      </c>
      <c r="E224" s="74">
        <v>0.7</v>
      </c>
      <c r="F224" s="229" t="s">
        <v>1656</v>
      </c>
      <c r="R224" s="10"/>
    </row>
    <row r="225">
      <c r="A225" s="289" t="s">
        <v>6701</v>
      </c>
      <c r="B225" s="297">
        <v>14638.0</v>
      </c>
      <c r="C225" s="167" t="s">
        <v>6305</v>
      </c>
      <c r="D225" s="74">
        <v>0.7</v>
      </c>
      <c r="E225" s="74">
        <v>0.7</v>
      </c>
      <c r="F225" s="229" t="s">
        <v>1656</v>
      </c>
      <c r="R225" s="10"/>
    </row>
    <row r="226">
      <c r="A226" s="289" t="s">
        <v>4662</v>
      </c>
      <c r="B226" s="297">
        <v>14536.0</v>
      </c>
      <c r="C226" s="167" t="s">
        <v>6305</v>
      </c>
      <c r="D226" s="74">
        <v>0.7</v>
      </c>
      <c r="E226" s="74">
        <v>0.7</v>
      </c>
      <c r="F226" s="229" t="s">
        <v>1656</v>
      </c>
      <c r="R226" s="10"/>
    </row>
    <row r="227">
      <c r="A227" s="289" t="s">
        <v>6702</v>
      </c>
      <c r="B227" s="297">
        <v>6675.0</v>
      </c>
      <c r="C227" s="167" t="s">
        <v>6305</v>
      </c>
      <c r="D227" s="74">
        <v>0.7</v>
      </c>
      <c r="E227" s="74">
        <v>0.7</v>
      </c>
      <c r="F227" s="229" t="s">
        <v>1656</v>
      </c>
      <c r="R227" s="10"/>
    </row>
    <row r="228">
      <c r="A228" s="289" t="s">
        <v>6703</v>
      </c>
      <c r="B228" s="307"/>
      <c r="C228" s="167" t="s">
        <v>6305</v>
      </c>
      <c r="D228" s="74">
        <v>0.7</v>
      </c>
      <c r="E228" s="74">
        <v>0.7</v>
      </c>
      <c r="F228" s="229" t="s">
        <v>1656</v>
      </c>
      <c r="R228" s="10"/>
    </row>
    <row r="229">
      <c r="A229" s="289" t="s">
        <v>6704</v>
      </c>
      <c r="B229" s="307"/>
      <c r="C229" s="167" t="s">
        <v>6305</v>
      </c>
      <c r="D229" s="74">
        <v>0.7</v>
      </c>
      <c r="E229" s="74">
        <v>0.7</v>
      </c>
      <c r="F229" s="229" t="s">
        <v>1656</v>
      </c>
      <c r="R229" s="10"/>
    </row>
    <row r="230">
      <c r="A230" s="289" t="s">
        <v>6705</v>
      </c>
      <c r="B230" s="297">
        <v>6675.0</v>
      </c>
      <c r="C230" s="167" t="s">
        <v>6305</v>
      </c>
      <c r="D230" s="74">
        <v>0.7</v>
      </c>
      <c r="E230" s="74">
        <v>0.7</v>
      </c>
      <c r="F230" s="229" t="s">
        <v>1656</v>
      </c>
      <c r="R230" s="10"/>
    </row>
    <row r="231">
      <c r="A231" s="289" t="s">
        <v>4661</v>
      </c>
      <c r="B231" s="307"/>
      <c r="C231" s="167" t="s">
        <v>6305</v>
      </c>
      <c r="D231" s="74">
        <v>0.7</v>
      </c>
      <c r="E231" s="74">
        <v>0.7</v>
      </c>
      <c r="F231" s="229" t="s">
        <v>1656</v>
      </c>
      <c r="R231" s="10"/>
    </row>
    <row r="232">
      <c r="A232" s="289" t="s">
        <v>6706</v>
      </c>
      <c r="B232" s="307"/>
      <c r="C232" s="167" t="s">
        <v>6305</v>
      </c>
      <c r="D232" s="74">
        <v>0.7</v>
      </c>
      <c r="E232" s="74">
        <v>0.7</v>
      </c>
      <c r="F232" s="229" t="s">
        <v>1656</v>
      </c>
      <c r="R232" s="10"/>
    </row>
    <row r="233">
      <c r="A233" s="289" t="s">
        <v>6707</v>
      </c>
      <c r="B233" s="307"/>
      <c r="C233" s="167" t="s">
        <v>6305</v>
      </c>
      <c r="D233" s="74">
        <v>0.7</v>
      </c>
      <c r="E233" s="74">
        <v>0.7</v>
      </c>
      <c r="F233" s="229" t="s">
        <v>1656</v>
      </c>
      <c r="R233" s="10"/>
    </row>
    <row r="234">
      <c r="A234" s="289" t="s">
        <v>6708</v>
      </c>
      <c r="B234" s="307"/>
      <c r="C234" s="167" t="s">
        <v>6305</v>
      </c>
      <c r="D234" s="74">
        <v>0.7</v>
      </c>
      <c r="E234" s="74">
        <v>0.7</v>
      </c>
      <c r="F234" s="229" t="s">
        <v>1656</v>
      </c>
      <c r="R234" s="10"/>
    </row>
    <row r="235">
      <c r="A235" s="289" t="s">
        <v>6709</v>
      </c>
      <c r="B235" s="307"/>
      <c r="C235" s="167" t="s">
        <v>6305</v>
      </c>
      <c r="D235" s="74">
        <v>0.7</v>
      </c>
      <c r="E235" s="74">
        <v>0.7</v>
      </c>
      <c r="F235" s="229" t="s">
        <v>1656</v>
      </c>
      <c r="R235" s="10"/>
    </row>
    <row r="236">
      <c r="A236" s="289" t="s">
        <v>6710</v>
      </c>
      <c r="B236" s="307"/>
      <c r="C236" s="167" t="s">
        <v>6305</v>
      </c>
      <c r="D236" s="74">
        <v>0.7</v>
      </c>
      <c r="E236" s="74">
        <v>0.7</v>
      </c>
      <c r="F236" s="229" t="s">
        <v>1656</v>
      </c>
      <c r="R236" s="10"/>
    </row>
    <row r="237">
      <c r="A237" s="289" t="s">
        <v>6711</v>
      </c>
      <c r="B237" s="307"/>
      <c r="C237" s="167" t="s">
        <v>6305</v>
      </c>
      <c r="D237" s="74">
        <v>0.7</v>
      </c>
      <c r="E237" s="74">
        <v>0.7</v>
      </c>
      <c r="F237" s="229" t="s">
        <v>1656</v>
      </c>
      <c r="R237" s="10"/>
    </row>
    <row r="238">
      <c r="A238" s="289" t="s">
        <v>6712</v>
      </c>
      <c r="B238" s="307"/>
      <c r="C238" s="167" t="s">
        <v>6305</v>
      </c>
      <c r="D238" s="74">
        <v>0.7</v>
      </c>
      <c r="E238" s="74">
        <v>0.7</v>
      </c>
      <c r="F238" s="229" t="s">
        <v>1656</v>
      </c>
      <c r="R238" s="10"/>
    </row>
    <row r="239">
      <c r="A239" s="289" t="s">
        <v>6713</v>
      </c>
      <c r="B239" s="297">
        <v>3404.0</v>
      </c>
      <c r="C239" s="167" t="s">
        <v>6305</v>
      </c>
      <c r="D239" s="74">
        <v>0.7</v>
      </c>
      <c r="E239" s="74">
        <v>0.7</v>
      </c>
      <c r="F239" s="229" t="s">
        <v>1656</v>
      </c>
      <c r="R239" s="10"/>
    </row>
    <row r="240">
      <c r="A240" s="289" t="s">
        <v>6714</v>
      </c>
      <c r="B240" s="307"/>
      <c r="C240" s="167" t="s">
        <v>6305</v>
      </c>
      <c r="D240" s="74">
        <v>0.7</v>
      </c>
      <c r="E240" s="74">
        <v>0.7</v>
      </c>
      <c r="F240" s="229" t="s">
        <v>1656</v>
      </c>
      <c r="R240" s="10"/>
    </row>
    <row r="241">
      <c r="A241" s="289" t="s">
        <v>6715</v>
      </c>
      <c r="B241" s="307"/>
      <c r="C241" s="167" t="s">
        <v>6305</v>
      </c>
      <c r="D241" s="74">
        <v>0.7</v>
      </c>
      <c r="E241" s="74">
        <v>0.7</v>
      </c>
      <c r="F241" s="229" t="s">
        <v>1656</v>
      </c>
      <c r="R241" s="10"/>
    </row>
    <row r="242">
      <c r="A242" s="289" t="s">
        <v>6716</v>
      </c>
      <c r="B242" s="307"/>
      <c r="C242" s="167" t="s">
        <v>6305</v>
      </c>
      <c r="D242" s="74">
        <v>0.7</v>
      </c>
      <c r="E242" s="74">
        <v>0.7</v>
      </c>
      <c r="F242" s="229" t="s">
        <v>1656</v>
      </c>
      <c r="R242" s="10"/>
    </row>
    <row r="243">
      <c r="A243" s="289" t="s">
        <v>6717</v>
      </c>
      <c r="B243" s="307"/>
      <c r="C243" s="167" t="s">
        <v>6305</v>
      </c>
      <c r="D243" s="74">
        <v>0.7</v>
      </c>
      <c r="E243" s="74">
        <v>0.7</v>
      </c>
      <c r="F243" s="229" t="s">
        <v>1656</v>
      </c>
      <c r="R243" s="10"/>
    </row>
    <row r="244">
      <c r="A244" s="289" t="s">
        <v>6718</v>
      </c>
      <c r="B244" s="297">
        <v>283.0</v>
      </c>
      <c r="C244" s="167" t="s">
        <v>6305</v>
      </c>
      <c r="D244" s="74">
        <v>0.7</v>
      </c>
      <c r="E244" s="74">
        <v>0.7</v>
      </c>
      <c r="F244" s="229" t="s">
        <v>1656</v>
      </c>
      <c r="R244" s="10"/>
    </row>
    <row r="245">
      <c r="A245" s="289" t="s">
        <v>6719</v>
      </c>
      <c r="B245" s="307"/>
      <c r="C245" s="167" t="s">
        <v>6305</v>
      </c>
      <c r="D245" s="74">
        <v>0.7</v>
      </c>
      <c r="E245" s="74">
        <v>0.7</v>
      </c>
      <c r="F245" s="229" t="s">
        <v>1656</v>
      </c>
      <c r="R245" s="10"/>
    </row>
    <row r="246">
      <c r="A246" s="289" t="s">
        <v>6720</v>
      </c>
      <c r="B246" s="297">
        <v>14076.0</v>
      </c>
      <c r="C246" s="167" t="s">
        <v>6305</v>
      </c>
      <c r="D246" s="74">
        <v>0.7</v>
      </c>
      <c r="E246" s="74">
        <v>0.7</v>
      </c>
      <c r="F246" s="229" t="s">
        <v>1656</v>
      </c>
      <c r="R246" s="10"/>
    </row>
    <row r="247">
      <c r="A247" s="289" t="s">
        <v>6721</v>
      </c>
      <c r="B247" s="307"/>
      <c r="C247" s="167" t="s">
        <v>6305</v>
      </c>
      <c r="D247" s="74">
        <v>0.7</v>
      </c>
      <c r="E247" s="74">
        <v>0.7</v>
      </c>
      <c r="F247" s="229" t="s">
        <v>1656</v>
      </c>
      <c r="R247" s="10"/>
    </row>
    <row r="248">
      <c r="A248" s="289" t="s">
        <v>6722</v>
      </c>
      <c r="B248" s="307"/>
      <c r="C248" s="167" t="s">
        <v>6305</v>
      </c>
      <c r="D248" s="74">
        <v>0.7</v>
      </c>
      <c r="E248" s="74">
        <v>0.7</v>
      </c>
      <c r="F248" s="229" t="s">
        <v>1656</v>
      </c>
      <c r="R248" s="10"/>
    </row>
    <row r="249">
      <c r="A249" s="289" t="s">
        <v>4664</v>
      </c>
      <c r="B249" s="307"/>
      <c r="C249" s="167" t="s">
        <v>6305</v>
      </c>
      <c r="D249" s="74">
        <v>0.7</v>
      </c>
      <c r="E249" s="74">
        <v>0.7</v>
      </c>
      <c r="F249" s="229" t="s">
        <v>1656</v>
      </c>
      <c r="R249" s="10"/>
    </row>
    <row r="250">
      <c r="A250" s="289" t="s">
        <v>6723</v>
      </c>
      <c r="B250" s="307"/>
      <c r="C250" s="167" t="s">
        <v>6305</v>
      </c>
      <c r="D250" s="74">
        <v>0.7</v>
      </c>
      <c r="E250" s="74">
        <v>0.7</v>
      </c>
      <c r="F250" s="229" t="s">
        <v>1656</v>
      </c>
      <c r="R250" s="10"/>
    </row>
    <row r="251">
      <c r="A251" s="289" t="s">
        <v>6724</v>
      </c>
      <c r="B251" s="307"/>
      <c r="C251" s="167" t="s">
        <v>6305</v>
      </c>
      <c r="D251" s="74">
        <v>0.7</v>
      </c>
      <c r="E251" s="74">
        <v>0.7</v>
      </c>
      <c r="F251" s="229" t="s">
        <v>1656</v>
      </c>
      <c r="R251" s="10"/>
    </row>
    <row r="252">
      <c r="A252" s="289" t="s">
        <v>6725</v>
      </c>
      <c r="B252" s="307"/>
      <c r="C252" s="167" t="s">
        <v>6305</v>
      </c>
      <c r="D252" s="74">
        <v>0.7</v>
      </c>
      <c r="E252" s="74">
        <v>0.7</v>
      </c>
      <c r="F252" s="229" t="s">
        <v>1656</v>
      </c>
      <c r="R252" s="10"/>
    </row>
    <row r="253">
      <c r="A253" s="289" t="s">
        <v>6726</v>
      </c>
      <c r="B253" s="297">
        <v>6675.0</v>
      </c>
      <c r="C253" s="167" t="s">
        <v>6305</v>
      </c>
      <c r="D253" s="74">
        <v>0.7</v>
      </c>
      <c r="E253" s="74">
        <v>0.7</v>
      </c>
      <c r="F253" s="229" t="s">
        <v>1656</v>
      </c>
      <c r="R253" s="10"/>
    </row>
    <row r="254">
      <c r="A254" s="289" t="s">
        <v>220</v>
      </c>
      <c r="B254" s="297">
        <v>14663.0</v>
      </c>
      <c r="C254" s="167" t="s">
        <v>6305</v>
      </c>
      <c r="D254" s="74">
        <v>0.7</v>
      </c>
      <c r="E254" s="74">
        <v>0.7</v>
      </c>
      <c r="F254" s="229" t="s">
        <v>1656</v>
      </c>
      <c r="R254" s="10"/>
    </row>
    <row r="255">
      <c r="A255" s="289"/>
      <c r="B255" s="297"/>
      <c r="C255" s="283"/>
      <c r="R255" s="10"/>
    </row>
    <row r="256">
      <c r="A256" s="283"/>
      <c r="B256" s="307"/>
      <c r="C256" s="283"/>
      <c r="R256" s="10"/>
    </row>
    <row r="257">
      <c r="A257" s="283"/>
      <c r="B257" s="307"/>
      <c r="C257" s="283"/>
      <c r="R257" s="10"/>
    </row>
    <row r="258">
      <c r="A258" s="283"/>
      <c r="B258" s="307"/>
      <c r="C258" s="283"/>
      <c r="R258" s="10"/>
    </row>
    <row r="259">
      <c r="A259" s="283"/>
      <c r="B259" s="307"/>
      <c r="C259" s="283"/>
      <c r="R259" s="10"/>
    </row>
    <row r="260">
      <c r="A260" s="283"/>
      <c r="B260" s="307"/>
      <c r="C260" s="283"/>
      <c r="R260" s="10"/>
    </row>
    <row r="261">
      <c r="A261" s="283"/>
      <c r="B261" s="307"/>
      <c r="C261" s="283"/>
      <c r="R261" s="10"/>
    </row>
    <row r="262">
      <c r="A262" s="283"/>
      <c r="B262" s="307"/>
      <c r="C262" s="283"/>
      <c r="R262" s="10"/>
    </row>
    <row r="263">
      <c r="A263" s="283"/>
      <c r="B263" s="307"/>
      <c r="C263" s="283"/>
      <c r="R263" s="10"/>
    </row>
    <row r="264">
      <c r="A264" s="283"/>
      <c r="B264" s="307"/>
      <c r="C264" s="283"/>
      <c r="R264" s="10"/>
    </row>
    <row r="265">
      <c r="A265" s="283"/>
      <c r="B265" s="307"/>
      <c r="C265" s="283"/>
      <c r="R265" s="10"/>
    </row>
    <row r="266">
      <c r="A266" s="283"/>
      <c r="B266" s="307"/>
      <c r="C266" s="283"/>
      <c r="R266" s="10"/>
    </row>
    <row r="267">
      <c r="A267" s="283"/>
      <c r="B267" s="307"/>
      <c r="C267" s="283"/>
      <c r="R267" s="10"/>
    </row>
    <row r="268">
      <c r="A268" s="283"/>
      <c r="B268" s="307"/>
      <c r="C268" s="283"/>
      <c r="R268" s="10"/>
    </row>
    <row r="269">
      <c r="A269" s="283"/>
      <c r="B269" s="307"/>
      <c r="C269" s="283"/>
      <c r="R269" s="10"/>
    </row>
    <row r="270">
      <c r="A270" s="283"/>
      <c r="B270" s="307"/>
      <c r="C270" s="283"/>
      <c r="R270" s="10"/>
    </row>
    <row r="271">
      <c r="A271" s="283"/>
      <c r="B271" s="307"/>
      <c r="C271" s="283"/>
      <c r="R271" s="10"/>
    </row>
    <row r="272">
      <c r="A272" s="283"/>
      <c r="B272" s="307"/>
      <c r="C272" s="283"/>
      <c r="R272" s="10"/>
    </row>
    <row r="273">
      <c r="A273" s="283"/>
      <c r="B273" s="307"/>
      <c r="C273" s="283"/>
      <c r="R273" s="10"/>
    </row>
    <row r="274">
      <c r="A274" s="283"/>
      <c r="B274" s="307"/>
      <c r="C274" s="283"/>
      <c r="R274" s="10"/>
    </row>
    <row r="275">
      <c r="A275" s="283"/>
      <c r="B275" s="307"/>
      <c r="C275" s="283"/>
      <c r="R275" s="10"/>
    </row>
    <row r="276">
      <c r="A276" s="283"/>
      <c r="B276" s="307"/>
      <c r="C276" s="283"/>
      <c r="R276" s="10"/>
    </row>
    <row r="277">
      <c r="A277" s="283"/>
      <c r="B277" s="307"/>
      <c r="C277" s="283"/>
      <c r="R277" s="10"/>
    </row>
    <row r="278">
      <c r="A278" s="283"/>
      <c r="B278" s="307"/>
      <c r="C278" s="283"/>
      <c r="R278" s="10"/>
    </row>
    <row r="279">
      <c r="A279" s="283"/>
      <c r="B279" s="307"/>
      <c r="C279" s="283"/>
      <c r="R279" s="10"/>
    </row>
    <row r="280">
      <c r="A280" s="283"/>
      <c r="B280" s="307"/>
      <c r="C280" s="283"/>
      <c r="R280" s="10"/>
    </row>
    <row r="281">
      <c r="A281" s="283"/>
      <c r="B281" s="307"/>
      <c r="C281" s="283"/>
      <c r="R281" s="10"/>
    </row>
    <row r="282">
      <c r="A282" s="283"/>
      <c r="B282" s="307"/>
      <c r="C282" s="283"/>
      <c r="R282" s="10"/>
    </row>
    <row r="283">
      <c r="A283" s="283"/>
      <c r="B283" s="307"/>
      <c r="C283" s="283"/>
      <c r="R283" s="10"/>
    </row>
    <row r="284">
      <c r="A284" s="283"/>
      <c r="B284" s="307"/>
      <c r="C284" s="283"/>
      <c r="R284" s="10"/>
    </row>
    <row r="285">
      <c r="A285" s="283"/>
      <c r="B285" s="307"/>
      <c r="C285" s="283"/>
      <c r="R285" s="10"/>
    </row>
    <row r="286">
      <c r="A286" s="283"/>
      <c r="B286" s="307"/>
      <c r="C286" s="283"/>
      <c r="R286" s="10"/>
    </row>
    <row r="287">
      <c r="A287" s="283"/>
      <c r="B287" s="307"/>
      <c r="C287" s="283"/>
      <c r="R287" s="10"/>
    </row>
    <row r="288">
      <c r="A288" s="283"/>
      <c r="B288" s="307"/>
      <c r="C288" s="283"/>
      <c r="R288" s="10"/>
    </row>
    <row r="289">
      <c r="A289" s="283"/>
      <c r="B289" s="307"/>
      <c r="C289" s="283"/>
      <c r="R289" s="10"/>
    </row>
    <row r="290">
      <c r="A290" s="283"/>
      <c r="B290" s="307"/>
      <c r="C290" s="283"/>
      <c r="R290" s="10"/>
    </row>
    <row r="291">
      <c r="A291" s="283"/>
      <c r="B291" s="307"/>
      <c r="C291" s="283"/>
      <c r="R291" s="10"/>
    </row>
    <row r="292">
      <c r="A292" s="283"/>
      <c r="B292" s="307"/>
      <c r="C292" s="283"/>
      <c r="R292" s="10"/>
    </row>
    <row r="293">
      <c r="A293" s="283"/>
      <c r="B293" s="307"/>
      <c r="C293" s="283"/>
      <c r="R293" s="10"/>
    </row>
    <row r="294">
      <c r="A294" s="283"/>
      <c r="B294" s="307"/>
      <c r="C294" s="283"/>
      <c r="R294" s="10"/>
    </row>
    <row r="295">
      <c r="A295" s="283"/>
      <c r="B295" s="307"/>
      <c r="C295" s="283"/>
      <c r="R295" s="10"/>
    </row>
    <row r="296">
      <c r="A296" s="283"/>
      <c r="B296" s="307"/>
      <c r="C296" s="283"/>
      <c r="R296" s="10"/>
    </row>
    <row r="297">
      <c r="A297" s="283"/>
      <c r="B297" s="307"/>
      <c r="C297" s="283"/>
      <c r="R297" s="10"/>
    </row>
    <row r="298">
      <c r="A298" s="283"/>
      <c r="B298" s="307"/>
      <c r="C298" s="283"/>
      <c r="R298" s="10"/>
    </row>
    <row r="299">
      <c r="A299" s="283"/>
      <c r="B299" s="307"/>
      <c r="C299" s="283"/>
      <c r="R299" s="10"/>
    </row>
    <row r="300">
      <c r="A300" s="283"/>
      <c r="B300" s="307"/>
      <c r="C300" s="283"/>
      <c r="R300" s="10"/>
    </row>
    <row r="301">
      <c r="A301" s="283"/>
      <c r="B301" s="307"/>
      <c r="C301" s="283"/>
      <c r="R301" s="10"/>
    </row>
    <row r="302">
      <c r="A302" s="283"/>
      <c r="B302" s="307"/>
      <c r="C302" s="283"/>
      <c r="R302" s="10"/>
    </row>
    <row r="303">
      <c r="A303" s="283"/>
      <c r="B303" s="307"/>
      <c r="C303" s="283"/>
      <c r="R303" s="10"/>
    </row>
    <row r="304">
      <c r="A304" s="283"/>
      <c r="B304" s="307"/>
      <c r="C304" s="283"/>
      <c r="R304" s="10"/>
    </row>
    <row r="305">
      <c r="A305" s="283"/>
      <c r="B305" s="307"/>
      <c r="C305" s="283"/>
      <c r="R305" s="10"/>
    </row>
    <row r="306">
      <c r="A306" s="283"/>
      <c r="B306" s="307"/>
      <c r="C306" s="283"/>
      <c r="R306" s="10"/>
    </row>
    <row r="307">
      <c r="A307" s="283"/>
      <c r="B307" s="307"/>
      <c r="C307" s="283"/>
      <c r="R307" s="10"/>
    </row>
    <row r="308">
      <c r="A308" s="283"/>
      <c r="B308" s="307"/>
      <c r="C308" s="283"/>
      <c r="R308" s="10"/>
    </row>
    <row r="309">
      <c r="A309" s="283"/>
      <c r="B309" s="307"/>
      <c r="C309" s="283"/>
      <c r="R309" s="10"/>
    </row>
    <row r="310">
      <c r="A310" s="283"/>
      <c r="B310" s="307"/>
      <c r="C310" s="283"/>
      <c r="R310" s="10"/>
    </row>
    <row r="311">
      <c r="A311" s="283"/>
      <c r="B311" s="307"/>
      <c r="C311" s="283"/>
      <c r="R311" s="10"/>
    </row>
    <row r="312">
      <c r="A312" s="283"/>
      <c r="B312" s="307"/>
      <c r="C312" s="283"/>
      <c r="R312" s="10"/>
    </row>
    <row r="313">
      <c r="A313" s="283"/>
      <c r="B313" s="307"/>
      <c r="C313" s="283"/>
      <c r="R313" s="10"/>
    </row>
    <row r="314">
      <c r="A314" s="283"/>
      <c r="B314" s="307"/>
      <c r="C314" s="283"/>
      <c r="R314" s="10"/>
    </row>
    <row r="315">
      <c r="A315" s="283"/>
      <c r="B315" s="307"/>
      <c r="C315" s="283"/>
      <c r="R315" s="10"/>
    </row>
    <row r="316">
      <c r="A316" s="283"/>
      <c r="B316" s="307"/>
      <c r="C316" s="283"/>
      <c r="R316" s="10"/>
    </row>
    <row r="317">
      <c r="A317" s="283"/>
      <c r="B317" s="307"/>
      <c r="C317" s="283"/>
      <c r="R317" s="10"/>
    </row>
    <row r="318">
      <c r="A318" s="283"/>
      <c r="B318" s="307"/>
      <c r="C318" s="283"/>
      <c r="R318" s="10"/>
    </row>
    <row r="319">
      <c r="A319" s="283"/>
      <c r="B319" s="307"/>
      <c r="C319" s="283"/>
      <c r="R319" s="10"/>
    </row>
    <row r="320">
      <c r="A320" s="283"/>
      <c r="B320" s="307"/>
      <c r="C320" s="283"/>
      <c r="R320" s="10"/>
    </row>
    <row r="321">
      <c r="A321" s="283"/>
      <c r="B321" s="307"/>
      <c r="C321" s="283"/>
      <c r="R321" s="10"/>
    </row>
    <row r="322">
      <c r="A322" s="283"/>
      <c r="B322" s="307"/>
      <c r="C322" s="283"/>
      <c r="R322" s="10"/>
    </row>
    <row r="323">
      <c r="A323" s="283"/>
      <c r="B323" s="307"/>
      <c r="C323" s="283"/>
      <c r="R323" s="10"/>
    </row>
    <row r="324">
      <c r="A324" s="283"/>
      <c r="B324" s="307"/>
      <c r="C324" s="283"/>
      <c r="R324" s="10"/>
    </row>
    <row r="325">
      <c r="A325" s="283"/>
      <c r="B325" s="307"/>
      <c r="C325" s="283"/>
      <c r="R325" s="10"/>
    </row>
    <row r="326">
      <c r="A326" s="283"/>
      <c r="B326" s="307"/>
      <c r="C326" s="283"/>
      <c r="R326" s="10"/>
    </row>
    <row r="327">
      <c r="A327" s="283"/>
      <c r="B327" s="307"/>
      <c r="C327" s="283"/>
      <c r="R327" s="10"/>
    </row>
    <row r="328">
      <c r="A328" s="283"/>
      <c r="B328" s="307"/>
      <c r="C328" s="283"/>
      <c r="R328" s="10"/>
    </row>
    <row r="329">
      <c r="A329" s="283"/>
      <c r="B329" s="307"/>
      <c r="C329" s="283"/>
      <c r="R329" s="10"/>
    </row>
    <row r="330">
      <c r="A330" s="283"/>
      <c r="B330" s="307"/>
      <c r="C330" s="283"/>
      <c r="R330" s="10"/>
    </row>
    <row r="331">
      <c r="A331" s="283"/>
      <c r="B331" s="307"/>
      <c r="C331" s="283"/>
      <c r="R331" s="10"/>
    </row>
    <row r="332">
      <c r="A332" s="283"/>
      <c r="B332" s="307"/>
      <c r="C332" s="283"/>
      <c r="R332" s="10"/>
    </row>
    <row r="333">
      <c r="A333" s="283"/>
      <c r="B333" s="307"/>
      <c r="C333" s="283"/>
      <c r="R333" s="10"/>
    </row>
    <row r="334">
      <c r="A334" s="283"/>
      <c r="B334" s="307"/>
      <c r="C334" s="283"/>
      <c r="R334" s="10"/>
    </row>
    <row r="335">
      <c r="A335" s="283"/>
      <c r="B335" s="307"/>
      <c r="C335" s="283"/>
      <c r="R335" s="10"/>
    </row>
    <row r="336">
      <c r="A336" s="283"/>
      <c r="B336" s="307"/>
      <c r="C336" s="283"/>
      <c r="R336" s="10"/>
    </row>
    <row r="337">
      <c r="A337" s="283"/>
      <c r="B337" s="307"/>
      <c r="C337" s="283"/>
      <c r="R337" s="10"/>
    </row>
    <row r="338">
      <c r="A338" s="283"/>
      <c r="B338" s="307"/>
      <c r="C338" s="283"/>
      <c r="R338" s="10"/>
    </row>
    <row r="339">
      <c r="A339" s="283"/>
      <c r="B339" s="307"/>
      <c r="C339" s="283"/>
      <c r="R339" s="10"/>
    </row>
    <row r="340">
      <c r="A340" s="283"/>
      <c r="B340" s="307"/>
      <c r="C340" s="283"/>
      <c r="R340" s="10"/>
    </row>
    <row r="341">
      <c r="A341" s="283"/>
      <c r="B341" s="307"/>
      <c r="C341" s="283"/>
      <c r="R341" s="10"/>
    </row>
    <row r="342">
      <c r="A342" s="283"/>
      <c r="B342" s="307"/>
      <c r="C342" s="283"/>
      <c r="R342" s="10"/>
    </row>
    <row r="343">
      <c r="A343" s="283"/>
      <c r="B343" s="307"/>
      <c r="C343" s="283"/>
      <c r="R343" s="10"/>
    </row>
    <row r="344">
      <c r="A344" s="283"/>
      <c r="B344" s="307"/>
      <c r="C344" s="283"/>
      <c r="R344" s="10"/>
    </row>
    <row r="345">
      <c r="A345" s="283"/>
      <c r="B345" s="307"/>
      <c r="C345" s="283"/>
      <c r="R345" s="10"/>
    </row>
    <row r="346">
      <c r="A346" s="283"/>
      <c r="B346" s="307"/>
      <c r="C346" s="283"/>
      <c r="R346" s="10"/>
    </row>
    <row r="347">
      <c r="A347" s="283"/>
      <c r="B347" s="307"/>
      <c r="C347" s="283"/>
      <c r="R347" s="10"/>
    </row>
    <row r="348">
      <c r="A348" s="283"/>
      <c r="B348" s="307"/>
      <c r="C348" s="283"/>
      <c r="R348" s="10"/>
    </row>
    <row r="349">
      <c r="A349" s="283"/>
      <c r="B349" s="307"/>
      <c r="C349" s="283"/>
      <c r="R349" s="10"/>
    </row>
    <row r="350">
      <c r="A350" s="283"/>
      <c r="B350" s="307"/>
      <c r="C350" s="283"/>
      <c r="R350" s="10"/>
    </row>
    <row r="351">
      <c r="A351" s="283"/>
      <c r="B351" s="307"/>
      <c r="C351" s="283"/>
      <c r="R351" s="10"/>
    </row>
    <row r="352">
      <c r="A352" s="283"/>
      <c r="B352" s="307"/>
      <c r="C352" s="283"/>
      <c r="R352" s="10"/>
    </row>
    <row r="353">
      <c r="A353" s="283"/>
      <c r="B353" s="307"/>
      <c r="C353" s="283"/>
      <c r="R353" s="10"/>
    </row>
    <row r="354">
      <c r="A354" s="283"/>
      <c r="B354" s="307"/>
      <c r="C354" s="283"/>
      <c r="R354" s="10"/>
    </row>
    <row r="355">
      <c r="A355" s="283"/>
      <c r="B355" s="307"/>
      <c r="C355" s="283"/>
      <c r="R355" s="10"/>
    </row>
    <row r="356">
      <c r="A356" s="283"/>
      <c r="B356" s="307"/>
      <c r="C356" s="283"/>
      <c r="R356" s="10"/>
    </row>
    <row r="357">
      <c r="A357" s="283"/>
      <c r="B357" s="307"/>
      <c r="C357" s="283"/>
      <c r="R357" s="10"/>
    </row>
    <row r="358">
      <c r="A358" s="283"/>
      <c r="B358" s="307"/>
      <c r="C358" s="283"/>
      <c r="R358" s="10"/>
    </row>
    <row r="359">
      <c r="A359" s="283"/>
      <c r="B359" s="307"/>
      <c r="C359" s="283"/>
      <c r="R359" s="10"/>
    </row>
    <row r="360">
      <c r="A360" s="283"/>
      <c r="B360" s="307"/>
      <c r="C360" s="283"/>
      <c r="R360" s="10"/>
    </row>
    <row r="361">
      <c r="A361" s="283"/>
      <c r="B361" s="307"/>
      <c r="C361" s="283"/>
      <c r="R361" s="10"/>
    </row>
    <row r="362">
      <c r="A362" s="283"/>
      <c r="B362" s="307"/>
      <c r="C362" s="283"/>
      <c r="R362" s="10"/>
    </row>
    <row r="363">
      <c r="A363" s="283"/>
      <c r="B363" s="307"/>
      <c r="C363" s="283"/>
      <c r="R363" s="10"/>
    </row>
    <row r="364">
      <c r="A364" s="283"/>
      <c r="B364" s="307"/>
      <c r="C364" s="283"/>
      <c r="R364" s="10"/>
    </row>
    <row r="365">
      <c r="A365" s="283"/>
      <c r="B365" s="307"/>
      <c r="C365" s="283"/>
      <c r="R365" s="10"/>
    </row>
    <row r="366">
      <c r="A366" s="283"/>
      <c r="B366" s="307"/>
      <c r="C366" s="283"/>
      <c r="R366" s="10"/>
    </row>
    <row r="367">
      <c r="A367" s="283"/>
      <c r="B367" s="307"/>
      <c r="C367" s="283"/>
      <c r="R367" s="10"/>
    </row>
    <row r="368">
      <c r="A368" s="283"/>
      <c r="B368" s="307"/>
      <c r="C368" s="283"/>
      <c r="R368" s="10"/>
    </row>
    <row r="369">
      <c r="A369" s="283"/>
      <c r="B369" s="307"/>
      <c r="C369" s="283"/>
      <c r="R369" s="10"/>
    </row>
    <row r="370">
      <c r="A370" s="283"/>
      <c r="B370" s="307"/>
      <c r="C370" s="283"/>
      <c r="R370" s="10"/>
    </row>
    <row r="371">
      <c r="A371" s="283"/>
      <c r="B371" s="307"/>
      <c r="C371" s="283"/>
      <c r="R371" s="10"/>
    </row>
    <row r="372">
      <c r="A372" s="283"/>
      <c r="B372" s="307"/>
      <c r="C372" s="283"/>
      <c r="R372" s="10"/>
    </row>
    <row r="373">
      <c r="A373" s="283"/>
      <c r="B373" s="307"/>
      <c r="C373" s="283"/>
      <c r="R373" s="10"/>
    </row>
    <row r="374">
      <c r="A374" s="283"/>
      <c r="B374" s="307"/>
      <c r="C374" s="283"/>
      <c r="R374" s="10"/>
    </row>
    <row r="375">
      <c r="A375" s="283"/>
      <c r="B375" s="307"/>
      <c r="C375" s="283"/>
      <c r="R375" s="10"/>
    </row>
    <row r="376">
      <c r="A376" s="283"/>
      <c r="B376" s="307"/>
      <c r="C376" s="283"/>
      <c r="R376" s="10"/>
    </row>
    <row r="377">
      <c r="A377" s="283"/>
      <c r="B377" s="307"/>
      <c r="C377" s="283"/>
      <c r="R377" s="10"/>
    </row>
    <row r="378">
      <c r="A378" s="283"/>
      <c r="B378" s="307"/>
      <c r="C378" s="283"/>
      <c r="R378" s="10"/>
    </row>
    <row r="379">
      <c r="A379" s="283"/>
      <c r="B379" s="307"/>
      <c r="C379" s="283"/>
      <c r="R379" s="10"/>
    </row>
    <row r="380">
      <c r="A380" s="283"/>
      <c r="B380" s="307"/>
      <c r="C380" s="283"/>
      <c r="R380" s="10"/>
    </row>
    <row r="381">
      <c r="A381" s="283"/>
      <c r="B381" s="307"/>
      <c r="C381" s="283"/>
      <c r="R381" s="10"/>
    </row>
    <row r="382">
      <c r="A382" s="283"/>
      <c r="B382" s="307"/>
      <c r="C382" s="283"/>
      <c r="R382" s="10"/>
    </row>
    <row r="383">
      <c r="A383" s="283"/>
      <c r="B383" s="307"/>
      <c r="C383" s="283"/>
      <c r="R383" s="10"/>
    </row>
    <row r="384">
      <c r="A384" s="283"/>
      <c r="B384" s="307"/>
      <c r="C384" s="283"/>
      <c r="R384" s="10"/>
    </row>
    <row r="385">
      <c r="A385" s="283"/>
      <c r="B385" s="307"/>
      <c r="C385" s="283"/>
      <c r="R385" s="10"/>
    </row>
    <row r="386">
      <c r="A386" s="283"/>
      <c r="B386" s="307"/>
      <c r="C386" s="283"/>
      <c r="R386" s="10"/>
    </row>
    <row r="387">
      <c r="A387" s="283"/>
      <c r="B387" s="307"/>
      <c r="C387" s="283"/>
      <c r="R387" s="10"/>
    </row>
    <row r="388">
      <c r="A388" s="283"/>
      <c r="B388" s="307"/>
      <c r="C388" s="283"/>
      <c r="R388" s="10"/>
    </row>
    <row r="389">
      <c r="A389" s="283"/>
      <c r="B389" s="307"/>
      <c r="C389" s="283"/>
      <c r="R389" s="10"/>
    </row>
    <row r="390">
      <c r="A390" s="283"/>
      <c r="B390" s="307"/>
      <c r="C390" s="283"/>
      <c r="R390" s="10"/>
    </row>
    <row r="391">
      <c r="A391" s="283"/>
      <c r="B391" s="307"/>
      <c r="C391" s="283"/>
      <c r="R391" s="10"/>
    </row>
    <row r="392">
      <c r="A392" s="283"/>
      <c r="B392" s="307"/>
      <c r="C392" s="283"/>
      <c r="R392" s="10"/>
    </row>
    <row r="393">
      <c r="A393" s="283"/>
      <c r="B393" s="307"/>
      <c r="C393" s="283"/>
      <c r="R393" s="10"/>
    </row>
    <row r="394">
      <c r="A394" s="283"/>
      <c r="B394" s="307"/>
      <c r="C394" s="283"/>
      <c r="R394" s="10"/>
    </row>
    <row r="395">
      <c r="A395" s="283"/>
      <c r="B395" s="307"/>
      <c r="C395" s="283"/>
      <c r="R395" s="10"/>
    </row>
    <row r="396">
      <c r="A396" s="283"/>
      <c r="B396" s="307"/>
      <c r="C396" s="283"/>
      <c r="R396" s="10"/>
    </row>
    <row r="397">
      <c r="A397" s="283"/>
      <c r="B397" s="307"/>
      <c r="C397" s="283"/>
      <c r="R397" s="10"/>
    </row>
    <row r="398">
      <c r="A398" s="283"/>
      <c r="B398" s="307"/>
      <c r="C398" s="283"/>
      <c r="R398" s="10"/>
    </row>
    <row r="399">
      <c r="A399" s="283"/>
      <c r="B399" s="307"/>
      <c r="C399" s="283"/>
      <c r="R399" s="10"/>
    </row>
    <row r="400">
      <c r="A400" s="283"/>
      <c r="B400" s="307"/>
      <c r="C400" s="283"/>
      <c r="R400" s="10"/>
    </row>
    <row r="401">
      <c r="A401" s="283"/>
      <c r="B401" s="307"/>
      <c r="C401" s="283"/>
      <c r="R401" s="10"/>
    </row>
    <row r="402">
      <c r="A402" s="283"/>
      <c r="B402" s="307"/>
      <c r="C402" s="283"/>
      <c r="R402" s="10"/>
    </row>
    <row r="403">
      <c r="A403" s="283"/>
      <c r="B403" s="307"/>
      <c r="C403" s="283"/>
      <c r="R403" s="10"/>
    </row>
    <row r="404">
      <c r="A404" s="283"/>
      <c r="B404" s="307"/>
      <c r="C404" s="283"/>
      <c r="R404" s="10"/>
    </row>
    <row r="405">
      <c r="A405" s="283"/>
      <c r="B405" s="307"/>
      <c r="C405" s="283"/>
      <c r="R405" s="10"/>
    </row>
    <row r="406">
      <c r="A406" s="283"/>
      <c r="B406" s="307"/>
      <c r="C406" s="283"/>
      <c r="R406" s="10"/>
    </row>
    <row r="407">
      <c r="A407" s="283"/>
      <c r="B407" s="307"/>
      <c r="C407" s="283"/>
      <c r="R407" s="10"/>
    </row>
    <row r="408">
      <c r="A408" s="283"/>
      <c r="B408" s="307"/>
      <c r="C408" s="283"/>
      <c r="R408" s="10"/>
    </row>
    <row r="409">
      <c r="A409" s="283"/>
      <c r="B409" s="307"/>
      <c r="C409" s="283"/>
      <c r="R409" s="10"/>
    </row>
    <row r="410">
      <c r="A410" s="283"/>
      <c r="B410" s="307"/>
      <c r="C410" s="283"/>
      <c r="R410" s="10"/>
    </row>
    <row r="411">
      <c r="A411" s="283"/>
      <c r="B411" s="307"/>
      <c r="C411" s="283"/>
      <c r="R411" s="10"/>
    </row>
    <row r="412">
      <c r="A412" s="283"/>
      <c r="B412" s="307"/>
      <c r="C412" s="283"/>
      <c r="R412" s="10"/>
    </row>
    <row r="413">
      <c r="A413" s="283"/>
      <c r="B413" s="307"/>
      <c r="C413" s="283"/>
      <c r="R413" s="10"/>
    </row>
    <row r="414">
      <c r="A414" s="283"/>
      <c r="B414" s="307"/>
      <c r="C414" s="283"/>
      <c r="R414" s="10"/>
    </row>
    <row r="415">
      <c r="A415" s="283"/>
      <c r="B415" s="307"/>
      <c r="C415" s="283"/>
      <c r="R415" s="10"/>
    </row>
    <row r="416">
      <c r="A416" s="283"/>
      <c r="B416" s="307"/>
      <c r="C416" s="283"/>
      <c r="R416" s="10"/>
    </row>
    <row r="417">
      <c r="A417" s="283"/>
      <c r="B417" s="307"/>
      <c r="C417" s="283"/>
      <c r="R417" s="10"/>
    </row>
    <row r="418">
      <c r="A418" s="283"/>
      <c r="B418" s="307"/>
      <c r="C418" s="283"/>
      <c r="R418" s="10"/>
    </row>
    <row r="419">
      <c r="A419" s="283"/>
      <c r="B419" s="307"/>
      <c r="C419" s="283"/>
      <c r="R419" s="10"/>
    </row>
    <row r="420">
      <c r="A420" s="283"/>
      <c r="B420" s="307"/>
      <c r="C420" s="283"/>
      <c r="R420" s="10"/>
    </row>
    <row r="421">
      <c r="A421" s="283"/>
      <c r="B421" s="307"/>
      <c r="C421" s="283"/>
      <c r="R421" s="10"/>
    </row>
    <row r="422">
      <c r="A422" s="283"/>
      <c r="B422" s="307"/>
      <c r="C422" s="283"/>
      <c r="R422" s="10"/>
    </row>
    <row r="423">
      <c r="A423" s="283"/>
      <c r="B423" s="307"/>
      <c r="C423" s="283"/>
      <c r="R423" s="10"/>
    </row>
    <row r="424">
      <c r="A424" s="283"/>
      <c r="B424" s="307"/>
      <c r="C424" s="283"/>
      <c r="R424" s="10"/>
    </row>
    <row r="425">
      <c r="A425" s="283"/>
      <c r="B425" s="307"/>
      <c r="C425" s="283"/>
      <c r="R425" s="10"/>
    </row>
    <row r="426">
      <c r="A426" s="283"/>
      <c r="B426" s="307"/>
      <c r="C426" s="283"/>
      <c r="R426" s="10"/>
    </row>
    <row r="427">
      <c r="A427" s="283"/>
      <c r="B427" s="307"/>
      <c r="C427" s="283"/>
      <c r="R427" s="10"/>
    </row>
    <row r="428">
      <c r="A428" s="283"/>
      <c r="B428" s="307"/>
      <c r="C428" s="283"/>
      <c r="R428" s="10"/>
    </row>
    <row r="429">
      <c r="A429" s="283"/>
      <c r="B429" s="307"/>
      <c r="C429" s="283"/>
      <c r="R429" s="10"/>
    </row>
    <row r="430">
      <c r="A430" s="283"/>
      <c r="B430" s="307"/>
      <c r="C430" s="283"/>
      <c r="R430" s="10"/>
    </row>
    <row r="431">
      <c r="A431" s="283"/>
      <c r="B431" s="307"/>
      <c r="C431" s="283"/>
      <c r="R431" s="10"/>
    </row>
    <row r="432">
      <c r="A432" s="283"/>
      <c r="B432" s="307"/>
      <c r="C432" s="283"/>
      <c r="R432" s="10"/>
    </row>
    <row r="433">
      <c r="A433" s="283"/>
      <c r="B433" s="307"/>
      <c r="C433" s="283"/>
      <c r="R433" s="10"/>
    </row>
    <row r="434">
      <c r="A434" s="283"/>
      <c r="B434" s="307"/>
      <c r="C434" s="283"/>
      <c r="R434" s="10"/>
    </row>
    <row r="435">
      <c r="A435" s="283"/>
      <c r="B435" s="307"/>
      <c r="C435" s="283"/>
      <c r="R435" s="10"/>
    </row>
    <row r="436">
      <c r="A436" s="283"/>
      <c r="B436" s="307"/>
      <c r="C436" s="283"/>
      <c r="R436" s="10"/>
    </row>
    <row r="437">
      <c r="A437" s="283"/>
      <c r="B437" s="307"/>
      <c r="C437" s="283"/>
      <c r="R437" s="10"/>
    </row>
    <row r="438">
      <c r="A438" s="283"/>
      <c r="B438" s="307"/>
      <c r="C438" s="283"/>
      <c r="R438" s="10"/>
    </row>
    <row r="439">
      <c r="A439" s="283"/>
      <c r="B439" s="307"/>
      <c r="C439" s="283"/>
      <c r="R439" s="10"/>
    </row>
    <row r="440">
      <c r="A440" s="283"/>
      <c r="B440" s="307"/>
      <c r="C440" s="283"/>
      <c r="R440" s="10"/>
    </row>
    <row r="441">
      <c r="A441" s="283"/>
      <c r="B441" s="307"/>
      <c r="C441" s="283"/>
      <c r="R441" s="10"/>
    </row>
    <row r="442">
      <c r="A442" s="283"/>
      <c r="B442" s="307"/>
      <c r="C442" s="283"/>
      <c r="R442" s="10"/>
    </row>
    <row r="443">
      <c r="A443" s="283"/>
      <c r="B443" s="307"/>
      <c r="C443" s="283"/>
      <c r="R443" s="10"/>
    </row>
    <row r="444">
      <c r="A444" s="283"/>
      <c r="B444" s="307"/>
      <c r="C444" s="283"/>
      <c r="R444" s="10"/>
    </row>
    <row r="445">
      <c r="A445" s="283"/>
      <c r="B445" s="307"/>
      <c r="C445" s="283"/>
      <c r="R445" s="10"/>
    </row>
    <row r="446">
      <c r="A446" s="283"/>
      <c r="B446" s="307"/>
      <c r="C446" s="283"/>
      <c r="R446" s="10"/>
    </row>
    <row r="447">
      <c r="A447" s="283"/>
      <c r="B447" s="307"/>
      <c r="C447" s="283"/>
      <c r="R447" s="10"/>
    </row>
    <row r="448">
      <c r="A448" s="283"/>
      <c r="B448" s="307"/>
      <c r="C448" s="283"/>
      <c r="R448" s="10"/>
    </row>
    <row r="449">
      <c r="A449" s="283"/>
      <c r="B449" s="307"/>
      <c r="C449" s="283"/>
      <c r="R449" s="10"/>
    </row>
    <row r="450">
      <c r="A450" s="283"/>
      <c r="B450" s="307"/>
      <c r="C450" s="283"/>
      <c r="R450" s="10"/>
    </row>
    <row r="451">
      <c r="A451" s="283"/>
      <c r="B451" s="307"/>
      <c r="C451" s="283"/>
      <c r="R451" s="10"/>
    </row>
    <row r="452">
      <c r="A452" s="283"/>
      <c r="B452" s="307"/>
      <c r="C452" s="283"/>
      <c r="R452" s="10"/>
    </row>
    <row r="453">
      <c r="A453" s="283"/>
      <c r="B453" s="307"/>
      <c r="C453" s="283"/>
      <c r="R453" s="10"/>
    </row>
    <row r="454">
      <c r="A454" s="283"/>
      <c r="B454" s="307"/>
      <c r="C454" s="283"/>
      <c r="R454" s="10"/>
    </row>
    <row r="455">
      <c r="A455" s="283"/>
      <c r="B455" s="307"/>
      <c r="C455" s="283"/>
      <c r="R455" s="10"/>
    </row>
    <row r="456">
      <c r="A456" s="283"/>
      <c r="B456" s="307"/>
      <c r="C456" s="283"/>
      <c r="R456" s="10"/>
    </row>
    <row r="457">
      <c r="A457" s="283"/>
      <c r="B457" s="307"/>
      <c r="C457" s="283"/>
      <c r="R457" s="10"/>
    </row>
    <row r="458">
      <c r="A458" s="283"/>
      <c r="B458" s="307"/>
      <c r="C458" s="283"/>
      <c r="R458" s="10"/>
    </row>
    <row r="459">
      <c r="A459" s="283"/>
      <c r="B459" s="307"/>
      <c r="C459" s="283"/>
      <c r="R459" s="10"/>
    </row>
    <row r="460">
      <c r="A460" s="283"/>
      <c r="B460" s="307"/>
      <c r="C460" s="283"/>
      <c r="R460" s="10"/>
    </row>
    <row r="461">
      <c r="A461" s="283"/>
      <c r="B461" s="307"/>
      <c r="C461" s="283"/>
      <c r="R461" s="10"/>
    </row>
    <row r="462">
      <c r="A462" s="283"/>
      <c r="B462" s="307"/>
      <c r="C462" s="283"/>
      <c r="R462" s="10"/>
    </row>
    <row r="463">
      <c r="A463" s="283"/>
      <c r="B463" s="307"/>
      <c r="C463" s="283"/>
      <c r="R463" s="10"/>
    </row>
    <row r="464">
      <c r="A464" s="283"/>
      <c r="B464" s="307"/>
      <c r="C464" s="283"/>
      <c r="R464" s="10"/>
    </row>
    <row r="465">
      <c r="A465" s="283"/>
      <c r="B465" s="307"/>
      <c r="C465" s="283"/>
      <c r="R465" s="10"/>
    </row>
    <row r="466">
      <c r="A466" s="283"/>
      <c r="B466" s="307"/>
      <c r="C466" s="283"/>
      <c r="R466" s="10"/>
    </row>
    <row r="467">
      <c r="A467" s="283"/>
      <c r="B467" s="307"/>
      <c r="C467" s="283"/>
      <c r="R467" s="10"/>
    </row>
    <row r="468">
      <c r="A468" s="283"/>
      <c r="B468" s="307"/>
      <c r="C468" s="283"/>
      <c r="R468" s="10"/>
    </row>
    <row r="469">
      <c r="A469" s="283"/>
      <c r="B469" s="307"/>
      <c r="C469" s="283"/>
      <c r="R469" s="10"/>
    </row>
    <row r="470">
      <c r="A470" s="283"/>
      <c r="B470" s="307"/>
      <c r="C470" s="283"/>
      <c r="R470" s="10"/>
    </row>
    <row r="471">
      <c r="A471" s="283"/>
      <c r="B471" s="307"/>
      <c r="C471" s="283"/>
      <c r="R471" s="10"/>
    </row>
    <row r="472">
      <c r="A472" s="283"/>
      <c r="B472" s="307"/>
      <c r="C472" s="283"/>
      <c r="R472" s="10"/>
    </row>
    <row r="473">
      <c r="A473" s="283"/>
      <c r="B473" s="307"/>
      <c r="C473" s="283"/>
      <c r="R473" s="10"/>
    </row>
    <row r="474">
      <c r="A474" s="283"/>
      <c r="B474" s="307"/>
      <c r="C474" s="283"/>
      <c r="R474" s="10"/>
    </row>
    <row r="475">
      <c r="A475" s="283"/>
      <c r="B475" s="307"/>
      <c r="C475" s="283"/>
      <c r="R475" s="10"/>
    </row>
    <row r="476">
      <c r="A476" s="283"/>
      <c r="B476" s="307"/>
      <c r="C476" s="283"/>
      <c r="R476" s="10"/>
    </row>
    <row r="477">
      <c r="A477" s="283"/>
      <c r="B477" s="307"/>
      <c r="C477" s="283"/>
      <c r="R477" s="10"/>
    </row>
    <row r="478">
      <c r="A478" s="283"/>
      <c r="B478" s="307"/>
      <c r="C478" s="283"/>
      <c r="R478" s="10"/>
    </row>
    <row r="479">
      <c r="A479" s="283"/>
      <c r="B479" s="307"/>
      <c r="C479" s="283"/>
      <c r="R479" s="10"/>
    </row>
    <row r="480">
      <c r="A480" s="283"/>
      <c r="B480" s="307"/>
      <c r="C480" s="283"/>
      <c r="R480" s="10"/>
    </row>
    <row r="481">
      <c r="A481" s="283"/>
      <c r="B481" s="307"/>
      <c r="C481" s="283"/>
      <c r="R481" s="10"/>
    </row>
    <row r="482">
      <c r="A482" s="283"/>
      <c r="B482" s="307"/>
      <c r="C482" s="283"/>
      <c r="R482" s="10"/>
    </row>
    <row r="483">
      <c r="A483" s="283"/>
      <c r="B483" s="307"/>
      <c r="C483" s="283"/>
      <c r="R483" s="10"/>
    </row>
    <row r="484">
      <c r="A484" s="283"/>
      <c r="B484" s="307"/>
      <c r="C484" s="283"/>
      <c r="R484" s="10"/>
    </row>
    <row r="485">
      <c r="A485" s="283"/>
      <c r="B485" s="307"/>
      <c r="C485" s="283"/>
      <c r="R485" s="10"/>
    </row>
    <row r="486">
      <c r="A486" s="283"/>
      <c r="B486" s="307"/>
      <c r="C486" s="283"/>
      <c r="R486" s="10"/>
    </row>
    <row r="487">
      <c r="A487" s="283"/>
      <c r="B487" s="307"/>
      <c r="C487" s="283"/>
      <c r="R487" s="10"/>
    </row>
    <row r="488">
      <c r="A488" s="283"/>
      <c r="B488" s="307"/>
      <c r="C488" s="283"/>
      <c r="R488" s="10"/>
    </row>
    <row r="489">
      <c r="A489" s="283"/>
      <c r="B489" s="307"/>
      <c r="C489" s="283"/>
      <c r="R489" s="10"/>
    </row>
    <row r="490">
      <c r="A490" s="283"/>
      <c r="B490" s="307"/>
      <c r="C490" s="283"/>
      <c r="R490" s="10"/>
    </row>
    <row r="491">
      <c r="A491" s="283"/>
      <c r="B491" s="307"/>
      <c r="C491" s="283"/>
      <c r="R491" s="10"/>
    </row>
    <row r="492">
      <c r="A492" s="283"/>
      <c r="B492" s="307"/>
      <c r="C492" s="283"/>
      <c r="R492" s="10"/>
    </row>
    <row r="493">
      <c r="A493" s="283"/>
      <c r="B493" s="307"/>
      <c r="C493" s="283"/>
      <c r="R493" s="10"/>
    </row>
    <row r="494">
      <c r="A494" s="283"/>
      <c r="B494" s="307"/>
      <c r="C494" s="283"/>
      <c r="R494" s="10"/>
    </row>
    <row r="495">
      <c r="A495" s="283"/>
      <c r="B495" s="307"/>
      <c r="C495" s="283"/>
      <c r="R495" s="10"/>
    </row>
    <row r="496">
      <c r="A496" s="283"/>
      <c r="B496" s="307"/>
      <c r="C496" s="283"/>
      <c r="R496" s="10"/>
    </row>
    <row r="497">
      <c r="A497" s="283"/>
      <c r="B497" s="307"/>
      <c r="C497" s="283"/>
      <c r="R497" s="10"/>
    </row>
    <row r="498">
      <c r="A498" s="283"/>
      <c r="B498" s="307"/>
      <c r="C498" s="283"/>
      <c r="R498" s="10"/>
    </row>
    <row r="499">
      <c r="A499" s="283"/>
      <c r="B499" s="307"/>
      <c r="C499" s="283"/>
      <c r="R499" s="10"/>
    </row>
    <row r="500">
      <c r="A500" s="283"/>
      <c r="B500" s="307"/>
      <c r="C500" s="283"/>
      <c r="R500" s="10"/>
    </row>
    <row r="501">
      <c r="A501" s="283"/>
      <c r="B501" s="307"/>
      <c r="C501" s="283"/>
      <c r="R501" s="10"/>
    </row>
    <row r="502">
      <c r="A502" s="283"/>
      <c r="B502" s="307"/>
      <c r="C502" s="283"/>
      <c r="R502" s="10"/>
    </row>
    <row r="503">
      <c r="A503" s="283"/>
      <c r="B503" s="307"/>
      <c r="C503" s="283"/>
      <c r="R503" s="10"/>
    </row>
    <row r="504">
      <c r="A504" s="283"/>
      <c r="B504" s="307"/>
      <c r="C504" s="283"/>
      <c r="R504" s="10"/>
    </row>
    <row r="505">
      <c r="A505" s="283"/>
      <c r="B505" s="307"/>
      <c r="C505" s="283"/>
      <c r="R505" s="10"/>
    </row>
    <row r="506">
      <c r="A506" s="283"/>
      <c r="B506" s="307"/>
      <c r="C506" s="283"/>
      <c r="R506" s="10"/>
    </row>
    <row r="507">
      <c r="A507" s="283"/>
      <c r="B507" s="307"/>
      <c r="C507" s="283"/>
      <c r="R507" s="10"/>
    </row>
    <row r="508">
      <c r="A508" s="283"/>
      <c r="B508" s="307"/>
      <c r="C508" s="283"/>
      <c r="R508" s="10"/>
    </row>
    <row r="509">
      <c r="A509" s="283"/>
      <c r="B509" s="307"/>
      <c r="C509" s="283"/>
      <c r="R509" s="10"/>
    </row>
    <row r="510">
      <c r="A510" s="283"/>
      <c r="B510" s="307"/>
      <c r="C510" s="283"/>
      <c r="R510" s="10"/>
    </row>
    <row r="511">
      <c r="A511" s="283"/>
      <c r="B511" s="307"/>
      <c r="C511" s="283"/>
      <c r="R511" s="10"/>
    </row>
    <row r="512">
      <c r="A512" s="283"/>
      <c r="B512" s="307"/>
      <c r="C512" s="283"/>
      <c r="R512" s="10"/>
    </row>
    <row r="513">
      <c r="A513" s="283"/>
      <c r="B513" s="307"/>
      <c r="C513" s="283"/>
      <c r="R513" s="10"/>
    </row>
    <row r="514">
      <c r="A514" s="283"/>
      <c r="B514" s="307"/>
      <c r="C514" s="283"/>
      <c r="R514" s="10"/>
    </row>
    <row r="515">
      <c r="A515" s="283"/>
      <c r="B515" s="307"/>
      <c r="C515" s="283"/>
      <c r="R515" s="10"/>
    </row>
    <row r="516">
      <c r="A516" s="283"/>
      <c r="B516" s="307"/>
      <c r="C516" s="283"/>
      <c r="R516" s="10"/>
    </row>
    <row r="517">
      <c r="A517" s="283"/>
      <c r="B517" s="307"/>
      <c r="C517" s="283"/>
      <c r="R517" s="10"/>
    </row>
    <row r="518">
      <c r="A518" s="283"/>
      <c r="B518" s="307"/>
      <c r="C518" s="283"/>
      <c r="R518" s="10"/>
    </row>
    <row r="519">
      <c r="A519" s="283"/>
      <c r="B519" s="307"/>
      <c r="C519" s="283"/>
      <c r="R519" s="10"/>
    </row>
    <row r="520">
      <c r="A520" s="283"/>
      <c r="B520" s="307"/>
      <c r="C520" s="283"/>
      <c r="R520" s="10"/>
    </row>
    <row r="521">
      <c r="A521" s="283"/>
      <c r="B521" s="307"/>
      <c r="C521" s="283"/>
      <c r="R521" s="10"/>
    </row>
    <row r="522">
      <c r="A522" s="283"/>
      <c r="B522" s="307"/>
      <c r="C522" s="283"/>
      <c r="R522" s="10"/>
    </row>
    <row r="523">
      <c r="A523" s="283"/>
      <c r="B523" s="307"/>
      <c r="C523" s="283"/>
      <c r="R523" s="10"/>
    </row>
    <row r="524">
      <c r="A524" s="283"/>
      <c r="B524" s="307"/>
      <c r="C524" s="283"/>
      <c r="R524" s="10"/>
    </row>
    <row r="525">
      <c r="A525" s="283"/>
      <c r="B525" s="307"/>
      <c r="C525" s="283"/>
      <c r="R525" s="10"/>
    </row>
    <row r="526">
      <c r="A526" s="283"/>
      <c r="B526" s="307"/>
      <c r="C526" s="283"/>
      <c r="R526" s="10"/>
    </row>
    <row r="527">
      <c r="A527" s="283"/>
      <c r="B527" s="307"/>
      <c r="C527" s="283"/>
      <c r="R527" s="10"/>
    </row>
    <row r="528">
      <c r="A528" s="283"/>
      <c r="B528" s="307"/>
      <c r="C528" s="283"/>
      <c r="R528" s="10"/>
    </row>
    <row r="529">
      <c r="A529" s="283"/>
      <c r="B529" s="307"/>
      <c r="C529" s="283"/>
      <c r="R529" s="10"/>
    </row>
    <row r="530">
      <c r="A530" s="283"/>
      <c r="B530" s="307"/>
      <c r="C530" s="283"/>
      <c r="R530" s="10"/>
    </row>
    <row r="531">
      <c r="A531" s="283"/>
      <c r="B531" s="307"/>
      <c r="C531" s="283"/>
      <c r="R531" s="10"/>
    </row>
    <row r="532">
      <c r="A532" s="283"/>
      <c r="B532" s="307"/>
      <c r="C532" s="283"/>
      <c r="R532" s="10"/>
    </row>
    <row r="533">
      <c r="A533" s="283"/>
      <c r="B533" s="307"/>
      <c r="C533" s="283"/>
      <c r="R533" s="10"/>
    </row>
    <row r="534">
      <c r="A534" s="283"/>
      <c r="B534" s="307"/>
      <c r="C534" s="283"/>
      <c r="R534" s="10"/>
    </row>
    <row r="535">
      <c r="A535" s="283"/>
      <c r="B535" s="307"/>
      <c r="C535" s="283"/>
      <c r="R535" s="10"/>
    </row>
    <row r="536">
      <c r="A536" s="283"/>
      <c r="B536" s="307"/>
      <c r="C536" s="283"/>
      <c r="R536" s="10"/>
    </row>
    <row r="537">
      <c r="A537" s="283"/>
      <c r="B537" s="307"/>
      <c r="C537" s="283"/>
      <c r="R537" s="10"/>
    </row>
    <row r="538">
      <c r="A538" s="283"/>
      <c r="B538" s="307"/>
      <c r="C538" s="283"/>
      <c r="R538" s="10"/>
    </row>
    <row r="539">
      <c r="A539" s="283"/>
      <c r="B539" s="307"/>
      <c r="C539" s="283"/>
      <c r="R539" s="10"/>
    </row>
    <row r="540">
      <c r="A540" s="283"/>
      <c r="B540" s="307"/>
      <c r="C540" s="283"/>
      <c r="R540" s="10"/>
    </row>
    <row r="541">
      <c r="A541" s="283"/>
      <c r="B541" s="307"/>
      <c r="C541" s="283"/>
      <c r="R541" s="10"/>
    </row>
    <row r="542">
      <c r="A542" s="283"/>
      <c r="B542" s="307"/>
      <c r="C542" s="283"/>
      <c r="R542" s="10"/>
    </row>
    <row r="543">
      <c r="A543" s="283"/>
      <c r="B543" s="307"/>
      <c r="C543" s="283"/>
      <c r="R543" s="10"/>
    </row>
    <row r="544">
      <c r="A544" s="283"/>
      <c r="B544" s="307"/>
      <c r="C544" s="283"/>
      <c r="R544" s="10"/>
    </row>
    <row r="545">
      <c r="A545" s="283"/>
      <c r="B545" s="307"/>
      <c r="C545" s="283"/>
      <c r="R545" s="10"/>
    </row>
    <row r="546">
      <c r="A546" s="283"/>
      <c r="B546" s="307"/>
      <c r="C546" s="283"/>
      <c r="R546" s="10"/>
    </row>
    <row r="547">
      <c r="A547" s="283"/>
      <c r="B547" s="307"/>
      <c r="C547" s="283"/>
      <c r="R547" s="10"/>
    </row>
    <row r="548">
      <c r="A548" s="283"/>
      <c r="B548" s="307"/>
      <c r="C548" s="283"/>
      <c r="R548" s="10"/>
    </row>
    <row r="549">
      <c r="A549" s="283"/>
      <c r="B549" s="307"/>
      <c r="C549" s="283"/>
      <c r="R549" s="10"/>
    </row>
    <row r="550">
      <c r="A550" s="283"/>
      <c r="B550" s="307"/>
      <c r="C550" s="283"/>
      <c r="R550" s="10"/>
    </row>
    <row r="551">
      <c r="A551" s="283"/>
      <c r="B551" s="307"/>
      <c r="C551" s="283"/>
      <c r="R551" s="10"/>
    </row>
    <row r="552">
      <c r="A552" s="283"/>
      <c r="B552" s="307"/>
      <c r="C552" s="283"/>
      <c r="R552" s="10"/>
    </row>
    <row r="553">
      <c r="A553" s="283"/>
      <c r="B553" s="307"/>
      <c r="C553" s="283"/>
      <c r="R553" s="10"/>
    </row>
    <row r="554">
      <c r="A554" s="283"/>
      <c r="B554" s="307"/>
      <c r="C554" s="283"/>
      <c r="R554" s="10"/>
    </row>
    <row r="555">
      <c r="A555" s="283"/>
      <c r="B555" s="307"/>
      <c r="C555" s="283"/>
      <c r="R555" s="10"/>
    </row>
    <row r="556">
      <c r="A556" s="283"/>
      <c r="B556" s="307"/>
      <c r="C556" s="283"/>
      <c r="R556" s="10"/>
    </row>
    <row r="557">
      <c r="A557" s="283"/>
      <c r="B557" s="307"/>
      <c r="C557" s="283"/>
      <c r="R557" s="10"/>
    </row>
    <row r="558">
      <c r="A558" s="283"/>
      <c r="B558" s="307"/>
      <c r="C558" s="283"/>
      <c r="R558" s="10"/>
    </row>
    <row r="559">
      <c r="A559" s="283"/>
      <c r="B559" s="307"/>
      <c r="C559" s="283"/>
      <c r="R559" s="10"/>
    </row>
    <row r="560">
      <c r="A560" s="283"/>
      <c r="B560" s="307"/>
      <c r="C560" s="283"/>
      <c r="R560" s="10"/>
    </row>
    <row r="561">
      <c r="A561" s="283"/>
      <c r="B561" s="307"/>
      <c r="C561" s="283"/>
      <c r="R561" s="10"/>
    </row>
    <row r="562">
      <c r="A562" s="283"/>
      <c r="B562" s="307"/>
      <c r="C562" s="283"/>
      <c r="R562" s="10"/>
    </row>
    <row r="563">
      <c r="A563" s="283"/>
      <c r="B563" s="307"/>
      <c r="C563" s="283"/>
      <c r="R563" s="10"/>
    </row>
    <row r="564">
      <c r="A564" s="283"/>
      <c r="B564" s="307"/>
      <c r="C564" s="283"/>
      <c r="R564" s="10"/>
    </row>
    <row r="565">
      <c r="A565" s="283"/>
      <c r="B565" s="307"/>
      <c r="C565" s="283"/>
      <c r="R565" s="10"/>
    </row>
    <row r="566">
      <c r="A566" s="283"/>
      <c r="B566" s="307"/>
      <c r="C566" s="283"/>
      <c r="R566" s="10"/>
    </row>
    <row r="567">
      <c r="A567" s="283"/>
      <c r="B567" s="307"/>
      <c r="C567" s="283"/>
      <c r="R567" s="10"/>
    </row>
    <row r="568">
      <c r="A568" s="283"/>
      <c r="B568" s="307"/>
      <c r="C568" s="283"/>
      <c r="R568" s="10"/>
    </row>
    <row r="569">
      <c r="A569" s="283"/>
      <c r="B569" s="307"/>
      <c r="C569" s="283"/>
      <c r="R569" s="10"/>
    </row>
    <row r="570">
      <c r="A570" s="283"/>
      <c r="B570" s="307"/>
      <c r="C570" s="283"/>
      <c r="R570" s="10"/>
    </row>
    <row r="571">
      <c r="A571" s="283"/>
      <c r="B571" s="307"/>
      <c r="C571" s="283"/>
      <c r="R571" s="10"/>
    </row>
    <row r="572">
      <c r="A572" s="283"/>
      <c r="B572" s="307"/>
      <c r="C572" s="283"/>
      <c r="R572" s="10"/>
    </row>
    <row r="573">
      <c r="A573" s="283"/>
      <c r="B573" s="307"/>
      <c r="C573" s="283"/>
      <c r="R573" s="10"/>
    </row>
    <row r="574">
      <c r="A574" s="283"/>
      <c r="B574" s="307"/>
      <c r="C574" s="283"/>
      <c r="R574" s="10"/>
    </row>
    <row r="575">
      <c r="A575" s="283"/>
      <c r="B575" s="307"/>
      <c r="C575" s="283"/>
      <c r="R575" s="10"/>
    </row>
    <row r="576">
      <c r="A576" s="283"/>
      <c r="B576" s="307"/>
      <c r="C576" s="283"/>
      <c r="R576" s="10"/>
    </row>
    <row r="577">
      <c r="A577" s="283"/>
      <c r="B577" s="307"/>
      <c r="C577" s="283"/>
      <c r="R577" s="10"/>
    </row>
    <row r="578">
      <c r="A578" s="283"/>
      <c r="B578" s="307"/>
      <c r="C578" s="283"/>
      <c r="R578" s="10"/>
    </row>
    <row r="579">
      <c r="A579" s="283"/>
      <c r="B579" s="307"/>
      <c r="C579" s="283"/>
      <c r="R579" s="10"/>
    </row>
    <row r="580">
      <c r="A580" s="283"/>
      <c r="B580" s="307"/>
      <c r="C580" s="283"/>
      <c r="R580" s="10"/>
    </row>
    <row r="581">
      <c r="A581" s="283"/>
      <c r="B581" s="307"/>
      <c r="C581" s="283"/>
      <c r="R581" s="10"/>
    </row>
    <row r="582">
      <c r="A582" s="283"/>
      <c r="B582" s="307"/>
      <c r="C582" s="283"/>
      <c r="R582" s="10"/>
    </row>
    <row r="583">
      <c r="A583" s="283"/>
      <c r="B583" s="307"/>
      <c r="C583" s="283"/>
      <c r="R583" s="10"/>
    </row>
    <row r="584">
      <c r="A584" s="283"/>
      <c r="B584" s="307"/>
      <c r="C584" s="283"/>
      <c r="R584" s="10"/>
    </row>
    <row r="585">
      <c r="A585" s="283"/>
      <c r="B585" s="307"/>
      <c r="C585" s="283"/>
      <c r="R585" s="10"/>
    </row>
    <row r="586">
      <c r="A586" s="283"/>
      <c r="B586" s="307"/>
      <c r="C586" s="283"/>
      <c r="R586" s="10"/>
    </row>
    <row r="587">
      <c r="A587" s="283"/>
      <c r="B587" s="307"/>
      <c r="C587" s="283"/>
      <c r="R587" s="10"/>
    </row>
    <row r="588">
      <c r="A588" s="283"/>
      <c r="B588" s="307"/>
      <c r="C588" s="283"/>
      <c r="R588" s="10"/>
    </row>
    <row r="589">
      <c r="A589" s="283"/>
      <c r="B589" s="307"/>
      <c r="C589" s="283"/>
      <c r="R589" s="10"/>
    </row>
    <row r="590">
      <c r="A590" s="283"/>
      <c r="B590" s="307"/>
      <c r="C590" s="283"/>
      <c r="R590" s="10"/>
    </row>
    <row r="591">
      <c r="A591" s="283"/>
      <c r="B591" s="307"/>
      <c r="C591" s="283"/>
      <c r="R591" s="10"/>
    </row>
    <row r="592">
      <c r="A592" s="283"/>
      <c r="B592" s="307"/>
      <c r="C592" s="283"/>
      <c r="R592" s="10"/>
    </row>
    <row r="593">
      <c r="A593" s="283"/>
      <c r="B593" s="307"/>
      <c r="C593" s="283"/>
      <c r="R593" s="10"/>
    </row>
    <row r="594">
      <c r="A594" s="283"/>
      <c r="B594" s="307"/>
      <c r="C594" s="283"/>
      <c r="R594" s="10"/>
    </row>
    <row r="595">
      <c r="A595" s="283"/>
      <c r="B595" s="307"/>
      <c r="C595" s="283"/>
      <c r="R595" s="10"/>
    </row>
    <row r="596">
      <c r="A596" s="283"/>
      <c r="B596" s="307"/>
      <c r="C596" s="283"/>
      <c r="R596" s="10"/>
    </row>
    <row r="597">
      <c r="A597" s="283"/>
      <c r="B597" s="307"/>
      <c r="C597" s="283"/>
      <c r="R597" s="10"/>
    </row>
    <row r="598">
      <c r="A598" s="283"/>
      <c r="B598" s="307"/>
      <c r="C598" s="283"/>
      <c r="R598" s="10"/>
    </row>
    <row r="599">
      <c r="A599" s="283"/>
      <c r="B599" s="307"/>
      <c r="C599" s="283"/>
      <c r="R599" s="10"/>
    </row>
    <row r="600">
      <c r="A600" s="283"/>
      <c r="B600" s="307"/>
      <c r="C600" s="283"/>
      <c r="R600" s="10"/>
    </row>
    <row r="601">
      <c r="A601" s="283"/>
      <c r="B601" s="307"/>
      <c r="C601" s="283"/>
      <c r="R601" s="10"/>
    </row>
    <row r="602">
      <c r="A602" s="283"/>
      <c r="B602" s="307"/>
      <c r="C602" s="283"/>
      <c r="R602" s="10"/>
    </row>
    <row r="603">
      <c r="A603" s="283"/>
      <c r="B603" s="307"/>
      <c r="C603" s="283"/>
      <c r="R603" s="10"/>
    </row>
    <row r="604">
      <c r="A604" s="283"/>
      <c r="B604" s="307"/>
      <c r="C604" s="283"/>
      <c r="R604" s="10"/>
    </row>
    <row r="605">
      <c r="A605" s="283"/>
      <c r="B605" s="307"/>
      <c r="C605" s="283"/>
      <c r="R605" s="10"/>
    </row>
    <row r="606">
      <c r="A606" s="283"/>
      <c r="B606" s="307"/>
      <c r="C606" s="283"/>
      <c r="R606" s="10"/>
    </row>
    <row r="607">
      <c r="A607" s="283"/>
      <c r="B607" s="307"/>
      <c r="C607" s="283"/>
      <c r="R607" s="10"/>
    </row>
    <row r="608">
      <c r="A608" s="283"/>
      <c r="B608" s="307"/>
      <c r="C608" s="283"/>
      <c r="R608" s="10"/>
    </row>
    <row r="609">
      <c r="A609" s="283"/>
      <c r="B609" s="307"/>
      <c r="C609" s="283"/>
      <c r="R609" s="10"/>
    </row>
    <row r="610">
      <c r="A610" s="283"/>
      <c r="B610" s="307"/>
      <c r="C610" s="283"/>
      <c r="R610" s="10"/>
    </row>
    <row r="611">
      <c r="A611" s="283"/>
      <c r="B611" s="307"/>
      <c r="C611" s="283"/>
      <c r="R611" s="10"/>
    </row>
    <row r="612">
      <c r="A612" s="283"/>
      <c r="B612" s="307"/>
      <c r="C612" s="283"/>
      <c r="R612" s="10"/>
    </row>
    <row r="613">
      <c r="A613" s="283"/>
      <c r="B613" s="307"/>
      <c r="C613" s="283"/>
      <c r="R613" s="10"/>
    </row>
    <row r="614">
      <c r="A614" s="283"/>
      <c r="B614" s="307"/>
      <c r="C614" s="283"/>
      <c r="R614" s="10"/>
    </row>
    <row r="615">
      <c r="A615" s="283"/>
      <c r="B615" s="307"/>
      <c r="C615" s="283"/>
      <c r="R615" s="10"/>
    </row>
    <row r="616">
      <c r="A616" s="283"/>
      <c r="B616" s="307"/>
      <c r="C616" s="283"/>
      <c r="R616" s="10"/>
    </row>
    <row r="617">
      <c r="A617" s="283"/>
      <c r="B617" s="307"/>
      <c r="C617" s="283"/>
      <c r="R617" s="10"/>
    </row>
    <row r="618">
      <c r="A618" s="283"/>
      <c r="B618" s="307"/>
      <c r="C618" s="283"/>
      <c r="R618" s="10"/>
    </row>
    <row r="619">
      <c r="A619" s="283"/>
      <c r="B619" s="307"/>
      <c r="C619" s="283"/>
      <c r="R619" s="10"/>
    </row>
    <row r="620">
      <c r="A620" s="283"/>
      <c r="B620" s="307"/>
      <c r="C620" s="283"/>
      <c r="R620" s="10"/>
    </row>
    <row r="621">
      <c r="A621" s="283"/>
      <c r="B621" s="307"/>
      <c r="C621" s="283"/>
      <c r="R621" s="10"/>
    </row>
    <row r="622">
      <c r="A622" s="283"/>
      <c r="B622" s="307"/>
      <c r="C622" s="283"/>
      <c r="R622" s="10"/>
    </row>
    <row r="623">
      <c r="A623" s="283"/>
      <c r="B623" s="307"/>
      <c r="C623" s="283"/>
      <c r="R623" s="10"/>
    </row>
    <row r="624">
      <c r="A624" s="283"/>
      <c r="B624" s="307"/>
      <c r="C624" s="283"/>
      <c r="R624" s="10"/>
    </row>
    <row r="625">
      <c r="A625" s="283"/>
      <c r="B625" s="307"/>
      <c r="C625" s="283"/>
      <c r="R625" s="10"/>
    </row>
    <row r="626">
      <c r="A626" s="283"/>
      <c r="B626" s="307"/>
      <c r="C626" s="283"/>
      <c r="R626" s="10"/>
    </row>
    <row r="627">
      <c r="A627" s="283"/>
      <c r="B627" s="307"/>
      <c r="C627" s="283"/>
      <c r="R627" s="10"/>
    </row>
    <row r="628">
      <c r="A628" s="283"/>
      <c r="B628" s="307"/>
      <c r="C628" s="283"/>
      <c r="R628" s="10"/>
    </row>
    <row r="629">
      <c r="A629" s="283"/>
      <c r="B629" s="307"/>
      <c r="C629" s="283"/>
      <c r="R629" s="10"/>
    </row>
    <row r="630">
      <c r="A630" s="283"/>
      <c r="B630" s="307"/>
      <c r="C630" s="283"/>
      <c r="R630" s="10"/>
    </row>
    <row r="631">
      <c r="A631" s="283"/>
      <c r="B631" s="307"/>
      <c r="C631" s="283"/>
      <c r="R631" s="10"/>
    </row>
    <row r="632">
      <c r="A632" s="283"/>
      <c r="B632" s="307"/>
      <c r="C632" s="283"/>
      <c r="R632" s="10"/>
    </row>
    <row r="633">
      <c r="A633" s="283"/>
      <c r="B633" s="307"/>
      <c r="C633" s="283"/>
      <c r="R633" s="10"/>
    </row>
    <row r="634">
      <c r="A634" s="283"/>
      <c r="B634" s="307"/>
      <c r="C634" s="283"/>
      <c r="R634" s="10"/>
    </row>
    <row r="635">
      <c r="A635" s="283"/>
      <c r="B635" s="307"/>
      <c r="C635" s="283"/>
      <c r="R635" s="10"/>
    </row>
    <row r="636">
      <c r="A636" s="283"/>
      <c r="B636" s="307"/>
      <c r="C636" s="283"/>
      <c r="R636" s="10"/>
    </row>
    <row r="637">
      <c r="A637" s="283"/>
      <c r="B637" s="307"/>
      <c r="C637" s="283"/>
      <c r="R637" s="10"/>
    </row>
    <row r="638">
      <c r="A638" s="283"/>
      <c r="B638" s="307"/>
      <c r="C638" s="283"/>
      <c r="R638" s="10"/>
    </row>
    <row r="639">
      <c r="A639" s="283"/>
      <c r="B639" s="307"/>
      <c r="C639" s="283"/>
      <c r="R639" s="10"/>
    </row>
    <row r="640">
      <c r="A640" s="283"/>
      <c r="B640" s="307"/>
      <c r="C640" s="283"/>
      <c r="R640" s="10"/>
    </row>
    <row r="641">
      <c r="A641" s="283"/>
      <c r="B641" s="307"/>
      <c r="C641" s="283"/>
      <c r="R641" s="10"/>
    </row>
    <row r="642">
      <c r="A642" s="283"/>
      <c r="B642" s="307"/>
      <c r="C642" s="283"/>
      <c r="R642" s="10"/>
    </row>
    <row r="643">
      <c r="A643" s="283"/>
      <c r="B643" s="307"/>
      <c r="C643" s="283"/>
      <c r="R643" s="10"/>
    </row>
    <row r="644">
      <c r="A644" s="283"/>
      <c r="B644" s="307"/>
      <c r="C644" s="283"/>
      <c r="R644" s="10"/>
    </row>
    <row r="645">
      <c r="A645" s="283"/>
      <c r="B645" s="307"/>
      <c r="C645" s="283"/>
      <c r="R645" s="10"/>
    </row>
    <row r="646">
      <c r="A646" s="283"/>
      <c r="B646" s="307"/>
      <c r="C646" s="283"/>
      <c r="R646" s="10"/>
    </row>
    <row r="647">
      <c r="A647" s="283"/>
      <c r="B647" s="307"/>
      <c r="C647" s="283"/>
      <c r="R647" s="10"/>
    </row>
    <row r="648">
      <c r="A648" s="283"/>
      <c r="B648" s="307"/>
      <c r="C648" s="283"/>
      <c r="R648" s="10"/>
    </row>
    <row r="649">
      <c r="A649" s="283"/>
      <c r="B649" s="307"/>
      <c r="C649" s="283"/>
      <c r="R649" s="10"/>
    </row>
    <row r="650">
      <c r="A650" s="283"/>
      <c r="B650" s="307"/>
      <c r="C650" s="283"/>
      <c r="R650" s="10"/>
    </row>
    <row r="651">
      <c r="A651" s="283"/>
      <c r="B651" s="307"/>
      <c r="C651" s="283"/>
      <c r="R651" s="10"/>
    </row>
    <row r="652">
      <c r="A652" s="283"/>
      <c r="B652" s="307"/>
      <c r="C652" s="283"/>
      <c r="R652" s="10"/>
    </row>
    <row r="653">
      <c r="A653" s="283"/>
      <c r="B653" s="307"/>
      <c r="C653" s="283"/>
      <c r="R653" s="10"/>
    </row>
    <row r="654">
      <c r="A654" s="283"/>
      <c r="B654" s="307"/>
      <c r="C654" s="283"/>
      <c r="R654" s="10"/>
    </row>
    <row r="655">
      <c r="A655" s="283"/>
      <c r="B655" s="307"/>
      <c r="C655" s="283"/>
      <c r="R655" s="10"/>
    </row>
    <row r="656">
      <c r="A656" s="283"/>
      <c r="B656" s="307"/>
      <c r="C656" s="283"/>
      <c r="R656" s="10"/>
    </row>
    <row r="657">
      <c r="A657" s="283"/>
      <c r="B657" s="307"/>
      <c r="C657" s="283"/>
      <c r="R657" s="10"/>
    </row>
    <row r="658">
      <c r="A658" s="283"/>
      <c r="B658" s="307"/>
      <c r="C658" s="283"/>
      <c r="R658" s="10"/>
    </row>
    <row r="659">
      <c r="A659" s="283"/>
      <c r="B659" s="307"/>
      <c r="C659" s="283"/>
      <c r="R659" s="10"/>
    </row>
    <row r="660">
      <c r="A660" s="283"/>
      <c r="B660" s="307"/>
      <c r="C660" s="283"/>
      <c r="R660" s="10"/>
    </row>
    <row r="661">
      <c r="A661" s="283"/>
      <c r="B661" s="307"/>
      <c r="C661" s="283"/>
      <c r="R661" s="10"/>
    </row>
    <row r="662">
      <c r="A662" s="283"/>
      <c r="B662" s="307"/>
      <c r="C662" s="283"/>
      <c r="R662" s="10"/>
    </row>
    <row r="663">
      <c r="A663" s="283"/>
      <c r="B663" s="307"/>
      <c r="C663" s="283"/>
      <c r="R663" s="10"/>
    </row>
    <row r="664">
      <c r="A664" s="283"/>
      <c r="B664" s="307"/>
      <c r="C664" s="283"/>
      <c r="R664" s="10"/>
    </row>
    <row r="665">
      <c r="A665" s="283"/>
      <c r="B665" s="307"/>
      <c r="C665" s="283"/>
      <c r="R665" s="10"/>
    </row>
    <row r="666">
      <c r="A666" s="283"/>
      <c r="B666" s="307"/>
      <c r="C666" s="283"/>
      <c r="R666" s="10"/>
    </row>
    <row r="667">
      <c r="A667" s="283"/>
      <c r="B667" s="307"/>
      <c r="C667" s="283"/>
      <c r="R667" s="10"/>
    </row>
    <row r="668">
      <c r="A668" s="283"/>
      <c r="B668" s="307"/>
      <c r="C668" s="283"/>
      <c r="R668" s="10"/>
    </row>
    <row r="669">
      <c r="A669" s="283"/>
      <c r="B669" s="307"/>
      <c r="C669" s="283"/>
      <c r="R669" s="10"/>
    </row>
    <row r="670">
      <c r="A670" s="283"/>
      <c r="B670" s="307"/>
      <c r="C670" s="283"/>
      <c r="R670" s="10"/>
    </row>
    <row r="671">
      <c r="A671" s="283"/>
      <c r="B671" s="307"/>
      <c r="C671" s="283"/>
      <c r="R671" s="10"/>
    </row>
    <row r="672">
      <c r="A672" s="283"/>
      <c r="B672" s="307"/>
      <c r="C672" s="283"/>
      <c r="R672" s="10"/>
    </row>
    <row r="673">
      <c r="A673" s="283"/>
      <c r="B673" s="307"/>
      <c r="C673" s="283"/>
      <c r="R673" s="10"/>
    </row>
    <row r="674">
      <c r="A674" s="283"/>
      <c r="B674" s="307"/>
      <c r="C674" s="283"/>
      <c r="R674" s="10"/>
    </row>
    <row r="675">
      <c r="A675" s="283"/>
      <c r="B675" s="307"/>
      <c r="C675" s="283"/>
      <c r="R675" s="10"/>
    </row>
    <row r="676">
      <c r="A676" s="283"/>
      <c r="B676" s="307"/>
      <c r="C676" s="283"/>
      <c r="R676" s="10"/>
    </row>
    <row r="677">
      <c r="A677" s="283"/>
      <c r="B677" s="307"/>
      <c r="C677" s="283"/>
      <c r="R677" s="10"/>
    </row>
    <row r="678">
      <c r="A678" s="283"/>
      <c r="B678" s="307"/>
      <c r="C678" s="283"/>
      <c r="R678" s="10"/>
    </row>
    <row r="679">
      <c r="A679" s="283"/>
      <c r="B679" s="307"/>
      <c r="C679" s="283"/>
      <c r="R679" s="10"/>
    </row>
    <row r="680">
      <c r="A680" s="283"/>
      <c r="B680" s="307"/>
      <c r="C680" s="283"/>
      <c r="R680" s="10"/>
    </row>
    <row r="681">
      <c r="A681" s="283"/>
      <c r="B681" s="307"/>
      <c r="C681" s="283"/>
      <c r="R681" s="10"/>
    </row>
    <row r="682">
      <c r="A682" s="283"/>
      <c r="B682" s="307"/>
      <c r="C682" s="283"/>
      <c r="R682" s="10"/>
    </row>
    <row r="683">
      <c r="A683" s="283"/>
      <c r="B683" s="307"/>
      <c r="C683" s="283"/>
      <c r="R683" s="10"/>
    </row>
    <row r="684">
      <c r="A684" s="283"/>
      <c r="B684" s="307"/>
      <c r="C684" s="283"/>
      <c r="R684" s="10"/>
    </row>
    <row r="685">
      <c r="A685" s="283"/>
      <c r="B685" s="307"/>
      <c r="C685" s="283"/>
      <c r="R685" s="10"/>
    </row>
    <row r="686">
      <c r="A686" s="283"/>
      <c r="B686" s="307"/>
      <c r="C686" s="283"/>
      <c r="R686" s="10"/>
    </row>
    <row r="687">
      <c r="A687" s="283"/>
      <c r="B687" s="307"/>
      <c r="C687" s="283"/>
      <c r="R687" s="10"/>
    </row>
    <row r="688">
      <c r="A688" s="283"/>
      <c r="B688" s="307"/>
      <c r="C688" s="283"/>
      <c r="R688" s="10"/>
    </row>
    <row r="689">
      <c r="A689" s="283"/>
      <c r="B689" s="307"/>
      <c r="C689" s="283"/>
      <c r="R689" s="10"/>
    </row>
    <row r="690">
      <c r="A690" s="283"/>
      <c r="B690" s="307"/>
      <c r="C690" s="283"/>
      <c r="R690" s="10"/>
    </row>
    <row r="691">
      <c r="A691" s="283"/>
      <c r="B691" s="307"/>
      <c r="C691" s="283"/>
      <c r="R691" s="10"/>
    </row>
    <row r="692">
      <c r="A692" s="283"/>
      <c r="B692" s="307"/>
      <c r="C692" s="283"/>
      <c r="R692" s="10"/>
    </row>
    <row r="693">
      <c r="A693" s="283"/>
      <c r="B693" s="307"/>
      <c r="C693" s="283"/>
      <c r="R693" s="10"/>
    </row>
    <row r="694">
      <c r="A694" s="283"/>
      <c r="B694" s="307"/>
      <c r="C694" s="283"/>
      <c r="R694" s="10"/>
    </row>
    <row r="695">
      <c r="A695" s="283"/>
      <c r="B695" s="307"/>
      <c r="C695" s="283"/>
      <c r="R695" s="10"/>
    </row>
    <row r="696">
      <c r="A696" s="283"/>
      <c r="B696" s="307"/>
      <c r="C696" s="283"/>
      <c r="R696" s="10"/>
    </row>
    <row r="697">
      <c r="A697" s="283"/>
      <c r="B697" s="307"/>
      <c r="C697" s="283"/>
      <c r="R697" s="10"/>
    </row>
    <row r="698">
      <c r="A698" s="283"/>
      <c r="B698" s="307"/>
      <c r="C698" s="283"/>
      <c r="R698" s="10"/>
    </row>
    <row r="699">
      <c r="A699" s="283"/>
      <c r="B699" s="307"/>
      <c r="C699" s="283"/>
      <c r="R699" s="10"/>
    </row>
    <row r="700">
      <c r="A700" s="283"/>
      <c r="B700" s="307"/>
      <c r="C700" s="283"/>
      <c r="R700" s="10"/>
    </row>
    <row r="701">
      <c r="A701" s="283"/>
      <c r="B701" s="307"/>
      <c r="C701" s="283"/>
      <c r="R701" s="10"/>
    </row>
    <row r="702">
      <c r="A702" s="283"/>
      <c r="B702" s="307"/>
      <c r="C702" s="283"/>
      <c r="R702" s="10"/>
    </row>
    <row r="703">
      <c r="A703" s="283"/>
      <c r="B703" s="307"/>
      <c r="C703" s="283"/>
      <c r="R703" s="10"/>
    </row>
    <row r="704">
      <c r="A704" s="283"/>
      <c r="B704" s="307"/>
      <c r="C704" s="283"/>
      <c r="R704" s="10"/>
    </row>
    <row r="705">
      <c r="A705" s="283"/>
      <c r="B705" s="307"/>
      <c r="C705" s="283"/>
      <c r="R705" s="10"/>
    </row>
    <row r="706">
      <c r="A706" s="283"/>
      <c r="B706" s="307"/>
      <c r="C706" s="283"/>
      <c r="R706" s="10"/>
    </row>
    <row r="707">
      <c r="A707" s="283"/>
      <c r="B707" s="307"/>
      <c r="C707" s="283"/>
      <c r="R707" s="10"/>
    </row>
    <row r="708">
      <c r="A708" s="283"/>
      <c r="B708" s="307"/>
      <c r="C708" s="283"/>
      <c r="R708" s="10"/>
    </row>
    <row r="709">
      <c r="A709" s="283"/>
      <c r="B709" s="307"/>
      <c r="C709" s="283"/>
      <c r="R709" s="10"/>
    </row>
    <row r="710">
      <c r="A710" s="283"/>
      <c r="B710" s="307"/>
      <c r="C710" s="283"/>
      <c r="R710" s="10"/>
    </row>
    <row r="711">
      <c r="A711" s="283"/>
      <c r="B711" s="307"/>
      <c r="C711" s="283"/>
      <c r="R711" s="10"/>
    </row>
    <row r="712">
      <c r="A712" s="283"/>
      <c r="B712" s="307"/>
      <c r="C712" s="283"/>
      <c r="R712" s="10"/>
    </row>
    <row r="713">
      <c r="A713" s="283"/>
      <c r="B713" s="307"/>
      <c r="C713" s="283"/>
      <c r="R713" s="10"/>
    </row>
    <row r="714">
      <c r="A714" s="283"/>
      <c r="B714" s="307"/>
      <c r="C714" s="283"/>
      <c r="R714" s="10"/>
    </row>
    <row r="715">
      <c r="A715" s="283"/>
      <c r="B715" s="307"/>
      <c r="C715" s="283"/>
      <c r="R715" s="10"/>
    </row>
    <row r="716">
      <c r="A716" s="283"/>
      <c r="B716" s="307"/>
      <c r="C716" s="283"/>
      <c r="R716" s="10"/>
    </row>
    <row r="717">
      <c r="A717" s="283"/>
      <c r="B717" s="307"/>
      <c r="C717" s="283"/>
      <c r="R717" s="10"/>
    </row>
    <row r="718">
      <c r="A718" s="283"/>
      <c r="B718" s="307"/>
      <c r="C718" s="283"/>
      <c r="R718" s="10"/>
    </row>
    <row r="719">
      <c r="A719" s="283"/>
      <c r="B719" s="307"/>
      <c r="C719" s="283"/>
      <c r="R719" s="10"/>
    </row>
    <row r="720">
      <c r="A720" s="283"/>
      <c r="B720" s="307"/>
      <c r="C720" s="283"/>
      <c r="R720" s="10"/>
    </row>
    <row r="721">
      <c r="A721" s="283"/>
      <c r="B721" s="307"/>
      <c r="C721" s="283"/>
      <c r="R721" s="10"/>
    </row>
    <row r="722">
      <c r="A722" s="283"/>
      <c r="B722" s="307"/>
      <c r="C722" s="283"/>
      <c r="R722" s="10"/>
    </row>
    <row r="723">
      <c r="A723" s="283"/>
      <c r="B723" s="307"/>
      <c r="C723" s="283"/>
      <c r="R723" s="10"/>
    </row>
    <row r="724">
      <c r="A724" s="283"/>
      <c r="B724" s="307"/>
      <c r="C724" s="283"/>
      <c r="R724" s="10"/>
    </row>
    <row r="725">
      <c r="A725" s="283"/>
      <c r="B725" s="307"/>
      <c r="C725" s="283"/>
      <c r="R725" s="10"/>
    </row>
    <row r="726">
      <c r="A726" s="283"/>
      <c r="B726" s="307"/>
      <c r="C726" s="283"/>
      <c r="R726" s="10"/>
    </row>
    <row r="727">
      <c r="A727" s="283"/>
      <c r="B727" s="307"/>
      <c r="C727" s="283"/>
      <c r="R727" s="10"/>
    </row>
    <row r="728">
      <c r="A728" s="283"/>
      <c r="B728" s="307"/>
      <c r="C728" s="283"/>
      <c r="R728" s="10"/>
    </row>
    <row r="729">
      <c r="A729" s="283"/>
      <c r="B729" s="307"/>
      <c r="C729" s="283"/>
      <c r="R729" s="10"/>
    </row>
    <row r="730">
      <c r="A730" s="283"/>
      <c r="B730" s="307"/>
      <c r="C730" s="283"/>
      <c r="R730" s="10"/>
    </row>
    <row r="731">
      <c r="A731" s="283"/>
      <c r="B731" s="307"/>
      <c r="C731" s="283"/>
      <c r="R731" s="10"/>
    </row>
    <row r="732">
      <c r="A732" s="283"/>
      <c r="B732" s="307"/>
      <c r="C732" s="283"/>
      <c r="R732" s="10"/>
    </row>
    <row r="733">
      <c r="A733" s="283"/>
      <c r="B733" s="307"/>
      <c r="C733" s="283"/>
      <c r="R733" s="10"/>
    </row>
    <row r="734">
      <c r="A734" s="283"/>
      <c r="B734" s="307"/>
      <c r="C734" s="283"/>
      <c r="R734" s="10"/>
    </row>
    <row r="735">
      <c r="A735" s="283"/>
      <c r="B735" s="307"/>
      <c r="C735" s="283"/>
      <c r="R735" s="10"/>
    </row>
    <row r="736">
      <c r="A736" s="283"/>
      <c r="B736" s="307"/>
      <c r="C736" s="283"/>
      <c r="R736" s="10"/>
    </row>
    <row r="737">
      <c r="A737" s="283"/>
      <c r="B737" s="307"/>
      <c r="C737" s="283"/>
      <c r="R737" s="10"/>
    </row>
    <row r="738">
      <c r="A738" s="283"/>
      <c r="B738" s="307"/>
      <c r="C738" s="283"/>
      <c r="R738" s="10"/>
    </row>
    <row r="739">
      <c r="A739" s="283"/>
      <c r="B739" s="307"/>
      <c r="C739" s="283"/>
      <c r="R739" s="10"/>
    </row>
    <row r="740">
      <c r="A740" s="283"/>
      <c r="B740" s="307"/>
      <c r="C740" s="283"/>
      <c r="R740" s="10"/>
    </row>
    <row r="741">
      <c r="A741" s="283"/>
      <c r="B741" s="307"/>
      <c r="C741" s="283"/>
      <c r="R741" s="10"/>
    </row>
    <row r="742">
      <c r="A742" s="283"/>
      <c r="B742" s="307"/>
      <c r="C742" s="283"/>
      <c r="R742" s="10"/>
    </row>
    <row r="743">
      <c r="A743" s="283"/>
      <c r="B743" s="307"/>
      <c r="C743" s="283"/>
      <c r="R743" s="10"/>
    </row>
    <row r="744">
      <c r="A744" s="283"/>
      <c r="B744" s="307"/>
      <c r="C744" s="283"/>
      <c r="R744" s="10"/>
    </row>
    <row r="745">
      <c r="A745" s="283"/>
      <c r="B745" s="307"/>
      <c r="C745" s="283"/>
      <c r="R745" s="10"/>
    </row>
    <row r="746">
      <c r="A746" s="283"/>
      <c r="B746" s="307"/>
      <c r="C746" s="283"/>
      <c r="R746" s="10"/>
    </row>
    <row r="747">
      <c r="A747" s="283"/>
      <c r="B747" s="307"/>
      <c r="C747" s="283"/>
      <c r="R747" s="10"/>
    </row>
    <row r="748">
      <c r="A748" s="283"/>
      <c r="B748" s="307"/>
      <c r="C748" s="283"/>
      <c r="R748" s="10"/>
    </row>
    <row r="749">
      <c r="A749" s="283"/>
      <c r="B749" s="307"/>
      <c r="C749" s="283"/>
      <c r="R749" s="10"/>
    </row>
    <row r="750">
      <c r="A750" s="283"/>
      <c r="B750" s="307"/>
      <c r="C750" s="283"/>
      <c r="R750" s="10"/>
    </row>
    <row r="751">
      <c r="A751" s="283"/>
      <c r="B751" s="307"/>
      <c r="C751" s="283"/>
      <c r="R751" s="10"/>
    </row>
    <row r="752">
      <c r="A752" s="283"/>
      <c r="B752" s="307"/>
      <c r="C752" s="283"/>
      <c r="R752" s="10"/>
    </row>
    <row r="753">
      <c r="A753" s="283"/>
      <c r="B753" s="307"/>
      <c r="C753" s="283"/>
      <c r="R753" s="10"/>
    </row>
    <row r="754">
      <c r="A754" s="283"/>
      <c r="B754" s="307"/>
      <c r="C754" s="283"/>
      <c r="R754" s="10"/>
    </row>
    <row r="755">
      <c r="A755" s="283"/>
      <c r="B755" s="307"/>
      <c r="C755" s="283"/>
      <c r="R755" s="10"/>
    </row>
    <row r="756">
      <c r="A756" s="283"/>
      <c r="B756" s="307"/>
      <c r="C756" s="283"/>
      <c r="R756" s="10"/>
    </row>
    <row r="757">
      <c r="A757" s="283"/>
      <c r="B757" s="307"/>
      <c r="C757" s="283"/>
      <c r="R757" s="10"/>
    </row>
    <row r="758">
      <c r="A758" s="283"/>
      <c r="B758" s="307"/>
      <c r="C758" s="283"/>
      <c r="R758" s="10"/>
    </row>
    <row r="759">
      <c r="A759" s="283"/>
      <c r="B759" s="307"/>
      <c r="C759" s="283"/>
      <c r="R759" s="10"/>
    </row>
    <row r="760">
      <c r="A760" s="283"/>
      <c r="B760" s="307"/>
      <c r="C760" s="283"/>
      <c r="R760" s="10"/>
    </row>
    <row r="761">
      <c r="A761" s="283"/>
      <c r="B761" s="307"/>
      <c r="C761" s="283"/>
      <c r="R761" s="10"/>
    </row>
    <row r="762">
      <c r="A762" s="283"/>
      <c r="B762" s="307"/>
      <c r="C762" s="283"/>
      <c r="R762" s="10"/>
    </row>
    <row r="763">
      <c r="A763" s="283"/>
      <c r="B763" s="307"/>
      <c r="C763" s="283"/>
      <c r="R763" s="10"/>
    </row>
    <row r="764">
      <c r="A764" s="283"/>
      <c r="B764" s="307"/>
      <c r="C764" s="283"/>
      <c r="R764" s="10"/>
    </row>
    <row r="765">
      <c r="A765" s="283"/>
      <c r="B765" s="307"/>
      <c r="C765" s="283"/>
      <c r="R765" s="10"/>
    </row>
    <row r="766">
      <c r="A766" s="283"/>
      <c r="B766" s="307"/>
      <c r="C766" s="283"/>
      <c r="R766" s="10"/>
    </row>
    <row r="767">
      <c r="A767" s="283"/>
      <c r="B767" s="307"/>
      <c r="C767" s="283"/>
      <c r="R767" s="10"/>
    </row>
    <row r="768">
      <c r="A768" s="283"/>
      <c r="B768" s="307"/>
      <c r="C768" s="283"/>
      <c r="R768" s="10"/>
    </row>
    <row r="769">
      <c r="A769" s="283"/>
      <c r="B769" s="307"/>
      <c r="C769" s="283"/>
      <c r="R769" s="10"/>
    </row>
    <row r="770">
      <c r="A770" s="283"/>
      <c r="B770" s="307"/>
      <c r="C770" s="283"/>
      <c r="R770" s="10"/>
    </row>
    <row r="771">
      <c r="A771" s="283"/>
      <c r="B771" s="307"/>
      <c r="C771" s="283"/>
      <c r="R771" s="10"/>
    </row>
    <row r="772">
      <c r="A772" s="283"/>
      <c r="B772" s="307"/>
      <c r="C772" s="283"/>
      <c r="R772" s="10"/>
    </row>
    <row r="773">
      <c r="A773" s="283"/>
      <c r="B773" s="307"/>
      <c r="C773" s="283"/>
      <c r="R773" s="10"/>
    </row>
    <row r="774">
      <c r="A774" s="283"/>
      <c r="B774" s="307"/>
      <c r="C774" s="283"/>
      <c r="R774" s="10"/>
    </row>
    <row r="775">
      <c r="A775" s="283"/>
      <c r="B775" s="307"/>
      <c r="C775" s="283"/>
      <c r="R775" s="10"/>
    </row>
    <row r="776">
      <c r="A776" s="283"/>
      <c r="B776" s="307"/>
      <c r="C776" s="283"/>
      <c r="R776" s="10"/>
    </row>
    <row r="777">
      <c r="A777" s="283"/>
      <c r="B777" s="307"/>
      <c r="C777" s="283"/>
      <c r="R777" s="10"/>
    </row>
    <row r="778">
      <c r="A778" s="283"/>
      <c r="B778" s="307"/>
      <c r="C778" s="283"/>
      <c r="R778" s="10"/>
    </row>
    <row r="779">
      <c r="A779" s="283"/>
      <c r="B779" s="307"/>
      <c r="C779" s="283"/>
      <c r="R779" s="10"/>
    </row>
    <row r="780">
      <c r="A780" s="283"/>
      <c r="B780" s="307"/>
      <c r="C780" s="283"/>
      <c r="R780" s="10"/>
    </row>
    <row r="781">
      <c r="A781" s="283"/>
      <c r="B781" s="307"/>
      <c r="C781" s="283"/>
      <c r="R781" s="10"/>
    </row>
    <row r="782">
      <c r="A782" s="283"/>
      <c r="B782" s="307"/>
      <c r="C782" s="283"/>
      <c r="R782" s="10"/>
    </row>
    <row r="783">
      <c r="A783" s="283"/>
      <c r="B783" s="307"/>
      <c r="C783" s="283"/>
      <c r="R783" s="10"/>
    </row>
    <row r="784">
      <c r="A784" s="283"/>
      <c r="B784" s="307"/>
      <c r="C784" s="283"/>
      <c r="R784" s="10"/>
    </row>
    <row r="785">
      <c r="A785" s="283"/>
      <c r="B785" s="307"/>
      <c r="C785" s="283"/>
      <c r="R785" s="10"/>
    </row>
    <row r="786">
      <c r="A786" s="283"/>
      <c r="B786" s="307"/>
      <c r="C786" s="283"/>
      <c r="R786" s="10"/>
    </row>
    <row r="787">
      <c r="A787" s="283"/>
      <c r="B787" s="307"/>
      <c r="C787" s="283"/>
      <c r="R787" s="10"/>
    </row>
    <row r="788">
      <c r="A788" s="283"/>
      <c r="B788" s="307"/>
      <c r="C788" s="283"/>
      <c r="R788" s="10"/>
    </row>
    <row r="789">
      <c r="A789" s="283"/>
      <c r="B789" s="307"/>
      <c r="C789" s="283"/>
      <c r="R789" s="10"/>
    </row>
    <row r="790">
      <c r="A790" s="283"/>
      <c r="B790" s="307"/>
      <c r="C790" s="283"/>
      <c r="R790" s="10"/>
    </row>
    <row r="791">
      <c r="A791" s="283"/>
      <c r="B791" s="307"/>
      <c r="C791" s="283"/>
      <c r="R791" s="10"/>
    </row>
    <row r="792">
      <c r="A792" s="283"/>
      <c r="B792" s="307"/>
      <c r="C792" s="283"/>
      <c r="R792" s="10"/>
    </row>
    <row r="793">
      <c r="A793" s="283"/>
      <c r="B793" s="307"/>
      <c r="C793" s="283"/>
      <c r="R793" s="10"/>
    </row>
    <row r="794">
      <c r="A794" s="283"/>
      <c r="B794" s="307"/>
      <c r="C794" s="283"/>
      <c r="R794" s="10"/>
    </row>
    <row r="795">
      <c r="A795" s="283"/>
      <c r="B795" s="307"/>
      <c r="C795" s="283"/>
      <c r="R795" s="10"/>
    </row>
    <row r="796">
      <c r="A796" s="283"/>
      <c r="B796" s="307"/>
      <c r="C796" s="283"/>
      <c r="R796" s="10"/>
    </row>
    <row r="797">
      <c r="A797" s="283"/>
      <c r="B797" s="307"/>
      <c r="C797" s="283"/>
      <c r="R797" s="10"/>
    </row>
    <row r="798">
      <c r="A798" s="283"/>
      <c r="B798" s="307"/>
      <c r="C798" s="283"/>
      <c r="R798" s="10"/>
    </row>
    <row r="799">
      <c r="A799" s="283"/>
      <c r="B799" s="307"/>
      <c r="C799" s="283"/>
      <c r="R799" s="10"/>
    </row>
    <row r="800">
      <c r="A800" s="283"/>
      <c r="B800" s="307"/>
      <c r="C800" s="283"/>
      <c r="R800" s="10"/>
    </row>
    <row r="801">
      <c r="A801" s="283"/>
      <c r="B801" s="307"/>
      <c r="C801" s="283"/>
      <c r="R801" s="10"/>
    </row>
    <row r="802">
      <c r="A802" s="283"/>
      <c r="B802" s="307"/>
      <c r="C802" s="283"/>
      <c r="R802" s="10"/>
    </row>
    <row r="803">
      <c r="A803" s="283"/>
      <c r="B803" s="307"/>
      <c r="C803" s="283"/>
      <c r="R803" s="10"/>
    </row>
    <row r="804">
      <c r="A804" s="283"/>
      <c r="B804" s="307"/>
      <c r="C804" s="283"/>
      <c r="R804" s="10"/>
    </row>
    <row r="805">
      <c r="A805" s="283"/>
      <c r="B805" s="307"/>
      <c r="C805" s="283"/>
      <c r="R805" s="10"/>
    </row>
    <row r="806">
      <c r="A806" s="283"/>
      <c r="B806" s="307"/>
      <c r="C806" s="283"/>
      <c r="R806" s="10"/>
    </row>
    <row r="807">
      <c r="A807" s="283"/>
      <c r="B807" s="307"/>
      <c r="C807" s="283"/>
      <c r="R807" s="10"/>
    </row>
    <row r="808">
      <c r="A808" s="283"/>
      <c r="B808" s="307"/>
      <c r="C808" s="283"/>
      <c r="R808" s="10"/>
    </row>
    <row r="809">
      <c r="A809" s="283"/>
      <c r="B809" s="307"/>
      <c r="C809" s="283"/>
      <c r="R809" s="10"/>
    </row>
    <row r="810">
      <c r="A810" s="283"/>
      <c r="B810" s="307"/>
      <c r="C810" s="283"/>
      <c r="R810" s="10"/>
    </row>
    <row r="811">
      <c r="A811" s="283"/>
      <c r="B811" s="307"/>
      <c r="C811" s="283"/>
      <c r="R811" s="10"/>
    </row>
    <row r="812">
      <c r="A812" s="283"/>
      <c r="B812" s="307"/>
      <c r="C812" s="283"/>
      <c r="R812" s="10"/>
    </row>
    <row r="813">
      <c r="A813" s="283"/>
      <c r="B813" s="307"/>
      <c r="C813" s="283"/>
      <c r="R813" s="10"/>
    </row>
    <row r="814">
      <c r="A814" s="283"/>
      <c r="B814" s="307"/>
      <c r="C814" s="283"/>
      <c r="R814" s="10"/>
    </row>
    <row r="815">
      <c r="A815" s="283"/>
      <c r="B815" s="307"/>
      <c r="C815" s="283"/>
      <c r="R815" s="10"/>
    </row>
    <row r="816">
      <c r="A816" s="283"/>
      <c r="B816" s="307"/>
      <c r="C816" s="283"/>
      <c r="R816" s="10"/>
    </row>
    <row r="817">
      <c r="A817" s="283"/>
      <c r="B817" s="307"/>
      <c r="C817" s="283"/>
      <c r="R817" s="10"/>
    </row>
    <row r="818">
      <c r="A818" s="283"/>
      <c r="B818" s="307"/>
      <c r="C818" s="283"/>
      <c r="R818" s="10"/>
    </row>
    <row r="819">
      <c r="A819" s="283"/>
      <c r="B819" s="307"/>
      <c r="C819" s="283"/>
      <c r="R819" s="10"/>
    </row>
    <row r="820">
      <c r="A820" s="283"/>
      <c r="B820" s="307"/>
      <c r="C820" s="283"/>
      <c r="R820" s="10"/>
    </row>
    <row r="821">
      <c r="A821" s="283"/>
      <c r="B821" s="307"/>
      <c r="C821" s="283"/>
      <c r="R821" s="10"/>
    </row>
    <row r="822">
      <c r="A822" s="283"/>
      <c r="B822" s="307"/>
      <c r="C822" s="283"/>
      <c r="R822" s="10"/>
    </row>
    <row r="823">
      <c r="A823" s="283"/>
      <c r="B823" s="307"/>
      <c r="C823" s="283"/>
      <c r="R823" s="10"/>
    </row>
    <row r="824">
      <c r="A824" s="283"/>
      <c r="B824" s="307"/>
      <c r="C824" s="283"/>
      <c r="R824" s="10"/>
    </row>
    <row r="825">
      <c r="A825" s="283"/>
      <c r="B825" s="307"/>
      <c r="C825" s="283"/>
      <c r="R825" s="10"/>
    </row>
    <row r="826">
      <c r="A826" s="283"/>
      <c r="B826" s="307"/>
      <c r="C826" s="283"/>
      <c r="R826" s="10"/>
    </row>
    <row r="827">
      <c r="A827" s="283"/>
      <c r="B827" s="307"/>
      <c r="C827" s="283"/>
      <c r="R827" s="10"/>
    </row>
    <row r="828">
      <c r="A828" s="283"/>
      <c r="B828" s="307"/>
      <c r="C828" s="283"/>
      <c r="R828" s="10"/>
    </row>
    <row r="829">
      <c r="A829" s="283"/>
      <c r="B829" s="307"/>
      <c r="C829" s="283"/>
      <c r="R829" s="10"/>
    </row>
    <row r="830">
      <c r="A830" s="283"/>
      <c r="B830" s="307"/>
      <c r="C830" s="283"/>
      <c r="R830" s="10"/>
    </row>
    <row r="831">
      <c r="A831" s="283"/>
      <c r="B831" s="307"/>
      <c r="C831" s="283"/>
      <c r="R831" s="10"/>
    </row>
    <row r="832">
      <c r="A832" s="283"/>
      <c r="B832" s="307"/>
      <c r="C832" s="283"/>
      <c r="R832" s="10"/>
    </row>
    <row r="833">
      <c r="A833" s="283"/>
      <c r="B833" s="307"/>
      <c r="C833" s="283"/>
      <c r="R833" s="10"/>
    </row>
    <row r="834">
      <c r="A834" s="283"/>
      <c r="B834" s="307"/>
      <c r="C834" s="283"/>
      <c r="R834" s="10"/>
    </row>
    <row r="835">
      <c r="A835" s="283"/>
      <c r="B835" s="307"/>
      <c r="C835" s="283"/>
      <c r="R835" s="10"/>
    </row>
    <row r="836">
      <c r="A836" s="283"/>
      <c r="B836" s="307"/>
      <c r="C836" s="283"/>
      <c r="R836" s="10"/>
    </row>
    <row r="837">
      <c r="A837" s="283"/>
      <c r="B837" s="307"/>
      <c r="C837" s="283"/>
      <c r="R837" s="10"/>
    </row>
    <row r="838">
      <c r="A838" s="283"/>
      <c r="B838" s="307"/>
      <c r="C838" s="283"/>
      <c r="R838" s="10"/>
    </row>
    <row r="839">
      <c r="A839" s="283"/>
      <c r="B839" s="307"/>
      <c r="C839" s="283"/>
      <c r="R839" s="10"/>
    </row>
    <row r="840">
      <c r="A840" s="283"/>
      <c r="B840" s="307"/>
      <c r="C840" s="283"/>
      <c r="R840" s="10"/>
    </row>
    <row r="841">
      <c r="A841" s="283"/>
      <c r="B841" s="307"/>
      <c r="C841" s="283"/>
      <c r="R841" s="10"/>
    </row>
    <row r="842">
      <c r="A842" s="283"/>
      <c r="B842" s="307"/>
      <c r="C842" s="283"/>
      <c r="R842" s="10"/>
    </row>
    <row r="843">
      <c r="A843" s="283"/>
      <c r="B843" s="307"/>
      <c r="C843" s="283"/>
      <c r="R843" s="10"/>
    </row>
    <row r="844">
      <c r="A844" s="283"/>
      <c r="B844" s="307"/>
      <c r="C844" s="283"/>
      <c r="R844" s="10"/>
    </row>
    <row r="845">
      <c r="A845" s="283"/>
      <c r="B845" s="307"/>
      <c r="C845" s="283"/>
      <c r="R845" s="10"/>
    </row>
    <row r="846">
      <c r="A846" s="283"/>
      <c r="B846" s="307"/>
      <c r="C846" s="283"/>
      <c r="R846" s="10"/>
    </row>
    <row r="847">
      <c r="A847" s="283"/>
      <c r="B847" s="307"/>
      <c r="C847" s="283"/>
      <c r="R847" s="10"/>
    </row>
    <row r="848">
      <c r="A848" s="283"/>
      <c r="B848" s="307"/>
      <c r="C848" s="283"/>
      <c r="R848" s="10"/>
    </row>
    <row r="849">
      <c r="A849" s="283"/>
      <c r="B849" s="307"/>
      <c r="C849" s="283"/>
      <c r="R849" s="10"/>
    </row>
    <row r="850">
      <c r="A850" s="283"/>
      <c r="B850" s="307"/>
      <c r="C850" s="283"/>
      <c r="R850" s="10"/>
    </row>
    <row r="851">
      <c r="A851" s="283"/>
      <c r="B851" s="307"/>
      <c r="C851" s="283"/>
      <c r="R851" s="10"/>
    </row>
    <row r="852">
      <c r="A852" s="283"/>
      <c r="B852" s="307"/>
      <c r="C852" s="283"/>
      <c r="R852" s="10"/>
    </row>
    <row r="853">
      <c r="A853" s="283"/>
      <c r="B853" s="307"/>
      <c r="C853" s="283"/>
      <c r="R853" s="10"/>
    </row>
    <row r="854">
      <c r="A854" s="283"/>
      <c r="B854" s="307"/>
      <c r="C854" s="283"/>
      <c r="R854" s="10"/>
    </row>
    <row r="855">
      <c r="A855" s="283"/>
      <c r="B855" s="307"/>
      <c r="C855" s="283"/>
      <c r="R855" s="10"/>
    </row>
    <row r="856">
      <c r="A856" s="283"/>
      <c r="B856" s="307"/>
      <c r="C856" s="283"/>
      <c r="R856" s="10"/>
    </row>
    <row r="857">
      <c r="A857" s="283"/>
      <c r="B857" s="307"/>
      <c r="C857" s="283"/>
      <c r="R857" s="10"/>
    </row>
    <row r="858">
      <c r="A858" s="283"/>
      <c r="B858" s="307"/>
      <c r="C858" s="283"/>
      <c r="R858" s="10"/>
    </row>
    <row r="859">
      <c r="A859" s="283"/>
      <c r="B859" s="307"/>
      <c r="C859" s="283"/>
      <c r="R859" s="10"/>
    </row>
    <row r="860">
      <c r="A860" s="283"/>
      <c r="B860" s="307"/>
      <c r="C860" s="283"/>
      <c r="R860" s="10"/>
    </row>
    <row r="861">
      <c r="A861" s="283"/>
      <c r="B861" s="307"/>
      <c r="C861" s="283"/>
      <c r="R861" s="10"/>
    </row>
    <row r="862">
      <c r="A862" s="283"/>
      <c r="B862" s="307"/>
      <c r="C862" s="283"/>
      <c r="R862" s="10"/>
    </row>
    <row r="863">
      <c r="A863" s="283"/>
      <c r="B863" s="307"/>
      <c r="C863" s="283"/>
      <c r="R863" s="10"/>
    </row>
    <row r="864">
      <c r="A864" s="283"/>
      <c r="B864" s="307"/>
      <c r="C864" s="283"/>
      <c r="R864" s="10"/>
    </row>
    <row r="865">
      <c r="A865" s="283"/>
      <c r="B865" s="307"/>
      <c r="C865" s="283"/>
      <c r="R865" s="10"/>
    </row>
    <row r="866">
      <c r="A866" s="283"/>
      <c r="B866" s="307"/>
      <c r="C866" s="283"/>
      <c r="R866" s="10"/>
    </row>
    <row r="867">
      <c r="A867" s="283"/>
      <c r="B867" s="307"/>
      <c r="C867" s="283"/>
      <c r="R867" s="10"/>
    </row>
    <row r="868">
      <c r="A868" s="283"/>
      <c r="B868" s="307"/>
      <c r="C868" s="283"/>
      <c r="R868" s="10"/>
    </row>
    <row r="869">
      <c r="A869" s="283"/>
      <c r="B869" s="307"/>
      <c r="C869" s="283"/>
      <c r="R869" s="10"/>
    </row>
    <row r="870">
      <c r="A870" s="283"/>
      <c r="B870" s="307"/>
      <c r="C870" s="283"/>
      <c r="R870" s="10"/>
    </row>
    <row r="871">
      <c r="A871" s="283"/>
      <c r="B871" s="307"/>
      <c r="C871" s="283"/>
      <c r="R871" s="10"/>
    </row>
    <row r="872">
      <c r="A872" s="283"/>
      <c r="B872" s="307"/>
      <c r="C872" s="283"/>
      <c r="R872" s="10"/>
    </row>
    <row r="873">
      <c r="A873" s="283"/>
      <c r="B873" s="307"/>
      <c r="C873" s="283"/>
      <c r="R873" s="10"/>
    </row>
    <row r="874">
      <c r="A874" s="283"/>
      <c r="B874" s="307"/>
      <c r="C874" s="283"/>
      <c r="R874" s="10"/>
    </row>
    <row r="875">
      <c r="A875" s="283"/>
      <c r="B875" s="307"/>
      <c r="C875" s="283"/>
      <c r="R875" s="10"/>
    </row>
    <row r="876">
      <c r="A876" s="283"/>
      <c r="B876" s="307"/>
      <c r="C876" s="283"/>
      <c r="R876" s="10"/>
    </row>
    <row r="877">
      <c r="A877" s="283"/>
      <c r="B877" s="307"/>
      <c r="C877" s="283"/>
      <c r="R877" s="10"/>
    </row>
    <row r="878">
      <c r="A878" s="283"/>
      <c r="B878" s="307"/>
      <c r="C878" s="283"/>
      <c r="R878" s="10"/>
    </row>
    <row r="879">
      <c r="A879" s="283"/>
      <c r="B879" s="307"/>
      <c r="C879" s="283"/>
      <c r="R879" s="10"/>
    </row>
    <row r="880">
      <c r="A880" s="283"/>
      <c r="B880" s="307"/>
      <c r="C880" s="283"/>
      <c r="R880" s="10"/>
    </row>
    <row r="881">
      <c r="A881" s="283"/>
      <c r="B881" s="307"/>
      <c r="C881" s="283"/>
      <c r="R881" s="10"/>
    </row>
    <row r="882">
      <c r="A882" s="283"/>
      <c r="B882" s="307"/>
      <c r="C882" s="283"/>
      <c r="R882" s="10"/>
    </row>
    <row r="883">
      <c r="A883" s="283"/>
      <c r="B883" s="307"/>
      <c r="C883" s="283"/>
      <c r="R883" s="10"/>
    </row>
    <row r="884">
      <c r="A884" s="283"/>
      <c r="B884" s="307"/>
      <c r="C884" s="283"/>
      <c r="R884" s="10"/>
    </row>
    <row r="885">
      <c r="A885" s="283"/>
      <c r="B885" s="307"/>
      <c r="C885" s="283"/>
      <c r="R885" s="10"/>
    </row>
    <row r="886">
      <c r="A886" s="283"/>
      <c r="B886" s="307"/>
      <c r="C886" s="283"/>
      <c r="R886" s="10"/>
    </row>
    <row r="887">
      <c r="A887" s="283"/>
      <c r="B887" s="307"/>
      <c r="C887" s="283"/>
      <c r="R887" s="10"/>
    </row>
    <row r="888">
      <c r="A888" s="283"/>
      <c r="B888" s="307"/>
      <c r="C888" s="283"/>
      <c r="R888" s="10"/>
    </row>
    <row r="889">
      <c r="A889" s="283"/>
      <c r="B889" s="307"/>
      <c r="C889" s="283"/>
      <c r="R889" s="10"/>
    </row>
    <row r="890">
      <c r="A890" s="283"/>
      <c r="B890" s="307"/>
      <c r="C890" s="283"/>
      <c r="R890" s="10"/>
    </row>
    <row r="891">
      <c r="A891" s="283"/>
      <c r="B891" s="307"/>
      <c r="C891" s="283"/>
      <c r="R891" s="10"/>
    </row>
    <row r="892">
      <c r="A892" s="283"/>
      <c r="B892" s="307"/>
      <c r="C892" s="283"/>
      <c r="R892" s="10"/>
    </row>
    <row r="893">
      <c r="A893" s="283"/>
      <c r="B893" s="307"/>
      <c r="C893" s="283"/>
      <c r="R893" s="10"/>
    </row>
    <row r="894">
      <c r="A894" s="283"/>
      <c r="B894" s="307"/>
      <c r="C894" s="283"/>
      <c r="R894" s="10"/>
    </row>
    <row r="895">
      <c r="A895" s="283"/>
      <c r="B895" s="307"/>
      <c r="C895" s="283"/>
      <c r="R895" s="10"/>
    </row>
    <row r="896">
      <c r="A896" s="283"/>
      <c r="B896" s="307"/>
      <c r="C896" s="283"/>
      <c r="R896" s="10"/>
    </row>
    <row r="897">
      <c r="A897" s="283"/>
      <c r="B897" s="307"/>
      <c r="C897" s="283"/>
      <c r="R897" s="10"/>
    </row>
    <row r="898">
      <c r="A898" s="283"/>
      <c r="B898" s="307"/>
      <c r="C898" s="283"/>
      <c r="R898" s="10"/>
    </row>
    <row r="899">
      <c r="A899" s="283"/>
      <c r="B899" s="307"/>
      <c r="C899" s="283"/>
      <c r="R899" s="10"/>
    </row>
    <row r="900">
      <c r="A900" s="283"/>
      <c r="B900" s="307"/>
      <c r="C900" s="283"/>
      <c r="R900" s="10"/>
    </row>
    <row r="901">
      <c r="A901" s="283"/>
      <c r="B901" s="307"/>
      <c r="C901" s="283"/>
      <c r="R901" s="10"/>
    </row>
    <row r="902">
      <c r="A902" s="283"/>
      <c r="B902" s="307"/>
      <c r="C902" s="283"/>
      <c r="R902" s="10"/>
    </row>
    <row r="903">
      <c r="A903" s="283"/>
      <c r="B903" s="307"/>
      <c r="C903" s="283"/>
      <c r="R903" s="10"/>
    </row>
    <row r="904">
      <c r="A904" s="283"/>
      <c r="B904" s="307"/>
      <c r="C904" s="283"/>
      <c r="R904" s="10"/>
    </row>
    <row r="905">
      <c r="A905" s="283"/>
      <c r="B905" s="307"/>
      <c r="C905" s="283"/>
      <c r="R905" s="10"/>
    </row>
    <row r="906">
      <c r="A906" s="283"/>
      <c r="B906" s="307"/>
      <c r="C906" s="283"/>
      <c r="R906" s="10"/>
    </row>
    <row r="907">
      <c r="A907" s="283"/>
      <c r="B907" s="307"/>
      <c r="C907" s="283"/>
      <c r="R907" s="10"/>
    </row>
    <row r="908">
      <c r="A908" s="283"/>
      <c r="B908" s="307"/>
      <c r="C908" s="283"/>
      <c r="R908" s="10"/>
    </row>
    <row r="909">
      <c r="A909" s="283"/>
      <c r="B909" s="307"/>
      <c r="C909" s="283"/>
      <c r="R909" s="10"/>
    </row>
    <row r="910">
      <c r="A910" s="283"/>
      <c r="B910" s="307"/>
      <c r="C910" s="283"/>
      <c r="R910" s="10"/>
    </row>
    <row r="911">
      <c r="A911" s="283"/>
      <c r="B911" s="307"/>
      <c r="C911" s="283"/>
      <c r="R911" s="10"/>
    </row>
    <row r="912">
      <c r="A912" s="283"/>
      <c r="B912" s="307"/>
      <c r="C912" s="283"/>
      <c r="R912" s="10"/>
    </row>
    <row r="913">
      <c r="A913" s="283"/>
      <c r="B913" s="307"/>
      <c r="C913" s="283"/>
      <c r="R913" s="10"/>
    </row>
    <row r="914">
      <c r="A914" s="283"/>
      <c r="B914" s="307"/>
      <c r="C914" s="283"/>
      <c r="R914" s="10"/>
    </row>
    <row r="915">
      <c r="A915" s="283"/>
      <c r="B915" s="307"/>
      <c r="C915" s="283"/>
      <c r="R915" s="10"/>
    </row>
    <row r="916">
      <c r="A916" s="283"/>
      <c r="B916" s="307"/>
      <c r="C916" s="283"/>
      <c r="R916" s="10"/>
    </row>
    <row r="917">
      <c r="A917" s="283"/>
      <c r="B917" s="307"/>
      <c r="C917" s="283"/>
      <c r="R917" s="10"/>
    </row>
    <row r="918">
      <c r="A918" s="283"/>
      <c r="B918" s="307"/>
      <c r="C918" s="283"/>
      <c r="R918" s="10"/>
    </row>
    <row r="919">
      <c r="A919" s="283"/>
      <c r="B919" s="307"/>
      <c r="C919" s="283"/>
      <c r="R919" s="10"/>
    </row>
    <row r="920">
      <c r="A920" s="283"/>
      <c r="B920" s="307"/>
      <c r="C920" s="283"/>
      <c r="R920" s="10"/>
    </row>
    <row r="921">
      <c r="A921" s="283"/>
      <c r="B921" s="307"/>
      <c r="C921" s="283"/>
      <c r="R921" s="10"/>
    </row>
    <row r="922">
      <c r="A922" s="283"/>
      <c r="B922" s="307"/>
      <c r="C922" s="283"/>
      <c r="R922" s="10"/>
    </row>
    <row r="923">
      <c r="A923" s="283"/>
      <c r="B923" s="307"/>
      <c r="C923" s="283"/>
      <c r="R923" s="10"/>
    </row>
    <row r="924">
      <c r="A924" s="283"/>
      <c r="B924" s="307"/>
      <c r="C924" s="283"/>
      <c r="R924" s="10"/>
    </row>
    <row r="925">
      <c r="A925" s="283"/>
      <c r="B925" s="307"/>
      <c r="C925" s="283"/>
      <c r="R925" s="10"/>
    </row>
    <row r="926">
      <c r="A926" s="283"/>
      <c r="B926" s="307"/>
      <c r="C926" s="283"/>
      <c r="R926" s="10"/>
    </row>
    <row r="927">
      <c r="A927" s="283"/>
      <c r="B927" s="307"/>
      <c r="C927" s="283"/>
      <c r="R927" s="10"/>
    </row>
    <row r="928">
      <c r="A928" s="283"/>
      <c r="B928" s="307"/>
      <c r="C928" s="283"/>
      <c r="R928" s="10"/>
    </row>
    <row r="929">
      <c r="A929" s="283"/>
      <c r="B929" s="307"/>
      <c r="C929" s="283"/>
      <c r="R929" s="10"/>
    </row>
    <row r="930">
      <c r="A930" s="283"/>
      <c r="B930" s="307"/>
      <c r="C930" s="283"/>
      <c r="R930" s="10"/>
    </row>
    <row r="931">
      <c r="A931" s="283"/>
      <c r="B931" s="307"/>
      <c r="C931" s="283"/>
      <c r="R931" s="10"/>
    </row>
    <row r="932">
      <c r="A932" s="283"/>
      <c r="B932" s="307"/>
      <c r="C932" s="283"/>
      <c r="R932" s="10"/>
    </row>
    <row r="933">
      <c r="A933" s="283"/>
      <c r="B933" s="307"/>
      <c r="C933" s="283"/>
      <c r="R933" s="10"/>
    </row>
    <row r="934">
      <c r="A934" s="283"/>
      <c r="B934" s="307"/>
      <c r="C934" s="283"/>
      <c r="R934" s="10"/>
    </row>
    <row r="935">
      <c r="A935" s="283"/>
      <c r="B935" s="307"/>
      <c r="C935" s="283"/>
      <c r="R935" s="10"/>
    </row>
    <row r="936">
      <c r="A936" s="283"/>
      <c r="B936" s="307"/>
      <c r="C936" s="283"/>
      <c r="R936" s="10"/>
    </row>
    <row r="937">
      <c r="A937" s="283"/>
      <c r="B937" s="307"/>
      <c r="C937" s="283"/>
      <c r="R937" s="10"/>
    </row>
    <row r="938">
      <c r="A938" s="283"/>
      <c r="B938" s="307"/>
      <c r="C938" s="283"/>
      <c r="R938" s="10"/>
    </row>
    <row r="939">
      <c r="A939" s="283"/>
      <c r="B939" s="307"/>
      <c r="C939" s="283"/>
      <c r="R939" s="10"/>
    </row>
    <row r="940">
      <c r="A940" s="283"/>
      <c r="B940" s="307"/>
      <c r="C940" s="283"/>
      <c r="R940" s="10"/>
    </row>
    <row r="941">
      <c r="A941" s="283"/>
      <c r="B941" s="307"/>
      <c r="C941" s="283"/>
      <c r="R941" s="10"/>
    </row>
    <row r="942">
      <c r="A942" s="283"/>
      <c r="B942" s="307"/>
      <c r="C942" s="283"/>
      <c r="R942" s="10"/>
    </row>
    <row r="943">
      <c r="A943" s="283"/>
      <c r="B943" s="307"/>
      <c r="C943" s="283"/>
      <c r="R943" s="10"/>
    </row>
    <row r="944">
      <c r="A944" s="283"/>
      <c r="B944" s="307"/>
      <c r="C944" s="283"/>
      <c r="R944" s="10"/>
    </row>
    <row r="945">
      <c r="A945" s="283"/>
      <c r="B945" s="307"/>
      <c r="C945" s="283"/>
      <c r="R945" s="10"/>
    </row>
    <row r="946">
      <c r="A946" s="283"/>
      <c r="B946" s="307"/>
      <c r="C946" s="283"/>
      <c r="R946" s="10"/>
    </row>
    <row r="947">
      <c r="A947" s="283"/>
      <c r="B947" s="307"/>
      <c r="C947" s="283"/>
      <c r="R947" s="10"/>
    </row>
    <row r="948">
      <c r="A948" s="283"/>
      <c r="B948" s="307"/>
      <c r="C948" s="283"/>
      <c r="R948" s="10"/>
    </row>
    <row r="949">
      <c r="A949" s="283"/>
      <c r="B949" s="307"/>
      <c r="C949" s="283"/>
      <c r="R949" s="10"/>
    </row>
    <row r="950">
      <c r="A950" s="283"/>
      <c r="B950" s="307"/>
      <c r="C950" s="283"/>
      <c r="R950" s="10"/>
    </row>
    <row r="951">
      <c r="A951" s="283"/>
      <c r="B951" s="307"/>
      <c r="C951" s="283"/>
      <c r="R951" s="10"/>
    </row>
    <row r="952">
      <c r="A952" s="283"/>
      <c r="B952" s="307"/>
      <c r="C952" s="283"/>
      <c r="R952" s="10"/>
    </row>
    <row r="953">
      <c r="A953" s="283"/>
      <c r="B953" s="307"/>
      <c r="C953" s="283"/>
      <c r="R953" s="10"/>
    </row>
    <row r="954">
      <c r="A954" s="283"/>
      <c r="B954" s="307"/>
      <c r="C954" s="283"/>
      <c r="R954" s="10"/>
    </row>
    <row r="955">
      <c r="A955" s="283"/>
      <c r="B955" s="307"/>
      <c r="C955" s="283"/>
      <c r="R955" s="10"/>
    </row>
    <row r="956">
      <c r="A956" s="283"/>
      <c r="B956" s="307"/>
      <c r="C956" s="283"/>
      <c r="R956" s="10"/>
    </row>
    <row r="957">
      <c r="A957" s="283"/>
      <c r="B957" s="307"/>
      <c r="C957" s="283"/>
      <c r="R957" s="10"/>
    </row>
    <row r="958">
      <c r="A958" s="283"/>
      <c r="B958" s="307"/>
      <c r="C958" s="283"/>
      <c r="R958" s="10"/>
    </row>
    <row r="959">
      <c r="A959" s="283"/>
      <c r="B959" s="307"/>
      <c r="C959" s="283"/>
      <c r="R959" s="10"/>
    </row>
    <row r="960">
      <c r="A960" s="283"/>
      <c r="B960" s="307"/>
      <c r="C960" s="283"/>
      <c r="R960" s="10"/>
    </row>
    <row r="961">
      <c r="A961" s="283"/>
      <c r="B961" s="307"/>
      <c r="C961" s="283"/>
      <c r="R961" s="10"/>
    </row>
    <row r="962">
      <c r="A962" s="283"/>
      <c r="B962" s="307"/>
      <c r="C962" s="283"/>
      <c r="R962" s="10"/>
    </row>
    <row r="963">
      <c r="A963" s="283"/>
      <c r="B963" s="307"/>
      <c r="C963" s="283"/>
      <c r="R963" s="10"/>
    </row>
    <row r="964">
      <c r="A964" s="283"/>
      <c r="B964" s="307"/>
      <c r="C964" s="283"/>
      <c r="R964" s="10"/>
    </row>
    <row r="965">
      <c r="A965" s="283"/>
      <c r="B965" s="307"/>
      <c r="C965" s="283"/>
      <c r="R965" s="10"/>
    </row>
    <row r="966">
      <c r="A966" s="283"/>
      <c r="B966" s="307"/>
      <c r="C966" s="283"/>
      <c r="R966" s="10"/>
    </row>
    <row r="967">
      <c r="A967" s="283"/>
      <c r="B967" s="307"/>
      <c r="C967" s="283"/>
      <c r="R967" s="10"/>
    </row>
    <row r="968">
      <c r="A968" s="283"/>
      <c r="B968" s="307"/>
      <c r="C968" s="283"/>
      <c r="R968" s="10"/>
    </row>
    <row r="969">
      <c r="A969" s="283"/>
      <c r="B969" s="307"/>
      <c r="C969" s="283"/>
      <c r="R969" s="10"/>
    </row>
    <row r="970">
      <c r="A970" s="283"/>
      <c r="B970" s="307"/>
      <c r="C970" s="283"/>
      <c r="R970" s="10"/>
    </row>
    <row r="971">
      <c r="A971" s="283"/>
      <c r="B971" s="307"/>
      <c r="C971" s="283"/>
      <c r="R971" s="10"/>
    </row>
    <row r="972">
      <c r="A972" s="283"/>
      <c r="B972" s="307"/>
      <c r="C972" s="283"/>
      <c r="R972" s="10"/>
    </row>
    <row r="973">
      <c r="A973" s="283"/>
      <c r="B973" s="307"/>
      <c r="C973" s="283"/>
      <c r="R973" s="10"/>
    </row>
    <row r="974">
      <c r="A974" s="283"/>
      <c r="B974" s="307"/>
      <c r="C974" s="283"/>
      <c r="R974" s="10"/>
    </row>
    <row r="975">
      <c r="A975" s="283"/>
      <c r="B975" s="307"/>
      <c r="C975" s="283"/>
      <c r="R975" s="10"/>
    </row>
    <row r="976">
      <c r="A976" s="283"/>
      <c r="B976" s="307"/>
      <c r="C976" s="283"/>
      <c r="R976" s="10"/>
    </row>
    <row r="977">
      <c r="A977" s="283"/>
      <c r="B977" s="307"/>
      <c r="C977" s="283"/>
      <c r="R977" s="10"/>
    </row>
    <row r="978">
      <c r="A978" s="283"/>
      <c r="B978" s="307"/>
      <c r="C978" s="283"/>
      <c r="R978" s="10"/>
    </row>
    <row r="979">
      <c r="A979" s="283"/>
      <c r="B979" s="307"/>
      <c r="C979" s="283"/>
      <c r="R979" s="10"/>
    </row>
    <row r="980">
      <c r="A980" s="283"/>
      <c r="B980" s="307"/>
      <c r="C980" s="283"/>
      <c r="R980" s="10"/>
    </row>
    <row r="981">
      <c r="A981" s="283"/>
      <c r="B981" s="307"/>
      <c r="C981" s="283"/>
      <c r="R981" s="10"/>
    </row>
    <row r="982">
      <c r="A982" s="283"/>
      <c r="B982" s="307"/>
      <c r="C982" s="283"/>
      <c r="R982" s="10"/>
    </row>
    <row r="983">
      <c r="A983" s="283"/>
      <c r="B983" s="307"/>
      <c r="C983" s="283"/>
      <c r="R983" s="10"/>
    </row>
    <row r="984">
      <c r="A984" s="283"/>
      <c r="B984" s="307"/>
      <c r="C984" s="283"/>
      <c r="R984" s="10"/>
    </row>
    <row r="985">
      <c r="A985" s="283"/>
      <c r="B985" s="307"/>
      <c r="C985" s="283"/>
      <c r="R985" s="10"/>
    </row>
    <row r="986">
      <c r="A986" s="283"/>
      <c r="B986" s="307"/>
      <c r="C986" s="283"/>
      <c r="R986" s="10"/>
    </row>
    <row r="987">
      <c r="A987" s="283"/>
      <c r="B987" s="307"/>
      <c r="C987" s="283"/>
      <c r="R987" s="10"/>
    </row>
    <row r="988">
      <c r="A988" s="283"/>
      <c r="B988" s="307"/>
      <c r="C988" s="283"/>
      <c r="R988" s="10"/>
    </row>
    <row r="989">
      <c r="A989" s="283"/>
      <c r="B989" s="307"/>
      <c r="C989" s="283"/>
      <c r="R989" s="10"/>
    </row>
  </sheetData>
  <customSheetViews>
    <customSheetView guid="{9968795E-3BFB-485F-960E-5F37103E47A5}" filter="1" showAutoFilter="1">
      <autoFilter ref="$A$1:$B$255"/>
    </customSheetView>
  </customSheetViews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20.5"/>
    <col hidden="1" min="9" max="24" width="12.63"/>
  </cols>
  <sheetData>
    <row r="1">
      <c r="A1" s="56" t="s">
        <v>44</v>
      </c>
      <c r="B1" s="296" t="s">
        <v>1</v>
      </c>
      <c r="C1" s="57" t="s">
        <v>294</v>
      </c>
      <c r="D1" s="55" t="s">
        <v>248</v>
      </c>
      <c r="E1" s="11" t="s">
        <v>249</v>
      </c>
      <c r="F1" s="11" t="s">
        <v>250</v>
      </c>
      <c r="J1" s="11" t="s">
        <v>252</v>
      </c>
    </row>
    <row r="2">
      <c r="A2" s="25" t="s">
        <v>6727</v>
      </c>
      <c r="B2" s="25">
        <v>6706.0</v>
      </c>
      <c r="C2" s="44" t="s">
        <v>6728</v>
      </c>
      <c r="D2" s="95">
        <v>0.8</v>
      </c>
      <c r="E2" s="95">
        <v>0.8</v>
      </c>
      <c r="F2" s="229" t="s">
        <v>1656</v>
      </c>
      <c r="J2" s="18">
        <v>1.0</v>
      </c>
    </row>
    <row r="3">
      <c r="A3" s="25" t="s">
        <v>6729</v>
      </c>
      <c r="B3" s="25">
        <v>6706.0</v>
      </c>
      <c r="C3" s="44" t="s">
        <v>6728</v>
      </c>
      <c r="D3" s="95">
        <v>0.8</v>
      </c>
      <c r="E3" s="95">
        <v>0.8</v>
      </c>
      <c r="F3" s="229" t="s">
        <v>1656</v>
      </c>
      <c r="J3" s="18">
        <v>1.0</v>
      </c>
    </row>
    <row r="4">
      <c r="A4" s="25" t="s">
        <v>6730</v>
      </c>
      <c r="B4" s="25">
        <v>6729.0</v>
      </c>
      <c r="C4" s="44" t="s">
        <v>6728</v>
      </c>
      <c r="D4" s="95">
        <v>0.8</v>
      </c>
      <c r="E4" s="95">
        <v>0.8</v>
      </c>
      <c r="F4" s="229" t="s">
        <v>1656</v>
      </c>
      <c r="I4" s="11">
        <v>6669.0</v>
      </c>
      <c r="J4" s="18">
        <v>1.0</v>
      </c>
    </row>
    <row r="5">
      <c r="A5" s="25" t="s">
        <v>6731</v>
      </c>
      <c r="B5" s="25">
        <v>6675.0</v>
      </c>
      <c r="C5" s="44" t="s">
        <v>6728</v>
      </c>
      <c r="D5" s="95">
        <v>0.7</v>
      </c>
      <c r="E5" s="95">
        <v>0.7</v>
      </c>
      <c r="F5" s="229" t="s">
        <v>1656</v>
      </c>
      <c r="J5" s="18">
        <v>1.0</v>
      </c>
    </row>
    <row r="6">
      <c r="A6" s="25" t="s">
        <v>6732</v>
      </c>
      <c r="B6" s="25">
        <v>5458.0</v>
      </c>
      <c r="C6" s="44" t="s">
        <v>6728</v>
      </c>
      <c r="D6" s="95">
        <v>0.7</v>
      </c>
      <c r="E6" s="95">
        <v>0.7</v>
      </c>
      <c r="F6" s="229" t="s">
        <v>1656</v>
      </c>
      <c r="J6" s="18">
        <v>1.0</v>
      </c>
    </row>
    <row r="7">
      <c r="A7" s="25" t="s">
        <v>6733</v>
      </c>
      <c r="B7" s="25">
        <v>6671.0</v>
      </c>
      <c r="C7" s="44" t="s">
        <v>6728</v>
      </c>
      <c r="D7" s="95">
        <v>0.7</v>
      </c>
      <c r="E7" s="95">
        <v>0.7</v>
      </c>
      <c r="F7" s="229" t="s">
        <v>1656</v>
      </c>
      <c r="J7" s="18">
        <v>1.0</v>
      </c>
    </row>
    <row r="8">
      <c r="A8" s="25" t="s">
        <v>6734</v>
      </c>
      <c r="B8" s="25">
        <v>7010.0</v>
      </c>
      <c r="C8" s="44" t="s">
        <v>6728</v>
      </c>
      <c r="D8" s="95">
        <v>0.7</v>
      </c>
      <c r="E8" s="95">
        <v>0.7</v>
      </c>
      <c r="F8" s="229" t="s">
        <v>1656</v>
      </c>
      <c r="J8" s="18">
        <v>1.0</v>
      </c>
    </row>
    <row r="9">
      <c r="A9" s="25" t="s">
        <v>6735</v>
      </c>
      <c r="B9" s="25">
        <v>6669.0</v>
      </c>
      <c r="C9" s="44" t="s">
        <v>6728</v>
      </c>
      <c r="D9" s="95">
        <v>0.7</v>
      </c>
      <c r="E9" s="95">
        <v>0.7</v>
      </c>
      <c r="F9" s="229" t="s">
        <v>1656</v>
      </c>
      <c r="I9" s="36"/>
      <c r="J9" s="36" t="e">
        <v>#N/A</v>
      </c>
    </row>
    <row r="10">
      <c r="A10" s="25" t="s">
        <v>6736</v>
      </c>
      <c r="B10" s="25">
        <v>7100.0</v>
      </c>
      <c r="C10" s="44" t="s">
        <v>6728</v>
      </c>
      <c r="D10" s="95">
        <v>0.7</v>
      </c>
      <c r="E10" s="95">
        <v>0.7</v>
      </c>
      <c r="F10" s="229" t="s">
        <v>1656</v>
      </c>
      <c r="I10" s="36"/>
      <c r="J10" s="36" t="e">
        <v>#N/A</v>
      </c>
    </row>
    <row r="11">
      <c r="A11" s="25" t="s">
        <v>6737</v>
      </c>
      <c r="B11" s="25">
        <v>6669.0</v>
      </c>
      <c r="C11" s="44" t="s">
        <v>6728</v>
      </c>
      <c r="D11" s="95">
        <v>0.7</v>
      </c>
      <c r="E11" s="95">
        <v>0.7</v>
      </c>
      <c r="F11" s="229" t="s">
        <v>1656</v>
      </c>
      <c r="J11" s="18">
        <v>1.0</v>
      </c>
    </row>
    <row r="12">
      <c r="A12" s="25" t="s">
        <v>6738</v>
      </c>
      <c r="B12" s="25">
        <v>5458.0</v>
      </c>
      <c r="C12" s="44" t="s">
        <v>6728</v>
      </c>
      <c r="D12" s="95">
        <v>0.7</v>
      </c>
      <c r="E12" s="95">
        <v>0.7</v>
      </c>
      <c r="F12" s="229" t="s">
        <v>1656</v>
      </c>
      <c r="I12" s="36"/>
      <c r="J12" s="36" t="e">
        <v>#N/A</v>
      </c>
    </row>
    <row r="13">
      <c r="A13" s="25" t="s">
        <v>6739</v>
      </c>
      <c r="B13" s="25">
        <v>7158.0</v>
      </c>
      <c r="C13" s="44" t="s">
        <v>6728</v>
      </c>
      <c r="D13" s="95">
        <v>0.7</v>
      </c>
      <c r="E13" s="95">
        <v>0.7</v>
      </c>
      <c r="F13" s="229" t="s">
        <v>1656</v>
      </c>
      <c r="J13" s="18">
        <v>1.0</v>
      </c>
    </row>
    <row r="14">
      <c r="A14" s="25" t="s">
        <v>6740</v>
      </c>
      <c r="B14" s="25">
        <v>7033.0</v>
      </c>
      <c r="C14" s="44" t="s">
        <v>6728</v>
      </c>
      <c r="D14" s="95">
        <v>0.7</v>
      </c>
      <c r="E14" s="95">
        <v>0.7</v>
      </c>
      <c r="F14" s="229" t="s">
        <v>1656</v>
      </c>
      <c r="I14" s="36"/>
      <c r="J14" s="36" t="e">
        <v>#N/A</v>
      </c>
    </row>
    <row r="15">
      <c r="A15" s="25" t="s">
        <v>6741</v>
      </c>
      <c r="B15" s="25">
        <v>6133.0</v>
      </c>
      <c r="C15" s="44" t="s">
        <v>6728</v>
      </c>
      <c r="D15" s="95">
        <v>0.7</v>
      </c>
      <c r="E15" s="95">
        <v>0.7</v>
      </c>
      <c r="F15" s="229" t="s">
        <v>1656</v>
      </c>
      <c r="I15" s="36"/>
      <c r="J15" s="36" t="e">
        <v>#N/A</v>
      </c>
    </row>
    <row r="16">
      <c r="A16" s="25" t="s">
        <v>6742</v>
      </c>
      <c r="B16" s="25">
        <v>6772.0</v>
      </c>
      <c r="C16" s="44" t="s">
        <v>6728</v>
      </c>
      <c r="D16" s="95">
        <v>0.7</v>
      </c>
      <c r="E16" s="95">
        <v>0.7</v>
      </c>
      <c r="F16" s="229" t="s">
        <v>1656</v>
      </c>
      <c r="I16" s="36"/>
      <c r="J16" s="36" t="e">
        <v>#N/A</v>
      </c>
    </row>
    <row r="17">
      <c r="A17" s="25" t="s">
        <v>6743</v>
      </c>
      <c r="B17" s="25">
        <v>6732.0</v>
      </c>
      <c r="C17" s="44" t="s">
        <v>6728</v>
      </c>
      <c r="D17" s="95">
        <v>0.7</v>
      </c>
      <c r="E17" s="95">
        <v>0.7</v>
      </c>
      <c r="F17" s="229" t="s">
        <v>1656</v>
      </c>
      <c r="J17" s="18">
        <v>1.0</v>
      </c>
    </row>
    <row r="18">
      <c r="A18" s="25" t="s">
        <v>6744</v>
      </c>
      <c r="B18" s="25">
        <v>6732.0</v>
      </c>
      <c r="C18" s="44" t="s">
        <v>6728</v>
      </c>
      <c r="D18" s="95">
        <v>0.7</v>
      </c>
      <c r="E18" s="95">
        <v>0.7</v>
      </c>
      <c r="F18" s="229" t="s">
        <v>1656</v>
      </c>
      <c r="I18" s="36"/>
      <c r="J18" s="36" t="e">
        <v>#N/A</v>
      </c>
    </row>
    <row r="19">
      <c r="A19" s="25" t="s">
        <v>6745</v>
      </c>
      <c r="B19" s="25">
        <v>6732.0</v>
      </c>
      <c r="C19" s="44" t="s">
        <v>6728</v>
      </c>
      <c r="D19" s="95">
        <v>0.7</v>
      </c>
      <c r="E19" s="95">
        <v>0.7</v>
      </c>
      <c r="F19" s="229" t="s">
        <v>1656</v>
      </c>
      <c r="J19" s="18">
        <v>1.0</v>
      </c>
    </row>
    <row r="20">
      <c r="A20" s="25" t="s">
        <v>6746</v>
      </c>
      <c r="B20" s="25">
        <v>7168.0</v>
      </c>
      <c r="C20" s="44" t="s">
        <v>6728</v>
      </c>
      <c r="D20" s="95">
        <v>0.7</v>
      </c>
      <c r="E20" s="95">
        <v>0.7</v>
      </c>
      <c r="F20" s="229" t="s">
        <v>1656</v>
      </c>
      <c r="J20" s="18">
        <v>1.0</v>
      </c>
    </row>
    <row r="21">
      <c r="A21" s="25" t="s">
        <v>6747</v>
      </c>
      <c r="B21" s="25">
        <v>136.0</v>
      </c>
      <c r="C21" s="44" t="s">
        <v>6728</v>
      </c>
      <c r="D21" s="95">
        <v>0.7</v>
      </c>
      <c r="E21" s="95">
        <v>0.7</v>
      </c>
      <c r="F21" s="229" t="s">
        <v>1656</v>
      </c>
      <c r="J21" s="18">
        <v>1.0</v>
      </c>
    </row>
    <row r="22">
      <c r="A22" s="25" t="s">
        <v>6748</v>
      </c>
      <c r="B22" s="25">
        <v>5125.0</v>
      </c>
      <c r="C22" s="44" t="s">
        <v>6728</v>
      </c>
      <c r="D22" s="95">
        <v>0.7</v>
      </c>
      <c r="E22" s="95">
        <v>0.7</v>
      </c>
      <c r="F22" s="229" t="s">
        <v>1656</v>
      </c>
      <c r="I22" s="36"/>
      <c r="J22" s="36" t="e">
        <v>#N/A</v>
      </c>
    </row>
    <row r="23">
      <c r="A23" s="25" t="s">
        <v>6749</v>
      </c>
      <c r="B23" s="25">
        <v>10141.0</v>
      </c>
      <c r="C23" s="44" t="s">
        <v>6728</v>
      </c>
      <c r="D23" s="95">
        <v>0.7</v>
      </c>
      <c r="E23" s="95">
        <v>0.7</v>
      </c>
      <c r="F23" s="229" t="s">
        <v>1656</v>
      </c>
      <c r="J23" s="18">
        <v>1.0</v>
      </c>
    </row>
    <row r="24">
      <c r="A24" s="25" t="s">
        <v>6750</v>
      </c>
      <c r="B24" s="25">
        <v>7010.0</v>
      </c>
      <c r="C24" s="44" t="s">
        <v>6728</v>
      </c>
      <c r="D24" s="95">
        <v>0.7</v>
      </c>
      <c r="E24" s="95">
        <v>0.7</v>
      </c>
      <c r="F24" s="229" t="s">
        <v>1656</v>
      </c>
      <c r="J24" s="18">
        <v>1.0</v>
      </c>
    </row>
    <row r="25">
      <c r="A25" s="25" t="s">
        <v>6751</v>
      </c>
      <c r="B25" s="25">
        <v>10856.0</v>
      </c>
      <c r="C25" s="44" t="s">
        <v>6728</v>
      </c>
      <c r="D25" s="95">
        <v>0.7</v>
      </c>
      <c r="E25" s="95">
        <v>0.7</v>
      </c>
      <c r="F25" s="229" t="s">
        <v>1656</v>
      </c>
      <c r="I25" s="36"/>
      <c r="J25" s="36" t="e">
        <v>#N/A</v>
      </c>
    </row>
    <row r="26">
      <c r="A26" s="25" t="s">
        <v>6752</v>
      </c>
      <c r="B26" s="25">
        <v>3307.0</v>
      </c>
      <c r="C26" s="44" t="s">
        <v>6728</v>
      </c>
      <c r="D26" s="95">
        <v>0.7</v>
      </c>
      <c r="E26" s="95">
        <v>0.7</v>
      </c>
      <c r="F26" s="229" t="s">
        <v>1656</v>
      </c>
      <c r="I26" s="36"/>
      <c r="J26" s="36" t="e">
        <v>#N/A</v>
      </c>
    </row>
    <row r="27">
      <c r="A27" s="25" t="s">
        <v>6753</v>
      </c>
      <c r="B27" s="25">
        <v>663.0</v>
      </c>
      <c r="C27" s="44" t="s">
        <v>6728</v>
      </c>
      <c r="D27" s="95">
        <v>0.7</v>
      </c>
      <c r="E27" s="95">
        <v>0.7</v>
      </c>
      <c r="F27" s="229" t="s">
        <v>1656</v>
      </c>
      <c r="J27" s="18">
        <v>1.0</v>
      </c>
    </row>
    <row r="28">
      <c r="A28" s="25" t="s">
        <v>6754</v>
      </c>
      <c r="B28" s="25">
        <v>6132.0</v>
      </c>
      <c r="C28" s="44" t="s">
        <v>6728</v>
      </c>
      <c r="D28" s="95">
        <v>0.7</v>
      </c>
      <c r="E28" s="95">
        <v>0.7</v>
      </c>
      <c r="F28" s="229" t="s">
        <v>1656</v>
      </c>
      <c r="I28" s="36"/>
      <c r="J28" s="36" t="e">
        <v>#N/A</v>
      </c>
    </row>
    <row r="29">
      <c r="A29" s="25" t="s">
        <v>6755</v>
      </c>
      <c r="B29" s="101">
        <v>6726.0</v>
      </c>
      <c r="C29" s="44" t="s">
        <v>6728</v>
      </c>
      <c r="D29" s="95">
        <v>0.7</v>
      </c>
      <c r="E29" s="95">
        <v>0.7</v>
      </c>
      <c r="F29" s="229" t="s">
        <v>1656</v>
      </c>
      <c r="J29" s="18">
        <v>1.0</v>
      </c>
    </row>
    <row r="30">
      <c r="A30" s="25" t="s">
        <v>6756</v>
      </c>
      <c r="B30" s="101">
        <v>6726.0</v>
      </c>
      <c r="C30" s="44" t="s">
        <v>6728</v>
      </c>
      <c r="D30" s="95">
        <v>0.7</v>
      </c>
      <c r="E30" s="95">
        <v>0.7</v>
      </c>
      <c r="F30" s="229" t="s">
        <v>1656</v>
      </c>
      <c r="I30" s="36"/>
      <c r="J30" s="36" t="e">
        <v>#N/A</v>
      </c>
    </row>
    <row r="31">
      <c r="A31" s="25" t="s">
        <v>6757</v>
      </c>
      <c r="B31" s="25">
        <v>6893.0</v>
      </c>
      <c r="C31" s="44" t="s">
        <v>6728</v>
      </c>
      <c r="D31" s="95">
        <v>0.7</v>
      </c>
      <c r="E31" s="95">
        <v>0.7</v>
      </c>
      <c r="F31" s="229" t="s">
        <v>1656</v>
      </c>
      <c r="I31" s="36"/>
      <c r="J31" s="36" t="e">
        <v>#N/A</v>
      </c>
    </row>
    <row r="32">
      <c r="A32" s="25" t="s">
        <v>6758</v>
      </c>
      <c r="B32" s="25">
        <v>6143.0</v>
      </c>
      <c r="C32" s="44" t="s">
        <v>6728</v>
      </c>
      <c r="D32" s="95">
        <v>0.7</v>
      </c>
      <c r="E32" s="95">
        <v>0.7</v>
      </c>
      <c r="F32" s="229" t="s">
        <v>1656</v>
      </c>
      <c r="I32" s="36"/>
      <c r="J32" s="36" t="e">
        <v>#N/A</v>
      </c>
    </row>
    <row r="33">
      <c r="A33" s="25" t="s">
        <v>6759</v>
      </c>
      <c r="B33" s="25">
        <v>6936.0</v>
      </c>
      <c r="C33" s="44" t="s">
        <v>6728</v>
      </c>
      <c r="D33" s="95">
        <v>0.7</v>
      </c>
      <c r="E33" s="95">
        <v>0.7</v>
      </c>
      <c r="F33" s="229" t="s">
        <v>1656</v>
      </c>
      <c r="J33" s="18">
        <v>1.0</v>
      </c>
    </row>
    <row r="34">
      <c r="A34" s="25" t="s">
        <v>6760</v>
      </c>
      <c r="B34" s="25">
        <v>9645.0</v>
      </c>
      <c r="C34" s="44" t="s">
        <v>6728</v>
      </c>
      <c r="D34" s="95">
        <v>0.7</v>
      </c>
      <c r="E34" s="95">
        <v>0.7</v>
      </c>
      <c r="F34" s="229" t="s">
        <v>1656</v>
      </c>
      <c r="I34" s="36"/>
      <c r="J34" s="36" t="e">
        <v>#N/A</v>
      </c>
    </row>
    <row r="35">
      <c r="A35" s="25" t="s">
        <v>6761</v>
      </c>
      <c r="B35" s="25">
        <v>8560.0</v>
      </c>
      <c r="C35" s="44" t="s">
        <v>6728</v>
      </c>
      <c r="D35" s="95">
        <v>0.7</v>
      </c>
      <c r="E35" s="95">
        <v>0.7</v>
      </c>
      <c r="F35" s="229" t="s">
        <v>1656</v>
      </c>
      <c r="I35" s="36"/>
      <c r="J35" s="36" t="e">
        <v>#N/A</v>
      </c>
    </row>
    <row r="36">
      <c r="A36" s="25" t="s">
        <v>6762</v>
      </c>
      <c r="B36" s="25">
        <v>7847.0</v>
      </c>
      <c r="C36" s="44" t="s">
        <v>6728</v>
      </c>
      <c r="D36" s="95">
        <v>0.7</v>
      </c>
      <c r="E36" s="95">
        <v>0.7</v>
      </c>
      <c r="F36" s="229" t="s">
        <v>1656</v>
      </c>
      <c r="I36" s="36"/>
      <c r="J36" s="36" t="e">
        <v>#N/A</v>
      </c>
    </row>
    <row r="37">
      <c r="A37" s="25" t="s">
        <v>6763</v>
      </c>
      <c r="B37" s="25">
        <v>14482.0</v>
      </c>
      <c r="C37" s="44" t="s">
        <v>6728</v>
      </c>
      <c r="D37" s="95">
        <v>0.7</v>
      </c>
      <c r="E37" s="95">
        <v>0.7</v>
      </c>
      <c r="F37" s="229" t="s">
        <v>1656</v>
      </c>
      <c r="J37" s="18">
        <v>1.0</v>
      </c>
    </row>
    <row r="38">
      <c r="A38" s="25" t="s">
        <v>6764</v>
      </c>
      <c r="B38" s="25">
        <v>6972.0</v>
      </c>
      <c r="C38" s="44" t="s">
        <v>6728</v>
      </c>
      <c r="D38" s="95">
        <v>0.7</v>
      </c>
      <c r="E38" s="95">
        <v>0.7</v>
      </c>
      <c r="F38" s="229" t="s">
        <v>1656</v>
      </c>
      <c r="J38" s="18">
        <v>1.0</v>
      </c>
    </row>
    <row r="39">
      <c r="A39" s="25" t="s">
        <v>6765</v>
      </c>
      <c r="B39" s="25">
        <v>12609.0</v>
      </c>
      <c r="C39" s="44" t="s">
        <v>6728</v>
      </c>
      <c r="D39" s="95">
        <v>0.7</v>
      </c>
      <c r="E39" s="95">
        <v>0.7</v>
      </c>
      <c r="F39" s="229" t="s">
        <v>1656</v>
      </c>
      <c r="I39" s="36"/>
      <c r="J39" s="36" t="e">
        <v>#N/A</v>
      </c>
    </row>
    <row r="40">
      <c r="A40" s="25" t="s">
        <v>6766</v>
      </c>
      <c r="B40" s="25">
        <v>11104.0</v>
      </c>
      <c r="C40" s="44" t="s">
        <v>6728</v>
      </c>
      <c r="D40" s="95">
        <v>0.7</v>
      </c>
      <c r="E40" s="95">
        <v>0.7</v>
      </c>
      <c r="F40" s="229" t="s">
        <v>1656</v>
      </c>
      <c r="J40" s="18">
        <v>1.0</v>
      </c>
    </row>
    <row r="41">
      <c r="A41" s="25" t="s">
        <v>6767</v>
      </c>
      <c r="B41" s="25">
        <v>4514.0</v>
      </c>
      <c r="C41" s="44" t="s">
        <v>6728</v>
      </c>
      <c r="D41" s="95">
        <v>0.7</v>
      </c>
      <c r="E41" s="95">
        <v>0.7</v>
      </c>
      <c r="F41" s="229" t="s">
        <v>1656</v>
      </c>
      <c r="J41" s="18">
        <v>1.0</v>
      </c>
    </row>
    <row r="42">
      <c r="A42" s="25" t="s">
        <v>6768</v>
      </c>
      <c r="B42" s="25">
        <v>189.0</v>
      </c>
      <c r="C42" s="44" t="s">
        <v>6728</v>
      </c>
      <c r="D42" s="95">
        <v>0.8</v>
      </c>
      <c r="E42" s="95">
        <v>0.8</v>
      </c>
      <c r="F42" s="229" t="s">
        <v>1656</v>
      </c>
      <c r="J42" s="18">
        <v>1.0</v>
      </c>
    </row>
    <row r="43">
      <c r="A43" s="25" t="s">
        <v>6769</v>
      </c>
      <c r="B43" s="25">
        <v>14337.0</v>
      </c>
      <c r="C43" s="44" t="s">
        <v>6728</v>
      </c>
      <c r="D43" s="95">
        <v>0.7</v>
      </c>
      <c r="E43" s="95">
        <v>0.7</v>
      </c>
      <c r="F43" s="229" t="s">
        <v>1656</v>
      </c>
      <c r="I43" s="36"/>
      <c r="J43" s="36" t="e">
        <v>#N/A</v>
      </c>
    </row>
    <row r="44" ht="16.5" customHeight="1">
      <c r="A44" s="25" t="s">
        <v>6770</v>
      </c>
      <c r="B44" s="25">
        <v>6736.0</v>
      </c>
      <c r="C44" s="44" t="s">
        <v>6728</v>
      </c>
      <c r="D44" s="95">
        <v>0.7</v>
      </c>
      <c r="E44" s="95">
        <v>0.7</v>
      </c>
      <c r="F44" s="229" t="s">
        <v>1656</v>
      </c>
      <c r="J44" s="18">
        <v>1.0</v>
      </c>
    </row>
    <row r="45">
      <c r="A45" s="25" t="s">
        <v>6771</v>
      </c>
      <c r="B45" s="25">
        <v>8199.0</v>
      </c>
      <c r="C45" s="44" t="s">
        <v>6728</v>
      </c>
      <c r="D45" s="95">
        <v>0.7</v>
      </c>
      <c r="E45" s="95">
        <v>0.7</v>
      </c>
      <c r="F45" s="229" t="s">
        <v>1656</v>
      </c>
      <c r="J45" s="18">
        <v>1.0</v>
      </c>
    </row>
    <row r="46">
      <c r="A46" s="25" t="s">
        <v>6772</v>
      </c>
      <c r="B46" s="25">
        <v>7183.0</v>
      </c>
      <c r="C46" s="44" t="s">
        <v>6728</v>
      </c>
      <c r="D46" s="95">
        <v>0.7</v>
      </c>
      <c r="E46" s="95">
        <v>0.7</v>
      </c>
      <c r="F46" s="229" t="s">
        <v>1656</v>
      </c>
      <c r="J46" s="18">
        <v>1.0</v>
      </c>
    </row>
    <row r="47">
      <c r="A47" s="25" t="s">
        <v>6773</v>
      </c>
      <c r="B47" s="25">
        <v>7186.0</v>
      </c>
      <c r="C47" s="44" t="s">
        <v>6728</v>
      </c>
      <c r="D47" s="95">
        <v>0.7</v>
      </c>
      <c r="E47" s="95">
        <v>0.7</v>
      </c>
      <c r="F47" s="229" t="s">
        <v>1656</v>
      </c>
      <c r="I47" s="36"/>
      <c r="J47" s="36" t="e">
        <v>#N/A</v>
      </c>
    </row>
    <row r="48">
      <c r="A48" s="25" t="s">
        <v>6774</v>
      </c>
      <c r="B48" s="25">
        <v>3307.0</v>
      </c>
      <c r="C48" s="44" t="s">
        <v>6728</v>
      </c>
      <c r="D48" s="95">
        <v>0.7</v>
      </c>
      <c r="E48" s="95">
        <v>0.7</v>
      </c>
      <c r="F48" s="229" t="s">
        <v>1656</v>
      </c>
      <c r="I48" s="36"/>
      <c r="J48" s="36" t="e">
        <v>#N/A</v>
      </c>
    </row>
    <row r="49">
      <c r="A49" s="25" t="s">
        <v>6775</v>
      </c>
      <c r="B49" s="25">
        <v>986.0</v>
      </c>
      <c r="C49" s="44" t="s">
        <v>6728</v>
      </c>
      <c r="D49" s="95">
        <v>0.7</v>
      </c>
      <c r="E49" s="95">
        <v>0.7</v>
      </c>
      <c r="F49" s="229" t="s">
        <v>1656</v>
      </c>
      <c r="J49" s="18">
        <v>1.0</v>
      </c>
    </row>
    <row r="50">
      <c r="A50" s="25" t="s">
        <v>6776</v>
      </c>
      <c r="B50" s="25">
        <v>6924.0</v>
      </c>
      <c r="C50" s="44" t="s">
        <v>6728</v>
      </c>
      <c r="D50" s="95">
        <v>0.7</v>
      </c>
      <c r="E50" s="95">
        <v>0.7</v>
      </c>
      <c r="F50" s="229" t="s">
        <v>1656</v>
      </c>
      <c r="J50" s="18">
        <v>1.0</v>
      </c>
    </row>
    <row r="51">
      <c r="A51" s="25" t="s">
        <v>6777</v>
      </c>
      <c r="B51" s="25">
        <v>14482.0</v>
      </c>
      <c r="C51" s="44" t="s">
        <v>6728</v>
      </c>
      <c r="D51" s="95">
        <v>0.7</v>
      </c>
      <c r="E51" s="95">
        <v>0.7</v>
      </c>
      <c r="F51" s="229" t="s">
        <v>1656</v>
      </c>
      <c r="J51" s="18">
        <v>1.0</v>
      </c>
    </row>
    <row r="52">
      <c r="A52" s="25" t="s">
        <v>6778</v>
      </c>
      <c r="B52" s="25">
        <v>3142.0</v>
      </c>
      <c r="C52" s="44" t="s">
        <v>6728</v>
      </c>
      <c r="D52" s="95">
        <v>0.7</v>
      </c>
      <c r="E52" s="95">
        <v>0.7</v>
      </c>
      <c r="F52" s="229" t="s">
        <v>1656</v>
      </c>
      <c r="J52" s="18">
        <v>1.0</v>
      </c>
    </row>
    <row r="53">
      <c r="A53" s="25" t="s">
        <v>6779</v>
      </c>
      <c r="B53" s="25">
        <v>12553.0</v>
      </c>
      <c r="C53" s="44" t="s">
        <v>6728</v>
      </c>
      <c r="D53" s="95">
        <v>0.7</v>
      </c>
      <c r="E53" s="95">
        <v>0.7</v>
      </c>
      <c r="F53" s="229" t="s">
        <v>1656</v>
      </c>
      <c r="I53" s="36"/>
      <c r="J53" s="36" t="e">
        <v>#N/A</v>
      </c>
    </row>
    <row r="54">
      <c r="A54" s="25" t="s">
        <v>6780</v>
      </c>
      <c r="B54" s="25">
        <v>14065.0</v>
      </c>
      <c r="C54" s="44" t="s">
        <v>6728</v>
      </c>
      <c r="D54" s="95">
        <v>0.7</v>
      </c>
      <c r="E54" s="95">
        <v>0.7</v>
      </c>
      <c r="F54" s="229" t="s">
        <v>1656</v>
      </c>
      <c r="I54" s="36"/>
      <c r="J54" s="36" t="e">
        <v>#N/A</v>
      </c>
    </row>
    <row r="55">
      <c r="A55" s="25" t="s">
        <v>6781</v>
      </c>
      <c r="B55" s="25">
        <v>2345.0</v>
      </c>
      <c r="C55" s="44" t="s">
        <v>6728</v>
      </c>
      <c r="D55" s="95">
        <v>0.8</v>
      </c>
      <c r="E55" s="95">
        <v>0.8</v>
      </c>
      <c r="F55" s="229" t="s">
        <v>1656</v>
      </c>
      <c r="J55" s="18">
        <v>1.0</v>
      </c>
    </row>
    <row r="56">
      <c r="A56" s="25" t="s">
        <v>6782</v>
      </c>
      <c r="B56" s="25">
        <v>6722.0</v>
      </c>
      <c r="C56" s="44" t="s">
        <v>6728</v>
      </c>
      <c r="D56" s="95">
        <v>0.7</v>
      </c>
      <c r="E56" s="95">
        <v>0.7</v>
      </c>
      <c r="F56" s="229" t="s">
        <v>1656</v>
      </c>
      <c r="I56" s="36"/>
      <c r="J56" s="36" t="e">
        <v>#N/A</v>
      </c>
    </row>
    <row r="57">
      <c r="A57" s="25" t="s">
        <v>6783</v>
      </c>
      <c r="B57" s="25">
        <v>6995.0</v>
      </c>
      <c r="C57" s="44" t="s">
        <v>6728</v>
      </c>
      <c r="D57" s="95">
        <v>0.7</v>
      </c>
      <c r="E57" s="95">
        <v>0.7</v>
      </c>
      <c r="F57" s="229" t="s">
        <v>1656</v>
      </c>
      <c r="I57" s="36"/>
      <c r="J57" s="36" t="e">
        <v>#N/A</v>
      </c>
    </row>
    <row r="58">
      <c r="A58" s="25" t="s">
        <v>6784</v>
      </c>
      <c r="B58" s="25">
        <v>3689.0</v>
      </c>
      <c r="C58" s="44" t="s">
        <v>6728</v>
      </c>
      <c r="D58" s="95">
        <v>0.7</v>
      </c>
      <c r="E58" s="95">
        <v>0.7</v>
      </c>
      <c r="F58" s="229" t="s">
        <v>1656</v>
      </c>
      <c r="I58" s="36"/>
      <c r="J58" s="36" t="e">
        <v>#N/A</v>
      </c>
    </row>
    <row r="59">
      <c r="A59" s="25" t="s">
        <v>6785</v>
      </c>
      <c r="B59" s="25">
        <v>6706.0</v>
      </c>
      <c r="C59" s="44" t="s">
        <v>6728</v>
      </c>
      <c r="D59" s="95">
        <v>0.8</v>
      </c>
      <c r="E59" s="95">
        <v>0.8</v>
      </c>
      <c r="F59" s="229" t="s">
        <v>1656</v>
      </c>
      <c r="J59" s="18">
        <v>1.0</v>
      </c>
    </row>
    <row r="60">
      <c r="A60" s="25" t="s">
        <v>6786</v>
      </c>
      <c r="B60" s="25">
        <v>6774.0</v>
      </c>
      <c r="C60" s="44" t="s">
        <v>6728</v>
      </c>
      <c r="D60" s="95">
        <v>0.7</v>
      </c>
      <c r="E60" s="95">
        <v>0.7</v>
      </c>
      <c r="F60" s="229" t="s">
        <v>1656</v>
      </c>
      <c r="J60" s="18">
        <v>1.0</v>
      </c>
    </row>
    <row r="61">
      <c r="A61" s="25" t="s">
        <v>6787</v>
      </c>
      <c r="B61" s="25">
        <v>2345.0</v>
      </c>
      <c r="C61" s="44" t="s">
        <v>6728</v>
      </c>
      <c r="D61" s="95">
        <v>0.8</v>
      </c>
      <c r="E61" s="95">
        <v>0.8</v>
      </c>
      <c r="F61" s="229" t="s">
        <v>1656</v>
      </c>
      <c r="I61" s="36"/>
      <c r="J61" s="36" t="e">
        <v>#N/A</v>
      </c>
    </row>
    <row r="62">
      <c r="A62" s="25" t="s">
        <v>6788</v>
      </c>
      <c r="B62" s="25">
        <v>7225.0</v>
      </c>
      <c r="C62" s="44" t="s">
        <v>6728</v>
      </c>
      <c r="D62" s="95">
        <v>0.8</v>
      </c>
      <c r="E62" s="95">
        <v>0.8</v>
      </c>
      <c r="F62" s="229" t="s">
        <v>1656</v>
      </c>
      <c r="I62" s="36"/>
      <c r="J62" s="36" t="e">
        <v>#N/A</v>
      </c>
    </row>
    <row r="63">
      <c r="A63" s="25" t="s">
        <v>6789</v>
      </c>
      <c r="B63" s="25">
        <v>7225.0</v>
      </c>
      <c r="C63" s="44" t="s">
        <v>6728</v>
      </c>
      <c r="D63" s="95">
        <v>0.8</v>
      </c>
      <c r="E63" s="95">
        <v>0.8</v>
      </c>
      <c r="F63" s="229" t="s">
        <v>1656</v>
      </c>
      <c r="J63" s="18">
        <v>1.0</v>
      </c>
    </row>
    <row r="64">
      <c r="A64" s="25" t="s">
        <v>6790</v>
      </c>
      <c r="B64" s="25">
        <v>7225.0</v>
      </c>
      <c r="C64" s="44" t="s">
        <v>6728</v>
      </c>
      <c r="D64" s="95">
        <v>0.8</v>
      </c>
      <c r="E64" s="95">
        <v>0.8</v>
      </c>
      <c r="F64" s="229" t="s">
        <v>1656</v>
      </c>
      <c r="I64" s="36"/>
      <c r="J64" s="36" t="e">
        <v>#N/A</v>
      </c>
    </row>
    <row r="65">
      <c r="A65" s="25" t="s">
        <v>6791</v>
      </c>
      <c r="B65" s="25">
        <v>7225.0</v>
      </c>
      <c r="C65" s="44" t="s">
        <v>6728</v>
      </c>
      <c r="D65" s="95">
        <v>0.8</v>
      </c>
      <c r="E65" s="95">
        <v>0.8</v>
      </c>
      <c r="F65" s="229" t="s">
        <v>1656</v>
      </c>
      <c r="J65" s="18">
        <v>1.0</v>
      </c>
    </row>
    <row r="66">
      <c r="A66" s="25" t="s">
        <v>6792</v>
      </c>
      <c r="B66" s="25">
        <v>7225.0</v>
      </c>
      <c r="C66" s="44" t="s">
        <v>6728</v>
      </c>
      <c r="D66" s="95">
        <v>0.8</v>
      </c>
      <c r="E66" s="95">
        <v>0.8</v>
      </c>
      <c r="F66" s="229" t="s">
        <v>1656</v>
      </c>
      <c r="I66" s="36"/>
      <c r="J66" s="36" t="e">
        <v>#N/A</v>
      </c>
    </row>
    <row r="67">
      <c r="A67" s="25" t="s">
        <v>6793</v>
      </c>
      <c r="B67" s="25">
        <v>7225.0</v>
      </c>
      <c r="C67" s="44" t="s">
        <v>6728</v>
      </c>
      <c r="D67" s="95">
        <v>0.8</v>
      </c>
      <c r="E67" s="95">
        <v>0.8</v>
      </c>
      <c r="F67" s="229" t="s">
        <v>1656</v>
      </c>
      <c r="I67" s="36"/>
      <c r="J67" s="36" t="e">
        <v>#N/A</v>
      </c>
    </row>
    <row r="68">
      <c r="A68" s="25" t="s">
        <v>6794</v>
      </c>
      <c r="B68" s="25">
        <v>7225.0</v>
      </c>
      <c r="C68" s="44" t="s">
        <v>6728</v>
      </c>
      <c r="D68" s="95">
        <v>0.8</v>
      </c>
      <c r="E68" s="95">
        <v>0.8</v>
      </c>
      <c r="F68" s="229" t="s">
        <v>1656</v>
      </c>
      <c r="I68" s="36"/>
      <c r="J68" s="36" t="e">
        <v>#N/A</v>
      </c>
    </row>
    <row r="69">
      <c r="A69" s="25" t="s">
        <v>6795</v>
      </c>
      <c r="B69" s="25">
        <v>7225.0</v>
      </c>
      <c r="C69" s="44" t="s">
        <v>6728</v>
      </c>
      <c r="D69" s="95">
        <v>0.8</v>
      </c>
      <c r="E69" s="95">
        <v>0.8</v>
      </c>
      <c r="F69" s="229" t="s">
        <v>1656</v>
      </c>
      <c r="J69" s="18">
        <v>1.0</v>
      </c>
    </row>
    <row r="70">
      <c r="A70" s="25" t="s">
        <v>6796</v>
      </c>
      <c r="B70" s="25">
        <v>7225.0</v>
      </c>
      <c r="C70" s="44" t="s">
        <v>6728</v>
      </c>
      <c r="D70" s="95">
        <v>0.8</v>
      </c>
      <c r="E70" s="95">
        <v>0.8</v>
      </c>
      <c r="F70" s="229" t="s">
        <v>1656</v>
      </c>
      <c r="I70" s="36"/>
      <c r="J70" s="36" t="e">
        <v>#N/A</v>
      </c>
    </row>
    <row r="71">
      <c r="A71" s="25" t="s">
        <v>6797</v>
      </c>
      <c r="B71" s="25">
        <v>7225.0</v>
      </c>
      <c r="C71" s="44" t="s">
        <v>6728</v>
      </c>
      <c r="D71" s="95">
        <v>0.8</v>
      </c>
      <c r="E71" s="95">
        <v>0.8</v>
      </c>
      <c r="F71" s="229" t="s">
        <v>1656</v>
      </c>
      <c r="I71" s="36"/>
      <c r="J71" s="36" t="e">
        <v>#N/A</v>
      </c>
    </row>
    <row r="72">
      <c r="A72" s="25" t="s">
        <v>6798</v>
      </c>
      <c r="B72" s="25">
        <v>7225.0</v>
      </c>
      <c r="C72" s="44" t="s">
        <v>6728</v>
      </c>
      <c r="D72" s="95">
        <v>0.8</v>
      </c>
      <c r="E72" s="95">
        <v>0.8</v>
      </c>
      <c r="F72" s="229" t="s">
        <v>1656</v>
      </c>
      <c r="I72" s="36"/>
      <c r="J72" s="36" t="e">
        <v>#N/A</v>
      </c>
    </row>
    <row r="73">
      <c r="A73" s="25" t="s">
        <v>6799</v>
      </c>
      <c r="B73" s="25">
        <v>7225.0</v>
      </c>
      <c r="C73" s="44" t="s">
        <v>6728</v>
      </c>
      <c r="D73" s="95">
        <v>0.8</v>
      </c>
      <c r="E73" s="95">
        <v>0.8</v>
      </c>
      <c r="F73" s="229" t="s">
        <v>1656</v>
      </c>
      <c r="J73" s="18">
        <v>1.0</v>
      </c>
    </row>
    <row r="74">
      <c r="A74" s="25" t="s">
        <v>6800</v>
      </c>
      <c r="B74" s="25">
        <v>7225.0</v>
      </c>
      <c r="C74" s="44" t="s">
        <v>6728</v>
      </c>
      <c r="D74" s="95">
        <v>0.8</v>
      </c>
      <c r="E74" s="95">
        <v>0.8</v>
      </c>
      <c r="F74" s="229" t="s">
        <v>1656</v>
      </c>
      <c r="J74" s="18">
        <v>1.0</v>
      </c>
    </row>
    <row r="75">
      <c r="A75" s="25" t="s">
        <v>6801</v>
      </c>
      <c r="B75" s="25">
        <v>7225.0</v>
      </c>
      <c r="C75" s="44" t="s">
        <v>6728</v>
      </c>
      <c r="D75" s="95">
        <v>0.8</v>
      </c>
      <c r="E75" s="95">
        <v>0.8</v>
      </c>
      <c r="F75" s="229" t="s">
        <v>1656</v>
      </c>
      <c r="J75" s="18">
        <v>1.0</v>
      </c>
    </row>
    <row r="76">
      <c r="A76" s="25" t="s">
        <v>6802</v>
      </c>
      <c r="B76" s="25">
        <v>7225.0</v>
      </c>
      <c r="C76" s="44" t="s">
        <v>6728</v>
      </c>
      <c r="D76" s="95">
        <v>0.8</v>
      </c>
      <c r="E76" s="95">
        <v>0.8</v>
      </c>
      <c r="F76" s="229" t="s">
        <v>1656</v>
      </c>
      <c r="I76" s="36"/>
      <c r="J76" s="36" t="e">
        <v>#N/A</v>
      </c>
    </row>
    <row r="77">
      <c r="A77" s="25" t="s">
        <v>6803</v>
      </c>
      <c r="B77" s="37">
        <v>14480.0</v>
      </c>
      <c r="C77" s="44" t="s">
        <v>6728</v>
      </c>
      <c r="D77" s="95">
        <v>0.7</v>
      </c>
      <c r="E77" s="95">
        <v>0.7</v>
      </c>
      <c r="F77" s="229" t="s">
        <v>1656</v>
      </c>
      <c r="I77" s="36"/>
      <c r="J77" s="36" t="e">
        <v>#N/A</v>
      </c>
    </row>
    <row r="78">
      <c r="A78" s="25" t="s">
        <v>6804</v>
      </c>
      <c r="B78" s="25">
        <v>5458.0</v>
      </c>
      <c r="C78" s="44" t="s">
        <v>6728</v>
      </c>
      <c r="D78" s="95">
        <v>0.7</v>
      </c>
      <c r="E78" s="95">
        <v>0.7</v>
      </c>
      <c r="F78" s="229" t="s">
        <v>1656</v>
      </c>
      <c r="J78" s="18">
        <v>1.0</v>
      </c>
    </row>
    <row r="79">
      <c r="A79" s="25" t="s">
        <v>6805</v>
      </c>
      <c r="B79" s="25">
        <v>986.0</v>
      </c>
      <c r="C79" s="44" t="s">
        <v>6728</v>
      </c>
      <c r="D79" s="95">
        <v>0.7</v>
      </c>
      <c r="E79" s="95">
        <v>0.7</v>
      </c>
      <c r="F79" s="229" t="s">
        <v>1656</v>
      </c>
      <c r="J79" s="18">
        <v>1.0</v>
      </c>
    </row>
    <row r="80">
      <c r="A80" s="25" t="s">
        <v>6806</v>
      </c>
      <c r="B80" s="25">
        <v>986.0</v>
      </c>
      <c r="C80" s="44" t="s">
        <v>6728</v>
      </c>
      <c r="D80" s="95">
        <v>0.7</v>
      </c>
      <c r="E80" s="95">
        <v>0.7</v>
      </c>
      <c r="F80" s="229" t="s">
        <v>1656</v>
      </c>
      <c r="J80" s="18">
        <v>1.0</v>
      </c>
    </row>
    <row r="81">
      <c r="A81" s="25" t="s">
        <v>6807</v>
      </c>
      <c r="B81" s="25">
        <v>5458.0</v>
      </c>
      <c r="C81" s="44" t="s">
        <v>6728</v>
      </c>
      <c r="D81" s="95">
        <v>0.7</v>
      </c>
      <c r="E81" s="95">
        <v>0.7</v>
      </c>
      <c r="F81" s="229" t="s">
        <v>1656</v>
      </c>
      <c r="J81" s="18">
        <v>1.0</v>
      </c>
    </row>
    <row r="82">
      <c r="A82" s="25" t="s">
        <v>6808</v>
      </c>
      <c r="B82" s="25">
        <v>9715.0</v>
      </c>
      <c r="C82" s="44" t="s">
        <v>6728</v>
      </c>
      <c r="D82" s="95">
        <v>0.7</v>
      </c>
      <c r="E82" s="95">
        <v>0.7</v>
      </c>
      <c r="F82" s="229" t="s">
        <v>1656</v>
      </c>
      <c r="I82" s="36"/>
      <c r="J82" s="36" t="e">
        <v>#N/A</v>
      </c>
    </row>
    <row r="83">
      <c r="A83" s="25" t="s">
        <v>6809</v>
      </c>
      <c r="B83" s="25">
        <v>9715.0</v>
      </c>
      <c r="C83" s="44" t="s">
        <v>6728</v>
      </c>
      <c r="D83" s="95">
        <v>0.7</v>
      </c>
      <c r="E83" s="95">
        <v>0.7</v>
      </c>
      <c r="F83" s="229" t="s">
        <v>1656</v>
      </c>
      <c r="J83" s="18">
        <v>1.0</v>
      </c>
    </row>
    <row r="84">
      <c r="A84" s="25" t="s">
        <v>6810</v>
      </c>
      <c r="B84" s="25">
        <v>9715.0</v>
      </c>
      <c r="C84" s="44" t="s">
        <v>6728</v>
      </c>
      <c r="D84" s="95">
        <v>0.7</v>
      </c>
      <c r="E84" s="95">
        <v>0.7</v>
      </c>
      <c r="F84" s="229" t="s">
        <v>1656</v>
      </c>
      <c r="I84" s="36"/>
      <c r="J84" s="36" t="e">
        <v>#N/A</v>
      </c>
    </row>
    <row r="85">
      <c r="A85" s="25" t="s">
        <v>6811</v>
      </c>
      <c r="B85" s="25">
        <v>9715.0</v>
      </c>
      <c r="C85" s="44" t="s">
        <v>6728</v>
      </c>
      <c r="D85" s="95">
        <v>0.7</v>
      </c>
      <c r="E85" s="95">
        <v>0.7</v>
      </c>
      <c r="F85" s="229" t="s">
        <v>1656</v>
      </c>
      <c r="I85" s="36"/>
      <c r="J85" s="36" t="e">
        <v>#N/A</v>
      </c>
    </row>
    <row r="86">
      <c r="A86" s="25" t="s">
        <v>6812</v>
      </c>
      <c r="B86" s="25">
        <v>930.0</v>
      </c>
      <c r="C86" s="44" t="s">
        <v>6728</v>
      </c>
      <c r="D86" s="95">
        <v>0.7</v>
      </c>
      <c r="E86" s="95">
        <v>0.7</v>
      </c>
      <c r="F86" s="229" t="s">
        <v>1656</v>
      </c>
      <c r="I86" s="36"/>
      <c r="J86" s="36" t="e">
        <v>#N/A</v>
      </c>
    </row>
    <row r="87">
      <c r="A87" s="25" t="s">
        <v>6813</v>
      </c>
      <c r="B87" s="25">
        <v>9715.0</v>
      </c>
      <c r="C87" s="44" t="s">
        <v>6728</v>
      </c>
      <c r="D87" s="95">
        <v>0.7</v>
      </c>
      <c r="E87" s="95">
        <v>0.7</v>
      </c>
      <c r="F87" s="229" t="s">
        <v>1656</v>
      </c>
      <c r="I87" s="36"/>
      <c r="J87" s="36" t="e">
        <v>#N/A</v>
      </c>
    </row>
    <row r="88">
      <c r="A88" s="25" t="s">
        <v>6814</v>
      </c>
      <c r="B88" s="25">
        <v>10616.0</v>
      </c>
      <c r="C88" s="44" t="s">
        <v>6728</v>
      </c>
      <c r="D88" s="95">
        <v>0.7</v>
      </c>
      <c r="E88" s="95">
        <v>0.7</v>
      </c>
      <c r="F88" s="229" t="s">
        <v>1656</v>
      </c>
      <c r="J88" s="18">
        <v>1.0</v>
      </c>
    </row>
    <row r="89">
      <c r="A89" s="25" t="s">
        <v>6815</v>
      </c>
      <c r="B89" s="25">
        <v>14420.0</v>
      </c>
      <c r="C89" s="44" t="s">
        <v>6728</v>
      </c>
      <c r="D89" s="95">
        <v>0.7</v>
      </c>
      <c r="E89" s="95">
        <v>0.7</v>
      </c>
      <c r="F89" s="229" t="s">
        <v>1656</v>
      </c>
      <c r="J89" s="18">
        <v>1.0</v>
      </c>
    </row>
    <row r="90">
      <c r="A90" s="25" t="s">
        <v>6816</v>
      </c>
      <c r="B90" s="25">
        <v>315.0</v>
      </c>
      <c r="C90" s="44" t="s">
        <v>6728</v>
      </c>
      <c r="D90" s="95">
        <v>0.7</v>
      </c>
      <c r="E90" s="95">
        <v>0.7</v>
      </c>
      <c r="F90" s="229" t="s">
        <v>1656</v>
      </c>
      <c r="J90" s="18">
        <v>1.0</v>
      </c>
    </row>
    <row r="91">
      <c r="A91" s="25" t="s">
        <v>6817</v>
      </c>
      <c r="B91" s="25">
        <v>14516.0</v>
      </c>
      <c r="C91" s="44" t="s">
        <v>6728</v>
      </c>
      <c r="D91" s="95">
        <v>0.7</v>
      </c>
      <c r="E91" s="95">
        <v>0.7</v>
      </c>
      <c r="F91" s="229" t="s">
        <v>1656</v>
      </c>
      <c r="J91" s="18">
        <v>1.0</v>
      </c>
    </row>
    <row r="92">
      <c r="A92" s="25" t="s">
        <v>6818</v>
      </c>
      <c r="B92" s="25">
        <v>283.0</v>
      </c>
      <c r="C92" s="44" t="s">
        <v>6728</v>
      </c>
      <c r="D92" s="95">
        <v>0.7</v>
      </c>
      <c r="E92" s="95">
        <v>0.7</v>
      </c>
      <c r="F92" s="229" t="s">
        <v>1656</v>
      </c>
      <c r="J92" s="18">
        <v>1.0</v>
      </c>
    </row>
    <row r="93">
      <c r="A93" s="25" t="s">
        <v>6819</v>
      </c>
      <c r="B93" s="25">
        <v>7031.0</v>
      </c>
      <c r="C93" s="44" t="s">
        <v>6728</v>
      </c>
      <c r="D93" s="95">
        <v>0.7</v>
      </c>
      <c r="E93" s="95">
        <v>0.7</v>
      </c>
      <c r="F93" s="229" t="s">
        <v>1656</v>
      </c>
      <c r="J93" s="18">
        <v>1.0</v>
      </c>
    </row>
    <row r="94">
      <c r="A94" s="25" t="s">
        <v>6820</v>
      </c>
      <c r="B94" s="25">
        <v>2095.0</v>
      </c>
      <c r="C94" s="44" t="s">
        <v>6728</v>
      </c>
      <c r="D94" s="95">
        <v>0.7</v>
      </c>
      <c r="E94" s="95">
        <v>0.7</v>
      </c>
      <c r="F94" s="229" t="s">
        <v>1656</v>
      </c>
      <c r="I94" s="36"/>
      <c r="J94" s="36" t="e">
        <v>#N/A</v>
      </c>
    </row>
    <row r="95">
      <c r="A95" s="25" t="s">
        <v>6821</v>
      </c>
      <c r="B95" s="25">
        <v>2095.0</v>
      </c>
      <c r="C95" s="44" t="s">
        <v>6728</v>
      </c>
      <c r="D95" s="95">
        <v>0.7</v>
      </c>
      <c r="E95" s="95">
        <v>0.7</v>
      </c>
      <c r="F95" s="229" t="s">
        <v>1656</v>
      </c>
      <c r="I95" s="36"/>
      <c r="J95" s="36" t="e">
        <v>#N/A</v>
      </c>
    </row>
    <row r="96">
      <c r="A96" s="25" t="s">
        <v>6822</v>
      </c>
      <c r="B96" s="25">
        <v>11049.0</v>
      </c>
      <c r="C96" s="44" t="s">
        <v>6728</v>
      </c>
      <c r="D96" s="95">
        <v>0.7</v>
      </c>
      <c r="E96" s="95">
        <v>0.7</v>
      </c>
      <c r="F96" s="229" t="s">
        <v>1656</v>
      </c>
      <c r="I96" s="36"/>
      <c r="J96" s="36" t="e">
        <v>#N/A</v>
      </c>
    </row>
    <row r="97">
      <c r="A97" s="25" t="s">
        <v>6823</v>
      </c>
      <c r="B97" s="25">
        <v>11049.0</v>
      </c>
      <c r="C97" s="44" t="s">
        <v>6728</v>
      </c>
      <c r="D97" s="95">
        <v>0.7</v>
      </c>
      <c r="E97" s="95">
        <v>0.7</v>
      </c>
      <c r="F97" s="229" t="s">
        <v>1656</v>
      </c>
      <c r="I97" s="36"/>
      <c r="J97" s="36" t="e">
        <v>#N/A</v>
      </c>
    </row>
    <row r="98">
      <c r="A98" s="25" t="s">
        <v>6824</v>
      </c>
      <c r="B98" s="25">
        <v>11049.0</v>
      </c>
      <c r="C98" s="44" t="s">
        <v>6728</v>
      </c>
      <c r="D98" s="95">
        <v>0.7</v>
      </c>
      <c r="E98" s="95">
        <v>0.7</v>
      </c>
      <c r="F98" s="229" t="s">
        <v>1656</v>
      </c>
      <c r="I98" s="36"/>
      <c r="J98" s="36" t="e">
        <v>#N/A</v>
      </c>
    </row>
    <row r="99">
      <c r="A99" s="25" t="s">
        <v>6825</v>
      </c>
      <c r="B99" s="25">
        <v>11049.0</v>
      </c>
      <c r="C99" s="44" t="s">
        <v>6728</v>
      </c>
      <c r="D99" s="95">
        <v>0.7</v>
      </c>
      <c r="E99" s="95">
        <v>0.7</v>
      </c>
      <c r="F99" s="229" t="s">
        <v>1656</v>
      </c>
      <c r="I99" s="36"/>
      <c r="J99" s="36" t="e">
        <v>#N/A</v>
      </c>
    </row>
    <row r="100">
      <c r="A100" s="25" t="s">
        <v>6826</v>
      </c>
      <c r="B100" s="25">
        <v>11049.0</v>
      </c>
      <c r="C100" s="44" t="s">
        <v>6728</v>
      </c>
      <c r="D100" s="95">
        <v>0.7</v>
      </c>
      <c r="E100" s="95">
        <v>0.7</v>
      </c>
      <c r="F100" s="229" t="s">
        <v>1656</v>
      </c>
      <c r="I100" s="36"/>
      <c r="J100" s="36" t="e">
        <v>#N/A</v>
      </c>
    </row>
    <row r="101">
      <c r="A101" s="25" t="s">
        <v>6827</v>
      </c>
      <c r="B101" s="25">
        <v>11049.0</v>
      </c>
      <c r="C101" s="44" t="s">
        <v>6728</v>
      </c>
      <c r="D101" s="95">
        <v>0.7</v>
      </c>
      <c r="E101" s="95">
        <v>0.7</v>
      </c>
      <c r="F101" s="229" t="s">
        <v>1656</v>
      </c>
      <c r="I101" s="36"/>
      <c r="J101" s="36" t="e">
        <v>#N/A</v>
      </c>
    </row>
    <row r="102">
      <c r="A102" s="25" t="s">
        <v>6828</v>
      </c>
      <c r="B102" s="25">
        <v>11049.0</v>
      </c>
      <c r="C102" s="44" t="s">
        <v>6728</v>
      </c>
      <c r="D102" s="95">
        <v>0.7</v>
      </c>
      <c r="E102" s="95">
        <v>0.7</v>
      </c>
      <c r="F102" s="229" t="s">
        <v>1656</v>
      </c>
      <c r="I102" s="36"/>
      <c r="J102" s="36" t="e">
        <v>#N/A</v>
      </c>
    </row>
    <row r="103">
      <c r="A103" s="25" t="s">
        <v>6829</v>
      </c>
      <c r="B103" s="25">
        <v>11049.0</v>
      </c>
      <c r="C103" s="44" t="s">
        <v>6728</v>
      </c>
      <c r="D103" s="95">
        <v>0.7</v>
      </c>
      <c r="E103" s="95">
        <v>0.7</v>
      </c>
      <c r="F103" s="229" t="s">
        <v>1656</v>
      </c>
      <c r="I103" s="36"/>
      <c r="J103" s="36" t="e">
        <v>#N/A</v>
      </c>
    </row>
    <row r="104">
      <c r="A104" s="25" t="s">
        <v>6830</v>
      </c>
      <c r="B104" s="25">
        <v>11049.0</v>
      </c>
      <c r="C104" s="44" t="s">
        <v>6728</v>
      </c>
      <c r="D104" s="95">
        <v>0.7</v>
      </c>
      <c r="E104" s="95">
        <v>0.7</v>
      </c>
      <c r="F104" s="229" t="s">
        <v>1656</v>
      </c>
      <c r="I104" s="36"/>
      <c r="J104" s="36" t="e">
        <v>#N/A</v>
      </c>
    </row>
    <row r="105">
      <c r="A105" s="25" t="s">
        <v>6831</v>
      </c>
      <c r="B105" s="25">
        <v>11049.0</v>
      </c>
      <c r="C105" s="44" t="s">
        <v>6728</v>
      </c>
      <c r="D105" s="95">
        <v>0.7</v>
      </c>
      <c r="E105" s="95">
        <v>0.7</v>
      </c>
      <c r="F105" s="229" t="s">
        <v>1656</v>
      </c>
      <c r="I105" s="36"/>
      <c r="J105" s="36" t="e">
        <v>#N/A</v>
      </c>
    </row>
    <row r="106">
      <c r="A106" s="25" t="s">
        <v>6832</v>
      </c>
      <c r="B106" s="25">
        <v>11049.0</v>
      </c>
      <c r="C106" s="44" t="s">
        <v>6728</v>
      </c>
      <c r="D106" s="95">
        <v>0.7</v>
      </c>
      <c r="E106" s="95">
        <v>0.7</v>
      </c>
      <c r="F106" s="229" t="s">
        <v>1656</v>
      </c>
      <c r="I106" s="36"/>
      <c r="J106" s="36" t="e">
        <v>#N/A</v>
      </c>
    </row>
    <row r="107">
      <c r="A107" s="25" t="s">
        <v>6833</v>
      </c>
      <c r="B107" s="25">
        <v>11049.0</v>
      </c>
      <c r="C107" s="44" t="s">
        <v>6728</v>
      </c>
      <c r="D107" s="95">
        <v>0.7</v>
      </c>
      <c r="E107" s="95">
        <v>0.7</v>
      </c>
      <c r="F107" s="229" t="s">
        <v>1656</v>
      </c>
      <c r="I107" s="36"/>
      <c r="J107" s="36" t="e">
        <v>#N/A</v>
      </c>
    </row>
    <row r="108">
      <c r="A108" s="25" t="s">
        <v>6834</v>
      </c>
      <c r="B108" s="25">
        <v>11049.0</v>
      </c>
      <c r="C108" s="44" t="s">
        <v>6728</v>
      </c>
      <c r="D108" s="95">
        <v>0.7</v>
      </c>
      <c r="E108" s="95">
        <v>0.7</v>
      </c>
      <c r="F108" s="229" t="s">
        <v>1656</v>
      </c>
      <c r="I108" s="36"/>
      <c r="J108" s="36" t="e">
        <v>#N/A</v>
      </c>
    </row>
    <row r="109">
      <c r="A109" s="25" t="s">
        <v>6835</v>
      </c>
      <c r="B109" s="25">
        <v>11049.0</v>
      </c>
      <c r="C109" s="44" t="s">
        <v>6728</v>
      </c>
      <c r="D109" s="95">
        <v>0.7</v>
      </c>
      <c r="E109" s="95">
        <v>0.7</v>
      </c>
      <c r="F109" s="229" t="s">
        <v>1656</v>
      </c>
      <c r="I109" s="36"/>
      <c r="J109" s="36" t="e">
        <v>#N/A</v>
      </c>
    </row>
    <row r="110">
      <c r="A110" s="25" t="s">
        <v>6836</v>
      </c>
      <c r="B110" s="25">
        <v>11049.0</v>
      </c>
      <c r="C110" s="44" t="s">
        <v>6728</v>
      </c>
      <c r="D110" s="95">
        <v>0.7</v>
      </c>
      <c r="E110" s="95">
        <v>0.7</v>
      </c>
      <c r="F110" s="229" t="s">
        <v>1656</v>
      </c>
      <c r="I110" s="36"/>
      <c r="J110" s="36" t="e">
        <v>#N/A</v>
      </c>
    </row>
    <row r="111">
      <c r="A111" s="25" t="s">
        <v>6837</v>
      </c>
      <c r="B111" s="25">
        <v>14536.0</v>
      </c>
      <c r="C111" s="44" t="s">
        <v>6728</v>
      </c>
      <c r="D111" s="95">
        <v>0.7</v>
      </c>
      <c r="E111" s="95">
        <v>0.7</v>
      </c>
      <c r="F111" s="229" t="s">
        <v>1656</v>
      </c>
      <c r="I111" s="36"/>
      <c r="J111" s="36" t="e">
        <v>#N/A</v>
      </c>
    </row>
    <row r="112">
      <c r="A112" s="25" t="s">
        <v>6838</v>
      </c>
      <c r="B112" s="25">
        <v>14004.0</v>
      </c>
      <c r="C112" s="44" t="s">
        <v>6728</v>
      </c>
      <c r="D112" s="95">
        <v>0.7</v>
      </c>
      <c r="E112" s="95">
        <v>0.7</v>
      </c>
      <c r="F112" s="229" t="s">
        <v>1656</v>
      </c>
      <c r="I112" s="36"/>
      <c r="J112" s="36" t="e">
        <v>#N/A</v>
      </c>
    </row>
    <row r="113">
      <c r="A113" s="25" t="s">
        <v>6839</v>
      </c>
      <c r="B113" s="25">
        <v>6779.0</v>
      </c>
      <c r="C113" s="44" t="s">
        <v>6728</v>
      </c>
      <c r="D113" s="95">
        <v>0.7</v>
      </c>
      <c r="E113" s="95">
        <v>0.7</v>
      </c>
      <c r="F113" s="229" t="s">
        <v>1656</v>
      </c>
      <c r="I113" s="36"/>
      <c r="J113" s="36" t="e">
        <v>#N/A</v>
      </c>
    </row>
    <row r="114">
      <c r="A114" s="25" t="s">
        <v>6840</v>
      </c>
      <c r="B114" s="25">
        <v>6706.0</v>
      </c>
      <c r="C114" s="44" t="s">
        <v>6728</v>
      </c>
      <c r="D114" s="95">
        <v>0.8</v>
      </c>
      <c r="E114" s="95">
        <v>0.8</v>
      </c>
      <c r="F114" s="229" t="s">
        <v>1656</v>
      </c>
      <c r="I114" s="36"/>
      <c r="J114" s="36" t="e">
        <v>#N/A</v>
      </c>
    </row>
    <row r="115">
      <c r="A115" s="25" t="s">
        <v>6841</v>
      </c>
      <c r="B115" s="25">
        <v>6668.0</v>
      </c>
      <c r="C115" s="44" t="s">
        <v>6728</v>
      </c>
      <c r="D115" s="95">
        <v>0.7</v>
      </c>
      <c r="E115" s="95">
        <v>0.7</v>
      </c>
      <c r="F115" s="229" t="s">
        <v>1656</v>
      </c>
      <c r="I115" s="36"/>
      <c r="J115" s="36" t="e">
        <v>#N/A</v>
      </c>
    </row>
    <row r="116">
      <c r="A116" s="25" t="s">
        <v>6842</v>
      </c>
      <c r="B116" s="25">
        <v>6668.0</v>
      </c>
      <c r="C116" s="44" t="s">
        <v>6728</v>
      </c>
      <c r="D116" s="95">
        <v>0.7</v>
      </c>
      <c r="E116" s="95">
        <v>0.7</v>
      </c>
      <c r="F116" s="229" t="s">
        <v>1656</v>
      </c>
      <c r="I116" s="36"/>
      <c r="J116" s="36" t="e">
        <v>#N/A</v>
      </c>
    </row>
    <row r="117">
      <c r="A117" s="25" t="s">
        <v>6843</v>
      </c>
      <c r="B117" s="112">
        <v>6706.0</v>
      </c>
      <c r="C117" s="44" t="s">
        <v>6728</v>
      </c>
      <c r="D117" s="95">
        <v>0.8</v>
      </c>
      <c r="E117" s="95">
        <v>0.8</v>
      </c>
      <c r="F117" s="229" t="s">
        <v>1656</v>
      </c>
      <c r="I117" s="36"/>
      <c r="J117" s="36" t="e">
        <v>#N/A</v>
      </c>
    </row>
    <row r="118">
      <c r="A118" s="25" t="s">
        <v>6844</v>
      </c>
      <c r="B118" s="112">
        <v>6706.0</v>
      </c>
      <c r="C118" s="44" t="s">
        <v>6728</v>
      </c>
      <c r="D118" s="95">
        <v>0.8</v>
      </c>
      <c r="E118" s="95">
        <v>0.8</v>
      </c>
      <c r="F118" s="229" t="s">
        <v>1656</v>
      </c>
      <c r="I118" s="36"/>
      <c r="J118" s="36" t="e">
        <v>#N/A</v>
      </c>
    </row>
    <row r="119">
      <c r="A119" s="25" t="s">
        <v>6845</v>
      </c>
      <c r="B119" s="25">
        <v>5365.0</v>
      </c>
      <c r="C119" s="44" t="s">
        <v>6728</v>
      </c>
      <c r="D119" s="95">
        <v>0.7</v>
      </c>
      <c r="E119" s="95">
        <v>0.7</v>
      </c>
      <c r="F119" s="229" t="s">
        <v>1656</v>
      </c>
      <c r="I119" s="36"/>
      <c r="J119" s="36" t="e">
        <v>#N/A</v>
      </c>
    </row>
    <row r="120">
      <c r="A120" s="25" t="s">
        <v>6846</v>
      </c>
      <c r="B120" s="25">
        <v>14659.0</v>
      </c>
      <c r="C120" s="44" t="s">
        <v>6728</v>
      </c>
      <c r="D120" s="95">
        <v>0.7</v>
      </c>
      <c r="E120" s="95">
        <v>0.7</v>
      </c>
      <c r="F120" s="229" t="s">
        <v>1656</v>
      </c>
      <c r="I120" s="36"/>
      <c r="J120" s="36" t="e">
        <v>#N/A</v>
      </c>
    </row>
    <row r="121">
      <c r="A121" s="25" t="s">
        <v>6847</v>
      </c>
      <c r="B121" s="25">
        <v>3404.0</v>
      </c>
      <c r="C121" s="44" t="s">
        <v>6728</v>
      </c>
      <c r="D121" s="95">
        <v>0.7</v>
      </c>
      <c r="E121" s="95">
        <v>0.7</v>
      </c>
      <c r="F121" s="229" t="s">
        <v>1656</v>
      </c>
      <c r="I121" s="36"/>
      <c r="J121" s="36" t="e">
        <v>#N/A</v>
      </c>
    </row>
    <row r="122">
      <c r="A122" s="25" t="s">
        <v>6848</v>
      </c>
      <c r="B122" s="78"/>
      <c r="C122" s="44" t="s">
        <v>6728</v>
      </c>
      <c r="D122" s="95">
        <v>0.7</v>
      </c>
      <c r="E122" s="95">
        <v>0.7</v>
      </c>
      <c r="F122" s="229" t="s">
        <v>1656</v>
      </c>
      <c r="I122" s="36"/>
      <c r="J122" s="36" t="e">
        <v>#N/A</v>
      </c>
    </row>
    <row r="123">
      <c r="A123" s="25" t="s">
        <v>6849</v>
      </c>
      <c r="B123" s="25">
        <v>8161.0</v>
      </c>
      <c r="C123" s="44" t="s">
        <v>6728</v>
      </c>
      <c r="D123" s="95">
        <v>0.7</v>
      </c>
      <c r="E123" s="95">
        <v>0.7</v>
      </c>
      <c r="F123" s="229" t="s">
        <v>1656</v>
      </c>
      <c r="I123" s="36"/>
      <c r="J123" s="36" t="e">
        <v>#N/A</v>
      </c>
    </row>
    <row r="124">
      <c r="A124" s="202" t="s">
        <v>6850</v>
      </c>
      <c r="B124" s="188">
        <v>9768.0</v>
      </c>
      <c r="C124" s="44" t="s">
        <v>6728</v>
      </c>
      <c r="D124" s="95">
        <v>0.7</v>
      </c>
      <c r="E124" s="95">
        <v>0.7</v>
      </c>
      <c r="F124" s="229" t="s">
        <v>1656</v>
      </c>
      <c r="G124" s="25" t="s">
        <v>207</v>
      </c>
    </row>
    <row r="125">
      <c r="A125" s="202" t="s">
        <v>6851</v>
      </c>
      <c r="B125" s="188">
        <v>12277.0</v>
      </c>
      <c r="C125" s="44" t="s">
        <v>6728</v>
      </c>
      <c r="D125" s="95">
        <v>0.7</v>
      </c>
      <c r="E125" s="95">
        <v>0.7</v>
      </c>
      <c r="F125" s="229" t="s">
        <v>1656</v>
      </c>
      <c r="G125" s="25" t="s">
        <v>207</v>
      </c>
    </row>
    <row r="126">
      <c r="A126" s="202" t="s">
        <v>6852</v>
      </c>
      <c r="B126" s="51">
        <v>7416.0</v>
      </c>
      <c r="C126" s="44" t="s">
        <v>6728</v>
      </c>
      <c r="D126" s="95">
        <v>0.7</v>
      </c>
      <c r="E126" s="95">
        <v>0.7</v>
      </c>
      <c r="F126" s="229" t="s">
        <v>1656</v>
      </c>
      <c r="G126" s="25" t="s">
        <v>207</v>
      </c>
    </row>
    <row r="127">
      <c r="A127" s="202" t="s">
        <v>6853</v>
      </c>
      <c r="B127" s="112">
        <v>14609.0</v>
      </c>
      <c r="C127" s="44" t="s">
        <v>6728</v>
      </c>
      <c r="D127" s="95">
        <v>0.7</v>
      </c>
      <c r="E127" s="95">
        <v>0.7</v>
      </c>
      <c r="F127" s="229" t="s">
        <v>1656</v>
      </c>
      <c r="G127" s="25" t="s">
        <v>207</v>
      </c>
    </row>
    <row r="128">
      <c r="A128" s="202" t="s">
        <v>6854</v>
      </c>
      <c r="B128" s="37"/>
      <c r="C128" s="44" t="s">
        <v>6728</v>
      </c>
      <c r="D128" s="95">
        <v>0.7</v>
      </c>
      <c r="E128" s="95">
        <v>0.7</v>
      </c>
      <c r="F128" s="229" t="s">
        <v>1656</v>
      </c>
      <c r="G128" s="25" t="s">
        <v>207</v>
      </c>
    </row>
    <row r="129">
      <c r="A129" s="202" t="s">
        <v>6855</v>
      </c>
      <c r="B129" s="37">
        <v>14540.0</v>
      </c>
      <c r="C129" s="44" t="s">
        <v>6728</v>
      </c>
      <c r="D129" s="95">
        <v>0.7</v>
      </c>
      <c r="E129" s="95">
        <v>0.7</v>
      </c>
      <c r="F129" s="229" t="s">
        <v>1656</v>
      </c>
      <c r="G129" s="25" t="s">
        <v>207</v>
      </c>
    </row>
    <row r="130">
      <c r="A130" s="202" t="s">
        <v>6856</v>
      </c>
      <c r="B130" s="202"/>
      <c r="C130" s="44" t="s">
        <v>6728</v>
      </c>
      <c r="D130" s="95">
        <v>0.7</v>
      </c>
      <c r="E130" s="95">
        <v>0.7</v>
      </c>
      <c r="F130" s="229" t="s">
        <v>1656</v>
      </c>
      <c r="G130" s="25" t="s">
        <v>207</v>
      </c>
    </row>
    <row r="131">
      <c r="A131" s="202" t="s">
        <v>6857</v>
      </c>
      <c r="B131" s="202"/>
      <c r="C131" s="44" t="s">
        <v>6728</v>
      </c>
      <c r="D131" s="95">
        <v>0.7</v>
      </c>
      <c r="E131" s="95">
        <v>0.7</v>
      </c>
      <c r="F131" s="229" t="s">
        <v>1656</v>
      </c>
      <c r="G131" s="25" t="s">
        <v>207</v>
      </c>
    </row>
    <row r="132">
      <c r="A132" s="231"/>
      <c r="B132" s="231"/>
      <c r="C132" s="231"/>
    </row>
    <row r="133">
      <c r="A133" s="231"/>
      <c r="B133" s="231"/>
      <c r="C133" s="231"/>
    </row>
    <row r="134">
      <c r="A134" s="231"/>
      <c r="B134" s="231"/>
      <c r="C134" s="231"/>
    </row>
    <row r="135">
      <c r="A135" s="231"/>
      <c r="B135" s="231"/>
      <c r="C135" s="231"/>
    </row>
    <row r="136">
      <c r="A136" s="231"/>
      <c r="B136" s="231"/>
      <c r="C136" s="231"/>
    </row>
    <row r="137">
      <c r="A137" s="231"/>
      <c r="B137" s="231"/>
      <c r="C137" s="231"/>
    </row>
    <row r="138">
      <c r="A138" s="231"/>
      <c r="B138" s="231"/>
      <c r="C138" s="231"/>
    </row>
    <row r="139">
      <c r="A139" s="231"/>
      <c r="B139" s="231"/>
      <c r="C139" s="231"/>
    </row>
    <row r="140">
      <c r="A140" s="231"/>
      <c r="B140" s="231"/>
      <c r="C140" s="231"/>
    </row>
    <row r="141">
      <c r="A141" s="231"/>
      <c r="B141" s="231"/>
      <c r="C141" s="231"/>
    </row>
    <row r="142">
      <c r="A142" s="231"/>
      <c r="B142" s="231"/>
      <c r="C142" s="231"/>
    </row>
    <row r="143">
      <c r="A143" s="231"/>
      <c r="B143" s="231"/>
      <c r="C143" s="231"/>
    </row>
    <row r="144">
      <c r="A144" s="231"/>
      <c r="B144" s="231"/>
      <c r="C144" s="231"/>
    </row>
    <row r="145">
      <c r="A145" s="231"/>
      <c r="B145" s="231"/>
      <c r="C145" s="231"/>
    </row>
    <row r="146">
      <c r="A146" s="231"/>
      <c r="B146" s="231"/>
      <c r="C146" s="231"/>
    </row>
    <row r="147">
      <c r="A147" s="231"/>
      <c r="B147" s="231"/>
      <c r="C147" s="231"/>
    </row>
    <row r="148">
      <c r="A148" s="231"/>
      <c r="B148" s="231"/>
      <c r="C148" s="231"/>
    </row>
    <row r="149">
      <c r="A149" s="231"/>
      <c r="B149" s="231"/>
      <c r="C149" s="231"/>
    </row>
    <row r="150">
      <c r="A150" s="231"/>
      <c r="B150" s="231"/>
      <c r="C150" s="231"/>
    </row>
    <row r="151">
      <c r="A151" s="231"/>
      <c r="B151" s="231"/>
      <c r="C151" s="231"/>
    </row>
    <row r="152">
      <c r="A152" s="231"/>
      <c r="B152" s="231"/>
      <c r="C152" s="231"/>
    </row>
    <row r="153">
      <c r="A153" s="231"/>
      <c r="B153" s="231"/>
      <c r="C153" s="231"/>
    </row>
    <row r="154">
      <c r="A154" s="231"/>
      <c r="B154" s="231"/>
      <c r="C154" s="231"/>
    </row>
    <row r="155">
      <c r="A155" s="231"/>
      <c r="B155" s="231"/>
      <c r="C155" s="231"/>
    </row>
    <row r="156">
      <c r="A156" s="231"/>
      <c r="B156" s="231"/>
      <c r="C156" s="231"/>
    </row>
    <row r="157">
      <c r="A157" s="231"/>
      <c r="B157" s="231"/>
      <c r="C157" s="231"/>
    </row>
    <row r="158">
      <c r="A158" s="231"/>
      <c r="B158" s="231"/>
      <c r="C158" s="231"/>
    </row>
    <row r="159">
      <c r="A159" s="231"/>
      <c r="B159" s="231"/>
      <c r="C159" s="231"/>
    </row>
    <row r="160">
      <c r="A160" s="231"/>
      <c r="B160" s="231"/>
      <c r="C160" s="231"/>
    </row>
    <row r="161">
      <c r="A161" s="231"/>
      <c r="B161" s="231"/>
      <c r="C161" s="231"/>
    </row>
    <row r="162">
      <c r="A162" s="231"/>
      <c r="B162" s="231"/>
      <c r="C162" s="231"/>
    </row>
    <row r="163">
      <c r="A163" s="231"/>
      <c r="B163" s="231"/>
      <c r="C163" s="231"/>
    </row>
    <row r="164">
      <c r="A164" s="231"/>
      <c r="B164" s="231"/>
      <c r="C164" s="231"/>
    </row>
    <row r="165">
      <c r="A165" s="231"/>
      <c r="B165" s="231"/>
      <c r="C165" s="231"/>
    </row>
    <row r="166">
      <c r="A166" s="231"/>
      <c r="B166" s="231"/>
      <c r="C166" s="231"/>
    </row>
    <row r="167">
      <c r="A167" s="231"/>
      <c r="B167" s="231"/>
      <c r="C167" s="231"/>
    </row>
    <row r="168">
      <c r="A168" s="231"/>
      <c r="B168" s="231"/>
      <c r="C168" s="231"/>
    </row>
    <row r="169">
      <c r="A169" s="231"/>
      <c r="B169" s="231"/>
      <c r="C169" s="231"/>
    </row>
    <row r="170">
      <c r="A170" s="231"/>
      <c r="B170" s="231"/>
      <c r="C170" s="231"/>
    </row>
    <row r="171">
      <c r="A171" s="231"/>
      <c r="B171" s="231"/>
      <c r="C171" s="231"/>
    </row>
    <row r="172">
      <c r="A172" s="231"/>
      <c r="B172" s="231"/>
      <c r="C172" s="231"/>
    </row>
    <row r="173">
      <c r="A173" s="231"/>
      <c r="B173" s="231"/>
      <c r="C173" s="231"/>
    </row>
    <row r="174">
      <c r="A174" s="231"/>
      <c r="B174" s="231"/>
      <c r="C174" s="231"/>
    </row>
    <row r="175">
      <c r="A175" s="231"/>
      <c r="B175" s="231"/>
      <c r="C175" s="231"/>
    </row>
    <row r="176">
      <c r="A176" s="231"/>
      <c r="B176" s="231"/>
      <c r="C176" s="231"/>
    </row>
    <row r="177">
      <c r="A177" s="231"/>
      <c r="B177" s="231"/>
      <c r="C177" s="231"/>
    </row>
    <row r="178">
      <c r="A178" s="231"/>
      <c r="B178" s="231"/>
      <c r="C178" s="231"/>
    </row>
    <row r="179">
      <c r="A179" s="231"/>
      <c r="B179" s="231"/>
      <c r="C179" s="231"/>
    </row>
    <row r="180">
      <c r="A180" s="231"/>
      <c r="B180" s="231"/>
      <c r="C180" s="231"/>
    </row>
    <row r="181">
      <c r="A181" s="231"/>
      <c r="B181" s="231"/>
      <c r="C181" s="231"/>
    </row>
    <row r="182">
      <c r="A182" s="231"/>
      <c r="B182" s="231"/>
      <c r="C182" s="231"/>
    </row>
    <row r="183">
      <c r="A183" s="231"/>
      <c r="B183" s="231"/>
      <c r="C183" s="231"/>
    </row>
    <row r="184">
      <c r="A184" s="231"/>
      <c r="B184" s="231"/>
      <c r="C184" s="231"/>
    </row>
    <row r="185">
      <c r="A185" s="231"/>
      <c r="B185" s="231"/>
      <c r="C185" s="231"/>
    </row>
    <row r="186">
      <c r="A186" s="231"/>
      <c r="B186" s="231"/>
      <c r="C186" s="231"/>
    </row>
    <row r="187">
      <c r="A187" s="231"/>
      <c r="B187" s="231"/>
      <c r="C187" s="231"/>
    </row>
    <row r="188">
      <c r="A188" s="231"/>
      <c r="B188" s="231"/>
      <c r="C188" s="231"/>
    </row>
    <row r="189">
      <c r="A189" s="231"/>
      <c r="B189" s="231"/>
      <c r="C189" s="231"/>
    </row>
    <row r="190">
      <c r="A190" s="231"/>
      <c r="B190" s="231"/>
      <c r="C190" s="231"/>
    </row>
    <row r="191">
      <c r="A191" s="231"/>
      <c r="B191" s="231"/>
      <c r="C191" s="231"/>
    </row>
    <row r="192">
      <c r="A192" s="231"/>
      <c r="B192" s="231"/>
      <c r="C192" s="231"/>
    </row>
    <row r="193">
      <c r="A193" s="231"/>
      <c r="B193" s="231"/>
      <c r="C193" s="231"/>
    </row>
    <row r="194">
      <c r="A194" s="231"/>
      <c r="B194" s="231"/>
      <c r="C194" s="231"/>
    </row>
    <row r="195">
      <c r="A195" s="231"/>
      <c r="B195" s="231"/>
      <c r="C195" s="231"/>
    </row>
    <row r="196">
      <c r="A196" s="231"/>
      <c r="B196" s="231"/>
      <c r="C196" s="231"/>
    </row>
    <row r="197">
      <c r="A197" s="231"/>
      <c r="B197" s="231"/>
      <c r="C197" s="231"/>
    </row>
    <row r="198">
      <c r="A198" s="231"/>
      <c r="B198" s="231"/>
      <c r="C198" s="231"/>
    </row>
    <row r="199">
      <c r="A199" s="231"/>
      <c r="B199" s="231"/>
      <c r="C199" s="231"/>
    </row>
    <row r="200">
      <c r="A200" s="231"/>
      <c r="B200" s="231"/>
      <c r="C200" s="231"/>
    </row>
    <row r="201">
      <c r="A201" s="231"/>
      <c r="B201" s="231"/>
      <c r="C201" s="231"/>
    </row>
    <row r="202">
      <c r="A202" s="231"/>
      <c r="B202" s="231"/>
      <c r="C202" s="231"/>
    </row>
    <row r="203">
      <c r="A203" s="231"/>
      <c r="B203" s="231"/>
      <c r="C203" s="231"/>
    </row>
    <row r="204">
      <c r="A204" s="231"/>
      <c r="B204" s="231"/>
      <c r="C204" s="231"/>
    </row>
    <row r="205">
      <c r="A205" s="231"/>
      <c r="B205" s="231"/>
      <c r="C205" s="231"/>
    </row>
    <row r="206">
      <c r="A206" s="231"/>
      <c r="B206" s="231"/>
      <c r="C206" s="231"/>
    </row>
    <row r="207">
      <c r="A207" s="231"/>
      <c r="B207" s="231"/>
      <c r="C207" s="231"/>
    </row>
    <row r="208">
      <c r="A208" s="231"/>
      <c r="B208" s="231"/>
      <c r="C208" s="231"/>
    </row>
    <row r="209">
      <c r="A209" s="231"/>
      <c r="B209" s="231"/>
      <c r="C209" s="231"/>
    </row>
    <row r="210">
      <c r="A210" s="231"/>
      <c r="B210" s="231"/>
      <c r="C210" s="231"/>
    </row>
    <row r="211">
      <c r="A211" s="231"/>
      <c r="B211" s="231"/>
      <c r="C211" s="231"/>
    </row>
    <row r="212">
      <c r="A212" s="231"/>
      <c r="B212" s="231"/>
      <c r="C212" s="231"/>
    </row>
    <row r="213">
      <c r="A213" s="231"/>
      <c r="B213" s="231"/>
      <c r="C213" s="231"/>
    </row>
    <row r="214">
      <c r="A214" s="231"/>
      <c r="B214" s="231"/>
      <c r="C214" s="231"/>
    </row>
    <row r="215">
      <c r="A215" s="231"/>
      <c r="B215" s="231"/>
      <c r="C215" s="231"/>
    </row>
    <row r="216">
      <c r="A216" s="231"/>
      <c r="B216" s="231"/>
      <c r="C216" s="231"/>
    </row>
    <row r="217">
      <c r="A217" s="231"/>
      <c r="B217" s="231"/>
      <c r="C217" s="231"/>
    </row>
    <row r="218">
      <c r="A218" s="231"/>
      <c r="B218" s="231"/>
      <c r="C218" s="231"/>
    </row>
    <row r="219">
      <c r="A219" s="231"/>
      <c r="B219" s="231"/>
      <c r="C219" s="231"/>
    </row>
    <row r="220">
      <c r="A220" s="231"/>
      <c r="B220" s="231"/>
      <c r="C220" s="231"/>
    </row>
    <row r="221">
      <c r="A221" s="231"/>
      <c r="B221" s="231"/>
      <c r="C221" s="231"/>
    </row>
    <row r="222">
      <c r="A222" s="231"/>
      <c r="B222" s="231"/>
      <c r="C222" s="231"/>
    </row>
    <row r="223">
      <c r="A223" s="231"/>
      <c r="B223" s="231"/>
      <c r="C223" s="231"/>
    </row>
    <row r="224">
      <c r="A224" s="231"/>
      <c r="B224" s="231"/>
      <c r="C224" s="231"/>
    </row>
    <row r="225">
      <c r="A225" s="231"/>
      <c r="B225" s="231"/>
      <c r="C225" s="231"/>
    </row>
    <row r="226">
      <c r="A226" s="231"/>
      <c r="B226" s="231"/>
      <c r="C226" s="231"/>
    </row>
    <row r="227">
      <c r="A227" s="231"/>
      <c r="B227" s="231"/>
      <c r="C227" s="231"/>
    </row>
    <row r="228">
      <c r="A228" s="231"/>
      <c r="B228" s="231"/>
      <c r="C228" s="231"/>
    </row>
    <row r="229">
      <c r="A229" s="231"/>
      <c r="B229" s="231"/>
      <c r="C229" s="231"/>
    </row>
    <row r="230">
      <c r="A230" s="231"/>
      <c r="B230" s="231"/>
      <c r="C230" s="231"/>
    </row>
    <row r="231">
      <c r="A231" s="231"/>
      <c r="B231" s="231"/>
      <c r="C231" s="231"/>
    </row>
    <row r="232">
      <c r="A232" s="231"/>
      <c r="B232" s="231"/>
      <c r="C232" s="231"/>
    </row>
    <row r="233">
      <c r="A233" s="231"/>
      <c r="B233" s="231"/>
      <c r="C233" s="231"/>
    </row>
    <row r="234">
      <c r="A234" s="231"/>
      <c r="B234" s="231"/>
      <c r="C234" s="231"/>
    </row>
    <row r="235">
      <c r="A235" s="231"/>
      <c r="B235" s="231"/>
      <c r="C235" s="231"/>
    </row>
    <row r="236">
      <c r="A236" s="231"/>
      <c r="B236" s="231"/>
      <c r="C236" s="231"/>
    </row>
    <row r="237">
      <c r="A237" s="231"/>
      <c r="B237" s="231"/>
      <c r="C237" s="231"/>
    </row>
    <row r="238">
      <c r="A238" s="231"/>
      <c r="B238" s="231"/>
      <c r="C238" s="231"/>
    </row>
    <row r="239">
      <c r="A239" s="231"/>
      <c r="B239" s="231"/>
      <c r="C239" s="231"/>
    </row>
    <row r="240">
      <c r="A240" s="231"/>
      <c r="B240" s="231"/>
      <c r="C240" s="231"/>
    </row>
    <row r="241">
      <c r="A241" s="231"/>
      <c r="B241" s="231"/>
      <c r="C241" s="231"/>
    </row>
    <row r="242">
      <c r="A242" s="231"/>
      <c r="B242" s="231"/>
      <c r="C242" s="231"/>
    </row>
    <row r="243">
      <c r="A243" s="231"/>
      <c r="B243" s="231"/>
      <c r="C243" s="231"/>
    </row>
    <row r="244">
      <c r="A244" s="231"/>
      <c r="B244" s="231"/>
      <c r="C244" s="231"/>
    </row>
    <row r="245">
      <c r="A245" s="231"/>
      <c r="B245" s="231"/>
      <c r="C245" s="231"/>
    </row>
    <row r="246">
      <c r="A246" s="231"/>
      <c r="B246" s="231"/>
      <c r="C246" s="231"/>
    </row>
    <row r="247">
      <c r="A247" s="231"/>
      <c r="B247" s="231"/>
      <c r="C247" s="231"/>
    </row>
    <row r="248">
      <c r="A248" s="231"/>
      <c r="B248" s="231"/>
      <c r="C248" s="231"/>
    </row>
    <row r="249">
      <c r="A249" s="231"/>
      <c r="B249" s="231"/>
      <c r="C249" s="231"/>
    </row>
    <row r="250">
      <c r="A250" s="231"/>
      <c r="B250" s="231"/>
      <c r="C250" s="231"/>
    </row>
    <row r="251">
      <c r="A251" s="231"/>
      <c r="B251" s="231"/>
      <c r="C251" s="231"/>
    </row>
    <row r="252">
      <c r="A252" s="231"/>
      <c r="B252" s="231"/>
      <c r="C252" s="231"/>
    </row>
    <row r="253">
      <c r="A253" s="231"/>
      <c r="B253" s="231"/>
      <c r="C253" s="231"/>
    </row>
    <row r="254">
      <c r="A254" s="231"/>
      <c r="B254" s="231"/>
      <c r="C254" s="231"/>
    </row>
    <row r="255">
      <c r="A255" s="231"/>
      <c r="B255" s="231"/>
      <c r="C255" s="231"/>
    </row>
    <row r="256">
      <c r="A256" s="231"/>
      <c r="B256" s="231"/>
      <c r="C256" s="231"/>
    </row>
    <row r="257">
      <c r="A257" s="231"/>
      <c r="B257" s="231"/>
      <c r="C257" s="231"/>
    </row>
    <row r="258">
      <c r="A258" s="231"/>
      <c r="B258" s="231"/>
      <c r="C258" s="231"/>
    </row>
    <row r="259">
      <c r="A259" s="231"/>
      <c r="B259" s="231"/>
      <c r="C259" s="231"/>
    </row>
    <row r="260">
      <c r="A260" s="231"/>
      <c r="B260" s="231"/>
      <c r="C260" s="231"/>
    </row>
    <row r="261">
      <c r="A261" s="231"/>
      <c r="B261" s="231"/>
      <c r="C261" s="231"/>
    </row>
    <row r="262">
      <c r="A262" s="231"/>
      <c r="B262" s="231"/>
      <c r="C262" s="231"/>
    </row>
    <row r="263">
      <c r="A263" s="231"/>
      <c r="B263" s="231"/>
      <c r="C263" s="231"/>
    </row>
    <row r="264">
      <c r="A264" s="231"/>
      <c r="B264" s="231"/>
      <c r="C264" s="231"/>
    </row>
    <row r="265">
      <c r="A265" s="231"/>
      <c r="B265" s="231"/>
      <c r="C265" s="231"/>
    </row>
    <row r="266">
      <c r="A266" s="231"/>
      <c r="B266" s="231"/>
      <c r="C266" s="231"/>
    </row>
    <row r="267">
      <c r="A267" s="231"/>
      <c r="B267" s="231"/>
      <c r="C267" s="231"/>
    </row>
    <row r="268">
      <c r="A268" s="231"/>
      <c r="B268" s="231"/>
      <c r="C268" s="231"/>
    </row>
    <row r="269">
      <c r="A269" s="231"/>
      <c r="B269" s="231"/>
      <c r="C269" s="231"/>
    </row>
    <row r="270">
      <c r="A270" s="231"/>
      <c r="B270" s="231"/>
      <c r="C270" s="231"/>
    </row>
    <row r="271">
      <c r="A271" s="231"/>
      <c r="B271" s="231"/>
      <c r="C271" s="231"/>
    </row>
    <row r="272">
      <c r="A272" s="231"/>
      <c r="B272" s="231"/>
      <c r="C272" s="231"/>
    </row>
    <row r="273">
      <c r="A273" s="231"/>
      <c r="B273" s="231"/>
      <c r="C273" s="231"/>
    </row>
    <row r="274">
      <c r="A274" s="231"/>
      <c r="B274" s="231"/>
      <c r="C274" s="231"/>
    </row>
    <row r="275">
      <c r="A275" s="231"/>
      <c r="B275" s="231"/>
      <c r="C275" s="231"/>
    </row>
    <row r="276">
      <c r="A276" s="231"/>
      <c r="B276" s="231"/>
      <c r="C276" s="231"/>
    </row>
    <row r="277">
      <c r="A277" s="231"/>
      <c r="B277" s="231"/>
      <c r="C277" s="231"/>
    </row>
    <row r="278">
      <c r="A278" s="231"/>
      <c r="B278" s="231"/>
      <c r="C278" s="231"/>
    </row>
    <row r="279">
      <c r="A279" s="231"/>
      <c r="B279" s="231"/>
      <c r="C279" s="231"/>
    </row>
    <row r="280">
      <c r="A280" s="231"/>
      <c r="B280" s="231"/>
      <c r="C280" s="231"/>
    </row>
    <row r="281">
      <c r="A281" s="231"/>
      <c r="B281" s="231"/>
      <c r="C281" s="231"/>
    </row>
    <row r="282">
      <c r="A282" s="231"/>
      <c r="B282" s="231"/>
      <c r="C282" s="231"/>
    </row>
    <row r="283">
      <c r="A283" s="231"/>
      <c r="B283" s="231"/>
      <c r="C283" s="231"/>
    </row>
    <row r="284">
      <c r="A284" s="231"/>
      <c r="B284" s="231"/>
      <c r="C284" s="231"/>
    </row>
    <row r="285">
      <c r="A285" s="231"/>
      <c r="B285" s="231"/>
      <c r="C285" s="231"/>
    </row>
    <row r="286">
      <c r="A286" s="231"/>
      <c r="B286" s="231"/>
      <c r="C286" s="231"/>
    </row>
    <row r="287">
      <c r="A287" s="231"/>
      <c r="B287" s="231"/>
      <c r="C287" s="231"/>
    </row>
    <row r="288">
      <c r="A288" s="231"/>
      <c r="B288" s="231"/>
      <c r="C288" s="231"/>
    </row>
    <row r="289">
      <c r="A289" s="231"/>
      <c r="B289" s="231"/>
      <c r="C289" s="231"/>
    </row>
    <row r="290">
      <c r="A290" s="231"/>
      <c r="B290" s="231"/>
      <c r="C290" s="231"/>
    </row>
    <row r="291">
      <c r="A291" s="231"/>
      <c r="B291" s="231"/>
      <c r="C291" s="231"/>
    </row>
    <row r="292">
      <c r="A292" s="231"/>
      <c r="B292" s="231"/>
      <c r="C292" s="231"/>
    </row>
    <row r="293">
      <c r="A293" s="231"/>
      <c r="B293" s="231"/>
      <c r="C293" s="231"/>
    </row>
    <row r="294">
      <c r="A294" s="231"/>
      <c r="B294" s="231"/>
      <c r="C294" s="231"/>
    </row>
    <row r="295">
      <c r="A295" s="231"/>
      <c r="B295" s="231"/>
      <c r="C295" s="231"/>
    </row>
    <row r="296">
      <c r="A296" s="231"/>
      <c r="B296" s="231"/>
      <c r="C296" s="231"/>
    </row>
    <row r="297">
      <c r="A297" s="231"/>
      <c r="B297" s="231"/>
      <c r="C297" s="231"/>
    </row>
    <row r="298">
      <c r="A298" s="231"/>
      <c r="B298" s="231"/>
      <c r="C298" s="231"/>
    </row>
    <row r="299">
      <c r="A299" s="231"/>
      <c r="B299" s="231"/>
      <c r="C299" s="231"/>
    </row>
    <row r="300">
      <c r="A300" s="231"/>
      <c r="B300" s="231"/>
      <c r="C300" s="231"/>
    </row>
    <row r="301">
      <c r="A301" s="231"/>
      <c r="B301" s="231"/>
      <c r="C301" s="231"/>
    </row>
    <row r="302">
      <c r="A302" s="231"/>
      <c r="B302" s="231"/>
      <c r="C302" s="231"/>
    </row>
    <row r="303">
      <c r="A303" s="231"/>
      <c r="B303" s="231"/>
      <c r="C303" s="231"/>
    </row>
    <row r="304">
      <c r="A304" s="231"/>
      <c r="B304" s="231"/>
      <c r="C304" s="231"/>
    </row>
    <row r="305">
      <c r="A305" s="231"/>
      <c r="B305" s="231"/>
      <c r="C305" s="231"/>
    </row>
    <row r="306">
      <c r="A306" s="231"/>
      <c r="B306" s="231"/>
      <c r="C306" s="231"/>
    </row>
    <row r="307">
      <c r="A307" s="231"/>
      <c r="B307" s="231"/>
      <c r="C307" s="231"/>
    </row>
    <row r="308">
      <c r="A308" s="231"/>
      <c r="B308" s="231"/>
      <c r="C308" s="231"/>
    </row>
    <row r="309">
      <c r="A309" s="231"/>
      <c r="B309" s="231"/>
      <c r="C309" s="231"/>
    </row>
    <row r="310">
      <c r="A310" s="231"/>
      <c r="B310" s="231"/>
      <c r="C310" s="231"/>
    </row>
    <row r="311">
      <c r="A311" s="231"/>
      <c r="B311" s="231"/>
      <c r="C311" s="231"/>
    </row>
    <row r="312">
      <c r="A312" s="231"/>
      <c r="B312" s="231"/>
      <c r="C312" s="231"/>
    </row>
    <row r="313">
      <c r="A313" s="231"/>
      <c r="B313" s="231"/>
      <c r="C313" s="231"/>
    </row>
    <row r="314">
      <c r="A314" s="231"/>
      <c r="B314" s="231"/>
      <c r="C314" s="231"/>
    </row>
    <row r="315">
      <c r="A315" s="231"/>
      <c r="B315" s="231"/>
      <c r="C315" s="231"/>
    </row>
    <row r="316">
      <c r="A316" s="231"/>
      <c r="B316" s="231"/>
      <c r="C316" s="231"/>
    </row>
    <row r="317">
      <c r="A317" s="231"/>
      <c r="B317" s="231"/>
      <c r="C317" s="231"/>
    </row>
    <row r="318">
      <c r="A318" s="231"/>
      <c r="B318" s="231"/>
      <c r="C318" s="231"/>
    </row>
    <row r="319">
      <c r="A319" s="231"/>
      <c r="B319" s="231"/>
      <c r="C319" s="231"/>
    </row>
    <row r="320">
      <c r="A320" s="231"/>
      <c r="B320" s="231"/>
      <c r="C320" s="231"/>
    </row>
    <row r="321">
      <c r="A321" s="231"/>
      <c r="B321" s="231"/>
      <c r="C321" s="231"/>
    </row>
    <row r="322">
      <c r="A322" s="231"/>
      <c r="B322" s="231"/>
      <c r="C322" s="231"/>
    </row>
    <row r="323">
      <c r="A323" s="231"/>
      <c r="B323" s="231"/>
      <c r="C323" s="231"/>
    </row>
    <row r="324">
      <c r="A324" s="231"/>
      <c r="B324" s="231"/>
      <c r="C324" s="231"/>
    </row>
    <row r="325">
      <c r="A325" s="231"/>
      <c r="B325" s="231"/>
      <c r="C325" s="231"/>
    </row>
    <row r="326">
      <c r="A326" s="231"/>
      <c r="B326" s="231"/>
      <c r="C326" s="231"/>
    </row>
    <row r="327">
      <c r="A327" s="231"/>
      <c r="B327" s="231"/>
      <c r="C327" s="231"/>
    </row>
    <row r="328">
      <c r="A328" s="231"/>
      <c r="B328" s="231"/>
      <c r="C328" s="231"/>
    </row>
    <row r="329">
      <c r="A329" s="231"/>
      <c r="B329" s="231"/>
      <c r="C329" s="231"/>
    </row>
    <row r="330">
      <c r="A330" s="231"/>
      <c r="B330" s="231"/>
      <c r="C330" s="231"/>
    </row>
    <row r="331">
      <c r="A331" s="231"/>
      <c r="B331" s="231"/>
      <c r="C331" s="231"/>
    </row>
    <row r="332">
      <c r="A332" s="231"/>
      <c r="B332" s="231"/>
      <c r="C332" s="231"/>
    </row>
    <row r="333">
      <c r="A333" s="231"/>
      <c r="B333" s="231"/>
      <c r="C333" s="231"/>
    </row>
    <row r="334">
      <c r="A334" s="231"/>
      <c r="B334" s="231"/>
      <c r="C334" s="231"/>
    </row>
    <row r="335">
      <c r="A335" s="231"/>
      <c r="B335" s="231"/>
      <c r="C335" s="231"/>
    </row>
    <row r="336">
      <c r="A336" s="231"/>
      <c r="B336" s="231"/>
      <c r="C336" s="231"/>
    </row>
    <row r="337">
      <c r="A337" s="231"/>
      <c r="B337" s="231"/>
      <c r="C337" s="231"/>
    </row>
    <row r="338">
      <c r="A338" s="231"/>
      <c r="B338" s="231"/>
      <c r="C338" s="231"/>
    </row>
    <row r="339">
      <c r="A339" s="231"/>
      <c r="B339" s="231"/>
      <c r="C339" s="231"/>
    </row>
    <row r="340">
      <c r="A340" s="231"/>
      <c r="B340" s="231"/>
      <c r="C340" s="231"/>
    </row>
    <row r="341">
      <c r="A341" s="231"/>
      <c r="B341" s="231"/>
      <c r="C341" s="231"/>
    </row>
    <row r="342">
      <c r="A342" s="231"/>
      <c r="B342" s="231"/>
      <c r="C342" s="231"/>
    </row>
    <row r="343">
      <c r="A343" s="231"/>
      <c r="B343" s="231"/>
      <c r="C343" s="231"/>
    </row>
    <row r="344">
      <c r="A344" s="231"/>
      <c r="B344" s="231"/>
      <c r="C344" s="231"/>
    </row>
    <row r="345">
      <c r="A345" s="231"/>
      <c r="B345" s="231"/>
      <c r="C345" s="231"/>
    </row>
    <row r="346">
      <c r="A346" s="231"/>
      <c r="B346" s="231"/>
      <c r="C346" s="231"/>
    </row>
    <row r="347">
      <c r="A347" s="231"/>
      <c r="B347" s="231"/>
      <c r="C347" s="231"/>
    </row>
    <row r="348">
      <c r="A348" s="231"/>
      <c r="B348" s="231"/>
      <c r="C348" s="231"/>
    </row>
    <row r="349">
      <c r="A349" s="231"/>
      <c r="B349" s="231"/>
      <c r="C349" s="231"/>
    </row>
    <row r="350">
      <c r="A350" s="231"/>
      <c r="B350" s="231"/>
      <c r="C350" s="231"/>
    </row>
    <row r="351">
      <c r="A351" s="231"/>
      <c r="B351" s="231"/>
      <c r="C351" s="231"/>
    </row>
    <row r="352">
      <c r="A352" s="231"/>
      <c r="B352" s="231"/>
      <c r="C352" s="231"/>
    </row>
    <row r="353">
      <c r="A353" s="231"/>
      <c r="B353" s="231"/>
      <c r="C353" s="231"/>
    </row>
    <row r="354">
      <c r="A354" s="231"/>
      <c r="B354" s="231"/>
      <c r="C354" s="231"/>
    </row>
    <row r="355">
      <c r="A355" s="231"/>
      <c r="B355" s="231"/>
      <c r="C355" s="231"/>
    </row>
    <row r="356">
      <c r="A356" s="231"/>
      <c r="B356" s="231"/>
      <c r="C356" s="231"/>
    </row>
    <row r="357">
      <c r="A357" s="231"/>
      <c r="B357" s="231"/>
      <c r="C357" s="231"/>
    </row>
    <row r="358">
      <c r="A358" s="231"/>
      <c r="B358" s="231"/>
      <c r="C358" s="231"/>
    </row>
    <row r="359">
      <c r="A359" s="231"/>
      <c r="B359" s="231"/>
      <c r="C359" s="231"/>
    </row>
    <row r="360">
      <c r="A360" s="231"/>
      <c r="B360" s="231"/>
      <c r="C360" s="231"/>
    </row>
    <row r="361">
      <c r="A361" s="231"/>
      <c r="B361" s="231"/>
      <c r="C361" s="231"/>
    </row>
    <row r="362">
      <c r="A362" s="231"/>
      <c r="B362" s="231"/>
      <c r="C362" s="231"/>
    </row>
    <row r="363">
      <c r="A363" s="231"/>
      <c r="B363" s="231"/>
      <c r="C363" s="231"/>
    </row>
    <row r="364">
      <c r="A364" s="231"/>
      <c r="B364" s="231"/>
      <c r="C364" s="231"/>
    </row>
    <row r="365">
      <c r="A365" s="231"/>
      <c r="B365" s="231"/>
      <c r="C365" s="231"/>
    </row>
    <row r="366">
      <c r="A366" s="231"/>
      <c r="B366" s="231"/>
      <c r="C366" s="231"/>
    </row>
    <row r="367">
      <c r="A367" s="231"/>
      <c r="B367" s="231"/>
      <c r="C367" s="231"/>
    </row>
    <row r="368">
      <c r="A368" s="231"/>
      <c r="B368" s="231"/>
      <c r="C368" s="231"/>
    </row>
    <row r="369">
      <c r="A369" s="231"/>
      <c r="B369" s="231"/>
      <c r="C369" s="231"/>
    </row>
    <row r="370">
      <c r="A370" s="231"/>
      <c r="B370" s="231"/>
      <c r="C370" s="231"/>
    </row>
    <row r="371">
      <c r="A371" s="231"/>
      <c r="B371" s="231"/>
      <c r="C371" s="231"/>
    </row>
    <row r="372">
      <c r="A372" s="231"/>
      <c r="B372" s="231"/>
      <c r="C372" s="231"/>
    </row>
    <row r="373">
      <c r="A373" s="231"/>
      <c r="B373" s="231"/>
      <c r="C373" s="231"/>
    </row>
    <row r="374">
      <c r="A374" s="231"/>
      <c r="B374" s="231"/>
      <c r="C374" s="231"/>
    </row>
    <row r="375">
      <c r="A375" s="231"/>
      <c r="B375" s="231"/>
      <c r="C375" s="231"/>
    </row>
    <row r="376">
      <c r="A376" s="231"/>
      <c r="B376" s="231"/>
      <c r="C376" s="231"/>
    </row>
    <row r="377">
      <c r="A377" s="231"/>
      <c r="B377" s="231"/>
      <c r="C377" s="231"/>
    </row>
    <row r="378">
      <c r="A378" s="231"/>
      <c r="B378" s="231"/>
      <c r="C378" s="231"/>
    </row>
    <row r="379">
      <c r="A379" s="231"/>
      <c r="B379" s="231"/>
      <c r="C379" s="231"/>
    </row>
    <row r="380">
      <c r="A380" s="231"/>
      <c r="B380" s="231"/>
      <c r="C380" s="231"/>
    </row>
    <row r="381">
      <c r="A381" s="231"/>
      <c r="B381" s="231"/>
      <c r="C381" s="231"/>
    </row>
    <row r="382">
      <c r="A382" s="231"/>
      <c r="B382" s="231"/>
      <c r="C382" s="231"/>
    </row>
    <row r="383">
      <c r="A383" s="231"/>
      <c r="B383" s="231"/>
      <c r="C383" s="231"/>
    </row>
    <row r="384">
      <c r="A384" s="231"/>
      <c r="B384" s="231"/>
      <c r="C384" s="231"/>
    </row>
    <row r="385">
      <c r="A385" s="231"/>
      <c r="B385" s="231"/>
      <c r="C385" s="231"/>
    </row>
    <row r="386">
      <c r="A386" s="231"/>
      <c r="B386" s="231"/>
      <c r="C386" s="231"/>
    </row>
    <row r="387">
      <c r="A387" s="231"/>
      <c r="B387" s="231"/>
      <c r="C387" s="231"/>
    </row>
    <row r="388">
      <c r="A388" s="231"/>
      <c r="B388" s="231"/>
      <c r="C388" s="231"/>
    </row>
    <row r="389">
      <c r="A389" s="231"/>
      <c r="B389" s="231"/>
      <c r="C389" s="231"/>
    </row>
    <row r="390">
      <c r="A390" s="231"/>
      <c r="B390" s="231"/>
      <c r="C390" s="231"/>
    </row>
    <row r="391">
      <c r="A391" s="231"/>
      <c r="B391" s="231"/>
      <c r="C391" s="231"/>
    </row>
    <row r="392">
      <c r="A392" s="231"/>
      <c r="B392" s="231"/>
      <c r="C392" s="231"/>
    </row>
    <row r="393">
      <c r="A393" s="231"/>
      <c r="B393" s="231"/>
      <c r="C393" s="231"/>
    </row>
    <row r="394">
      <c r="A394" s="231"/>
      <c r="B394" s="231"/>
      <c r="C394" s="231"/>
    </row>
    <row r="395">
      <c r="A395" s="231"/>
      <c r="B395" s="231"/>
      <c r="C395" s="231"/>
    </row>
    <row r="396">
      <c r="A396" s="231"/>
      <c r="B396" s="231"/>
      <c r="C396" s="231"/>
    </row>
    <row r="397">
      <c r="A397" s="231"/>
      <c r="B397" s="231"/>
      <c r="C397" s="231"/>
    </row>
    <row r="398">
      <c r="A398" s="231"/>
      <c r="B398" s="231"/>
      <c r="C398" s="231"/>
    </row>
    <row r="399">
      <c r="A399" s="231"/>
      <c r="B399" s="231"/>
      <c r="C399" s="231"/>
    </row>
    <row r="400">
      <c r="A400" s="231"/>
      <c r="B400" s="231"/>
      <c r="C400" s="231"/>
    </row>
    <row r="401">
      <c r="A401" s="231"/>
      <c r="B401" s="231"/>
      <c r="C401" s="231"/>
    </row>
    <row r="402">
      <c r="A402" s="231"/>
      <c r="B402" s="231"/>
      <c r="C402" s="231"/>
    </row>
    <row r="403">
      <c r="A403" s="231"/>
      <c r="B403" s="231"/>
      <c r="C403" s="231"/>
    </row>
    <row r="404">
      <c r="A404" s="231"/>
      <c r="B404" s="231"/>
      <c r="C404" s="231"/>
    </row>
    <row r="405">
      <c r="A405" s="231"/>
      <c r="B405" s="231"/>
      <c r="C405" s="231"/>
    </row>
    <row r="406">
      <c r="A406" s="231"/>
      <c r="B406" s="231"/>
      <c r="C406" s="231"/>
    </row>
    <row r="407">
      <c r="A407" s="231"/>
      <c r="B407" s="231"/>
      <c r="C407" s="231"/>
    </row>
    <row r="408">
      <c r="A408" s="231"/>
      <c r="B408" s="231"/>
      <c r="C408" s="231"/>
    </row>
    <row r="409">
      <c r="A409" s="231"/>
      <c r="B409" s="231"/>
      <c r="C409" s="231"/>
    </row>
    <row r="410">
      <c r="A410" s="231"/>
      <c r="B410" s="231"/>
      <c r="C410" s="231"/>
    </row>
    <row r="411">
      <c r="A411" s="231"/>
      <c r="B411" s="231"/>
      <c r="C411" s="231"/>
    </row>
    <row r="412">
      <c r="A412" s="231"/>
      <c r="B412" s="231"/>
      <c r="C412" s="231"/>
    </row>
    <row r="413">
      <c r="A413" s="231"/>
      <c r="B413" s="231"/>
      <c r="C413" s="231"/>
    </row>
    <row r="414">
      <c r="A414" s="231"/>
      <c r="B414" s="231"/>
      <c r="C414" s="231"/>
    </row>
    <row r="415">
      <c r="A415" s="231"/>
      <c r="B415" s="231"/>
      <c r="C415" s="231"/>
    </row>
    <row r="416">
      <c r="A416" s="231"/>
      <c r="B416" s="231"/>
      <c r="C416" s="231"/>
    </row>
    <row r="417">
      <c r="A417" s="231"/>
      <c r="B417" s="231"/>
      <c r="C417" s="231"/>
    </row>
    <row r="418">
      <c r="A418" s="231"/>
      <c r="B418" s="231"/>
      <c r="C418" s="231"/>
    </row>
    <row r="419">
      <c r="A419" s="231"/>
      <c r="B419" s="231"/>
      <c r="C419" s="231"/>
    </row>
    <row r="420">
      <c r="A420" s="231"/>
      <c r="B420" s="231"/>
      <c r="C420" s="231"/>
    </row>
    <row r="421">
      <c r="A421" s="231"/>
      <c r="B421" s="231"/>
      <c r="C421" s="231"/>
    </row>
    <row r="422">
      <c r="A422" s="231"/>
      <c r="B422" s="231"/>
      <c r="C422" s="231"/>
    </row>
    <row r="423">
      <c r="A423" s="231"/>
      <c r="B423" s="231"/>
      <c r="C423" s="231"/>
    </row>
    <row r="424">
      <c r="A424" s="231"/>
      <c r="B424" s="231"/>
      <c r="C424" s="231"/>
    </row>
    <row r="425">
      <c r="A425" s="231"/>
      <c r="B425" s="231"/>
      <c r="C425" s="231"/>
    </row>
    <row r="426">
      <c r="A426" s="231"/>
      <c r="B426" s="231"/>
      <c r="C426" s="231"/>
    </row>
    <row r="427">
      <c r="A427" s="231"/>
      <c r="B427" s="231"/>
      <c r="C427" s="231"/>
    </row>
    <row r="428">
      <c r="A428" s="231"/>
      <c r="B428" s="231"/>
      <c r="C428" s="231"/>
    </row>
    <row r="429">
      <c r="A429" s="231"/>
      <c r="B429" s="231"/>
      <c r="C429" s="231"/>
    </row>
    <row r="430">
      <c r="A430" s="231"/>
      <c r="B430" s="231"/>
      <c r="C430" s="231"/>
    </row>
    <row r="431">
      <c r="A431" s="231"/>
      <c r="B431" s="231"/>
      <c r="C431" s="231"/>
    </row>
    <row r="432">
      <c r="A432" s="231"/>
      <c r="B432" s="231"/>
      <c r="C432" s="231"/>
    </row>
    <row r="433">
      <c r="A433" s="231"/>
      <c r="B433" s="231"/>
      <c r="C433" s="231"/>
    </row>
    <row r="434">
      <c r="A434" s="231"/>
      <c r="B434" s="231"/>
      <c r="C434" s="231"/>
    </row>
    <row r="435">
      <c r="A435" s="231"/>
      <c r="B435" s="231"/>
      <c r="C435" s="231"/>
    </row>
    <row r="436">
      <c r="A436" s="231"/>
      <c r="B436" s="231"/>
      <c r="C436" s="231"/>
    </row>
    <row r="437">
      <c r="A437" s="231"/>
      <c r="B437" s="231"/>
      <c r="C437" s="231"/>
    </row>
    <row r="438">
      <c r="A438" s="231"/>
      <c r="B438" s="231"/>
      <c r="C438" s="231"/>
    </row>
    <row r="439">
      <c r="A439" s="231"/>
      <c r="B439" s="231"/>
      <c r="C439" s="231"/>
    </row>
    <row r="440">
      <c r="A440" s="231"/>
      <c r="B440" s="231"/>
      <c r="C440" s="231"/>
    </row>
    <row r="441">
      <c r="A441" s="231"/>
      <c r="B441" s="231"/>
      <c r="C441" s="231"/>
    </row>
    <row r="442">
      <c r="A442" s="231"/>
      <c r="B442" s="231"/>
      <c r="C442" s="231"/>
    </row>
    <row r="443">
      <c r="A443" s="231"/>
      <c r="B443" s="231"/>
      <c r="C443" s="231"/>
    </row>
    <row r="444">
      <c r="A444" s="231"/>
      <c r="B444" s="231"/>
      <c r="C444" s="231"/>
    </row>
    <row r="445">
      <c r="A445" s="231"/>
      <c r="B445" s="231"/>
      <c r="C445" s="231"/>
    </row>
    <row r="446">
      <c r="A446" s="231"/>
      <c r="B446" s="231"/>
      <c r="C446" s="231"/>
    </row>
    <row r="447">
      <c r="A447" s="231"/>
      <c r="B447" s="231"/>
      <c r="C447" s="231"/>
    </row>
    <row r="448">
      <c r="A448" s="231"/>
      <c r="B448" s="231"/>
      <c r="C448" s="231"/>
    </row>
    <row r="449">
      <c r="A449" s="231"/>
      <c r="B449" s="231"/>
      <c r="C449" s="231"/>
    </row>
    <row r="450">
      <c r="A450" s="231"/>
      <c r="B450" s="231"/>
      <c r="C450" s="231"/>
    </row>
    <row r="451">
      <c r="A451" s="231"/>
      <c r="B451" s="231"/>
      <c r="C451" s="231"/>
    </row>
    <row r="452">
      <c r="A452" s="231"/>
      <c r="B452" s="231"/>
      <c r="C452" s="231"/>
    </row>
    <row r="453">
      <c r="A453" s="231"/>
      <c r="B453" s="231"/>
      <c r="C453" s="231"/>
    </row>
    <row r="454">
      <c r="A454" s="231"/>
      <c r="B454" s="231"/>
      <c r="C454" s="231"/>
    </row>
    <row r="455">
      <c r="A455" s="231"/>
      <c r="B455" s="231"/>
      <c r="C455" s="231"/>
    </row>
    <row r="456">
      <c r="A456" s="231"/>
      <c r="B456" s="231"/>
      <c r="C456" s="231"/>
    </row>
    <row r="457">
      <c r="A457" s="231"/>
      <c r="B457" s="231"/>
      <c r="C457" s="231"/>
    </row>
    <row r="458">
      <c r="A458" s="231"/>
      <c r="B458" s="231"/>
      <c r="C458" s="231"/>
    </row>
    <row r="459">
      <c r="A459" s="231"/>
      <c r="B459" s="231"/>
      <c r="C459" s="231"/>
    </row>
    <row r="460">
      <c r="A460" s="231"/>
      <c r="B460" s="231"/>
      <c r="C460" s="231"/>
    </row>
    <row r="461">
      <c r="A461" s="231"/>
      <c r="B461" s="231"/>
      <c r="C461" s="231"/>
    </row>
    <row r="462">
      <c r="A462" s="231"/>
      <c r="B462" s="231"/>
      <c r="C462" s="231"/>
    </row>
    <row r="463">
      <c r="A463" s="231"/>
      <c r="B463" s="231"/>
      <c r="C463" s="231"/>
    </row>
    <row r="464">
      <c r="A464" s="231"/>
      <c r="B464" s="231"/>
      <c r="C464" s="231"/>
    </row>
    <row r="465">
      <c r="A465" s="231"/>
      <c r="B465" s="231"/>
      <c r="C465" s="231"/>
    </row>
    <row r="466">
      <c r="A466" s="231"/>
      <c r="B466" s="231"/>
      <c r="C466" s="231"/>
    </row>
    <row r="467">
      <c r="A467" s="231"/>
      <c r="B467" s="231"/>
      <c r="C467" s="231"/>
    </row>
    <row r="468">
      <c r="A468" s="231"/>
      <c r="B468" s="231"/>
      <c r="C468" s="231"/>
    </row>
    <row r="469">
      <c r="A469" s="231"/>
      <c r="B469" s="231"/>
      <c r="C469" s="231"/>
    </row>
    <row r="470">
      <c r="A470" s="231"/>
      <c r="B470" s="231"/>
      <c r="C470" s="231"/>
    </row>
    <row r="471">
      <c r="A471" s="231"/>
      <c r="B471" s="231"/>
      <c r="C471" s="231"/>
    </row>
    <row r="472">
      <c r="A472" s="231"/>
      <c r="B472" s="231"/>
      <c r="C472" s="231"/>
    </row>
    <row r="473">
      <c r="A473" s="231"/>
      <c r="B473" s="231"/>
      <c r="C473" s="231"/>
    </row>
    <row r="474">
      <c r="A474" s="231"/>
      <c r="B474" s="231"/>
      <c r="C474" s="231"/>
    </row>
    <row r="475">
      <c r="A475" s="231"/>
      <c r="B475" s="231"/>
      <c r="C475" s="231"/>
    </row>
    <row r="476">
      <c r="A476" s="231"/>
      <c r="B476" s="231"/>
      <c r="C476" s="231"/>
    </row>
    <row r="477">
      <c r="A477" s="231"/>
      <c r="B477" s="231"/>
      <c r="C477" s="231"/>
    </row>
    <row r="478">
      <c r="A478" s="231"/>
      <c r="B478" s="231"/>
      <c r="C478" s="231"/>
    </row>
    <row r="479">
      <c r="A479" s="231"/>
      <c r="B479" s="231"/>
      <c r="C479" s="231"/>
    </row>
    <row r="480">
      <c r="A480" s="231"/>
      <c r="B480" s="231"/>
      <c r="C480" s="231"/>
    </row>
    <row r="481">
      <c r="A481" s="231"/>
      <c r="B481" s="231"/>
      <c r="C481" s="231"/>
    </row>
    <row r="482">
      <c r="A482" s="231"/>
      <c r="B482" s="231"/>
      <c r="C482" s="231"/>
    </row>
    <row r="483">
      <c r="A483" s="231"/>
      <c r="B483" s="231"/>
      <c r="C483" s="231"/>
    </row>
    <row r="484">
      <c r="A484" s="231"/>
      <c r="B484" s="231"/>
      <c r="C484" s="231"/>
    </row>
    <row r="485">
      <c r="A485" s="231"/>
      <c r="B485" s="231"/>
      <c r="C485" s="231"/>
    </row>
    <row r="486">
      <c r="A486" s="231"/>
      <c r="B486" s="231"/>
      <c r="C486" s="231"/>
    </row>
    <row r="487">
      <c r="A487" s="231"/>
      <c r="B487" s="231"/>
      <c r="C487" s="231"/>
    </row>
    <row r="488">
      <c r="A488" s="231"/>
      <c r="B488" s="231"/>
      <c r="C488" s="231"/>
    </row>
    <row r="489">
      <c r="A489" s="231"/>
      <c r="B489" s="231"/>
      <c r="C489" s="231"/>
    </row>
    <row r="490">
      <c r="A490" s="231"/>
      <c r="B490" s="231"/>
      <c r="C490" s="231"/>
    </row>
    <row r="491">
      <c r="A491" s="231"/>
      <c r="B491" s="231"/>
      <c r="C491" s="231"/>
    </row>
    <row r="492">
      <c r="A492" s="231"/>
      <c r="B492" s="231"/>
      <c r="C492" s="231"/>
    </row>
    <row r="493">
      <c r="A493" s="231"/>
      <c r="B493" s="231"/>
      <c r="C493" s="231"/>
    </row>
    <row r="494">
      <c r="A494" s="231"/>
      <c r="B494" s="231"/>
      <c r="C494" s="231"/>
    </row>
    <row r="495">
      <c r="A495" s="231"/>
      <c r="B495" s="231"/>
      <c r="C495" s="231"/>
    </row>
    <row r="496">
      <c r="A496" s="231"/>
      <c r="B496" s="231"/>
      <c r="C496" s="231"/>
    </row>
    <row r="497">
      <c r="A497" s="231"/>
      <c r="B497" s="231"/>
      <c r="C497" s="231"/>
    </row>
    <row r="498">
      <c r="A498" s="231"/>
      <c r="B498" s="231"/>
      <c r="C498" s="231"/>
    </row>
    <row r="499">
      <c r="A499" s="231"/>
      <c r="B499" s="231"/>
      <c r="C499" s="231"/>
    </row>
    <row r="500">
      <c r="A500" s="231"/>
      <c r="B500" s="231"/>
      <c r="C500" s="231"/>
    </row>
    <row r="501">
      <c r="A501" s="231"/>
      <c r="B501" s="231"/>
      <c r="C501" s="231"/>
    </row>
    <row r="502">
      <c r="A502" s="231"/>
      <c r="B502" s="231"/>
      <c r="C502" s="231"/>
    </row>
    <row r="503">
      <c r="A503" s="231"/>
      <c r="B503" s="231"/>
      <c r="C503" s="231"/>
    </row>
    <row r="504">
      <c r="A504" s="231"/>
      <c r="B504" s="231"/>
      <c r="C504" s="231"/>
    </row>
    <row r="505">
      <c r="A505" s="231"/>
      <c r="B505" s="231"/>
      <c r="C505" s="231"/>
    </row>
    <row r="506">
      <c r="A506" s="231"/>
      <c r="B506" s="231"/>
      <c r="C506" s="231"/>
    </row>
    <row r="507">
      <c r="A507" s="231"/>
      <c r="B507" s="231"/>
      <c r="C507" s="231"/>
    </row>
    <row r="508">
      <c r="A508" s="231"/>
      <c r="B508" s="231"/>
      <c r="C508" s="231"/>
    </row>
    <row r="509">
      <c r="A509" s="231"/>
      <c r="B509" s="231"/>
      <c r="C509" s="231"/>
    </row>
    <row r="510">
      <c r="A510" s="231"/>
      <c r="B510" s="231"/>
      <c r="C510" s="231"/>
    </row>
    <row r="511">
      <c r="A511" s="231"/>
      <c r="B511" s="231"/>
      <c r="C511" s="231"/>
    </row>
    <row r="512">
      <c r="A512" s="231"/>
      <c r="B512" s="231"/>
      <c r="C512" s="231"/>
    </row>
    <row r="513">
      <c r="A513" s="231"/>
      <c r="B513" s="231"/>
      <c r="C513" s="231"/>
    </row>
    <row r="514">
      <c r="A514" s="231"/>
      <c r="B514" s="231"/>
      <c r="C514" s="231"/>
    </row>
    <row r="515">
      <c r="A515" s="231"/>
      <c r="B515" s="231"/>
      <c r="C515" s="231"/>
    </row>
    <row r="516">
      <c r="A516" s="231"/>
      <c r="B516" s="231"/>
      <c r="C516" s="231"/>
    </row>
    <row r="517">
      <c r="A517" s="231"/>
      <c r="B517" s="231"/>
      <c r="C517" s="231"/>
    </row>
    <row r="518">
      <c r="A518" s="231"/>
      <c r="B518" s="231"/>
      <c r="C518" s="231"/>
    </row>
    <row r="519">
      <c r="A519" s="231"/>
      <c r="B519" s="231"/>
      <c r="C519" s="231"/>
    </row>
    <row r="520">
      <c r="A520" s="231"/>
      <c r="B520" s="231"/>
      <c r="C520" s="231"/>
    </row>
    <row r="521">
      <c r="A521" s="231"/>
      <c r="B521" s="231"/>
      <c r="C521" s="231"/>
    </row>
    <row r="522">
      <c r="A522" s="231"/>
      <c r="B522" s="231"/>
      <c r="C522" s="231"/>
    </row>
    <row r="523">
      <c r="A523" s="231"/>
      <c r="B523" s="231"/>
      <c r="C523" s="231"/>
    </row>
    <row r="524">
      <c r="A524" s="231"/>
      <c r="B524" s="231"/>
      <c r="C524" s="231"/>
    </row>
    <row r="525">
      <c r="A525" s="231"/>
      <c r="B525" s="231"/>
      <c r="C525" s="231"/>
    </row>
    <row r="526">
      <c r="A526" s="231"/>
      <c r="B526" s="231"/>
      <c r="C526" s="231"/>
    </row>
    <row r="527">
      <c r="A527" s="231"/>
      <c r="B527" s="231"/>
      <c r="C527" s="231"/>
    </row>
    <row r="528">
      <c r="A528" s="231"/>
      <c r="B528" s="231"/>
      <c r="C528" s="231"/>
    </row>
    <row r="529">
      <c r="A529" s="231"/>
      <c r="B529" s="231"/>
      <c r="C529" s="231"/>
    </row>
    <row r="530">
      <c r="A530" s="231"/>
      <c r="B530" s="231"/>
      <c r="C530" s="231"/>
    </row>
    <row r="531">
      <c r="A531" s="231"/>
      <c r="B531" s="231"/>
      <c r="C531" s="231"/>
    </row>
    <row r="532">
      <c r="A532" s="231"/>
      <c r="B532" s="231"/>
      <c r="C532" s="231"/>
    </row>
    <row r="533">
      <c r="A533" s="231"/>
      <c r="B533" s="231"/>
      <c r="C533" s="231"/>
    </row>
    <row r="534">
      <c r="A534" s="231"/>
      <c r="B534" s="231"/>
      <c r="C534" s="231"/>
    </row>
    <row r="535">
      <c r="A535" s="231"/>
      <c r="B535" s="231"/>
      <c r="C535" s="231"/>
    </row>
    <row r="536">
      <c r="A536" s="231"/>
      <c r="B536" s="231"/>
      <c r="C536" s="231"/>
    </row>
    <row r="537">
      <c r="A537" s="231"/>
      <c r="B537" s="231"/>
      <c r="C537" s="231"/>
    </row>
    <row r="538">
      <c r="A538" s="231"/>
      <c r="B538" s="231"/>
      <c r="C538" s="231"/>
    </row>
    <row r="539">
      <c r="A539" s="231"/>
      <c r="B539" s="231"/>
      <c r="C539" s="231"/>
    </row>
    <row r="540">
      <c r="A540" s="231"/>
      <c r="B540" s="231"/>
      <c r="C540" s="231"/>
    </row>
    <row r="541">
      <c r="A541" s="231"/>
      <c r="B541" s="231"/>
      <c r="C541" s="231"/>
    </row>
    <row r="542">
      <c r="A542" s="231"/>
      <c r="B542" s="231"/>
      <c r="C542" s="231"/>
    </row>
    <row r="543">
      <c r="A543" s="231"/>
      <c r="B543" s="231"/>
      <c r="C543" s="231"/>
    </row>
    <row r="544">
      <c r="A544" s="231"/>
      <c r="B544" s="231"/>
      <c r="C544" s="231"/>
    </row>
    <row r="545">
      <c r="A545" s="231"/>
      <c r="B545" s="231"/>
      <c r="C545" s="231"/>
    </row>
    <row r="546">
      <c r="A546" s="231"/>
      <c r="B546" s="231"/>
      <c r="C546" s="231"/>
    </row>
    <row r="547">
      <c r="A547" s="231"/>
      <c r="B547" s="231"/>
      <c r="C547" s="231"/>
    </row>
    <row r="548">
      <c r="A548" s="231"/>
      <c r="B548" s="231"/>
      <c r="C548" s="231"/>
    </row>
    <row r="549">
      <c r="A549" s="231"/>
      <c r="B549" s="231"/>
      <c r="C549" s="231"/>
    </row>
    <row r="550">
      <c r="A550" s="231"/>
      <c r="B550" s="231"/>
      <c r="C550" s="231"/>
    </row>
    <row r="551">
      <c r="A551" s="231"/>
      <c r="B551" s="231"/>
      <c r="C551" s="231"/>
    </row>
    <row r="552">
      <c r="A552" s="231"/>
      <c r="B552" s="231"/>
      <c r="C552" s="231"/>
    </row>
    <row r="553">
      <c r="A553" s="231"/>
      <c r="B553" s="231"/>
      <c r="C553" s="231"/>
    </row>
    <row r="554">
      <c r="A554" s="231"/>
      <c r="B554" s="231"/>
      <c r="C554" s="231"/>
    </row>
    <row r="555">
      <c r="A555" s="231"/>
      <c r="B555" s="231"/>
      <c r="C555" s="231"/>
    </row>
    <row r="556">
      <c r="A556" s="231"/>
      <c r="B556" s="231"/>
      <c r="C556" s="231"/>
    </row>
    <row r="557">
      <c r="A557" s="231"/>
      <c r="B557" s="231"/>
      <c r="C557" s="231"/>
    </row>
    <row r="558">
      <c r="A558" s="231"/>
      <c r="B558" s="231"/>
      <c r="C558" s="231"/>
    </row>
    <row r="559">
      <c r="A559" s="231"/>
      <c r="B559" s="231"/>
      <c r="C559" s="231"/>
    </row>
    <row r="560">
      <c r="A560" s="231"/>
      <c r="B560" s="231"/>
      <c r="C560" s="231"/>
    </row>
    <row r="561">
      <c r="A561" s="231"/>
      <c r="B561" s="231"/>
      <c r="C561" s="231"/>
    </row>
    <row r="562">
      <c r="A562" s="231"/>
      <c r="B562" s="231"/>
      <c r="C562" s="231"/>
    </row>
    <row r="563">
      <c r="A563" s="231"/>
      <c r="B563" s="231"/>
      <c r="C563" s="231"/>
    </row>
    <row r="564">
      <c r="A564" s="231"/>
      <c r="B564" s="231"/>
      <c r="C564" s="231"/>
    </row>
    <row r="565">
      <c r="A565" s="231"/>
      <c r="B565" s="231"/>
      <c r="C565" s="231"/>
    </row>
    <row r="566">
      <c r="A566" s="231"/>
      <c r="B566" s="231"/>
      <c r="C566" s="231"/>
    </row>
    <row r="567">
      <c r="A567" s="231"/>
      <c r="B567" s="231"/>
      <c r="C567" s="231"/>
    </row>
    <row r="568">
      <c r="A568" s="231"/>
      <c r="B568" s="231"/>
      <c r="C568" s="231"/>
    </row>
    <row r="569">
      <c r="A569" s="231"/>
      <c r="B569" s="231"/>
      <c r="C569" s="231"/>
    </row>
    <row r="570">
      <c r="A570" s="231"/>
      <c r="B570" s="231"/>
      <c r="C570" s="231"/>
    </row>
    <row r="571">
      <c r="A571" s="231"/>
      <c r="B571" s="231"/>
      <c r="C571" s="231"/>
    </row>
    <row r="572">
      <c r="A572" s="231"/>
      <c r="B572" s="231"/>
      <c r="C572" s="231"/>
    </row>
    <row r="573">
      <c r="A573" s="231"/>
      <c r="B573" s="231"/>
      <c r="C573" s="231"/>
    </row>
    <row r="574">
      <c r="A574" s="231"/>
      <c r="B574" s="231"/>
      <c r="C574" s="231"/>
    </row>
    <row r="575">
      <c r="A575" s="231"/>
      <c r="B575" s="231"/>
      <c r="C575" s="231"/>
    </row>
    <row r="576">
      <c r="A576" s="231"/>
      <c r="B576" s="231"/>
      <c r="C576" s="231"/>
    </row>
    <row r="577">
      <c r="A577" s="231"/>
      <c r="B577" s="231"/>
      <c r="C577" s="231"/>
    </row>
    <row r="578">
      <c r="A578" s="231"/>
      <c r="B578" s="231"/>
      <c r="C578" s="231"/>
    </row>
    <row r="579">
      <c r="A579" s="231"/>
      <c r="B579" s="231"/>
      <c r="C579" s="231"/>
    </row>
    <row r="580">
      <c r="A580" s="231"/>
      <c r="B580" s="231"/>
      <c r="C580" s="231"/>
    </row>
    <row r="581">
      <c r="A581" s="231"/>
      <c r="B581" s="231"/>
      <c r="C581" s="231"/>
    </row>
    <row r="582">
      <c r="A582" s="231"/>
      <c r="B582" s="231"/>
      <c r="C582" s="231"/>
    </row>
    <row r="583">
      <c r="A583" s="231"/>
      <c r="B583" s="231"/>
      <c r="C583" s="231"/>
    </row>
    <row r="584">
      <c r="A584" s="231"/>
      <c r="B584" s="231"/>
      <c r="C584" s="231"/>
    </row>
    <row r="585">
      <c r="A585" s="231"/>
      <c r="B585" s="231"/>
      <c r="C585" s="231"/>
    </row>
    <row r="586">
      <c r="A586" s="231"/>
      <c r="B586" s="231"/>
      <c r="C586" s="231"/>
    </row>
    <row r="587">
      <c r="A587" s="231"/>
      <c r="B587" s="231"/>
      <c r="C587" s="231"/>
    </row>
    <row r="588">
      <c r="A588" s="231"/>
      <c r="B588" s="231"/>
      <c r="C588" s="231"/>
    </row>
    <row r="589">
      <c r="A589" s="231"/>
      <c r="B589" s="231"/>
      <c r="C589" s="231"/>
    </row>
    <row r="590">
      <c r="A590" s="231"/>
      <c r="B590" s="231"/>
      <c r="C590" s="231"/>
    </row>
    <row r="591">
      <c r="A591" s="231"/>
      <c r="B591" s="231"/>
      <c r="C591" s="231"/>
    </row>
    <row r="592">
      <c r="A592" s="231"/>
      <c r="B592" s="231"/>
      <c r="C592" s="231"/>
    </row>
    <row r="593">
      <c r="A593" s="231"/>
      <c r="B593" s="231"/>
      <c r="C593" s="231"/>
    </row>
    <row r="594">
      <c r="A594" s="231"/>
      <c r="B594" s="231"/>
      <c r="C594" s="231"/>
    </row>
    <row r="595">
      <c r="A595" s="231"/>
      <c r="B595" s="231"/>
      <c r="C595" s="231"/>
    </row>
    <row r="596">
      <c r="A596" s="231"/>
      <c r="B596" s="231"/>
      <c r="C596" s="231"/>
    </row>
    <row r="597">
      <c r="A597" s="231"/>
      <c r="B597" s="231"/>
      <c r="C597" s="231"/>
    </row>
    <row r="598">
      <c r="A598" s="231"/>
      <c r="B598" s="231"/>
      <c r="C598" s="231"/>
    </row>
    <row r="599">
      <c r="A599" s="231"/>
      <c r="B599" s="231"/>
      <c r="C599" s="231"/>
    </row>
    <row r="600">
      <c r="A600" s="231"/>
      <c r="B600" s="231"/>
      <c r="C600" s="231"/>
    </row>
    <row r="601">
      <c r="A601" s="231"/>
      <c r="B601" s="231"/>
      <c r="C601" s="231"/>
    </row>
    <row r="602">
      <c r="A602" s="231"/>
      <c r="B602" s="231"/>
      <c r="C602" s="231"/>
    </row>
    <row r="603">
      <c r="A603" s="231"/>
      <c r="B603" s="231"/>
      <c r="C603" s="231"/>
    </row>
    <row r="604">
      <c r="A604" s="231"/>
      <c r="B604" s="231"/>
      <c r="C604" s="231"/>
    </row>
    <row r="605">
      <c r="A605" s="231"/>
      <c r="B605" s="231"/>
      <c r="C605" s="231"/>
    </row>
    <row r="606">
      <c r="A606" s="231"/>
      <c r="B606" s="231"/>
      <c r="C606" s="231"/>
    </row>
    <row r="607">
      <c r="A607" s="231"/>
      <c r="B607" s="231"/>
      <c r="C607" s="231"/>
    </row>
    <row r="608">
      <c r="A608" s="231"/>
      <c r="B608" s="231"/>
      <c r="C608" s="231"/>
    </row>
    <row r="609">
      <c r="A609" s="231"/>
      <c r="B609" s="231"/>
      <c r="C609" s="231"/>
    </row>
    <row r="610">
      <c r="A610" s="231"/>
      <c r="B610" s="231"/>
      <c r="C610" s="231"/>
    </row>
    <row r="611">
      <c r="A611" s="231"/>
      <c r="B611" s="231"/>
      <c r="C611" s="231"/>
    </row>
    <row r="612">
      <c r="A612" s="231"/>
      <c r="B612" s="231"/>
      <c r="C612" s="231"/>
    </row>
    <row r="613">
      <c r="A613" s="231"/>
      <c r="B613" s="231"/>
      <c r="C613" s="231"/>
    </row>
    <row r="614">
      <c r="A614" s="231"/>
      <c r="B614" s="231"/>
      <c r="C614" s="231"/>
    </row>
    <row r="615">
      <c r="A615" s="231"/>
      <c r="B615" s="231"/>
      <c r="C615" s="231"/>
    </row>
    <row r="616">
      <c r="A616" s="231"/>
      <c r="B616" s="231"/>
      <c r="C616" s="231"/>
    </row>
    <row r="617">
      <c r="A617" s="231"/>
      <c r="B617" s="231"/>
      <c r="C617" s="231"/>
    </row>
    <row r="618">
      <c r="A618" s="231"/>
      <c r="B618" s="231"/>
      <c r="C618" s="231"/>
    </row>
    <row r="619">
      <c r="A619" s="231"/>
      <c r="B619" s="231"/>
      <c r="C619" s="231"/>
    </row>
    <row r="620">
      <c r="A620" s="231"/>
      <c r="B620" s="231"/>
      <c r="C620" s="231"/>
    </row>
    <row r="621">
      <c r="A621" s="231"/>
      <c r="B621" s="231"/>
      <c r="C621" s="231"/>
    </row>
    <row r="622">
      <c r="A622" s="231"/>
      <c r="B622" s="231"/>
      <c r="C622" s="231"/>
    </row>
    <row r="623">
      <c r="A623" s="231"/>
      <c r="B623" s="231"/>
      <c r="C623" s="231"/>
    </row>
    <row r="624">
      <c r="A624" s="231"/>
      <c r="B624" s="231"/>
      <c r="C624" s="231"/>
    </row>
    <row r="625">
      <c r="A625" s="231"/>
      <c r="B625" s="231"/>
      <c r="C625" s="231"/>
    </row>
    <row r="626">
      <c r="A626" s="231"/>
      <c r="B626" s="231"/>
      <c r="C626" s="231"/>
    </row>
    <row r="627">
      <c r="A627" s="231"/>
      <c r="B627" s="231"/>
      <c r="C627" s="231"/>
    </row>
    <row r="628">
      <c r="A628" s="231"/>
      <c r="B628" s="231"/>
      <c r="C628" s="231"/>
    </row>
    <row r="629">
      <c r="A629" s="231"/>
      <c r="B629" s="231"/>
      <c r="C629" s="231"/>
    </row>
    <row r="630">
      <c r="A630" s="231"/>
      <c r="B630" s="231"/>
      <c r="C630" s="231"/>
    </row>
    <row r="631">
      <c r="A631" s="231"/>
      <c r="B631" s="231"/>
      <c r="C631" s="231"/>
    </row>
    <row r="632">
      <c r="A632" s="231"/>
      <c r="B632" s="231"/>
      <c r="C632" s="231"/>
    </row>
    <row r="633">
      <c r="A633" s="231"/>
      <c r="B633" s="231"/>
      <c r="C633" s="231"/>
    </row>
    <row r="634">
      <c r="A634" s="231"/>
      <c r="B634" s="231"/>
      <c r="C634" s="231"/>
    </row>
    <row r="635">
      <c r="A635" s="231"/>
      <c r="B635" s="231"/>
      <c r="C635" s="231"/>
    </row>
    <row r="636">
      <c r="A636" s="231"/>
      <c r="B636" s="231"/>
      <c r="C636" s="231"/>
    </row>
    <row r="637">
      <c r="A637" s="231"/>
      <c r="B637" s="231"/>
      <c r="C637" s="231"/>
    </row>
    <row r="638">
      <c r="A638" s="231"/>
      <c r="B638" s="231"/>
      <c r="C638" s="231"/>
    </row>
    <row r="639">
      <c r="A639" s="231"/>
      <c r="B639" s="231"/>
      <c r="C639" s="231"/>
    </row>
    <row r="640">
      <c r="A640" s="231"/>
      <c r="B640" s="231"/>
      <c r="C640" s="231"/>
    </row>
    <row r="641">
      <c r="A641" s="231"/>
      <c r="B641" s="231"/>
      <c r="C641" s="231"/>
    </row>
    <row r="642">
      <c r="A642" s="231"/>
      <c r="B642" s="231"/>
      <c r="C642" s="231"/>
    </row>
    <row r="643">
      <c r="A643" s="231"/>
      <c r="B643" s="231"/>
      <c r="C643" s="231"/>
    </row>
    <row r="644">
      <c r="A644" s="231"/>
      <c r="B644" s="231"/>
      <c r="C644" s="231"/>
    </row>
    <row r="645">
      <c r="A645" s="231"/>
      <c r="B645" s="231"/>
      <c r="C645" s="231"/>
    </row>
    <row r="646">
      <c r="A646" s="231"/>
      <c r="B646" s="231"/>
      <c r="C646" s="231"/>
    </row>
    <row r="647">
      <c r="A647" s="231"/>
      <c r="B647" s="231"/>
      <c r="C647" s="231"/>
    </row>
    <row r="648">
      <c r="A648" s="231"/>
      <c r="B648" s="231"/>
      <c r="C648" s="231"/>
    </row>
    <row r="649">
      <c r="A649" s="231"/>
      <c r="B649" s="231"/>
      <c r="C649" s="231"/>
    </row>
    <row r="650">
      <c r="A650" s="231"/>
      <c r="B650" s="231"/>
      <c r="C650" s="231"/>
    </row>
    <row r="651">
      <c r="A651" s="231"/>
      <c r="B651" s="231"/>
      <c r="C651" s="231"/>
    </row>
    <row r="652">
      <c r="A652" s="231"/>
      <c r="B652" s="231"/>
      <c r="C652" s="231"/>
    </row>
    <row r="653">
      <c r="A653" s="231"/>
      <c r="B653" s="231"/>
      <c r="C653" s="231"/>
    </row>
    <row r="654">
      <c r="A654" s="231"/>
      <c r="B654" s="231"/>
      <c r="C654" s="231"/>
    </row>
    <row r="655">
      <c r="A655" s="231"/>
      <c r="B655" s="231"/>
      <c r="C655" s="231"/>
    </row>
    <row r="656">
      <c r="A656" s="231"/>
      <c r="B656" s="231"/>
      <c r="C656" s="231"/>
    </row>
    <row r="657">
      <c r="A657" s="231"/>
      <c r="B657" s="231"/>
      <c r="C657" s="231"/>
    </row>
    <row r="658">
      <c r="A658" s="231"/>
      <c r="B658" s="231"/>
      <c r="C658" s="231"/>
    </row>
    <row r="659">
      <c r="A659" s="231"/>
      <c r="B659" s="231"/>
      <c r="C659" s="231"/>
    </row>
    <row r="660">
      <c r="A660" s="231"/>
      <c r="B660" s="231"/>
      <c r="C660" s="231"/>
    </row>
    <row r="661">
      <c r="A661" s="231"/>
      <c r="B661" s="231"/>
      <c r="C661" s="231"/>
    </row>
    <row r="662">
      <c r="A662" s="231"/>
      <c r="B662" s="231"/>
      <c r="C662" s="231"/>
    </row>
    <row r="663">
      <c r="A663" s="231"/>
      <c r="B663" s="231"/>
      <c r="C663" s="231"/>
    </row>
    <row r="664">
      <c r="A664" s="231"/>
      <c r="B664" s="231"/>
      <c r="C664" s="231"/>
    </row>
    <row r="665">
      <c r="A665" s="231"/>
      <c r="B665" s="231"/>
      <c r="C665" s="231"/>
    </row>
    <row r="666">
      <c r="A666" s="231"/>
      <c r="B666" s="231"/>
      <c r="C666" s="231"/>
    </row>
    <row r="667">
      <c r="A667" s="231"/>
      <c r="B667" s="231"/>
      <c r="C667" s="231"/>
    </row>
    <row r="668">
      <c r="A668" s="231"/>
      <c r="B668" s="231"/>
      <c r="C668" s="231"/>
    </row>
    <row r="669">
      <c r="A669" s="231"/>
      <c r="B669" s="231"/>
      <c r="C669" s="231"/>
    </row>
    <row r="670">
      <c r="A670" s="231"/>
      <c r="B670" s="231"/>
      <c r="C670" s="231"/>
    </row>
    <row r="671">
      <c r="A671" s="231"/>
      <c r="B671" s="231"/>
      <c r="C671" s="231"/>
    </row>
    <row r="672">
      <c r="A672" s="231"/>
      <c r="B672" s="231"/>
      <c r="C672" s="231"/>
    </row>
    <row r="673">
      <c r="A673" s="231"/>
      <c r="B673" s="231"/>
      <c r="C673" s="231"/>
    </row>
    <row r="674">
      <c r="A674" s="231"/>
      <c r="B674" s="231"/>
      <c r="C674" s="231"/>
    </row>
    <row r="675">
      <c r="A675" s="231"/>
      <c r="B675" s="231"/>
      <c r="C675" s="231"/>
    </row>
    <row r="676">
      <c r="A676" s="231"/>
      <c r="B676" s="231"/>
      <c r="C676" s="231"/>
    </row>
    <row r="677">
      <c r="A677" s="231"/>
      <c r="B677" s="231"/>
      <c r="C677" s="231"/>
    </row>
    <row r="678">
      <c r="A678" s="231"/>
      <c r="B678" s="231"/>
      <c r="C678" s="231"/>
    </row>
    <row r="679">
      <c r="A679" s="231"/>
      <c r="B679" s="231"/>
      <c r="C679" s="231"/>
    </row>
    <row r="680">
      <c r="A680" s="231"/>
      <c r="B680" s="231"/>
      <c r="C680" s="231"/>
    </row>
    <row r="681">
      <c r="A681" s="231"/>
      <c r="B681" s="231"/>
      <c r="C681" s="231"/>
    </row>
    <row r="682">
      <c r="A682" s="231"/>
      <c r="B682" s="231"/>
      <c r="C682" s="231"/>
    </row>
    <row r="683">
      <c r="A683" s="231"/>
      <c r="B683" s="231"/>
      <c r="C683" s="231"/>
    </row>
    <row r="684">
      <c r="A684" s="231"/>
      <c r="B684" s="231"/>
      <c r="C684" s="231"/>
    </row>
    <row r="685">
      <c r="A685" s="231"/>
      <c r="B685" s="231"/>
      <c r="C685" s="231"/>
    </row>
    <row r="686">
      <c r="A686" s="231"/>
      <c r="B686" s="231"/>
      <c r="C686" s="231"/>
    </row>
    <row r="687">
      <c r="A687" s="231"/>
      <c r="B687" s="231"/>
      <c r="C687" s="231"/>
    </row>
    <row r="688">
      <c r="A688" s="231"/>
      <c r="B688" s="231"/>
      <c r="C688" s="231"/>
    </row>
    <row r="689">
      <c r="A689" s="231"/>
      <c r="B689" s="231"/>
      <c r="C689" s="231"/>
    </row>
    <row r="690">
      <c r="A690" s="231"/>
      <c r="B690" s="231"/>
      <c r="C690" s="231"/>
    </row>
    <row r="691">
      <c r="A691" s="231"/>
      <c r="B691" s="231"/>
      <c r="C691" s="231"/>
    </row>
    <row r="692">
      <c r="A692" s="231"/>
      <c r="B692" s="231"/>
      <c r="C692" s="231"/>
    </row>
    <row r="693">
      <c r="A693" s="231"/>
      <c r="B693" s="231"/>
      <c r="C693" s="231"/>
    </row>
    <row r="694">
      <c r="A694" s="231"/>
      <c r="B694" s="231"/>
      <c r="C694" s="231"/>
    </row>
    <row r="695">
      <c r="A695" s="231"/>
      <c r="B695" s="231"/>
      <c r="C695" s="231"/>
    </row>
    <row r="696">
      <c r="A696" s="231"/>
      <c r="B696" s="231"/>
      <c r="C696" s="231"/>
    </row>
    <row r="697">
      <c r="A697" s="231"/>
      <c r="B697" s="231"/>
      <c r="C697" s="231"/>
    </row>
    <row r="698">
      <c r="A698" s="231"/>
      <c r="B698" s="231"/>
      <c r="C698" s="231"/>
    </row>
    <row r="699">
      <c r="A699" s="231"/>
      <c r="B699" s="231"/>
      <c r="C699" s="231"/>
    </row>
    <row r="700">
      <c r="A700" s="231"/>
      <c r="B700" s="231"/>
      <c r="C700" s="231"/>
    </row>
    <row r="701">
      <c r="A701" s="231"/>
      <c r="B701" s="231"/>
      <c r="C701" s="231"/>
    </row>
    <row r="702">
      <c r="A702" s="231"/>
      <c r="B702" s="231"/>
      <c r="C702" s="231"/>
    </row>
    <row r="703">
      <c r="A703" s="231"/>
      <c r="B703" s="231"/>
      <c r="C703" s="231"/>
    </row>
    <row r="704">
      <c r="A704" s="231"/>
      <c r="B704" s="231"/>
      <c r="C704" s="231"/>
    </row>
    <row r="705">
      <c r="A705" s="231"/>
      <c r="B705" s="231"/>
      <c r="C705" s="231"/>
    </row>
    <row r="706">
      <c r="A706" s="231"/>
      <c r="B706" s="231"/>
      <c r="C706" s="231"/>
    </row>
    <row r="707">
      <c r="A707" s="231"/>
      <c r="B707" s="231"/>
      <c r="C707" s="231"/>
    </row>
    <row r="708">
      <c r="A708" s="231"/>
      <c r="B708" s="231"/>
      <c r="C708" s="231"/>
    </row>
    <row r="709">
      <c r="A709" s="231"/>
      <c r="B709" s="231"/>
      <c r="C709" s="231"/>
    </row>
    <row r="710">
      <c r="A710" s="231"/>
      <c r="B710" s="231"/>
      <c r="C710" s="231"/>
    </row>
    <row r="711">
      <c r="A711" s="231"/>
      <c r="B711" s="231"/>
      <c r="C711" s="231"/>
    </row>
    <row r="712">
      <c r="A712" s="231"/>
      <c r="B712" s="231"/>
      <c r="C712" s="231"/>
    </row>
    <row r="713">
      <c r="A713" s="231"/>
      <c r="B713" s="231"/>
      <c r="C713" s="231"/>
    </row>
    <row r="714">
      <c r="A714" s="231"/>
      <c r="B714" s="231"/>
      <c r="C714" s="231"/>
    </row>
    <row r="715">
      <c r="A715" s="231"/>
      <c r="B715" s="231"/>
      <c r="C715" s="231"/>
    </row>
    <row r="716">
      <c r="A716" s="231"/>
      <c r="B716" s="231"/>
      <c r="C716" s="231"/>
    </row>
    <row r="717">
      <c r="A717" s="231"/>
      <c r="B717" s="231"/>
      <c r="C717" s="231"/>
    </row>
    <row r="718">
      <c r="A718" s="231"/>
      <c r="B718" s="231"/>
      <c r="C718" s="231"/>
    </row>
    <row r="719">
      <c r="A719" s="231"/>
      <c r="B719" s="231"/>
      <c r="C719" s="231"/>
    </row>
    <row r="720">
      <c r="A720" s="231"/>
      <c r="B720" s="231"/>
      <c r="C720" s="231"/>
    </row>
    <row r="721">
      <c r="A721" s="231"/>
      <c r="B721" s="231"/>
      <c r="C721" s="231"/>
    </row>
    <row r="722">
      <c r="A722" s="231"/>
      <c r="B722" s="231"/>
      <c r="C722" s="231"/>
    </row>
    <row r="723">
      <c r="A723" s="231"/>
      <c r="B723" s="231"/>
      <c r="C723" s="231"/>
    </row>
    <row r="724">
      <c r="A724" s="231"/>
      <c r="B724" s="231"/>
      <c r="C724" s="231"/>
    </row>
    <row r="725">
      <c r="A725" s="231"/>
      <c r="B725" s="231"/>
      <c r="C725" s="231"/>
    </row>
    <row r="726">
      <c r="A726" s="231"/>
      <c r="B726" s="231"/>
      <c r="C726" s="231"/>
    </row>
    <row r="727">
      <c r="A727" s="231"/>
      <c r="B727" s="231"/>
      <c r="C727" s="231"/>
    </row>
    <row r="728">
      <c r="A728" s="231"/>
      <c r="B728" s="231"/>
      <c r="C728" s="231"/>
    </row>
    <row r="729">
      <c r="A729" s="231"/>
      <c r="B729" s="231"/>
      <c r="C729" s="231"/>
    </row>
    <row r="730">
      <c r="A730" s="231"/>
      <c r="B730" s="231"/>
      <c r="C730" s="231"/>
    </row>
    <row r="731">
      <c r="A731" s="231"/>
      <c r="B731" s="231"/>
      <c r="C731" s="231"/>
    </row>
    <row r="732">
      <c r="A732" s="231"/>
      <c r="B732" s="231"/>
      <c r="C732" s="231"/>
    </row>
    <row r="733">
      <c r="A733" s="231"/>
      <c r="B733" s="231"/>
      <c r="C733" s="231"/>
    </row>
    <row r="734">
      <c r="A734" s="231"/>
      <c r="B734" s="231"/>
      <c r="C734" s="231"/>
    </row>
    <row r="735">
      <c r="A735" s="231"/>
      <c r="B735" s="231"/>
      <c r="C735" s="231"/>
    </row>
    <row r="736">
      <c r="A736" s="231"/>
      <c r="B736" s="231"/>
      <c r="C736" s="231"/>
    </row>
    <row r="737">
      <c r="A737" s="231"/>
      <c r="B737" s="231"/>
      <c r="C737" s="231"/>
    </row>
    <row r="738">
      <c r="A738" s="231"/>
      <c r="B738" s="231"/>
      <c r="C738" s="231"/>
    </row>
    <row r="739">
      <c r="A739" s="231"/>
      <c r="B739" s="231"/>
      <c r="C739" s="231"/>
    </row>
    <row r="740">
      <c r="A740" s="231"/>
      <c r="B740" s="231"/>
      <c r="C740" s="231"/>
    </row>
    <row r="741">
      <c r="A741" s="231"/>
      <c r="B741" s="231"/>
      <c r="C741" s="231"/>
    </row>
    <row r="742">
      <c r="A742" s="231"/>
      <c r="B742" s="231"/>
      <c r="C742" s="231"/>
    </row>
    <row r="743">
      <c r="A743" s="231"/>
      <c r="B743" s="231"/>
      <c r="C743" s="231"/>
    </row>
    <row r="744">
      <c r="A744" s="231"/>
      <c r="B744" s="231"/>
      <c r="C744" s="231"/>
    </row>
    <row r="745">
      <c r="A745" s="231"/>
      <c r="B745" s="231"/>
      <c r="C745" s="231"/>
    </row>
    <row r="746">
      <c r="A746" s="231"/>
      <c r="B746" s="231"/>
      <c r="C746" s="231"/>
    </row>
    <row r="747">
      <c r="A747" s="231"/>
      <c r="B747" s="231"/>
      <c r="C747" s="231"/>
    </row>
    <row r="748">
      <c r="A748" s="231"/>
      <c r="B748" s="231"/>
      <c r="C748" s="231"/>
    </row>
    <row r="749">
      <c r="A749" s="231"/>
      <c r="B749" s="231"/>
      <c r="C749" s="231"/>
    </row>
    <row r="750">
      <c r="A750" s="231"/>
      <c r="B750" s="231"/>
      <c r="C750" s="231"/>
    </row>
    <row r="751">
      <c r="A751" s="231"/>
      <c r="B751" s="231"/>
      <c r="C751" s="231"/>
    </row>
    <row r="752">
      <c r="A752" s="231"/>
      <c r="B752" s="231"/>
      <c r="C752" s="231"/>
    </row>
    <row r="753">
      <c r="A753" s="231"/>
      <c r="B753" s="231"/>
      <c r="C753" s="231"/>
    </row>
    <row r="754">
      <c r="A754" s="231"/>
      <c r="B754" s="231"/>
      <c r="C754" s="231"/>
    </row>
    <row r="755">
      <c r="A755" s="231"/>
      <c r="B755" s="231"/>
      <c r="C755" s="231"/>
    </row>
    <row r="756">
      <c r="A756" s="231"/>
      <c r="B756" s="231"/>
      <c r="C756" s="231"/>
    </row>
    <row r="757">
      <c r="A757" s="231"/>
      <c r="B757" s="231"/>
      <c r="C757" s="231"/>
    </row>
    <row r="758">
      <c r="A758" s="231"/>
      <c r="B758" s="231"/>
      <c r="C758" s="231"/>
    </row>
    <row r="759">
      <c r="A759" s="231"/>
      <c r="B759" s="231"/>
      <c r="C759" s="231"/>
    </row>
    <row r="760">
      <c r="A760" s="231"/>
      <c r="B760" s="231"/>
      <c r="C760" s="231"/>
    </row>
    <row r="761">
      <c r="A761" s="231"/>
      <c r="B761" s="231"/>
      <c r="C761" s="231"/>
    </row>
    <row r="762">
      <c r="A762" s="231"/>
      <c r="B762" s="231"/>
      <c r="C762" s="231"/>
    </row>
    <row r="763">
      <c r="A763" s="231"/>
      <c r="B763" s="231"/>
      <c r="C763" s="231"/>
    </row>
    <row r="764">
      <c r="A764" s="231"/>
      <c r="B764" s="231"/>
      <c r="C764" s="231"/>
    </row>
    <row r="765">
      <c r="A765" s="231"/>
      <c r="B765" s="231"/>
      <c r="C765" s="231"/>
    </row>
    <row r="766">
      <c r="A766" s="231"/>
      <c r="B766" s="231"/>
      <c r="C766" s="231"/>
    </row>
    <row r="767">
      <c r="A767" s="231"/>
      <c r="B767" s="231"/>
      <c r="C767" s="231"/>
    </row>
    <row r="768">
      <c r="A768" s="231"/>
      <c r="B768" s="231"/>
      <c r="C768" s="231"/>
    </row>
    <row r="769">
      <c r="A769" s="231"/>
      <c r="B769" s="231"/>
      <c r="C769" s="231"/>
    </row>
    <row r="770">
      <c r="A770" s="231"/>
      <c r="B770" s="231"/>
      <c r="C770" s="231"/>
    </row>
    <row r="771">
      <c r="A771" s="231"/>
      <c r="B771" s="231"/>
      <c r="C771" s="231"/>
    </row>
    <row r="772">
      <c r="A772" s="231"/>
      <c r="B772" s="231"/>
      <c r="C772" s="231"/>
    </row>
    <row r="773">
      <c r="A773" s="231"/>
      <c r="B773" s="231"/>
      <c r="C773" s="231"/>
    </row>
    <row r="774">
      <c r="A774" s="231"/>
      <c r="B774" s="231"/>
      <c r="C774" s="231"/>
    </row>
    <row r="775">
      <c r="A775" s="231"/>
      <c r="B775" s="231"/>
      <c r="C775" s="231"/>
    </row>
    <row r="776">
      <c r="A776" s="231"/>
      <c r="B776" s="231"/>
      <c r="C776" s="231"/>
    </row>
    <row r="777">
      <c r="A777" s="231"/>
      <c r="B777" s="231"/>
      <c r="C777" s="231"/>
    </row>
    <row r="778">
      <c r="A778" s="231"/>
      <c r="B778" s="231"/>
      <c r="C778" s="231"/>
    </row>
    <row r="779">
      <c r="A779" s="231"/>
      <c r="B779" s="231"/>
      <c r="C779" s="231"/>
    </row>
    <row r="780">
      <c r="A780" s="231"/>
      <c r="B780" s="231"/>
      <c r="C780" s="231"/>
    </row>
    <row r="781">
      <c r="A781" s="231"/>
      <c r="B781" s="231"/>
      <c r="C781" s="231"/>
    </row>
    <row r="782">
      <c r="A782" s="231"/>
      <c r="B782" s="231"/>
      <c r="C782" s="231"/>
    </row>
    <row r="783">
      <c r="A783" s="231"/>
      <c r="B783" s="231"/>
      <c r="C783" s="231"/>
    </row>
    <row r="784">
      <c r="A784" s="231"/>
      <c r="B784" s="231"/>
      <c r="C784" s="231"/>
    </row>
    <row r="785">
      <c r="A785" s="231"/>
      <c r="B785" s="231"/>
      <c r="C785" s="231"/>
    </row>
    <row r="786">
      <c r="A786" s="231"/>
      <c r="B786" s="231"/>
      <c r="C786" s="231"/>
    </row>
    <row r="787">
      <c r="A787" s="231"/>
      <c r="B787" s="231"/>
      <c r="C787" s="231"/>
    </row>
    <row r="788">
      <c r="A788" s="231"/>
      <c r="B788" s="231"/>
      <c r="C788" s="231"/>
    </row>
    <row r="789">
      <c r="A789" s="231"/>
      <c r="B789" s="231"/>
      <c r="C789" s="231"/>
    </row>
    <row r="790">
      <c r="A790" s="231"/>
      <c r="B790" s="231"/>
      <c r="C790" s="231"/>
    </row>
    <row r="791">
      <c r="A791" s="231"/>
      <c r="B791" s="231"/>
      <c r="C791" s="231"/>
    </row>
    <row r="792">
      <c r="A792" s="231"/>
      <c r="B792" s="231"/>
      <c r="C792" s="231"/>
    </row>
    <row r="793">
      <c r="A793" s="231"/>
      <c r="B793" s="231"/>
      <c r="C793" s="231"/>
    </row>
    <row r="794">
      <c r="A794" s="231"/>
      <c r="B794" s="231"/>
      <c r="C794" s="231"/>
    </row>
    <row r="795">
      <c r="A795" s="231"/>
      <c r="B795" s="231"/>
      <c r="C795" s="231"/>
    </row>
    <row r="796">
      <c r="A796" s="231"/>
      <c r="B796" s="231"/>
      <c r="C796" s="231"/>
    </row>
    <row r="797">
      <c r="A797" s="231"/>
      <c r="B797" s="231"/>
      <c r="C797" s="231"/>
    </row>
    <row r="798">
      <c r="A798" s="231"/>
      <c r="B798" s="231"/>
      <c r="C798" s="231"/>
    </row>
    <row r="799">
      <c r="A799" s="231"/>
      <c r="B799" s="231"/>
      <c r="C799" s="231"/>
    </row>
    <row r="800">
      <c r="A800" s="231"/>
      <c r="B800" s="231"/>
      <c r="C800" s="231"/>
    </row>
    <row r="801">
      <c r="A801" s="231"/>
      <c r="B801" s="231"/>
      <c r="C801" s="231"/>
    </row>
    <row r="802">
      <c r="A802" s="231"/>
      <c r="B802" s="231"/>
      <c r="C802" s="231"/>
    </row>
    <row r="803">
      <c r="A803" s="231"/>
      <c r="B803" s="231"/>
      <c r="C803" s="231"/>
    </row>
    <row r="804">
      <c r="A804" s="231"/>
      <c r="B804" s="231"/>
      <c r="C804" s="231"/>
    </row>
    <row r="805">
      <c r="A805" s="231"/>
      <c r="B805" s="231"/>
      <c r="C805" s="231"/>
    </row>
    <row r="806">
      <c r="A806" s="231"/>
      <c r="B806" s="231"/>
      <c r="C806" s="231"/>
    </row>
    <row r="807">
      <c r="A807" s="231"/>
      <c r="B807" s="231"/>
      <c r="C807" s="231"/>
    </row>
    <row r="808">
      <c r="A808" s="231"/>
      <c r="B808" s="231"/>
      <c r="C808" s="231"/>
    </row>
    <row r="809">
      <c r="A809" s="231"/>
      <c r="B809" s="231"/>
      <c r="C809" s="231"/>
    </row>
    <row r="810">
      <c r="A810" s="231"/>
      <c r="B810" s="231"/>
      <c r="C810" s="231"/>
    </row>
    <row r="811">
      <c r="A811" s="231"/>
      <c r="B811" s="231"/>
      <c r="C811" s="231"/>
    </row>
    <row r="812">
      <c r="A812" s="231"/>
      <c r="B812" s="231"/>
      <c r="C812" s="231"/>
    </row>
    <row r="813">
      <c r="A813" s="231"/>
      <c r="B813" s="231"/>
      <c r="C813" s="231"/>
    </row>
    <row r="814">
      <c r="A814" s="231"/>
      <c r="B814" s="231"/>
      <c r="C814" s="231"/>
    </row>
    <row r="815">
      <c r="A815" s="231"/>
      <c r="B815" s="231"/>
      <c r="C815" s="231"/>
    </row>
    <row r="816">
      <c r="A816" s="231"/>
      <c r="B816" s="231"/>
      <c r="C816" s="231"/>
    </row>
    <row r="817">
      <c r="A817" s="231"/>
      <c r="B817" s="231"/>
      <c r="C817" s="231"/>
    </row>
    <row r="818">
      <c r="A818" s="231"/>
      <c r="B818" s="231"/>
      <c r="C818" s="231"/>
    </row>
    <row r="819">
      <c r="A819" s="231"/>
      <c r="B819" s="231"/>
      <c r="C819" s="231"/>
    </row>
    <row r="820">
      <c r="A820" s="231"/>
      <c r="B820" s="231"/>
      <c r="C820" s="231"/>
    </row>
    <row r="821">
      <c r="A821" s="231"/>
      <c r="B821" s="231"/>
      <c r="C821" s="231"/>
    </row>
    <row r="822">
      <c r="A822" s="231"/>
      <c r="B822" s="231"/>
      <c r="C822" s="231"/>
    </row>
    <row r="823">
      <c r="A823" s="231"/>
      <c r="B823" s="231"/>
      <c r="C823" s="231"/>
    </row>
    <row r="824">
      <c r="A824" s="231"/>
      <c r="B824" s="231"/>
      <c r="C824" s="231"/>
    </row>
    <row r="825">
      <c r="A825" s="231"/>
      <c r="B825" s="231"/>
      <c r="C825" s="231"/>
    </row>
    <row r="826">
      <c r="A826" s="231"/>
      <c r="B826" s="231"/>
      <c r="C826" s="231"/>
    </row>
    <row r="827">
      <c r="A827" s="231"/>
      <c r="B827" s="231"/>
      <c r="C827" s="231"/>
    </row>
    <row r="828">
      <c r="A828" s="231"/>
      <c r="B828" s="231"/>
      <c r="C828" s="231"/>
    </row>
    <row r="829">
      <c r="A829" s="231"/>
      <c r="B829" s="231"/>
      <c r="C829" s="231"/>
    </row>
    <row r="830">
      <c r="A830" s="231"/>
      <c r="B830" s="231"/>
      <c r="C830" s="231"/>
    </row>
    <row r="831">
      <c r="A831" s="231"/>
      <c r="B831" s="231"/>
      <c r="C831" s="231"/>
    </row>
    <row r="832">
      <c r="A832" s="231"/>
      <c r="B832" s="231"/>
      <c r="C832" s="231"/>
    </row>
    <row r="833">
      <c r="A833" s="231"/>
      <c r="B833" s="231"/>
      <c r="C833" s="231"/>
    </row>
    <row r="834">
      <c r="A834" s="231"/>
      <c r="B834" s="231"/>
      <c r="C834" s="231"/>
    </row>
    <row r="835">
      <c r="A835" s="231"/>
      <c r="B835" s="231"/>
      <c r="C835" s="231"/>
    </row>
    <row r="836">
      <c r="A836" s="231"/>
      <c r="B836" s="231"/>
      <c r="C836" s="231"/>
    </row>
    <row r="837">
      <c r="A837" s="231"/>
      <c r="B837" s="231"/>
      <c r="C837" s="231"/>
    </row>
    <row r="838">
      <c r="A838" s="231"/>
      <c r="B838" s="231"/>
      <c r="C838" s="231"/>
    </row>
    <row r="839">
      <c r="A839" s="231"/>
      <c r="B839" s="231"/>
      <c r="C839" s="231"/>
    </row>
    <row r="840">
      <c r="A840" s="231"/>
      <c r="B840" s="231"/>
      <c r="C840" s="231"/>
    </row>
    <row r="841">
      <c r="A841" s="231"/>
      <c r="B841" s="231"/>
      <c r="C841" s="231"/>
    </row>
    <row r="842">
      <c r="A842" s="231"/>
      <c r="B842" s="231"/>
      <c r="C842" s="231"/>
    </row>
    <row r="843">
      <c r="A843" s="231"/>
      <c r="B843" s="231"/>
      <c r="C843" s="231"/>
    </row>
    <row r="844">
      <c r="A844" s="231"/>
      <c r="B844" s="231"/>
      <c r="C844" s="231"/>
    </row>
    <row r="845">
      <c r="A845" s="231"/>
      <c r="B845" s="231"/>
      <c r="C845" s="231"/>
    </row>
    <row r="846">
      <c r="A846" s="231"/>
      <c r="B846" s="231"/>
      <c r="C846" s="231"/>
    </row>
    <row r="847">
      <c r="A847" s="231"/>
      <c r="B847" s="231"/>
      <c r="C847" s="231"/>
    </row>
    <row r="848">
      <c r="A848" s="231"/>
      <c r="B848" s="231"/>
      <c r="C848" s="231"/>
    </row>
    <row r="849">
      <c r="A849" s="231"/>
      <c r="B849" s="231"/>
      <c r="C849" s="231"/>
    </row>
    <row r="850">
      <c r="A850" s="231"/>
      <c r="B850" s="231"/>
      <c r="C850" s="231"/>
    </row>
    <row r="851">
      <c r="A851" s="231"/>
      <c r="B851" s="231"/>
      <c r="C851" s="231"/>
    </row>
    <row r="852">
      <c r="A852" s="231"/>
      <c r="B852" s="231"/>
      <c r="C852" s="231"/>
    </row>
    <row r="853">
      <c r="A853" s="231"/>
      <c r="B853" s="231"/>
      <c r="C853" s="231"/>
    </row>
    <row r="854">
      <c r="A854" s="231"/>
      <c r="B854" s="231"/>
      <c r="C854" s="231"/>
    </row>
    <row r="855">
      <c r="A855" s="231"/>
      <c r="B855" s="231"/>
      <c r="C855" s="231"/>
    </row>
    <row r="856">
      <c r="A856" s="231"/>
      <c r="B856" s="231"/>
      <c r="C856" s="231"/>
    </row>
    <row r="857">
      <c r="A857" s="231"/>
      <c r="B857" s="231"/>
      <c r="C857" s="231"/>
    </row>
    <row r="858">
      <c r="A858" s="231"/>
      <c r="B858" s="231"/>
      <c r="C858" s="231"/>
    </row>
    <row r="859">
      <c r="A859" s="231"/>
      <c r="B859" s="231"/>
      <c r="C859" s="231"/>
    </row>
    <row r="860">
      <c r="A860" s="231"/>
      <c r="B860" s="231"/>
      <c r="C860" s="231"/>
    </row>
    <row r="861">
      <c r="A861" s="231"/>
      <c r="B861" s="231"/>
      <c r="C861" s="231"/>
    </row>
    <row r="862">
      <c r="A862" s="231"/>
      <c r="B862" s="231"/>
      <c r="C862" s="231"/>
    </row>
    <row r="863">
      <c r="A863" s="231"/>
      <c r="B863" s="231"/>
      <c r="C863" s="231"/>
    </row>
    <row r="864">
      <c r="A864" s="231"/>
      <c r="B864" s="231"/>
      <c r="C864" s="231"/>
    </row>
    <row r="865">
      <c r="A865" s="231"/>
      <c r="B865" s="231"/>
      <c r="C865" s="231"/>
    </row>
    <row r="866">
      <c r="A866" s="231"/>
      <c r="B866" s="231"/>
      <c r="C866" s="231"/>
    </row>
    <row r="867">
      <c r="A867" s="231"/>
      <c r="B867" s="231"/>
      <c r="C867" s="231"/>
    </row>
    <row r="868">
      <c r="A868" s="231"/>
      <c r="B868" s="231"/>
      <c r="C868" s="231"/>
    </row>
    <row r="869">
      <c r="A869" s="231"/>
      <c r="B869" s="231"/>
      <c r="C869" s="231"/>
    </row>
    <row r="870">
      <c r="A870" s="231"/>
      <c r="B870" s="231"/>
      <c r="C870" s="231"/>
    </row>
    <row r="871">
      <c r="A871" s="231"/>
      <c r="B871" s="231"/>
      <c r="C871" s="231"/>
    </row>
    <row r="872">
      <c r="A872" s="231"/>
      <c r="B872" s="231"/>
      <c r="C872" s="231"/>
    </row>
    <row r="873">
      <c r="A873" s="231"/>
      <c r="B873" s="231"/>
      <c r="C873" s="231"/>
    </row>
    <row r="874">
      <c r="A874" s="231"/>
      <c r="B874" s="231"/>
      <c r="C874" s="231"/>
    </row>
    <row r="875">
      <c r="A875" s="231"/>
      <c r="B875" s="231"/>
      <c r="C875" s="231"/>
    </row>
    <row r="876">
      <c r="A876" s="231"/>
      <c r="B876" s="231"/>
      <c r="C876" s="231"/>
    </row>
    <row r="877">
      <c r="A877" s="231"/>
      <c r="B877" s="231"/>
      <c r="C877" s="231"/>
    </row>
    <row r="878">
      <c r="A878" s="231"/>
      <c r="B878" s="231"/>
      <c r="C878" s="231"/>
    </row>
    <row r="879">
      <c r="A879" s="231"/>
      <c r="B879" s="231"/>
      <c r="C879" s="231"/>
    </row>
    <row r="880">
      <c r="A880" s="231"/>
      <c r="B880" s="231"/>
      <c r="C880" s="231"/>
    </row>
    <row r="881">
      <c r="A881" s="231"/>
      <c r="B881" s="231"/>
      <c r="C881" s="231"/>
    </row>
    <row r="882">
      <c r="A882" s="231"/>
      <c r="B882" s="231"/>
      <c r="C882" s="231"/>
    </row>
    <row r="883">
      <c r="A883" s="231"/>
      <c r="B883" s="231"/>
      <c r="C883" s="231"/>
    </row>
    <row r="884">
      <c r="A884" s="231"/>
      <c r="B884" s="231"/>
      <c r="C884" s="231"/>
    </row>
    <row r="885">
      <c r="A885" s="231"/>
      <c r="B885" s="231"/>
      <c r="C885" s="231"/>
    </row>
    <row r="886">
      <c r="A886" s="231"/>
      <c r="B886" s="231"/>
      <c r="C886" s="231"/>
    </row>
    <row r="887">
      <c r="A887" s="231"/>
      <c r="B887" s="231"/>
      <c r="C887" s="231"/>
    </row>
    <row r="888">
      <c r="A888" s="231"/>
      <c r="B888" s="231"/>
      <c r="C888" s="231"/>
    </row>
    <row r="889">
      <c r="A889" s="231"/>
      <c r="B889" s="231"/>
      <c r="C889" s="231"/>
    </row>
    <row r="890">
      <c r="A890" s="231"/>
      <c r="B890" s="231"/>
      <c r="C890" s="231"/>
    </row>
    <row r="891">
      <c r="A891" s="231"/>
      <c r="B891" s="231"/>
      <c r="C891" s="231"/>
    </row>
    <row r="892">
      <c r="A892" s="231"/>
      <c r="B892" s="231"/>
      <c r="C892" s="231"/>
    </row>
    <row r="893">
      <c r="A893" s="231"/>
      <c r="B893" s="231"/>
      <c r="C893" s="231"/>
    </row>
    <row r="894">
      <c r="A894" s="231"/>
      <c r="B894" s="231"/>
      <c r="C894" s="231"/>
    </row>
    <row r="895">
      <c r="A895" s="231"/>
      <c r="B895" s="231"/>
      <c r="C895" s="231"/>
    </row>
    <row r="896">
      <c r="A896" s="231"/>
      <c r="B896" s="231"/>
      <c r="C896" s="231"/>
    </row>
    <row r="897">
      <c r="A897" s="231"/>
      <c r="B897" s="231"/>
      <c r="C897" s="231"/>
    </row>
    <row r="898">
      <c r="A898" s="231"/>
      <c r="B898" s="231"/>
      <c r="C898" s="231"/>
    </row>
    <row r="899">
      <c r="A899" s="231"/>
      <c r="B899" s="231"/>
      <c r="C899" s="231"/>
    </row>
    <row r="900">
      <c r="A900" s="231"/>
      <c r="B900" s="231"/>
      <c r="C900" s="231"/>
    </row>
    <row r="901">
      <c r="A901" s="231"/>
      <c r="B901" s="231"/>
      <c r="C901" s="231"/>
    </row>
    <row r="902">
      <c r="A902" s="231"/>
      <c r="B902" s="231"/>
      <c r="C902" s="231"/>
    </row>
    <row r="903">
      <c r="A903" s="231"/>
      <c r="B903" s="231"/>
      <c r="C903" s="231"/>
    </row>
    <row r="904">
      <c r="A904" s="231"/>
      <c r="B904" s="231"/>
      <c r="C904" s="231"/>
    </row>
    <row r="905">
      <c r="A905" s="231"/>
      <c r="B905" s="231"/>
      <c r="C905" s="231"/>
    </row>
    <row r="906">
      <c r="A906" s="231"/>
      <c r="B906" s="231"/>
      <c r="C906" s="231"/>
    </row>
    <row r="907">
      <c r="A907" s="231"/>
      <c r="B907" s="231"/>
      <c r="C907" s="231"/>
    </row>
    <row r="908">
      <c r="A908" s="231"/>
      <c r="B908" s="231"/>
      <c r="C908" s="231"/>
    </row>
    <row r="909">
      <c r="A909" s="231"/>
      <c r="B909" s="231"/>
      <c r="C909" s="231"/>
    </row>
    <row r="910">
      <c r="A910" s="231"/>
      <c r="B910" s="231"/>
      <c r="C910" s="231"/>
    </row>
    <row r="911">
      <c r="A911" s="231"/>
      <c r="B911" s="231"/>
      <c r="C911" s="231"/>
    </row>
    <row r="912">
      <c r="A912" s="231"/>
      <c r="B912" s="231"/>
      <c r="C912" s="231"/>
    </row>
    <row r="913">
      <c r="A913" s="231"/>
      <c r="B913" s="231"/>
      <c r="C913" s="231"/>
    </row>
    <row r="914">
      <c r="A914" s="231"/>
      <c r="B914" s="231"/>
      <c r="C914" s="231"/>
    </row>
    <row r="915">
      <c r="A915" s="231"/>
      <c r="B915" s="231"/>
      <c r="C915" s="231"/>
    </row>
    <row r="916">
      <c r="A916" s="231"/>
      <c r="B916" s="231"/>
      <c r="C916" s="231"/>
    </row>
    <row r="917">
      <c r="A917" s="231"/>
      <c r="B917" s="231"/>
      <c r="C917" s="231"/>
    </row>
    <row r="918">
      <c r="A918" s="231"/>
      <c r="B918" s="231"/>
      <c r="C918" s="231"/>
    </row>
    <row r="919">
      <c r="A919" s="231"/>
      <c r="B919" s="231"/>
      <c r="C919" s="231"/>
    </row>
    <row r="920">
      <c r="A920" s="231"/>
      <c r="B920" s="231"/>
      <c r="C920" s="231"/>
    </row>
    <row r="921">
      <c r="A921" s="231"/>
      <c r="B921" s="231"/>
      <c r="C921" s="231"/>
    </row>
    <row r="922">
      <c r="A922" s="231"/>
      <c r="B922" s="231"/>
      <c r="C922" s="231"/>
    </row>
    <row r="923">
      <c r="A923" s="231"/>
      <c r="B923" s="231"/>
      <c r="C923" s="231"/>
    </row>
    <row r="924">
      <c r="A924" s="231"/>
      <c r="B924" s="231"/>
      <c r="C924" s="231"/>
    </row>
    <row r="925">
      <c r="A925" s="231"/>
      <c r="B925" s="231"/>
      <c r="C925" s="231"/>
    </row>
    <row r="926">
      <c r="A926" s="231"/>
      <c r="B926" s="231"/>
      <c r="C926" s="231"/>
    </row>
    <row r="927">
      <c r="A927" s="231"/>
      <c r="B927" s="231"/>
      <c r="C927" s="231"/>
    </row>
    <row r="928">
      <c r="A928" s="231"/>
      <c r="B928" s="231"/>
      <c r="C928" s="231"/>
    </row>
    <row r="929">
      <c r="A929" s="231"/>
      <c r="B929" s="231"/>
      <c r="C929" s="231"/>
    </row>
    <row r="930">
      <c r="A930" s="231"/>
      <c r="B930" s="231"/>
      <c r="C930" s="231"/>
    </row>
    <row r="931">
      <c r="A931" s="231"/>
      <c r="B931" s="231"/>
      <c r="C931" s="231"/>
    </row>
    <row r="932">
      <c r="A932" s="231"/>
      <c r="B932" s="231"/>
      <c r="C932" s="231"/>
    </row>
    <row r="933">
      <c r="A933" s="231"/>
      <c r="B933" s="231"/>
      <c r="C933" s="231"/>
    </row>
    <row r="934">
      <c r="A934" s="231"/>
      <c r="B934" s="231"/>
      <c r="C934" s="231"/>
    </row>
    <row r="935">
      <c r="A935" s="231"/>
      <c r="B935" s="231"/>
      <c r="C935" s="231"/>
    </row>
    <row r="936">
      <c r="A936" s="231"/>
      <c r="B936" s="231"/>
      <c r="C936" s="231"/>
    </row>
    <row r="937">
      <c r="A937" s="231"/>
      <c r="B937" s="231"/>
      <c r="C937" s="231"/>
    </row>
    <row r="938">
      <c r="A938" s="231"/>
      <c r="B938" s="231"/>
      <c r="C938" s="231"/>
    </row>
    <row r="939">
      <c r="A939" s="231"/>
      <c r="B939" s="231"/>
      <c r="C939" s="231"/>
    </row>
    <row r="940">
      <c r="A940" s="231"/>
      <c r="B940" s="231"/>
      <c r="C940" s="231"/>
    </row>
    <row r="941">
      <c r="A941" s="231"/>
      <c r="B941" s="231"/>
      <c r="C941" s="231"/>
    </row>
    <row r="942">
      <c r="A942" s="231"/>
      <c r="B942" s="231"/>
      <c r="C942" s="231"/>
    </row>
    <row r="943">
      <c r="A943" s="231"/>
      <c r="B943" s="231"/>
      <c r="C943" s="231"/>
    </row>
    <row r="944">
      <c r="A944" s="231"/>
      <c r="B944" s="231"/>
      <c r="C944" s="231"/>
    </row>
    <row r="945">
      <c r="A945" s="231"/>
      <c r="B945" s="231"/>
      <c r="C945" s="231"/>
    </row>
    <row r="946">
      <c r="A946" s="231"/>
      <c r="B946" s="231"/>
      <c r="C946" s="231"/>
    </row>
    <row r="947">
      <c r="A947" s="231"/>
      <c r="B947" s="231"/>
      <c r="C947" s="231"/>
    </row>
    <row r="948">
      <c r="A948" s="231"/>
      <c r="B948" s="231"/>
      <c r="C948" s="231"/>
    </row>
    <row r="949">
      <c r="A949" s="231"/>
      <c r="B949" s="231"/>
      <c r="C949" s="231"/>
    </row>
    <row r="950">
      <c r="A950" s="231"/>
      <c r="B950" s="231"/>
      <c r="C950" s="231"/>
    </row>
    <row r="951">
      <c r="A951" s="231"/>
      <c r="B951" s="231"/>
      <c r="C951" s="231"/>
    </row>
    <row r="952">
      <c r="A952" s="231"/>
      <c r="B952" s="231"/>
      <c r="C952" s="231"/>
    </row>
    <row r="953">
      <c r="A953" s="231"/>
      <c r="B953" s="231"/>
      <c r="C953" s="231"/>
    </row>
    <row r="954">
      <c r="A954" s="231"/>
      <c r="B954" s="231"/>
      <c r="C954" s="231"/>
    </row>
    <row r="955">
      <c r="A955" s="231"/>
      <c r="B955" s="231"/>
      <c r="C955" s="231"/>
    </row>
    <row r="956">
      <c r="A956" s="231"/>
      <c r="B956" s="231"/>
      <c r="C956" s="231"/>
    </row>
    <row r="957">
      <c r="A957" s="231"/>
      <c r="B957" s="231"/>
      <c r="C957" s="231"/>
    </row>
    <row r="958">
      <c r="A958" s="231"/>
      <c r="B958" s="231"/>
      <c r="C958" s="231"/>
    </row>
    <row r="959">
      <c r="A959" s="231"/>
      <c r="B959" s="231"/>
      <c r="C959" s="231"/>
    </row>
    <row r="960">
      <c r="A960" s="231"/>
      <c r="B960" s="231"/>
      <c r="C960" s="231"/>
    </row>
    <row r="961">
      <c r="A961" s="231"/>
      <c r="B961" s="231"/>
      <c r="C961" s="231"/>
    </row>
    <row r="962">
      <c r="A962" s="231"/>
      <c r="B962" s="231"/>
      <c r="C962" s="231"/>
    </row>
    <row r="963">
      <c r="A963" s="231"/>
      <c r="B963" s="231"/>
      <c r="C963" s="231"/>
    </row>
    <row r="964">
      <c r="A964" s="231"/>
      <c r="B964" s="231"/>
      <c r="C964" s="231"/>
    </row>
    <row r="965">
      <c r="A965" s="231"/>
      <c r="B965" s="231"/>
      <c r="C965" s="231"/>
    </row>
    <row r="966">
      <c r="A966" s="231"/>
      <c r="B966" s="231"/>
      <c r="C966" s="231"/>
    </row>
    <row r="967">
      <c r="A967" s="231"/>
      <c r="B967" s="231"/>
      <c r="C967" s="231"/>
    </row>
    <row r="968">
      <c r="A968" s="231"/>
      <c r="B968" s="231"/>
      <c r="C968" s="231"/>
    </row>
    <row r="969">
      <c r="A969" s="231"/>
      <c r="B969" s="231"/>
      <c r="C969" s="231"/>
    </row>
    <row r="970">
      <c r="A970" s="231"/>
      <c r="B970" s="231"/>
      <c r="C970" s="231"/>
    </row>
    <row r="971">
      <c r="A971" s="231"/>
      <c r="B971" s="231"/>
      <c r="C971" s="231"/>
    </row>
    <row r="972">
      <c r="A972" s="231"/>
      <c r="B972" s="231"/>
      <c r="C972" s="231"/>
    </row>
    <row r="973">
      <c r="A973" s="231"/>
      <c r="B973" s="231"/>
      <c r="C973" s="231"/>
    </row>
    <row r="974">
      <c r="A974" s="231"/>
      <c r="B974" s="231"/>
      <c r="C974" s="231"/>
    </row>
    <row r="975">
      <c r="A975" s="231"/>
      <c r="B975" s="231"/>
      <c r="C975" s="231"/>
    </row>
    <row r="976">
      <c r="A976" s="231"/>
      <c r="B976" s="231"/>
      <c r="C976" s="231"/>
    </row>
    <row r="977">
      <c r="A977" s="231"/>
      <c r="B977" s="231"/>
      <c r="C977" s="231"/>
    </row>
    <row r="978">
      <c r="A978" s="231"/>
      <c r="B978" s="231"/>
      <c r="C978" s="231"/>
    </row>
    <row r="979">
      <c r="A979" s="231"/>
      <c r="B979" s="231"/>
      <c r="C979" s="231"/>
    </row>
    <row r="980">
      <c r="A980" s="231"/>
      <c r="B980" s="231"/>
      <c r="C980" s="231"/>
    </row>
    <row r="981">
      <c r="A981" s="231"/>
      <c r="B981" s="231"/>
      <c r="C981" s="231"/>
    </row>
    <row r="982">
      <c r="A982" s="231"/>
      <c r="B982" s="231"/>
      <c r="C982" s="231"/>
    </row>
    <row r="983">
      <c r="A983" s="231"/>
      <c r="B983" s="231"/>
      <c r="C983" s="231"/>
    </row>
    <row r="984">
      <c r="A984" s="231"/>
      <c r="B984" s="231"/>
      <c r="C984" s="231"/>
    </row>
    <row r="985">
      <c r="A985" s="231"/>
      <c r="B985" s="231"/>
      <c r="C985" s="231"/>
    </row>
    <row r="986">
      <c r="A986" s="231"/>
      <c r="B986" s="231"/>
      <c r="C986" s="231"/>
    </row>
    <row r="987">
      <c r="A987" s="231"/>
      <c r="B987" s="231"/>
      <c r="C987" s="231"/>
    </row>
    <row r="988">
      <c r="A988" s="231"/>
      <c r="B988" s="231"/>
      <c r="C988" s="231"/>
    </row>
    <row r="989">
      <c r="A989" s="231"/>
      <c r="B989" s="231"/>
      <c r="C989" s="231"/>
    </row>
    <row r="990">
      <c r="A990" s="231"/>
      <c r="B990" s="231"/>
      <c r="C990" s="231"/>
    </row>
    <row r="991">
      <c r="A991" s="231"/>
      <c r="B991" s="231"/>
      <c r="C991" s="231"/>
    </row>
    <row r="992">
      <c r="A992" s="231"/>
      <c r="B992" s="231"/>
      <c r="C992" s="231"/>
    </row>
    <row r="993">
      <c r="A993" s="231"/>
      <c r="B993" s="231"/>
      <c r="C993" s="231"/>
    </row>
    <row r="994">
      <c r="A994" s="231"/>
      <c r="B994" s="231"/>
      <c r="C994" s="231"/>
    </row>
  </sheetData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outlinePr summaryBelow="0" summaryRight="0"/>
  </sheetPr>
  <sheetViews>
    <sheetView workbookViewId="0"/>
  </sheetViews>
  <sheetFormatPr customHeight="1" defaultColWidth="12.63" defaultRowHeight="15.75"/>
  <sheetData>
    <row r="1">
      <c r="A1" s="308" t="s">
        <v>44</v>
      </c>
      <c r="B1" s="309" t="s">
        <v>1</v>
      </c>
    </row>
    <row r="2">
      <c r="A2" s="7" t="s">
        <v>6858</v>
      </c>
      <c r="B2" s="11">
        <v>6706.0</v>
      </c>
    </row>
    <row r="3">
      <c r="A3" s="7" t="s">
        <v>6859</v>
      </c>
      <c r="B3" s="11"/>
      <c r="C3" s="11" t="s">
        <v>6860</v>
      </c>
    </row>
    <row r="4">
      <c r="A4" s="7" t="s">
        <v>6861</v>
      </c>
      <c r="B4" s="11">
        <v>986.0</v>
      </c>
    </row>
    <row r="5">
      <c r="A5" s="7" t="s">
        <v>6862</v>
      </c>
      <c r="B5" s="11">
        <v>986.0</v>
      </c>
    </row>
    <row r="6">
      <c r="A6" s="7" t="s">
        <v>6863</v>
      </c>
      <c r="B6" s="11">
        <v>986.0</v>
      </c>
    </row>
    <row r="7">
      <c r="A7" s="7" t="s">
        <v>6864</v>
      </c>
      <c r="B7" s="158">
        <v>2644.0</v>
      </c>
    </row>
    <row r="8">
      <c r="A8" s="7" t="s">
        <v>5660</v>
      </c>
      <c r="B8" s="11">
        <v>663.0</v>
      </c>
    </row>
    <row r="9">
      <c r="A9" s="7" t="s">
        <v>1675</v>
      </c>
      <c r="B9" s="11">
        <v>2345.0</v>
      </c>
    </row>
    <row r="10">
      <c r="A10" s="7" t="s">
        <v>1716</v>
      </c>
      <c r="B10" s="11">
        <v>2345.0</v>
      </c>
    </row>
    <row r="11">
      <c r="A11" s="7" t="s">
        <v>1676</v>
      </c>
      <c r="B11" s="11">
        <v>2345.0</v>
      </c>
    </row>
    <row r="12">
      <c r="A12" s="7" t="s">
        <v>1717</v>
      </c>
      <c r="B12" s="11">
        <v>6132.0</v>
      </c>
    </row>
    <row r="13">
      <c r="A13" s="7" t="s">
        <v>1677</v>
      </c>
      <c r="B13" s="11">
        <v>12941.0</v>
      </c>
    </row>
    <row r="14">
      <c r="A14" s="7" t="s">
        <v>1678</v>
      </c>
      <c r="B14" s="11">
        <v>2345.0</v>
      </c>
    </row>
    <row r="15">
      <c r="A15" s="7" t="s">
        <v>1679</v>
      </c>
      <c r="B15" s="11">
        <v>12941.0</v>
      </c>
    </row>
    <row r="16">
      <c r="A16" s="7" t="s">
        <v>1680</v>
      </c>
      <c r="B16" s="11">
        <v>7010.0</v>
      </c>
    </row>
    <row r="17">
      <c r="A17" s="7" t="s">
        <v>1681</v>
      </c>
      <c r="B17" s="11">
        <v>9701.0</v>
      </c>
    </row>
    <row r="18">
      <c r="A18" s="7" t="s">
        <v>1682</v>
      </c>
      <c r="B18" s="11">
        <v>12941.0</v>
      </c>
    </row>
    <row r="19">
      <c r="A19" s="7" t="s">
        <v>1683</v>
      </c>
      <c r="B19" s="11">
        <v>5421.0</v>
      </c>
    </row>
    <row r="20">
      <c r="A20" s="7" t="s">
        <v>1684</v>
      </c>
      <c r="B20" s="11">
        <v>5421.0</v>
      </c>
    </row>
    <row r="21">
      <c r="A21" s="7" t="s">
        <v>1685</v>
      </c>
      <c r="B21" s="11">
        <v>5421.0</v>
      </c>
    </row>
    <row r="22">
      <c r="A22" s="7" t="s">
        <v>1686</v>
      </c>
      <c r="B22" s="11">
        <v>6924.0</v>
      </c>
    </row>
    <row r="23">
      <c r="A23" s="7" t="s">
        <v>1687</v>
      </c>
      <c r="B23" s="11">
        <v>12941.0</v>
      </c>
    </row>
    <row r="24">
      <c r="A24" s="7" t="s">
        <v>1688</v>
      </c>
      <c r="B24" s="11">
        <v>9307.0</v>
      </c>
    </row>
    <row r="25">
      <c r="A25" s="7" t="s">
        <v>1689</v>
      </c>
      <c r="B25" s="11">
        <v>12941.0</v>
      </c>
    </row>
    <row r="26">
      <c r="A26" s="7" t="s">
        <v>1690</v>
      </c>
      <c r="B26" s="11">
        <v>12941.0</v>
      </c>
    </row>
    <row r="27">
      <c r="A27" s="7" t="s">
        <v>1692</v>
      </c>
      <c r="B27" s="11">
        <v>12941.0</v>
      </c>
    </row>
    <row r="28">
      <c r="A28" s="7" t="s">
        <v>1693</v>
      </c>
      <c r="B28" s="11">
        <v>12941.0</v>
      </c>
    </row>
    <row r="29">
      <c r="A29" s="7" t="s">
        <v>1694</v>
      </c>
      <c r="B29" s="11">
        <v>11875.0</v>
      </c>
    </row>
    <row r="30">
      <c r="A30" s="7" t="s">
        <v>1695</v>
      </c>
      <c r="B30" s="11">
        <v>6732.0</v>
      </c>
    </row>
    <row r="31">
      <c r="A31" s="7" t="s">
        <v>1696</v>
      </c>
      <c r="B31" s="11">
        <v>6732.0</v>
      </c>
    </row>
    <row r="32">
      <c r="A32" s="7" t="s">
        <v>1697</v>
      </c>
      <c r="B32" s="11">
        <v>12941.0</v>
      </c>
    </row>
    <row r="33">
      <c r="A33" s="7" t="s">
        <v>1719</v>
      </c>
      <c r="B33" s="11">
        <v>7157.0</v>
      </c>
    </row>
    <row r="34">
      <c r="A34" s="7" t="s">
        <v>1720</v>
      </c>
      <c r="B34" s="11">
        <v>6133.0</v>
      </c>
    </row>
    <row r="35">
      <c r="A35" s="7" t="s">
        <v>1698</v>
      </c>
      <c r="B35" s="11">
        <v>12941.0</v>
      </c>
    </row>
    <row r="36">
      <c r="A36" s="7" t="s">
        <v>1699</v>
      </c>
      <c r="B36" s="11">
        <v>11708.0</v>
      </c>
    </row>
    <row r="37">
      <c r="A37" s="7" t="s">
        <v>1700</v>
      </c>
      <c r="B37" s="11">
        <v>14065.0</v>
      </c>
    </row>
    <row r="38">
      <c r="A38" s="7" t="s">
        <v>1701</v>
      </c>
      <c r="B38" s="11">
        <v>9746.0</v>
      </c>
    </row>
    <row r="39">
      <c r="A39" s="7" t="s">
        <v>1702</v>
      </c>
      <c r="B39" s="11">
        <v>12278.0</v>
      </c>
    </row>
    <row r="40">
      <c r="A40" s="7" t="s">
        <v>1703</v>
      </c>
      <c r="B40" s="11">
        <v>12278.0</v>
      </c>
    </row>
    <row r="41">
      <c r="A41" s="7" t="s">
        <v>1704</v>
      </c>
      <c r="B41" s="11">
        <v>7033.0</v>
      </c>
    </row>
    <row r="42">
      <c r="A42" s="7" t="s">
        <v>1705</v>
      </c>
      <c r="B42" s="11">
        <v>6772.0</v>
      </c>
    </row>
    <row r="43">
      <c r="A43" s="7" t="s">
        <v>1706</v>
      </c>
      <c r="B43" s="11">
        <v>7040.0</v>
      </c>
    </row>
    <row r="44">
      <c r="A44" s="7" t="s">
        <v>1707</v>
      </c>
      <c r="B44" s="11">
        <v>6675.0</v>
      </c>
    </row>
    <row r="45">
      <c r="A45" s="7" t="s">
        <v>1708</v>
      </c>
      <c r="B45" s="11">
        <v>7031.0</v>
      </c>
    </row>
    <row r="46">
      <c r="A46" s="7" t="s">
        <v>1721</v>
      </c>
      <c r="B46" s="11">
        <v>5458.0</v>
      </c>
    </row>
    <row r="47">
      <c r="A47" s="7" t="s">
        <v>1722</v>
      </c>
      <c r="B47" s="11">
        <v>5458.0</v>
      </c>
    </row>
    <row r="48">
      <c r="A48" s="7" t="s">
        <v>1723</v>
      </c>
      <c r="B48" s="11">
        <v>5458.0</v>
      </c>
    </row>
    <row r="49">
      <c r="A49" s="7" t="s">
        <v>1724</v>
      </c>
      <c r="B49" s="11">
        <v>6671.0</v>
      </c>
    </row>
    <row r="50">
      <c r="A50" s="7" t="s">
        <v>3713</v>
      </c>
      <c r="B50" s="11">
        <v>13829.0</v>
      </c>
    </row>
    <row r="51">
      <c r="A51" s="7" t="s">
        <v>1710</v>
      </c>
      <c r="B51" s="11">
        <v>6106.0</v>
      </c>
    </row>
    <row r="52">
      <c r="A52" s="7" t="s">
        <v>1711</v>
      </c>
      <c r="B52" s="11">
        <v>14065.0</v>
      </c>
    </row>
    <row r="53">
      <c r="A53" s="7" t="s">
        <v>3714</v>
      </c>
      <c r="B53" s="11">
        <v>14337.0</v>
      </c>
    </row>
    <row r="54">
      <c r="A54" s="7" t="s">
        <v>1713</v>
      </c>
      <c r="B54" s="11">
        <v>3689.0</v>
      </c>
    </row>
    <row r="55">
      <c r="A55" s="7" t="s">
        <v>3715</v>
      </c>
      <c r="B55" s="11">
        <v>6802.0</v>
      </c>
    </row>
    <row r="56">
      <c r="A56" s="7" t="s">
        <v>3716</v>
      </c>
      <c r="B56" s="11">
        <v>6903.0</v>
      </c>
    </row>
    <row r="57">
      <c r="A57" s="7" t="s">
        <v>3717</v>
      </c>
      <c r="B57" s="11">
        <v>6722.0</v>
      </c>
    </row>
    <row r="58">
      <c r="A58" s="7" t="s">
        <v>3718</v>
      </c>
      <c r="B58" s="11">
        <v>7229.0</v>
      </c>
    </row>
    <row r="59">
      <c r="A59" s="7" t="s">
        <v>3719</v>
      </c>
      <c r="B59" s="11">
        <v>11601.0</v>
      </c>
    </row>
    <row r="60">
      <c r="A60" s="7" t="s">
        <v>3720</v>
      </c>
      <c r="B60" s="11">
        <v>3307.0</v>
      </c>
    </row>
    <row r="61">
      <c r="A61" s="7" t="s">
        <v>3721</v>
      </c>
      <c r="B61" s="11">
        <v>12609.0</v>
      </c>
    </row>
    <row r="62">
      <c r="A62" s="7" t="s">
        <v>3722</v>
      </c>
      <c r="B62" s="11">
        <v>14580.0</v>
      </c>
    </row>
    <row r="63">
      <c r="A63" s="7" t="s">
        <v>3723</v>
      </c>
      <c r="B63" s="11">
        <v>6829.0</v>
      </c>
    </row>
    <row r="64">
      <c r="A64" s="7" t="s">
        <v>3724</v>
      </c>
      <c r="B64" s="11">
        <v>8199.0</v>
      </c>
    </row>
    <row r="65">
      <c r="A65" s="7" t="s">
        <v>3725</v>
      </c>
      <c r="B65" s="11">
        <v>8199.0</v>
      </c>
    </row>
    <row r="66">
      <c r="A66" s="7" t="s">
        <v>3726</v>
      </c>
      <c r="B66" s="11">
        <v>7100.0</v>
      </c>
    </row>
    <row r="67">
      <c r="A67" s="7" t="s">
        <v>3727</v>
      </c>
      <c r="B67" s="11">
        <v>315.0</v>
      </c>
    </row>
    <row r="68">
      <c r="A68" s="7" t="s">
        <v>3728</v>
      </c>
      <c r="B68" s="11">
        <v>12932.0</v>
      </c>
    </row>
    <row r="69">
      <c r="A69" s="7" t="s">
        <v>3729</v>
      </c>
      <c r="B69" s="11">
        <v>6668.0</v>
      </c>
    </row>
    <row r="70">
      <c r="A70" s="7" t="s">
        <v>3730</v>
      </c>
      <c r="B70" s="11">
        <v>14482.0</v>
      </c>
    </row>
    <row r="71">
      <c r="A71" s="7" t="s">
        <v>3731</v>
      </c>
      <c r="B71" s="11">
        <v>12262.0</v>
      </c>
    </row>
    <row r="72">
      <c r="A72" s="7" t="s">
        <v>3732</v>
      </c>
      <c r="B72" s="11">
        <v>2095.0</v>
      </c>
    </row>
    <row r="73">
      <c r="A73" s="7" t="s">
        <v>3733</v>
      </c>
      <c r="B73" s="11">
        <v>7073.0</v>
      </c>
    </row>
    <row r="74">
      <c r="A74" s="7" t="s">
        <v>3734</v>
      </c>
      <c r="B74" s="11">
        <v>189.0</v>
      </c>
    </row>
    <row r="75">
      <c r="A75" s="7" t="s">
        <v>3735</v>
      </c>
      <c r="B75" s="11">
        <v>189.0</v>
      </c>
    </row>
    <row r="76">
      <c r="A76" s="7" t="s">
        <v>3736</v>
      </c>
      <c r="B76" s="11">
        <v>13858.0</v>
      </c>
    </row>
    <row r="77">
      <c r="A77" s="7" t="s">
        <v>3737</v>
      </c>
      <c r="B77" s="11">
        <v>7083.0</v>
      </c>
    </row>
    <row r="78">
      <c r="A78" s="7" t="s">
        <v>3738</v>
      </c>
      <c r="B78" s="11">
        <v>2095.0</v>
      </c>
    </row>
    <row r="79">
      <c r="A79" s="7" t="s">
        <v>3739</v>
      </c>
      <c r="B79" s="11">
        <v>6668.0</v>
      </c>
    </row>
    <row r="80">
      <c r="A80" s="7" t="s">
        <v>3740</v>
      </c>
      <c r="B80" s="11">
        <v>13951.0</v>
      </c>
    </row>
    <row r="81">
      <c r="A81" s="7" t="s">
        <v>3741</v>
      </c>
      <c r="B81" s="11">
        <v>14480.0</v>
      </c>
    </row>
    <row r="82">
      <c r="A82" s="7" t="s">
        <v>3742</v>
      </c>
      <c r="B82" s="11">
        <v>12346.0</v>
      </c>
    </row>
    <row r="83">
      <c r="A83" s="7" t="s">
        <v>3743</v>
      </c>
      <c r="B83" s="11">
        <v>6779.0</v>
      </c>
    </row>
    <row r="84">
      <c r="A84" s="7" t="s">
        <v>3744</v>
      </c>
      <c r="B84" s="11">
        <v>6875.0</v>
      </c>
    </row>
    <row r="85">
      <c r="A85" s="7" t="s">
        <v>3745</v>
      </c>
      <c r="B85" s="11">
        <v>6729.0</v>
      </c>
    </row>
    <row r="86">
      <c r="A86" s="7" t="s">
        <v>3746</v>
      </c>
      <c r="B86" s="11">
        <v>3607.0</v>
      </c>
    </row>
    <row r="87">
      <c r="A87" s="7" t="s">
        <v>3747</v>
      </c>
      <c r="B87" s="11">
        <v>3607.0</v>
      </c>
    </row>
    <row r="88">
      <c r="A88" s="7" t="s">
        <v>3748</v>
      </c>
      <c r="B88" s="11">
        <v>3607.0</v>
      </c>
    </row>
    <row r="89">
      <c r="A89" s="7" t="s">
        <v>6865</v>
      </c>
      <c r="B89" s="11">
        <v>11049.0</v>
      </c>
    </row>
    <row r="90">
      <c r="A90" s="7" t="s">
        <v>6866</v>
      </c>
      <c r="B90" s="11">
        <v>11049.0</v>
      </c>
    </row>
    <row r="91">
      <c r="A91" s="7" t="s">
        <v>6867</v>
      </c>
      <c r="B91" s="11">
        <v>11049.0</v>
      </c>
    </row>
    <row r="92">
      <c r="A92" s="7" t="s">
        <v>6868</v>
      </c>
      <c r="B92" s="11">
        <v>11049.0</v>
      </c>
    </row>
    <row r="93">
      <c r="A93" s="7" t="s">
        <v>6869</v>
      </c>
      <c r="B93" s="11">
        <v>11049.0</v>
      </c>
    </row>
    <row r="94">
      <c r="A94" s="7" t="s">
        <v>6870</v>
      </c>
      <c r="B94" s="11">
        <v>11049.0</v>
      </c>
    </row>
    <row r="95">
      <c r="A95" s="7" t="s">
        <v>6871</v>
      </c>
      <c r="B95" s="11">
        <v>11049.0</v>
      </c>
    </row>
    <row r="96">
      <c r="A96" s="7" t="s">
        <v>6872</v>
      </c>
      <c r="B96" s="11">
        <v>11049.0</v>
      </c>
    </row>
    <row r="97">
      <c r="A97" s="7" t="s">
        <v>6873</v>
      </c>
      <c r="B97" s="11">
        <v>11049.0</v>
      </c>
    </row>
    <row r="98">
      <c r="A98" s="7" t="s">
        <v>6874</v>
      </c>
      <c r="B98" s="11">
        <v>11049.0</v>
      </c>
    </row>
    <row r="99">
      <c r="A99" s="7" t="s">
        <v>6875</v>
      </c>
      <c r="B99" s="11">
        <v>11049.0</v>
      </c>
    </row>
    <row r="100">
      <c r="A100" s="7" t="s">
        <v>6876</v>
      </c>
      <c r="B100" s="11">
        <v>11049.0</v>
      </c>
    </row>
    <row r="101">
      <c r="A101" s="7" t="s">
        <v>6877</v>
      </c>
      <c r="B101" s="11">
        <v>11049.0</v>
      </c>
    </row>
    <row r="102">
      <c r="A102" s="7" t="s">
        <v>6878</v>
      </c>
      <c r="B102" s="11">
        <v>11049.0</v>
      </c>
    </row>
    <row r="103">
      <c r="A103" s="7" t="s">
        <v>6879</v>
      </c>
      <c r="B103" s="11">
        <v>11049.0</v>
      </c>
    </row>
    <row r="104">
      <c r="A104" s="7" t="s">
        <v>6880</v>
      </c>
      <c r="B104" s="11">
        <v>11049.0</v>
      </c>
    </row>
    <row r="105">
      <c r="A105" s="7" t="s">
        <v>6881</v>
      </c>
      <c r="B105" s="11">
        <v>11049.0</v>
      </c>
    </row>
    <row r="106">
      <c r="A106" s="7" t="s">
        <v>6882</v>
      </c>
      <c r="B106" s="11">
        <v>11049.0</v>
      </c>
    </row>
    <row r="107">
      <c r="A107" s="7" t="s">
        <v>6883</v>
      </c>
      <c r="B107" s="11">
        <v>11049.0</v>
      </c>
    </row>
    <row r="108">
      <c r="A108" s="7" t="s">
        <v>6884</v>
      </c>
      <c r="B108" s="11">
        <v>11049.0</v>
      </c>
    </row>
    <row r="109">
      <c r="A109" s="7" t="s">
        <v>6885</v>
      </c>
      <c r="B109" s="11">
        <v>12553.0</v>
      </c>
    </row>
    <row r="110">
      <c r="A110" s="7" t="s">
        <v>6886</v>
      </c>
      <c r="B110" s="11">
        <v>14646.0</v>
      </c>
    </row>
    <row r="111">
      <c r="A111" s="7" t="s">
        <v>6887</v>
      </c>
      <c r="B111" s="11">
        <v>6675.0</v>
      </c>
    </row>
    <row r="112">
      <c r="A112" s="7" t="s">
        <v>6888</v>
      </c>
    </row>
    <row r="113">
      <c r="A113" s="7" t="s">
        <v>6889</v>
      </c>
    </row>
    <row r="114">
      <c r="A114" s="7" t="s">
        <v>6890</v>
      </c>
    </row>
    <row r="115">
      <c r="A115" s="7" t="s">
        <v>6891</v>
      </c>
    </row>
    <row r="116">
      <c r="A116" s="7" t="s">
        <v>6892</v>
      </c>
      <c r="B116" s="11">
        <v>6675.0</v>
      </c>
    </row>
    <row r="117">
      <c r="A117" s="7" t="s">
        <v>6893</v>
      </c>
      <c r="B117" s="25">
        <v>13862.0</v>
      </c>
    </row>
    <row r="118">
      <c r="A118" s="7" t="s">
        <v>6894</v>
      </c>
    </row>
    <row r="119">
      <c r="A119" s="7" t="s">
        <v>6895</v>
      </c>
    </row>
    <row r="120">
      <c r="A120" s="7" t="s">
        <v>6896</v>
      </c>
      <c r="B120" s="11">
        <v>7023.0</v>
      </c>
    </row>
    <row r="121">
      <c r="A121" s="7" t="s">
        <v>6897</v>
      </c>
    </row>
    <row r="122">
      <c r="A122" s="7" t="s">
        <v>6898</v>
      </c>
    </row>
    <row r="123">
      <c r="A123" s="7" t="s">
        <v>6899</v>
      </c>
      <c r="B123" s="11">
        <v>5365.0</v>
      </c>
    </row>
    <row r="124">
      <c r="A124" s="7" t="s">
        <v>6900</v>
      </c>
    </row>
    <row r="125">
      <c r="A125" s="7" t="s">
        <v>6901</v>
      </c>
    </row>
    <row r="126">
      <c r="A126" s="7" t="s">
        <v>6902</v>
      </c>
    </row>
    <row r="127">
      <c r="A127" s="7" t="s">
        <v>6903</v>
      </c>
    </row>
    <row r="128">
      <c r="A128" s="7" t="s">
        <v>6904</v>
      </c>
    </row>
    <row r="129">
      <c r="A129" s="7" t="s">
        <v>6905</v>
      </c>
    </row>
    <row r="130">
      <c r="A130" s="7" t="s">
        <v>6906</v>
      </c>
    </row>
    <row r="131">
      <c r="A131" s="7" t="s">
        <v>6907</v>
      </c>
    </row>
    <row r="132">
      <c r="A132" s="7" t="s">
        <v>6908</v>
      </c>
    </row>
    <row r="133">
      <c r="A133" s="7" t="s">
        <v>6909</v>
      </c>
      <c r="B133" s="11">
        <v>6675.0</v>
      </c>
    </row>
    <row r="134">
      <c r="A134" s="7" t="s">
        <v>6910</v>
      </c>
    </row>
    <row r="135">
      <c r="A135" s="7" t="s">
        <v>6911</v>
      </c>
    </row>
    <row r="136">
      <c r="A136" s="7" t="s">
        <v>6912</v>
      </c>
    </row>
    <row r="137">
      <c r="A137" s="7" t="s">
        <v>6913</v>
      </c>
    </row>
    <row r="138">
      <c r="A138" s="7" t="s">
        <v>6914</v>
      </c>
    </row>
    <row r="139">
      <c r="A139" s="7" t="s">
        <v>6915</v>
      </c>
    </row>
    <row r="140">
      <c r="A140" s="7" t="s">
        <v>6916</v>
      </c>
    </row>
    <row r="141">
      <c r="A141" s="7" t="s">
        <v>6917</v>
      </c>
    </row>
    <row r="142">
      <c r="A142" s="7" t="s">
        <v>6918</v>
      </c>
    </row>
    <row r="143">
      <c r="A143" s="7" t="s">
        <v>6919</v>
      </c>
    </row>
    <row r="144">
      <c r="A144" s="7" t="s">
        <v>6920</v>
      </c>
      <c r="B144" s="11">
        <v>14575.0</v>
      </c>
    </row>
    <row r="145">
      <c r="A145" s="7" t="s">
        <v>6921</v>
      </c>
    </row>
    <row r="146">
      <c r="A146" s="7" t="s">
        <v>6922</v>
      </c>
    </row>
    <row r="147">
      <c r="A147" s="7" t="s">
        <v>6923</v>
      </c>
    </row>
    <row r="148">
      <c r="A148" s="7" t="s">
        <v>6924</v>
      </c>
    </row>
    <row r="149">
      <c r="A149" s="7" t="s">
        <v>6925</v>
      </c>
    </row>
    <row r="150">
      <c r="A150" s="7" t="s">
        <v>6926</v>
      </c>
    </row>
    <row r="151">
      <c r="A151" s="7" t="s">
        <v>6927</v>
      </c>
    </row>
    <row r="152">
      <c r="A152" s="7" t="s">
        <v>6928</v>
      </c>
    </row>
    <row r="153">
      <c r="A153" s="7" t="s">
        <v>6929</v>
      </c>
    </row>
    <row r="154">
      <c r="A154" s="7" t="s">
        <v>6930</v>
      </c>
      <c r="B154" s="11">
        <v>6671.0</v>
      </c>
    </row>
    <row r="155">
      <c r="A155" s="7" t="s">
        <v>6931</v>
      </c>
    </row>
    <row r="156">
      <c r="A156" s="7" t="s">
        <v>6932</v>
      </c>
    </row>
    <row r="157">
      <c r="A157" s="7" t="s">
        <v>6933</v>
      </c>
    </row>
    <row r="158">
      <c r="A158" s="7" t="s">
        <v>6934</v>
      </c>
    </row>
    <row r="159">
      <c r="A159" s="7" t="s">
        <v>6935</v>
      </c>
    </row>
    <row r="160">
      <c r="A160" s="7" t="s">
        <v>6936</v>
      </c>
    </row>
    <row r="161">
      <c r="A161" s="7" t="s">
        <v>6937</v>
      </c>
    </row>
    <row r="162">
      <c r="A162" s="7" t="s">
        <v>6938</v>
      </c>
    </row>
    <row r="163">
      <c r="A163" s="7" t="s">
        <v>6939</v>
      </c>
    </row>
    <row r="164">
      <c r="A164" s="7" t="s">
        <v>6940</v>
      </c>
    </row>
    <row r="165">
      <c r="A165" s="7" t="s">
        <v>6941</v>
      </c>
    </row>
    <row r="166">
      <c r="A166" s="7" t="s">
        <v>6942</v>
      </c>
    </row>
    <row r="167">
      <c r="A167" s="7" t="s">
        <v>6943</v>
      </c>
    </row>
    <row r="168">
      <c r="A168" s="7" t="s">
        <v>6944</v>
      </c>
    </row>
    <row r="169">
      <c r="A169" s="7" t="s">
        <v>6945</v>
      </c>
    </row>
    <row r="170">
      <c r="A170" s="7" t="s">
        <v>6946</v>
      </c>
    </row>
    <row r="171">
      <c r="A171" s="7" t="s">
        <v>6947</v>
      </c>
    </row>
    <row r="172">
      <c r="A172" s="7" t="s">
        <v>6948</v>
      </c>
    </row>
    <row r="173">
      <c r="A173" s="7" t="s">
        <v>6949</v>
      </c>
    </row>
    <row r="174">
      <c r="A174" s="7" t="s">
        <v>6950</v>
      </c>
    </row>
    <row r="175">
      <c r="A175" s="7" t="s">
        <v>6951</v>
      </c>
    </row>
    <row r="176">
      <c r="A176" s="7" t="s">
        <v>6952</v>
      </c>
    </row>
    <row r="177">
      <c r="A177" s="7" t="s">
        <v>6953</v>
      </c>
    </row>
    <row r="178">
      <c r="A178" s="7" t="s">
        <v>6954</v>
      </c>
    </row>
    <row r="179">
      <c r="A179" s="7" t="s">
        <v>6955</v>
      </c>
    </row>
    <row r="180">
      <c r="A180" s="7" t="s">
        <v>5622</v>
      </c>
    </row>
    <row r="181">
      <c r="A181" s="7" t="s">
        <v>6956</v>
      </c>
    </row>
    <row r="182">
      <c r="A182" s="7" t="s">
        <v>6957</v>
      </c>
    </row>
    <row r="183">
      <c r="A183" s="7" t="s">
        <v>6958</v>
      </c>
    </row>
    <row r="184">
      <c r="A184" s="7" t="s">
        <v>6959</v>
      </c>
    </row>
    <row r="185">
      <c r="A185" s="7" t="s">
        <v>5624</v>
      </c>
    </row>
    <row r="186">
      <c r="A186" s="7" t="s">
        <v>6960</v>
      </c>
    </row>
    <row r="187">
      <c r="A187" s="7" t="s">
        <v>6961</v>
      </c>
    </row>
    <row r="188">
      <c r="A188" s="7" t="s">
        <v>6962</v>
      </c>
      <c r="B188" s="16">
        <v>14465.0</v>
      </c>
    </row>
    <row r="189">
      <c r="A189" s="7" t="s">
        <v>6963</v>
      </c>
      <c r="B189" s="7"/>
      <c r="C189" s="11" t="s">
        <v>207</v>
      </c>
    </row>
    <row r="190">
      <c r="A190" s="7" t="s">
        <v>6964</v>
      </c>
      <c r="B190" s="7"/>
      <c r="C190" s="11" t="s">
        <v>207</v>
      </c>
    </row>
    <row r="191">
      <c r="A191" s="7" t="s">
        <v>1665</v>
      </c>
      <c r="B191" s="66">
        <v>13988.0</v>
      </c>
      <c r="C191" s="11" t="s">
        <v>207</v>
      </c>
    </row>
    <row r="192">
      <c r="A192" s="7" t="s">
        <v>1666</v>
      </c>
      <c r="B192" s="199">
        <v>12277.0</v>
      </c>
      <c r="C192" s="11" t="s">
        <v>207</v>
      </c>
    </row>
    <row r="193">
      <c r="A193" s="7" t="s">
        <v>1667</v>
      </c>
      <c r="B193" s="5">
        <v>7416.0</v>
      </c>
      <c r="C193" s="11" t="s">
        <v>207</v>
      </c>
    </row>
    <row r="194">
      <c r="A194" s="7" t="s">
        <v>1668</v>
      </c>
      <c r="B194" s="7"/>
      <c r="C194" s="11" t="s">
        <v>207</v>
      </c>
    </row>
    <row r="195">
      <c r="A195" s="7" t="s">
        <v>1669</v>
      </c>
      <c r="B195" s="7"/>
      <c r="C195" s="11" t="s">
        <v>207</v>
      </c>
    </row>
    <row r="196">
      <c r="A196" s="7" t="s">
        <v>1670</v>
      </c>
      <c r="B196" s="7"/>
      <c r="C196" s="11" t="s">
        <v>207</v>
      </c>
    </row>
    <row r="197">
      <c r="A197" s="7" t="s">
        <v>1671</v>
      </c>
      <c r="B197" s="7"/>
      <c r="C197" s="11" t="s">
        <v>207</v>
      </c>
    </row>
    <row r="198">
      <c r="A198" s="7" t="s">
        <v>1672</v>
      </c>
      <c r="B198" s="7"/>
      <c r="C198" s="11" t="s">
        <v>207</v>
      </c>
    </row>
    <row r="199">
      <c r="A199" s="7" t="s">
        <v>1673</v>
      </c>
      <c r="B199" s="7"/>
      <c r="C199" s="11" t="s">
        <v>207</v>
      </c>
    </row>
    <row r="200">
      <c r="A200" s="7" t="s">
        <v>1674</v>
      </c>
      <c r="B200" s="7"/>
      <c r="C200" s="11" t="s">
        <v>207</v>
      </c>
    </row>
    <row r="201">
      <c r="A201" s="7" t="s">
        <v>1726</v>
      </c>
      <c r="B201" s="7"/>
      <c r="C201" s="11" t="s">
        <v>207</v>
      </c>
    </row>
    <row r="202">
      <c r="A202" s="7" t="s">
        <v>1727</v>
      </c>
      <c r="B202" s="7"/>
      <c r="C202" s="11" t="s">
        <v>207</v>
      </c>
    </row>
    <row r="203">
      <c r="A203" s="7" t="s">
        <v>6965</v>
      </c>
      <c r="B203" s="7"/>
      <c r="C203" s="11" t="s">
        <v>207</v>
      </c>
    </row>
    <row r="204">
      <c r="A204" s="7" t="s">
        <v>6966</v>
      </c>
      <c r="B204" s="7"/>
      <c r="C204" s="11" t="s">
        <v>207</v>
      </c>
    </row>
  </sheetData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20.5"/>
    <col customWidth="1" min="5" max="5" width="26.13"/>
    <col hidden="1" min="8" max="18" width="12.63"/>
    <col customWidth="1" hidden="1" min="19" max="19" width="9.25"/>
    <col hidden="1" min="20" max="20" width="12.63"/>
  </cols>
  <sheetData>
    <row r="1">
      <c r="A1" s="56" t="s">
        <v>44</v>
      </c>
      <c r="B1" s="310" t="s">
        <v>1</v>
      </c>
      <c r="C1" s="57" t="s">
        <v>294</v>
      </c>
      <c r="D1" s="55" t="s">
        <v>248</v>
      </c>
      <c r="E1" s="58" t="s">
        <v>249</v>
      </c>
      <c r="F1" s="58" t="s">
        <v>250</v>
      </c>
      <c r="G1" s="45"/>
      <c r="H1" s="11" t="s">
        <v>252</v>
      </c>
      <c r="I1" s="60"/>
      <c r="J1" s="60"/>
      <c r="K1" s="308" t="s">
        <v>44</v>
      </c>
      <c r="L1" s="309" t="s">
        <v>1</v>
      </c>
      <c r="M1" s="11" t="s">
        <v>6967</v>
      </c>
      <c r="Q1" s="308" t="s">
        <v>6968</v>
      </c>
      <c r="R1" s="309" t="s">
        <v>1</v>
      </c>
    </row>
    <row r="2">
      <c r="A2" s="4" t="s">
        <v>11</v>
      </c>
      <c r="B2" s="195">
        <v>6675.0</v>
      </c>
      <c r="C2" s="44" t="s">
        <v>6969</v>
      </c>
      <c r="D2" s="271"/>
      <c r="E2" s="311"/>
      <c r="F2" s="229" t="s">
        <v>1656</v>
      </c>
      <c r="G2" s="45"/>
      <c r="H2" s="30">
        <v>1.0</v>
      </c>
      <c r="I2" s="21"/>
      <c r="J2" s="30"/>
      <c r="K2" s="312" t="s">
        <v>6970</v>
      </c>
      <c r="L2" s="97">
        <v>6675.0</v>
      </c>
      <c r="M2" s="11" t="s">
        <v>6971</v>
      </c>
      <c r="Q2" s="312" t="s">
        <v>1655</v>
      </c>
      <c r="R2" s="312">
        <v>986.0</v>
      </c>
      <c r="T2" s="30"/>
    </row>
    <row r="3">
      <c r="A3" s="4" t="s">
        <v>17</v>
      </c>
      <c r="B3" s="65"/>
      <c r="C3" s="44" t="s">
        <v>6969</v>
      </c>
      <c r="D3" s="202"/>
      <c r="E3" s="311"/>
      <c r="F3" s="112"/>
      <c r="G3" s="45"/>
      <c r="H3" s="30">
        <v>1.0</v>
      </c>
      <c r="I3" s="21"/>
      <c r="J3" s="30"/>
      <c r="K3" s="312" t="s">
        <v>6972</v>
      </c>
      <c r="L3" s="97">
        <v>663.0</v>
      </c>
      <c r="O3" s="11"/>
      <c r="Q3" s="312" t="s">
        <v>1657</v>
      </c>
      <c r="R3" s="312">
        <v>2345.0</v>
      </c>
      <c r="S3" s="30"/>
    </row>
    <row r="4">
      <c r="A4" s="4" t="s">
        <v>18</v>
      </c>
      <c r="B4" s="195"/>
      <c r="C4" s="44" t="s">
        <v>6969</v>
      </c>
      <c r="D4" s="202"/>
      <c r="E4" s="311"/>
      <c r="F4" s="112"/>
      <c r="G4" s="45"/>
      <c r="H4" s="34" t="e">
        <v>#N/A</v>
      </c>
      <c r="I4" s="21"/>
      <c r="J4" s="30"/>
      <c r="K4" s="312" t="s">
        <v>6973</v>
      </c>
      <c r="L4" s="97">
        <v>6924.0</v>
      </c>
      <c r="Q4" s="313" t="s">
        <v>1658</v>
      </c>
      <c r="R4" s="313">
        <v>2345.0</v>
      </c>
      <c r="S4" s="34"/>
      <c r="T4" s="34"/>
    </row>
    <row r="5">
      <c r="A5" s="4" t="s">
        <v>15</v>
      </c>
      <c r="B5" s="195">
        <v>189.0</v>
      </c>
      <c r="C5" s="44" t="s">
        <v>6969</v>
      </c>
      <c r="D5" s="202"/>
      <c r="E5" s="311"/>
      <c r="F5" s="112"/>
      <c r="G5" s="45"/>
      <c r="H5" s="30">
        <v>1.0</v>
      </c>
      <c r="I5" s="21"/>
      <c r="J5" s="30"/>
      <c r="K5" s="312" t="s">
        <v>6974</v>
      </c>
      <c r="L5" s="97">
        <v>7100.0</v>
      </c>
      <c r="N5" s="314" t="s">
        <v>6975</v>
      </c>
      <c r="Q5" s="312" t="s">
        <v>1659</v>
      </c>
      <c r="R5" s="312">
        <v>663.0</v>
      </c>
      <c r="S5" s="30"/>
      <c r="T5" s="30"/>
    </row>
    <row r="6">
      <c r="A6" s="4" t="s">
        <v>39</v>
      </c>
      <c r="B6" s="195">
        <v>6722.0</v>
      </c>
      <c r="C6" s="44" t="s">
        <v>6969</v>
      </c>
      <c r="D6" s="271"/>
      <c r="E6" s="311"/>
      <c r="F6" s="64"/>
      <c r="G6" s="45"/>
      <c r="H6" s="30">
        <v>1.0</v>
      </c>
      <c r="I6" s="21"/>
      <c r="J6" s="30"/>
      <c r="K6" s="312" t="s">
        <v>6976</v>
      </c>
      <c r="L6" s="97">
        <v>7104.0</v>
      </c>
      <c r="N6" s="11" t="s">
        <v>6977</v>
      </c>
      <c r="Q6" s="312" t="s">
        <v>1660</v>
      </c>
      <c r="R6" s="312">
        <v>189.0</v>
      </c>
      <c r="S6" s="30"/>
      <c r="T6" s="30"/>
    </row>
    <row r="7">
      <c r="A7" s="4" t="s">
        <v>5</v>
      </c>
      <c r="B7" s="65"/>
      <c r="C7" s="44" t="s">
        <v>6969</v>
      </c>
      <c r="D7" s="45"/>
      <c r="E7" s="45"/>
      <c r="F7" s="45"/>
      <c r="G7" s="45"/>
      <c r="H7" s="30">
        <v>1.0</v>
      </c>
      <c r="I7" s="21"/>
      <c r="J7" s="30"/>
      <c r="K7" s="312" t="s">
        <v>6978</v>
      </c>
      <c r="L7" s="97">
        <v>6728.0</v>
      </c>
      <c r="Q7" s="312" t="s">
        <v>1661</v>
      </c>
      <c r="R7" s="312">
        <v>189.0</v>
      </c>
      <c r="S7" s="30"/>
      <c r="T7" s="30"/>
    </row>
    <row r="8">
      <c r="A8" s="4" t="s">
        <v>37</v>
      </c>
      <c r="B8" s="195">
        <v>8486.0</v>
      </c>
      <c r="C8" s="44" t="s">
        <v>6969</v>
      </c>
      <c r="D8" s="45"/>
      <c r="E8" s="45"/>
      <c r="F8" s="45"/>
      <c r="G8" s="45"/>
      <c r="H8" s="34" t="e">
        <v>#N/A</v>
      </c>
      <c r="I8" s="21"/>
      <c r="J8" s="30"/>
      <c r="K8" s="312" t="s">
        <v>6979</v>
      </c>
      <c r="L8" s="97">
        <v>189.0</v>
      </c>
      <c r="Q8" s="313" t="s">
        <v>1664</v>
      </c>
      <c r="R8" s="313">
        <v>189.0</v>
      </c>
      <c r="S8" s="34"/>
      <c r="T8" s="34"/>
    </row>
    <row r="9">
      <c r="A9" s="4" t="s">
        <v>7</v>
      </c>
      <c r="B9" s="195">
        <v>6706.0</v>
      </c>
      <c r="C9" s="44" t="s">
        <v>6969</v>
      </c>
      <c r="D9" s="45"/>
      <c r="E9" s="45"/>
      <c r="F9" s="45"/>
      <c r="G9" s="45"/>
      <c r="H9" s="30">
        <v>1.0</v>
      </c>
      <c r="I9" s="21"/>
      <c r="J9" s="30"/>
      <c r="K9" s="312" t="s">
        <v>6980</v>
      </c>
      <c r="L9" s="97">
        <v>189.0</v>
      </c>
      <c r="Q9" s="312" t="s">
        <v>1665</v>
      </c>
      <c r="R9" s="312">
        <v>6675.0</v>
      </c>
      <c r="T9" s="30"/>
    </row>
    <row r="10">
      <c r="A10" s="4" t="s">
        <v>23</v>
      </c>
      <c r="B10" s="195">
        <v>14482.0</v>
      </c>
      <c r="C10" s="44" t="s">
        <v>6969</v>
      </c>
      <c r="D10" s="45"/>
      <c r="E10" s="275"/>
      <c r="F10" s="270"/>
      <c r="G10" s="45"/>
      <c r="H10" s="30">
        <v>1.0</v>
      </c>
      <c r="I10" s="21"/>
      <c r="J10" s="30"/>
      <c r="K10" s="312" t="s">
        <v>6981</v>
      </c>
      <c r="L10" s="97">
        <v>6729.0</v>
      </c>
      <c r="Q10" s="312" t="s">
        <v>1666</v>
      </c>
      <c r="R10" s="312">
        <v>7010.0</v>
      </c>
      <c r="S10" s="315">
        <v>7010.0</v>
      </c>
      <c r="T10" s="30"/>
    </row>
    <row r="11">
      <c r="A11" s="4" t="s">
        <v>20</v>
      </c>
      <c r="B11" s="195">
        <v>14298.0</v>
      </c>
      <c r="C11" s="44" t="s">
        <v>6969</v>
      </c>
      <c r="D11" s="45"/>
      <c r="E11" s="275"/>
      <c r="F11" s="270"/>
      <c r="G11" s="45"/>
      <c r="H11" s="30">
        <v>1.0</v>
      </c>
      <c r="I11" s="21"/>
      <c r="J11" s="30"/>
      <c r="K11" s="312" t="s">
        <v>6982</v>
      </c>
      <c r="L11" s="97">
        <v>6675.0</v>
      </c>
      <c r="Q11" s="312" t="s">
        <v>1667</v>
      </c>
      <c r="R11" s="312">
        <v>7158.0</v>
      </c>
      <c r="S11" s="315">
        <v>7158.0</v>
      </c>
      <c r="T11" s="30"/>
    </row>
    <row r="12">
      <c r="A12" s="4" t="s">
        <v>33</v>
      </c>
      <c r="B12" s="195">
        <v>3404.0</v>
      </c>
      <c r="C12" s="44" t="s">
        <v>6969</v>
      </c>
      <c r="D12" s="45"/>
      <c r="E12" s="275"/>
      <c r="F12" s="270"/>
      <c r="G12" s="45"/>
      <c r="H12" s="34" t="e">
        <v>#N/A</v>
      </c>
      <c r="I12" s="21"/>
      <c r="J12" s="30"/>
      <c r="K12" s="312" t="s">
        <v>6983</v>
      </c>
      <c r="L12" s="97">
        <v>986.0</v>
      </c>
      <c r="Q12" s="313" t="s">
        <v>1668</v>
      </c>
      <c r="R12" s="313">
        <v>3616.0</v>
      </c>
      <c r="S12" s="34"/>
      <c r="T12" s="34"/>
    </row>
    <row r="13">
      <c r="A13" s="4" t="s">
        <v>34</v>
      </c>
      <c r="B13" s="195">
        <v>12346.0</v>
      </c>
      <c r="C13" s="44" t="s">
        <v>6969</v>
      </c>
      <c r="D13" s="45"/>
      <c r="E13" s="275"/>
      <c r="F13" s="270"/>
      <c r="G13" s="45"/>
      <c r="H13" s="30">
        <v>1.0</v>
      </c>
      <c r="I13" s="21"/>
      <c r="J13" s="30"/>
      <c r="K13" s="312" t="s">
        <v>6984</v>
      </c>
      <c r="L13" s="97">
        <v>986.0</v>
      </c>
      <c r="Q13" s="312" t="s">
        <v>1669</v>
      </c>
      <c r="R13" s="312">
        <v>189.0</v>
      </c>
      <c r="S13" s="30"/>
      <c r="T13" s="30"/>
    </row>
    <row r="14">
      <c r="A14" s="4" t="s">
        <v>1655</v>
      </c>
      <c r="B14" s="195">
        <v>6924.0</v>
      </c>
      <c r="C14" s="44" t="s">
        <v>6969</v>
      </c>
      <c r="D14" s="45"/>
      <c r="E14" s="275"/>
      <c r="F14" s="270"/>
      <c r="G14" s="45"/>
      <c r="H14" s="30">
        <v>1.0</v>
      </c>
      <c r="I14" s="21"/>
      <c r="J14" s="30"/>
      <c r="K14" s="312" t="s">
        <v>6985</v>
      </c>
      <c r="L14" s="97">
        <v>3381.0</v>
      </c>
      <c r="Q14" s="312" t="s">
        <v>1670</v>
      </c>
      <c r="R14" s="312">
        <v>6133.0</v>
      </c>
      <c r="S14" s="30"/>
      <c r="T14" s="30"/>
    </row>
    <row r="15">
      <c r="A15" s="4" t="s">
        <v>1657</v>
      </c>
      <c r="B15" s="195">
        <v>6924.0</v>
      </c>
      <c r="C15" s="44" t="s">
        <v>6969</v>
      </c>
      <c r="D15" s="45"/>
      <c r="E15" s="275"/>
      <c r="F15" s="270"/>
      <c r="G15" s="45"/>
      <c r="H15" s="30">
        <v>1.0</v>
      </c>
      <c r="I15" s="21"/>
      <c r="J15" s="30"/>
      <c r="K15" s="312" t="s">
        <v>6986</v>
      </c>
      <c r="L15" s="316">
        <v>6893.0</v>
      </c>
      <c r="Q15" s="312" t="s">
        <v>1671</v>
      </c>
      <c r="R15" s="11">
        <v>6924.0</v>
      </c>
      <c r="S15" s="11">
        <v>8486.0</v>
      </c>
      <c r="T15" s="312">
        <v>4514.0</v>
      </c>
    </row>
    <row r="16">
      <c r="A16" s="4" t="s">
        <v>1658</v>
      </c>
      <c r="B16" s="195">
        <v>7083.0</v>
      </c>
      <c r="C16" s="44" t="s">
        <v>6969</v>
      </c>
      <c r="D16" s="45"/>
      <c r="E16" s="275"/>
      <c r="F16" s="270"/>
      <c r="G16" s="45"/>
      <c r="H16" s="34" t="e">
        <v>#N/A</v>
      </c>
      <c r="I16" s="21"/>
      <c r="J16" s="30"/>
      <c r="K16" s="312" t="s">
        <v>6987</v>
      </c>
      <c r="L16" s="97">
        <v>3307.0</v>
      </c>
      <c r="Q16" s="313" t="s">
        <v>1676</v>
      </c>
      <c r="R16" s="313">
        <v>2345.0</v>
      </c>
      <c r="S16" s="34"/>
      <c r="T16" s="34"/>
    </row>
    <row r="17">
      <c r="A17" s="4" t="s">
        <v>1659</v>
      </c>
      <c r="B17" s="195">
        <v>7083.0</v>
      </c>
      <c r="C17" s="44" t="s">
        <v>6969</v>
      </c>
      <c r="D17" s="274"/>
      <c r="E17" s="275"/>
      <c r="F17" s="270"/>
      <c r="G17" s="45"/>
      <c r="H17" s="34" t="e">
        <v>#N/A</v>
      </c>
      <c r="I17" s="21"/>
      <c r="J17" s="30"/>
      <c r="K17" s="312" t="s">
        <v>6988</v>
      </c>
      <c r="L17" s="97">
        <v>7168.0</v>
      </c>
      <c r="Q17" s="313" t="s">
        <v>1717</v>
      </c>
      <c r="R17" s="313">
        <v>7747.0</v>
      </c>
      <c r="S17" s="34"/>
      <c r="T17" s="34"/>
    </row>
    <row r="18">
      <c r="A18" s="4" t="s">
        <v>1660</v>
      </c>
      <c r="B18" s="195">
        <v>2345.0</v>
      </c>
      <c r="C18" s="44" t="s">
        <v>6969</v>
      </c>
      <c r="D18" s="45"/>
      <c r="E18" s="275"/>
      <c r="F18" s="270"/>
      <c r="G18" s="45"/>
      <c r="H18" s="34" t="e">
        <v>#N/A</v>
      </c>
      <c r="I18" s="21"/>
      <c r="J18" s="30"/>
      <c r="K18" s="312" t="s">
        <v>6989</v>
      </c>
      <c r="L18" s="97">
        <v>6947.0</v>
      </c>
      <c r="Q18" s="313" t="s">
        <v>1677</v>
      </c>
      <c r="R18" s="313">
        <v>136.0</v>
      </c>
      <c r="S18" s="34"/>
      <c r="T18" s="34"/>
    </row>
    <row r="19">
      <c r="A19" s="4" t="s">
        <v>1661</v>
      </c>
      <c r="B19" s="195">
        <v>2345.0</v>
      </c>
      <c r="C19" s="44" t="s">
        <v>6969</v>
      </c>
      <c r="D19" s="45"/>
      <c r="E19" s="275"/>
      <c r="F19" s="270"/>
      <c r="G19" s="45"/>
      <c r="H19" s="30">
        <v>1.0</v>
      </c>
      <c r="I19" s="21"/>
      <c r="J19" s="30"/>
      <c r="K19" s="312" t="s">
        <v>6990</v>
      </c>
      <c r="L19" s="97">
        <v>6924.0</v>
      </c>
      <c r="Q19" s="312" t="s">
        <v>1678</v>
      </c>
      <c r="R19" s="312">
        <v>6772.0</v>
      </c>
      <c r="S19" s="30"/>
      <c r="T19" s="30"/>
    </row>
    <row r="20">
      <c r="A20" s="4" t="s">
        <v>1662</v>
      </c>
      <c r="B20" s="195">
        <v>2345.0</v>
      </c>
      <c r="C20" s="44" t="s">
        <v>6969</v>
      </c>
      <c r="D20" s="45"/>
      <c r="E20" s="275"/>
      <c r="F20" s="270"/>
      <c r="G20" s="45"/>
      <c r="H20" s="30">
        <v>1.0</v>
      </c>
      <c r="I20" s="21"/>
      <c r="J20" s="30"/>
      <c r="K20" s="312" t="s">
        <v>6991</v>
      </c>
      <c r="L20" s="97"/>
      <c r="Q20" s="312" t="s">
        <v>1679</v>
      </c>
      <c r="R20" s="312">
        <v>7033.0</v>
      </c>
      <c r="S20" s="30"/>
      <c r="T20" s="30"/>
    </row>
    <row r="21">
      <c r="A21" s="4" t="s">
        <v>1663</v>
      </c>
      <c r="B21" s="195">
        <v>2345.0</v>
      </c>
      <c r="C21" s="44" t="s">
        <v>6969</v>
      </c>
      <c r="D21" s="45"/>
      <c r="E21" s="275"/>
      <c r="F21" s="270"/>
      <c r="G21" s="45"/>
      <c r="H21" s="34" t="e">
        <v>#N/A</v>
      </c>
      <c r="I21" s="21"/>
      <c r="J21" s="30"/>
      <c r="K21" s="312" t="s">
        <v>6992</v>
      </c>
      <c r="L21" s="97">
        <v>6133.0</v>
      </c>
      <c r="Q21" s="313" t="s">
        <v>1680</v>
      </c>
      <c r="R21" s="313">
        <v>5125.0</v>
      </c>
      <c r="S21" s="34"/>
      <c r="T21" s="34"/>
    </row>
    <row r="22">
      <c r="A22" s="4" t="s">
        <v>1664</v>
      </c>
      <c r="B22" s="195">
        <v>7157.0</v>
      </c>
      <c r="C22" s="44" t="s">
        <v>6969</v>
      </c>
      <c r="D22" s="45"/>
      <c r="E22" s="275"/>
      <c r="F22" s="270"/>
      <c r="G22" s="45"/>
      <c r="H22" s="30">
        <v>1.0</v>
      </c>
      <c r="I22" s="21"/>
      <c r="J22" s="30"/>
      <c r="K22" s="312" t="s">
        <v>6993</v>
      </c>
      <c r="L22" s="97">
        <v>7244.0</v>
      </c>
      <c r="Q22" s="312" t="s">
        <v>1681</v>
      </c>
      <c r="R22" s="312">
        <v>6947.0</v>
      </c>
      <c r="S22" s="30"/>
      <c r="T22" s="30"/>
    </row>
    <row r="23">
      <c r="A23" s="4" t="s">
        <v>1665</v>
      </c>
      <c r="B23" s="195">
        <v>663.0</v>
      </c>
      <c r="C23" s="44" t="s">
        <v>6969</v>
      </c>
      <c r="D23" s="45"/>
      <c r="E23" s="275"/>
      <c r="F23" s="270"/>
      <c r="G23" s="45"/>
      <c r="H23" s="34" t="e">
        <v>#N/A</v>
      </c>
      <c r="I23" s="21"/>
      <c r="J23" s="30"/>
      <c r="K23" s="312" t="s">
        <v>6994</v>
      </c>
      <c r="L23" s="97">
        <v>5458.0</v>
      </c>
      <c r="Q23" s="313" t="s">
        <v>1682</v>
      </c>
      <c r="R23" s="35">
        <v>6893.0</v>
      </c>
      <c r="S23" s="34"/>
      <c r="T23" s="34"/>
    </row>
    <row r="24">
      <c r="A24" s="4" t="s">
        <v>1666</v>
      </c>
      <c r="B24" s="195">
        <v>8486.0</v>
      </c>
      <c r="C24" s="44" t="s">
        <v>6969</v>
      </c>
      <c r="D24" s="45"/>
      <c r="E24" s="275"/>
      <c r="F24" s="270"/>
      <c r="G24" s="45"/>
      <c r="H24" s="30">
        <v>1.0</v>
      </c>
      <c r="I24" s="21"/>
      <c r="J24" s="30"/>
      <c r="K24" s="312" t="s">
        <v>6995</v>
      </c>
      <c r="L24" s="97">
        <v>5458.0</v>
      </c>
      <c r="Q24" s="312" t="s">
        <v>1683</v>
      </c>
      <c r="R24" s="312">
        <v>2345.0</v>
      </c>
      <c r="S24" s="30"/>
      <c r="T24" s="30"/>
    </row>
    <row r="25">
      <c r="A25" s="4" t="s">
        <v>1667</v>
      </c>
      <c r="B25" s="195">
        <v>7100.0</v>
      </c>
      <c r="C25" s="44" t="s">
        <v>6969</v>
      </c>
      <c r="D25" s="45"/>
      <c r="E25" s="275"/>
      <c r="F25" s="270"/>
      <c r="G25" s="45"/>
      <c r="H25" s="34" t="e">
        <v>#N/A</v>
      </c>
      <c r="I25" s="21"/>
      <c r="J25" s="30"/>
      <c r="K25" s="312" t="s">
        <v>6996</v>
      </c>
      <c r="L25" s="97">
        <v>7040.0</v>
      </c>
      <c r="Q25" s="313" t="s">
        <v>1684</v>
      </c>
      <c r="R25" s="313">
        <v>6732.0</v>
      </c>
      <c r="S25" s="34"/>
      <c r="T25" s="34"/>
    </row>
    <row r="26">
      <c r="A26" s="4" t="s">
        <v>1668</v>
      </c>
      <c r="B26" s="195">
        <v>12553.0</v>
      </c>
      <c r="C26" s="44" t="s">
        <v>6969</v>
      </c>
      <c r="D26" s="45"/>
      <c r="E26" s="275"/>
      <c r="F26" s="270"/>
      <c r="G26" s="45"/>
      <c r="H26" s="34" t="e">
        <v>#N/A</v>
      </c>
      <c r="I26" s="21"/>
      <c r="J26" s="30"/>
      <c r="K26" s="312" t="s">
        <v>6997</v>
      </c>
      <c r="L26" s="97">
        <v>7033.0</v>
      </c>
      <c r="Q26" s="313" t="s">
        <v>1685</v>
      </c>
      <c r="R26" s="313">
        <v>6732.0</v>
      </c>
      <c r="S26" s="34"/>
      <c r="T26" s="34"/>
    </row>
    <row r="27">
      <c r="A27" s="4" t="s">
        <v>1669</v>
      </c>
      <c r="B27" s="195">
        <v>3307.0</v>
      </c>
      <c r="C27" s="44" t="s">
        <v>6969</v>
      </c>
      <c r="D27" s="45"/>
      <c r="E27" s="275"/>
      <c r="F27" s="270"/>
      <c r="G27" s="45"/>
      <c r="H27" s="34" t="e">
        <v>#N/A</v>
      </c>
      <c r="I27" s="21"/>
      <c r="J27" s="30"/>
      <c r="K27" s="312" t="s">
        <v>6998</v>
      </c>
      <c r="L27" s="317"/>
      <c r="Q27" s="313" t="s">
        <v>1686</v>
      </c>
      <c r="R27" s="313">
        <v>6732.0</v>
      </c>
      <c r="S27" s="34"/>
      <c r="T27" s="34"/>
    </row>
    <row r="28">
      <c r="A28" s="4" t="s">
        <v>1670</v>
      </c>
      <c r="B28" s="195">
        <v>663.0</v>
      </c>
      <c r="C28" s="44" t="s">
        <v>6969</v>
      </c>
      <c r="D28" s="45"/>
      <c r="E28" s="275"/>
      <c r="F28" s="270"/>
      <c r="G28" s="45"/>
      <c r="H28" s="34" t="e">
        <v>#N/A</v>
      </c>
      <c r="I28" s="21"/>
      <c r="J28" s="30"/>
      <c r="K28" s="312" t="s">
        <v>6999</v>
      </c>
      <c r="L28" s="97">
        <v>7023.0</v>
      </c>
      <c r="Q28" s="313" t="s">
        <v>1687</v>
      </c>
      <c r="R28" s="35">
        <v>6728.0</v>
      </c>
      <c r="S28" s="313">
        <v>6732.0</v>
      </c>
      <c r="T28" s="34"/>
    </row>
    <row r="29">
      <c r="A29" s="4" t="s">
        <v>1671</v>
      </c>
      <c r="B29" s="195">
        <v>14663.0</v>
      </c>
      <c r="C29" s="44" t="s">
        <v>6969</v>
      </c>
      <c r="D29" s="45"/>
      <c r="E29" s="275"/>
      <c r="F29" s="270"/>
      <c r="G29" s="45"/>
      <c r="H29" s="30">
        <v>1.0</v>
      </c>
      <c r="I29" s="21"/>
      <c r="J29" s="30"/>
      <c r="K29" s="312" t="s">
        <v>7000</v>
      </c>
      <c r="L29" s="97">
        <v>6132.0</v>
      </c>
      <c r="Q29" s="312" t="s">
        <v>1688</v>
      </c>
      <c r="R29" s="312">
        <v>6671.0</v>
      </c>
      <c r="S29" s="30"/>
      <c r="T29" s="30"/>
    </row>
    <row r="30">
      <c r="A30" s="4" t="s">
        <v>1672</v>
      </c>
      <c r="B30" s="195">
        <v>6947.0</v>
      </c>
      <c r="C30" s="44" t="s">
        <v>6969</v>
      </c>
      <c r="D30" s="45"/>
      <c r="E30" s="275"/>
      <c r="F30" s="270"/>
      <c r="G30" s="45"/>
      <c r="H30" s="34" t="e">
        <v>#N/A</v>
      </c>
      <c r="I30" s="21"/>
      <c r="J30" s="30"/>
      <c r="K30" s="312" t="s">
        <v>7001</v>
      </c>
      <c r="L30" s="97">
        <v>6671.0</v>
      </c>
      <c r="Q30" s="313" t="s">
        <v>1689</v>
      </c>
      <c r="R30" s="313">
        <v>14065.0</v>
      </c>
      <c r="S30" s="34">
        <v>4933.0</v>
      </c>
      <c r="T30" s="34"/>
    </row>
    <row r="31">
      <c r="A31" s="4" t="s">
        <v>1673</v>
      </c>
      <c r="B31" s="195">
        <v>12932.0</v>
      </c>
      <c r="C31" s="44" t="s">
        <v>6969</v>
      </c>
      <c r="D31" s="45"/>
      <c r="E31" s="275"/>
      <c r="F31" s="270"/>
      <c r="G31" s="45"/>
      <c r="H31" s="34" t="e">
        <v>#N/A</v>
      </c>
      <c r="I31" s="21"/>
      <c r="J31" s="30"/>
      <c r="K31" s="312" t="s">
        <v>7002</v>
      </c>
      <c r="L31" s="97">
        <v>5125.0</v>
      </c>
      <c r="Q31" s="313" t="s">
        <v>1690</v>
      </c>
      <c r="R31" s="313">
        <v>2507.0</v>
      </c>
      <c r="S31" s="34">
        <v>4933.0</v>
      </c>
      <c r="T31" s="34"/>
    </row>
    <row r="32">
      <c r="A32" s="4" t="s">
        <v>1674</v>
      </c>
      <c r="B32" s="195">
        <v>6675.0</v>
      </c>
      <c r="C32" s="44" t="s">
        <v>6969</v>
      </c>
      <c r="D32" s="45"/>
      <c r="E32" s="275"/>
      <c r="F32" s="270"/>
      <c r="G32" s="45"/>
      <c r="H32" s="30">
        <v>1.0</v>
      </c>
      <c r="I32" s="21"/>
      <c r="J32" s="30"/>
      <c r="K32" s="312" t="s">
        <v>7003</v>
      </c>
      <c r="L32" s="97">
        <v>7416.0</v>
      </c>
      <c r="Q32" s="312" t="s">
        <v>1692</v>
      </c>
      <c r="R32" s="312">
        <v>10141.0</v>
      </c>
      <c r="S32" s="30"/>
      <c r="T32" s="30"/>
    </row>
    <row r="33">
      <c r="A33" s="4" t="s">
        <v>1675</v>
      </c>
      <c r="B33" s="195">
        <v>6829.0</v>
      </c>
      <c r="C33" s="44" t="s">
        <v>6969</v>
      </c>
      <c r="D33" s="45"/>
      <c r="E33" s="275"/>
      <c r="F33" s="270"/>
      <c r="G33" s="45"/>
      <c r="H33" s="34" t="e">
        <v>#N/A</v>
      </c>
      <c r="I33" s="21"/>
      <c r="J33" s="30"/>
      <c r="K33" s="312" t="s">
        <v>7004</v>
      </c>
      <c r="L33" s="97">
        <v>11601.0</v>
      </c>
      <c r="Q33" s="313" t="s">
        <v>1693</v>
      </c>
      <c r="R33" s="313">
        <v>6675.0</v>
      </c>
      <c r="S33" s="34"/>
      <c r="T33" s="34"/>
    </row>
    <row r="34">
      <c r="A34" s="4" t="s">
        <v>1716</v>
      </c>
      <c r="B34" s="65"/>
      <c r="C34" s="44" t="s">
        <v>6969</v>
      </c>
      <c r="D34" s="45"/>
      <c r="E34" s="275"/>
      <c r="F34" s="270"/>
      <c r="G34" s="45"/>
      <c r="H34" s="30">
        <v>1.0</v>
      </c>
      <c r="I34" s="21"/>
      <c r="J34" s="30"/>
      <c r="K34" s="312" t="s">
        <v>7005</v>
      </c>
      <c r="L34" s="97">
        <v>2345.0</v>
      </c>
      <c r="Q34" s="312" t="s">
        <v>1694</v>
      </c>
      <c r="R34" s="312">
        <v>6875.0</v>
      </c>
      <c r="S34" s="30"/>
      <c r="T34" s="30"/>
    </row>
    <row r="35">
      <c r="A35" s="4" t="s">
        <v>1676</v>
      </c>
      <c r="B35" s="195">
        <v>14529.0</v>
      </c>
      <c r="C35" s="44" t="s">
        <v>6969</v>
      </c>
      <c r="D35" s="45"/>
      <c r="E35" s="275"/>
      <c r="F35" s="270"/>
      <c r="G35" s="45"/>
      <c r="H35" s="34" t="e">
        <v>#N/A</v>
      </c>
      <c r="I35" s="21"/>
      <c r="J35" s="30"/>
      <c r="K35" s="312" t="s">
        <v>7006</v>
      </c>
      <c r="L35" s="317"/>
      <c r="Q35" s="313" t="s">
        <v>1695</v>
      </c>
      <c r="R35" s="313">
        <v>6669.0</v>
      </c>
      <c r="S35" s="34"/>
      <c r="T35" s="34"/>
    </row>
    <row r="36">
      <c r="A36" s="4" t="s">
        <v>1717</v>
      </c>
      <c r="B36" s="195">
        <v>6936.0</v>
      </c>
      <c r="C36" s="44" t="s">
        <v>6969</v>
      </c>
      <c r="D36" s="45"/>
      <c r="E36" s="275"/>
      <c r="F36" s="270"/>
      <c r="G36" s="45"/>
      <c r="H36" s="30">
        <v>1.0</v>
      </c>
      <c r="I36" s="21"/>
      <c r="J36" s="30"/>
      <c r="K36" s="312" t="s">
        <v>7007</v>
      </c>
      <c r="L36" s="97">
        <v>6658.0</v>
      </c>
      <c r="Q36" s="312" t="s">
        <v>1696</v>
      </c>
      <c r="R36" s="312">
        <v>6729.0</v>
      </c>
      <c r="S36" s="312">
        <v>6669.0</v>
      </c>
      <c r="T36" s="30"/>
    </row>
    <row r="37">
      <c r="A37" s="4" t="s">
        <v>1677</v>
      </c>
      <c r="B37" s="195">
        <v>7023.0</v>
      </c>
      <c r="C37" s="44" t="s">
        <v>6969</v>
      </c>
      <c r="D37" s="274"/>
      <c r="E37" s="275"/>
      <c r="F37" s="270"/>
      <c r="G37" s="45"/>
      <c r="H37" s="34" t="e">
        <v>#N/A</v>
      </c>
      <c r="I37" s="21"/>
      <c r="J37" s="30"/>
      <c r="K37" s="312" t="s">
        <v>7008</v>
      </c>
      <c r="L37" s="97">
        <v>3607.0</v>
      </c>
      <c r="Q37" s="313" t="s">
        <v>1697</v>
      </c>
      <c r="R37" s="313">
        <v>6669.0</v>
      </c>
      <c r="S37" s="34"/>
      <c r="T37" s="34"/>
    </row>
    <row r="38">
      <c r="A38" s="4" t="s">
        <v>1678</v>
      </c>
      <c r="B38" s="195">
        <v>6875.0</v>
      </c>
      <c r="C38" s="44" t="s">
        <v>6969</v>
      </c>
      <c r="D38" s="45"/>
      <c r="E38" s="275"/>
      <c r="F38" s="270"/>
      <c r="G38" s="45"/>
      <c r="H38" s="34" t="e">
        <v>#N/A</v>
      </c>
      <c r="I38" s="21"/>
      <c r="J38" s="30"/>
      <c r="K38" s="312" t="s">
        <v>7009</v>
      </c>
      <c r="L38" s="97">
        <v>3607.0</v>
      </c>
      <c r="Q38" s="313" t="s">
        <v>1719</v>
      </c>
      <c r="R38" s="313">
        <v>6133.0</v>
      </c>
      <c r="S38" s="34"/>
      <c r="T38" s="34"/>
    </row>
    <row r="39">
      <c r="A39" s="4" t="s">
        <v>1679</v>
      </c>
      <c r="B39" s="195">
        <v>5125.0</v>
      </c>
      <c r="C39" s="44" t="s">
        <v>6969</v>
      </c>
      <c r="D39" s="45"/>
      <c r="E39" s="275"/>
      <c r="F39" s="270"/>
      <c r="G39" s="45"/>
      <c r="H39" s="34" t="e">
        <v>#N/A</v>
      </c>
      <c r="I39" s="21"/>
      <c r="J39" s="30"/>
      <c r="K39" s="312" t="s">
        <v>7010</v>
      </c>
      <c r="L39" s="97">
        <v>3607.0</v>
      </c>
      <c r="Q39" s="313" t="s">
        <v>1720</v>
      </c>
      <c r="R39" s="313">
        <v>8199.0</v>
      </c>
      <c r="S39" s="34"/>
      <c r="T39" s="34"/>
    </row>
    <row r="40">
      <c r="A40" s="4" t="s">
        <v>1680</v>
      </c>
      <c r="B40" s="65"/>
      <c r="C40" s="44" t="s">
        <v>6969</v>
      </c>
      <c r="D40" s="45"/>
      <c r="E40" s="275"/>
      <c r="F40" s="270"/>
      <c r="G40" s="45"/>
      <c r="H40" s="34" t="e">
        <v>#N/A</v>
      </c>
      <c r="I40" s="21"/>
      <c r="J40" s="30"/>
      <c r="K40" s="312" t="s">
        <v>7011</v>
      </c>
      <c r="L40" s="97">
        <v>3607.0</v>
      </c>
      <c r="Q40" s="313" t="s">
        <v>1698</v>
      </c>
      <c r="R40" s="313">
        <v>8199.0</v>
      </c>
      <c r="S40" s="34"/>
      <c r="T40" s="34"/>
    </row>
    <row r="41">
      <c r="A41" s="4" t="s">
        <v>1681</v>
      </c>
      <c r="B41" s="65"/>
      <c r="C41" s="44" t="s">
        <v>6969</v>
      </c>
      <c r="D41" s="45"/>
      <c r="E41" s="275"/>
      <c r="F41" s="270"/>
      <c r="G41" s="45"/>
      <c r="H41" s="30">
        <v>1.0</v>
      </c>
      <c r="I41" s="21"/>
      <c r="J41" s="30"/>
      <c r="K41" s="312" t="s">
        <v>7012</v>
      </c>
      <c r="L41" s="97">
        <v>2345.0</v>
      </c>
      <c r="Q41" s="312" t="s">
        <v>1699</v>
      </c>
      <c r="R41" s="312">
        <v>930.0</v>
      </c>
      <c r="S41" s="30"/>
      <c r="T41" s="30"/>
    </row>
    <row r="42">
      <c r="A42" s="4" t="s">
        <v>1682</v>
      </c>
      <c r="B42" s="195">
        <v>6669.0</v>
      </c>
      <c r="C42" s="44" t="s">
        <v>6969</v>
      </c>
      <c r="D42" s="45"/>
      <c r="E42" s="275"/>
      <c r="F42" s="270"/>
      <c r="G42" s="45"/>
      <c r="H42" s="30">
        <v>1.0</v>
      </c>
      <c r="I42" s="21"/>
      <c r="J42" s="30"/>
      <c r="K42" s="312" t="s">
        <v>7013</v>
      </c>
      <c r="L42" s="317"/>
      <c r="Q42" s="312" t="s">
        <v>1700</v>
      </c>
      <c r="R42" s="312">
        <v>3689.0</v>
      </c>
      <c r="S42" s="30"/>
      <c r="T42" s="30"/>
    </row>
    <row r="43">
      <c r="A43" s="4" t="s">
        <v>1683</v>
      </c>
      <c r="B43" s="195">
        <v>7031.0</v>
      </c>
      <c r="C43" s="44" t="s">
        <v>6969</v>
      </c>
      <c r="D43" s="45"/>
      <c r="E43" s="275"/>
      <c r="F43" s="270"/>
      <c r="G43" s="45"/>
      <c r="H43" s="30">
        <v>1.0</v>
      </c>
      <c r="I43" s="21"/>
      <c r="J43" s="30"/>
      <c r="K43" s="312" t="s">
        <v>7014</v>
      </c>
      <c r="L43" s="97">
        <v>3607.0</v>
      </c>
      <c r="Q43" s="312" t="s">
        <v>1701</v>
      </c>
      <c r="R43" s="312">
        <v>10856.0</v>
      </c>
      <c r="S43" s="30"/>
      <c r="T43" s="30"/>
    </row>
    <row r="44">
      <c r="A44" s="4" t="s">
        <v>1684</v>
      </c>
      <c r="B44" s="65"/>
      <c r="C44" s="44" t="s">
        <v>6969</v>
      </c>
      <c r="D44" s="45"/>
      <c r="E44" s="275"/>
      <c r="F44" s="270"/>
      <c r="G44" s="45"/>
      <c r="H44" s="30">
        <v>1.0</v>
      </c>
      <c r="I44" s="21"/>
      <c r="J44" s="30"/>
      <c r="K44" s="312" t="s">
        <v>7015</v>
      </c>
      <c r="L44" s="97">
        <v>3607.0</v>
      </c>
      <c r="Q44" s="312" t="s">
        <v>1702</v>
      </c>
      <c r="R44" s="312">
        <v>7100.0</v>
      </c>
      <c r="S44" s="30"/>
      <c r="T44" s="30"/>
    </row>
    <row r="45">
      <c r="A45" s="4" t="s">
        <v>1685</v>
      </c>
      <c r="B45" s="65"/>
      <c r="C45" s="44" t="s">
        <v>6969</v>
      </c>
      <c r="D45" s="45"/>
      <c r="E45" s="275"/>
      <c r="F45" s="270"/>
      <c r="G45" s="45"/>
      <c r="H45" s="30">
        <v>1.0</v>
      </c>
      <c r="I45" s="21"/>
      <c r="J45" s="30"/>
      <c r="K45" s="312" t="s">
        <v>7016</v>
      </c>
      <c r="L45" s="97">
        <v>7055.0</v>
      </c>
      <c r="Q45" s="312" t="s">
        <v>1703</v>
      </c>
      <c r="R45" s="312">
        <v>189.0</v>
      </c>
      <c r="S45" s="30"/>
      <c r="T45" s="30"/>
    </row>
    <row r="46">
      <c r="A46" s="4" t="s">
        <v>1686</v>
      </c>
      <c r="B46" s="195">
        <v>6132.0</v>
      </c>
      <c r="C46" s="44" t="s">
        <v>6969</v>
      </c>
      <c r="D46" s="45"/>
      <c r="E46" s="275"/>
      <c r="F46" s="270"/>
      <c r="G46" s="45"/>
      <c r="H46" s="34" t="e">
        <v>#N/A</v>
      </c>
      <c r="I46" s="21"/>
      <c r="J46" s="30"/>
      <c r="K46" s="312" t="s">
        <v>7017</v>
      </c>
      <c r="L46" s="97">
        <v>6658.0</v>
      </c>
      <c r="Q46" s="313" t="s">
        <v>1704</v>
      </c>
      <c r="R46" s="313">
        <v>189.0</v>
      </c>
      <c r="S46" s="34"/>
      <c r="T46" s="34"/>
    </row>
    <row r="47">
      <c r="A47" s="4" t="s">
        <v>1687</v>
      </c>
      <c r="B47" s="195">
        <v>14575.0</v>
      </c>
      <c r="C47" s="44" t="s">
        <v>6969</v>
      </c>
      <c r="D47" s="45"/>
      <c r="E47" s="275"/>
      <c r="F47" s="270"/>
      <c r="G47" s="45"/>
      <c r="H47" s="34" t="e">
        <v>#N/A</v>
      </c>
      <c r="I47" s="21"/>
      <c r="J47" s="30"/>
      <c r="K47" s="312" t="s">
        <v>7018</v>
      </c>
      <c r="L47" s="317"/>
      <c r="Q47" s="313" t="s">
        <v>1705</v>
      </c>
      <c r="R47" s="313">
        <v>189.0</v>
      </c>
      <c r="S47" s="34"/>
      <c r="T47" s="34"/>
    </row>
    <row r="48">
      <c r="A48" s="4" t="s">
        <v>1688</v>
      </c>
      <c r="B48" s="195">
        <v>6132.0</v>
      </c>
      <c r="C48" s="44" t="s">
        <v>6969</v>
      </c>
      <c r="D48" s="45"/>
      <c r="E48" s="275"/>
      <c r="F48" s="270"/>
      <c r="G48" s="45"/>
      <c r="H48" s="30">
        <v>1.0</v>
      </c>
      <c r="I48" s="21"/>
      <c r="J48" s="30"/>
      <c r="K48" s="312" t="s">
        <v>7019</v>
      </c>
      <c r="L48" s="317"/>
      <c r="Q48" s="312" t="s">
        <v>1706</v>
      </c>
      <c r="R48" s="312">
        <v>189.0</v>
      </c>
      <c r="S48" s="30"/>
      <c r="T48" s="30"/>
    </row>
    <row r="49">
      <c r="A49" s="4" t="s">
        <v>1689</v>
      </c>
      <c r="B49" s="65"/>
      <c r="C49" s="44" t="s">
        <v>6969</v>
      </c>
      <c r="D49" s="45"/>
      <c r="E49" s="275"/>
      <c r="F49" s="270"/>
      <c r="G49" s="45"/>
      <c r="H49" s="30">
        <v>1.0</v>
      </c>
      <c r="I49" s="21"/>
      <c r="J49" s="30"/>
      <c r="K49" s="312" t="s">
        <v>7020</v>
      </c>
      <c r="L49" s="97">
        <v>7283.0</v>
      </c>
      <c r="Q49" s="312" t="s">
        <v>1707</v>
      </c>
      <c r="R49" s="312">
        <v>986.0</v>
      </c>
      <c r="S49" s="318">
        <v>7083.0</v>
      </c>
      <c r="T49" s="30"/>
    </row>
    <row r="50">
      <c r="A50" s="4" t="s">
        <v>1690</v>
      </c>
      <c r="B50" s="65"/>
      <c r="C50" s="44" t="s">
        <v>6969</v>
      </c>
      <c r="D50" s="45"/>
      <c r="E50" s="275"/>
      <c r="F50" s="270"/>
      <c r="G50" s="45"/>
      <c r="H50" s="30">
        <v>1.0</v>
      </c>
      <c r="I50" s="21"/>
      <c r="J50" s="30"/>
      <c r="K50" s="312" t="s">
        <v>7021</v>
      </c>
      <c r="L50" s="317"/>
      <c r="Q50" s="312" t="s">
        <v>1708</v>
      </c>
      <c r="R50" s="312">
        <v>189.0</v>
      </c>
      <c r="S50" s="30"/>
      <c r="T50" s="30"/>
    </row>
    <row r="51">
      <c r="A51" s="4" t="s">
        <v>1692</v>
      </c>
      <c r="B51" s="65"/>
      <c r="C51" s="44" t="s">
        <v>6969</v>
      </c>
      <c r="D51" s="45"/>
      <c r="E51" s="275"/>
      <c r="F51" s="270"/>
      <c r="G51" s="45"/>
      <c r="H51" s="30">
        <v>1.0</v>
      </c>
      <c r="I51" s="21"/>
      <c r="J51" s="30"/>
      <c r="K51" s="312" t="s">
        <v>7022</v>
      </c>
      <c r="L51" s="97">
        <v>2345.0</v>
      </c>
      <c r="Q51" s="312" t="s">
        <v>1721</v>
      </c>
      <c r="R51" s="312">
        <v>3307.0</v>
      </c>
      <c r="S51" s="30"/>
      <c r="T51" s="30"/>
    </row>
    <row r="52">
      <c r="A52" s="4" t="s">
        <v>1693</v>
      </c>
      <c r="B52" s="65"/>
      <c r="C52" s="44" t="s">
        <v>6969</v>
      </c>
      <c r="D52" s="45"/>
      <c r="E52" s="275"/>
      <c r="F52" s="270"/>
      <c r="G52" s="45"/>
      <c r="H52" s="34" t="e">
        <v>#N/A</v>
      </c>
      <c r="I52" s="21"/>
      <c r="J52" s="30"/>
      <c r="K52" s="312" t="s">
        <v>7023</v>
      </c>
      <c r="L52" s="317"/>
      <c r="Q52" s="313" t="s">
        <v>1722</v>
      </c>
      <c r="R52" s="313">
        <v>6903.0</v>
      </c>
      <c r="S52" s="34"/>
      <c r="T52" s="34"/>
    </row>
    <row r="53">
      <c r="A53" s="4" t="s">
        <v>1694</v>
      </c>
      <c r="B53" s="195">
        <v>7416.0</v>
      </c>
      <c r="C53" s="44" t="s">
        <v>6969</v>
      </c>
      <c r="D53" s="45"/>
      <c r="E53" s="275"/>
      <c r="F53" s="270"/>
      <c r="G53" s="45"/>
      <c r="H53" s="34" t="e">
        <v>#N/A</v>
      </c>
      <c r="I53" s="21"/>
      <c r="J53" s="30"/>
      <c r="K53" s="312" t="s">
        <v>7024</v>
      </c>
      <c r="L53" s="317"/>
      <c r="Q53" s="313" t="s">
        <v>1723</v>
      </c>
      <c r="R53" s="313">
        <v>6463.0</v>
      </c>
      <c r="S53" s="34"/>
      <c r="T53" s="34"/>
    </row>
    <row r="54">
      <c r="A54" s="4" t="s">
        <v>1695</v>
      </c>
      <c r="B54" s="195">
        <v>6903.0</v>
      </c>
      <c r="C54" s="44" t="s">
        <v>6969</v>
      </c>
      <c r="D54" s="45"/>
      <c r="E54" s="275"/>
      <c r="F54" s="270"/>
      <c r="G54" s="45"/>
      <c r="H54" s="30">
        <v>1.0</v>
      </c>
      <c r="I54" s="21"/>
      <c r="J54" s="30"/>
      <c r="K54" s="312" t="s">
        <v>7025</v>
      </c>
      <c r="L54" s="97">
        <v>7137.0</v>
      </c>
      <c r="Q54" s="312" t="s">
        <v>1724</v>
      </c>
      <c r="R54" s="312">
        <v>7326.0</v>
      </c>
      <c r="S54" s="30"/>
      <c r="T54" s="30"/>
    </row>
    <row r="55">
      <c r="A55" s="4" t="s">
        <v>1696</v>
      </c>
      <c r="B55" s="195">
        <v>499.0</v>
      </c>
      <c r="C55" s="44" t="s">
        <v>6969</v>
      </c>
      <c r="D55" s="45"/>
      <c r="E55" s="275"/>
      <c r="F55" s="270"/>
      <c r="G55" s="45"/>
      <c r="H55" s="34" t="e">
        <v>#N/A</v>
      </c>
      <c r="I55" s="21"/>
      <c r="J55" s="30"/>
      <c r="K55" s="312" t="s">
        <v>7026</v>
      </c>
      <c r="L55" s="97">
        <v>2345.0</v>
      </c>
      <c r="Q55" s="313" t="s">
        <v>3713</v>
      </c>
      <c r="R55" s="313">
        <v>6785.0</v>
      </c>
      <c r="S55" s="34"/>
      <c r="T55" s="34"/>
    </row>
    <row r="56">
      <c r="A56" s="4" t="s">
        <v>1697</v>
      </c>
      <c r="B56" s="195">
        <v>7010.0</v>
      </c>
      <c r="C56" s="44" t="s">
        <v>6969</v>
      </c>
      <c r="D56" s="45"/>
      <c r="E56" s="275"/>
      <c r="F56" s="270"/>
      <c r="G56" s="45"/>
      <c r="H56" s="30">
        <v>1.0</v>
      </c>
      <c r="I56" s="21"/>
      <c r="J56" s="30"/>
      <c r="K56" s="312" t="s">
        <v>7027</v>
      </c>
      <c r="L56" s="97">
        <v>2345.0</v>
      </c>
      <c r="Q56" s="312" t="s">
        <v>1710</v>
      </c>
      <c r="R56" s="312">
        <v>6557.0</v>
      </c>
      <c r="S56" s="30"/>
      <c r="T56" s="30"/>
    </row>
    <row r="57">
      <c r="A57" s="4" t="s">
        <v>1719</v>
      </c>
      <c r="B57" s="195">
        <v>7010.0</v>
      </c>
      <c r="C57" s="44" t="s">
        <v>6969</v>
      </c>
      <c r="D57" s="45"/>
      <c r="E57" s="275"/>
      <c r="F57" s="270"/>
      <c r="G57" s="45"/>
      <c r="H57" s="34" t="e">
        <v>#N/A</v>
      </c>
      <c r="I57" s="21"/>
      <c r="J57" s="30"/>
      <c r="K57" s="312" t="s">
        <v>7028</v>
      </c>
      <c r="L57" s="97">
        <v>2345.0</v>
      </c>
      <c r="Q57" s="313" t="s">
        <v>1711</v>
      </c>
      <c r="R57" s="313">
        <v>11708.0</v>
      </c>
      <c r="S57" s="34"/>
      <c r="T57" s="34"/>
    </row>
    <row r="58">
      <c r="A58" s="4" t="s">
        <v>1720</v>
      </c>
      <c r="B58" s="195">
        <v>6772.0</v>
      </c>
      <c r="C58" s="44" t="s">
        <v>6969</v>
      </c>
      <c r="D58" s="45"/>
      <c r="E58" s="275"/>
      <c r="F58" s="270"/>
      <c r="G58" s="45"/>
      <c r="H58" s="34" t="e">
        <v>#N/A</v>
      </c>
      <c r="I58" s="21"/>
      <c r="J58" s="30"/>
      <c r="K58" s="312" t="s">
        <v>7029</v>
      </c>
      <c r="L58" s="97">
        <v>2345.0</v>
      </c>
      <c r="Q58" s="313" t="s">
        <v>3714</v>
      </c>
      <c r="R58" s="313">
        <v>6927.0</v>
      </c>
      <c r="S58" s="34"/>
      <c r="T58" s="34"/>
    </row>
    <row r="59">
      <c r="A59" s="4" t="s">
        <v>1698</v>
      </c>
      <c r="B59" s="65"/>
      <c r="C59" s="44" t="s">
        <v>6969</v>
      </c>
      <c r="D59" s="45"/>
      <c r="E59" s="275"/>
      <c r="F59" s="270"/>
      <c r="G59" s="45"/>
      <c r="H59" s="30">
        <v>1.0</v>
      </c>
      <c r="I59" s="21"/>
      <c r="J59" s="30"/>
      <c r="K59" s="312" t="s">
        <v>7030</v>
      </c>
      <c r="L59" s="97">
        <v>2345.0</v>
      </c>
      <c r="Q59" s="312" t="s">
        <v>1713</v>
      </c>
      <c r="R59" s="312">
        <v>1130.0</v>
      </c>
      <c r="S59" s="30"/>
      <c r="T59" s="30"/>
    </row>
    <row r="60">
      <c r="A60" s="4" t="s">
        <v>1699</v>
      </c>
      <c r="B60" s="7"/>
      <c r="C60" s="44" t="s">
        <v>6969</v>
      </c>
      <c r="D60" s="45"/>
      <c r="E60" s="275"/>
      <c r="F60" s="270"/>
      <c r="G60" s="45"/>
      <c r="H60" s="34" t="e">
        <v>#N/A</v>
      </c>
      <c r="I60" s="21"/>
      <c r="J60" s="30"/>
      <c r="K60" s="312" t="s">
        <v>7031</v>
      </c>
      <c r="L60" s="317"/>
      <c r="Q60" s="313" t="s">
        <v>3715</v>
      </c>
      <c r="R60" s="313">
        <v>6989.0</v>
      </c>
      <c r="S60" s="34"/>
      <c r="T60" s="34"/>
    </row>
    <row r="61">
      <c r="A61" s="4" t="s">
        <v>1700</v>
      </c>
      <c r="B61" s="65"/>
      <c r="C61" s="44" t="s">
        <v>6969</v>
      </c>
      <c r="D61" s="45"/>
      <c r="E61" s="275"/>
      <c r="F61" s="270"/>
      <c r="G61" s="45"/>
      <c r="H61" s="34" t="e">
        <v>#N/A</v>
      </c>
      <c r="I61" s="21"/>
      <c r="J61" s="30"/>
      <c r="K61" s="312" t="s">
        <v>7032</v>
      </c>
      <c r="L61" s="97">
        <v>7010.0</v>
      </c>
      <c r="Q61" s="313" t="s">
        <v>3716</v>
      </c>
      <c r="R61" s="313">
        <v>11104.0</v>
      </c>
      <c r="S61" s="34"/>
      <c r="T61" s="34"/>
    </row>
    <row r="62">
      <c r="A62" s="4" t="s">
        <v>1701</v>
      </c>
      <c r="B62" s="65"/>
      <c r="C62" s="44" t="s">
        <v>6969</v>
      </c>
      <c r="D62" s="45"/>
      <c r="E62" s="275"/>
      <c r="F62" s="270"/>
      <c r="G62" s="45"/>
      <c r="H62" s="34" t="e">
        <v>#N/A</v>
      </c>
      <c r="I62" s="21"/>
      <c r="J62" s="30"/>
      <c r="K62" s="312" t="s">
        <v>7033</v>
      </c>
      <c r="L62" s="97">
        <v>6732.0</v>
      </c>
      <c r="Q62" s="313" t="s">
        <v>3717</v>
      </c>
      <c r="R62" s="313">
        <v>12550.0</v>
      </c>
      <c r="S62" s="34"/>
      <c r="T62" s="34"/>
    </row>
    <row r="63">
      <c r="A63" s="4" t="s">
        <v>1702</v>
      </c>
      <c r="B63" s="195">
        <v>6668.0</v>
      </c>
      <c r="C63" s="44" t="s">
        <v>6969</v>
      </c>
      <c r="D63" s="45"/>
      <c r="E63" s="275"/>
      <c r="F63" s="270"/>
      <c r="G63" s="45"/>
      <c r="H63" s="34" t="e">
        <v>#N/A</v>
      </c>
      <c r="I63" s="21"/>
      <c r="J63" s="30"/>
      <c r="K63" s="312" t="s">
        <v>7034</v>
      </c>
      <c r="L63" s="97">
        <v>6732.0</v>
      </c>
      <c r="Q63" s="313" t="s">
        <v>3718</v>
      </c>
      <c r="R63" s="313">
        <v>7023.0</v>
      </c>
      <c r="S63" s="34"/>
      <c r="T63" s="34"/>
    </row>
    <row r="64">
      <c r="A64" s="4" t="s">
        <v>1703</v>
      </c>
      <c r="B64" s="195">
        <v>6668.0</v>
      </c>
      <c r="C64" s="44" t="s">
        <v>6969</v>
      </c>
      <c r="D64" s="45"/>
      <c r="E64" s="275"/>
      <c r="F64" s="270"/>
      <c r="G64" s="45"/>
      <c r="H64" s="30">
        <v>1.0</v>
      </c>
      <c r="I64" s="21"/>
      <c r="J64" s="30"/>
      <c r="K64" s="312" t="s">
        <v>7035</v>
      </c>
      <c r="L64" s="97">
        <v>6732.0</v>
      </c>
      <c r="Q64" s="312" t="s">
        <v>3719</v>
      </c>
      <c r="R64" s="312">
        <v>3381.0</v>
      </c>
      <c r="S64" s="30"/>
      <c r="T64" s="30"/>
    </row>
    <row r="65">
      <c r="A65" s="4" t="s">
        <v>1704</v>
      </c>
      <c r="B65" s="65"/>
      <c r="C65" s="44" t="s">
        <v>6969</v>
      </c>
      <c r="D65" s="45"/>
      <c r="E65" s="275"/>
      <c r="F65" s="270"/>
      <c r="G65" s="45"/>
      <c r="H65" s="34" t="e">
        <v>#N/A</v>
      </c>
      <c r="I65" s="21"/>
      <c r="J65" s="30"/>
      <c r="K65" s="312" t="s">
        <v>7036</v>
      </c>
      <c r="L65" s="97">
        <v>6732.0</v>
      </c>
      <c r="Q65" s="313" t="s">
        <v>3720</v>
      </c>
      <c r="R65" s="313">
        <v>12278.0</v>
      </c>
      <c r="S65" s="34"/>
      <c r="T65" s="34"/>
    </row>
    <row r="66">
      <c r="A66" s="4" t="s">
        <v>1705</v>
      </c>
      <c r="B66" s="65"/>
      <c r="C66" s="44" t="s">
        <v>6969</v>
      </c>
      <c r="D66" s="45"/>
      <c r="E66" s="275"/>
      <c r="F66" s="270"/>
      <c r="G66" s="45"/>
      <c r="H66" s="30">
        <v>1.0</v>
      </c>
      <c r="I66" s="21"/>
      <c r="J66" s="30"/>
      <c r="K66" s="312" t="s">
        <v>7037</v>
      </c>
      <c r="L66" s="97">
        <v>6779.0</v>
      </c>
      <c r="Q66" s="312" t="s">
        <v>3721</v>
      </c>
      <c r="R66" s="312">
        <v>315.0</v>
      </c>
      <c r="S66" s="30"/>
      <c r="T66" s="30"/>
    </row>
    <row r="67">
      <c r="A67" s="4" t="s">
        <v>1706</v>
      </c>
      <c r="B67" s="65"/>
      <c r="C67" s="44" t="s">
        <v>6969</v>
      </c>
      <c r="D67" s="45"/>
      <c r="E67" s="275"/>
      <c r="F67" s="270"/>
      <c r="G67" s="45"/>
      <c r="H67" s="34" t="e">
        <v>#N/A</v>
      </c>
      <c r="I67" s="21"/>
      <c r="J67" s="30"/>
      <c r="K67" s="312" t="s">
        <v>7038</v>
      </c>
      <c r="L67" s="97">
        <v>2345.0</v>
      </c>
      <c r="Q67" s="313" t="s">
        <v>3722</v>
      </c>
      <c r="R67" s="313">
        <v>7003.0</v>
      </c>
      <c r="S67" s="34"/>
      <c r="T67" s="34"/>
    </row>
    <row r="68">
      <c r="A68" s="4" t="s">
        <v>1707</v>
      </c>
      <c r="B68" s="195">
        <v>12388.0</v>
      </c>
      <c r="C68" s="44" t="s">
        <v>6969</v>
      </c>
      <c r="D68" s="45"/>
      <c r="E68" s="275"/>
      <c r="F68" s="270"/>
      <c r="G68" s="45"/>
      <c r="H68" s="34" t="e">
        <v>#N/A</v>
      </c>
      <c r="I68" s="30"/>
      <c r="J68" s="30"/>
      <c r="K68" s="312" t="s">
        <v>7039</v>
      </c>
      <c r="L68" s="97">
        <v>6732.0</v>
      </c>
      <c r="Q68" s="313" t="s">
        <v>3723</v>
      </c>
      <c r="R68" s="313">
        <v>6802.0</v>
      </c>
      <c r="S68" s="34"/>
      <c r="T68" s="34"/>
    </row>
    <row r="69">
      <c r="A69" s="4" t="s">
        <v>1708</v>
      </c>
      <c r="B69" s="65"/>
      <c r="C69" s="44" t="s">
        <v>6969</v>
      </c>
      <c r="D69" s="45"/>
      <c r="E69" s="275"/>
      <c r="F69" s="270"/>
      <c r="G69" s="45"/>
      <c r="H69" s="34" t="e">
        <v>#N/A</v>
      </c>
      <c r="I69" s="30"/>
      <c r="J69" s="30"/>
      <c r="K69" s="312" t="s">
        <v>7040</v>
      </c>
      <c r="L69" s="317"/>
      <c r="Q69" s="313" t="s">
        <v>3724</v>
      </c>
      <c r="R69" s="313">
        <v>283.0</v>
      </c>
      <c r="S69" s="34"/>
      <c r="T69" s="34"/>
    </row>
    <row r="70">
      <c r="A70" s="4" t="s">
        <v>1721</v>
      </c>
      <c r="B70" s="195">
        <v>7033.0</v>
      </c>
      <c r="C70" s="44" t="s">
        <v>6969</v>
      </c>
      <c r="D70" s="45"/>
      <c r="E70" s="275"/>
      <c r="F70" s="270"/>
      <c r="G70" s="45"/>
      <c r="H70" s="30">
        <v>1.0</v>
      </c>
      <c r="I70" s="30"/>
      <c r="J70" s="30"/>
      <c r="K70" s="312" t="s">
        <v>7041</v>
      </c>
      <c r="L70" s="317"/>
      <c r="Q70" s="312" t="s">
        <v>3725</v>
      </c>
      <c r="R70" s="312">
        <v>6706.0</v>
      </c>
      <c r="S70" s="30"/>
      <c r="T70" s="30"/>
    </row>
    <row r="71">
      <c r="A71" s="4" t="s">
        <v>1722</v>
      </c>
      <c r="B71" s="65"/>
      <c r="C71" s="44" t="s">
        <v>6969</v>
      </c>
      <c r="D71" s="45"/>
      <c r="E71" s="275"/>
      <c r="F71" s="270"/>
      <c r="G71" s="45"/>
      <c r="H71" s="34" t="e">
        <v>#N/A</v>
      </c>
      <c r="I71" s="30"/>
      <c r="J71" s="30"/>
      <c r="K71" s="312" t="s">
        <v>7042</v>
      </c>
      <c r="L71" s="97">
        <v>189.0</v>
      </c>
      <c r="Q71" s="313" t="s">
        <v>3726</v>
      </c>
      <c r="R71" s="313">
        <v>9307.0</v>
      </c>
      <c r="S71" s="34"/>
      <c r="T71" s="34"/>
    </row>
    <row r="72">
      <c r="A72" s="4" t="s">
        <v>1723</v>
      </c>
      <c r="B72" s="65"/>
      <c r="C72" s="44" t="s">
        <v>6969</v>
      </c>
      <c r="D72" s="45"/>
      <c r="E72" s="275"/>
      <c r="F72" s="270"/>
      <c r="G72" s="45"/>
      <c r="H72" s="34" t="e">
        <v>#N/A</v>
      </c>
      <c r="I72" s="30"/>
      <c r="J72" s="30"/>
      <c r="K72" s="312" t="s">
        <v>7043</v>
      </c>
      <c r="L72" s="317"/>
      <c r="Q72" s="313" t="s">
        <v>3727</v>
      </c>
      <c r="R72" s="313">
        <v>7157.0</v>
      </c>
      <c r="S72" s="34"/>
      <c r="T72" s="34"/>
    </row>
    <row r="73">
      <c r="A73" s="4" t="s">
        <v>1724</v>
      </c>
      <c r="B73" s="65"/>
      <c r="C73" s="44" t="s">
        <v>6969</v>
      </c>
      <c r="D73" s="45"/>
      <c r="E73" s="275"/>
      <c r="F73" s="270"/>
      <c r="G73" s="45"/>
      <c r="H73" s="34" t="e">
        <v>#N/A</v>
      </c>
      <c r="I73" s="30"/>
      <c r="J73" s="30"/>
      <c r="K73" s="312" t="s">
        <v>7044</v>
      </c>
      <c r="L73" s="317"/>
      <c r="Q73" s="313" t="s">
        <v>3728</v>
      </c>
      <c r="R73" s="313">
        <v>12278.0</v>
      </c>
      <c r="S73" s="34"/>
      <c r="T73" s="34"/>
    </row>
    <row r="74">
      <c r="A74" s="4" t="s">
        <v>3713</v>
      </c>
      <c r="B74" s="16">
        <v>14603.0</v>
      </c>
      <c r="C74" s="44" t="s">
        <v>6969</v>
      </c>
      <c r="D74" s="45"/>
      <c r="E74" s="275"/>
      <c r="F74" s="270"/>
      <c r="G74" s="45"/>
      <c r="H74" s="34" t="e">
        <v>#N/A</v>
      </c>
      <c r="I74" s="30"/>
      <c r="J74" s="30"/>
      <c r="K74" s="312" t="s">
        <v>7045</v>
      </c>
      <c r="L74" s="317"/>
      <c r="Q74" s="313" t="s">
        <v>3729</v>
      </c>
      <c r="R74" s="313">
        <v>7142.0</v>
      </c>
      <c r="S74" s="34"/>
      <c r="T74" s="34"/>
    </row>
    <row r="75">
      <c r="A75" s="4" t="s">
        <v>1710</v>
      </c>
      <c r="B75" s="16">
        <v>14603.0</v>
      </c>
      <c r="C75" s="44" t="s">
        <v>6969</v>
      </c>
      <c r="D75" s="45"/>
      <c r="E75" s="275"/>
      <c r="F75" s="270"/>
      <c r="G75" s="45"/>
      <c r="H75" s="34" t="e">
        <v>#N/A</v>
      </c>
      <c r="I75" s="30"/>
      <c r="J75" s="30"/>
      <c r="K75" s="312" t="s">
        <v>7046</v>
      </c>
      <c r="L75" s="317"/>
      <c r="Q75" s="313" t="s">
        <v>3730</v>
      </c>
      <c r="R75" s="313">
        <v>6873.0</v>
      </c>
      <c r="S75" s="34"/>
      <c r="T75" s="34"/>
    </row>
    <row r="76">
      <c r="A76" s="4" t="s">
        <v>1711</v>
      </c>
      <c r="B76" s="16">
        <v>14603.0</v>
      </c>
      <c r="C76" s="44" t="s">
        <v>6969</v>
      </c>
      <c r="D76" s="45"/>
      <c r="E76" s="275"/>
      <c r="F76" s="270"/>
      <c r="G76" s="45"/>
      <c r="H76" s="34" t="e">
        <v>#N/A</v>
      </c>
      <c r="I76" s="30"/>
      <c r="J76" s="30"/>
      <c r="K76" s="312" t="s">
        <v>7047</v>
      </c>
      <c r="L76" s="97">
        <v>189.0</v>
      </c>
      <c r="Q76" s="313" t="s">
        <v>3731</v>
      </c>
      <c r="R76" s="313">
        <v>10393.0</v>
      </c>
      <c r="S76" s="34"/>
      <c r="T76" s="34"/>
    </row>
    <row r="77">
      <c r="A77" s="4" t="s">
        <v>3714</v>
      </c>
      <c r="B77" s="16">
        <v>14603.0</v>
      </c>
      <c r="C77" s="44" t="s">
        <v>6969</v>
      </c>
      <c r="D77" s="45"/>
      <c r="E77" s="45"/>
      <c r="F77" s="45"/>
      <c r="G77" s="45"/>
      <c r="H77" s="34" t="e">
        <v>#N/A</v>
      </c>
      <c r="I77" s="30"/>
      <c r="J77" s="30"/>
      <c r="K77" s="312" t="s">
        <v>7048</v>
      </c>
      <c r="L77" s="97">
        <v>189.0</v>
      </c>
      <c r="Q77" s="313" t="s">
        <v>3732</v>
      </c>
      <c r="R77" s="109">
        <v>2644.0</v>
      </c>
      <c r="S77" s="34"/>
      <c r="T77" s="34"/>
    </row>
    <row r="78">
      <c r="A78" s="4" t="s">
        <v>1713</v>
      </c>
      <c r="B78" s="16">
        <v>14603.0</v>
      </c>
      <c r="C78" s="44" t="s">
        <v>6969</v>
      </c>
      <c r="D78" s="45"/>
      <c r="E78" s="45"/>
      <c r="F78" s="45"/>
      <c r="G78" s="45"/>
      <c r="H78" s="30">
        <v>1.0</v>
      </c>
      <c r="I78" s="30"/>
      <c r="J78" s="30"/>
      <c r="K78" s="312" t="s">
        <v>7049</v>
      </c>
      <c r="L78" s="97">
        <v>189.0</v>
      </c>
      <c r="Q78" s="312" t="s">
        <v>3733</v>
      </c>
      <c r="R78" s="312">
        <v>11875.0</v>
      </c>
      <c r="S78" s="30"/>
      <c r="T78" s="30"/>
    </row>
    <row r="79">
      <c r="A79" s="4" t="s">
        <v>3715</v>
      </c>
      <c r="B79" s="16">
        <v>14603.0</v>
      </c>
      <c r="C79" s="44" t="s">
        <v>6969</v>
      </c>
      <c r="D79" s="45"/>
      <c r="E79" s="45"/>
      <c r="F79" s="45"/>
      <c r="G79" s="45"/>
      <c r="H79" s="34" t="e">
        <v>#N/A</v>
      </c>
      <c r="I79" s="30"/>
      <c r="J79" s="30"/>
      <c r="K79" s="312" t="s">
        <v>7050</v>
      </c>
      <c r="L79" s="97">
        <v>6772.0</v>
      </c>
      <c r="Q79" s="313" t="s">
        <v>3734</v>
      </c>
      <c r="R79" s="98">
        <v>7227.0</v>
      </c>
      <c r="S79" s="34"/>
      <c r="T79" s="34"/>
    </row>
    <row r="80">
      <c r="A80" s="4" t="s">
        <v>3716</v>
      </c>
      <c r="B80" s="16">
        <v>14603.0</v>
      </c>
      <c r="C80" s="44" t="s">
        <v>6969</v>
      </c>
      <c r="D80" s="45"/>
      <c r="E80" s="45"/>
      <c r="F80" s="45"/>
      <c r="G80" s="45"/>
      <c r="H80" s="34" t="e">
        <v>#N/A</v>
      </c>
      <c r="I80" s="30"/>
      <c r="J80" s="30"/>
      <c r="K80" s="312" t="s">
        <v>7051</v>
      </c>
      <c r="L80" s="317"/>
      <c r="Q80" s="313" t="s">
        <v>3735</v>
      </c>
      <c r="R80" s="98">
        <v>7227.0</v>
      </c>
      <c r="S80" s="34"/>
      <c r="T80" s="34"/>
    </row>
    <row r="81">
      <c r="A81" s="4" t="s">
        <v>3717</v>
      </c>
      <c r="B81" s="16">
        <v>14603.0</v>
      </c>
      <c r="C81" s="44" t="s">
        <v>6969</v>
      </c>
      <c r="D81" s="45"/>
      <c r="E81" s="45"/>
      <c r="F81" s="45"/>
      <c r="G81" s="45"/>
      <c r="H81" s="34" t="e">
        <v>#N/A</v>
      </c>
      <c r="I81" s="30"/>
      <c r="J81" s="30"/>
      <c r="K81" s="312" t="s">
        <v>7052</v>
      </c>
      <c r="L81" s="97">
        <v>7142.0</v>
      </c>
      <c r="Q81" s="313" t="s">
        <v>3736</v>
      </c>
      <c r="R81" s="98">
        <v>7227.0</v>
      </c>
      <c r="S81" s="34"/>
      <c r="T81" s="34"/>
    </row>
    <row r="82">
      <c r="A82" s="4" t="s">
        <v>3718</v>
      </c>
      <c r="B82" s="16">
        <v>14603.0</v>
      </c>
      <c r="C82" s="44" t="s">
        <v>6969</v>
      </c>
      <c r="D82" s="45"/>
      <c r="E82" s="45"/>
      <c r="F82" s="45"/>
      <c r="G82" s="45"/>
      <c r="H82" s="34" t="e">
        <v>#N/A</v>
      </c>
      <c r="I82" s="30"/>
      <c r="J82" s="30"/>
      <c r="K82" s="312" t="s">
        <v>7053</v>
      </c>
      <c r="L82" s="317"/>
      <c r="Q82" s="313" t="s">
        <v>3737</v>
      </c>
      <c r="R82" s="98">
        <v>7227.0</v>
      </c>
      <c r="S82" s="34"/>
      <c r="T82" s="34"/>
    </row>
    <row r="83">
      <c r="A83" s="4" t="s">
        <v>3719</v>
      </c>
      <c r="B83" s="16">
        <v>14603.0</v>
      </c>
      <c r="C83" s="44" t="s">
        <v>6969</v>
      </c>
      <c r="D83" s="45"/>
      <c r="E83" s="45"/>
      <c r="F83" s="45"/>
      <c r="G83" s="45"/>
      <c r="H83" s="34" t="e">
        <v>#N/A</v>
      </c>
      <c r="I83" s="30"/>
      <c r="J83" s="30"/>
      <c r="K83" s="312" t="s">
        <v>7054</v>
      </c>
      <c r="L83" s="317"/>
      <c r="Q83" s="313" t="s">
        <v>3738</v>
      </c>
      <c r="R83" s="98">
        <v>7227.0</v>
      </c>
      <c r="S83" s="34"/>
      <c r="T83" s="34"/>
    </row>
    <row r="84">
      <c r="A84" s="4" t="s">
        <v>3720</v>
      </c>
      <c r="B84" s="195">
        <v>14646.0</v>
      </c>
      <c r="C84" s="44" t="s">
        <v>6969</v>
      </c>
      <c r="D84" s="45"/>
      <c r="E84" s="45"/>
      <c r="F84" s="45"/>
      <c r="G84" s="45"/>
      <c r="H84" s="30">
        <v>1.0</v>
      </c>
      <c r="I84" s="30"/>
      <c r="J84" s="30"/>
      <c r="K84" s="312" t="s">
        <v>7055</v>
      </c>
      <c r="L84" s="97">
        <v>7227.0</v>
      </c>
      <c r="Q84" s="312" t="s">
        <v>3739</v>
      </c>
      <c r="R84" s="97">
        <v>7227.0</v>
      </c>
      <c r="S84" s="30"/>
      <c r="T84" s="30"/>
    </row>
    <row r="85">
      <c r="A85" s="4" t="s">
        <v>3721</v>
      </c>
      <c r="B85" s="65"/>
      <c r="C85" s="44" t="s">
        <v>6969</v>
      </c>
      <c r="D85" s="45"/>
      <c r="E85" s="45"/>
      <c r="F85" s="45"/>
      <c r="G85" s="45"/>
      <c r="H85" s="34" t="e">
        <v>#N/A</v>
      </c>
      <c r="I85" s="30"/>
      <c r="J85" s="30"/>
      <c r="K85" s="312" t="s">
        <v>7056</v>
      </c>
      <c r="L85" s="97">
        <v>7227.0</v>
      </c>
      <c r="Q85" s="313" t="s">
        <v>3740</v>
      </c>
      <c r="R85" s="98">
        <v>7227.0</v>
      </c>
      <c r="S85" s="34"/>
      <c r="T85" s="34"/>
    </row>
    <row r="86">
      <c r="A86" s="4" t="s">
        <v>3722</v>
      </c>
      <c r="B86" s="65"/>
      <c r="C86" s="44" t="s">
        <v>6969</v>
      </c>
      <c r="D86" s="45"/>
      <c r="E86" s="45"/>
      <c r="F86" s="45"/>
      <c r="G86" s="45"/>
      <c r="H86" s="34" t="e">
        <v>#N/A</v>
      </c>
      <c r="I86" s="30"/>
      <c r="J86" s="30"/>
      <c r="K86" s="312" t="s">
        <v>7057</v>
      </c>
      <c r="L86" s="97">
        <v>7227.0</v>
      </c>
      <c r="Q86" s="313" t="s">
        <v>3741</v>
      </c>
      <c r="R86" s="98">
        <v>7227.0</v>
      </c>
      <c r="S86" s="34"/>
      <c r="T86" s="34"/>
    </row>
    <row r="87">
      <c r="A87" s="4" t="s">
        <v>3723</v>
      </c>
      <c r="B87" s="65"/>
      <c r="C87" s="44" t="s">
        <v>6969</v>
      </c>
      <c r="D87" s="45"/>
      <c r="E87" s="45"/>
      <c r="F87" s="45"/>
      <c r="G87" s="45"/>
      <c r="H87" s="34" t="e">
        <v>#N/A</v>
      </c>
      <c r="I87" s="30"/>
      <c r="J87" s="30"/>
      <c r="K87" s="312" t="s">
        <v>7058</v>
      </c>
      <c r="L87" s="97">
        <v>7227.0</v>
      </c>
      <c r="Q87" s="313" t="s">
        <v>3742</v>
      </c>
      <c r="R87" s="98">
        <v>7227.0</v>
      </c>
      <c r="S87" s="34"/>
      <c r="T87" s="34"/>
    </row>
    <row r="88">
      <c r="A88" s="4" t="s">
        <v>3724</v>
      </c>
      <c r="B88" s="65"/>
      <c r="C88" s="44" t="s">
        <v>6969</v>
      </c>
      <c r="D88" s="274"/>
      <c r="E88" s="45"/>
      <c r="F88" s="45"/>
      <c r="G88" s="45"/>
      <c r="H88" s="34" t="e">
        <v>#N/A</v>
      </c>
      <c r="I88" s="30"/>
      <c r="J88" s="30"/>
      <c r="K88" s="312" t="s">
        <v>7059</v>
      </c>
      <c r="L88" s="97">
        <v>7227.0</v>
      </c>
      <c r="Q88" s="313" t="s">
        <v>3743</v>
      </c>
      <c r="R88" s="98">
        <v>7227.0</v>
      </c>
      <c r="S88" s="34"/>
      <c r="T88" s="34"/>
    </row>
    <row r="89">
      <c r="A89" s="4" t="s">
        <v>3725</v>
      </c>
      <c r="B89" s="65"/>
      <c r="C89" s="44" t="s">
        <v>6969</v>
      </c>
      <c r="D89" s="45"/>
      <c r="E89" s="45"/>
      <c r="F89" s="45"/>
      <c r="G89" s="45"/>
      <c r="H89" s="34" t="e">
        <v>#N/A</v>
      </c>
      <c r="I89" s="30"/>
      <c r="J89" s="30"/>
      <c r="K89" s="312" t="s">
        <v>7060</v>
      </c>
      <c r="L89" s="97">
        <v>7132.0</v>
      </c>
      <c r="Q89" s="313" t="s">
        <v>3744</v>
      </c>
      <c r="R89" s="98">
        <v>7227.0</v>
      </c>
      <c r="S89" s="34"/>
      <c r="T89" s="34"/>
    </row>
    <row r="90">
      <c r="A90" s="4" t="s">
        <v>3726</v>
      </c>
      <c r="B90" s="195">
        <v>3607.0</v>
      </c>
      <c r="C90" s="44" t="s">
        <v>6969</v>
      </c>
      <c r="D90" s="45"/>
      <c r="E90" s="45"/>
      <c r="F90" s="45"/>
      <c r="G90" s="45"/>
      <c r="H90" s="30">
        <v>1.0</v>
      </c>
      <c r="I90" s="30"/>
      <c r="J90" s="30"/>
      <c r="K90" s="312" t="s">
        <v>7061</v>
      </c>
      <c r="L90" s="97">
        <v>7227.0</v>
      </c>
      <c r="Q90" s="312" t="s">
        <v>3745</v>
      </c>
      <c r="R90" s="97">
        <v>7227.0</v>
      </c>
      <c r="S90" s="30"/>
      <c r="T90" s="30"/>
    </row>
    <row r="91">
      <c r="A91" s="4" t="s">
        <v>3727</v>
      </c>
      <c r="B91" s="65"/>
      <c r="C91" s="44" t="s">
        <v>6969</v>
      </c>
      <c r="D91" s="45"/>
      <c r="E91" s="45"/>
      <c r="F91" s="45"/>
      <c r="G91" s="45"/>
      <c r="H91" s="34" t="e">
        <v>#N/A</v>
      </c>
      <c r="I91" s="30"/>
      <c r="J91" s="30"/>
      <c r="K91" s="312" t="s">
        <v>7062</v>
      </c>
      <c r="L91" s="97">
        <v>189.0</v>
      </c>
      <c r="Q91" s="313" t="s">
        <v>3746</v>
      </c>
      <c r="R91" s="98">
        <v>7227.0</v>
      </c>
      <c r="S91" s="34"/>
      <c r="T91" s="34"/>
    </row>
    <row r="92">
      <c r="A92" s="4" t="s">
        <v>3728</v>
      </c>
      <c r="B92" s="65"/>
      <c r="C92" s="44" t="s">
        <v>6969</v>
      </c>
      <c r="D92" s="45"/>
      <c r="E92" s="45"/>
      <c r="F92" s="45"/>
      <c r="G92" s="45"/>
      <c r="H92" s="34" t="e">
        <v>#N/A</v>
      </c>
      <c r="I92" s="30"/>
      <c r="J92" s="30"/>
      <c r="K92" s="312" t="s">
        <v>7063</v>
      </c>
      <c r="L92" s="97">
        <v>7227.0</v>
      </c>
      <c r="Q92" s="313" t="s">
        <v>3747</v>
      </c>
      <c r="R92" s="98">
        <v>7227.0</v>
      </c>
      <c r="S92" s="34"/>
      <c r="T92" s="34"/>
    </row>
    <row r="93">
      <c r="A93" s="4" t="s">
        <v>3729</v>
      </c>
      <c r="B93" s="65"/>
      <c r="C93" s="44" t="s">
        <v>6969</v>
      </c>
      <c r="D93" s="45"/>
      <c r="E93" s="45"/>
      <c r="F93" s="45"/>
      <c r="G93" s="45"/>
      <c r="H93" s="30">
        <v>1.0</v>
      </c>
      <c r="I93" s="30"/>
      <c r="J93" s="30"/>
      <c r="K93" s="312" t="s">
        <v>7064</v>
      </c>
      <c r="L93" s="317"/>
      <c r="M93" s="97">
        <v>7058.0</v>
      </c>
      <c r="Q93" s="312" t="s">
        <v>3748</v>
      </c>
      <c r="R93" s="97">
        <v>7227.0</v>
      </c>
      <c r="S93" s="30"/>
      <c r="T93" s="30"/>
    </row>
    <row r="94">
      <c r="A94" s="4" t="s">
        <v>3730</v>
      </c>
      <c r="B94" s="65"/>
      <c r="C94" s="44" t="s">
        <v>6969</v>
      </c>
      <c r="D94" s="45"/>
      <c r="E94" s="45"/>
      <c r="F94" s="45"/>
      <c r="G94" s="45"/>
      <c r="H94" s="34" t="e">
        <v>#N/A</v>
      </c>
      <c r="I94" s="30"/>
      <c r="J94" s="30"/>
      <c r="K94" s="312" t="s">
        <v>7065</v>
      </c>
      <c r="L94" s="97">
        <v>6133.0</v>
      </c>
      <c r="Q94" s="313" t="s">
        <v>3749</v>
      </c>
      <c r="R94" s="98">
        <v>7227.0</v>
      </c>
      <c r="S94" s="34"/>
      <c r="T94" s="34"/>
    </row>
    <row r="95">
      <c r="A95" s="4" t="s">
        <v>3731</v>
      </c>
      <c r="B95" s="65"/>
      <c r="C95" s="44" t="s">
        <v>6969</v>
      </c>
      <c r="D95" s="45"/>
      <c r="E95" s="45"/>
      <c r="F95" s="45"/>
      <c r="G95" s="45"/>
      <c r="H95" s="30">
        <v>1.0</v>
      </c>
      <c r="I95" s="30"/>
      <c r="J95" s="30"/>
      <c r="K95" s="312" t="s">
        <v>7066</v>
      </c>
      <c r="L95" s="97">
        <v>6133.0</v>
      </c>
      <c r="Q95" s="312" t="s">
        <v>3750</v>
      </c>
      <c r="R95" s="312">
        <v>986.0</v>
      </c>
      <c r="S95" s="30"/>
      <c r="T95" s="30"/>
    </row>
    <row r="96">
      <c r="A96" s="4" t="s">
        <v>3732</v>
      </c>
      <c r="B96" s="65"/>
      <c r="C96" s="44" t="s">
        <v>6969</v>
      </c>
      <c r="D96" s="45"/>
      <c r="E96" s="45"/>
      <c r="F96" s="45"/>
      <c r="G96" s="45"/>
      <c r="H96" s="30">
        <v>1.0</v>
      </c>
      <c r="I96" s="30"/>
      <c r="J96" s="30"/>
      <c r="K96" s="312" t="s">
        <v>7067</v>
      </c>
      <c r="L96" s="97">
        <v>6133.0</v>
      </c>
      <c r="Q96" s="312" t="s">
        <v>3751</v>
      </c>
      <c r="R96" s="312">
        <v>2345.0</v>
      </c>
      <c r="S96" s="30"/>
      <c r="T96" s="30"/>
    </row>
    <row r="97">
      <c r="A97" s="4" t="s">
        <v>3733</v>
      </c>
      <c r="B97" s="65"/>
      <c r="C97" s="44" t="s">
        <v>6969</v>
      </c>
      <c r="D97" s="45"/>
      <c r="E97" s="45"/>
      <c r="F97" s="45"/>
      <c r="G97" s="45"/>
      <c r="H97" s="34" t="e">
        <v>#N/A</v>
      </c>
      <c r="I97" s="30"/>
      <c r="J97" s="30"/>
      <c r="K97" s="312" t="s">
        <v>7068</v>
      </c>
      <c r="L97" s="97">
        <v>7227.0</v>
      </c>
      <c r="Q97" s="313" t="s">
        <v>3752</v>
      </c>
      <c r="R97" s="313">
        <v>2345.0</v>
      </c>
      <c r="S97" s="34"/>
      <c r="T97" s="34"/>
    </row>
    <row r="98">
      <c r="A98" s="4" t="s">
        <v>3734</v>
      </c>
      <c r="B98" s="195">
        <v>6675.0</v>
      </c>
      <c r="C98" s="44" t="s">
        <v>6969</v>
      </c>
      <c r="D98" s="45"/>
      <c r="E98" s="45"/>
      <c r="F98" s="45"/>
      <c r="G98" s="45"/>
      <c r="H98" s="34" t="e">
        <v>#N/A</v>
      </c>
      <c r="I98" s="30"/>
      <c r="J98" s="30"/>
      <c r="K98" s="312" t="s">
        <v>7069</v>
      </c>
      <c r="L98" s="97">
        <v>7227.0</v>
      </c>
      <c r="Q98" s="313" t="s">
        <v>3753</v>
      </c>
      <c r="R98" s="313">
        <v>663.0</v>
      </c>
      <c r="S98" s="34"/>
      <c r="T98" s="34"/>
    </row>
    <row r="99">
      <c r="A99" s="4" t="s">
        <v>3735</v>
      </c>
      <c r="B99" s="65"/>
      <c r="C99" s="44" t="s">
        <v>6969</v>
      </c>
      <c r="D99" s="45"/>
      <c r="E99" s="45"/>
      <c r="F99" s="45"/>
      <c r="G99" s="45"/>
      <c r="H99" s="30">
        <v>1.0</v>
      </c>
      <c r="I99" s="30"/>
      <c r="J99" s="30"/>
      <c r="K99" s="312" t="s">
        <v>7070</v>
      </c>
      <c r="L99" s="97">
        <v>7227.0</v>
      </c>
      <c r="Q99" s="312" t="s">
        <v>3754</v>
      </c>
      <c r="R99" s="312">
        <v>189.0</v>
      </c>
      <c r="S99" s="30"/>
      <c r="T99" s="30"/>
    </row>
    <row r="100">
      <c r="A100" s="4" t="s">
        <v>3736</v>
      </c>
      <c r="B100" s="65"/>
      <c r="C100" s="44" t="s">
        <v>6969</v>
      </c>
      <c r="D100" s="45"/>
      <c r="E100" s="45"/>
      <c r="F100" s="45"/>
      <c r="G100" s="45"/>
      <c r="H100" s="34" t="e">
        <v>#N/A</v>
      </c>
      <c r="I100" s="30"/>
      <c r="J100" s="30"/>
      <c r="K100" s="312" t="s">
        <v>7071</v>
      </c>
      <c r="L100" s="97">
        <v>189.0</v>
      </c>
      <c r="Q100" s="313" t="s">
        <v>3755</v>
      </c>
      <c r="R100" s="313">
        <v>189.0</v>
      </c>
      <c r="S100" s="34"/>
      <c r="T100" s="34"/>
    </row>
    <row r="101">
      <c r="A101" s="4" t="s">
        <v>3737</v>
      </c>
      <c r="B101" s="195">
        <v>6675.0</v>
      </c>
      <c r="C101" s="44" t="s">
        <v>6969</v>
      </c>
      <c r="D101" s="274"/>
      <c r="E101" s="45"/>
      <c r="F101" s="45"/>
      <c r="G101" s="45"/>
      <c r="H101" s="30">
        <v>1.0</v>
      </c>
      <c r="I101" s="30"/>
      <c r="J101" s="30"/>
      <c r="K101" s="312" t="s">
        <v>7072</v>
      </c>
      <c r="L101" s="97">
        <v>7142.0</v>
      </c>
      <c r="Q101" s="312" t="s">
        <v>3758</v>
      </c>
      <c r="R101" s="312">
        <v>189.0</v>
      </c>
      <c r="S101" s="30"/>
      <c r="T101" s="30"/>
    </row>
    <row r="102">
      <c r="A102" s="4" t="s">
        <v>3738</v>
      </c>
      <c r="B102" s="195">
        <v>14465.0</v>
      </c>
      <c r="C102" s="44" t="s">
        <v>6969</v>
      </c>
      <c r="D102" s="45"/>
      <c r="E102" s="45"/>
      <c r="F102" s="45"/>
      <c r="G102" s="45"/>
      <c r="H102" s="30">
        <v>1.0</v>
      </c>
      <c r="I102" s="30"/>
      <c r="J102" s="30"/>
      <c r="K102" s="312" t="s">
        <v>4647</v>
      </c>
      <c r="L102" s="97">
        <v>6675.0</v>
      </c>
      <c r="M102" s="11" t="s">
        <v>7073</v>
      </c>
      <c r="Q102" s="312" t="s">
        <v>3929</v>
      </c>
      <c r="R102" s="312">
        <v>6675.0</v>
      </c>
      <c r="S102" s="319"/>
      <c r="T102" s="30"/>
    </row>
    <row r="103">
      <c r="A103" s="4" t="s">
        <v>3739</v>
      </c>
      <c r="B103" s="65"/>
      <c r="C103" s="44" t="s">
        <v>6969</v>
      </c>
      <c r="D103" s="45"/>
      <c r="E103" s="45"/>
      <c r="F103" s="45"/>
      <c r="G103" s="44" t="s">
        <v>207</v>
      </c>
      <c r="H103" s="30">
        <v>1.0</v>
      </c>
      <c r="I103" s="30"/>
      <c r="J103" s="30"/>
      <c r="K103" s="312" t="s">
        <v>4648</v>
      </c>
      <c r="L103" s="97">
        <v>663.0</v>
      </c>
      <c r="Q103" s="312" t="s">
        <v>3930</v>
      </c>
      <c r="R103" s="312">
        <v>7010.0</v>
      </c>
      <c r="S103" s="315">
        <v>7010.0</v>
      </c>
      <c r="T103" s="30"/>
    </row>
    <row r="104">
      <c r="A104" s="4" t="s">
        <v>3740</v>
      </c>
      <c r="B104" s="65"/>
      <c r="C104" s="44" t="s">
        <v>6969</v>
      </c>
      <c r="D104" s="45"/>
      <c r="E104" s="45"/>
      <c r="F104" s="45"/>
      <c r="G104" s="44" t="s">
        <v>207</v>
      </c>
      <c r="H104" s="34" t="e">
        <v>#N/A</v>
      </c>
      <c r="I104" s="30"/>
      <c r="J104" s="30"/>
      <c r="K104" s="312" t="s">
        <v>4649</v>
      </c>
      <c r="L104" s="97">
        <v>6924.0</v>
      </c>
      <c r="Q104" s="313" t="s">
        <v>3931</v>
      </c>
      <c r="R104" s="313">
        <v>6675.0</v>
      </c>
      <c r="S104" s="320">
        <v>6675.0</v>
      </c>
      <c r="T104" s="34"/>
    </row>
    <row r="105">
      <c r="A105" s="4" t="s">
        <v>3741</v>
      </c>
      <c r="B105" s="65"/>
      <c r="C105" s="44" t="s">
        <v>6969</v>
      </c>
      <c r="D105" s="45"/>
      <c r="E105" s="45"/>
      <c r="F105" s="45"/>
      <c r="G105" s="44" t="s">
        <v>207</v>
      </c>
      <c r="H105" s="34" t="e">
        <v>#N/A</v>
      </c>
      <c r="I105" s="30"/>
      <c r="J105" s="30"/>
      <c r="K105" s="312" t="s">
        <v>4650</v>
      </c>
      <c r="L105" s="97">
        <v>7100.0</v>
      </c>
      <c r="Q105" s="313" t="s">
        <v>3932</v>
      </c>
      <c r="R105" s="313">
        <v>2507.0</v>
      </c>
      <c r="S105" s="34"/>
      <c r="T105" s="34"/>
    </row>
    <row r="106">
      <c r="A106" s="4" t="s">
        <v>3742</v>
      </c>
      <c r="B106" s="221"/>
      <c r="C106" s="44" t="s">
        <v>6969</v>
      </c>
      <c r="D106" s="45"/>
      <c r="E106" s="45"/>
      <c r="F106" s="45"/>
      <c r="G106" s="44" t="s">
        <v>207</v>
      </c>
      <c r="H106" s="30">
        <v>1.0</v>
      </c>
      <c r="I106" s="30"/>
      <c r="J106" s="30"/>
      <c r="K106" s="312" t="s">
        <v>4651</v>
      </c>
      <c r="L106" s="97">
        <v>7104.0</v>
      </c>
      <c r="Q106" s="312" t="s">
        <v>3933</v>
      </c>
      <c r="R106" s="312">
        <v>189.0</v>
      </c>
      <c r="S106" s="30"/>
      <c r="T106" s="30"/>
    </row>
    <row r="107">
      <c r="A107" s="4" t="s">
        <v>3743</v>
      </c>
      <c r="B107" s="65"/>
      <c r="C107" s="44" t="s">
        <v>6969</v>
      </c>
      <c r="D107" s="45"/>
      <c r="E107" s="45"/>
      <c r="F107" s="45"/>
      <c r="G107" s="44" t="s">
        <v>207</v>
      </c>
      <c r="H107" s="30">
        <v>1.0</v>
      </c>
      <c r="I107" s="30"/>
      <c r="J107" s="30"/>
      <c r="K107" s="312" t="s">
        <v>4652</v>
      </c>
      <c r="L107" s="97">
        <v>6728.0</v>
      </c>
      <c r="Q107" s="312" t="s">
        <v>3934</v>
      </c>
      <c r="R107" s="11">
        <v>14337.0</v>
      </c>
      <c r="S107" s="312">
        <v>6133.0</v>
      </c>
      <c r="T107" s="30"/>
    </row>
    <row r="108">
      <c r="A108" s="4" t="s">
        <v>3744</v>
      </c>
      <c r="B108" s="65"/>
      <c r="C108" s="44" t="s">
        <v>6969</v>
      </c>
      <c r="D108" s="45"/>
      <c r="E108" s="45"/>
      <c r="F108" s="45"/>
      <c r="G108" s="44" t="s">
        <v>207</v>
      </c>
      <c r="H108" s="30">
        <v>1.0</v>
      </c>
      <c r="I108" s="30"/>
      <c r="J108" s="30"/>
      <c r="K108" s="312" t="s">
        <v>4653</v>
      </c>
      <c r="L108" s="97">
        <v>189.0</v>
      </c>
      <c r="Q108" s="312" t="s">
        <v>3935</v>
      </c>
      <c r="R108" s="11">
        <v>6924.0</v>
      </c>
      <c r="S108" s="11">
        <v>8486.0</v>
      </c>
      <c r="T108" s="312">
        <v>4514.0</v>
      </c>
    </row>
    <row r="109">
      <c r="A109" s="4" t="s">
        <v>3745</v>
      </c>
      <c r="B109" s="65"/>
      <c r="C109" s="44" t="s">
        <v>6969</v>
      </c>
      <c r="D109" s="45"/>
      <c r="E109" s="45"/>
      <c r="F109" s="45"/>
      <c r="G109" s="44" t="s">
        <v>207</v>
      </c>
      <c r="H109" s="34" t="e">
        <v>#N/A</v>
      </c>
      <c r="I109" s="30"/>
      <c r="J109" s="30"/>
      <c r="K109" s="312" t="s">
        <v>4654</v>
      </c>
      <c r="L109" s="97">
        <v>189.0</v>
      </c>
      <c r="Q109" s="313" t="s">
        <v>3761</v>
      </c>
      <c r="R109" s="313">
        <v>2345.0</v>
      </c>
      <c r="S109" s="34"/>
      <c r="T109" s="34"/>
    </row>
    <row r="110">
      <c r="A110" s="4" t="s">
        <v>3746</v>
      </c>
      <c r="B110" s="65"/>
      <c r="C110" s="44" t="s">
        <v>6969</v>
      </c>
      <c r="D110" s="45"/>
      <c r="E110" s="45"/>
      <c r="F110" s="45"/>
      <c r="G110" s="44" t="s">
        <v>207</v>
      </c>
      <c r="H110" s="34" t="e">
        <v>#N/A</v>
      </c>
      <c r="I110" s="30"/>
      <c r="J110" s="30"/>
      <c r="K110" s="312" t="s">
        <v>4655</v>
      </c>
      <c r="L110" s="97">
        <v>6729.0</v>
      </c>
      <c r="Q110" s="313" t="s">
        <v>3762</v>
      </c>
      <c r="R110" s="313">
        <v>9746.0</v>
      </c>
      <c r="S110" s="34"/>
      <c r="T110" s="34"/>
    </row>
    <row r="111">
      <c r="A111" s="4" t="s">
        <v>3747</v>
      </c>
      <c r="B111" s="65"/>
      <c r="C111" s="44" t="s">
        <v>6969</v>
      </c>
      <c r="D111" s="45"/>
      <c r="E111" s="45"/>
      <c r="F111" s="45"/>
      <c r="G111" s="44" t="s">
        <v>207</v>
      </c>
      <c r="H111" s="34" t="e">
        <v>#N/A</v>
      </c>
      <c r="I111" s="30"/>
      <c r="J111" s="30"/>
      <c r="K111" s="312" t="s">
        <v>4656</v>
      </c>
      <c r="L111" s="97">
        <v>6675.0</v>
      </c>
      <c r="Q111" s="313" t="s">
        <v>3763</v>
      </c>
      <c r="R111" s="313">
        <v>14440.0</v>
      </c>
      <c r="S111" s="34">
        <v>136.0</v>
      </c>
      <c r="T111" s="34"/>
    </row>
    <row r="112">
      <c r="A112" s="4" t="s">
        <v>3748</v>
      </c>
      <c r="B112" s="195">
        <v>5458.0</v>
      </c>
      <c r="C112" s="44" t="s">
        <v>6969</v>
      </c>
      <c r="D112" s="45"/>
      <c r="E112" s="45"/>
      <c r="F112" s="45"/>
      <c r="G112" s="44" t="s">
        <v>207</v>
      </c>
      <c r="H112" s="34" t="e">
        <v>#N/A</v>
      </c>
      <c r="I112" s="30"/>
      <c r="J112" s="30"/>
      <c r="K112" s="312" t="s">
        <v>4657</v>
      </c>
      <c r="L112" s="97">
        <v>986.0</v>
      </c>
      <c r="Q112" s="313" t="s">
        <v>3764</v>
      </c>
      <c r="R112" s="313">
        <v>6772.0</v>
      </c>
      <c r="S112" s="34"/>
      <c r="T112" s="34"/>
    </row>
  </sheetData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38.63"/>
    <col customWidth="1" min="4" max="4" width="16.88"/>
    <col customWidth="1" min="5" max="5" width="26.13"/>
    <col hidden="1" min="10" max="19" width="12.63"/>
  </cols>
  <sheetData>
    <row r="1">
      <c r="A1" s="56" t="s">
        <v>44</v>
      </c>
      <c r="B1" s="25" t="s">
        <v>1</v>
      </c>
      <c r="C1" s="57" t="s">
        <v>294</v>
      </c>
      <c r="D1" s="55" t="s">
        <v>248</v>
      </c>
      <c r="E1" s="321" t="s">
        <v>249</v>
      </c>
      <c r="F1" s="321" t="s">
        <v>250</v>
      </c>
      <c r="G1" s="321"/>
      <c r="H1" s="321"/>
      <c r="M1" s="60" t="s">
        <v>44</v>
      </c>
      <c r="N1" s="11" t="s">
        <v>1</v>
      </c>
      <c r="Q1" s="11" t="s">
        <v>252</v>
      </c>
    </row>
    <row r="2">
      <c r="A2" s="322" t="s">
        <v>221</v>
      </c>
      <c r="B2" s="25">
        <v>12941.0</v>
      </c>
      <c r="C2" s="11" t="s">
        <v>7074</v>
      </c>
      <c r="D2" s="74">
        <v>0.82</v>
      </c>
      <c r="E2" s="74">
        <v>0.82</v>
      </c>
      <c r="F2" s="229" t="s">
        <v>1656</v>
      </c>
      <c r="G2" s="321"/>
      <c r="H2" s="321"/>
      <c r="M2" s="11" t="s">
        <v>221</v>
      </c>
      <c r="N2" s="11">
        <v>12941.0</v>
      </c>
      <c r="O2" s="11">
        <v>6557.0</v>
      </c>
      <c r="Q2" s="18">
        <v>1.0</v>
      </c>
    </row>
    <row r="3">
      <c r="A3" s="25" t="s">
        <v>222</v>
      </c>
      <c r="B3" s="25">
        <v>6675.0</v>
      </c>
      <c r="C3" s="11" t="s">
        <v>7074</v>
      </c>
      <c r="D3" s="74">
        <v>0.82</v>
      </c>
      <c r="E3" s="74">
        <v>0.82</v>
      </c>
      <c r="F3" s="229" t="s">
        <v>1656</v>
      </c>
      <c r="G3" s="321"/>
      <c r="H3" s="321"/>
      <c r="M3" s="35" t="s">
        <v>222</v>
      </c>
      <c r="N3" s="35">
        <v>6675.0</v>
      </c>
      <c r="O3" s="36"/>
      <c r="P3" s="36"/>
      <c r="Q3" s="36" t="e">
        <v>#N/A</v>
      </c>
    </row>
    <row r="4">
      <c r="A4" s="25" t="s">
        <v>223</v>
      </c>
      <c r="B4" s="25">
        <v>12609.0</v>
      </c>
      <c r="C4" s="11" t="s">
        <v>7074</v>
      </c>
      <c r="D4" s="74">
        <v>0.75</v>
      </c>
      <c r="E4" s="74">
        <v>0.75</v>
      </c>
      <c r="F4" s="229" t="s">
        <v>1656</v>
      </c>
      <c r="G4" s="321"/>
      <c r="H4" s="321"/>
      <c r="M4" s="11" t="s">
        <v>223</v>
      </c>
      <c r="N4" s="11">
        <v>12609.0</v>
      </c>
      <c r="O4" s="11">
        <v>6106.0</v>
      </c>
      <c r="P4" s="11">
        <v>6557.0</v>
      </c>
      <c r="Q4" s="18">
        <v>1.0</v>
      </c>
    </row>
    <row r="5">
      <c r="A5" s="322" t="s">
        <v>224</v>
      </c>
      <c r="B5" s="25">
        <v>12941.0</v>
      </c>
      <c r="C5" s="11" t="s">
        <v>7074</v>
      </c>
      <c r="D5" s="74">
        <v>0.82</v>
      </c>
      <c r="E5" s="74">
        <v>0.82</v>
      </c>
      <c r="F5" s="229" t="s">
        <v>1656</v>
      </c>
      <c r="G5" s="321"/>
      <c r="H5" s="321"/>
      <c r="M5" s="11" t="s">
        <v>224</v>
      </c>
      <c r="N5" s="11">
        <v>12941.0</v>
      </c>
      <c r="O5" s="11">
        <v>6557.0</v>
      </c>
      <c r="Q5" s="18">
        <v>1.0</v>
      </c>
    </row>
    <row r="6">
      <c r="A6" s="322" t="s">
        <v>225</v>
      </c>
      <c r="B6" s="25">
        <v>12941.0</v>
      </c>
      <c r="C6" s="11" t="s">
        <v>7074</v>
      </c>
      <c r="D6" s="74">
        <v>0.82</v>
      </c>
      <c r="E6" s="74">
        <v>0.82</v>
      </c>
      <c r="F6" s="229" t="s">
        <v>1656</v>
      </c>
      <c r="G6" s="321"/>
      <c r="H6" s="321"/>
      <c r="M6" s="11" t="s">
        <v>225</v>
      </c>
      <c r="N6" s="11">
        <v>12941.0</v>
      </c>
      <c r="O6" s="11">
        <v>6557.0</v>
      </c>
      <c r="Q6" s="18">
        <v>1.0</v>
      </c>
    </row>
    <row r="7">
      <c r="A7" s="25" t="s">
        <v>226</v>
      </c>
      <c r="B7" s="25">
        <v>12941.0</v>
      </c>
      <c r="C7" s="11" t="s">
        <v>7074</v>
      </c>
      <c r="D7" s="74">
        <v>0.82</v>
      </c>
      <c r="E7" s="74">
        <v>0.82</v>
      </c>
      <c r="F7" s="229" t="s">
        <v>1656</v>
      </c>
      <c r="G7" s="321"/>
      <c r="H7" s="321"/>
      <c r="M7" s="11" t="s">
        <v>226</v>
      </c>
      <c r="N7" s="11">
        <v>12941.0</v>
      </c>
      <c r="O7" s="11">
        <v>6557.0</v>
      </c>
      <c r="Q7" s="18">
        <v>1.0</v>
      </c>
    </row>
    <row r="8">
      <c r="A8" s="322" t="s">
        <v>227</v>
      </c>
      <c r="B8" s="25">
        <v>3378.0</v>
      </c>
      <c r="C8" s="11" t="s">
        <v>7074</v>
      </c>
      <c r="D8" s="74">
        <v>0.75</v>
      </c>
      <c r="E8" s="74">
        <v>0.75</v>
      </c>
      <c r="F8" s="229" t="s">
        <v>1656</v>
      </c>
      <c r="G8" s="321"/>
      <c r="H8" s="321"/>
      <c r="M8" s="11" t="s">
        <v>227</v>
      </c>
      <c r="N8" s="11">
        <v>3378.0</v>
      </c>
      <c r="Q8" s="18">
        <v>1.0</v>
      </c>
    </row>
    <row r="9">
      <c r="A9" s="322" t="s">
        <v>228</v>
      </c>
      <c r="B9" s="25">
        <v>6924.0</v>
      </c>
      <c r="C9" s="11" t="s">
        <v>7074</v>
      </c>
      <c r="D9" s="74">
        <v>0.82</v>
      </c>
      <c r="E9" s="74">
        <v>0.82</v>
      </c>
      <c r="F9" s="229" t="s">
        <v>1656</v>
      </c>
      <c r="G9" s="321"/>
      <c r="H9" s="321"/>
      <c r="M9" s="35" t="s">
        <v>228</v>
      </c>
      <c r="N9" s="35">
        <v>6924.0</v>
      </c>
      <c r="O9" s="36"/>
      <c r="P9" s="36"/>
      <c r="Q9" s="36" t="e">
        <v>#N/A</v>
      </c>
    </row>
    <row r="10">
      <c r="A10" s="322" t="s">
        <v>229</v>
      </c>
      <c r="B10" s="25">
        <v>7055.0</v>
      </c>
      <c r="C10" s="11" t="s">
        <v>7074</v>
      </c>
      <c r="D10" s="74">
        <v>0.75</v>
      </c>
      <c r="E10" s="74">
        <v>0.75</v>
      </c>
      <c r="F10" s="229" t="s">
        <v>1656</v>
      </c>
      <c r="G10" s="321"/>
      <c r="H10" s="321"/>
      <c r="M10" s="11" t="s">
        <v>229</v>
      </c>
      <c r="N10" s="11">
        <v>7055.0</v>
      </c>
      <c r="Q10" s="18">
        <v>1.0</v>
      </c>
    </row>
    <row r="11">
      <c r="A11" s="25" t="s">
        <v>230</v>
      </c>
      <c r="B11" s="25">
        <v>2345.0</v>
      </c>
      <c r="C11" s="11" t="s">
        <v>7074</v>
      </c>
      <c r="D11" s="74">
        <v>0.9</v>
      </c>
      <c r="E11" s="74">
        <v>0.9</v>
      </c>
      <c r="F11" s="229" t="s">
        <v>1656</v>
      </c>
      <c r="G11" s="321"/>
      <c r="H11" s="321"/>
      <c r="M11" s="11" t="s">
        <v>230</v>
      </c>
      <c r="N11" s="11">
        <v>2345.0</v>
      </c>
      <c r="Q11" s="18">
        <v>1.0</v>
      </c>
    </row>
    <row r="12">
      <c r="A12" s="25" t="s">
        <v>231</v>
      </c>
      <c r="B12" s="37">
        <v>14480.0</v>
      </c>
      <c r="C12" s="11" t="s">
        <v>7074</v>
      </c>
      <c r="D12" s="74">
        <v>0.75</v>
      </c>
      <c r="E12" s="74">
        <v>0.75</v>
      </c>
      <c r="F12" s="229" t="s">
        <v>1656</v>
      </c>
      <c r="G12" s="321"/>
      <c r="H12" s="321"/>
      <c r="M12" s="35" t="s">
        <v>231</v>
      </c>
      <c r="N12" s="35">
        <v>11049.0</v>
      </c>
      <c r="O12" s="36"/>
      <c r="P12" s="36"/>
      <c r="Q12" s="36" t="e">
        <v>#N/A</v>
      </c>
    </row>
    <row r="13">
      <c r="A13" s="25" t="s">
        <v>232</v>
      </c>
      <c r="B13" s="25">
        <v>7747.0</v>
      </c>
      <c r="C13" s="11" t="s">
        <v>7074</v>
      </c>
      <c r="D13" s="74">
        <v>0.75</v>
      </c>
      <c r="E13" s="74">
        <v>0.75</v>
      </c>
      <c r="F13" s="229" t="s">
        <v>1656</v>
      </c>
      <c r="G13" s="321"/>
      <c r="H13" s="321"/>
      <c r="M13" s="35" t="s">
        <v>232</v>
      </c>
      <c r="N13" s="35">
        <v>986.0</v>
      </c>
      <c r="O13" s="36"/>
      <c r="P13" s="36"/>
      <c r="Q13" s="36" t="e">
        <v>#N/A</v>
      </c>
    </row>
    <row r="14">
      <c r="A14" s="25" t="s">
        <v>233</v>
      </c>
      <c r="B14" s="25">
        <v>3307.0</v>
      </c>
      <c r="C14" s="11" t="s">
        <v>7074</v>
      </c>
      <c r="D14" s="74">
        <v>0.75</v>
      </c>
      <c r="E14" s="74">
        <v>0.75</v>
      </c>
      <c r="F14" s="229" t="s">
        <v>1656</v>
      </c>
      <c r="G14" s="321"/>
      <c r="H14" s="321"/>
      <c r="M14" s="35" t="s">
        <v>233</v>
      </c>
      <c r="N14" s="35">
        <v>986.0</v>
      </c>
      <c r="O14" s="36"/>
      <c r="P14" s="36"/>
      <c r="Q14" s="36" t="e">
        <v>#N/A</v>
      </c>
    </row>
    <row r="15">
      <c r="A15" s="25" t="s">
        <v>234</v>
      </c>
      <c r="B15" s="25">
        <v>6875.0</v>
      </c>
      <c r="C15" s="11" t="s">
        <v>7074</v>
      </c>
      <c r="D15" s="74">
        <v>0.75</v>
      </c>
      <c r="E15" s="74">
        <v>0.75</v>
      </c>
      <c r="F15" s="229" t="s">
        <v>1656</v>
      </c>
      <c r="G15" s="321"/>
      <c r="H15" s="321"/>
      <c r="M15" s="35" t="s">
        <v>234</v>
      </c>
      <c r="N15" s="35">
        <v>986.0</v>
      </c>
      <c r="O15" s="36"/>
      <c r="P15" s="36"/>
      <c r="Q15" s="36" t="e">
        <v>#N/A</v>
      </c>
    </row>
    <row r="16">
      <c r="A16" s="57" t="s">
        <v>235</v>
      </c>
      <c r="B16" s="25">
        <v>11049.0</v>
      </c>
      <c r="C16" s="11" t="s">
        <v>7074</v>
      </c>
      <c r="D16" s="74">
        <v>0.82</v>
      </c>
      <c r="E16" s="74">
        <v>0.82</v>
      </c>
      <c r="F16" s="229" t="s">
        <v>1656</v>
      </c>
      <c r="G16" s="321"/>
      <c r="H16" s="321"/>
      <c r="M16" s="323" t="s">
        <v>235</v>
      </c>
      <c r="N16" s="35">
        <v>11049.0</v>
      </c>
      <c r="O16" s="36"/>
      <c r="P16" s="36"/>
      <c r="Q16" s="36" t="e">
        <v>#N/A</v>
      </c>
    </row>
    <row r="17">
      <c r="A17" s="25" t="s">
        <v>236</v>
      </c>
      <c r="B17" s="25">
        <v>14525.0</v>
      </c>
      <c r="C17" s="11" t="s">
        <v>7074</v>
      </c>
      <c r="D17" s="74">
        <v>0.75</v>
      </c>
      <c r="E17" s="74">
        <v>0.75</v>
      </c>
      <c r="F17" s="229" t="s">
        <v>1656</v>
      </c>
      <c r="G17" s="321"/>
      <c r="H17" s="321"/>
      <c r="M17" s="35" t="s">
        <v>236</v>
      </c>
      <c r="N17" s="35">
        <v>986.0</v>
      </c>
      <c r="O17" s="36"/>
      <c r="P17" s="36"/>
      <c r="Q17" s="36" t="e">
        <v>#N/A</v>
      </c>
    </row>
    <row r="18">
      <c r="A18" s="25" t="s">
        <v>237</v>
      </c>
      <c r="B18" s="25">
        <v>14507.0</v>
      </c>
      <c r="C18" s="11" t="s">
        <v>7074</v>
      </c>
      <c r="D18" s="74">
        <v>0.75</v>
      </c>
      <c r="E18" s="74">
        <v>0.75</v>
      </c>
      <c r="F18" s="229" t="s">
        <v>1656</v>
      </c>
      <c r="G18" s="321"/>
      <c r="H18" s="321"/>
      <c r="M18" s="35" t="s">
        <v>237</v>
      </c>
      <c r="N18" s="35">
        <v>986.0</v>
      </c>
      <c r="O18" s="36"/>
      <c r="P18" s="36"/>
      <c r="Q18" s="36" t="e">
        <v>#N/A</v>
      </c>
    </row>
    <row r="19">
      <c r="A19" s="25" t="s">
        <v>238</v>
      </c>
      <c r="B19" s="25">
        <v>12388.0</v>
      </c>
      <c r="C19" s="11" t="s">
        <v>7074</v>
      </c>
      <c r="D19" s="74">
        <v>0.75</v>
      </c>
      <c r="E19" s="74">
        <v>0.75</v>
      </c>
      <c r="F19" s="229" t="s">
        <v>1656</v>
      </c>
      <c r="G19" s="321"/>
      <c r="H19" s="321"/>
      <c r="M19" s="35" t="s">
        <v>238</v>
      </c>
      <c r="N19" s="35">
        <v>986.0</v>
      </c>
      <c r="O19" s="36"/>
      <c r="P19" s="36"/>
      <c r="Q19" s="36" t="e">
        <v>#N/A</v>
      </c>
    </row>
    <row r="20">
      <c r="A20" s="25" t="s">
        <v>239</v>
      </c>
      <c r="B20" s="25">
        <v>6668.0</v>
      </c>
      <c r="C20" s="11" t="s">
        <v>7074</v>
      </c>
      <c r="D20" s="74">
        <v>0.75</v>
      </c>
      <c r="E20" s="74">
        <v>0.75</v>
      </c>
      <c r="F20" s="229" t="s">
        <v>1656</v>
      </c>
      <c r="G20" s="321"/>
      <c r="H20" s="321"/>
      <c r="M20" s="35" t="s">
        <v>239</v>
      </c>
      <c r="N20" s="35">
        <v>986.0</v>
      </c>
      <c r="O20" s="36"/>
      <c r="P20" s="36"/>
      <c r="Q20" s="36" t="e">
        <v>#N/A</v>
      </c>
    </row>
    <row r="21">
      <c r="A21" s="106" t="s">
        <v>240</v>
      </c>
      <c r="B21" s="106">
        <v>2345.0</v>
      </c>
      <c r="C21" s="11" t="s">
        <v>7074</v>
      </c>
      <c r="D21" s="74">
        <v>0.9</v>
      </c>
      <c r="E21" s="74">
        <v>0.9</v>
      </c>
      <c r="F21" s="229" t="s">
        <v>1656</v>
      </c>
      <c r="G21" s="321"/>
      <c r="H21" s="321"/>
      <c r="M21" s="35" t="s">
        <v>240</v>
      </c>
      <c r="N21" s="35">
        <v>986.0</v>
      </c>
      <c r="O21" s="36"/>
      <c r="P21" s="36"/>
      <c r="Q21" s="36" t="e">
        <v>#N/A</v>
      </c>
    </row>
    <row r="22">
      <c r="A22" s="106" t="s">
        <v>241</v>
      </c>
      <c r="B22" s="106">
        <v>2345.0</v>
      </c>
      <c r="C22" s="11" t="s">
        <v>7074</v>
      </c>
      <c r="D22" s="74">
        <v>0.9</v>
      </c>
      <c r="E22" s="74">
        <v>0.9</v>
      </c>
      <c r="F22" s="229" t="s">
        <v>1656</v>
      </c>
      <c r="G22" s="321"/>
      <c r="H22" s="321"/>
      <c r="M22" s="35" t="s">
        <v>241</v>
      </c>
      <c r="N22" s="35">
        <v>986.0</v>
      </c>
      <c r="O22" s="36"/>
      <c r="P22" s="36"/>
      <c r="Q22" s="36" t="e">
        <v>#N/A</v>
      </c>
    </row>
    <row r="23">
      <c r="A23" s="106" t="s">
        <v>242</v>
      </c>
      <c r="B23" s="106">
        <v>2345.0</v>
      </c>
      <c r="C23" s="11" t="s">
        <v>7074</v>
      </c>
      <c r="D23" s="74">
        <v>0.9</v>
      </c>
      <c r="E23" s="74">
        <v>0.9</v>
      </c>
      <c r="F23" s="229" t="s">
        <v>1656</v>
      </c>
      <c r="G23" s="321"/>
      <c r="H23" s="321"/>
      <c r="M23" s="35" t="s">
        <v>242</v>
      </c>
      <c r="N23" s="35">
        <v>986.0</v>
      </c>
      <c r="O23" s="36"/>
      <c r="P23" s="36"/>
      <c r="Q23" s="36" t="e">
        <v>#N/A</v>
      </c>
    </row>
    <row r="24">
      <c r="A24" s="25" t="s">
        <v>243</v>
      </c>
      <c r="B24" s="25">
        <v>2345.0</v>
      </c>
      <c r="C24" s="11" t="s">
        <v>7074</v>
      </c>
      <c r="D24" s="74">
        <v>0.9</v>
      </c>
      <c r="E24" s="74">
        <v>0.9</v>
      </c>
      <c r="F24" s="229" t="s">
        <v>1656</v>
      </c>
      <c r="G24" s="321"/>
      <c r="H24" s="321"/>
      <c r="M24" s="35" t="s">
        <v>243</v>
      </c>
      <c r="N24" s="35">
        <v>14020.0</v>
      </c>
      <c r="O24" s="36"/>
      <c r="P24" s="36"/>
      <c r="Q24" s="36" t="e">
        <v>#N/A</v>
      </c>
    </row>
    <row r="25">
      <c r="A25" s="25" t="s">
        <v>244</v>
      </c>
      <c r="B25" s="25">
        <v>2345.0</v>
      </c>
      <c r="C25" s="11" t="s">
        <v>7074</v>
      </c>
      <c r="D25" s="74">
        <v>0.9</v>
      </c>
      <c r="E25" s="74">
        <v>0.9</v>
      </c>
      <c r="F25" s="229" t="s">
        <v>1656</v>
      </c>
      <c r="G25" s="321"/>
      <c r="H25" s="321"/>
      <c r="M25" s="35" t="s">
        <v>244</v>
      </c>
      <c r="N25" s="35">
        <v>2345.0</v>
      </c>
      <c r="O25" s="36"/>
      <c r="P25" s="36"/>
      <c r="Q25" s="36" t="e">
        <v>#N/A</v>
      </c>
    </row>
    <row r="26">
      <c r="A26" s="25" t="s">
        <v>245</v>
      </c>
      <c r="B26" s="25">
        <v>2345.0</v>
      </c>
      <c r="C26" s="11" t="s">
        <v>7074</v>
      </c>
      <c r="D26" s="74">
        <v>0.9</v>
      </c>
      <c r="E26" s="74">
        <v>0.9</v>
      </c>
      <c r="F26" s="229" t="s">
        <v>1656</v>
      </c>
      <c r="G26" s="321"/>
      <c r="H26" s="321"/>
      <c r="M26" s="35" t="s">
        <v>245</v>
      </c>
      <c r="N26" s="35">
        <v>663.0</v>
      </c>
      <c r="O26" s="36"/>
      <c r="P26" s="36"/>
      <c r="Q26" s="36" t="e">
        <v>#N/A</v>
      </c>
    </row>
    <row r="27">
      <c r="A27" s="25" t="s">
        <v>7075</v>
      </c>
      <c r="B27" s="25">
        <v>6697.0</v>
      </c>
      <c r="C27" s="11" t="s">
        <v>7074</v>
      </c>
      <c r="D27" s="74">
        <v>0.75</v>
      </c>
      <c r="E27" s="74">
        <v>0.75</v>
      </c>
      <c r="F27" s="229" t="s">
        <v>1656</v>
      </c>
      <c r="G27" s="321"/>
      <c r="H27" s="321"/>
      <c r="M27" s="11" t="s">
        <v>7075</v>
      </c>
      <c r="N27" s="11">
        <v>6697.0</v>
      </c>
      <c r="Q27" s="18">
        <v>1.0</v>
      </c>
    </row>
    <row r="28">
      <c r="A28" s="25" t="s">
        <v>7076</v>
      </c>
      <c r="B28" s="25">
        <v>6697.0</v>
      </c>
      <c r="C28" s="11" t="s">
        <v>7074</v>
      </c>
      <c r="D28" s="74">
        <v>0.75</v>
      </c>
      <c r="E28" s="74">
        <v>0.75</v>
      </c>
      <c r="F28" s="229" t="s">
        <v>1656</v>
      </c>
      <c r="G28" s="321"/>
      <c r="H28" s="321"/>
      <c r="M28" s="35" t="s">
        <v>7076</v>
      </c>
      <c r="N28" s="35">
        <v>6697.0</v>
      </c>
      <c r="O28" s="36"/>
      <c r="P28" s="36"/>
      <c r="Q28" s="36" t="e">
        <v>#N/A</v>
      </c>
    </row>
    <row r="29">
      <c r="A29" s="25" t="s">
        <v>7077</v>
      </c>
      <c r="B29" s="324">
        <v>14025.0</v>
      </c>
      <c r="C29" s="11" t="s">
        <v>7074</v>
      </c>
      <c r="D29" s="74">
        <v>0.75</v>
      </c>
      <c r="E29" s="74">
        <v>0.75</v>
      </c>
      <c r="F29" s="229" t="s">
        <v>1656</v>
      </c>
      <c r="G29" s="321"/>
      <c r="H29" s="321"/>
      <c r="M29" s="35" t="s">
        <v>7077</v>
      </c>
      <c r="N29" s="35">
        <v>467.0</v>
      </c>
      <c r="O29" s="36"/>
      <c r="P29" s="36"/>
      <c r="Q29" s="36" t="e">
        <v>#N/A</v>
      </c>
    </row>
    <row r="30">
      <c r="A30" s="25" t="s">
        <v>7078</v>
      </c>
      <c r="B30" s="25">
        <v>14646.0</v>
      </c>
      <c r="C30" s="11" t="s">
        <v>7074</v>
      </c>
      <c r="D30" s="74">
        <v>0.75</v>
      </c>
      <c r="E30" s="74">
        <v>0.75</v>
      </c>
      <c r="F30" s="229" t="s">
        <v>1656</v>
      </c>
      <c r="G30" s="321"/>
      <c r="H30" s="321"/>
      <c r="M30" s="35" t="s">
        <v>7078</v>
      </c>
      <c r="N30" s="35">
        <v>6905.0</v>
      </c>
      <c r="O30" s="36"/>
      <c r="P30" s="36"/>
      <c r="Q30" s="36" t="e">
        <v>#N/A</v>
      </c>
    </row>
    <row r="31">
      <c r="A31" s="25" t="s">
        <v>7079</v>
      </c>
      <c r="B31" s="25">
        <v>6905.0</v>
      </c>
      <c r="C31" s="11" t="s">
        <v>7074</v>
      </c>
      <c r="D31" s="74">
        <v>0.75</v>
      </c>
      <c r="E31" s="74">
        <v>0.75</v>
      </c>
      <c r="F31" s="229" t="s">
        <v>1656</v>
      </c>
      <c r="G31" s="321"/>
      <c r="H31" s="321"/>
      <c r="M31" s="11" t="s">
        <v>7079</v>
      </c>
      <c r="N31" s="11">
        <v>6905.0</v>
      </c>
      <c r="Q31" s="18">
        <v>1.0</v>
      </c>
    </row>
    <row r="32">
      <c r="A32" s="25" t="s">
        <v>7080</v>
      </c>
      <c r="B32" s="25">
        <v>6668.0</v>
      </c>
      <c r="C32" s="11" t="s">
        <v>7074</v>
      </c>
      <c r="D32" s="74">
        <v>0.75</v>
      </c>
      <c r="E32" s="74">
        <v>0.75</v>
      </c>
      <c r="F32" s="229" t="s">
        <v>1656</v>
      </c>
      <c r="G32" s="321"/>
      <c r="H32" s="321"/>
      <c r="M32" s="35" t="s">
        <v>7080</v>
      </c>
      <c r="N32" s="35">
        <v>2345.0</v>
      </c>
      <c r="O32" s="36"/>
      <c r="P32" s="36"/>
      <c r="Q32" s="36" t="e">
        <v>#N/A</v>
      </c>
    </row>
    <row r="33">
      <c r="A33" s="25" t="s">
        <v>7081</v>
      </c>
      <c r="B33" s="25">
        <v>2345.0</v>
      </c>
      <c r="C33" s="11" t="s">
        <v>7074</v>
      </c>
      <c r="D33" s="74">
        <v>0.9</v>
      </c>
      <c r="E33" s="74">
        <v>0.9</v>
      </c>
      <c r="F33" s="229" t="s">
        <v>1656</v>
      </c>
      <c r="G33" s="321"/>
      <c r="H33" s="321"/>
      <c r="M33" s="11" t="s">
        <v>7081</v>
      </c>
      <c r="N33" s="11">
        <v>2345.0</v>
      </c>
      <c r="Q33" s="18">
        <v>1.0</v>
      </c>
    </row>
    <row r="34">
      <c r="A34" s="25" t="s">
        <v>7082</v>
      </c>
      <c r="B34" s="25">
        <v>6133.0</v>
      </c>
      <c r="C34" s="11" t="s">
        <v>7074</v>
      </c>
      <c r="D34" s="74">
        <v>0.75</v>
      </c>
      <c r="E34" s="74">
        <v>0.75</v>
      </c>
      <c r="F34" s="229" t="s">
        <v>1656</v>
      </c>
      <c r="G34" s="321"/>
      <c r="H34" s="321"/>
      <c r="M34" s="11" t="s">
        <v>7082</v>
      </c>
      <c r="N34" s="11">
        <v>6133.0</v>
      </c>
      <c r="Q34" s="18">
        <v>1.0</v>
      </c>
    </row>
    <row r="35">
      <c r="A35" s="25" t="s">
        <v>7083</v>
      </c>
      <c r="B35" s="25">
        <v>2205.0</v>
      </c>
      <c r="C35" s="11" t="s">
        <v>7074</v>
      </c>
      <c r="D35" s="74">
        <v>0.75</v>
      </c>
      <c r="E35" s="74">
        <v>0.75</v>
      </c>
      <c r="F35" s="229" t="s">
        <v>1656</v>
      </c>
      <c r="G35" s="321"/>
      <c r="H35" s="321"/>
      <c r="M35" s="35" t="s">
        <v>7083</v>
      </c>
      <c r="N35" s="35">
        <v>2345.0</v>
      </c>
      <c r="O35" s="36"/>
      <c r="P35" s="36"/>
      <c r="Q35" s="36" t="e">
        <v>#N/A</v>
      </c>
    </row>
    <row r="36">
      <c r="A36" s="25" t="s">
        <v>7084</v>
      </c>
      <c r="B36" s="25">
        <v>663.0</v>
      </c>
      <c r="C36" s="11" t="s">
        <v>7074</v>
      </c>
      <c r="D36" s="74">
        <v>0.75</v>
      </c>
      <c r="E36" s="74">
        <v>0.75</v>
      </c>
      <c r="F36" s="229" t="s">
        <v>1656</v>
      </c>
      <c r="G36" s="321"/>
      <c r="H36" s="321"/>
      <c r="M36" s="35" t="s">
        <v>7084</v>
      </c>
      <c r="N36" s="35">
        <v>663.0</v>
      </c>
      <c r="O36" s="36"/>
      <c r="P36" s="36"/>
      <c r="Q36" s="36" t="e">
        <v>#N/A</v>
      </c>
    </row>
    <row r="37">
      <c r="A37" s="25" t="s">
        <v>7085</v>
      </c>
      <c r="B37" s="25"/>
      <c r="C37" s="11" t="s">
        <v>7074</v>
      </c>
      <c r="D37" s="74">
        <v>0.75</v>
      </c>
      <c r="E37" s="74">
        <v>0.75</v>
      </c>
      <c r="F37" s="229" t="s">
        <v>1656</v>
      </c>
      <c r="G37" s="321"/>
      <c r="H37" s="321"/>
      <c r="M37" s="35" t="s">
        <v>7085</v>
      </c>
      <c r="N37" s="35">
        <v>3607.0</v>
      </c>
      <c r="O37" s="36"/>
      <c r="P37" s="36"/>
      <c r="Q37" s="36" t="e">
        <v>#N/A</v>
      </c>
    </row>
    <row r="38">
      <c r="A38" s="25" t="s">
        <v>7086</v>
      </c>
      <c r="B38" s="25">
        <v>13862.0</v>
      </c>
      <c r="C38" s="11" t="s">
        <v>7074</v>
      </c>
      <c r="D38" s="74">
        <v>0.75</v>
      </c>
      <c r="E38" s="74">
        <v>0.75</v>
      </c>
      <c r="F38" s="229" t="s">
        <v>1656</v>
      </c>
      <c r="G38" s="321"/>
      <c r="H38" s="321"/>
      <c r="M38" s="35" t="s">
        <v>7086</v>
      </c>
      <c r="N38" s="35">
        <v>3607.0</v>
      </c>
      <c r="O38" s="36"/>
      <c r="P38" s="36"/>
      <c r="Q38" s="36" t="e">
        <v>#N/A</v>
      </c>
    </row>
    <row r="39">
      <c r="A39" s="25" t="s">
        <v>7087</v>
      </c>
      <c r="B39" s="25">
        <v>14580.0</v>
      </c>
      <c r="C39" s="11" t="s">
        <v>7074</v>
      </c>
      <c r="D39" s="74">
        <v>0.75</v>
      </c>
      <c r="E39" s="74">
        <v>0.75</v>
      </c>
      <c r="F39" s="229" t="s">
        <v>1656</v>
      </c>
      <c r="G39" s="321"/>
      <c r="H39" s="321"/>
      <c r="M39" s="35" t="s">
        <v>7087</v>
      </c>
      <c r="N39" s="35">
        <v>3607.0</v>
      </c>
      <c r="O39" s="36"/>
      <c r="P39" s="36"/>
      <c r="Q39" s="36" t="e">
        <v>#N/A</v>
      </c>
    </row>
    <row r="40">
      <c r="A40" s="25" t="s">
        <v>7088</v>
      </c>
      <c r="B40" s="25"/>
      <c r="C40" s="11" t="s">
        <v>7074</v>
      </c>
      <c r="D40" s="74">
        <v>0.75</v>
      </c>
      <c r="E40" s="74">
        <v>0.75</v>
      </c>
      <c r="F40" s="229" t="s">
        <v>1656</v>
      </c>
      <c r="G40" s="321"/>
      <c r="H40" s="321"/>
      <c r="M40" s="35" t="s">
        <v>7088</v>
      </c>
      <c r="N40" s="35">
        <v>3607.0</v>
      </c>
      <c r="O40" s="36"/>
      <c r="P40" s="36"/>
      <c r="Q40" s="36" t="e">
        <v>#N/A</v>
      </c>
    </row>
    <row r="41">
      <c r="A41" s="25" t="s">
        <v>7089</v>
      </c>
      <c r="B41" s="25">
        <v>6675.0</v>
      </c>
      <c r="C41" s="11" t="s">
        <v>7074</v>
      </c>
      <c r="D41" s="74">
        <v>0.82</v>
      </c>
      <c r="E41" s="74">
        <v>0.82</v>
      </c>
      <c r="F41" s="229" t="s">
        <v>1656</v>
      </c>
      <c r="G41" s="321"/>
      <c r="H41" s="321"/>
      <c r="M41" s="11" t="s">
        <v>7089</v>
      </c>
      <c r="N41" s="11">
        <v>6675.0</v>
      </c>
      <c r="Q41" s="18">
        <v>1.0</v>
      </c>
    </row>
    <row r="42">
      <c r="A42" s="25" t="s">
        <v>7090</v>
      </c>
      <c r="B42" s="25"/>
      <c r="C42" s="11" t="s">
        <v>7074</v>
      </c>
      <c r="D42" s="74">
        <v>0.75</v>
      </c>
      <c r="E42" s="74">
        <v>0.75</v>
      </c>
      <c r="F42" s="229" t="s">
        <v>1656</v>
      </c>
      <c r="G42" s="321"/>
      <c r="H42" s="321"/>
      <c r="M42" s="35" t="s">
        <v>7090</v>
      </c>
      <c r="N42" s="35">
        <v>3607.0</v>
      </c>
      <c r="O42" s="36"/>
      <c r="P42" s="36"/>
      <c r="Q42" s="36" t="e">
        <v>#N/A</v>
      </c>
    </row>
    <row r="43">
      <c r="A43" s="25" t="s">
        <v>7091</v>
      </c>
      <c r="B43" s="25"/>
      <c r="C43" s="11" t="s">
        <v>7074</v>
      </c>
      <c r="D43" s="74">
        <v>0.75</v>
      </c>
      <c r="E43" s="74">
        <v>0.75</v>
      </c>
      <c r="F43" s="229" t="s">
        <v>1656</v>
      </c>
      <c r="G43" s="321"/>
      <c r="H43" s="321"/>
      <c r="M43" s="35" t="s">
        <v>7091</v>
      </c>
      <c r="N43" s="35">
        <v>2345.0</v>
      </c>
      <c r="O43" s="36"/>
      <c r="P43" s="36"/>
      <c r="Q43" s="36" t="e">
        <v>#N/A</v>
      </c>
    </row>
    <row r="44">
      <c r="A44" s="25" t="s">
        <v>7092</v>
      </c>
      <c r="B44" s="25"/>
      <c r="C44" s="11" t="s">
        <v>7074</v>
      </c>
      <c r="D44" s="74">
        <v>0.75</v>
      </c>
      <c r="E44" s="74">
        <v>0.75</v>
      </c>
      <c r="F44" s="229" t="s">
        <v>1656</v>
      </c>
      <c r="G44" s="321"/>
      <c r="H44" s="321"/>
      <c r="M44" s="35" t="s">
        <v>7092</v>
      </c>
      <c r="N44" s="35">
        <v>2345.0</v>
      </c>
      <c r="O44" s="36"/>
      <c r="P44" s="36"/>
      <c r="Q44" s="36" t="e">
        <v>#N/A</v>
      </c>
    </row>
    <row r="45">
      <c r="A45" s="25" t="s">
        <v>7093</v>
      </c>
      <c r="B45" s="25">
        <v>6831.0</v>
      </c>
      <c r="C45" s="11" t="s">
        <v>7074</v>
      </c>
      <c r="D45" s="74">
        <v>0.75</v>
      </c>
      <c r="E45" s="74">
        <v>0.75</v>
      </c>
      <c r="F45" s="229" t="s">
        <v>1656</v>
      </c>
      <c r="G45" s="321"/>
      <c r="H45" s="321"/>
      <c r="M45" s="35" t="s">
        <v>7093</v>
      </c>
      <c r="N45" s="35">
        <v>986.0</v>
      </c>
      <c r="O45" s="36"/>
      <c r="P45" s="36"/>
      <c r="Q45" s="36" t="e">
        <v>#N/A</v>
      </c>
    </row>
    <row r="46">
      <c r="A46" s="25" t="s">
        <v>7094</v>
      </c>
      <c r="B46" s="25">
        <v>6949.0</v>
      </c>
      <c r="C46" s="11" t="s">
        <v>7074</v>
      </c>
      <c r="D46" s="74">
        <v>0.75</v>
      </c>
      <c r="E46" s="74">
        <v>0.75</v>
      </c>
      <c r="F46" s="229" t="s">
        <v>1656</v>
      </c>
      <c r="G46" s="321"/>
      <c r="H46" s="321"/>
      <c r="M46" s="11" t="s">
        <v>7094</v>
      </c>
      <c r="N46" s="11">
        <v>6949.0</v>
      </c>
      <c r="Q46" s="18">
        <v>1.0</v>
      </c>
    </row>
    <row r="47">
      <c r="A47" s="57" t="s">
        <v>7095</v>
      </c>
      <c r="B47" s="25">
        <v>6669.0</v>
      </c>
      <c r="C47" s="11" t="s">
        <v>7074</v>
      </c>
      <c r="D47" s="74">
        <v>0.75</v>
      </c>
      <c r="E47" s="74">
        <v>0.75</v>
      </c>
      <c r="F47" s="229" t="s">
        <v>1656</v>
      </c>
      <c r="G47" s="39"/>
      <c r="H47" s="39"/>
      <c r="M47" s="323" t="s">
        <v>7095</v>
      </c>
      <c r="N47" s="35">
        <v>986.0</v>
      </c>
      <c r="O47" s="36"/>
      <c r="P47" s="36"/>
      <c r="Q47" s="36" t="e">
        <v>#N/A</v>
      </c>
    </row>
    <row r="48">
      <c r="A48" s="57" t="s">
        <v>7096</v>
      </c>
      <c r="B48" s="25"/>
      <c r="C48" s="11" t="s">
        <v>7074</v>
      </c>
      <c r="D48" s="74">
        <v>0.75</v>
      </c>
      <c r="E48" s="74">
        <v>0.75</v>
      </c>
      <c r="F48" s="229" t="s">
        <v>1656</v>
      </c>
      <c r="G48" s="39"/>
      <c r="H48" s="39"/>
      <c r="M48" s="323" t="s">
        <v>7096</v>
      </c>
      <c r="N48" s="35">
        <v>14440.0</v>
      </c>
      <c r="O48" s="36"/>
      <c r="P48" s="36"/>
      <c r="Q48" s="36" t="e">
        <v>#N/A</v>
      </c>
    </row>
    <row r="49">
      <c r="A49" s="25" t="s">
        <v>7097</v>
      </c>
      <c r="B49" s="25"/>
      <c r="C49" s="11" t="s">
        <v>7074</v>
      </c>
      <c r="D49" s="74">
        <v>0.75</v>
      </c>
      <c r="E49" s="74">
        <v>0.75</v>
      </c>
      <c r="F49" s="229" t="s">
        <v>1656</v>
      </c>
      <c r="G49" s="39"/>
      <c r="H49" s="39"/>
      <c r="M49" s="35" t="s">
        <v>7097</v>
      </c>
      <c r="N49" s="35">
        <v>986.0</v>
      </c>
      <c r="O49" s="36"/>
      <c r="P49" s="36"/>
      <c r="Q49" s="36" t="e">
        <v>#N/A</v>
      </c>
    </row>
    <row r="50">
      <c r="A50" s="25" t="s">
        <v>7098</v>
      </c>
      <c r="B50" s="25"/>
      <c r="C50" s="11" t="s">
        <v>7074</v>
      </c>
      <c r="D50" s="74">
        <v>0.75</v>
      </c>
      <c r="E50" s="74">
        <v>0.75</v>
      </c>
      <c r="F50" s="229" t="s">
        <v>1656</v>
      </c>
      <c r="G50" s="39"/>
      <c r="H50" s="39"/>
      <c r="M50" s="35" t="s">
        <v>7098</v>
      </c>
      <c r="N50" s="35">
        <v>986.0</v>
      </c>
      <c r="O50" s="36"/>
      <c r="P50" s="36"/>
      <c r="Q50" s="36" t="e">
        <v>#N/A</v>
      </c>
    </row>
    <row r="51">
      <c r="A51" s="25" t="s">
        <v>7099</v>
      </c>
      <c r="B51" s="25">
        <v>11049.0</v>
      </c>
      <c r="C51" s="11" t="s">
        <v>7074</v>
      </c>
      <c r="D51" s="74">
        <v>0.82</v>
      </c>
      <c r="E51" s="74">
        <v>0.82</v>
      </c>
      <c r="F51" s="229" t="s">
        <v>1656</v>
      </c>
      <c r="G51" s="39"/>
      <c r="H51" s="39"/>
      <c r="M51" s="35" t="s">
        <v>7099</v>
      </c>
      <c r="N51" s="35">
        <v>4933.0</v>
      </c>
      <c r="O51" s="36"/>
      <c r="P51" s="36"/>
      <c r="Q51" s="36" t="e">
        <v>#N/A</v>
      </c>
    </row>
    <row r="52">
      <c r="A52" s="101" t="s">
        <v>7100</v>
      </c>
      <c r="B52" s="25">
        <v>11049.0</v>
      </c>
      <c r="C52" s="11" t="s">
        <v>7074</v>
      </c>
      <c r="D52" s="74">
        <v>0.82</v>
      </c>
      <c r="E52" s="74">
        <v>0.82</v>
      </c>
      <c r="F52" s="229" t="s">
        <v>1656</v>
      </c>
      <c r="G52" s="39"/>
      <c r="H52" s="39"/>
      <c r="M52" s="325" t="s">
        <v>7100</v>
      </c>
      <c r="N52" s="35">
        <v>11049.0</v>
      </c>
      <c r="O52" s="36"/>
      <c r="P52" s="36"/>
      <c r="Q52" s="36" t="e">
        <v>#N/A</v>
      </c>
    </row>
    <row r="53">
      <c r="A53" s="101" t="s">
        <v>7101</v>
      </c>
      <c r="B53" s="25">
        <v>11049.0</v>
      </c>
      <c r="C53" s="11" t="s">
        <v>7074</v>
      </c>
      <c r="D53" s="74">
        <v>0.82</v>
      </c>
      <c r="E53" s="74">
        <v>0.82</v>
      </c>
      <c r="F53" s="229" t="s">
        <v>1656</v>
      </c>
      <c r="G53" s="39"/>
      <c r="H53" s="39"/>
      <c r="M53" s="208" t="s">
        <v>7101</v>
      </c>
      <c r="N53" s="35">
        <v>11049.0</v>
      </c>
      <c r="O53" s="36"/>
      <c r="P53" s="36"/>
      <c r="Q53" s="36" t="e">
        <v>#N/A</v>
      </c>
    </row>
    <row r="54">
      <c r="A54" s="101" t="s">
        <v>7102</v>
      </c>
      <c r="B54" s="25">
        <v>12774.0</v>
      </c>
      <c r="C54" s="11" t="s">
        <v>7074</v>
      </c>
      <c r="D54" s="74">
        <v>0.75</v>
      </c>
      <c r="E54" s="74">
        <v>0.75</v>
      </c>
      <c r="F54" s="229" t="s">
        <v>1656</v>
      </c>
      <c r="G54" s="39"/>
      <c r="H54" s="39"/>
      <c r="M54" s="208" t="s">
        <v>7102</v>
      </c>
      <c r="N54" s="35">
        <v>6133.0</v>
      </c>
      <c r="O54" s="36"/>
      <c r="P54" s="36"/>
      <c r="Q54" s="36" t="e">
        <v>#N/A</v>
      </c>
    </row>
    <row r="55">
      <c r="A55" s="101" t="s">
        <v>7103</v>
      </c>
      <c r="B55" s="25">
        <v>14529.0</v>
      </c>
      <c r="C55" s="11" t="s">
        <v>7074</v>
      </c>
      <c r="D55" s="74">
        <v>0.75</v>
      </c>
      <c r="E55" s="74">
        <v>0.75</v>
      </c>
      <c r="F55" s="229" t="s">
        <v>1656</v>
      </c>
      <c r="G55" s="39"/>
      <c r="H55" s="39"/>
      <c r="M55" s="208" t="s">
        <v>7103</v>
      </c>
      <c r="N55" s="35">
        <v>6133.0</v>
      </c>
      <c r="O55" s="36"/>
      <c r="P55" s="36"/>
      <c r="Q55" s="36" t="e">
        <v>#N/A</v>
      </c>
    </row>
    <row r="56">
      <c r="A56" s="25" t="s">
        <v>7104</v>
      </c>
      <c r="B56" s="25">
        <v>6829.0</v>
      </c>
      <c r="C56" s="11" t="s">
        <v>7074</v>
      </c>
      <c r="D56" s="74">
        <v>0.75</v>
      </c>
      <c r="E56" s="74">
        <v>0.75</v>
      </c>
      <c r="F56" s="229" t="s">
        <v>1656</v>
      </c>
      <c r="G56" s="39"/>
      <c r="H56" s="39"/>
      <c r="M56" s="35" t="s">
        <v>7104</v>
      </c>
      <c r="N56" s="35">
        <v>2345.0</v>
      </c>
      <c r="O56" s="36"/>
      <c r="P56" s="36"/>
      <c r="Q56" s="36" t="e">
        <v>#N/A</v>
      </c>
    </row>
    <row r="57">
      <c r="A57" s="25" t="s">
        <v>7105</v>
      </c>
      <c r="B57" s="25">
        <v>5458.0</v>
      </c>
      <c r="C57" s="11" t="s">
        <v>7074</v>
      </c>
      <c r="D57" s="74">
        <v>0.75</v>
      </c>
      <c r="E57" s="74">
        <v>0.75</v>
      </c>
      <c r="F57" s="229" t="s">
        <v>1656</v>
      </c>
      <c r="G57" s="39"/>
      <c r="H57" s="39"/>
      <c r="M57" s="11" t="s">
        <v>7105</v>
      </c>
      <c r="N57" s="11">
        <v>5458.0</v>
      </c>
      <c r="Q57" s="18">
        <v>1.0</v>
      </c>
    </row>
    <row r="58">
      <c r="A58" s="25" t="s">
        <v>7106</v>
      </c>
      <c r="B58" s="25">
        <v>5458.0</v>
      </c>
      <c r="C58" s="11" t="s">
        <v>7074</v>
      </c>
      <c r="D58" s="74">
        <v>0.75</v>
      </c>
      <c r="E58" s="74">
        <v>0.75</v>
      </c>
      <c r="F58" s="229" t="s">
        <v>1656</v>
      </c>
      <c r="G58" s="39"/>
      <c r="H58" s="39"/>
      <c r="M58" s="11" t="s">
        <v>7106</v>
      </c>
      <c r="N58" s="11">
        <v>5458.0</v>
      </c>
      <c r="Q58" s="18">
        <v>1.0</v>
      </c>
    </row>
    <row r="59">
      <c r="A59" s="25" t="s">
        <v>7107</v>
      </c>
      <c r="B59" s="25">
        <v>11049.0</v>
      </c>
      <c r="C59" s="11" t="s">
        <v>7074</v>
      </c>
      <c r="D59" s="74">
        <v>0.82</v>
      </c>
      <c r="E59" s="74">
        <v>0.82</v>
      </c>
      <c r="F59" s="229" t="s">
        <v>1656</v>
      </c>
      <c r="G59" s="39"/>
      <c r="H59" s="39"/>
      <c r="M59" s="35" t="s">
        <v>7107</v>
      </c>
      <c r="N59" s="35">
        <v>986.0</v>
      </c>
      <c r="O59" s="36"/>
      <c r="P59" s="36"/>
      <c r="Q59" s="36" t="e">
        <v>#N/A</v>
      </c>
    </row>
    <row r="60">
      <c r="A60" s="322" t="s">
        <v>7108</v>
      </c>
      <c r="B60" s="25">
        <v>11049.0</v>
      </c>
      <c r="C60" s="11" t="s">
        <v>7074</v>
      </c>
      <c r="D60" s="74">
        <v>0.82</v>
      </c>
      <c r="E60" s="74">
        <v>0.82</v>
      </c>
      <c r="F60" s="229" t="s">
        <v>1656</v>
      </c>
      <c r="G60" s="39"/>
      <c r="H60" s="39"/>
      <c r="M60" s="35" t="s">
        <v>7108</v>
      </c>
      <c r="N60" s="35">
        <v>986.0</v>
      </c>
      <c r="O60" s="36"/>
      <c r="P60" s="36"/>
      <c r="Q60" s="36" t="e">
        <v>#N/A</v>
      </c>
    </row>
    <row r="61">
      <c r="A61" s="25" t="s">
        <v>7109</v>
      </c>
      <c r="B61" s="25">
        <v>11049.0</v>
      </c>
      <c r="C61" s="11" t="s">
        <v>7074</v>
      </c>
      <c r="D61" s="74">
        <v>0.82</v>
      </c>
      <c r="E61" s="74">
        <v>0.82</v>
      </c>
      <c r="F61" s="229" t="s">
        <v>1656</v>
      </c>
      <c r="G61" s="39"/>
      <c r="H61" s="39"/>
      <c r="M61" s="35" t="s">
        <v>7109</v>
      </c>
      <c r="N61" s="35">
        <v>189.0</v>
      </c>
      <c r="O61" s="36"/>
      <c r="P61" s="36"/>
      <c r="Q61" s="36" t="e">
        <v>#N/A</v>
      </c>
    </row>
    <row r="62">
      <c r="A62" s="25" t="s">
        <v>7110</v>
      </c>
      <c r="B62" s="25">
        <v>11049.0</v>
      </c>
      <c r="C62" s="11" t="s">
        <v>7074</v>
      </c>
      <c r="D62" s="74">
        <v>0.82</v>
      </c>
      <c r="E62" s="74">
        <v>0.82</v>
      </c>
      <c r="F62" s="229" t="s">
        <v>1656</v>
      </c>
      <c r="G62" s="39"/>
      <c r="H62" s="39"/>
      <c r="M62" s="35" t="s">
        <v>7110</v>
      </c>
      <c r="N62" s="35">
        <v>189.0</v>
      </c>
      <c r="O62" s="36"/>
      <c r="P62" s="36"/>
      <c r="Q62" s="36" t="e">
        <v>#N/A</v>
      </c>
    </row>
    <row r="63">
      <c r="A63" s="25" t="s">
        <v>7111</v>
      </c>
      <c r="B63" s="25">
        <v>6875.0</v>
      </c>
      <c r="C63" s="11" t="s">
        <v>7074</v>
      </c>
      <c r="D63" s="74">
        <v>0.75</v>
      </c>
      <c r="E63" s="74">
        <v>0.75</v>
      </c>
      <c r="F63" s="229" t="s">
        <v>1656</v>
      </c>
      <c r="G63" s="39"/>
      <c r="H63" s="39"/>
      <c r="M63" s="35" t="s">
        <v>7111</v>
      </c>
      <c r="N63" s="35">
        <v>6875.0</v>
      </c>
      <c r="O63" s="36"/>
      <c r="P63" s="36"/>
      <c r="Q63" s="36" t="e">
        <v>#N/A</v>
      </c>
    </row>
    <row r="64">
      <c r="A64" s="25" t="s">
        <v>7112</v>
      </c>
      <c r="B64" s="25"/>
      <c r="C64" s="11" t="s">
        <v>7074</v>
      </c>
      <c r="D64" s="74">
        <v>0.75</v>
      </c>
      <c r="E64" s="74">
        <v>0.75</v>
      </c>
      <c r="F64" s="229" t="s">
        <v>1656</v>
      </c>
      <c r="G64" s="39"/>
      <c r="H64" s="39"/>
      <c r="M64" s="35" t="s">
        <v>7112</v>
      </c>
      <c r="N64" s="35">
        <v>5458.0</v>
      </c>
      <c r="O64" s="36"/>
      <c r="P64" s="36"/>
      <c r="Q64" s="36" t="e">
        <v>#N/A</v>
      </c>
    </row>
    <row r="65">
      <c r="A65" s="101" t="s">
        <v>7113</v>
      </c>
      <c r="B65" s="25"/>
      <c r="C65" s="11" t="s">
        <v>7074</v>
      </c>
      <c r="D65" s="74">
        <v>0.75</v>
      </c>
      <c r="E65" s="74">
        <v>0.75</v>
      </c>
      <c r="F65" s="229" t="s">
        <v>1656</v>
      </c>
      <c r="G65" s="326"/>
      <c r="H65" s="326"/>
      <c r="M65" s="208" t="s">
        <v>7113</v>
      </c>
      <c r="N65" s="35">
        <v>2345.0</v>
      </c>
      <c r="O65" s="36"/>
      <c r="P65" s="36"/>
      <c r="Q65" s="36" t="e">
        <v>#N/A</v>
      </c>
    </row>
    <row r="66">
      <c r="A66" s="25" t="s">
        <v>7114</v>
      </c>
      <c r="B66" s="25">
        <v>6772.0</v>
      </c>
      <c r="C66" s="11" t="s">
        <v>7074</v>
      </c>
      <c r="D66" s="74">
        <v>0.75</v>
      </c>
      <c r="E66" s="74">
        <v>0.75</v>
      </c>
      <c r="F66" s="229" t="s">
        <v>1656</v>
      </c>
      <c r="G66" s="326"/>
      <c r="H66" s="326"/>
      <c r="M66" s="35" t="s">
        <v>7114</v>
      </c>
      <c r="N66" s="35">
        <v>189.0</v>
      </c>
      <c r="O66" s="36"/>
      <c r="P66" s="36"/>
      <c r="Q66" s="36" t="e">
        <v>#N/A</v>
      </c>
    </row>
    <row r="67">
      <c r="A67" s="25" t="s">
        <v>7115</v>
      </c>
      <c r="B67" s="25"/>
      <c r="C67" s="11" t="s">
        <v>7074</v>
      </c>
      <c r="D67" s="74">
        <v>0.75</v>
      </c>
      <c r="E67" s="74">
        <v>0.75</v>
      </c>
      <c r="F67" s="229" t="s">
        <v>1656</v>
      </c>
      <c r="G67" s="326"/>
      <c r="H67" s="326"/>
      <c r="M67" s="35" t="s">
        <v>7115</v>
      </c>
      <c r="N67" s="35">
        <v>189.0</v>
      </c>
      <c r="O67" s="36"/>
      <c r="P67" s="36"/>
      <c r="Q67" s="36" t="e">
        <v>#N/A</v>
      </c>
    </row>
    <row r="68">
      <c r="A68" s="25" t="s">
        <v>7116</v>
      </c>
      <c r="B68" s="25">
        <v>6132.0</v>
      </c>
      <c r="C68" s="11" t="s">
        <v>7074</v>
      </c>
      <c r="D68" s="74">
        <v>0.75</v>
      </c>
      <c r="E68" s="74">
        <v>0.75</v>
      </c>
      <c r="F68" s="229" t="s">
        <v>1656</v>
      </c>
      <c r="G68" s="326"/>
      <c r="H68" s="326"/>
      <c r="M68" s="35" t="s">
        <v>7116</v>
      </c>
      <c r="N68" s="35">
        <v>6132.0</v>
      </c>
      <c r="O68" s="36"/>
      <c r="P68" s="36"/>
      <c r="Q68" s="36" t="e">
        <v>#N/A</v>
      </c>
    </row>
    <row r="69">
      <c r="A69" s="101" t="s">
        <v>7117</v>
      </c>
      <c r="B69" s="25"/>
      <c r="C69" s="11" t="s">
        <v>7074</v>
      </c>
      <c r="D69" s="74">
        <v>0.75</v>
      </c>
      <c r="E69" s="74">
        <v>0.75</v>
      </c>
      <c r="F69" s="229" t="s">
        <v>1656</v>
      </c>
      <c r="G69" s="326"/>
      <c r="H69" s="326"/>
      <c r="M69" s="208" t="s">
        <v>7117</v>
      </c>
      <c r="N69" s="35">
        <v>2345.0</v>
      </c>
      <c r="O69" s="36"/>
      <c r="P69" s="36"/>
      <c r="Q69" s="36" t="e">
        <v>#N/A</v>
      </c>
    </row>
    <row r="70">
      <c r="A70" s="25" t="s">
        <v>7118</v>
      </c>
      <c r="B70" s="25"/>
      <c r="C70" s="11" t="s">
        <v>7074</v>
      </c>
      <c r="D70" s="74">
        <v>0.75</v>
      </c>
      <c r="E70" s="74">
        <v>0.75</v>
      </c>
      <c r="F70" s="229" t="s">
        <v>1656</v>
      </c>
      <c r="G70" s="326"/>
      <c r="H70" s="326"/>
      <c r="M70" s="35" t="s">
        <v>7118</v>
      </c>
      <c r="N70" s="35">
        <v>6823.0</v>
      </c>
      <c r="O70" s="36"/>
      <c r="P70" s="36"/>
      <c r="Q70" s="36" t="e">
        <v>#N/A</v>
      </c>
    </row>
    <row r="71">
      <c r="A71" s="25" t="s">
        <v>7119</v>
      </c>
      <c r="B71" s="25">
        <v>5389.0</v>
      </c>
      <c r="C71" s="11" t="s">
        <v>7074</v>
      </c>
      <c r="D71" s="74">
        <v>0.75</v>
      </c>
      <c r="E71" s="74">
        <v>0.75</v>
      </c>
      <c r="F71" s="229" t="s">
        <v>1656</v>
      </c>
      <c r="G71" s="326"/>
      <c r="H71" s="326"/>
      <c r="M71" s="35" t="s">
        <v>7119</v>
      </c>
      <c r="N71" s="35">
        <v>5389.0</v>
      </c>
      <c r="O71" s="36"/>
      <c r="P71" s="36"/>
      <c r="Q71" s="36" t="e">
        <v>#N/A</v>
      </c>
    </row>
    <row r="72">
      <c r="A72" s="25" t="s">
        <v>7120</v>
      </c>
      <c r="B72" s="25"/>
      <c r="C72" s="11" t="s">
        <v>7074</v>
      </c>
      <c r="D72" s="74">
        <v>0.75</v>
      </c>
      <c r="E72" s="74">
        <v>0.75</v>
      </c>
      <c r="F72" s="229" t="s">
        <v>1656</v>
      </c>
      <c r="G72" s="326"/>
      <c r="H72" s="326"/>
      <c r="M72" s="35" t="s">
        <v>7120</v>
      </c>
      <c r="N72" s="35">
        <v>986.0</v>
      </c>
      <c r="O72" s="36"/>
      <c r="P72" s="36"/>
      <c r="Q72" s="36" t="e">
        <v>#N/A</v>
      </c>
    </row>
    <row r="73">
      <c r="A73" s="25" t="s">
        <v>7121</v>
      </c>
      <c r="B73" s="25">
        <v>6924.0</v>
      </c>
      <c r="C73" s="11" t="s">
        <v>7074</v>
      </c>
      <c r="D73" s="74">
        <v>0.82</v>
      </c>
      <c r="E73" s="74">
        <v>0.82</v>
      </c>
      <c r="F73" s="229" t="s">
        <v>1656</v>
      </c>
      <c r="G73" s="326"/>
      <c r="H73" s="326"/>
      <c r="M73" s="35" t="s">
        <v>7121</v>
      </c>
      <c r="N73" s="35">
        <v>189.0</v>
      </c>
      <c r="O73" s="36"/>
      <c r="P73" s="36"/>
      <c r="Q73" s="36" t="e">
        <v>#N/A</v>
      </c>
    </row>
    <row r="74">
      <c r="A74" s="25" t="s">
        <v>7122</v>
      </c>
      <c r="B74" s="25"/>
      <c r="C74" s="11" t="s">
        <v>7074</v>
      </c>
      <c r="D74" s="74">
        <v>0.75</v>
      </c>
      <c r="E74" s="74">
        <v>0.75</v>
      </c>
      <c r="F74" s="229" t="s">
        <v>1656</v>
      </c>
      <c r="G74" s="326"/>
      <c r="H74" s="326"/>
      <c r="M74" s="35" t="s">
        <v>7122</v>
      </c>
      <c r="N74" s="35">
        <v>986.0</v>
      </c>
      <c r="O74" s="36"/>
      <c r="P74" s="36"/>
      <c r="Q74" s="36" t="e">
        <v>#N/A</v>
      </c>
    </row>
    <row r="75">
      <c r="A75" s="25" t="s">
        <v>7123</v>
      </c>
      <c r="B75" s="25">
        <v>14575.0</v>
      </c>
      <c r="C75" s="11" t="s">
        <v>7074</v>
      </c>
      <c r="D75" s="74">
        <v>0.85</v>
      </c>
      <c r="E75" s="74">
        <v>0.85</v>
      </c>
      <c r="F75" s="229" t="s">
        <v>1656</v>
      </c>
      <c r="G75" s="326"/>
      <c r="H75" s="326"/>
      <c r="M75" s="35" t="s">
        <v>7123</v>
      </c>
      <c r="N75" s="35">
        <v>986.0</v>
      </c>
      <c r="O75" s="36"/>
      <c r="P75" s="36"/>
      <c r="Q75" s="36" t="e">
        <v>#N/A</v>
      </c>
    </row>
    <row r="76">
      <c r="A76" s="25" t="s">
        <v>7124</v>
      </c>
      <c r="B76" s="25">
        <v>889.0</v>
      </c>
      <c r="C76" s="11" t="s">
        <v>7074</v>
      </c>
      <c r="D76" s="74">
        <v>0.75</v>
      </c>
      <c r="E76" s="74">
        <v>0.75</v>
      </c>
      <c r="F76" s="229" t="s">
        <v>1656</v>
      </c>
      <c r="G76" s="326"/>
      <c r="H76" s="326"/>
      <c r="M76" s="11" t="s">
        <v>7124</v>
      </c>
      <c r="N76" s="11">
        <v>7010.0</v>
      </c>
      <c r="Q76" s="18">
        <v>1.0</v>
      </c>
    </row>
    <row r="77">
      <c r="A77" s="25" t="s">
        <v>7125</v>
      </c>
      <c r="B77" s="25"/>
      <c r="C77" s="11" t="s">
        <v>7074</v>
      </c>
      <c r="D77" s="74">
        <v>0.75</v>
      </c>
      <c r="E77" s="74">
        <v>0.75</v>
      </c>
      <c r="F77" s="229" t="s">
        <v>1656</v>
      </c>
      <c r="G77" s="326"/>
      <c r="H77" s="326"/>
      <c r="M77" s="35" t="s">
        <v>7125</v>
      </c>
      <c r="N77" s="35">
        <v>669.0</v>
      </c>
      <c r="O77" s="36"/>
      <c r="P77" s="36"/>
      <c r="Q77" s="36" t="e">
        <v>#N/A</v>
      </c>
    </row>
    <row r="78">
      <c r="A78" s="25" t="s">
        <v>7126</v>
      </c>
      <c r="B78" s="25"/>
      <c r="C78" s="11" t="s">
        <v>7074</v>
      </c>
      <c r="D78" s="74">
        <v>0.75</v>
      </c>
      <c r="E78" s="74">
        <v>0.75</v>
      </c>
      <c r="F78" s="229" t="s">
        <v>1656</v>
      </c>
      <c r="G78" s="326"/>
      <c r="H78" s="326"/>
      <c r="M78" s="35" t="s">
        <v>7126</v>
      </c>
      <c r="N78" s="35">
        <v>6969.0</v>
      </c>
      <c r="O78" s="36"/>
      <c r="P78" s="36"/>
      <c r="Q78" s="36" t="e">
        <v>#N/A</v>
      </c>
    </row>
    <row r="79">
      <c r="A79" s="101" t="s">
        <v>7127</v>
      </c>
      <c r="B79" s="25">
        <v>11049.0</v>
      </c>
      <c r="C79" s="11" t="s">
        <v>7074</v>
      </c>
      <c r="D79" s="74">
        <v>0.82</v>
      </c>
      <c r="E79" s="74">
        <v>0.82</v>
      </c>
      <c r="F79" s="229" t="s">
        <v>1656</v>
      </c>
      <c r="G79" s="326"/>
      <c r="H79" s="326"/>
      <c r="M79" s="208" t="s">
        <v>7127</v>
      </c>
      <c r="N79" s="35">
        <v>11049.0</v>
      </c>
      <c r="O79" s="36"/>
      <c r="P79" s="36"/>
      <c r="Q79" s="36" t="e">
        <v>#N/A</v>
      </c>
    </row>
    <row r="80">
      <c r="A80" s="25" t="s">
        <v>7128</v>
      </c>
      <c r="B80" s="25"/>
      <c r="C80" s="11" t="s">
        <v>7074</v>
      </c>
      <c r="D80" s="74">
        <v>0.75</v>
      </c>
      <c r="E80" s="74">
        <v>0.75</v>
      </c>
      <c r="F80" s="229" t="s">
        <v>1656</v>
      </c>
      <c r="G80" s="326"/>
      <c r="H80" s="326"/>
      <c r="M80" s="35" t="s">
        <v>7128</v>
      </c>
      <c r="N80" s="35">
        <v>669.0</v>
      </c>
      <c r="O80" s="36"/>
      <c r="P80" s="36"/>
      <c r="Q80" s="36" t="e">
        <v>#N/A</v>
      </c>
    </row>
    <row r="81">
      <c r="A81" s="25" t="s">
        <v>7129</v>
      </c>
      <c r="B81" s="25">
        <v>14516.0</v>
      </c>
      <c r="C81" s="11" t="s">
        <v>7074</v>
      </c>
      <c r="D81" s="74">
        <v>0.75</v>
      </c>
      <c r="E81" s="74">
        <v>0.75</v>
      </c>
      <c r="F81" s="229" t="s">
        <v>1656</v>
      </c>
      <c r="G81" s="326"/>
      <c r="H81" s="326"/>
      <c r="M81" s="35" t="s">
        <v>7129</v>
      </c>
      <c r="N81" s="35">
        <v>6671.0</v>
      </c>
      <c r="O81" s="36"/>
      <c r="P81" s="36"/>
      <c r="Q81" s="36" t="e">
        <v>#N/A</v>
      </c>
    </row>
    <row r="82">
      <c r="A82" s="25" t="s">
        <v>7130</v>
      </c>
      <c r="B82" s="25"/>
      <c r="C82" s="11" t="s">
        <v>7074</v>
      </c>
      <c r="D82" s="74">
        <v>0.75</v>
      </c>
      <c r="E82" s="74">
        <v>0.75</v>
      </c>
      <c r="F82" s="229" t="s">
        <v>1656</v>
      </c>
      <c r="G82" s="326"/>
      <c r="H82" s="326"/>
      <c r="M82" s="35" t="s">
        <v>7130</v>
      </c>
      <c r="N82" s="35">
        <v>189.0</v>
      </c>
      <c r="O82" s="36"/>
      <c r="P82" s="36"/>
      <c r="Q82" s="36" t="e">
        <v>#N/A</v>
      </c>
    </row>
    <row r="83">
      <c r="A83" s="25" t="s">
        <v>7131</v>
      </c>
      <c r="B83" s="25">
        <v>189.0</v>
      </c>
      <c r="C83" s="11" t="s">
        <v>7074</v>
      </c>
      <c r="D83" s="74">
        <v>0.82</v>
      </c>
      <c r="E83" s="74">
        <v>0.82</v>
      </c>
      <c r="F83" s="229" t="s">
        <v>1656</v>
      </c>
      <c r="G83" s="326"/>
      <c r="H83" s="326"/>
      <c r="M83" s="11" t="s">
        <v>7131</v>
      </c>
      <c r="N83" s="11">
        <v>189.0</v>
      </c>
      <c r="Q83" s="18">
        <v>1.0</v>
      </c>
    </row>
    <row r="84">
      <c r="A84" s="25" t="s">
        <v>7132</v>
      </c>
      <c r="B84" s="25">
        <v>2345.0</v>
      </c>
      <c r="C84" s="11" t="s">
        <v>7074</v>
      </c>
      <c r="D84" s="74">
        <v>0.9</v>
      </c>
      <c r="E84" s="74">
        <v>0.9</v>
      </c>
      <c r="F84" s="229" t="s">
        <v>1656</v>
      </c>
      <c r="G84" s="326"/>
      <c r="H84" s="326"/>
      <c r="M84" s="11" t="s">
        <v>7132</v>
      </c>
      <c r="N84" s="11">
        <v>2345.0</v>
      </c>
      <c r="Q84" s="18">
        <v>1.0</v>
      </c>
    </row>
    <row r="85">
      <c r="A85" s="25" t="s">
        <v>7133</v>
      </c>
      <c r="B85" s="25">
        <v>6779.0</v>
      </c>
      <c r="C85" s="11" t="s">
        <v>7074</v>
      </c>
      <c r="D85" s="74">
        <v>0.75</v>
      </c>
      <c r="E85" s="74">
        <v>0.75</v>
      </c>
      <c r="F85" s="229" t="s">
        <v>1656</v>
      </c>
      <c r="G85" s="326"/>
      <c r="H85" s="326"/>
      <c r="M85" s="35" t="s">
        <v>7133</v>
      </c>
      <c r="N85" s="35">
        <v>2345.0</v>
      </c>
      <c r="O85" s="36"/>
      <c r="P85" s="36"/>
      <c r="Q85" s="36" t="e">
        <v>#N/A</v>
      </c>
    </row>
    <row r="86">
      <c r="A86" s="25" t="s">
        <v>7134</v>
      </c>
      <c r="B86" s="25"/>
      <c r="C86" s="11" t="s">
        <v>7074</v>
      </c>
      <c r="D86" s="74">
        <v>0.75</v>
      </c>
      <c r="E86" s="74">
        <v>0.75</v>
      </c>
      <c r="F86" s="229" t="s">
        <v>1656</v>
      </c>
      <c r="G86" s="326"/>
      <c r="H86" s="326"/>
      <c r="M86" s="35" t="s">
        <v>7134</v>
      </c>
      <c r="N86" s="35">
        <v>5125.0</v>
      </c>
      <c r="O86" s="36"/>
      <c r="P86" s="36"/>
      <c r="Q86" s="36" t="e">
        <v>#N/A</v>
      </c>
    </row>
    <row r="87">
      <c r="A87" s="25" t="s">
        <v>7135</v>
      </c>
      <c r="B87" s="25"/>
      <c r="C87" s="11" t="s">
        <v>7074</v>
      </c>
      <c r="D87" s="74">
        <v>0.75</v>
      </c>
      <c r="E87" s="74">
        <v>0.75</v>
      </c>
      <c r="F87" s="229" t="s">
        <v>1656</v>
      </c>
      <c r="G87" s="326"/>
      <c r="H87" s="326"/>
      <c r="M87" s="35" t="s">
        <v>7135</v>
      </c>
      <c r="N87" s="35">
        <v>2345.0</v>
      </c>
      <c r="O87" s="36"/>
      <c r="P87" s="36"/>
      <c r="Q87" s="36" t="e">
        <v>#N/A</v>
      </c>
    </row>
    <row r="88">
      <c r="A88" s="327" t="s">
        <v>7136</v>
      </c>
      <c r="B88" s="106">
        <v>11049.0</v>
      </c>
      <c r="C88" s="11" t="s">
        <v>7074</v>
      </c>
      <c r="D88" s="74">
        <v>0.82</v>
      </c>
      <c r="E88" s="74">
        <v>0.82</v>
      </c>
      <c r="F88" s="229" t="s">
        <v>1656</v>
      </c>
      <c r="G88" s="326"/>
      <c r="H88" s="326"/>
      <c r="M88" s="208" t="s">
        <v>7136</v>
      </c>
      <c r="N88" s="35">
        <v>11049.0</v>
      </c>
      <c r="O88" s="36"/>
      <c r="P88" s="36"/>
      <c r="Q88" s="36" t="e">
        <v>#N/A</v>
      </c>
    </row>
    <row r="89">
      <c r="A89" s="101" t="s">
        <v>7137</v>
      </c>
      <c r="B89" s="25">
        <v>12932.0</v>
      </c>
      <c r="C89" s="11" t="s">
        <v>7074</v>
      </c>
      <c r="D89" s="74">
        <v>0.75</v>
      </c>
      <c r="E89" s="74">
        <v>0.75</v>
      </c>
      <c r="F89" s="229" t="s">
        <v>1656</v>
      </c>
      <c r="G89" s="326"/>
      <c r="H89" s="326"/>
      <c r="M89" s="208" t="s">
        <v>7137</v>
      </c>
      <c r="N89" s="35">
        <v>12932.0</v>
      </c>
      <c r="O89" s="36"/>
      <c r="P89" s="36"/>
      <c r="Q89" s="36" t="e">
        <v>#N/A</v>
      </c>
    </row>
    <row r="90">
      <c r="A90" s="25" t="s">
        <v>7138</v>
      </c>
      <c r="B90" s="25"/>
      <c r="C90" s="11" t="s">
        <v>7074</v>
      </c>
      <c r="D90" s="74">
        <v>0.75</v>
      </c>
      <c r="E90" s="74">
        <v>0.75</v>
      </c>
      <c r="F90" s="229" t="s">
        <v>1656</v>
      </c>
      <c r="G90" s="326"/>
      <c r="H90" s="326"/>
      <c r="M90" s="35" t="s">
        <v>7138</v>
      </c>
      <c r="N90" s="35">
        <v>669.0</v>
      </c>
      <c r="O90" s="36"/>
      <c r="P90" s="36"/>
      <c r="Q90" s="36" t="e">
        <v>#N/A</v>
      </c>
    </row>
    <row r="91">
      <c r="A91" s="25" t="s">
        <v>7139</v>
      </c>
      <c r="B91" s="25">
        <v>6722.0</v>
      </c>
      <c r="C91" s="11" t="s">
        <v>7074</v>
      </c>
      <c r="D91" s="74">
        <v>0.75</v>
      </c>
      <c r="E91" s="74">
        <v>0.75</v>
      </c>
      <c r="F91" s="229" t="s">
        <v>1656</v>
      </c>
      <c r="G91" s="326"/>
      <c r="H91" s="326"/>
      <c r="M91" s="35" t="s">
        <v>7139</v>
      </c>
      <c r="N91" s="35">
        <v>6722.0</v>
      </c>
      <c r="O91" s="36"/>
      <c r="P91" s="36"/>
      <c r="Q91" s="36" t="e">
        <v>#N/A</v>
      </c>
    </row>
    <row r="92">
      <c r="A92" s="25" t="s">
        <v>7140</v>
      </c>
      <c r="B92" s="25"/>
      <c r="C92" s="11" t="s">
        <v>7074</v>
      </c>
      <c r="D92" s="74">
        <v>0.75</v>
      </c>
      <c r="E92" s="74">
        <v>0.75</v>
      </c>
      <c r="F92" s="229" t="s">
        <v>1656</v>
      </c>
      <c r="G92" s="326"/>
      <c r="H92" s="326"/>
      <c r="M92" s="35" t="s">
        <v>7140</v>
      </c>
      <c r="N92" s="35">
        <v>986.0</v>
      </c>
      <c r="O92" s="36"/>
      <c r="P92" s="36"/>
      <c r="Q92" s="36" t="e">
        <v>#N/A</v>
      </c>
    </row>
    <row r="93">
      <c r="A93" s="25" t="s">
        <v>7141</v>
      </c>
      <c r="B93" s="25"/>
      <c r="C93" s="11" t="s">
        <v>7074</v>
      </c>
      <c r="D93" s="74">
        <v>0.75</v>
      </c>
      <c r="E93" s="74">
        <v>0.75</v>
      </c>
      <c r="F93" s="229" t="s">
        <v>1656</v>
      </c>
      <c r="G93" s="326"/>
      <c r="H93" s="326"/>
      <c r="M93" s="35" t="s">
        <v>7141</v>
      </c>
      <c r="N93" s="35">
        <v>669.0</v>
      </c>
      <c r="O93" s="36"/>
      <c r="P93" s="36"/>
      <c r="Q93" s="36" t="e">
        <v>#N/A</v>
      </c>
    </row>
    <row r="94">
      <c r="A94" s="25" t="s">
        <v>7142</v>
      </c>
      <c r="B94" s="25"/>
      <c r="C94" s="11" t="s">
        <v>7074</v>
      </c>
      <c r="D94" s="74">
        <v>0.75</v>
      </c>
      <c r="E94" s="74">
        <v>0.75</v>
      </c>
      <c r="F94" s="229" t="s">
        <v>1656</v>
      </c>
      <c r="G94" s="326"/>
      <c r="H94" s="326"/>
      <c r="M94" s="35" t="s">
        <v>7142</v>
      </c>
      <c r="N94" s="35">
        <v>189.0</v>
      </c>
      <c r="O94" s="36"/>
      <c r="P94" s="36"/>
      <c r="Q94" s="36" t="e">
        <v>#N/A</v>
      </c>
    </row>
    <row r="95">
      <c r="A95" s="25" t="s">
        <v>7143</v>
      </c>
      <c r="B95" s="25">
        <v>14638.0</v>
      </c>
      <c r="C95" s="11" t="s">
        <v>7074</v>
      </c>
      <c r="D95" s="74">
        <v>0.75</v>
      </c>
      <c r="E95" s="74">
        <v>0.75</v>
      </c>
      <c r="F95" s="229" t="s">
        <v>1656</v>
      </c>
      <c r="G95" s="326"/>
      <c r="H95" s="326"/>
      <c r="M95" s="35" t="s">
        <v>7143</v>
      </c>
      <c r="N95" s="35">
        <v>189.0</v>
      </c>
      <c r="O95" s="36"/>
      <c r="P95" s="36"/>
      <c r="Q95" s="36" t="e">
        <v>#N/A</v>
      </c>
    </row>
    <row r="96">
      <c r="A96" s="25" t="s">
        <v>7144</v>
      </c>
      <c r="B96" s="25"/>
      <c r="C96" s="11" t="s">
        <v>7074</v>
      </c>
      <c r="D96" s="74">
        <v>0.75</v>
      </c>
      <c r="E96" s="74">
        <v>0.75</v>
      </c>
      <c r="F96" s="229" t="s">
        <v>1656</v>
      </c>
      <c r="G96" s="326"/>
      <c r="H96" s="326"/>
      <c r="M96" s="35" t="s">
        <v>7144</v>
      </c>
      <c r="N96" s="35">
        <v>189.0</v>
      </c>
      <c r="O96" s="36"/>
      <c r="P96" s="36"/>
      <c r="Q96" s="36" t="e">
        <v>#N/A</v>
      </c>
    </row>
    <row r="97">
      <c r="A97" s="101" t="s">
        <v>7145</v>
      </c>
      <c r="B97" s="25"/>
      <c r="C97" s="11" t="s">
        <v>7074</v>
      </c>
      <c r="D97" s="74">
        <v>0.75</v>
      </c>
      <c r="E97" s="74">
        <v>0.75</v>
      </c>
      <c r="F97" s="229" t="s">
        <v>1656</v>
      </c>
      <c r="G97" s="326"/>
      <c r="H97" s="326"/>
      <c r="M97" s="208" t="s">
        <v>7145</v>
      </c>
      <c r="N97" s="35">
        <v>7186.0</v>
      </c>
      <c r="O97" s="36"/>
      <c r="P97" s="36"/>
      <c r="Q97" s="36" t="e">
        <v>#N/A</v>
      </c>
    </row>
    <row r="98">
      <c r="A98" s="25" t="s">
        <v>7146</v>
      </c>
      <c r="B98" s="25"/>
      <c r="C98" s="11" t="s">
        <v>7074</v>
      </c>
      <c r="D98" s="74">
        <v>0.75</v>
      </c>
      <c r="E98" s="74">
        <v>0.75</v>
      </c>
      <c r="F98" s="229" t="s">
        <v>1656</v>
      </c>
      <c r="G98" s="326"/>
      <c r="H98" s="326"/>
      <c r="M98" s="35" t="s">
        <v>7146</v>
      </c>
      <c r="N98" s="35">
        <v>6732.0</v>
      </c>
      <c r="O98" s="36"/>
      <c r="P98" s="36"/>
      <c r="Q98" s="36" t="e">
        <v>#N/A</v>
      </c>
    </row>
    <row r="99">
      <c r="A99" s="25" t="s">
        <v>7147</v>
      </c>
      <c r="B99" s="25"/>
      <c r="C99" s="11" t="s">
        <v>7074</v>
      </c>
      <c r="D99" s="74">
        <v>0.75</v>
      </c>
      <c r="E99" s="74">
        <v>0.75</v>
      </c>
      <c r="F99" s="229" t="s">
        <v>1656</v>
      </c>
      <c r="G99" s="326"/>
      <c r="H99" s="326"/>
      <c r="M99" s="35" t="s">
        <v>7147</v>
      </c>
      <c r="N99" s="35">
        <v>6732.0</v>
      </c>
      <c r="O99" s="36"/>
      <c r="P99" s="36"/>
      <c r="Q99" s="36" t="e">
        <v>#N/A</v>
      </c>
    </row>
    <row r="100">
      <c r="A100" s="25" t="s">
        <v>7148</v>
      </c>
      <c r="B100" s="25"/>
      <c r="C100" s="11" t="s">
        <v>7074</v>
      </c>
      <c r="D100" s="74">
        <v>0.75</v>
      </c>
      <c r="E100" s="74">
        <v>0.75</v>
      </c>
      <c r="F100" s="229" t="s">
        <v>1656</v>
      </c>
      <c r="G100" s="326"/>
      <c r="H100" s="326"/>
      <c r="M100" s="35" t="s">
        <v>7148</v>
      </c>
      <c r="N100" s="35">
        <v>6732.0</v>
      </c>
      <c r="O100" s="36"/>
      <c r="P100" s="36"/>
      <c r="Q100" s="36" t="e">
        <v>#N/A</v>
      </c>
    </row>
    <row r="101">
      <c r="A101" s="25" t="s">
        <v>7149</v>
      </c>
      <c r="B101" s="25">
        <v>7023.0</v>
      </c>
      <c r="C101" s="11" t="s">
        <v>7074</v>
      </c>
      <c r="D101" s="74">
        <v>0.75</v>
      </c>
      <c r="E101" s="74">
        <v>0.75</v>
      </c>
      <c r="F101" s="229" t="s">
        <v>1656</v>
      </c>
      <c r="G101" s="326"/>
      <c r="H101" s="326"/>
      <c r="M101" s="35" t="s">
        <v>7149</v>
      </c>
      <c r="N101" s="35">
        <v>6772.0</v>
      </c>
      <c r="O101" s="36"/>
      <c r="P101" s="36"/>
      <c r="Q101" s="36" t="e">
        <v>#N/A</v>
      </c>
    </row>
    <row r="102">
      <c r="A102" s="25" t="s">
        <v>7150</v>
      </c>
      <c r="B102" s="25"/>
      <c r="C102" s="11" t="s">
        <v>7074</v>
      </c>
      <c r="D102" s="74">
        <v>0.75</v>
      </c>
      <c r="E102" s="74">
        <v>0.75</v>
      </c>
      <c r="F102" s="229" t="s">
        <v>1656</v>
      </c>
      <c r="G102" s="326"/>
      <c r="H102" s="326"/>
      <c r="M102" s="35" t="s">
        <v>7150</v>
      </c>
      <c r="N102" s="35">
        <v>2345.0</v>
      </c>
      <c r="O102" s="36"/>
      <c r="P102" s="36"/>
      <c r="Q102" s="36" t="e">
        <v>#N/A</v>
      </c>
    </row>
    <row r="103">
      <c r="A103" s="25" t="s">
        <v>7151</v>
      </c>
      <c r="B103" s="25"/>
      <c r="C103" s="11" t="s">
        <v>7074</v>
      </c>
      <c r="D103" s="74">
        <v>0.75</v>
      </c>
      <c r="E103" s="74">
        <v>0.75</v>
      </c>
      <c r="F103" s="229" t="s">
        <v>1656</v>
      </c>
      <c r="G103" s="326"/>
      <c r="H103" s="326"/>
      <c r="M103" s="35" t="s">
        <v>7151</v>
      </c>
      <c r="N103" s="35">
        <v>2345.0</v>
      </c>
      <c r="O103" s="36"/>
      <c r="P103" s="36"/>
      <c r="Q103" s="36" t="e">
        <v>#N/A</v>
      </c>
    </row>
    <row r="104">
      <c r="A104" s="25" t="s">
        <v>7152</v>
      </c>
      <c r="B104" s="25"/>
      <c r="C104" s="11" t="s">
        <v>7074</v>
      </c>
      <c r="D104" s="74">
        <v>0.75</v>
      </c>
      <c r="E104" s="74">
        <v>0.75</v>
      </c>
      <c r="F104" s="229" t="s">
        <v>1656</v>
      </c>
      <c r="G104" s="326"/>
      <c r="H104" s="326"/>
      <c r="M104" s="35" t="s">
        <v>7152</v>
      </c>
      <c r="N104" s="35">
        <v>2345.0</v>
      </c>
      <c r="O104" s="36"/>
      <c r="P104" s="36"/>
      <c r="Q104" s="36" t="e">
        <v>#N/A</v>
      </c>
    </row>
    <row r="105">
      <c r="A105" s="25" t="s">
        <v>7153</v>
      </c>
      <c r="B105" s="25"/>
      <c r="C105" s="11" t="s">
        <v>7074</v>
      </c>
      <c r="D105" s="74">
        <v>0.75</v>
      </c>
      <c r="E105" s="74">
        <v>0.75</v>
      </c>
      <c r="F105" s="229" t="s">
        <v>1656</v>
      </c>
      <c r="G105" s="326"/>
      <c r="H105" s="326"/>
      <c r="M105" s="35" t="s">
        <v>7153</v>
      </c>
      <c r="N105" s="35">
        <v>2345.0</v>
      </c>
      <c r="O105" s="36"/>
      <c r="P105" s="36"/>
      <c r="Q105" s="36" t="e">
        <v>#N/A</v>
      </c>
    </row>
    <row r="106">
      <c r="A106" s="25" t="s">
        <v>7154</v>
      </c>
      <c r="B106" s="25">
        <v>2345.0</v>
      </c>
      <c r="C106" s="11" t="s">
        <v>7074</v>
      </c>
      <c r="D106" s="74">
        <v>0.9</v>
      </c>
      <c r="E106" s="74">
        <v>0.9</v>
      </c>
      <c r="F106" s="229" t="s">
        <v>1656</v>
      </c>
      <c r="G106" s="326"/>
      <c r="H106" s="326"/>
      <c r="M106" s="11" t="s">
        <v>7154</v>
      </c>
      <c r="N106" s="11">
        <v>2345.0</v>
      </c>
      <c r="Q106" s="18">
        <v>1.0</v>
      </c>
    </row>
    <row r="107">
      <c r="A107" s="25" t="s">
        <v>7155</v>
      </c>
      <c r="B107" s="25"/>
      <c r="C107" s="11" t="s">
        <v>7074</v>
      </c>
      <c r="D107" s="74">
        <v>0.75</v>
      </c>
      <c r="E107" s="74">
        <v>0.75</v>
      </c>
      <c r="F107" s="229" t="s">
        <v>1656</v>
      </c>
      <c r="G107" s="326"/>
      <c r="H107" s="326"/>
      <c r="M107" s="35" t="s">
        <v>7155</v>
      </c>
      <c r="N107" s="35">
        <v>2345.0</v>
      </c>
      <c r="O107" s="36"/>
      <c r="P107" s="36"/>
      <c r="Q107" s="36" t="e">
        <v>#N/A</v>
      </c>
    </row>
    <row r="108">
      <c r="A108" s="25" t="s">
        <v>7156</v>
      </c>
      <c r="B108" s="25"/>
      <c r="C108" s="11" t="s">
        <v>7074</v>
      </c>
      <c r="D108" s="74">
        <v>0.75</v>
      </c>
      <c r="E108" s="74">
        <v>0.75</v>
      </c>
      <c r="F108" s="229" t="s">
        <v>1656</v>
      </c>
      <c r="G108" s="326"/>
      <c r="H108" s="326"/>
      <c r="M108" s="35" t="s">
        <v>7156</v>
      </c>
      <c r="N108" s="35">
        <v>2345.0</v>
      </c>
      <c r="O108" s="36"/>
      <c r="P108" s="36"/>
      <c r="Q108" s="36" t="e">
        <v>#N/A</v>
      </c>
    </row>
    <row r="109">
      <c r="A109" s="25" t="s">
        <v>7157</v>
      </c>
      <c r="B109" s="25"/>
      <c r="C109" s="11" t="s">
        <v>7074</v>
      </c>
      <c r="D109" s="74">
        <v>0.75</v>
      </c>
      <c r="E109" s="74">
        <v>0.75</v>
      </c>
      <c r="F109" s="229" t="s">
        <v>1656</v>
      </c>
      <c r="G109" s="326"/>
      <c r="H109" s="326"/>
      <c r="M109" s="35" t="s">
        <v>7157</v>
      </c>
      <c r="N109" s="35">
        <v>2345.0</v>
      </c>
      <c r="O109" s="36"/>
      <c r="P109" s="36"/>
      <c r="Q109" s="36" t="e">
        <v>#N/A</v>
      </c>
    </row>
    <row r="110">
      <c r="A110" s="25" t="s">
        <v>7158</v>
      </c>
      <c r="B110" s="25"/>
      <c r="C110" s="11" t="s">
        <v>7074</v>
      </c>
      <c r="D110" s="74">
        <v>0.75</v>
      </c>
      <c r="E110" s="74">
        <v>0.75</v>
      </c>
      <c r="F110" s="229" t="s">
        <v>1656</v>
      </c>
      <c r="G110" s="326"/>
      <c r="H110" s="326"/>
      <c r="M110" s="35" t="s">
        <v>7158</v>
      </c>
      <c r="N110" s="35">
        <v>2345.0</v>
      </c>
      <c r="O110" s="36"/>
      <c r="P110" s="36"/>
      <c r="Q110" s="36" t="e">
        <v>#N/A</v>
      </c>
    </row>
    <row r="111">
      <c r="A111" s="25" t="s">
        <v>7159</v>
      </c>
      <c r="B111" s="25">
        <v>7157.0</v>
      </c>
      <c r="C111" s="11" t="s">
        <v>7074</v>
      </c>
      <c r="D111" s="74">
        <v>0.75</v>
      </c>
      <c r="E111" s="74">
        <v>0.75</v>
      </c>
      <c r="F111" s="229" t="s">
        <v>1656</v>
      </c>
      <c r="G111" s="326"/>
      <c r="H111" s="326"/>
      <c r="M111" s="35" t="s">
        <v>7159</v>
      </c>
      <c r="N111" s="35">
        <v>2345.0</v>
      </c>
      <c r="O111" s="36"/>
      <c r="P111" s="36"/>
      <c r="Q111" s="36" t="e">
        <v>#N/A</v>
      </c>
    </row>
    <row r="112">
      <c r="A112" s="25" t="s">
        <v>7160</v>
      </c>
      <c r="B112" s="25"/>
      <c r="C112" s="11" t="s">
        <v>7074</v>
      </c>
      <c r="D112" s="74">
        <v>0.75</v>
      </c>
      <c r="E112" s="74">
        <v>0.75</v>
      </c>
      <c r="F112" s="229" t="s">
        <v>1656</v>
      </c>
      <c r="G112" s="326"/>
      <c r="H112" s="326"/>
      <c r="M112" s="35" t="s">
        <v>7160</v>
      </c>
      <c r="N112" s="35">
        <v>2345.0</v>
      </c>
      <c r="O112" s="36"/>
      <c r="P112" s="36"/>
      <c r="Q112" s="36" t="e">
        <v>#N/A</v>
      </c>
    </row>
    <row r="113">
      <c r="A113" s="25" t="s">
        <v>7161</v>
      </c>
      <c r="B113" s="25">
        <v>6998.0</v>
      </c>
      <c r="C113" s="11" t="s">
        <v>7074</v>
      </c>
      <c r="D113" s="74">
        <v>0.75</v>
      </c>
      <c r="E113" s="74">
        <v>0.75</v>
      </c>
      <c r="F113" s="229" t="s">
        <v>1656</v>
      </c>
      <c r="G113" s="326"/>
      <c r="H113" s="326"/>
      <c r="M113" s="11" t="s">
        <v>7161</v>
      </c>
      <c r="N113" s="11">
        <v>6998.0</v>
      </c>
      <c r="Q113" s="18">
        <v>1.0</v>
      </c>
    </row>
    <row r="114">
      <c r="A114" s="25" t="s">
        <v>7162</v>
      </c>
      <c r="B114" s="25"/>
      <c r="C114" s="11" t="s">
        <v>7074</v>
      </c>
      <c r="D114" s="74">
        <v>0.75</v>
      </c>
      <c r="E114" s="74">
        <v>0.75</v>
      </c>
      <c r="F114" s="229" t="s">
        <v>1656</v>
      </c>
      <c r="G114" s="326"/>
      <c r="H114" s="326"/>
      <c r="M114" s="35" t="s">
        <v>7162</v>
      </c>
      <c r="N114" s="35">
        <v>1360.0</v>
      </c>
      <c r="O114" s="36"/>
      <c r="P114" s="36"/>
      <c r="Q114" s="36" t="e">
        <v>#N/A</v>
      </c>
    </row>
    <row r="115">
      <c r="A115" s="25" t="s">
        <v>7163</v>
      </c>
      <c r="B115" s="25"/>
      <c r="C115" s="11" t="s">
        <v>7074</v>
      </c>
      <c r="D115" s="74">
        <v>0.75</v>
      </c>
      <c r="E115" s="74">
        <v>0.75</v>
      </c>
      <c r="F115" s="229" t="s">
        <v>1656</v>
      </c>
      <c r="G115" s="326"/>
      <c r="H115" s="326"/>
      <c r="M115" s="35" t="s">
        <v>7163</v>
      </c>
      <c r="N115" s="35">
        <v>663.0</v>
      </c>
      <c r="O115" s="36"/>
      <c r="P115" s="36"/>
      <c r="Q115" s="36" t="e">
        <v>#N/A</v>
      </c>
    </row>
    <row r="116">
      <c r="A116" s="25" t="s">
        <v>7164</v>
      </c>
      <c r="B116" s="25"/>
      <c r="C116" s="11" t="s">
        <v>7074</v>
      </c>
      <c r="D116" s="74">
        <v>0.75</v>
      </c>
      <c r="E116" s="74">
        <v>0.75</v>
      </c>
      <c r="F116" s="229" t="s">
        <v>1656</v>
      </c>
      <c r="G116" s="326"/>
      <c r="H116" s="326"/>
      <c r="M116" s="35" t="s">
        <v>7164</v>
      </c>
      <c r="N116" s="35">
        <v>663.0</v>
      </c>
      <c r="O116" s="36"/>
      <c r="P116" s="36"/>
      <c r="Q116" s="36" t="e">
        <v>#N/A</v>
      </c>
    </row>
    <row r="117">
      <c r="A117" s="106" t="s">
        <v>7165</v>
      </c>
      <c r="B117" s="175" t="s">
        <v>6157</v>
      </c>
      <c r="C117" s="11" t="s">
        <v>7074</v>
      </c>
      <c r="D117" s="74">
        <v>0.75</v>
      </c>
      <c r="E117" s="74">
        <v>0.75</v>
      </c>
      <c r="F117" s="229" t="s">
        <v>1656</v>
      </c>
      <c r="G117" s="326"/>
      <c r="H117" s="326"/>
      <c r="M117" s="328" t="s">
        <v>7165</v>
      </c>
      <c r="O117" s="329"/>
      <c r="P117" s="11">
        <v>669.0</v>
      </c>
      <c r="Q117" s="18">
        <v>1.0</v>
      </c>
    </row>
    <row r="118">
      <c r="A118" s="25" t="s">
        <v>7166</v>
      </c>
      <c r="B118" s="37">
        <v>11049.0</v>
      </c>
      <c r="C118" s="11" t="s">
        <v>7074</v>
      </c>
      <c r="D118" s="74">
        <v>0.82</v>
      </c>
      <c r="E118" s="74">
        <v>0.82</v>
      </c>
      <c r="F118" s="229" t="s">
        <v>1656</v>
      </c>
      <c r="G118" s="326"/>
      <c r="H118" s="326"/>
      <c r="M118" s="35" t="s">
        <v>7166</v>
      </c>
      <c r="N118" s="35">
        <v>669.0</v>
      </c>
      <c r="O118" s="36"/>
      <c r="P118" s="36"/>
      <c r="Q118" s="36" t="e">
        <v>#N/A</v>
      </c>
    </row>
    <row r="119">
      <c r="A119" s="25" t="s">
        <v>7167</v>
      </c>
      <c r="B119" s="37">
        <v>11049.0</v>
      </c>
      <c r="C119" s="11" t="s">
        <v>7074</v>
      </c>
      <c r="D119" s="74">
        <v>0.82</v>
      </c>
      <c r="E119" s="74">
        <v>0.82</v>
      </c>
      <c r="F119" s="229" t="s">
        <v>1656</v>
      </c>
      <c r="G119" s="326"/>
      <c r="H119" s="326"/>
      <c r="M119" s="35" t="s">
        <v>7167</v>
      </c>
      <c r="N119" s="35">
        <v>669.0</v>
      </c>
      <c r="O119" s="36"/>
      <c r="P119" s="36"/>
      <c r="Q119" s="36" t="e">
        <v>#N/A</v>
      </c>
    </row>
    <row r="120">
      <c r="A120" s="25" t="s">
        <v>7168</v>
      </c>
      <c r="B120" s="37">
        <v>11049.0</v>
      </c>
      <c r="C120" s="11" t="s">
        <v>7074</v>
      </c>
      <c r="D120" s="74">
        <v>0.82</v>
      </c>
      <c r="E120" s="74">
        <v>0.82</v>
      </c>
      <c r="F120" s="229" t="s">
        <v>1656</v>
      </c>
      <c r="G120" s="326"/>
      <c r="H120" s="326"/>
      <c r="M120" s="35" t="s">
        <v>7168</v>
      </c>
      <c r="N120" s="35">
        <v>669.0</v>
      </c>
      <c r="O120" s="36"/>
      <c r="P120" s="36"/>
      <c r="Q120" s="36" t="e">
        <v>#N/A</v>
      </c>
    </row>
    <row r="121">
      <c r="A121" s="25" t="s">
        <v>7169</v>
      </c>
      <c r="B121" s="25"/>
      <c r="C121" s="11" t="s">
        <v>7074</v>
      </c>
      <c r="D121" s="74">
        <v>0.75</v>
      </c>
      <c r="E121" s="74">
        <v>0.75</v>
      </c>
      <c r="F121" s="229" t="s">
        <v>1656</v>
      </c>
      <c r="G121" s="326"/>
      <c r="H121" s="326"/>
      <c r="M121" s="35" t="s">
        <v>7169</v>
      </c>
      <c r="N121" s="35">
        <v>7010.0</v>
      </c>
      <c r="O121" s="36"/>
      <c r="P121" s="36"/>
      <c r="Q121" s="36" t="e">
        <v>#N/A</v>
      </c>
    </row>
    <row r="122">
      <c r="A122" s="25" t="s">
        <v>7170</v>
      </c>
      <c r="B122" s="37">
        <v>11049.0</v>
      </c>
      <c r="C122" s="11" t="s">
        <v>7074</v>
      </c>
      <c r="D122" s="74">
        <v>0.82</v>
      </c>
      <c r="E122" s="74">
        <v>0.82</v>
      </c>
      <c r="F122" s="229" t="s">
        <v>1656</v>
      </c>
      <c r="G122" s="326"/>
      <c r="H122" s="326"/>
      <c r="M122" s="35" t="s">
        <v>7170</v>
      </c>
      <c r="N122" s="35">
        <v>669.0</v>
      </c>
      <c r="O122" s="36"/>
      <c r="P122" s="36"/>
      <c r="Q122" s="36" t="e">
        <v>#N/A</v>
      </c>
    </row>
    <row r="123">
      <c r="A123" s="25" t="s">
        <v>7171</v>
      </c>
      <c r="B123" s="37">
        <v>11049.0</v>
      </c>
      <c r="C123" s="11" t="s">
        <v>7074</v>
      </c>
      <c r="D123" s="74">
        <v>0.82</v>
      </c>
      <c r="E123" s="74">
        <v>0.82</v>
      </c>
      <c r="F123" s="229" t="s">
        <v>1656</v>
      </c>
      <c r="G123" s="326"/>
      <c r="H123" s="326"/>
      <c r="M123" s="35" t="s">
        <v>7171</v>
      </c>
      <c r="N123" s="35">
        <v>669.0</v>
      </c>
      <c r="O123" s="36"/>
      <c r="P123" s="36"/>
      <c r="Q123" s="36" t="e">
        <v>#N/A</v>
      </c>
    </row>
    <row r="124">
      <c r="A124" s="25" t="s">
        <v>7172</v>
      </c>
      <c r="B124" s="37">
        <v>11049.0</v>
      </c>
      <c r="C124" s="11" t="s">
        <v>7074</v>
      </c>
      <c r="D124" s="74">
        <v>0.82</v>
      </c>
      <c r="E124" s="74">
        <v>0.82</v>
      </c>
      <c r="F124" s="229" t="s">
        <v>1656</v>
      </c>
      <c r="G124" s="326"/>
      <c r="H124" s="326"/>
      <c r="M124" s="35" t="s">
        <v>7172</v>
      </c>
      <c r="N124" s="35">
        <v>669.0</v>
      </c>
      <c r="O124" s="36"/>
      <c r="P124" s="36"/>
      <c r="Q124" s="36" t="e">
        <v>#N/A</v>
      </c>
    </row>
    <row r="125">
      <c r="A125" s="25" t="s">
        <v>7173</v>
      </c>
      <c r="B125" s="37">
        <v>11049.0</v>
      </c>
      <c r="C125" s="11" t="s">
        <v>7074</v>
      </c>
      <c r="D125" s="74">
        <v>0.82</v>
      </c>
      <c r="E125" s="74">
        <v>0.82</v>
      </c>
      <c r="F125" s="229" t="s">
        <v>1656</v>
      </c>
      <c r="G125" s="326"/>
      <c r="H125" s="326"/>
      <c r="M125" s="35" t="s">
        <v>7173</v>
      </c>
      <c r="N125" s="35">
        <v>669.0</v>
      </c>
      <c r="O125" s="36"/>
      <c r="P125" s="36"/>
      <c r="Q125" s="36" t="e">
        <v>#N/A</v>
      </c>
    </row>
    <row r="126">
      <c r="A126" s="25" t="s">
        <v>7174</v>
      </c>
      <c r="B126" s="37">
        <v>6722.0</v>
      </c>
      <c r="C126" s="11" t="s">
        <v>7074</v>
      </c>
      <c r="D126" s="74">
        <v>0.75</v>
      </c>
      <c r="E126" s="74">
        <v>0.75</v>
      </c>
      <c r="F126" s="229" t="s">
        <v>1656</v>
      </c>
      <c r="G126" s="326"/>
      <c r="H126" s="326"/>
      <c r="M126" s="35" t="s">
        <v>7174</v>
      </c>
      <c r="N126" s="35">
        <v>669.0</v>
      </c>
      <c r="O126" s="36"/>
      <c r="P126" s="36"/>
      <c r="Q126" s="36" t="e">
        <v>#N/A</v>
      </c>
    </row>
    <row r="127">
      <c r="A127" s="25" t="s">
        <v>7175</v>
      </c>
      <c r="B127" s="25">
        <v>7010.0</v>
      </c>
      <c r="C127" s="11" t="s">
        <v>7074</v>
      </c>
      <c r="D127" s="74">
        <v>0.82</v>
      </c>
      <c r="E127" s="74">
        <v>0.82</v>
      </c>
      <c r="F127" s="229" t="s">
        <v>1656</v>
      </c>
      <c r="G127" s="326"/>
      <c r="H127" s="326"/>
      <c r="M127" s="11" t="s">
        <v>7175</v>
      </c>
      <c r="N127" s="11">
        <v>7010.0</v>
      </c>
      <c r="Q127" s="18">
        <v>1.0</v>
      </c>
    </row>
    <row r="128">
      <c r="A128" s="106" t="s">
        <v>7176</v>
      </c>
      <c r="B128" s="175" t="s">
        <v>6157</v>
      </c>
      <c r="C128" s="11" t="s">
        <v>7074</v>
      </c>
      <c r="D128" s="74">
        <v>0.75</v>
      </c>
      <c r="E128" s="74">
        <v>0.75</v>
      </c>
      <c r="F128" s="229" t="s">
        <v>1656</v>
      </c>
      <c r="G128" s="326"/>
      <c r="H128" s="326"/>
      <c r="M128" s="330" t="s">
        <v>7176</v>
      </c>
      <c r="O128" s="331"/>
      <c r="Q128" s="18">
        <v>1.0</v>
      </c>
    </row>
    <row r="129">
      <c r="A129" s="25" t="s">
        <v>7177</v>
      </c>
      <c r="B129" s="25">
        <v>6998.0</v>
      </c>
      <c r="C129" s="11" t="s">
        <v>7074</v>
      </c>
      <c r="D129" s="74">
        <v>0.75</v>
      </c>
      <c r="E129" s="74">
        <v>0.75</v>
      </c>
      <c r="F129" s="229" t="s">
        <v>1656</v>
      </c>
      <c r="G129" s="326"/>
      <c r="H129" s="326"/>
      <c r="M129" s="35" t="s">
        <v>7177</v>
      </c>
      <c r="N129" s="35">
        <v>6998.0</v>
      </c>
      <c r="O129" s="36"/>
      <c r="P129" s="36"/>
      <c r="Q129" s="36" t="e">
        <v>#N/A</v>
      </c>
    </row>
    <row r="130">
      <c r="A130" s="25" t="s">
        <v>7178</v>
      </c>
      <c r="B130" s="25"/>
      <c r="C130" s="11" t="s">
        <v>7074</v>
      </c>
      <c r="D130" s="74">
        <v>0.75</v>
      </c>
      <c r="E130" s="74">
        <v>0.75</v>
      </c>
      <c r="F130" s="229" t="s">
        <v>1656</v>
      </c>
      <c r="G130" s="326"/>
      <c r="H130" s="326"/>
      <c r="M130" s="35" t="s">
        <v>7178</v>
      </c>
      <c r="N130" s="35">
        <v>1360.0</v>
      </c>
      <c r="O130" s="36"/>
      <c r="P130" s="36"/>
      <c r="Q130" s="36" t="e">
        <v>#N/A</v>
      </c>
    </row>
    <row r="131">
      <c r="A131" s="25" t="s">
        <v>7179</v>
      </c>
      <c r="B131" s="25"/>
      <c r="C131" s="11" t="s">
        <v>7074</v>
      </c>
      <c r="D131" s="74">
        <v>0.75</v>
      </c>
      <c r="E131" s="74">
        <v>0.75</v>
      </c>
      <c r="F131" s="229" t="s">
        <v>1656</v>
      </c>
      <c r="G131" s="326"/>
      <c r="H131" s="326"/>
      <c r="M131" s="35" t="s">
        <v>7179</v>
      </c>
      <c r="N131" s="35">
        <v>499.0</v>
      </c>
      <c r="O131" s="36"/>
      <c r="P131" s="36"/>
      <c r="Q131" s="36" t="e">
        <v>#N/A</v>
      </c>
    </row>
    <row r="132">
      <c r="A132" s="25" t="s">
        <v>7180</v>
      </c>
      <c r="B132" s="25">
        <v>7010.0</v>
      </c>
      <c r="C132" s="11" t="s">
        <v>7074</v>
      </c>
      <c r="D132" s="74">
        <v>0.82</v>
      </c>
      <c r="E132" s="74">
        <v>0.82</v>
      </c>
      <c r="F132" s="229" t="s">
        <v>1656</v>
      </c>
      <c r="G132" s="326"/>
      <c r="H132" s="326"/>
      <c r="M132" s="11" t="s">
        <v>7180</v>
      </c>
      <c r="N132" s="11">
        <v>7010.0</v>
      </c>
      <c r="Q132" s="18">
        <v>1.0</v>
      </c>
    </row>
    <row r="133">
      <c r="A133" s="25" t="s">
        <v>7181</v>
      </c>
      <c r="B133" s="25"/>
      <c r="C133" s="11" t="s">
        <v>7074</v>
      </c>
      <c r="D133" s="74">
        <v>0.75</v>
      </c>
      <c r="E133" s="74">
        <v>0.75</v>
      </c>
      <c r="F133" s="229" t="s">
        <v>1656</v>
      </c>
      <c r="G133" s="326"/>
      <c r="H133" s="326"/>
      <c r="M133" s="35" t="s">
        <v>7181</v>
      </c>
      <c r="N133" s="35">
        <v>986.0</v>
      </c>
      <c r="O133" s="36"/>
      <c r="P133" s="36"/>
      <c r="Q133" s="36" t="e">
        <v>#N/A</v>
      </c>
    </row>
    <row r="134">
      <c r="A134" s="25" t="s">
        <v>7182</v>
      </c>
      <c r="B134" s="25">
        <v>14571.0</v>
      </c>
      <c r="C134" s="11" t="s">
        <v>7074</v>
      </c>
      <c r="D134" s="74">
        <v>0.75</v>
      </c>
      <c r="E134" s="74">
        <v>0.75</v>
      </c>
      <c r="F134" s="229" t="s">
        <v>1656</v>
      </c>
      <c r="G134" s="326"/>
      <c r="H134" s="326"/>
      <c r="M134" s="35" t="s">
        <v>7182</v>
      </c>
      <c r="N134" s="35">
        <v>986.0</v>
      </c>
      <c r="O134" s="36"/>
      <c r="P134" s="36"/>
      <c r="Q134" s="36" t="e">
        <v>#N/A</v>
      </c>
    </row>
    <row r="135">
      <c r="A135" s="25" t="s">
        <v>7183</v>
      </c>
      <c r="B135" s="25">
        <v>14571.0</v>
      </c>
      <c r="C135" s="11" t="s">
        <v>7074</v>
      </c>
      <c r="D135" s="74">
        <v>0.75</v>
      </c>
      <c r="E135" s="74">
        <v>0.75</v>
      </c>
      <c r="F135" s="229" t="s">
        <v>1656</v>
      </c>
      <c r="G135" s="326"/>
      <c r="H135" s="326"/>
      <c r="M135" s="35" t="s">
        <v>7183</v>
      </c>
      <c r="N135" s="35">
        <v>986.0</v>
      </c>
      <c r="O135" s="36"/>
      <c r="P135" s="36"/>
      <c r="Q135" s="36" t="e">
        <v>#N/A</v>
      </c>
    </row>
    <row r="136">
      <c r="A136" s="25" t="s">
        <v>7184</v>
      </c>
      <c r="B136" s="25">
        <v>3607.0</v>
      </c>
      <c r="C136" s="11" t="s">
        <v>7074</v>
      </c>
      <c r="D136" s="74">
        <v>0.82</v>
      </c>
      <c r="E136" s="74">
        <v>0.82</v>
      </c>
      <c r="F136" s="229" t="s">
        <v>1656</v>
      </c>
      <c r="G136" s="326"/>
      <c r="H136" s="326"/>
      <c r="M136" s="35" t="s">
        <v>7184</v>
      </c>
      <c r="N136" s="35">
        <v>986.0</v>
      </c>
      <c r="O136" s="36"/>
      <c r="P136" s="36"/>
      <c r="Q136" s="36" t="e">
        <v>#N/A</v>
      </c>
    </row>
    <row r="137">
      <c r="A137" s="25" t="s">
        <v>7185</v>
      </c>
      <c r="B137" s="25"/>
      <c r="C137" s="11" t="s">
        <v>7074</v>
      </c>
      <c r="D137" s="74">
        <v>0.75</v>
      </c>
      <c r="E137" s="74">
        <v>0.75</v>
      </c>
      <c r="F137" s="229" t="s">
        <v>1656</v>
      </c>
      <c r="G137" s="326"/>
      <c r="H137" s="326"/>
      <c r="M137" s="35" t="s">
        <v>7185</v>
      </c>
      <c r="N137" s="35">
        <v>986.0</v>
      </c>
      <c r="O137" s="36"/>
      <c r="P137" s="36"/>
      <c r="Q137" s="36" t="e">
        <v>#N/A</v>
      </c>
    </row>
    <row r="138">
      <c r="A138" s="25" t="s">
        <v>7186</v>
      </c>
      <c r="B138" s="25"/>
      <c r="C138" s="11" t="s">
        <v>7074</v>
      </c>
      <c r="D138" s="74">
        <v>0.75</v>
      </c>
      <c r="E138" s="74">
        <v>0.75</v>
      </c>
      <c r="F138" s="229" t="s">
        <v>1656</v>
      </c>
      <c r="G138" s="326"/>
      <c r="H138" s="326"/>
      <c r="M138" s="35" t="s">
        <v>7186</v>
      </c>
      <c r="N138" s="35">
        <v>986.0</v>
      </c>
      <c r="O138" s="36"/>
      <c r="P138" s="36"/>
      <c r="Q138" s="36" t="e">
        <v>#N/A</v>
      </c>
    </row>
    <row r="139">
      <c r="A139" s="25" t="s">
        <v>7187</v>
      </c>
      <c r="B139" s="25">
        <v>8002.0</v>
      </c>
      <c r="C139" s="11" t="s">
        <v>7074</v>
      </c>
      <c r="D139" s="74">
        <v>0.75</v>
      </c>
      <c r="E139" s="74">
        <v>0.75</v>
      </c>
      <c r="F139" s="229" t="s">
        <v>1656</v>
      </c>
      <c r="G139" s="326"/>
      <c r="H139" s="326"/>
      <c r="M139" s="11" t="s">
        <v>7187</v>
      </c>
      <c r="N139" s="11">
        <v>7055.0</v>
      </c>
      <c r="Q139" s="18">
        <v>1.0</v>
      </c>
    </row>
    <row r="140">
      <c r="A140" s="25" t="s">
        <v>7188</v>
      </c>
      <c r="B140" s="25">
        <v>3607.0</v>
      </c>
      <c r="C140" s="11" t="s">
        <v>7074</v>
      </c>
      <c r="D140" s="74">
        <v>0.82</v>
      </c>
      <c r="E140" s="74">
        <v>0.82</v>
      </c>
      <c r="F140" s="229" t="s">
        <v>1656</v>
      </c>
      <c r="G140" s="326"/>
      <c r="H140" s="326"/>
      <c r="M140" s="35" t="s">
        <v>7188</v>
      </c>
      <c r="N140" s="35">
        <v>3607.0</v>
      </c>
      <c r="O140" s="36"/>
      <c r="P140" s="36"/>
      <c r="Q140" s="36" t="e">
        <v>#N/A</v>
      </c>
    </row>
    <row r="141">
      <c r="A141" s="25" t="s">
        <v>7189</v>
      </c>
      <c r="B141" s="25">
        <v>3607.0</v>
      </c>
      <c r="C141" s="11" t="s">
        <v>7074</v>
      </c>
      <c r="D141" s="74">
        <v>0.82</v>
      </c>
      <c r="E141" s="74">
        <v>0.82</v>
      </c>
      <c r="F141" s="229" t="s">
        <v>1656</v>
      </c>
      <c r="G141" s="326"/>
      <c r="H141" s="326"/>
      <c r="M141" s="35" t="s">
        <v>7189</v>
      </c>
      <c r="N141" s="35">
        <v>3607.0</v>
      </c>
      <c r="O141" s="36"/>
      <c r="P141" s="36"/>
      <c r="Q141" s="36" t="e">
        <v>#N/A</v>
      </c>
    </row>
    <row r="142">
      <c r="A142" s="25" t="s">
        <v>7190</v>
      </c>
      <c r="B142" s="250">
        <v>3607.0</v>
      </c>
      <c r="C142" s="11" t="s">
        <v>7074</v>
      </c>
      <c r="D142" s="74">
        <v>0.82</v>
      </c>
      <c r="E142" s="74">
        <v>0.82</v>
      </c>
      <c r="F142" s="229" t="s">
        <v>1656</v>
      </c>
      <c r="G142" s="326"/>
      <c r="H142" s="326"/>
      <c r="M142" s="35" t="s">
        <v>7190</v>
      </c>
      <c r="N142" s="251">
        <v>7023.0</v>
      </c>
      <c r="O142" s="36"/>
      <c r="P142" s="36"/>
      <c r="Q142" s="36" t="e">
        <v>#N/A</v>
      </c>
    </row>
    <row r="143">
      <c r="A143" s="25" t="s">
        <v>7191</v>
      </c>
      <c r="B143" s="25">
        <v>3607.0</v>
      </c>
      <c r="C143" s="11" t="s">
        <v>7074</v>
      </c>
      <c r="D143" s="74">
        <v>0.82</v>
      </c>
      <c r="E143" s="74">
        <v>0.82</v>
      </c>
      <c r="F143" s="229" t="s">
        <v>1656</v>
      </c>
      <c r="G143" s="326"/>
      <c r="H143" s="326"/>
      <c r="M143" s="35" t="s">
        <v>7191</v>
      </c>
      <c r="N143" s="35">
        <v>3607.0</v>
      </c>
      <c r="O143" s="36"/>
      <c r="P143" s="36"/>
      <c r="Q143" s="36" t="e">
        <v>#N/A</v>
      </c>
    </row>
    <row r="144">
      <c r="A144" s="25" t="s">
        <v>7192</v>
      </c>
      <c r="B144" s="25">
        <v>3607.0</v>
      </c>
      <c r="C144" s="11" t="s">
        <v>7074</v>
      </c>
      <c r="D144" s="74">
        <v>0.82</v>
      </c>
      <c r="E144" s="74">
        <v>0.82</v>
      </c>
      <c r="F144" s="229" t="s">
        <v>1656</v>
      </c>
      <c r="G144" s="326"/>
      <c r="H144" s="326"/>
      <c r="M144" s="35" t="s">
        <v>7192</v>
      </c>
      <c r="N144" s="35">
        <v>3607.0</v>
      </c>
      <c r="O144" s="36"/>
      <c r="P144" s="36"/>
      <c r="Q144" s="36" t="e">
        <v>#N/A</v>
      </c>
    </row>
    <row r="145">
      <c r="A145" s="25" t="s">
        <v>7193</v>
      </c>
      <c r="B145" s="25">
        <v>7031.0</v>
      </c>
      <c r="C145" s="11" t="s">
        <v>7074</v>
      </c>
      <c r="D145" s="74">
        <v>0.75</v>
      </c>
      <c r="E145" s="74">
        <v>0.75</v>
      </c>
      <c r="F145" s="229" t="s">
        <v>1656</v>
      </c>
      <c r="G145" s="326"/>
      <c r="H145" s="326"/>
      <c r="M145" s="11" t="s">
        <v>7193</v>
      </c>
      <c r="N145" s="11">
        <v>7031.0</v>
      </c>
      <c r="Q145" s="18">
        <v>1.0</v>
      </c>
    </row>
    <row r="146">
      <c r="A146" s="25" t="s">
        <v>7194</v>
      </c>
      <c r="B146" s="25"/>
      <c r="C146" s="11" t="s">
        <v>7074</v>
      </c>
      <c r="D146" s="74">
        <v>0.75</v>
      </c>
      <c r="E146" s="74">
        <v>0.75</v>
      </c>
      <c r="F146" s="229" t="s">
        <v>1656</v>
      </c>
      <c r="G146" s="326"/>
      <c r="H146" s="326"/>
      <c r="M146" s="35" t="s">
        <v>7194</v>
      </c>
      <c r="N146" s="35">
        <v>189.0</v>
      </c>
      <c r="O146" s="36"/>
      <c r="P146" s="36"/>
      <c r="Q146" s="36" t="e">
        <v>#N/A</v>
      </c>
    </row>
    <row r="147">
      <c r="A147" s="25" t="s">
        <v>7195</v>
      </c>
      <c r="B147" s="25"/>
      <c r="C147" s="11" t="s">
        <v>7074</v>
      </c>
      <c r="D147" s="74">
        <v>0.75</v>
      </c>
      <c r="E147" s="74">
        <v>0.75</v>
      </c>
      <c r="F147" s="229" t="s">
        <v>1656</v>
      </c>
      <c r="G147" s="326"/>
      <c r="H147" s="326"/>
      <c r="M147" s="35" t="s">
        <v>7195</v>
      </c>
      <c r="N147" s="35">
        <v>189.0</v>
      </c>
      <c r="O147" s="36"/>
      <c r="P147" s="36"/>
      <c r="Q147" s="36" t="e">
        <v>#N/A</v>
      </c>
    </row>
    <row r="148">
      <c r="A148" s="25" t="s">
        <v>7196</v>
      </c>
      <c r="B148" s="25"/>
      <c r="C148" s="11" t="s">
        <v>7074</v>
      </c>
      <c r="D148" s="74">
        <v>0.75</v>
      </c>
      <c r="E148" s="74">
        <v>0.75</v>
      </c>
      <c r="F148" s="229" t="s">
        <v>1656</v>
      </c>
      <c r="G148" s="326"/>
      <c r="H148" s="326"/>
      <c r="M148" s="35" t="s">
        <v>7196</v>
      </c>
      <c r="N148" s="35">
        <v>189.0</v>
      </c>
      <c r="O148" s="36"/>
      <c r="P148" s="36"/>
      <c r="Q148" s="36" t="e">
        <v>#N/A</v>
      </c>
    </row>
    <row r="149">
      <c r="A149" s="25" t="s">
        <v>7197</v>
      </c>
      <c r="B149" s="25"/>
      <c r="C149" s="11" t="s">
        <v>7074</v>
      </c>
      <c r="D149" s="74">
        <v>0.75</v>
      </c>
      <c r="E149" s="74">
        <v>0.75</v>
      </c>
      <c r="F149" s="229" t="s">
        <v>1656</v>
      </c>
      <c r="G149" s="326"/>
      <c r="H149" s="326"/>
      <c r="M149" s="35" t="s">
        <v>7197</v>
      </c>
      <c r="N149" s="35">
        <v>189.0</v>
      </c>
      <c r="O149" s="36"/>
      <c r="P149" s="36"/>
      <c r="Q149" s="36" t="e">
        <v>#N/A</v>
      </c>
    </row>
    <row r="150">
      <c r="A150" s="25" t="s">
        <v>7198</v>
      </c>
      <c r="B150" s="25">
        <v>3404.0</v>
      </c>
      <c r="C150" s="11" t="s">
        <v>7074</v>
      </c>
      <c r="D150" s="74">
        <v>0.75</v>
      </c>
      <c r="E150" s="74">
        <v>0.75</v>
      </c>
      <c r="F150" s="229" t="s">
        <v>1656</v>
      </c>
      <c r="G150" s="326"/>
      <c r="H150" s="326"/>
      <c r="M150" s="35" t="s">
        <v>7198</v>
      </c>
      <c r="N150" s="35">
        <v>189.0</v>
      </c>
      <c r="O150" s="36"/>
      <c r="P150" s="36"/>
      <c r="Q150" s="36" t="e">
        <v>#N/A</v>
      </c>
    </row>
    <row r="151">
      <c r="A151" s="25" t="s">
        <v>7199</v>
      </c>
      <c r="B151" s="25">
        <v>12941.0</v>
      </c>
      <c r="C151" s="11" t="s">
        <v>7074</v>
      </c>
      <c r="D151" s="74">
        <v>0.82</v>
      </c>
      <c r="E151" s="74">
        <v>0.82</v>
      </c>
      <c r="F151" s="229" t="s">
        <v>1656</v>
      </c>
      <c r="G151" s="326"/>
      <c r="H151" s="326"/>
      <c r="M151" s="11" t="s">
        <v>7199</v>
      </c>
      <c r="N151" s="11">
        <v>12941.0</v>
      </c>
      <c r="O151" s="11">
        <v>136.0</v>
      </c>
      <c r="Q151" s="18">
        <v>1.0</v>
      </c>
    </row>
    <row r="152">
      <c r="A152" s="25" t="s">
        <v>7200</v>
      </c>
      <c r="B152" s="25">
        <v>7033.0</v>
      </c>
      <c r="C152" s="11" t="s">
        <v>7074</v>
      </c>
      <c r="D152" s="74">
        <v>0.75</v>
      </c>
      <c r="E152" s="74">
        <v>0.75</v>
      </c>
      <c r="F152" s="229" t="s">
        <v>1656</v>
      </c>
      <c r="G152" s="326"/>
      <c r="H152" s="326"/>
      <c r="M152" s="11" t="s">
        <v>7200</v>
      </c>
      <c r="N152" s="11">
        <v>7033.0</v>
      </c>
      <c r="Q152" s="18">
        <v>1.0</v>
      </c>
    </row>
    <row r="153">
      <c r="A153" s="25" t="s">
        <v>7201</v>
      </c>
      <c r="B153" s="25"/>
      <c r="C153" s="11" t="s">
        <v>7074</v>
      </c>
      <c r="D153" s="74">
        <v>0.75</v>
      </c>
      <c r="E153" s="74">
        <v>0.75</v>
      </c>
      <c r="F153" s="229" t="s">
        <v>1656</v>
      </c>
      <c r="G153" s="326"/>
      <c r="H153" s="326"/>
      <c r="M153" s="35" t="s">
        <v>7201</v>
      </c>
      <c r="N153" s="35">
        <v>6891.0</v>
      </c>
      <c r="O153" s="36"/>
      <c r="P153" s="36"/>
      <c r="Q153" s="36" t="e">
        <v>#N/A</v>
      </c>
    </row>
    <row r="154">
      <c r="A154" s="25" t="s">
        <v>7202</v>
      </c>
      <c r="B154" s="25"/>
      <c r="C154" s="11" t="s">
        <v>7074</v>
      </c>
      <c r="D154" s="74">
        <v>0.75</v>
      </c>
      <c r="E154" s="74">
        <v>0.75</v>
      </c>
      <c r="F154" s="229" t="s">
        <v>1656</v>
      </c>
      <c r="G154" s="326"/>
      <c r="H154" s="326"/>
      <c r="M154" s="35" t="s">
        <v>7202</v>
      </c>
      <c r="N154" s="35">
        <v>6891.0</v>
      </c>
      <c r="O154" s="36"/>
      <c r="P154" s="36"/>
      <c r="Q154" s="36" t="e">
        <v>#N/A</v>
      </c>
    </row>
    <row r="155">
      <c r="A155" s="25" t="s">
        <v>7203</v>
      </c>
      <c r="B155" s="78"/>
      <c r="C155" s="11" t="s">
        <v>7074</v>
      </c>
      <c r="D155" s="74">
        <v>0.75</v>
      </c>
      <c r="E155" s="74">
        <v>0.75</v>
      </c>
      <c r="F155" s="229" t="s">
        <v>1656</v>
      </c>
      <c r="G155" s="326"/>
      <c r="H155" s="326"/>
      <c r="M155" s="35" t="s">
        <v>7203</v>
      </c>
      <c r="N155" s="36"/>
      <c r="O155" s="36"/>
      <c r="P155" s="36"/>
      <c r="Q155" s="36" t="e">
        <v>#N/A</v>
      </c>
    </row>
    <row r="156">
      <c r="A156" s="25" t="s">
        <v>7204</v>
      </c>
      <c r="B156" s="25"/>
      <c r="C156" s="11" t="s">
        <v>7074</v>
      </c>
      <c r="D156" s="74">
        <v>0.75</v>
      </c>
      <c r="E156" s="74">
        <v>0.75</v>
      </c>
      <c r="F156" s="229" t="s">
        <v>1656</v>
      </c>
      <c r="G156" s="326"/>
      <c r="H156" s="326"/>
      <c r="M156" s="35" t="s">
        <v>7204</v>
      </c>
      <c r="N156" s="35">
        <v>6463.0</v>
      </c>
      <c r="O156" s="36"/>
      <c r="P156" s="36"/>
      <c r="Q156" s="36" t="e">
        <v>#N/A</v>
      </c>
    </row>
    <row r="157">
      <c r="A157" s="25" t="s">
        <v>7205</v>
      </c>
      <c r="B157" s="25">
        <v>12941.0</v>
      </c>
      <c r="C157" s="11" t="s">
        <v>7074</v>
      </c>
      <c r="D157" s="74">
        <v>0.82</v>
      </c>
      <c r="E157" s="74">
        <v>0.82</v>
      </c>
      <c r="F157" s="229" t="s">
        <v>1656</v>
      </c>
      <c r="G157" s="326"/>
      <c r="H157" s="326"/>
      <c r="M157" s="11" t="s">
        <v>7205</v>
      </c>
      <c r="N157" s="11">
        <v>12941.0</v>
      </c>
      <c r="O157" s="11">
        <v>136.0</v>
      </c>
      <c r="Q157" s="18">
        <v>1.0</v>
      </c>
    </row>
    <row r="158">
      <c r="A158" s="25" t="s">
        <v>7206</v>
      </c>
      <c r="B158" s="25"/>
      <c r="C158" s="11" t="s">
        <v>7074</v>
      </c>
      <c r="D158" s="74">
        <v>0.75</v>
      </c>
      <c r="E158" s="74">
        <v>0.75</v>
      </c>
      <c r="F158" s="229" t="s">
        <v>1656</v>
      </c>
      <c r="G158" s="326"/>
      <c r="H158" s="326"/>
      <c r="M158" s="35" t="s">
        <v>7206</v>
      </c>
      <c r="N158" s="35">
        <v>6893.0</v>
      </c>
      <c r="O158" s="36"/>
      <c r="P158" s="36"/>
      <c r="Q158" s="36" t="e">
        <v>#N/A</v>
      </c>
    </row>
    <row r="159">
      <c r="A159" s="25" t="s">
        <v>7207</v>
      </c>
      <c r="B159" s="78"/>
      <c r="C159" s="11" t="s">
        <v>7074</v>
      </c>
      <c r="D159" s="74">
        <v>0.75</v>
      </c>
      <c r="E159" s="74">
        <v>0.75</v>
      </c>
      <c r="F159" s="229" t="s">
        <v>1656</v>
      </c>
      <c r="G159" s="326"/>
      <c r="H159" s="326"/>
      <c r="M159" s="35" t="s">
        <v>7207</v>
      </c>
      <c r="N159" s="36"/>
      <c r="O159" s="36"/>
      <c r="P159" s="36"/>
      <c r="Q159" s="36" t="e">
        <v>#N/A</v>
      </c>
    </row>
    <row r="160">
      <c r="A160" s="25" t="s">
        <v>7208</v>
      </c>
      <c r="B160" s="25"/>
      <c r="C160" s="11" t="s">
        <v>7074</v>
      </c>
      <c r="D160" s="74">
        <v>0.75</v>
      </c>
      <c r="E160" s="74">
        <v>0.75</v>
      </c>
      <c r="F160" s="229" t="s">
        <v>1656</v>
      </c>
      <c r="G160" s="326"/>
      <c r="H160" s="326"/>
      <c r="M160" s="35" t="s">
        <v>7208</v>
      </c>
      <c r="N160" s="35">
        <v>7129.0</v>
      </c>
      <c r="O160" s="36"/>
      <c r="P160" s="36"/>
      <c r="Q160" s="36" t="e">
        <v>#N/A</v>
      </c>
    </row>
    <row r="161">
      <c r="A161" s="25" t="s">
        <v>7209</v>
      </c>
      <c r="B161" s="25"/>
      <c r="C161" s="11" t="s">
        <v>7074</v>
      </c>
      <c r="D161" s="74">
        <v>0.75</v>
      </c>
      <c r="E161" s="74">
        <v>0.75</v>
      </c>
      <c r="F161" s="229" t="s">
        <v>1656</v>
      </c>
      <c r="G161" s="326"/>
      <c r="H161" s="326"/>
      <c r="M161" s="35" t="s">
        <v>7209</v>
      </c>
      <c r="N161" s="35">
        <v>6970.0</v>
      </c>
      <c r="O161" s="36"/>
      <c r="P161" s="36"/>
      <c r="Q161" s="36" t="e">
        <v>#N/A</v>
      </c>
    </row>
    <row r="162">
      <c r="A162" s="25" t="s">
        <v>7210</v>
      </c>
      <c r="B162" s="25"/>
      <c r="C162" s="11" t="s">
        <v>7074</v>
      </c>
      <c r="D162" s="74">
        <v>0.75</v>
      </c>
      <c r="E162" s="74">
        <v>0.75</v>
      </c>
      <c r="F162" s="229" t="s">
        <v>1656</v>
      </c>
      <c r="G162" s="326"/>
      <c r="H162" s="326"/>
      <c r="M162" s="35" t="s">
        <v>7210</v>
      </c>
      <c r="N162" s="35">
        <v>3920.0</v>
      </c>
      <c r="O162" s="36"/>
      <c r="P162" s="36"/>
      <c r="Q162" s="36" t="e">
        <v>#N/A</v>
      </c>
    </row>
    <row r="163">
      <c r="A163" s="25" t="s">
        <v>7211</v>
      </c>
      <c r="B163" s="25"/>
      <c r="C163" s="11" t="s">
        <v>7074</v>
      </c>
      <c r="D163" s="74">
        <v>0.75</v>
      </c>
      <c r="E163" s="74">
        <v>0.75</v>
      </c>
      <c r="F163" s="229" t="s">
        <v>1656</v>
      </c>
      <c r="G163" s="326"/>
      <c r="H163" s="326"/>
      <c r="M163" s="35" t="s">
        <v>7211</v>
      </c>
      <c r="N163" s="35">
        <v>6924.0</v>
      </c>
      <c r="O163" s="36"/>
      <c r="P163" s="36"/>
      <c r="Q163" s="36" t="e">
        <v>#N/A</v>
      </c>
    </row>
    <row r="164">
      <c r="A164" s="25" t="s">
        <v>7212</v>
      </c>
      <c r="B164" s="25">
        <v>5125.0</v>
      </c>
      <c r="C164" s="11" t="s">
        <v>7074</v>
      </c>
      <c r="D164" s="74">
        <v>0.75</v>
      </c>
      <c r="E164" s="74">
        <v>0.75</v>
      </c>
      <c r="F164" s="229" t="s">
        <v>1656</v>
      </c>
      <c r="G164" s="326"/>
      <c r="H164" s="326"/>
      <c r="M164" s="11" t="s">
        <v>7212</v>
      </c>
      <c r="N164" s="11">
        <v>5125.0</v>
      </c>
      <c r="Q164" s="18">
        <v>1.0</v>
      </c>
    </row>
    <row r="165">
      <c r="A165" s="25" t="s">
        <v>7213</v>
      </c>
      <c r="B165" s="25">
        <v>7137.0</v>
      </c>
      <c r="C165" s="11" t="s">
        <v>7074</v>
      </c>
      <c r="D165" s="74">
        <v>0.75</v>
      </c>
      <c r="E165" s="74">
        <v>0.75</v>
      </c>
      <c r="F165" s="229" t="s">
        <v>1656</v>
      </c>
      <c r="G165" s="326"/>
      <c r="H165" s="326"/>
      <c r="M165" s="35" t="s">
        <v>7213</v>
      </c>
      <c r="N165" s="35">
        <v>7137.0</v>
      </c>
      <c r="O165" s="36"/>
      <c r="P165" s="36"/>
      <c r="Q165" s="36" t="e">
        <v>#N/A</v>
      </c>
    </row>
    <row r="166">
      <c r="A166" s="25" t="s">
        <v>7214</v>
      </c>
      <c r="B166" s="25">
        <v>6697.0</v>
      </c>
      <c r="C166" s="11" t="s">
        <v>7074</v>
      </c>
      <c r="D166" s="74">
        <v>0.75</v>
      </c>
      <c r="E166" s="74">
        <v>0.75</v>
      </c>
      <c r="F166" s="229" t="s">
        <v>1656</v>
      </c>
      <c r="G166" s="326"/>
      <c r="H166" s="326"/>
      <c r="M166" s="35" t="s">
        <v>7214</v>
      </c>
      <c r="N166" s="35">
        <v>6697.0</v>
      </c>
      <c r="O166" s="36"/>
      <c r="P166" s="36"/>
      <c r="Q166" s="36" t="e">
        <v>#N/A</v>
      </c>
    </row>
    <row r="167">
      <c r="A167" s="25" t="s">
        <v>7215</v>
      </c>
      <c r="B167" s="25"/>
      <c r="C167" s="11" t="s">
        <v>7074</v>
      </c>
      <c r="D167" s="74">
        <v>0.75</v>
      </c>
      <c r="E167" s="74">
        <v>0.75</v>
      </c>
      <c r="F167" s="229" t="s">
        <v>1656</v>
      </c>
      <c r="G167" s="326"/>
      <c r="H167" s="326"/>
      <c r="M167" s="35" t="s">
        <v>7215</v>
      </c>
      <c r="N167" s="35">
        <v>13829.0</v>
      </c>
      <c r="O167" s="35">
        <v>7055.0</v>
      </c>
      <c r="P167" s="36"/>
      <c r="Q167" s="36" t="e">
        <v>#N/A</v>
      </c>
    </row>
    <row r="168">
      <c r="A168" s="25" t="s">
        <v>7216</v>
      </c>
      <c r="B168" s="25"/>
      <c r="C168" s="11" t="s">
        <v>7074</v>
      </c>
      <c r="D168" s="74">
        <v>0.75</v>
      </c>
      <c r="E168" s="74">
        <v>0.75</v>
      </c>
      <c r="F168" s="229" t="s">
        <v>1656</v>
      </c>
      <c r="G168" s="326"/>
      <c r="H168" s="326"/>
      <c r="M168" s="35" t="s">
        <v>7216</v>
      </c>
      <c r="N168" s="35">
        <v>7055.0</v>
      </c>
      <c r="O168" s="36"/>
      <c r="P168" s="36"/>
      <c r="Q168" s="36" t="e">
        <v>#N/A</v>
      </c>
    </row>
    <row r="169">
      <c r="A169" s="25" t="s">
        <v>7217</v>
      </c>
      <c r="B169" s="25"/>
      <c r="C169" s="11" t="s">
        <v>7074</v>
      </c>
      <c r="D169" s="74">
        <v>0.75</v>
      </c>
      <c r="E169" s="74">
        <v>0.75</v>
      </c>
      <c r="F169" s="229" t="s">
        <v>1656</v>
      </c>
      <c r="G169" s="326"/>
      <c r="H169" s="326"/>
      <c r="M169" s="35" t="s">
        <v>7217</v>
      </c>
      <c r="N169" s="35">
        <v>6952.0</v>
      </c>
      <c r="O169" s="36"/>
      <c r="P169" s="36"/>
      <c r="Q169" s="36" t="e">
        <v>#N/A</v>
      </c>
    </row>
    <row r="170">
      <c r="A170" s="25" t="s">
        <v>7218</v>
      </c>
      <c r="B170" s="25"/>
      <c r="C170" s="11" t="s">
        <v>7074</v>
      </c>
      <c r="D170" s="74">
        <v>0.75</v>
      </c>
      <c r="E170" s="74">
        <v>0.75</v>
      </c>
      <c r="F170" s="229" t="s">
        <v>1656</v>
      </c>
      <c r="G170" s="326"/>
      <c r="H170" s="326"/>
      <c r="M170" s="35" t="s">
        <v>7218</v>
      </c>
      <c r="N170" s="35">
        <v>6805.0</v>
      </c>
      <c r="O170" s="36"/>
      <c r="P170" s="36"/>
      <c r="Q170" s="36" t="e">
        <v>#N/A</v>
      </c>
    </row>
    <row r="171">
      <c r="A171" s="25" t="s">
        <v>7219</v>
      </c>
      <c r="B171" s="25">
        <v>3307.0</v>
      </c>
      <c r="C171" s="11" t="s">
        <v>7074</v>
      </c>
      <c r="D171" s="74">
        <v>0.75</v>
      </c>
      <c r="E171" s="74">
        <v>0.75</v>
      </c>
      <c r="F171" s="229" t="s">
        <v>1656</v>
      </c>
      <c r="G171" s="326"/>
      <c r="H171" s="326"/>
      <c r="M171" s="35" t="s">
        <v>7219</v>
      </c>
      <c r="N171" s="35">
        <v>3307.0</v>
      </c>
      <c r="O171" s="36"/>
      <c r="P171" s="36"/>
      <c r="Q171" s="36" t="e">
        <v>#N/A</v>
      </c>
    </row>
    <row r="172">
      <c r="A172" s="25" t="s">
        <v>7220</v>
      </c>
      <c r="B172" s="25"/>
      <c r="C172" s="11" t="s">
        <v>7074</v>
      </c>
      <c r="D172" s="74">
        <v>0.75</v>
      </c>
      <c r="E172" s="74">
        <v>0.75</v>
      </c>
      <c r="F172" s="229" t="s">
        <v>1656</v>
      </c>
      <c r="G172" s="326"/>
      <c r="H172" s="326"/>
      <c r="M172" s="35" t="s">
        <v>7220</v>
      </c>
      <c r="N172" s="35">
        <v>2345.0</v>
      </c>
      <c r="O172" s="36"/>
      <c r="P172" s="36"/>
      <c r="Q172" s="36" t="e">
        <v>#N/A</v>
      </c>
    </row>
    <row r="173">
      <c r="A173" s="25" t="s">
        <v>7221</v>
      </c>
      <c r="B173" s="25"/>
      <c r="C173" s="11" t="s">
        <v>7074</v>
      </c>
      <c r="D173" s="74">
        <v>0.75</v>
      </c>
      <c r="E173" s="74">
        <v>0.75</v>
      </c>
      <c r="F173" s="229" t="s">
        <v>1656</v>
      </c>
      <c r="G173" s="326"/>
      <c r="H173" s="326"/>
      <c r="M173" s="35" t="s">
        <v>7221</v>
      </c>
      <c r="N173" s="35">
        <v>2345.0</v>
      </c>
      <c r="O173" s="36"/>
      <c r="P173" s="36"/>
      <c r="Q173" s="36" t="e">
        <v>#N/A</v>
      </c>
    </row>
    <row r="174">
      <c r="A174" s="25" t="s">
        <v>7222</v>
      </c>
      <c r="B174" s="25"/>
      <c r="C174" s="11" t="s">
        <v>7074</v>
      </c>
      <c r="D174" s="74">
        <v>0.75</v>
      </c>
      <c r="E174" s="74">
        <v>0.75</v>
      </c>
      <c r="F174" s="229" t="s">
        <v>1656</v>
      </c>
      <c r="G174" s="326"/>
      <c r="H174" s="326"/>
      <c r="M174" s="35" t="s">
        <v>7222</v>
      </c>
      <c r="N174" s="35">
        <v>7040.0</v>
      </c>
      <c r="O174" s="36"/>
      <c r="P174" s="36"/>
      <c r="Q174" s="36" t="e">
        <v>#N/A</v>
      </c>
    </row>
    <row r="175">
      <c r="A175" s="25" t="s">
        <v>7223</v>
      </c>
      <c r="B175" s="25"/>
      <c r="C175" s="11" t="s">
        <v>7074</v>
      </c>
      <c r="D175" s="74">
        <v>0.75</v>
      </c>
      <c r="E175" s="74">
        <v>0.75</v>
      </c>
      <c r="F175" s="229" t="s">
        <v>1656</v>
      </c>
      <c r="G175" s="326"/>
      <c r="H175" s="326"/>
      <c r="M175" s="35" t="s">
        <v>7223</v>
      </c>
      <c r="N175" s="35">
        <v>2345.0</v>
      </c>
      <c r="O175" s="36"/>
      <c r="P175" s="36"/>
      <c r="Q175" s="36" t="e">
        <v>#N/A</v>
      </c>
    </row>
    <row r="176">
      <c r="A176" s="25" t="s">
        <v>7224</v>
      </c>
      <c r="B176" s="25"/>
      <c r="C176" s="11" t="s">
        <v>7074</v>
      </c>
      <c r="D176" s="74">
        <v>0.75</v>
      </c>
      <c r="E176" s="74">
        <v>0.75</v>
      </c>
      <c r="F176" s="229" t="s">
        <v>1656</v>
      </c>
      <c r="G176" s="326"/>
      <c r="H176" s="326"/>
      <c r="M176" s="35" t="s">
        <v>7224</v>
      </c>
      <c r="N176" s="35">
        <v>2345.0</v>
      </c>
      <c r="O176" s="36"/>
      <c r="P176" s="36"/>
      <c r="Q176" s="36" t="e">
        <v>#N/A</v>
      </c>
    </row>
    <row r="177">
      <c r="A177" s="25" t="s">
        <v>7225</v>
      </c>
      <c r="B177" s="25"/>
      <c r="C177" s="11" t="s">
        <v>7074</v>
      </c>
      <c r="D177" s="74">
        <v>0.75</v>
      </c>
      <c r="E177" s="74">
        <v>0.75</v>
      </c>
      <c r="F177" s="229" t="s">
        <v>1656</v>
      </c>
      <c r="G177" s="326"/>
      <c r="H177" s="326"/>
      <c r="M177" s="35" t="s">
        <v>7225</v>
      </c>
      <c r="N177" s="35">
        <v>2345.0</v>
      </c>
      <c r="O177" s="36"/>
      <c r="P177" s="36"/>
      <c r="Q177" s="36" t="e">
        <v>#N/A</v>
      </c>
    </row>
    <row r="178">
      <c r="A178" s="25" t="s">
        <v>7226</v>
      </c>
      <c r="B178" s="25"/>
      <c r="C178" s="11" t="s">
        <v>7074</v>
      </c>
      <c r="D178" s="74">
        <v>0.75</v>
      </c>
      <c r="E178" s="74">
        <v>0.75</v>
      </c>
      <c r="F178" s="229" t="s">
        <v>1656</v>
      </c>
      <c r="G178" s="326"/>
      <c r="H178" s="326"/>
      <c r="M178" s="35" t="s">
        <v>7226</v>
      </c>
      <c r="N178" s="35">
        <v>2345.0</v>
      </c>
      <c r="O178" s="36"/>
      <c r="P178" s="36"/>
      <c r="Q178" s="36" t="e">
        <v>#N/A</v>
      </c>
    </row>
    <row r="179">
      <c r="A179" s="25" t="s">
        <v>7227</v>
      </c>
      <c r="B179" s="25"/>
      <c r="C179" s="11" t="s">
        <v>7074</v>
      </c>
      <c r="D179" s="74">
        <v>0.75</v>
      </c>
      <c r="E179" s="74">
        <v>0.75</v>
      </c>
      <c r="F179" s="229" t="s">
        <v>1656</v>
      </c>
      <c r="G179" s="326"/>
      <c r="H179" s="326"/>
      <c r="M179" s="35" t="s">
        <v>7227</v>
      </c>
      <c r="N179" s="35">
        <v>2345.0</v>
      </c>
      <c r="O179" s="36"/>
      <c r="P179" s="36"/>
      <c r="Q179" s="36" t="e">
        <v>#N/A</v>
      </c>
    </row>
    <row r="180">
      <c r="A180" s="25" t="s">
        <v>7228</v>
      </c>
      <c r="B180" s="25"/>
      <c r="C180" s="11" t="s">
        <v>7074</v>
      </c>
      <c r="D180" s="74">
        <v>0.75</v>
      </c>
      <c r="E180" s="74">
        <v>0.75</v>
      </c>
      <c r="F180" s="229" t="s">
        <v>1656</v>
      </c>
      <c r="G180" s="326"/>
      <c r="H180" s="326"/>
      <c r="M180" s="35" t="s">
        <v>7228</v>
      </c>
      <c r="N180" s="35">
        <v>2345.0</v>
      </c>
      <c r="O180" s="36"/>
      <c r="P180" s="36"/>
      <c r="Q180" s="36" t="e">
        <v>#N/A</v>
      </c>
    </row>
    <row r="181">
      <c r="A181" s="25" t="s">
        <v>7229</v>
      </c>
      <c r="B181" s="25">
        <v>11708.0</v>
      </c>
      <c r="C181" s="11" t="s">
        <v>7074</v>
      </c>
      <c r="D181" s="74">
        <v>0.75</v>
      </c>
      <c r="E181" s="74">
        <v>0.75</v>
      </c>
      <c r="F181" s="229" t="s">
        <v>1656</v>
      </c>
      <c r="G181" s="326"/>
      <c r="H181" s="326"/>
      <c r="M181" s="35" t="s">
        <v>7229</v>
      </c>
      <c r="N181" s="35">
        <v>2345.0</v>
      </c>
      <c r="O181" s="36"/>
      <c r="P181" s="36"/>
      <c r="Q181" s="36" t="e">
        <v>#N/A</v>
      </c>
    </row>
    <row r="182">
      <c r="A182" s="25" t="s">
        <v>7230</v>
      </c>
      <c r="B182" s="25"/>
      <c r="C182" s="11" t="s">
        <v>7074</v>
      </c>
      <c r="D182" s="74">
        <v>0.75</v>
      </c>
      <c r="E182" s="74">
        <v>0.75</v>
      </c>
      <c r="F182" s="229" t="s">
        <v>1656</v>
      </c>
      <c r="G182" s="326"/>
      <c r="H182" s="326"/>
      <c r="M182" s="35" t="s">
        <v>7230</v>
      </c>
      <c r="N182" s="35">
        <v>7051.0</v>
      </c>
      <c r="O182" s="36"/>
      <c r="P182" s="36"/>
      <c r="Q182" s="36" t="e">
        <v>#N/A</v>
      </c>
    </row>
    <row r="183">
      <c r="A183" s="25" t="s">
        <v>7231</v>
      </c>
      <c r="B183" s="25"/>
      <c r="C183" s="11" t="s">
        <v>7074</v>
      </c>
      <c r="D183" s="74">
        <v>0.75</v>
      </c>
      <c r="E183" s="74">
        <v>0.75</v>
      </c>
      <c r="F183" s="229" t="s">
        <v>1656</v>
      </c>
      <c r="G183" s="326"/>
      <c r="H183" s="326"/>
      <c r="M183" s="35" t="s">
        <v>7231</v>
      </c>
      <c r="N183" s="35">
        <v>7113.0</v>
      </c>
      <c r="O183" s="36"/>
      <c r="P183" s="36"/>
      <c r="Q183" s="36" t="e">
        <v>#N/A</v>
      </c>
    </row>
    <row r="184">
      <c r="A184" s="25" t="s">
        <v>7232</v>
      </c>
      <c r="B184" s="25"/>
      <c r="C184" s="11" t="s">
        <v>7074</v>
      </c>
      <c r="D184" s="74">
        <v>0.75</v>
      </c>
      <c r="E184" s="74">
        <v>0.75</v>
      </c>
      <c r="F184" s="229" t="s">
        <v>1656</v>
      </c>
      <c r="G184" s="326"/>
      <c r="H184" s="326"/>
      <c r="M184" s="35" t="s">
        <v>7232</v>
      </c>
      <c r="N184" s="35">
        <v>6903.0</v>
      </c>
      <c r="O184" s="36"/>
      <c r="P184" s="36"/>
      <c r="Q184" s="36" t="e">
        <v>#N/A</v>
      </c>
    </row>
    <row r="185">
      <c r="A185" s="25" t="s">
        <v>7233</v>
      </c>
      <c r="B185" s="25"/>
      <c r="C185" s="11" t="s">
        <v>7074</v>
      </c>
      <c r="D185" s="74">
        <v>0.75</v>
      </c>
      <c r="E185" s="74">
        <v>0.75</v>
      </c>
      <c r="F185" s="229" t="s">
        <v>1656</v>
      </c>
      <c r="G185" s="326"/>
      <c r="H185" s="326"/>
      <c r="M185" s="35" t="s">
        <v>7233</v>
      </c>
      <c r="N185" s="35">
        <v>7084.0</v>
      </c>
      <c r="O185" s="36"/>
      <c r="P185" s="36"/>
      <c r="Q185" s="36" t="e">
        <v>#N/A</v>
      </c>
    </row>
    <row r="186">
      <c r="A186" s="25" t="s">
        <v>7234</v>
      </c>
      <c r="B186" s="25">
        <v>14465.0</v>
      </c>
      <c r="C186" s="11" t="s">
        <v>7074</v>
      </c>
      <c r="D186" s="74">
        <v>0.9</v>
      </c>
      <c r="E186" s="74">
        <v>0.9</v>
      </c>
      <c r="F186" s="229" t="s">
        <v>1656</v>
      </c>
      <c r="G186" s="326"/>
      <c r="H186" s="326"/>
      <c r="M186" s="35" t="s">
        <v>7234</v>
      </c>
      <c r="N186" s="35">
        <v>6727.0</v>
      </c>
      <c r="O186" s="36"/>
      <c r="P186" s="36"/>
      <c r="Q186" s="36" t="e">
        <v>#N/A</v>
      </c>
    </row>
    <row r="187">
      <c r="A187" s="25" t="s">
        <v>7235</v>
      </c>
      <c r="B187" s="25"/>
      <c r="C187" s="11" t="s">
        <v>7074</v>
      </c>
      <c r="D187" s="74">
        <v>0.75</v>
      </c>
      <c r="E187" s="74">
        <v>0.75</v>
      </c>
      <c r="F187" s="229" t="s">
        <v>1656</v>
      </c>
      <c r="G187" s="326"/>
      <c r="H187" s="326"/>
      <c r="M187" s="35" t="s">
        <v>7235</v>
      </c>
      <c r="N187" s="35">
        <v>14337.0</v>
      </c>
      <c r="O187" s="35">
        <v>6727.0</v>
      </c>
      <c r="P187" s="36"/>
      <c r="Q187" s="36" t="e">
        <v>#N/A</v>
      </c>
    </row>
    <row r="188">
      <c r="A188" s="25" t="s">
        <v>7236</v>
      </c>
      <c r="B188" s="25"/>
      <c r="C188" s="11" t="s">
        <v>7074</v>
      </c>
      <c r="D188" s="74">
        <v>0.75</v>
      </c>
      <c r="E188" s="74">
        <v>0.75</v>
      </c>
      <c r="F188" s="229" t="s">
        <v>1656</v>
      </c>
      <c r="G188" s="326"/>
      <c r="H188" s="326"/>
      <c r="M188" s="35" t="s">
        <v>7236</v>
      </c>
      <c r="N188" s="35">
        <v>6727.0</v>
      </c>
      <c r="O188" s="36"/>
      <c r="P188" s="36"/>
      <c r="Q188" s="36" t="e">
        <v>#N/A</v>
      </c>
    </row>
    <row r="189">
      <c r="A189" s="25" t="s">
        <v>7237</v>
      </c>
      <c r="B189" s="25"/>
      <c r="C189" s="11" t="s">
        <v>7074</v>
      </c>
      <c r="D189" s="74">
        <v>0.75</v>
      </c>
      <c r="E189" s="74">
        <v>0.75</v>
      </c>
      <c r="F189" s="229" t="s">
        <v>1656</v>
      </c>
      <c r="G189" s="326"/>
      <c r="H189" s="326"/>
      <c r="M189" s="35" t="s">
        <v>7237</v>
      </c>
      <c r="N189" s="35">
        <v>6727.0</v>
      </c>
      <c r="O189" s="36"/>
      <c r="P189" s="36"/>
      <c r="Q189" s="36" t="e">
        <v>#N/A</v>
      </c>
    </row>
    <row r="190">
      <c r="A190" s="25" t="s">
        <v>7238</v>
      </c>
      <c r="B190" s="25"/>
      <c r="C190" s="11" t="s">
        <v>7074</v>
      </c>
      <c r="D190" s="74">
        <v>0.75</v>
      </c>
      <c r="E190" s="74">
        <v>0.75</v>
      </c>
      <c r="F190" s="229" t="s">
        <v>1656</v>
      </c>
      <c r="G190" s="326"/>
      <c r="H190" s="326"/>
      <c r="M190" s="35" t="s">
        <v>7238</v>
      </c>
      <c r="N190" s="35">
        <v>6727.0</v>
      </c>
      <c r="O190" s="36"/>
      <c r="P190" s="36"/>
      <c r="Q190" s="36" t="e">
        <v>#N/A</v>
      </c>
    </row>
    <row r="191">
      <c r="A191" s="25" t="s">
        <v>7239</v>
      </c>
      <c r="B191" s="25"/>
      <c r="C191" s="11" t="s">
        <v>7074</v>
      </c>
      <c r="D191" s="74">
        <v>0.75</v>
      </c>
      <c r="E191" s="74">
        <v>0.75</v>
      </c>
      <c r="F191" s="229" t="s">
        <v>1656</v>
      </c>
      <c r="G191" s="326"/>
      <c r="H191" s="326"/>
      <c r="M191" s="35" t="s">
        <v>7239</v>
      </c>
      <c r="N191" s="35">
        <v>6928.0</v>
      </c>
      <c r="O191" s="36"/>
      <c r="P191" s="36"/>
      <c r="Q191" s="36" t="e">
        <v>#N/A</v>
      </c>
    </row>
    <row r="192">
      <c r="A192" s="25" t="s">
        <v>7240</v>
      </c>
      <c r="B192" s="25"/>
      <c r="C192" s="11" t="s">
        <v>7074</v>
      </c>
      <c r="D192" s="74">
        <v>0.75</v>
      </c>
      <c r="E192" s="74">
        <v>0.75</v>
      </c>
      <c r="F192" s="229" t="s">
        <v>1656</v>
      </c>
      <c r="G192" s="326"/>
      <c r="H192" s="326"/>
      <c r="M192" s="35" t="s">
        <v>7240</v>
      </c>
      <c r="N192" s="35">
        <v>6827.0</v>
      </c>
      <c r="O192" s="36"/>
      <c r="P192" s="36"/>
      <c r="Q192" s="36" t="e">
        <v>#N/A</v>
      </c>
    </row>
    <row r="193">
      <c r="A193" s="25" t="s">
        <v>7241</v>
      </c>
      <c r="B193" s="25"/>
      <c r="C193" s="11" t="s">
        <v>7074</v>
      </c>
      <c r="D193" s="74">
        <v>0.75</v>
      </c>
      <c r="E193" s="74">
        <v>0.75</v>
      </c>
      <c r="F193" s="229" t="s">
        <v>1656</v>
      </c>
      <c r="G193" s="326"/>
      <c r="H193" s="326"/>
      <c r="M193" s="35" t="s">
        <v>7241</v>
      </c>
      <c r="N193" s="35">
        <v>3231.0</v>
      </c>
      <c r="O193" s="36"/>
      <c r="P193" s="36"/>
      <c r="Q193" s="36" t="e">
        <v>#N/A</v>
      </c>
    </row>
    <row r="194">
      <c r="A194" s="25" t="s">
        <v>7242</v>
      </c>
      <c r="B194" s="25"/>
      <c r="C194" s="11" t="s">
        <v>7074</v>
      </c>
      <c r="D194" s="74">
        <v>0.75</v>
      </c>
      <c r="E194" s="74">
        <v>0.75</v>
      </c>
      <c r="F194" s="229" t="s">
        <v>1656</v>
      </c>
      <c r="G194" s="326"/>
      <c r="H194" s="326"/>
      <c r="M194" s="35" t="s">
        <v>7242</v>
      </c>
      <c r="N194" s="35">
        <v>7062.0</v>
      </c>
      <c r="O194" s="36"/>
      <c r="P194" s="36"/>
      <c r="Q194" s="36" t="e">
        <v>#N/A</v>
      </c>
    </row>
    <row r="195">
      <c r="A195" s="25" t="s">
        <v>7243</v>
      </c>
      <c r="B195" s="25"/>
      <c r="C195" s="11" t="s">
        <v>7074</v>
      </c>
      <c r="D195" s="74">
        <v>0.75</v>
      </c>
      <c r="E195" s="74">
        <v>0.75</v>
      </c>
      <c r="F195" s="229" t="s">
        <v>1656</v>
      </c>
      <c r="G195" s="326"/>
      <c r="H195" s="326"/>
      <c r="M195" s="35" t="s">
        <v>7243</v>
      </c>
      <c r="N195" s="35">
        <v>7070.0</v>
      </c>
      <c r="O195" s="36"/>
      <c r="P195" s="36"/>
      <c r="Q195" s="36" t="e">
        <v>#N/A</v>
      </c>
    </row>
    <row r="196">
      <c r="A196" s="25" t="s">
        <v>7244</v>
      </c>
      <c r="B196" s="25">
        <v>7083.0</v>
      </c>
      <c r="C196" s="11" t="s">
        <v>7074</v>
      </c>
      <c r="D196" s="74">
        <v>0.75</v>
      </c>
      <c r="E196" s="74">
        <v>0.75</v>
      </c>
      <c r="F196" s="229" t="s">
        <v>1656</v>
      </c>
      <c r="G196" s="326"/>
      <c r="H196" s="326"/>
      <c r="M196" s="11" t="s">
        <v>7244</v>
      </c>
      <c r="N196" s="11">
        <v>7083.0</v>
      </c>
      <c r="Q196" s="18">
        <v>1.0</v>
      </c>
    </row>
    <row r="197">
      <c r="A197" s="25" t="s">
        <v>7245</v>
      </c>
      <c r="B197" s="25"/>
      <c r="C197" s="11" t="s">
        <v>7074</v>
      </c>
      <c r="D197" s="74">
        <v>0.75</v>
      </c>
      <c r="E197" s="74">
        <v>0.75</v>
      </c>
      <c r="F197" s="229" t="s">
        <v>1656</v>
      </c>
      <c r="G197" s="326"/>
      <c r="H197" s="326"/>
      <c r="M197" s="35" t="s">
        <v>7245</v>
      </c>
      <c r="N197" s="35">
        <v>7081.0</v>
      </c>
      <c r="O197" s="36"/>
      <c r="P197" s="36"/>
      <c r="Q197" s="36" t="e">
        <v>#N/A</v>
      </c>
    </row>
    <row r="198">
      <c r="A198" s="25" t="s">
        <v>7246</v>
      </c>
      <c r="B198" s="25"/>
      <c r="C198" s="11" t="s">
        <v>7074</v>
      </c>
      <c r="D198" s="74">
        <v>0.75</v>
      </c>
      <c r="E198" s="74">
        <v>0.75</v>
      </c>
      <c r="F198" s="229" t="s">
        <v>1656</v>
      </c>
      <c r="G198" s="326"/>
      <c r="H198" s="326"/>
      <c r="M198" s="35" t="s">
        <v>7246</v>
      </c>
      <c r="N198" s="35">
        <v>6697.0</v>
      </c>
      <c r="O198" s="36"/>
      <c r="P198" s="36"/>
      <c r="Q198" s="36" t="e">
        <v>#N/A</v>
      </c>
    </row>
    <row r="199">
      <c r="A199" s="25" t="s">
        <v>7247</v>
      </c>
      <c r="B199" s="78"/>
      <c r="C199" s="11" t="s">
        <v>7074</v>
      </c>
      <c r="D199" s="74">
        <v>0.75</v>
      </c>
      <c r="E199" s="74">
        <v>0.75</v>
      </c>
      <c r="F199" s="229" t="s">
        <v>1656</v>
      </c>
      <c r="G199" s="326"/>
      <c r="H199" s="326"/>
      <c r="M199" s="35" t="s">
        <v>7247</v>
      </c>
      <c r="N199" s="36"/>
      <c r="O199" s="36"/>
      <c r="P199" s="36"/>
      <c r="Q199" s="36" t="e">
        <v>#N/A</v>
      </c>
    </row>
    <row r="200">
      <c r="A200" s="25" t="s">
        <v>7248</v>
      </c>
      <c r="B200" s="25"/>
      <c r="C200" s="11" t="s">
        <v>7074</v>
      </c>
      <c r="D200" s="74">
        <v>0.75</v>
      </c>
      <c r="E200" s="74">
        <v>0.75</v>
      </c>
      <c r="F200" s="229" t="s">
        <v>1656</v>
      </c>
      <c r="G200" s="326"/>
      <c r="H200" s="326"/>
      <c r="M200" s="35" t="s">
        <v>7248</v>
      </c>
      <c r="N200" s="35">
        <v>7010.0</v>
      </c>
      <c r="O200" s="36"/>
      <c r="P200" s="36"/>
      <c r="Q200" s="36" t="e">
        <v>#N/A</v>
      </c>
    </row>
    <row r="201">
      <c r="A201" s="25" t="s">
        <v>7249</v>
      </c>
      <c r="B201" s="25"/>
      <c r="C201" s="11" t="s">
        <v>7074</v>
      </c>
      <c r="D201" s="74">
        <v>0.75</v>
      </c>
      <c r="E201" s="74">
        <v>0.75</v>
      </c>
      <c r="F201" s="229" t="s">
        <v>1656</v>
      </c>
      <c r="G201" s="326"/>
      <c r="H201" s="326"/>
      <c r="M201" s="35" t="s">
        <v>7249</v>
      </c>
      <c r="N201" s="35">
        <v>7003.0</v>
      </c>
      <c r="O201" s="36"/>
      <c r="P201" s="36"/>
      <c r="Q201" s="36" t="e">
        <v>#N/A</v>
      </c>
    </row>
    <row r="202">
      <c r="A202" s="322" t="s">
        <v>1956</v>
      </c>
      <c r="B202" s="25">
        <v>7055.0</v>
      </c>
      <c r="C202" s="11" t="s">
        <v>7074</v>
      </c>
      <c r="D202" s="74">
        <v>0.75</v>
      </c>
      <c r="E202" s="74">
        <v>0.75</v>
      </c>
      <c r="F202" s="229" t="s">
        <v>1656</v>
      </c>
      <c r="G202" s="326"/>
      <c r="H202" s="326"/>
      <c r="M202" s="35" t="s">
        <v>1956</v>
      </c>
      <c r="N202" s="35">
        <v>7055.0</v>
      </c>
      <c r="O202" s="36"/>
      <c r="P202" s="36"/>
      <c r="Q202" s="36" t="e">
        <v>#N/A</v>
      </c>
    </row>
    <row r="203">
      <c r="A203" s="25" t="s">
        <v>1958</v>
      </c>
      <c r="B203" s="25">
        <v>6671.0</v>
      </c>
      <c r="C203" s="11" t="s">
        <v>7074</v>
      </c>
      <c r="D203" s="74">
        <v>0.75</v>
      </c>
      <c r="E203" s="74">
        <v>0.75</v>
      </c>
      <c r="F203" s="229" t="s">
        <v>1656</v>
      </c>
      <c r="G203" s="326"/>
      <c r="H203" s="326"/>
      <c r="M203" s="35" t="s">
        <v>1958</v>
      </c>
      <c r="N203" s="35">
        <v>6671.0</v>
      </c>
      <c r="O203" s="36"/>
      <c r="P203" s="36"/>
      <c r="Q203" s="36" t="e">
        <v>#N/A</v>
      </c>
    </row>
    <row r="204">
      <c r="A204" s="322" t="s">
        <v>9</v>
      </c>
      <c r="B204" s="25">
        <v>6671.0</v>
      </c>
      <c r="C204" s="11" t="s">
        <v>7074</v>
      </c>
      <c r="D204" s="74">
        <v>0.75</v>
      </c>
      <c r="E204" s="74">
        <v>0.75</v>
      </c>
      <c r="F204" s="229" t="s">
        <v>1656</v>
      </c>
      <c r="G204" s="326"/>
      <c r="H204" s="326"/>
      <c r="M204" s="35" t="s">
        <v>9</v>
      </c>
      <c r="N204" s="35">
        <v>6671.0</v>
      </c>
      <c r="O204" s="36"/>
      <c r="P204" s="36"/>
      <c r="Q204" s="36" t="e">
        <v>#N/A</v>
      </c>
    </row>
    <row r="205">
      <c r="A205" s="25" t="s">
        <v>4647</v>
      </c>
      <c r="B205" s="25">
        <v>6924.0</v>
      </c>
      <c r="C205" s="11" t="s">
        <v>7074</v>
      </c>
      <c r="D205" s="74">
        <v>0.82</v>
      </c>
      <c r="E205" s="74">
        <v>0.82</v>
      </c>
      <c r="F205" s="229" t="s">
        <v>1656</v>
      </c>
      <c r="G205" s="326"/>
      <c r="H205" s="326"/>
      <c r="M205" s="11" t="s">
        <v>4647</v>
      </c>
      <c r="N205" s="11">
        <v>6924.0</v>
      </c>
      <c r="Q205" s="18">
        <v>1.0</v>
      </c>
    </row>
    <row r="206">
      <c r="A206" s="25" t="s">
        <v>4648</v>
      </c>
      <c r="B206" s="25">
        <v>6729.0</v>
      </c>
      <c r="C206" s="11" t="s">
        <v>7074</v>
      </c>
      <c r="D206" s="74">
        <v>0.82</v>
      </c>
      <c r="E206" s="74">
        <v>0.82</v>
      </c>
      <c r="F206" s="229" t="s">
        <v>1656</v>
      </c>
      <c r="G206" s="326"/>
      <c r="H206" s="326"/>
      <c r="M206" s="11" t="s">
        <v>4648</v>
      </c>
      <c r="N206" s="11">
        <v>6729.0</v>
      </c>
      <c r="Q206" s="18">
        <v>1.0</v>
      </c>
    </row>
    <row r="207">
      <c r="A207" s="322" t="s">
        <v>4649</v>
      </c>
      <c r="B207" s="25">
        <v>3607.0</v>
      </c>
      <c r="C207" s="11" t="s">
        <v>7074</v>
      </c>
      <c r="D207" s="74">
        <v>0.82</v>
      </c>
      <c r="E207" s="74">
        <v>0.82</v>
      </c>
      <c r="F207" s="229" t="s">
        <v>1656</v>
      </c>
      <c r="G207" s="326"/>
      <c r="H207" s="326"/>
      <c r="M207" s="35" t="s">
        <v>4649</v>
      </c>
      <c r="N207" s="35">
        <v>6675.0</v>
      </c>
      <c r="O207" s="36"/>
      <c r="P207" s="36"/>
      <c r="Q207" s="36" t="e">
        <v>#N/A</v>
      </c>
    </row>
    <row r="208">
      <c r="A208" s="322" t="s">
        <v>4650</v>
      </c>
      <c r="B208" s="25">
        <v>14659.0</v>
      </c>
      <c r="C208" s="11" t="s">
        <v>7074</v>
      </c>
      <c r="D208" s="74">
        <v>0.75</v>
      </c>
      <c r="E208" s="74">
        <v>0.75</v>
      </c>
      <c r="F208" s="229" t="s">
        <v>1656</v>
      </c>
      <c r="G208" s="326"/>
      <c r="H208" s="326"/>
      <c r="M208" s="35" t="s">
        <v>4650</v>
      </c>
      <c r="N208" s="35">
        <v>6675.0</v>
      </c>
      <c r="O208" s="36"/>
      <c r="P208" s="36"/>
      <c r="Q208" s="36" t="e">
        <v>#N/A</v>
      </c>
    </row>
    <row r="209">
      <c r="A209" s="322" t="s">
        <v>4651</v>
      </c>
      <c r="B209" s="252"/>
      <c r="C209" s="11" t="s">
        <v>7074</v>
      </c>
      <c r="D209" s="74">
        <v>0.75</v>
      </c>
      <c r="E209" s="74">
        <v>0.75</v>
      </c>
      <c r="F209" s="229" t="s">
        <v>1656</v>
      </c>
      <c r="G209" s="326"/>
      <c r="H209" s="326"/>
      <c r="M209" s="35" t="s">
        <v>4651</v>
      </c>
      <c r="N209" s="124">
        <v>6780.0</v>
      </c>
      <c r="O209" s="36"/>
      <c r="P209" s="36"/>
      <c r="Q209" s="36" t="e">
        <v>#N/A</v>
      </c>
    </row>
    <row r="210">
      <c r="A210" s="322" t="s">
        <v>4652</v>
      </c>
      <c r="B210" s="25"/>
      <c r="C210" s="11" t="s">
        <v>7074</v>
      </c>
      <c r="D210" s="74">
        <v>0.75</v>
      </c>
      <c r="E210" s="74">
        <v>0.75</v>
      </c>
      <c r="F210" s="229" t="s">
        <v>1656</v>
      </c>
      <c r="G210" s="326"/>
      <c r="H210" s="326"/>
      <c r="M210" s="35" t="s">
        <v>4652</v>
      </c>
      <c r="N210" s="35">
        <v>6866.0</v>
      </c>
      <c r="O210" s="36"/>
      <c r="P210" s="36"/>
      <c r="Q210" s="36" t="e">
        <v>#N/A</v>
      </c>
    </row>
    <row r="211">
      <c r="A211" s="25" t="s">
        <v>4653</v>
      </c>
      <c r="B211" s="25">
        <v>7100.0</v>
      </c>
      <c r="C211" s="11" t="s">
        <v>7074</v>
      </c>
      <c r="D211" s="74">
        <v>0.75</v>
      </c>
      <c r="E211" s="74">
        <v>0.75</v>
      </c>
      <c r="F211" s="229" t="s">
        <v>1656</v>
      </c>
      <c r="G211" s="326"/>
      <c r="H211" s="326"/>
      <c r="M211" s="11" t="s">
        <v>4653</v>
      </c>
      <c r="N211" s="11">
        <v>7100.0</v>
      </c>
      <c r="Q211" s="18">
        <v>1.0</v>
      </c>
    </row>
    <row r="212">
      <c r="A212" s="25" t="s">
        <v>4654</v>
      </c>
      <c r="B212" s="25"/>
      <c r="C212" s="11" t="s">
        <v>7074</v>
      </c>
      <c r="D212" s="74">
        <v>0.75</v>
      </c>
      <c r="E212" s="74">
        <v>0.75</v>
      </c>
      <c r="F212" s="229" t="s">
        <v>1656</v>
      </c>
      <c r="G212" s="326"/>
      <c r="H212" s="326"/>
      <c r="M212" s="35" t="s">
        <v>4654</v>
      </c>
      <c r="N212" s="35">
        <v>6893.0</v>
      </c>
      <c r="O212" s="36"/>
      <c r="P212" s="36"/>
      <c r="Q212" s="36" t="e">
        <v>#N/A</v>
      </c>
    </row>
    <row r="213">
      <c r="A213" s="322" t="s">
        <v>4655</v>
      </c>
      <c r="B213" s="252"/>
      <c r="C213" s="11" t="s">
        <v>7074</v>
      </c>
      <c r="D213" s="74">
        <v>0.75</v>
      </c>
      <c r="E213" s="74">
        <v>0.75</v>
      </c>
      <c r="F213" s="229" t="s">
        <v>1656</v>
      </c>
      <c r="G213" s="326"/>
      <c r="H213" s="326"/>
      <c r="M213" s="11" t="s">
        <v>4655</v>
      </c>
      <c r="N213" s="122">
        <v>3294.0</v>
      </c>
      <c r="Q213" s="18">
        <v>1.0</v>
      </c>
    </row>
    <row r="214">
      <c r="A214" s="25" t="s">
        <v>4656</v>
      </c>
      <c r="B214" s="25">
        <v>6133.0</v>
      </c>
      <c r="C214" s="11" t="s">
        <v>7074</v>
      </c>
      <c r="D214" s="74">
        <v>0.75</v>
      </c>
      <c r="E214" s="74">
        <v>0.75</v>
      </c>
      <c r="F214" s="229" t="s">
        <v>1656</v>
      </c>
      <c r="G214" s="326"/>
      <c r="H214" s="326"/>
      <c r="M214" s="35" t="s">
        <v>4656</v>
      </c>
      <c r="N214" s="35">
        <v>6779.0</v>
      </c>
      <c r="O214" s="36"/>
      <c r="P214" s="36"/>
      <c r="Q214" s="36" t="e">
        <v>#N/A</v>
      </c>
    </row>
    <row r="215">
      <c r="A215" s="25" t="s">
        <v>4657</v>
      </c>
      <c r="B215" s="25"/>
      <c r="C215" s="11" t="s">
        <v>7074</v>
      </c>
      <c r="D215" s="74">
        <v>0.75</v>
      </c>
      <c r="E215" s="74">
        <v>0.75</v>
      </c>
      <c r="F215" s="229" t="s">
        <v>1656</v>
      </c>
      <c r="G215" s="326"/>
      <c r="H215" s="326"/>
      <c r="M215" s="35" t="s">
        <v>4657</v>
      </c>
      <c r="N215" s="35">
        <v>7168.0</v>
      </c>
      <c r="O215" s="36"/>
      <c r="P215" s="36"/>
      <c r="Q215" s="36" t="e">
        <v>#N/A</v>
      </c>
    </row>
    <row r="216">
      <c r="A216" s="25" t="s">
        <v>4658</v>
      </c>
      <c r="B216" s="25"/>
      <c r="C216" s="11" t="s">
        <v>7074</v>
      </c>
      <c r="D216" s="74">
        <v>0.75</v>
      </c>
      <c r="E216" s="74">
        <v>0.75</v>
      </c>
      <c r="F216" s="229" t="s">
        <v>1656</v>
      </c>
      <c r="G216" s="326"/>
      <c r="H216" s="326"/>
      <c r="M216" s="35" t="s">
        <v>4658</v>
      </c>
      <c r="N216" s="35">
        <v>6906.0</v>
      </c>
      <c r="O216" s="36"/>
      <c r="P216" s="36"/>
      <c r="Q216" s="36" t="e">
        <v>#N/A</v>
      </c>
    </row>
    <row r="217">
      <c r="A217" s="25" t="s">
        <v>4667</v>
      </c>
      <c r="B217" s="25"/>
      <c r="C217" s="11" t="s">
        <v>7074</v>
      </c>
      <c r="D217" s="74">
        <v>0.75</v>
      </c>
      <c r="E217" s="74">
        <v>0.75</v>
      </c>
      <c r="F217" s="229" t="s">
        <v>1656</v>
      </c>
      <c r="G217" s="326"/>
      <c r="H217" s="326"/>
      <c r="M217" s="35" t="s">
        <v>4667</v>
      </c>
      <c r="N217" s="35">
        <v>6906.0</v>
      </c>
      <c r="O217" s="36"/>
      <c r="P217" s="36"/>
      <c r="Q217" s="36" t="e">
        <v>#N/A</v>
      </c>
    </row>
    <row r="218">
      <c r="A218" s="25" t="s">
        <v>4668</v>
      </c>
      <c r="B218" s="25"/>
      <c r="C218" s="11" t="s">
        <v>7074</v>
      </c>
      <c r="D218" s="74">
        <v>0.75</v>
      </c>
      <c r="E218" s="74">
        <v>0.75</v>
      </c>
      <c r="F218" s="229" t="s">
        <v>1656</v>
      </c>
      <c r="G218" s="326"/>
      <c r="H218" s="326"/>
      <c r="M218" s="35" t="s">
        <v>4668</v>
      </c>
      <c r="N218" s="35">
        <v>5421.0</v>
      </c>
      <c r="O218" s="36"/>
      <c r="P218" s="36"/>
      <c r="Q218" s="36" t="e">
        <v>#N/A</v>
      </c>
    </row>
    <row r="219">
      <c r="A219" s="25" t="s">
        <v>4669</v>
      </c>
      <c r="B219" s="25">
        <v>6936.0</v>
      </c>
      <c r="C219" s="11" t="s">
        <v>7074</v>
      </c>
      <c r="D219" s="74">
        <v>0.75</v>
      </c>
      <c r="E219" s="74">
        <v>0.75</v>
      </c>
      <c r="F219" s="229" t="s">
        <v>1656</v>
      </c>
      <c r="G219" s="326"/>
      <c r="H219" s="326"/>
      <c r="M219" s="35" t="s">
        <v>4669</v>
      </c>
      <c r="N219" s="35">
        <v>5421.0</v>
      </c>
      <c r="O219" s="36"/>
      <c r="P219" s="36"/>
      <c r="Q219" s="36" t="e">
        <v>#N/A</v>
      </c>
    </row>
    <row r="220">
      <c r="A220" s="25" t="s">
        <v>7250</v>
      </c>
      <c r="B220" s="25"/>
      <c r="C220" s="11" t="s">
        <v>7074</v>
      </c>
      <c r="D220" s="74">
        <v>0.75</v>
      </c>
      <c r="E220" s="74">
        <v>0.75</v>
      </c>
      <c r="F220" s="229" t="s">
        <v>1656</v>
      </c>
      <c r="G220" s="326"/>
      <c r="H220" s="326"/>
      <c r="M220" s="35" t="s">
        <v>7250</v>
      </c>
      <c r="N220" s="35">
        <v>5421.0</v>
      </c>
      <c r="O220" s="36"/>
      <c r="P220" s="36"/>
      <c r="Q220" s="36" t="e">
        <v>#N/A</v>
      </c>
    </row>
    <row r="221">
      <c r="A221" s="25" t="s">
        <v>7251</v>
      </c>
      <c r="B221" s="332"/>
      <c r="C221" s="11" t="s">
        <v>7074</v>
      </c>
      <c r="D221" s="74">
        <v>0.75</v>
      </c>
      <c r="E221" s="74">
        <v>0.75</v>
      </c>
      <c r="F221" s="229" t="s">
        <v>1656</v>
      </c>
      <c r="G221" s="326"/>
      <c r="H221" s="326"/>
      <c r="M221" s="35" t="s">
        <v>7251</v>
      </c>
      <c r="N221" s="333">
        <v>7283.0</v>
      </c>
      <c r="O221" s="36"/>
      <c r="P221" s="36"/>
      <c r="Q221" s="36" t="e">
        <v>#N/A</v>
      </c>
    </row>
    <row r="222">
      <c r="A222" s="25" t="s">
        <v>7252</v>
      </c>
      <c r="B222" s="25">
        <v>6658.0</v>
      </c>
      <c r="C222" s="11" t="s">
        <v>7074</v>
      </c>
      <c r="D222" s="74">
        <v>0.82</v>
      </c>
      <c r="E222" s="74">
        <v>0.82</v>
      </c>
      <c r="F222" s="229" t="s">
        <v>1656</v>
      </c>
      <c r="G222" s="326"/>
      <c r="H222" s="326"/>
      <c r="M222" s="11" t="s">
        <v>7252</v>
      </c>
      <c r="N222" s="11">
        <v>6658.0</v>
      </c>
      <c r="Q222" s="18">
        <v>1.0</v>
      </c>
    </row>
    <row r="223">
      <c r="A223" s="25" t="s">
        <v>7253</v>
      </c>
      <c r="B223" s="25"/>
      <c r="C223" s="11" t="s">
        <v>7074</v>
      </c>
      <c r="D223" s="74">
        <v>0.75</v>
      </c>
      <c r="E223" s="74">
        <v>0.75</v>
      </c>
      <c r="F223" s="229" t="s">
        <v>1656</v>
      </c>
      <c r="G223" s="326"/>
      <c r="H223" s="326"/>
      <c r="M223" s="35" t="s">
        <v>7253</v>
      </c>
      <c r="N223" s="35">
        <v>6726.0</v>
      </c>
      <c r="O223" s="36"/>
      <c r="P223" s="36"/>
      <c r="Q223" s="36" t="e">
        <v>#N/A</v>
      </c>
    </row>
    <row r="224">
      <c r="A224" s="25" t="s">
        <v>7254</v>
      </c>
      <c r="B224" s="25">
        <v>6675.0</v>
      </c>
      <c r="C224" s="11" t="s">
        <v>7074</v>
      </c>
      <c r="D224" s="74">
        <v>0.82</v>
      </c>
      <c r="E224" s="74">
        <v>0.82</v>
      </c>
      <c r="F224" s="229" t="s">
        <v>1656</v>
      </c>
      <c r="G224" s="326"/>
      <c r="H224" s="326"/>
      <c r="M224" s="35" t="s">
        <v>7254</v>
      </c>
      <c r="N224" s="35">
        <v>6726.0</v>
      </c>
      <c r="O224" s="36"/>
      <c r="P224" s="36"/>
      <c r="Q224" s="36" t="e">
        <v>#N/A</v>
      </c>
    </row>
    <row r="225">
      <c r="A225" s="25" t="s">
        <v>7255</v>
      </c>
      <c r="B225" s="25"/>
      <c r="C225" s="11" t="s">
        <v>7074</v>
      </c>
      <c r="D225" s="74">
        <v>0.75</v>
      </c>
      <c r="E225" s="74">
        <v>0.75</v>
      </c>
      <c r="F225" s="229" t="s">
        <v>1656</v>
      </c>
      <c r="G225" s="326"/>
      <c r="H225" s="326"/>
      <c r="M225" s="35" t="s">
        <v>7255</v>
      </c>
      <c r="N225" s="35">
        <v>6726.0</v>
      </c>
      <c r="O225" s="36"/>
      <c r="P225" s="36"/>
      <c r="Q225" s="36" t="e">
        <v>#N/A</v>
      </c>
    </row>
    <row r="226">
      <c r="A226" s="25" t="s">
        <v>7256</v>
      </c>
      <c r="B226" s="25">
        <v>6672.0</v>
      </c>
      <c r="C226" s="11" t="s">
        <v>7074</v>
      </c>
      <c r="D226" s="74">
        <v>0.75</v>
      </c>
      <c r="E226" s="74">
        <v>0.75</v>
      </c>
      <c r="F226" s="229" t="s">
        <v>1656</v>
      </c>
      <c r="G226" s="326"/>
      <c r="H226" s="326"/>
      <c r="M226" s="11" t="s">
        <v>7256</v>
      </c>
      <c r="N226" s="11">
        <v>6774.0</v>
      </c>
      <c r="Q226" s="18">
        <v>1.0</v>
      </c>
    </row>
    <row r="227">
      <c r="A227" s="25" t="s">
        <v>7257</v>
      </c>
      <c r="B227" s="25"/>
      <c r="C227" s="11" t="s">
        <v>7074</v>
      </c>
      <c r="D227" s="74">
        <v>0.75</v>
      </c>
      <c r="E227" s="74">
        <v>0.75</v>
      </c>
      <c r="F227" s="229" t="s">
        <v>1656</v>
      </c>
      <c r="G227" s="326"/>
      <c r="H227" s="326"/>
      <c r="M227" s="35" t="s">
        <v>7257</v>
      </c>
      <c r="N227" s="35">
        <v>7129.0</v>
      </c>
      <c r="O227" s="36"/>
      <c r="P227" s="36"/>
      <c r="Q227" s="36" t="e">
        <v>#N/A</v>
      </c>
    </row>
    <row r="228">
      <c r="A228" s="25" t="s">
        <v>7258</v>
      </c>
      <c r="B228" s="25"/>
      <c r="C228" s="11" t="s">
        <v>7074</v>
      </c>
      <c r="D228" s="74">
        <v>0.75</v>
      </c>
      <c r="E228" s="74">
        <v>0.75</v>
      </c>
      <c r="F228" s="229" t="s">
        <v>1656</v>
      </c>
      <c r="G228" s="326"/>
      <c r="H228" s="326"/>
      <c r="M228" s="35" t="s">
        <v>7258</v>
      </c>
      <c r="N228" s="35">
        <v>7129.0</v>
      </c>
      <c r="O228" s="36"/>
      <c r="P228" s="36"/>
      <c r="Q228" s="36" t="e">
        <v>#N/A</v>
      </c>
    </row>
    <row r="229">
      <c r="A229" s="25" t="s">
        <v>7259</v>
      </c>
      <c r="B229" s="25">
        <v>6675.0</v>
      </c>
      <c r="C229" s="11" t="s">
        <v>7074</v>
      </c>
      <c r="D229" s="74">
        <v>0.82</v>
      </c>
      <c r="E229" s="74">
        <v>0.82</v>
      </c>
      <c r="F229" s="229" t="s">
        <v>1656</v>
      </c>
      <c r="G229" s="326"/>
      <c r="H229" s="326"/>
      <c r="M229" s="35" t="s">
        <v>7259</v>
      </c>
      <c r="N229" s="35">
        <v>7129.0</v>
      </c>
      <c r="O229" s="36"/>
      <c r="P229" s="36"/>
      <c r="Q229" s="36" t="e">
        <v>#N/A</v>
      </c>
    </row>
    <row r="230">
      <c r="A230" s="25" t="s">
        <v>7260</v>
      </c>
      <c r="B230" s="25"/>
      <c r="C230" s="11" t="s">
        <v>7074</v>
      </c>
      <c r="D230" s="74">
        <v>0.75</v>
      </c>
      <c r="E230" s="74">
        <v>0.75</v>
      </c>
      <c r="F230" s="229" t="s">
        <v>1656</v>
      </c>
      <c r="G230" s="326"/>
      <c r="H230" s="326"/>
      <c r="M230" s="35" t="s">
        <v>7260</v>
      </c>
      <c r="N230" s="35">
        <v>7129.0</v>
      </c>
      <c r="O230" s="36"/>
      <c r="P230" s="36"/>
      <c r="Q230" s="36" t="e">
        <v>#N/A</v>
      </c>
    </row>
    <row r="231">
      <c r="A231" s="25" t="s">
        <v>7261</v>
      </c>
      <c r="B231" s="25">
        <v>12941.0</v>
      </c>
      <c r="C231" s="11" t="s">
        <v>7074</v>
      </c>
      <c r="D231" s="74">
        <v>0.82</v>
      </c>
      <c r="E231" s="74">
        <v>0.82</v>
      </c>
      <c r="F231" s="229" t="s">
        <v>1656</v>
      </c>
      <c r="G231" s="326"/>
      <c r="H231" s="326"/>
      <c r="M231" s="11" t="s">
        <v>7261</v>
      </c>
      <c r="N231" s="11">
        <v>12941.0</v>
      </c>
      <c r="O231" s="11">
        <v>100.0</v>
      </c>
      <c r="Q231" s="18">
        <v>1.0</v>
      </c>
    </row>
    <row r="232">
      <c r="A232" s="25" t="s">
        <v>7262</v>
      </c>
      <c r="B232" s="25"/>
      <c r="C232" s="11" t="s">
        <v>7074</v>
      </c>
      <c r="D232" s="74">
        <v>0.75</v>
      </c>
      <c r="E232" s="74">
        <v>0.75</v>
      </c>
      <c r="F232" s="229" t="s">
        <v>1656</v>
      </c>
      <c r="G232" s="326"/>
      <c r="H232" s="326"/>
      <c r="M232" s="35" t="s">
        <v>7262</v>
      </c>
      <c r="N232" s="35">
        <v>930.0</v>
      </c>
      <c r="O232" s="36"/>
      <c r="P232" s="36"/>
      <c r="Q232" s="36" t="e">
        <v>#N/A</v>
      </c>
    </row>
    <row r="233">
      <c r="A233" s="25" t="s">
        <v>7263</v>
      </c>
      <c r="B233" s="25"/>
      <c r="C233" s="11" t="s">
        <v>7074</v>
      </c>
      <c r="D233" s="74">
        <v>0.75</v>
      </c>
      <c r="E233" s="74">
        <v>0.75</v>
      </c>
      <c r="F233" s="229" t="s">
        <v>1656</v>
      </c>
      <c r="G233" s="326"/>
      <c r="H233" s="326"/>
      <c r="M233" s="35" t="s">
        <v>7263</v>
      </c>
      <c r="N233" s="35">
        <v>7492.0</v>
      </c>
      <c r="O233" s="36"/>
      <c r="P233" s="36"/>
      <c r="Q233" s="36" t="e">
        <v>#N/A</v>
      </c>
    </row>
    <row r="234">
      <c r="A234" s="25" t="s">
        <v>7264</v>
      </c>
      <c r="B234" s="25">
        <v>6829.0</v>
      </c>
      <c r="C234" s="11" t="s">
        <v>7074</v>
      </c>
      <c r="D234" s="74">
        <v>0.75</v>
      </c>
      <c r="E234" s="74">
        <v>0.75</v>
      </c>
      <c r="F234" s="229" t="s">
        <v>1656</v>
      </c>
      <c r="G234" s="326"/>
      <c r="H234" s="326"/>
      <c r="M234" s="11" t="s">
        <v>7264</v>
      </c>
      <c r="N234" s="11">
        <v>6829.0</v>
      </c>
      <c r="Q234" s="18">
        <v>1.0</v>
      </c>
    </row>
    <row r="235">
      <c r="A235" s="25" t="s">
        <v>7265</v>
      </c>
      <c r="B235" s="25"/>
      <c r="C235" s="11" t="s">
        <v>7074</v>
      </c>
      <c r="D235" s="74">
        <v>0.75</v>
      </c>
      <c r="E235" s="74">
        <v>0.75</v>
      </c>
      <c r="F235" s="229" t="s">
        <v>1656</v>
      </c>
      <c r="G235" s="326"/>
      <c r="H235" s="326"/>
      <c r="M235" s="35" t="s">
        <v>7265</v>
      </c>
      <c r="N235" s="35">
        <v>9363.0</v>
      </c>
      <c r="O235" s="36"/>
      <c r="P235" s="36"/>
      <c r="Q235" s="36" t="e">
        <v>#N/A</v>
      </c>
    </row>
    <row r="236">
      <c r="A236" s="25" t="s">
        <v>7266</v>
      </c>
      <c r="B236" s="25">
        <v>9363.0</v>
      </c>
      <c r="C236" s="11" t="s">
        <v>7074</v>
      </c>
      <c r="D236" s="74">
        <v>0.75</v>
      </c>
      <c r="E236" s="74">
        <v>0.75</v>
      </c>
      <c r="F236" s="229" t="s">
        <v>1656</v>
      </c>
      <c r="G236" s="326"/>
      <c r="H236" s="326"/>
      <c r="M236" s="11" t="s">
        <v>7266</v>
      </c>
      <c r="N236" s="11">
        <v>9363.0</v>
      </c>
      <c r="Q236" s="18">
        <v>1.0</v>
      </c>
    </row>
    <row r="237">
      <c r="A237" s="25" t="s">
        <v>7267</v>
      </c>
      <c r="B237" s="25">
        <v>6675.0</v>
      </c>
      <c r="C237" s="11" t="s">
        <v>7074</v>
      </c>
      <c r="D237" s="74">
        <v>0.82</v>
      </c>
      <c r="E237" s="74">
        <v>0.82</v>
      </c>
      <c r="F237" s="229" t="s">
        <v>1656</v>
      </c>
      <c r="G237" s="326"/>
      <c r="H237" s="326"/>
      <c r="M237" s="35" t="s">
        <v>7267</v>
      </c>
      <c r="N237" s="35">
        <v>6675.0</v>
      </c>
      <c r="O237" s="36"/>
      <c r="P237" s="36"/>
      <c r="Q237" s="36" t="e">
        <v>#N/A</v>
      </c>
    </row>
    <row r="238">
      <c r="A238" s="25" t="s">
        <v>7268</v>
      </c>
      <c r="B238" s="25"/>
      <c r="C238" s="11" t="s">
        <v>7074</v>
      </c>
      <c r="D238" s="74">
        <v>0.75</v>
      </c>
      <c r="E238" s="74">
        <v>0.75</v>
      </c>
      <c r="F238" s="229" t="s">
        <v>1656</v>
      </c>
      <c r="G238" s="326"/>
      <c r="H238" s="326"/>
      <c r="M238" s="35" t="s">
        <v>7268</v>
      </c>
      <c r="N238" s="35">
        <v>6947.0</v>
      </c>
      <c r="O238" s="36"/>
      <c r="P238" s="36"/>
      <c r="Q238" s="36" t="e">
        <v>#N/A</v>
      </c>
    </row>
    <row r="239">
      <c r="A239" s="25" t="s">
        <v>7269</v>
      </c>
      <c r="B239" s="25"/>
      <c r="C239" s="11" t="s">
        <v>7074</v>
      </c>
      <c r="D239" s="74">
        <v>0.75</v>
      </c>
      <c r="E239" s="74">
        <v>0.75</v>
      </c>
      <c r="F239" s="229" t="s">
        <v>1656</v>
      </c>
      <c r="G239" s="326"/>
      <c r="H239" s="326"/>
      <c r="M239" s="35" t="s">
        <v>7269</v>
      </c>
      <c r="N239" s="35">
        <v>7492.0</v>
      </c>
      <c r="O239" s="36"/>
      <c r="P239" s="36"/>
      <c r="Q239" s="36" t="e">
        <v>#N/A</v>
      </c>
    </row>
    <row r="240">
      <c r="A240" s="25" t="s">
        <v>7270</v>
      </c>
      <c r="B240" s="25"/>
      <c r="C240" s="11" t="s">
        <v>7074</v>
      </c>
      <c r="D240" s="74">
        <v>0.75</v>
      </c>
      <c r="E240" s="74">
        <v>0.75</v>
      </c>
      <c r="F240" s="229" t="s">
        <v>1656</v>
      </c>
      <c r="G240" s="326"/>
      <c r="H240" s="326"/>
      <c r="M240" s="35" t="s">
        <v>7270</v>
      </c>
      <c r="N240" s="35">
        <v>7492.0</v>
      </c>
      <c r="O240" s="36"/>
      <c r="P240" s="36"/>
      <c r="Q240" s="36" t="e">
        <v>#N/A</v>
      </c>
    </row>
    <row r="241">
      <c r="A241" s="25" t="s">
        <v>7271</v>
      </c>
      <c r="B241" s="25"/>
      <c r="C241" s="11" t="s">
        <v>7074</v>
      </c>
      <c r="D241" s="74">
        <v>0.75</v>
      </c>
      <c r="E241" s="74">
        <v>0.75</v>
      </c>
      <c r="F241" s="229" t="s">
        <v>1656</v>
      </c>
      <c r="G241" s="326"/>
      <c r="H241" s="326"/>
      <c r="M241" s="35" t="s">
        <v>7271</v>
      </c>
      <c r="N241" s="35">
        <v>6936.0</v>
      </c>
      <c r="O241" s="36"/>
      <c r="P241" s="36"/>
      <c r="Q241" s="36" t="e">
        <v>#N/A</v>
      </c>
    </row>
    <row r="242">
      <c r="A242" s="25" t="s">
        <v>7272</v>
      </c>
      <c r="B242" s="25"/>
      <c r="C242" s="11" t="s">
        <v>7074</v>
      </c>
      <c r="D242" s="74">
        <v>0.75</v>
      </c>
      <c r="E242" s="74">
        <v>0.75</v>
      </c>
      <c r="F242" s="229" t="s">
        <v>1656</v>
      </c>
      <c r="G242" s="326"/>
      <c r="H242" s="326"/>
      <c r="M242" s="35" t="s">
        <v>7272</v>
      </c>
      <c r="N242" s="35">
        <v>6802.0</v>
      </c>
      <c r="O242" s="36"/>
      <c r="P242" s="36"/>
      <c r="Q242" s="36" t="e">
        <v>#N/A</v>
      </c>
    </row>
    <row r="243">
      <c r="A243" s="25" t="s">
        <v>7273</v>
      </c>
      <c r="B243" s="25"/>
      <c r="C243" s="11" t="s">
        <v>7074</v>
      </c>
      <c r="D243" s="74">
        <v>0.75</v>
      </c>
      <c r="E243" s="74">
        <v>0.75</v>
      </c>
      <c r="F243" s="229" t="s">
        <v>1656</v>
      </c>
      <c r="G243" s="326"/>
      <c r="H243" s="326"/>
      <c r="M243" s="35" t="s">
        <v>7273</v>
      </c>
      <c r="N243" s="35">
        <v>7492.0</v>
      </c>
      <c r="O243" s="36"/>
      <c r="P243" s="36"/>
      <c r="Q243" s="36" t="e">
        <v>#N/A</v>
      </c>
    </row>
    <row r="244">
      <c r="A244" s="25" t="s">
        <v>7274</v>
      </c>
      <c r="B244" s="25"/>
      <c r="C244" s="11" t="s">
        <v>7074</v>
      </c>
      <c r="D244" s="74">
        <v>0.75</v>
      </c>
      <c r="E244" s="74">
        <v>0.75</v>
      </c>
      <c r="F244" s="229" t="s">
        <v>1656</v>
      </c>
      <c r="G244" s="326"/>
      <c r="H244" s="326"/>
      <c r="M244" s="35" t="s">
        <v>7274</v>
      </c>
      <c r="N244" s="35">
        <v>8199.0</v>
      </c>
      <c r="O244" s="36"/>
      <c r="P244" s="36"/>
      <c r="Q244" s="36" t="e">
        <v>#N/A</v>
      </c>
    </row>
    <row r="245">
      <c r="A245" s="25" t="s">
        <v>7275</v>
      </c>
      <c r="B245" s="25"/>
      <c r="C245" s="11" t="s">
        <v>7074</v>
      </c>
      <c r="D245" s="74">
        <v>0.75</v>
      </c>
      <c r="E245" s="74">
        <v>0.75</v>
      </c>
      <c r="F245" s="229" t="s">
        <v>1656</v>
      </c>
      <c r="G245" s="326"/>
      <c r="H245" s="326"/>
      <c r="M245" s="35" t="s">
        <v>7275</v>
      </c>
      <c r="N245" s="35">
        <v>8199.0</v>
      </c>
      <c r="O245" s="36"/>
      <c r="P245" s="36"/>
      <c r="Q245" s="36" t="e">
        <v>#N/A</v>
      </c>
    </row>
    <row r="246">
      <c r="A246" s="25" t="s">
        <v>7276</v>
      </c>
      <c r="B246" s="25"/>
      <c r="C246" s="11" t="s">
        <v>7074</v>
      </c>
      <c r="D246" s="74">
        <v>0.75</v>
      </c>
      <c r="E246" s="74">
        <v>0.75</v>
      </c>
      <c r="F246" s="229" t="s">
        <v>1656</v>
      </c>
      <c r="G246" s="326"/>
      <c r="H246" s="326"/>
      <c r="M246" s="35" t="s">
        <v>7276</v>
      </c>
      <c r="N246" s="35">
        <v>7229.0</v>
      </c>
      <c r="O246" s="36"/>
      <c r="P246" s="36"/>
      <c r="Q246" s="36" t="e">
        <v>#N/A</v>
      </c>
    </row>
    <row r="247">
      <c r="A247" s="25" t="s">
        <v>7277</v>
      </c>
      <c r="B247" s="25"/>
      <c r="C247" s="11" t="s">
        <v>7074</v>
      </c>
      <c r="D247" s="74">
        <v>0.75</v>
      </c>
      <c r="E247" s="74">
        <v>0.75</v>
      </c>
      <c r="F247" s="229" t="s">
        <v>1656</v>
      </c>
      <c r="G247" s="326"/>
      <c r="H247" s="326"/>
      <c r="M247" s="35" t="s">
        <v>7277</v>
      </c>
      <c r="N247" s="35">
        <v>7492.0</v>
      </c>
      <c r="O247" s="36"/>
      <c r="P247" s="36"/>
      <c r="Q247" s="36" t="e">
        <v>#N/A</v>
      </c>
    </row>
    <row r="248">
      <c r="A248" s="25" t="s">
        <v>7278</v>
      </c>
      <c r="B248" s="25"/>
      <c r="C248" s="11" t="s">
        <v>7074</v>
      </c>
      <c r="D248" s="74">
        <v>0.75</v>
      </c>
      <c r="E248" s="74">
        <v>0.75</v>
      </c>
      <c r="F248" s="229" t="s">
        <v>1656</v>
      </c>
      <c r="G248" s="326"/>
      <c r="H248" s="326"/>
      <c r="M248" s="35" t="s">
        <v>7278</v>
      </c>
      <c r="N248" s="35">
        <v>7414.0</v>
      </c>
      <c r="O248" s="36"/>
      <c r="P248" s="36"/>
      <c r="Q248" s="36" t="e">
        <v>#N/A</v>
      </c>
    </row>
    <row r="249">
      <c r="A249" s="25" t="s">
        <v>7279</v>
      </c>
      <c r="B249" s="25"/>
      <c r="C249" s="11" t="s">
        <v>7074</v>
      </c>
      <c r="D249" s="74">
        <v>0.75</v>
      </c>
      <c r="E249" s="74">
        <v>0.75</v>
      </c>
      <c r="F249" s="229" t="s">
        <v>1656</v>
      </c>
      <c r="G249" s="326"/>
      <c r="H249" s="326"/>
      <c r="M249" s="35" t="s">
        <v>7279</v>
      </c>
      <c r="N249" s="35">
        <v>7492.0</v>
      </c>
      <c r="O249" s="36"/>
      <c r="P249" s="36"/>
      <c r="Q249" s="36" t="e">
        <v>#N/A</v>
      </c>
    </row>
    <row r="250">
      <c r="A250" s="25" t="s">
        <v>7280</v>
      </c>
      <c r="B250" s="25"/>
      <c r="C250" s="11" t="s">
        <v>7074</v>
      </c>
      <c r="D250" s="74">
        <v>0.75</v>
      </c>
      <c r="E250" s="74">
        <v>0.75</v>
      </c>
      <c r="F250" s="229" t="s">
        <v>1656</v>
      </c>
      <c r="G250" s="326"/>
      <c r="H250" s="326"/>
      <c r="M250" s="35" t="s">
        <v>7280</v>
      </c>
      <c r="N250" s="35">
        <v>7492.0</v>
      </c>
      <c r="O250" s="36"/>
      <c r="P250" s="36"/>
      <c r="Q250" s="36" t="e">
        <v>#N/A</v>
      </c>
    </row>
    <row r="251">
      <c r="A251" s="25" t="s">
        <v>7281</v>
      </c>
      <c r="B251" s="25"/>
      <c r="C251" s="11" t="s">
        <v>7074</v>
      </c>
      <c r="D251" s="74">
        <v>0.75</v>
      </c>
      <c r="E251" s="74">
        <v>0.75</v>
      </c>
      <c r="F251" s="229" t="s">
        <v>1656</v>
      </c>
      <c r="G251" s="326"/>
      <c r="H251" s="326"/>
      <c r="M251" s="35" t="s">
        <v>7281</v>
      </c>
      <c r="N251" s="35">
        <v>7492.0</v>
      </c>
      <c r="O251" s="36"/>
      <c r="P251" s="36"/>
      <c r="Q251" s="36" t="e">
        <v>#N/A</v>
      </c>
    </row>
    <row r="252">
      <c r="A252" s="25" t="s">
        <v>7282</v>
      </c>
      <c r="B252" s="25"/>
      <c r="C252" s="11" t="s">
        <v>7074</v>
      </c>
      <c r="D252" s="74">
        <v>0.75</v>
      </c>
      <c r="E252" s="74">
        <v>0.75</v>
      </c>
      <c r="F252" s="229" t="s">
        <v>1656</v>
      </c>
      <c r="G252" s="326"/>
      <c r="H252" s="326"/>
      <c r="M252" s="35" t="s">
        <v>7282</v>
      </c>
      <c r="N252" s="11">
        <v>6988.0</v>
      </c>
      <c r="O252" s="35">
        <v>7073.0</v>
      </c>
      <c r="P252" s="36"/>
      <c r="Q252" s="36" t="e">
        <v>#N/A</v>
      </c>
    </row>
    <row r="253">
      <c r="A253" s="25" t="s">
        <v>7283</v>
      </c>
      <c r="B253" s="25"/>
      <c r="C253" s="11" t="s">
        <v>7074</v>
      </c>
      <c r="D253" s="74">
        <v>0.75</v>
      </c>
      <c r="E253" s="74">
        <v>0.75</v>
      </c>
      <c r="F253" s="229" t="s">
        <v>1656</v>
      </c>
      <c r="G253" s="326"/>
      <c r="H253" s="326"/>
      <c r="M253" s="35" t="s">
        <v>7283</v>
      </c>
      <c r="N253" s="35">
        <v>10141.0</v>
      </c>
      <c r="O253" s="36"/>
      <c r="P253" s="36"/>
      <c r="Q253" s="36" t="e">
        <v>#N/A</v>
      </c>
    </row>
    <row r="254">
      <c r="A254" s="25" t="s">
        <v>7284</v>
      </c>
      <c r="B254" s="25"/>
      <c r="C254" s="11" t="s">
        <v>7074</v>
      </c>
      <c r="D254" s="74">
        <v>0.75</v>
      </c>
      <c r="E254" s="74">
        <v>0.75</v>
      </c>
      <c r="F254" s="229" t="s">
        <v>1656</v>
      </c>
      <c r="G254" s="326"/>
      <c r="H254" s="326"/>
      <c r="M254" s="35" t="s">
        <v>7284</v>
      </c>
      <c r="N254" s="35">
        <v>8199.0</v>
      </c>
      <c r="O254" s="36"/>
      <c r="P254" s="36"/>
      <c r="Q254" s="36" t="e">
        <v>#N/A</v>
      </c>
    </row>
    <row r="255">
      <c r="A255" s="25" t="s">
        <v>7285</v>
      </c>
      <c r="B255" s="25"/>
      <c r="C255" s="11" t="s">
        <v>7074</v>
      </c>
      <c r="D255" s="74">
        <v>0.75</v>
      </c>
      <c r="E255" s="74">
        <v>0.75</v>
      </c>
      <c r="F255" s="229" t="s">
        <v>1656</v>
      </c>
      <c r="G255" s="326"/>
      <c r="H255" s="326"/>
      <c r="M255" s="35" t="s">
        <v>7285</v>
      </c>
      <c r="N255" s="35">
        <v>6669.0</v>
      </c>
      <c r="O255" s="36"/>
      <c r="P255" s="36"/>
      <c r="Q255" s="36" t="e">
        <v>#N/A</v>
      </c>
    </row>
    <row r="256">
      <c r="A256" s="25" t="s">
        <v>7286</v>
      </c>
      <c r="B256" s="25"/>
      <c r="C256" s="11" t="s">
        <v>7074</v>
      </c>
      <c r="D256" s="74">
        <v>0.75</v>
      </c>
      <c r="E256" s="74">
        <v>0.75</v>
      </c>
      <c r="F256" s="229" t="s">
        <v>1656</v>
      </c>
      <c r="G256" s="326"/>
      <c r="H256" s="326"/>
      <c r="M256" s="35" t="s">
        <v>7286</v>
      </c>
      <c r="N256" s="35">
        <v>6669.0</v>
      </c>
      <c r="O256" s="36"/>
      <c r="P256" s="36"/>
      <c r="Q256" s="36" t="e">
        <v>#N/A</v>
      </c>
    </row>
    <row r="257">
      <c r="A257" s="25" t="s">
        <v>7287</v>
      </c>
      <c r="B257" s="25"/>
      <c r="C257" s="11" t="s">
        <v>7074</v>
      </c>
      <c r="D257" s="74">
        <v>0.75</v>
      </c>
      <c r="E257" s="74">
        <v>0.75</v>
      </c>
      <c r="F257" s="229" t="s">
        <v>1656</v>
      </c>
      <c r="G257" s="326"/>
      <c r="H257" s="326"/>
      <c r="M257" s="35" t="s">
        <v>7287</v>
      </c>
      <c r="N257" s="35">
        <v>6669.0</v>
      </c>
      <c r="O257" s="36"/>
      <c r="P257" s="36"/>
      <c r="Q257" s="36" t="e">
        <v>#N/A</v>
      </c>
    </row>
    <row r="258">
      <c r="A258" s="25" t="s">
        <v>7288</v>
      </c>
      <c r="B258" s="25"/>
      <c r="C258" s="11" t="s">
        <v>7074</v>
      </c>
      <c r="D258" s="74">
        <v>0.75</v>
      </c>
      <c r="E258" s="74">
        <v>0.75</v>
      </c>
      <c r="F258" s="229" t="s">
        <v>1656</v>
      </c>
      <c r="G258" s="326"/>
      <c r="H258" s="326"/>
      <c r="M258" s="35" t="s">
        <v>7288</v>
      </c>
      <c r="N258" s="35">
        <v>3689.0</v>
      </c>
      <c r="O258" s="36"/>
      <c r="P258" s="36"/>
      <c r="Q258" s="36" t="e">
        <v>#N/A</v>
      </c>
    </row>
    <row r="259">
      <c r="A259" s="25" t="s">
        <v>7289</v>
      </c>
      <c r="B259" s="25"/>
      <c r="C259" s="11" t="s">
        <v>7074</v>
      </c>
      <c r="D259" s="74">
        <v>0.75</v>
      </c>
      <c r="E259" s="74">
        <v>0.75</v>
      </c>
      <c r="F259" s="229" t="s">
        <v>1656</v>
      </c>
      <c r="G259" s="326"/>
      <c r="H259" s="326"/>
      <c r="M259" s="35" t="s">
        <v>7289</v>
      </c>
      <c r="N259" s="35">
        <v>7416.0</v>
      </c>
      <c r="O259" s="36"/>
      <c r="P259" s="36"/>
      <c r="Q259" s="36" t="e">
        <v>#N/A</v>
      </c>
    </row>
    <row r="260">
      <c r="A260" s="25" t="s">
        <v>7290</v>
      </c>
      <c r="B260" s="25"/>
      <c r="C260" s="11" t="s">
        <v>7074</v>
      </c>
      <c r="D260" s="74">
        <v>0.75</v>
      </c>
      <c r="E260" s="74">
        <v>0.75</v>
      </c>
      <c r="F260" s="229" t="s">
        <v>1656</v>
      </c>
      <c r="G260" s="326"/>
      <c r="H260" s="326"/>
      <c r="M260" s="35" t="s">
        <v>7290</v>
      </c>
      <c r="N260" s="35">
        <v>7158.0</v>
      </c>
      <c r="O260" s="36"/>
      <c r="P260" s="36"/>
      <c r="Q260" s="36" t="e">
        <v>#N/A</v>
      </c>
    </row>
    <row r="261">
      <c r="A261" s="25" t="s">
        <v>7291</v>
      </c>
      <c r="B261" s="42"/>
      <c r="C261" s="11" t="s">
        <v>7074</v>
      </c>
      <c r="D261" s="74">
        <v>0.75</v>
      </c>
      <c r="E261" s="74">
        <v>0.75</v>
      </c>
      <c r="F261" s="229" t="s">
        <v>1656</v>
      </c>
      <c r="G261" s="326"/>
      <c r="H261" s="326"/>
      <c r="M261" s="35" t="s">
        <v>7291</v>
      </c>
      <c r="N261" s="43">
        <v>12553.0</v>
      </c>
      <c r="O261" s="36"/>
      <c r="P261" s="36"/>
      <c r="Q261" s="36" t="e">
        <v>#N/A</v>
      </c>
    </row>
    <row r="262">
      <c r="A262" s="25" t="s">
        <v>7292</v>
      </c>
      <c r="B262" s="25"/>
      <c r="C262" s="11" t="s">
        <v>7074</v>
      </c>
      <c r="D262" s="74">
        <v>0.75</v>
      </c>
      <c r="E262" s="74">
        <v>0.75</v>
      </c>
      <c r="F262" s="229" t="s">
        <v>1656</v>
      </c>
      <c r="G262" s="326"/>
      <c r="H262" s="326"/>
      <c r="M262" s="35" t="s">
        <v>7292</v>
      </c>
      <c r="N262" s="35">
        <v>7104.0</v>
      </c>
      <c r="O262" s="36"/>
      <c r="P262" s="36"/>
      <c r="Q262" s="36" t="e">
        <v>#N/A</v>
      </c>
    </row>
    <row r="263">
      <c r="A263" s="25" t="s">
        <v>7293</v>
      </c>
      <c r="B263" s="25"/>
      <c r="C263" s="11" t="s">
        <v>7074</v>
      </c>
      <c r="D263" s="74">
        <v>0.75</v>
      </c>
      <c r="E263" s="74">
        <v>0.75</v>
      </c>
      <c r="F263" s="229" t="s">
        <v>1656</v>
      </c>
      <c r="G263" s="326"/>
      <c r="H263" s="326"/>
      <c r="M263" s="35" t="s">
        <v>7293</v>
      </c>
      <c r="N263" s="35">
        <v>9307.0</v>
      </c>
      <c r="O263" s="36"/>
      <c r="P263" s="36"/>
      <c r="Q263" s="36" t="e">
        <v>#N/A</v>
      </c>
    </row>
    <row r="264">
      <c r="A264" s="25" t="s">
        <v>7294</v>
      </c>
      <c r="B264" s="25">
        <v>7142.0</v>
      </c>
      <c r="C264" s="11" t="s">
        <v>7074</v>
      </c>
      <c r="D264" s="74">
        <v>0.75</v>
      </c>
      <c r="E264" s="74">
        <v>0.75</v>
      </c>
      <c r="F264" s="229" t="s">
        <v>1656</v>
      </c>
      <c r="G264" s="326"/>
      <c r="H264" s="326"/>
      <c r="M264" s="11" t="s">
        <v>7294</v>
      </c>
      <c r="N264" s="11">
        <v>7142.0</v>
      </c>
      <c r="Q264" s="18">
        <v>1.0</v>
      </c>
    </row>
    <row r="265">
      <c r="A265" s="25" t="s">
        <v>7295</v>
      </c>
      <c r="B265" s="25"/>
      <c r="C265" s="11" t="s">
        <v>7074</v>
      </c>
      <c r="D265" s="74">
        <v>0.75</v>
      </c>
      <c r="E265" s="74">
        <v>0.75</v>
      </c>
      <c r="F265" s="229" t="s">
        <v>1656</v>
      </c>
      <c r="G265" s="326"/>
      <c r="H265" s="326"/>
      <c r="M265" s="35" t="s">
        <v>7295</v>
      </c>
      <c r="N265" s="35">
        <v>9746.0</v>
      </c>
      <c r="O265" s="36"/>
      <c r="P265" s="36"/>
      <c r="Q265" s="36" t="e">
        <v>#N/A</v>
      </c>
    </row>
    <row r="266">
      <c r="A266" s="25" t="s">
        <v>7296</v>
      </c>
      <c r="B266" s="25"/>
      <c r="C266" s="11" t="s">
        <v>7074</v>
      </c>
      <c r="D266" s="74">
        <v>0.75</v>
      </c>
      <c r="E266" s="74">
        <v>0.75</v>
      </c>
      <c r="F266" s="229" t="s">
        <v>1656</v>
      </c>
      <c r="G266" s="326"/>
      <c r="H266" s="326"/>
      <c r="M266" s="35" t="s">
        <v>7296</v>
      </c>
      <c r="N266" s="35">
        <v>11104.0</v>
      </c>
      <c r="O266" s="36"/>
      <c r="P266" s="36"/>
      <c r="Q266" s="36" t="e">
        <v>#N/A</v>
      </c>
    </row>
    <row r="267">
      <c r="A267" s="25" t="s">
        <v>7297</v>
      </c>
      <c r="B267" s="25"/>
      <c r="C267" s="11" t="s">
        <v>7074</v>
      </c>
      <c r="D267" s="74">
        <v>0.75</v>
      </c>
      <c r="E267" s="74">
        <v>0.75</v>
      </c>
      <c r="F267" s="229" t="s">
        <v>1656</v>
      </c>
      <c r="G267" s="326"/>
      <c r="H267" s="326"/>
      <c r="M267" s="35" t="s">
        <v>7297</v>
      </c>
      <c r="N267" s="35">
        <v>14065.0</v>
      </c>
      <c r="O267" s="36"/>
      <c r="P267" s="36"/>
      <c r="Q267" s="36" t="e">
        <v>#N/A</v>
      </c>
    </row>
    <row r="268">
      <c r="A268" s="25" t="s">
        <v>7298</v>
      </c>
      <c r="B268" s="25"/>
      <c r="C268" s="11" t="s">
        <v>7074</v>
      </c>
      <c r="D268" s="74">
        <v>0.75</v>
      </c>
      <c r="E268" s="74">
        <v>0.75</v>
      </c>
      <c r="F268" s="229" t="s">
        <v>1656</v>
      </c>
      <c r="G268" s="326"/>
      <c r="H268" s="326"/>
      <c r="M268" s="35" t="s">
        <v>7298</v>
      </c>
      <c r="N268" s="35">
        <v>7183.0</v>
      </c>
      <c r="O268" s="36"/>
      <c r="P268" s="36"/>
      <c r="Q268" s="36" t="e">
        <v>#N/A</v>
      </c>
    </row>
    <row r="269">
      <c r="A269" s="25" t="s">
        <v>7299</v>
      </c>
      <c r="B269" s="25"/>
      <c r="C269" s="11" t="s">
        <v>7074</v>
      </c>
      <c r="D269" s="74">
        <v>0.75</v>
      </c>
      <c r="E269" s="74">
        <v>0.75</v>
      </c>
      <c r="F269" s="229" t="s">
        <v>1656</v>
      </c>
      <c r="G269" s="326"/>
      <c r="H269" s="326"/>
      <c r="M269" s="35" t="s">
        <v>7299</v>
      </c>
      <c r="N269" s="35">
        <v>7186.0</v>
      </c>
      <c r="O269" s="36"/>
      <c r="P269" s="36"/>
      <c r="Q269" s="36" t="e">
        <v>#N/A</v>
      </c>
    </row>
    <row r="270">
      <c r="A270" s="25" t="s">
        <v>7300</v>
      </c>
      <c r="B270" s="25"/>
      <c r="C270" s="11" t="s">
        <v>7074</v>
      </c>
      <c r="D270" s="74">
        <v>0.75</v>
      </c>
      <c r="E270" s="74">
        <v>0.75</v>
      </c>
      <c r="F270" s="229" t="s">
        <v>1656</v>
      </c>
      <c r="G270" s="326"/>
      <c r="H270" s="326"/>
      <c r="M270" s="35" t="s">
        <v>7300</v>
      </c>
      <c r="N270" s="35">
        <v>6678.0</v>
      </c>
      <c r="O270" s="35">
        <v>6133.0</v>
      </c>
      <c r="P270" s="36"/>
      <c r="Q270" s="36" t="e">
        <v>#N/A</v>
      </c>
    </row>
    <row r="271">
      <c r="A271" s="25" t="s">
        <v>7301</v>
      </c>
      <c r="B271" s="25"/>
      <c r="C271" s="11" t="s">
        <v>7074</v>
      </c>
      <c r="D271" s="74">
        <v>0.75</v>
      </c>
      <c r="E271" s="74">
        <v>0.75</v>
      </c>
      <c r="F271" s="229" t="s">
        <v>1656</v>
      </c>
      <c r="G271" s="326"/>
      <c r="H271" s="326"/>
      <c r="M271" s="35" t="s">
        <v>7301</v>
      </c>
      <c r="N271" s="35">
        <v>6133.0</v>
      </c>
      <c r="O271" s="36"/>
      <c r="P271" s="36"/>
      <c r="Q271" s="36" t="e">
        <v>#N/A</v>
      </c>
    </row>
    <row r="272">
      <c r="A272" s="25" t="s">
        <v>7302</v>
      </c>
      <c r="B272" s="25"/>
      <c r="C272" s="11" t="s">
        <v>7074</v>
      </c>
      <c r="D272" s="74">
        <v>0.75</v>
      </c>
      <c r="E272" s="74">
        <v>0.75</v>
      </c>
      <c r="F272" s="229" t="s">
        <v>1656</v>
      </c>
      <c r="G272" s="326"/>
      <c r="H272" s="326"/>
      <c r="M272" s="35" t="s">
        <v>7302</v>
      </c>
      <c r="N272" s="35">
        <v>6133.0</v>
      </c>
      <c r="O272" s="36"/>
      <c r="P272" s="36"/>
      <c r="Q272" s="36" t="e">
        <v>#N/A</v>
      </c>
    </row>
    <row r="273">
      <c r="A273" s="25" t="s">
        <v>7303</v>
      </c>
      <c r="B273" s="25"/>
      <c r="C273" s="11" t="s">
        <v>7074</v>
      </c>
      <c r="D273" s="74">
        <v>0.75</v>
      </c>
      <c r="E273" s="74">
        <v>0.75</v>
      </c>
      <c r="F273" s="229" t="s">
        <v>1656</v>
      </c>
      <c r="G273" s="326"/>
      <c r="H273" s="326"/>
      <c r="M273" s="35" t="s">
        <v>7303</v>
      </c>
      <c r="N273" s="35">
        <v>6989.0</v>
      </c>
      <c r="O273" s="36"/>
      <c r="P273" s="36"/>
      <c r="Q273" s="36" t="e">
        <v>#N/A</v>
      </c>
    </row>
    <row r="274">
      <c r="A274" s="25" t="s">
        <v>7304</v>
      </c>
      <c r="B274" s="25"/>
      <c r="C274" s="11" t="s">
        <v>7074</v>
      </c>
      <c r="D274" s="74">
        <v>0.75</v>
      </c>
      <c r="E274" s="74">
        <v>0.75</v>
      </c>
      <c r="F274" s="229" t="s">
        <v>1656</v>
      </c>
      <c r="G274" s="326"/>
      <c r="H274" s="326"/>
      <c r="M274" s="35" t="s">
        <v>7304</v>
      </c>
      <c r="N274" s="35">
        <v>6133.0</v>
      </c>
      <c r="O274" s="36"/>
      <c r="P274" s="36"/>
      <c r="Q274" s="36" t="e">
        <v>#N/A</v>
      </c>
    </row>
    <row r="275">
      <c r="A275" s="25" t="s">
        <v>7305</v>
      </c>
      <c r="B275" s="25"/>
      <c r="C275" s="11" t="s">
        <v>7074</v>
      </c>
      <c r="D275" s="74">
        <v>0.75</v>
      </c>
      <c r="E275" s="74">
        <v>0.75</v>
      </c>
      <c r="F275" s="229" t="s">
        <v>1656</v>
      </c>
      <c r="G275" s="326"/>
      <c r="H275" s="326"/>
      <c r="M275" s="35" t="s">
        <v>7305</v>
      </c>
      <c r="N275" s="35">
        <v>7010.0</v>
      </c>
      <c r="O275" s="36"/>
      <c r="P275" s="36"/>
      <c r="Q275" s="36" t="e">
        <v>#N/A</v>
      </c>
    </row>
    <row r="276">
      <c r="A276" s="25" t="s">
        <v>7306</v>
      </c>
      <c r="B276" s="25"/>
      <c r="C276" s="11" t="s">
        <v>7074</v>
      </c>
      <c r="D276" s="74">
        <v>0.75</v>
      </c>
      <c r="E276" s="74">
        <v>0.75</v>
      </c>
      <c r="F276" s="229" t="s">
        <v>1656</v>
      </c>
      <c r="G276" s="326"/>
      <c r="H276" s="326"/>
      <c r="M276" s="35" t="s">
        <v>7306</v>
      </c>
      <c r="N276" s="35">
        <v>10923.0</v>
      </c>
      <c r="O276" s="36"/>
      <c r="P276" s="36"/>
      <c r="Q276" s="36" t="e">
        <v>#N/A</v>
      </c>
    </row>
    <row r="277">
      <c r="A277" s="25" t="s">
        <v>7307</v>
      </c>
      <c r="B277" s="25"/>
      <c r="C277" s="11" t="s">
        <v>7074</v>
      </c>
      <c r="D277" s="74">
        <v>0.75</v>
      </c>
      <c r="E277" s="74">
        <v>0.75</v>
      </c>
      <c r="F277" s="229" t="s">
        <v>1656</v>
      </c>
      <c r="G277" s="326"/>
      <c r="H277" s="326"/>
      <c r="M277" s="35" t="s">
        <v>7307</v>
      </c>
      <c r="N277" s="35">
        <v>7246.0</v>
      </c>
      <c r="O277" s="36"/>
      <c r="P277" s="36"/>
      <c r="Q277" s="36" t="e">
        <v>#N/A</v>
      </c>
    </row>
    <row r="278">
      <c r="A278" s="25" t="s">
        <v>7308</v>
      </c>
      <c r="B278" s="25"/>
      <c r="C278" s="11" t="s">
        <v>7074</v>
      </c>
      <c r="D278" s="74">
        <v>0.75</v>
      </c>
      <c r="E278" s="74">
        <v>0.75</v>
      </c>
      <c r="F278" s="229" t="s">
        <v>1656</v>
      </c>
      <c r="G278" s="326"/>
      <c r="H278" s="326"/>
      <c r="M278" s="35" t="s">
        <v>7308</v>
      </c>
      <c r="N278" s="35">
        <v>7429.0</v>
      </c>
      <c r="O278" s="36"/>
      <c r="P278" s="36"/>
      <c r="Q278" s="36" t="e">
        <v>#N/A</v>
      </c>
    </row>
    <row r="279">
      <c r="A279" s="25" t="s">
        <v>7309</v>
      </c>
      <c r="B279" s="25"/>
      <c r="C279" s="11" t="s">
        <v>7074</v>
      </c>
      <c r="D279" s="74">
        <v>0.75</v>
      </c>
      <c r="E279" s="74">
        <v>0.75</v>
      </c>
      <c r="F279" s="229" t="s">
        <v>1656</v>
      </c>
      <c r="G279" s="326"/>
      <c r="H279" s="326"/>
      <c r="M279" s="35" t="s">
        <v>7309</v>
      </c>
      <c r="N279" s="35">
        <v>7429.0</v>
      </c>
      <c r="O279" s="36"/>
      <c r="P279" s="36"/>
      <c r="Q279" s="36" t="e">
        <v>#N/A</v>
      </c>
    </row>
    <row r="280">
      <c r="A280" s="25" t="s">
        <v>7310</v>
      </c>
      <c r="B280" s="25"/>
      <c r="C280" s="11" t="s">
        <v>7074</v>
      </c>
      <c r="D280" s="74">
        <v>0.75</v>
      </c>
      <c r="E280" s="74">
        <v>0.75</v>
      </c>
      <c r="F280" s="229" t="s">
        <v>1656</v>
      </c>
      <c r="G280" s="326"/>
      <c r="H280" s="326"/>
      <c r="M280" s="35" t="s">
        <v>7310</v>
      </c>
      <c r="N280" s="35">
        <v>7429.0</v>
      </c>
      <c r="O280" s="36"/>
      <c r="P280" s="36"/>
      <c r="Q280" s="36" t="e">
        <v>#N/A</v>
      </c>
    </row>
    <row r="281">
      <c r="A281" s="25" t="s">
        <v>7311</v>
      </c>
      <c r="B281" s="25"/>
      <c r="C281" s="11" t="s">
        <v>7074</v>
      </c>
      <c r="D281" s="74">
        <v>0.75</v>
      </c>
      <c r="E281" s="74">
        <v>0.75</v>
      </c>
      <c r="F281" s="229" t="s">
        <v>1656</v>
      </c>
      <c r="G281" s="326"/>
      <c r="H281" s="326"/>
      <c r="M281" s="35" t="s">
        <v>7311</v>
      </c>
      <c r="N281" s="35">
        <v>7429.0</v>
      </c>
      <c r="O281" s="36"/>
      <c r="P281" s="36"/>
      <c r="Q281" s="36" t="e">
        <v>#N/A</v>
      </c>
    </row>
    <row r="282">
      <c r="A282" s="25" t="s">
        <v>7312</v>
      </c>
      <c r="B282" s="25"/>
      <c r="C282" s="11" t="s">
        <v>7074</v>
      </c>
      <c r="D282" s="74">
        <v>0.75</v>
      </c>
      <c r="E282" s="74">
        <v>0.75</v>
      </c>
      <c r="F282" s="229" t="s">
        <v>1656</v>
      </c>
      <c r="G282" s="326"/>
      <c r="H282" s="326"/>
      <c r="M282" s="35" t="s">
        <v>7312</v>
      </c>
      <c r="N282" s="35">
        <v>7429.0</v>
      </c>
      <c r="O282" s="36"/>
      <c r="P282" s="36"/>
      <c r="Q282" s="36" t="e">
        <v>#N/A</v>
      </c>
    </row>
    <row r="283">
      <c r="A283" s="25" t="s">
        <v>7313</v>
      </c>
      <c r="B283" s="25">
        <v>7157.0</v>
      </c>
      <c r="C283" s="11" t="s">
        <v>7074</v>
      </c>
      <c r="D283" s="74">
        <v>0.75</v>
      </c>
      <c r="E283" s="74">
        <v>0.75</v>
      </c>
      <c r="F283" s="229" t="s">
        <v>1656</v>
      </c>
      <c r="G283" s="326"/>
      <c r="H283" s="326"/>
      <c r="M283" s="11" t="s">
        <v>7313</v>
      </c>
      <c r="N283" s="11">
        <v>7157.0</v>
      </c>
      <c r="Q283" s="18">
        <v>1.0</v>
      </c>
    </row>
    <row r="284">
      <c r="A284" s="25" t="s">
        <v>7314</v>
      </c>
      <c r="B284" s="25">
        <v>7429.0</v>
      </c>
      <c r="C284" s="11" t="s">
        <v>7074</v>
      </c>
      <c r="D284" s="74">
        <v>0.75</v>
      </c>
      <c r="E284" s="74">
        <v>0.75</v>
      </c>
      <c r="F284" s="229" t="s">
        <v>1656</v>
      </c>
      <c r="G284" s="326"/>
      <c r="H284" s="326"/>
      <c r="M284" s="11" t="s">
        <v>7314</v>
      </c>
      <c r="N284" s="11">
        <v>7429.0</v>
      </c>
      <c r="Q284" s="18">
        <v>1.0</v>
      </c>
    </row>
    <row r="285">
      <c r="A285" s="25" t="s">
        <v>7315</v>
      </c>
      <c r="B285" s="25"/>
      <c r="C285" s="11" t="s">
        <v>7074</v>
      </c>
      <c r="D285" s="74">
        <v>0.75</v>
      </c>
      <c r="E285" s="74">
        <v>0.75</v>
      </c>
      <c r="F285" s="229" t="s">
        <v>1656</v>
      </c>
      <c r="G285" s="326"/>
      <c r="H285" s="326"/>
      <c r="M285" s="35" t="s">
        <v>7315</v>
      </c>
      <c r="N285" s="35">
        <v>6873.0</v>
      </c>
      <c r="O285" s="36"/>
      <c r="P285" s="36"/>
      <c r="Q285" s="36" t="e">
        <v>#N/A</v>
      </c>
    </row>
    <row r="286">
      <c r="A286" s="25" t="s">
        <v>7316</v>
      </c>
      <c r="B286" s="25">
        <v>14770.0</v>
      </c>
      <c r="C286" s="11" t="s">
        <v>7074</v>
      </c>
      <c r="D286" s="74">
        <v>0.75</v>
      </c>
      <c r="E286" s="74">
        <v>0.75</v>
      </c>
      <c r="F286" s="229" t="s">
        <v>1656</v>
      </c>
      <c r="G286" s="326"/>
      <c r="H286" s="326"/>
      <c r="M286" s="35" t="s">
        <v>7316</v>
      </c>
      <c r="N286" s="35">
        <v>7070.0</v>
      </c>
      <c r="O286" s="36"/>
      <c r="P286" s="36"/>
      <c r="Q286" s="36" t="e">
        <v>#N/A</v>
      </c>
    </row>
    <row r="287">
      <c r="A287" s="25" t="s">
        <v>7317</v>
      </c>
      <c r="B287" s="25">
        <v>12941.0</v>
      </c>
      <c r="C287" s="11" t="s">
        <v>7074</v>
      </c>
      <c r="D287" s="74">
        <v>0.82</v>
      </c>
      <c r="E287" s="74">
        <v>0.82</v>
      </c>
      <c r="F287" s="229" t="s">
        <v>1656</v>
      </c>
      <c r="G287" s="326"/>
      <c r="H287" s="326"/>
      <c r="M287" s="11" t="s">
        <v>7317</v>
      </c>
      <c r="N287" s="11">
        <v>12941.0</v>
      </c>
      <c r="Q287" s="18">
        <v>1.0</v>
      </c>
    </row>
    <row r="288">
      <c r="A288" s="25" t="s">
        <v>7318</v>
      </c>
      <c r="B288" s="25"/>
      <c r="C288" s="11" t="s">
        <v>7074</v>
      </c>
      <c r="D288" s="74">
        <v>0.75</v>
      </c>
      <c r="E288" s="74">
        <v>0.75</v>
      </c>
      <c r="F288" s="229" t="s">
        <v>1656</v>
      </c>
      <c r="G288" s="326"/>
      <c r="H288" s="326"/>
      <c r="M288" s="35" t="s">
        <v>7318</v>
      </c>
      <c r="N288" s="35">
        <v>8199.0</v>
      </c>
      <c r="O288" s="36"/>
      <c r="P288" s="36"/>
      <c r="Q288" s="36" t="e">
        <v>#N/A</v>
      </c>
    </row>
    <row r="289">
      <c r="A289" s="25" t="s">
        <v>7319</v>
      </c>
      <c r="B289" s="25"/>
      <c r="C289" s="11" t="s">
        <v>7074</v>
      </c>
      <c r="D289" s="74">
        <v>0.75</v>
      </c>
      <c r="E289" s="74">
        <v>0.75</v>
      </c>
      <c r="F289" s="229" t="s">
        <v>1656</v>
      </c>
      <c r="G289" s="326"/>
      <c r="H289" s="326"/>
      <c r="M289" s="35" t="s">
        <v>7319</v>
      </c>
      <c r="N289" s="35">
        <v>6947.0</v>
      </c>
      <c r="O289" s="36"/>
      <c r="P289" s="36"/>
      <c r="Q289" s="36" t="e">
        <v>#N/A</v>
      </c>
    </row>
    <row r="290">
      <c r="A290" s="25" t="s">
        <v>7320</v>
      </c>
      <c r="B290" s="25">
        <v>12941.0</v>
      </c>
      <c r="C290" s="11" t="s">
        <v>7074</v>
      </c>
      <c r="D290" s="74">
        <v>0.82</v>
      </c>
      <c r="E290" s="74">
        <v>0.82</v>
      </c>
      <c r="F290" s="229" t="s">
        <v>1656</v>
      </c>
      <c r="G290" s="326"/>
      <c r="H290" s="326"/>
      <c r="M290" s="11" t="s">
        <v>7320</v>
      </c>
      <c r="N290" s="11">
        <v>12941.0</v>
      </c>
      <c r="Q290" s="18">
        <v>1.0</v>
      </c>
    </row>
    <row r="291">
      <c r="A291" s="25" t="s">
        <v>7321</v>
      </c>
      <c r="B291" s="25">
        <v>12941.0</v>
      </c>
      <c r="C291" s="11" t="s">
        <v>7074</v>
      </c>
      <c r="D291" s="74">
        <v>0.82</v>
      </c>
      <c r="E291" s="74">
        <v>0.82</v>
      </c>
      <c r="F291" s="229" t="s">
        <v>1656</v>
      </c>
      <c r="G291" s="326"/>
      <c r="H291" s="326"/>
      <c r="M291" s="11" t="s">
        <v>7321</v>
      </c>
      <c r="N291" s="11">
        <v>12941.0</v>
      </c>
      <c r="Q291" s="18">
        <v>1.0</v>
      </c>
    </row>
    <row r="292">
      <c r="A292" s="25" t="s">
        <v>7322</v>
      </c>
      <c r="B292" s="25"/>
      <c r="C292" s="11" t="s">
        <v>7074</v>
      </c>
      <c r="D292" s="74">
        <v>0.75</v>
      </c>
      <c r="E292" s="74">
        <v>0.75</v>
      </c>
      <c r="F292" s="229" t="s">
        <v>1656</v>
      </c>
      <c r="G292" s="326"/>
      <c r="H292" s="326"/>
      <c r="M292" s="35" t="s">
        <v>7322</v>
      </c>
      <c r="N292" s="35">
        <v>13829.0</v>
      </c>
      <c r="O292" s="36"/>
      <c r="P292" s="36"/>
      <c r="Q292" s="36" t="e">
        <v>#N/A</v>
      </c>
    </row>
    <row r="293">
      <c r="A293" s="25" t="s">
        <v>7323</v>
      </c>
      <c r="B293" s="25"/>
      <c r="C293" s="11" t="s">
        <v>7074</v>
      </c>
      <c r="D293" s="74">
        <v>0.75</v>
      </c>
      <c r="E293" s="74">
        <v>0.75</v>
      </c>
      <c r="F293" s="229" t="s">
        <v>1656</v>
      </c>
      <c r="G293" s="326"/>
      <c r="H293" s="326"/>
      <c r="M293" s="35" t="s">
        <v>7323</v>
      </c>
      <c r="N293" s="35">
        <v>8199.0</v>
      </c>
      <c r="O293" s="36"/>
      <c r="P293" s="36"/>
      <c r="Q293" s="36" t="e">
        <v>#N/A</v>
      </c>
    </row>
    <row r="294">
      <c r="A294" s="25" t="s">
        <v>7324</v>
      </c>
      <c r="B294" s="25"/>
      <c r="C294" s="11" t="s">
        <v>7074</v>
      </c>
      <c r="D294" s="74">
        <v>0.75</v>
      </c>
      <c r="E294" s="74">
        <v>0.75</v>
      </c>
      <c r="F294" s="229" t="s">
        <v>1656</v>
      </c>
      <c r="G294" s="326"/>
      <c r="H294" s="326"/>
      <c r="M294" s="35" t="s">
        <v>7324</v>
      </c>
      <c r="N294" s="35">
        <v>12941.0</v>
      </c>
      <c r="O294" s="36"/>
      <c r="P294" s="36"/>
      <c r="Q294" s="36" t="e">
        <v>#N/A</v>
      </c>
    </row>
    <row r="295">
      <c r="A295" s="25" t="s">
        <v>7325</v>
      </c>
      <c r="B295" s="25">
        <v>10856.0</v>
      </c>
      <c r="C295" s="11" t="s">
        <v>7074</v>
      </c>
      <c r="D295" s="74">
        <v>0.75</v>
      </c>
      <c r="E295" s="74">
        <v>0.75</v>
      </c>
      <c r="F295" s="229" t="s">
        <v>1656</v>
      </c>
      <c r="G295" s="326"/>
      <c r="H295" s="326"/>
      <c r="M295" s="11" t="s">
        <v>7325</v>
      </c>
      <c r="N295" s="11">
        <v>10856.0</v>
      </c>
      <c r="Q295" s="18">
        <v>1.0</v>
      </c>
    </row>
    <row r="296">
      <c r="A296" s="25" t="s">
        <v>7326</v>
      </c>
      <c r="B296" s="25"/>
      <c r="C296" s="11" t="s">
        <v>7074</v>
      </c>
      <c r="D296" s="74">
        <v>0.75</v>
      </c>
      <c r="E296" s="74">
        <v>0.75</v>
      </c>
      <c r="F296" s="229" t="s">
        <v>1656</v>
      </c>
      <c r="G296" s="326"/>
      <c r="H296" s="326"/>
      <c r="M296" s="35" t="s">
        <v>7326</v>
      </c>
      <c r="N296" s="35">
        <v>13204.0</v>
      </c>
      <c r="O296" s="36"/>
      <c r="P296" s="36"/>
      <c r="Q296" s="36" t="e">
        <v>#N/A</v>
      </c>
    </row>
    <row r="297">
      <c r="A297" s="25" t="s">
        <v>7327</v>
      </c>
      <c r="B297" s="25">
        <v>14594.0</v>
      </c>
      <c r="C297" s="11" t="s">
        <v>7074</v>
      </c>
      <c r="D297" s="74">
        <v>0.75</v>
      </c>
      <c r="E297" s="74">
        <v>0.75</v>
      </c>
      <c r="F297" s="229" t="s">
        <v>1656</v>
      </c>
      <c r="G297" s="326"/>
      <c r="H297" s="326"/>
      <c r="M297" s="35" t="s">
        <v>7327</v>
      </c>
      <c r="N297" s="35">
        <v>7132.0</v>
      </c>
      <c r="O297" s="36"/>
      <c r="P297" s="36"/>
      <c r="Q297" s="36" t="e">
        <v>#N/A</v>
      </c>
    </row>
    <row r="298">
      <c r="A298" s="25" t="s">
        <v>7328</v>
      </c>
      <c r="B298" s="25">
        <v>283.0</v>
      </c>
      <c r="C298" s="11" t="s">
        <v>7074</v>
      </c>
      <c r="D298" s="74">
        <v>0.75</v>
      </c>
      <c r="E298" s="74">
        <v>0.75</v>
      </c>
      <c r="F298" s="229" t="s">
        <v>1656</v>
      </c>
      <c r="G298" s="326"/>
      <c r="H298" s="326"/>
      <c r="M298" s="35" t="s">
        <v>7328</v>
      </c>
      <c r="N298" s="35">
        <v>283.0</v>
      </c>
      <c r="O298" s="36"/>
      <c r="P298" s="36"/>
      <c r="Q298" s="36" t="e">
        <v>#N/A</v>
      </c>
    </row>
    <row r="299">
      <c r="A299" s="25" t="s">
        <v>7329</v>
      </c>
      <c r="B299" s="25">
        <v>6671.0</v>
      </c>
      <c r="C299" s="11" t="s">
        <v>7074</v>
      </c>
      <c r="D299" s="74">
        <v>0.75</v>
      </c>
      <c r="E299" s="74">
        <v>0.75</v>
      </c>
      <c r="F299" s="229" t="s">
        <v>1656</v>
      </c>
      <c r="G299" s="326"/>
      <c r="H299" s="326"/>
      <c r="M299" s="35" t="s">
        <v>7329</v>
      </c>
      <c r="N299" s="35">
        <v>6671.0</v>
      </c>
      <c r="O299" s="36"/>
      <c r="P299" s="36"/>
      <c r="Q299" s="36" t="e">
        <v>#N/A</v>
      </c>
    </row>
    <row r="300">
      <c r="A300" s="25" t="s">
        <v>7330</v>
      </c>
      <c r="B300" s="25">
        <v>6671.0</v>
      </c>
      <c r="C300" s="11" t="s">
        <v>7074</v>
      </c>
      <c r="D300" s="74">
        <v>0.75</v>
      </c>
      <c r="E300" s="74">
        <v>0.75</v>
      </c>
      <c r="F300" s="229" t="s">
        <v>1656</v>
      </c>
      <c r="G300" s="326"/>
      <c r="H300" s="326"/>
      <c r="M300" s="35" t="s">
        <v>7330</v>
      </c>
      <c r="N300" s="35">
        <v>6671.0</v>
      </c>
      <c r="O300" s="36"/>
      <c r="P300" s="36"/>
      <c r="Q300" s="36" t="e">
        <v>#N/A</v>
      </c>
    </row>
    <row r="301">
      <c r="A301" s="25" t="s">
        <v>11</v>
      </c>
      <c r="B301" s="25">
        <v>6675.0</v>
      </c>
      <c r="C301" s="11" t="s">
        <v>7074</v>
      </c>
      <c r="D301" s="74">
        <v>0.82</v>
      </c>
      <c r="E301" s="74">
        <v>0.82</v>
      </c>
      <c r="F301" s="229" t="s">
        <v>1656</v>
      </c>
      <c r="G301" s="326"/>
      <c r="H301" s="326"/>
      <c r="M301" s="11" t="s">
        <v>11</v>
      </c>
      <c r="N301" s="11">
        <v>6675.0</v>
      </c>
      <c r="Q301" s="18">
        <v>1.0</v>
      </c>
    </row>
    <row r="302">
      <c r="A302" s="334" t="s">
        <v>7331</v>
      </c>
      <c r="B302" s="25">
        <v>8524.0</v>
      </c>
      <c r="C302" s="11" t="s">
        <v>7074</v>
      </c>
      <c r="D302" s="74">
        <v>0.75</v>
      </c>
      <c r="E302" s="74">
        <v>0.75</v>
      </c>
      <c r="F302" s="229" t="s">
        <v>1656</v>
      </c>
      <c r="G302" s="326"/>
      <c r="H302" s="326"/>
      <c r="M302" s="35" t="s">
        <v>7331</v>
      </c>
      <c r="N302" s="35">
        <v>8524.0</v>
      </c>
      <c r="O302" s="36"/>
      <c r="P302" s="36"/>
      <c r="Q302" s="36" t="e">
        <v>#N/A</v>
      </c>
    </row>
    <row r="303">
      <c r="A303" s="334" t="s">
        <v>7332</v>
      </c>
      <c r="B303" s="25">
        <v>12609.0</v>
      </c>
      <c r="C303" s="11" t="s">
        <v>7074</v>
      </c>
      <c r="D303" s="74">
        <v>0.75</v>
      </c>
      <c r="E303" s="74">
        <v>0.75</v>
      </c>
      <c r="F303" s="229" t="s">
        <v>1656</v>
      </c>
      <c r="G303" s="326"/>
      <c r="H303" s="326"/>
      <c r="M303" s="335" t="s">
        <v>7332</v>
      </c>
      <c r="N303" s="35">
        <v>12609.0</v>
      </c>
      <c r="O303" s="36"/>
      <c r="P303" s="36"/>
      <c r="Q303" s="36" t="e">
        <v>#N/A</v>
      </c>
    </row>
    <row r="304">
      <c r="A304" s="101" t="s">
        <v>7333</v>
      </c>
      <c r="B304" s="101">
        <v>8486.0</v>
      </c>
      <c r="C304" s="11" t="s">
        <v>7074</v>
      </c>
      <c r="D304" s="74">
        <v>0.85</v>
      </c>
      <c r="E304" s="336">
        <v>0.92</v>
      </c>
      <c r="F304" s="229" t="s">
        <v>1656</v>
      </c>
      <c r="G304" s="326"/>
      <c r="H304" s="326"/>
      <c r="M304" s="7" t="s">
        <v>7333</v>
      </c>
      <c r="N304" s="7">
        <v>8486.0</v>
      </c>
      <c r="Q304" s="18">
        <v>1.0</v>
      </c>
    </row>
    <row r="305">
      <c r="A305" s="101" t="s">
        <v>7334</v>
      </c>
      <c r="B305" s="101">
        <v>8486.0</v>
      </c>
      <c r="C305" s="11" t="s">
        <v>7074</v>
      </c>
      <c r="D305" s="74">
        <v>0.85</v>
      </c>
      <c r="E305" s="336">
        <v>0.92</v>
      </c>
      <c r="F305" s="229" t="s">
        <v>1656</v>
      </c>
      <c r="G305" s="326"/>
      <c r="H305" s="326"/>
      <c r="M305" s="7" t="s">
        <v>7334</v>
      </c>
      <c r="N305" s="7">
        <v>8486.0</v>
      </c>
      <c r="Q305" s="18">
        <v>1.0</v>
      </c>
    </row>
    <row r="306">
      <c r="A306" s="337" t="s">
        <v>7335</v>
      </c>
      <c r="B306" s="101">
        <v>6143.0</v>
      </c>
      <c r="C306" s="11" t="s">
        <v>7074</v>
      </c>
      <c r="D306" s="74">
        <v>0.75</v>
      </c>
      <c r="E306" s="74">
        <v>0.75</v>
      </c>
      <c r="F306" s="229" t="s">
        <v>1656</v>
      </c>
      <c r="G306" s="326"/>
      <c r="H306" s="326"/>
      <c r="M306" s="7" t="s">
        <v>7335</v>
      </c>
      <c r="N306" s="7">
        <v>6143.0</v>
      </c>
      <c r="Q306" s="18">
        <v>1.0</v>
      </c>
    </row>
    <row r="307">
      <c r="A307" s="202" t="s">
        <v>7336</v>
      </c>
      <c r="B307" s="202">
        <v>9030.0</v>
      </c>
      <c r="C307" s="11" t="s">
        <v>7074</v>
      </c>
      <c r="D307" s="74">
        <v>0.75</v>
      </c>
      <c r="E307" s="74">
        <v>0.75</v>
      </c>
      <c r="F307" s="229" t="s">
        <v>1656</v>
      </c>
      <c r="G307" s="37" t="s">
        <v>207</v>
      </c>
      <c r="H307" s="326"/>
    </row>
    <row r="308">
      <c r="A308" s="338" t="s">
        <v>7337</v>
      </c>
      <c r="B308" s="338">
        <v>9572.0</v>
      </c>
      <c r="C308" s="11" t="s">
        <v>7074</v>
      </c>
      <c r="D308" s="74">
        <v>0.75</v>
      </c>
      <c r="E308" s="74">
        <v>0.75</v>
      </c>
      <c r="F308" s="229" t="s">
        <v>1656</v>
      </c>
      <c r="G308" s="11" t="s">
        <v>207</v>
      </c>
      <c r="H308" s="326"/>
    </row>
    <row r="309">
      <c r="A309" s="7" t="s">
        <v>7338</v>
      </c>
      <c r="B309" s="7">
        <v>9573.0</v>
      </c>
      <c r="C309" s="11" t="s">
        <v>7074</v>
      </c>
      <c r="D309" s="74">
        <v>0.75</v>
      </c>
      <c r="E309" s="74">
        <v>0.75</v>
      </c>
      <c r="F309" s="229" t="s">
        <v>1656</v>
      </c>
      <c r="G309" s="11" t="s">
        <v>207</v>
      </c>
      <c r="H309" s="326"/>
    </row>
    <row r="310">
      <c r="A310" s="338" t="s">
        <v>7339</v>
      </c>
      <c r="B310" s="338">
        <v>9602.0</v>
      </c>
      <c r="C310" s="11" t="s">
        <v>7074</v>
      </c>
      <c r="D310" s="74">
        <v>0.75</v>
      </c>
      <c r="E310" s="74">
        <v>0.75</v>
      </c>
      <c r="F310" s="229" t="s">
        <v>1656</v>
      </c>
      <c r="G310" s="11" t="s">
        <v>207</v>
      </c>
      <c r="H310" s="326"/>
    </row>
    <row r="311">
      <c r="A311" s="7" t="s">
        <v>7340</v>
      </c>
      <c r="B311" s="7">
        <v>10368.0</v>
      </c>
      <c r="C311" s="11" t="s">
        <v>7074</v>
      </c>
      <c r="D311" s="74">
        <v>0.75</v>
      </c>
      <c r="E311" s="74">
        <v>0.75</v>
      </c>
      <c r="F311" s="229" t="s">
        <v>1656</v>
      </c>
      <c r="G311" s="11" t="s">
        <v>207</v>
      </c>
      <c r="H311" s="326"/>
    </row>
    <row r="312">
      <c r="A312" s="7" t="s">
        <v>7341</v>
      </c>
      <c r="B312" s="7">
        <v>12259.0</v>
      </c>
      <c r="C312" s="11" t="s">
        <v>7074</v>
      </c>
      <c r="D312" s="74">
        <v>0.75</v>
      </c>
      <c r="E312" s="74">
        <v>0.75</v>
      </c>
      <c r="F312" s="229" t="s">
        <v>1656</v>
      </c>
      <c r="G312" s="11" t="s">
        <v>207</v>
      </c>
      <c r="H312" s="326"/>
    </row>
    <row r="313">
      <c r="A313" s="338" t="s">
        <v>7342</v>
      </c>
      <c r="B313" s="338"/>
      <c r="C313" s="11" t="s">
        <v>7074</v>
      </c>
      <c r="D313" s="74">
        <v>0.75</v>
      </c>
      <c r="E313" s="74">
        <v>0.75</v>
      </c>
      <c r="F313" s="229" t="s">
        <v>1656</v>
      </c>
      <c r="G313" s="11" t="s">
        <v>207</v>
      </c>
      <c r="H313" s="326"/>
    </row>
    <row r="314">
      <c r="A314" s="338" t="s">
        <v>7343</v>
      </c>
      <c r="B314" s="338">
        <v>13895.0</v>
      </c>
      <c r="C314" s="11" t="s">
        <v>7074</v>
      </c>
      <c r="D314" s="74">
        <v>0.75</v>
      </c>
      <c r="E314" s="74">
        <v>0.75</v>
      </c>
      <c r="F314" s="229" t="s">
        <v>1656</v>
      </c>
      <c r="G314" s="11" t="s">
        <v>207</v>
      </c>
      <c r="H314" s="326"/>
    </row>
    <row r="315">
      <c r="A315" s="338" t="s">
        <v>7344</v>
      </c>
      <c r="B315" s="338">
        <v>14274.0</v>
      </c>
      <c r="C315" s="11" t="s">
        <v>7074</v>
      </c>
      <c r="D315" s="74">
        <v>0.75</v>
      </c>
      <c r="E315" s="74">
        <v>0.75</v>
      </c>
      <c r="F315" s="229" t="s">
        <v>1656</v>
      </c>
      <c r="G315" s="11" t="s">
        <v>207</v>
      </c>
      <c r="H315" s="326"/>
    </row>
    <row r="316">
      <c r="A316" s="338" t="s">
        <v>2049</v>
      </c>
      <c r="B316" s="338"/>
      <c r="C316" s="11" t="s">
        <v>7074</v>
      </c>
      <c r="D316" s="74">
        <v>0.75</v>
      </c>
      <c r="E316" s="74">
        <v>0.75</v>
      </c>
      <c r="F316" s="229" t="s">
        <v>1656</v>
      </c>
      <c r="G316" s="11" t="s">
        <v>207</v>
      </c>
      <c r="H316" s="326"/>
    </row>
    <row r="317">
      <c r="A317" s="338" t="s">
        <v>7345</v>
      </c>
      <c r="B317" s="338">
        <v>12015.0</v>
      </c>
      <c r="C317" s="11" t="s">
        <v>7074</v>
      </c>
      <c r="D317" s="74">
        <v>0.75</v>
      </c>
      <c r="E317" s="74">
        <v>0.75</v>
      </c>
      <c r="F317" s="229" t="s">
        <v>1656</v>
      </c>
      <c r="G317" s="11" t="s">
        <v>207</v>
      </c>
      <c r="H317" s="326"/>
    </row>
    <row r="318">
      <c r="A318" s="338" t="s">
        <v>7346</v>
      </c>
      <c r="B318" s="338">
        <v>7780.0</v>
      </c>
      <c r="C318" s="11" t="s">
        <v>7074</v>
      </c>
      <c r="D318" s="74">
        <v>0.75</v>
      </c>
      <c r="E318" s="74">
        <v>0.75</v>
      </c>
      <c r="F318" s="229" t="s">
        <v>1656</v>
      </c>
      <c r="G318" s="11" t="s">
        <v>207</v>
      </c>
      <c r="H318" s="326"/>
    </row>
    <row r="319">
      <c r="A319" s="338" t="s">
        <v>7347</v>
      </c>
      <c r="B319" s="338"/>
      <c r="C319" s="11" t="s">
        <v>7074</v>
      </c>
      <c r="D319" s="74">
        <v>0.75</v>
      </c>
      <c r="E319" s="74">
        <v>0.75</v>
      </c>
      <c r="F319" s="229" t="s">
        <v>1656</v>
      </c>
      <c r="G319" s="11" t="s">
        <v>207</v>
      </c>
      <c r="H319" s="326"/>
    </row>
    <row r="320">
      <c r="A320" s="338" t="s">
        <v>7348</v>
      </c>
      <c r="B320" s="338">
        <v>8005.0</v>
      </c>
      <c r="C320" s="11" t="s">
        <v>7074</v>
      </c>
      <c r="D320" s="74">
        <v>0.75</v>
      </c>
      <c r="E320" s="74">
        <v>0.75</v>
      </c>
      <c r="F320" s="229" t="s">
        <v>1656</v>
      </c>
      <c r="G320" s="11" t="s">
        <v>207</v>
      </c>
      <c r="H320" s="326"/>
    </row>
    <row r="321">
      <c r="A321" s="339" t="s">
        <v>7349</v>
      </c>
      <c r="B321" s="7">
        <v>8696.0</v>
      </c>
      <c r="C321" s="11" t="s">
        <v>7074</v>
      </c>
      <c r="D321" s="74">
        <v>0.75</v>
      </c>
      <c r="E321" s="74">
        <v>0.75</v>
      </c>
      <c r="F321" s="229" t="s">
        <v>1656</v>
      </c>
      <c r="G321" s="11" t="s">
        <v>207</v>
      </c>
      <c r="H321" s="326"/>
    </row>
    <row r="322">
      <c r="A322" s="7" t="s">
        <v>7350</v>
      </c>
      <c r="B322" s="7">
        <v>14253.0</v>
      </c>
      <c r="C322" s="11" t="s">
        <v>7074</v>
      </c>
      <c r="D322" s="74">
        <v>0.75</v>
      </c>
      <c r="E322" s="74">
        <v>0.75</v>
      </c>
      <c r="F322" s="229" t="s">
        <v>1656</v>
      </c>
      <c r="G322" s="11" t="s">
        <v>207</v>
      </c>
      <c r="H322" s="326"/>
    </row>
    <row r="323">
      <c r="A323" s="339" t="s">
        <v>7351</v>
      </c>
      <c r="B323" s="195">
        <v>13867.0</v>
      </c>
      <c r="C323" s="11" t="s">
        <v>7074</v>
      </c>
      <c r="D323" s="74">
        <v>0.75</v>
      </c>
      <c r="E323" s="74">
        <v>0.75</v>
      </c>
      <c r="F323" s="229" t="s">
        <v>1656</v>
      </c>
      <c r="G323" s="11" t="s">
        <v>207</v>
      </c>
      <c r="H323" s="326"/>
    </row>
    <row r="324">
      <c r="A324" s="339" t="s">
        <v>7352</v>
      </c>
      <c r="B324" s="7">
        <v>8531.0</v>
      </c>
      <c r="C324" s="11" t="s">
        <v>7074</v>
      </c>
      <c r="D324" s="74">
        <v>0.75</v>
      </c>
      <c r="E324" s="74">
        <v>0.75</v>
      </c>
      <c r="F324" s="229" t="s">
        <v>1656</v>
      </c>
      <c r="G324" s="11" t="s">
        <v>207</v>
      </c>
      <c r="H324" s="326"/>
    </row>
    <row r="325">
      <c r="A325" s="339" t="s">
        <v>7353</v>
      </c>
      <c r="B325" s="11">
        <v>9030.0</v>
      </c>
      <c r="C325" s="11" t="s">
        <v>7074</v>
      </c>
      <c r="D325" s="74">
        <v>0.75</v>
      </c>
      <c r="E325" s="74">
        <v>0.75</v>
      </c>
      <c r="F325" s="229" t="s">
        <v>1656</v>
      </c>
      <c r="G325" s="11" t="s">
        <v>207</v>
      </c>
      <c r="H325" s="326"/>
    </row>
    <row r="326">
      <c r="A326" s="339" t="s">
        <v>7354</v>
      </c>
      <c r="B326" s="7">
        <v>12277.0</v>
      </c>
      <c r="C326" s="11" t="s">
        <v>7074</v>
      </c>
      <c r="D326" s="74">
        <v>0.75</v>
      </c>
      <c r="E326" s="74">
        <v>0.75</v>
      </c>
      <c r="F326" s="229" t="s">
        <v>1656</v>
      </c>
      <c r="G326" s="11" t="s">
        <v>207</v>
      </c>
      <c r="H326" s="326"/>
    </row>
    <row r="327">
      <c r="A327" s="340" t="s">
        <v>7355</v>
      </c>
      <c r="B327" s="7">
        <v>11553.0</v>
      </c>
      <c r="C327" s="11" t="s">
        <v>7074</v>
      </c>
      <c r="D327" s="74">
        <v>0.75</v>
      </c>
      <c r="E327" s="74">
        <v>0.75</v>
      </c>
      <c r="F327" s="229" t="s">
        <v>1656</v>
      </c>
      <c r="G327" s="11" t="s">
        <v>207</v>
      </c>
      <c r="H327" s="326"/>
    </row>
    <row r="328">
      <c r="A328" s="340" t="s">
        <v>7356</v>
      </c>
      <c r="B328" s="199">
        <v>14076.0</v>
      </c>
      <c r="C328" s="11" t="s">
        <v>7074</v>
      </c>
      <c r="D328" s="74">
        <v>0.75</v>
      </c>
      <c r="E328" s="74">
        <v>0.75</v>
      </c>
      <c r="F328" s="229" t="s">
        <v>1656</v>
      </c>
      <c r="G328" s="11" t="s">
        <v>207</v>
      </c>
      <c r="H328" s="326"/>
    </row>
    <row r="329">
      <c r="A329" s="340" t="s">
        <v>7357</v>
      </c>
      <c r="B329" s="7">
        <v>13811.0</v>
      </c>
      <c r="C329" s="11" t="s">
        <v>7074</v>
      </c>
      <c r="D329" s="74">
        <v>0.75</v>
      </c>
      <c r="E329" s="74">
        <v>0.75</v>
      </c>
      <c r="F329" s="229" t="s">
        <v>1656</v>
      </c>
      <c r="G329" s="11" t="s">
        <v>207</v>
      </c>
      <c r="H329" s="326"/>
    </row>
    <row r="330">
      <c r="A330" s="340" t="s">
        <v>2012</v>
      </c>
      <c r="B330" s="195">
        <v>14752.0</v>
      </c>
      <c r="C330" s="11" t="s">
        <v>7074</v>
      </c>
      <c r="D330" s="74">
        <v>0.75</v>
      </c>
      <c r="E330" s="74">
        <v>0.75</v>
      </c>
      <c r="F330" s="229" t="s">
        <v>1656</v>
      </c>
      <c r="G330" s="11" t="s">
        <v>207</v>
      </c>
      <c r="H330" s="326"/>
    </row>
    <row r="331">
      <c r="A331" s="339" t="s">
        <v>7358</v>
      </c>
      <c r="B331" s="7"/>
      <c r="C331" s="11" t="s">
        <v>7074</v>
      </c>
      <c r="D331" s="74">
        <v>0.75</v>
      </c>
      <c r="E331" s="74">
        <v>0.75</v>
      </c>
      <c r="F331" s="229" t="s">
        <v>1656</v>
      </c>
      <c r="G331" s="11" t="s">
        <v>207</v>
      </c>
      <c r="H331" s="326"/>
    </row>
    <row r="332">
      <c r="A332" s="340" t="s">
        <v>7359</v>
      </c>
      <c r="B332" s="7">
        <v>12572.0</v>
      </c>
      <c r="C332" s="11" t="s">
        <v>7074</v>
      </c>
      <c r="D332" s="74">
        <v>0.75</v>
      </c>
      <c r="E332" s="74">
        <v>0.75</v>
      </c>
      <c r="F332" s="229" t="s">
        <v>1656</v>
      </c>
      <c r="G332" s="11" t="s">
        <v>207</v>
      </c>
      <c r="H332" s="326"/>
    </row>
    <row r="333">
      <c r="A333" s="340" t="s">
        <v>7360</v>
      </c>
      <c r="B333" s="7"/>
      <c r="C333" s="11" t="s">
        <v>7074</v>
      </c>
      <c r="D333" s="74">
        <v>0.75</v>
      </c>
      <c r="E333" s="74">
        <v>0.75</v>
      </c>
      <c r="F333" s="229" t="s">
        <v>1656</v>
      </c>
      <c r="G333" s="11" t="s">
        <v>207</v>
      </c>
      <c r="H333" s="326"/>
    </row>
    <row r="334">
      <c r="A334" s="340" t="s">
        <v>7361</v>
      </c>
      <c r="B334" s="7"/>
      <c r="C334" s="11" t="s">
        <v>7074</v>
      </c>
      <c r="D334" s="74">
        <v>0.75</v>
      </c>
      <c r="E334" s="74">
        <v>0.75</v>
      </c>
      <c r="F334" s="229" t="s">
        <v>1656</v>
      </c>
      <c r="G334" s="11" t="s">
        <v>207</v>
      </c>
      <c r="H334" s="326"/>
    </row>
    <row r="335">
      <c r="A335" s="7" t="s">
        <v>7362</v>
      </c>
      <c r="B335" s="7">
        <v>14003.0</v>
      </c>
      <c r="C335" s="11" t="s">
        <v>7074</v>
      </c>
      <c r="D335" s="74">
        <v>0.75</v>
      </c>
      <c r="E335" s="74">
        <v>0.75</v>
      </c>
      <c r="F335" s="229" t="s">
        <v>1656</v>
      </c>
      <c r="G335" s="11" t="s">
        <v>207</v>
      </c>
      <c r="H335" s="326"/>
    </row>
    <row r="336">
      <c r="A336" s="339" t="s">
        <v>7363</v>
      </c>
      <c r="B336" s="7">
        <v>7519.0</v>
      </c>
      <c r="C336" s="11" t="s">
        <v>7074</v>
      </c>
      <c r="D336" s="74">
        <v>0.75</v>
      </c>
      <c r="E336" s="74">
        <v>0.75</v>
      </c>
      <c r="F336" s="229" t="s">
        <v>1656</v>
      </c>
      <c r="G336" s="11" t="s">
        <v>207</v>
      </c>
      <c r="H336" s="326"/>
    </row>
    <row r="337">
      <c r="A337" s="339" t="s">
        <v>7364</v>
      </c>
      <c r="B337" s="7">
        <v>7715.0</v>
      </c>
      <c r="C337" s="11" t="s">
        <v>7074</v>
      </c>
      <c r="D337" s="74">
        <v>0.75</v>
      </c>
      <c r="E337" s="74">
        <v>0.75</v>
      </c>
      <c r="F337" s="229" t="s">
        <v>1656</v>
      </c>
      <c r="G337" s="11" t="s">
        <v>207</v>
      </c>
      <c r="H337" s="326"/>
    </row>
    <row r="338">
      <c r="A338" s="339" t="s">
        <v>7365</v>
      </c>
      <c r="B338" s="7">
        <v>7983.0</v>
      </c>
      <c r="C338" s="11" t="s">
        <v>7074</v>
      </c>
      <c r="D338" s="74">
        <v>0.75</v>
      </c>
      <c r="E338" s="74">
        <v>0.75</v>
      </c>
      <c r="F338" s="229" t="s">
        <v>1656</v>
      </c>
      <c r="G338" s="11" t="s">
        <v>207</v>
      </c>
      <c r="H338" s="326"/>
    </row>
    <row r="339">
      <c r="A339" s="339" t="s">
        <v>7366</v>
      </c>
      <c r="B339" s="7">
        <v>10861.0</v>
      </c>
      <c r="C339" s="11" t="s">
        <v>7074</v>
      </c>
      <c r="D339" s="74">
        <v>0.82</v>
      </c>
      <c r="E339" s="74">
        <v>0.82</v>
      </c>
      <c r="F339" s="229" t="s">
        <v>1656</v>
      </c>
      <c r="G339" s="11" t="s">
        <v>207</v>
      </c>
      <c r="H339" s="326"/>
    </row>
    <row r="340">
      <c r="A340" s="339" t="s">
        <v>7367</v>
      </c>
      <c r="B340" s="7">
        <v>8097.0</v>
      </c>
      <c r="C340" s="11" t="s">
        <v>7074</v>
      </c>
      <c r="D340" s="74">
        <v>0.75</v>
      </c>
      <c r="E340" s="74">
        <v>0.75</v>
      </c>
      <c r="F340" s="229" t="s">
        <v>1656</v>
      </c>
      <c r="G340" s="11" t="s">
        <v>207</v>
      </c>
      <c r="H340" s="326"/>
    </row>
    <row r="341">
      <c r="A341" s="339" t="s">
        <v>7368</v>
      </c>
      <c r="B341" s="7">
        <v>8163.0</v>
      </c>
      <c r="C341" s="11" t="s">
        <v>7074</v>
      </c>
      <c r="D341" s="74">
        <v>0.75</v>
      </c>
      <c r="E341" s="74">
        <v>0.75</v>
      </c>
      <c r="F341" s="229" t="s">
        <v>1656</v>
      </c>
      <c r="G341" s="11" t="s">
        <v>207</v>
      </c>
      <c r="H341" s="326"/>
    </row>
    <row r="342">
      <c r="A342" s="339" t="s">
        <v>7369</v>
      </c>
      <c r="B342" s="7">
        <v>13988.0</v>
      </c>
      <c r="C342" s="11" t="s">
        <v>7074</v>
      </c>
      <c r="D342" s="74">
        <v>0.75</v>
      </c>
      <c r="E342" s="74">
        <v>0.75</v>
      </c>
      <c r="F342" s="229" t="s">
        <v>1656</v>
      </c>
      <c r="G342" s="11" t="s">
        <v>207</v>
      </c>
      <c r="H342" s="326"/>
    </row>
    <row r="343">
      <c r="A343" s="339" t="s">
        <v>7370</v>
      </c>
      <c r="B343" s="7">
        <v>9596.0</v>
      </c>
      <c r="C343" s="11" t="s">
        <v>7074</v>
      </c>
      <c r="D343" s="74">
        <v>0.75</v>
      </c>
      <c r="E343" s="74">
        <v>0.75</v>
      </c>
      <c r="F343" s="229" t="s">
        <v>1656</v>
      </c>
      <c r="G343" s="11" t="s">
        <v>207</v>
      </c>
      <c r="H343" s="326"/>
    </row>
    <row r="344">
      <c r="A344" s="339" t="s">
        <v>7371</v>
      </c>
      <c r="B344" s="7">
        <v>9768.0</v>
      </c>
      <c r="C344" s="11" t="s">
        <v>7074</v>
      </c>
      <c r="D344" s="74">
        <v>0.75</v>
      </c>
      <c r="E344" s="74">
        <v>0.75</v>
      </c>
      <c r="F344" s="229" t="s">
        <v>1656</v>
      </c>
      <c r="G344" s="11" t="s">
        <v>207</v>
      </c>
      <c r="H344" s="326"/>
    </row>
    <row r="345">
      <c r="A345" s="339" t="s">
        <v>7372</v>
      </c>
      <c r="B345" s="195">
        <v>14677.0</v>
      </c>
      <c r="C345" s="11" t="s">
        <v>7074</v>
      </c>
      <c r="D345" s="74">
        <v>0.75</v>
      </c>
      <c r="E345" s="74">
        <v>0.75</v>
      </c>
      <c r="F345" s="229" t="s">
        <v>1656</v>
      </c>
      <c r="G345" s="11" t="s">
        <v>207</v>
      </c>
      <c r="H345" s="326"/>
    </row>
    <row r="346">
      <c r="A346" s="341" t="s">
        <v>7373</v>
      </c>
      <c r="B346" s="7">
        <v>13842.0</v>
      </c>
      <c r="C346" s="11" t="s">
        <v>7074</v>
      </c>
      <c r="D346" s="74">
        <v>0.75</v>
      </c>
      <c r="E346" s="74">
        <v>0.75</v>
      </c>
      <c r="F346" s="229" t="s">
        <v>1656</v>
      </c>
      <c r="G346" s="11" t="s">
        <v>207</v>
      </c>
      <c r="H346" s="326"/>
    </row>
    <row r="347">
      <c r="A347" s="342" t="s">
        <v>7374</v>
      </c>
      <c r="B347" s="7">
        <v>14011.0</v>
      </c>
      <c r="C347" s="11" t="s">
        <v>7074</v>
      </c>
      <c r="D347" s="74">
        <v>0.75</v>
      </c>
      <c r="E347" s="74">
        <v>0.75</v>
      </c>
      <c r="F347" s="229" t="s">
        <v>1656</v>
      </c>
      <c r="G347" s="11" t="s">
        <v>207</v>
      </c>
      <c r="H347" s="326"/>
    </row>
    <row r="348">
      <c r="A348" s="343" t="s">
        <v>6966</v>
      </c>
      <c r="B348" s="7">
        <v>14003.0</v>
      </c>
      <c r="C348" s="11" t="s">
        <v>7074</v>
      </c>
      <c r="D348" s="74">
        <v>0.75</v>
      </c>
      <c r="E348" s="74">
        <v>0.75</v>
      </c>
      <c r="F348" s="229" t="s">
        <v>1656</v>
      </c>
      <c r="G348" s="11" t="s">
        <v>207</v>
      </c>
      <c r="H348" s="326"/>
    </row>
    <row r="349">
      <c r="A349" s="344" t="s">
        <v>7375</v>
      </c>
      <c r="B349" s="7">
        <v>13987.0</v>
      </c>
      <c r="C349" s="11" t="s">
        <v>7074</v>
      </c>
      <c r="D349" s="74">
        <v>0.75</v>
      </c>
      <c r="E349" s="74">
        <v>0.75</v>
      </c>
      <c r="F349" s="229" t="s">
        <v>1656</v>
      </c>
      <c r="G349" s="11" t="s">
        <v>207</v>
      </c>
      <c r="H349" s="326"/>
    </row>
    <row r="350">
      <c r="A350" s="344" t="s">
        <v>5594</v>
      </c>
      <c r="B350" s="7">
        <v>14173.0</v>
      </c>
      <c r="C350" s="11" t="s">
        <v>7074</v>
      </c>
      <c r="D350" s="74">
        <v>0.75</v>
      </c>
      <c r="E350" s="74">
        <v>0.75</v>
      </c>
      <c r="F350" s="229" t="s">
        <v>1656</v>
      </c>
      <c r="G350" s="11" t="s">
        <v>207</v>
      </c>
      <c r="H350" s="326"/>
    </row>
    <row r="351">
      <c r="A351" s="345" t="s">
        <v>7376</v>
      </c>
      <c r="B351" s="7"/>
      <c r="C351" s="11" t="s">
        <v>7074</v>
      </c>
      <c r="D351" s="74">
        <v>0.75</v>
      </c>
      <c r="E351" s="74">
        <v>0.75</v>
      </c>
      <c r="F351" s="229" t="s">
        <v>1656</v>
      </c>
      <c r="G351" s="11" t="s">
        <v>207</v>
      </c>
      <c r="H351" s="326"/>
    </row>
    <row r="352">
      <c r="A352" s="339" t="s">
        <v>7377</v>
      </c>
      <c r="B352" s="7"/>
      <c r="C352" s="11" t="s">
        <v>7074</v>
      </c>
      <c r="D352" s="74">
        <v>0.75</v>
      </c>
      <c r="E352" s="74">
        <v>0.75</v>
      </c>
      <c r="F352" s="229" t="s">
        <v>1656</v>
      </c>
      <c r="G352" s="11" t="s">
        <v>207</v>
      </c>
      <c r="H352" s="326"/>
    </row>
    <row r="353">
      <c r="A353" s="339" t="s">
        <v>7378</v>
      </c>
      <c r="B353" s="7"/>
      <c r="C353" s="11" t="s">
        <v>7074</v>
      </c>
      <c r="D353" s="74">
        <v>0.75</v>
      </c>
      <c r="E353" s="74">
        <v>0.75</v>
      </c>
      <c r="F353" s="229" t="s">
        <v>1656</v>
      </c>
      <c r="G353" s="11" t="s">
        <v>207</v>
      </c>
      <c r="H353" s="326"/>
    </row>
    <row r="354">
      <c r="A354" s="339" t="s">
        <v>7379</v>
      </c>
      <c r="B354" s="7"/>
      <c r="C354" s="11" t="s">
        <v>7074</v>
      </c>
      <c r="D354" s="74">
        <v>0.75</v>
      </c>
      <c r="E354" s="74">
        <v>0.75</v>
      </c>
      <c r="F354" s="229" t="s">
        <v>1656</v>
      </c>
      <c r="G354" s="11" t="s">
        <v>207</v>
      </c>
      <c r="H354" s="326"/>
    </row>
    <row r="355">
      <c r="A355" s="339" t="s">
        <v>7380</v>
      </c>
      <c r="B355" s="7">
        <v>14015.0</v>
      </c>
      <c r="C355" s="11" t="s">
        <v>7074</v>
      </c>
      <c r="D355" s="74">
        <v>0.75</v>
      </c>
      <c r="E355" s="74">
        <v>0.75</v>
      </c>
      <c r="F355" s="229" t="s">
        <v>1656</v>
      </c>
      <c r="G355" s="11" t="s">
        <v>207</v>
      </c>
      <c r="H355" s="326"/>
    </row>
    <row r="356">
      <c r="A356" s="345" t="s">
        <v>7381</v>
      </c>
      <c r="B356" s="7"/>
      <c r="C356" s="11" t="s">
        <v>7074</v>
      </c>
      <c r="D356" s="74">
        <v>0.75</v>
      </c>
      <c r="E356" s="74">
        <v>0.75</v>
      </c>
      <c r="F356" s="229" t="s">
        <v>1656</v>
      </c>
      <c r="G356" s="11" t="s">
        <v>207</v>
      </c>
      <c r="H356" s="326"/>
    </row>
    <row r="357">
      <c r="A357" s="345" t="s">
        <v>7382</v>
      </c>
      <c r="B357" s="7"/>
      <c r="C357" s="11" t="s">
        <v>7074</v>
      </c>
      <c r="D357" s="74">
        <v>0.75</v>
      </c>
      <c r="E357" s="74">
        <v>0.75</v>
      </c>
      <c r="F357" s="229" t="s">
        <v>1656</v>
      </c>
      <c r="G357" s="11" t="s">
        <v>207</v>
      </c>
      <c r="H357" s="326"/>
    </row>
    <row r="358">
      <c r="A358" s="340" t="s">
        <v>7383</v>
      </c>
      <c r="B358" s="7"/>
      <c r="C358" s="11" t="s">
        <v>7074</v>
      </c>
      <c r="D358" s="74">
        <v>0.75</v>
      </c>
      <c r="E358" s="74">
        <v>0.75</v>
      </c>
      <c r="F358" s="229" t="s">
        <v>1656</v>
      </c>
      <c r="G358" s="11" t="s">
        <v>207</v>
      </c>
      <c r="H358" s="326"/>
    </row>
    <row r="359">
      <c r="A359" s="345" t="s">
        <v>7384</v>
      </c>
      <c r="B359" s="199">
        <v>14076.0</v>
      </c>
      <c r="C359" s="11" t="s">
        <v>7074</v>
      </c>
      <c r="D359" s="74">
        <v>0.75</v>
      </c>
      <c r="E359" s="74">
        <v>0.75</v>
      </c>
      <c r="F359" s="229" t="s">
        <v>1656</v>
      </c>
      <c r="G359" s="11" t="s">
        <v>207</v>
      </c>
      <c r="H359" s="326"/>
    </row>
    <row r="360">
      <c r="A360" s="195" t="s">
        <v>4160</v>
      </c>
      <c r="B360" s="195">
        <v>14594.0</v>
      </c>
      <c r="C360" s="11" t="s">
        <v>7074</v>
      </c>
      <c r="D360" s="74">
        <v>0.75</v>
      </c>
      <c r="E360" s="74">
        <v>0.75</v>
      </c>
      <c r="F360" s="229" t="s">
        <v>1656</v>
      </c>
      <c r="G360" s="326"/>
      <c r="H360" s="326"/>
    </row>
    <row r="361">
      <c r="A361" s="346" t="s">
        <v>220</v>
      </c>
      <c r="B361" s="195">
        <v>14663.0</v>
      </c>
      <c r="C361" s="11" t="s">
        <v>7074</v>
      </c>
      <c r="D361" s="74">
        <v>0.75</v>
      </c>
      <c r="E361" s="74">
        <v>0.75</v>
      </c>
      <c r="F361" s="229" t="s">
        <v>1656</v>
      </c>
      <c r="G361" s="326"/>
      <c r="H361" s="326"/>
    </row>
    <row r="362">
      <c r="A362" s="347" t="s">
        <v>43</v>
      </c>
      <c r="B362" s="195">
        <v>14727.0</v>
      </c>
      <c r="C362" s="11" t="s">
        <v>7074</v>
      </c>
      <c r="D362" s="74">
        <v>0.75</v>
      </c>
      <c r="E362" s="74">
        <v>0.75</v>
      </c>
      <c r="F362" s="229" t="s">
        <v>1656</v>
      </c>
      <c r="G362" s="326"/>
      <c r="H362" s="326"/>
    </row>
    <row r="363">
      <c r="A363" s="346" t="s">
        <v>1729</v>
      </c>
      <c r="B363" s="195">
        <v>14727.0</v>
      </c>
      <c r="C363" s="11" t="s">
        <v>7074</v>
      </c>
      <c r="D363" s="74">
        <v>0.75</v>
      </c>
      <c r="E363" s="74">
        <v>0.75</v>
      </c>
      <c r="F363" s="229" t="s">
        <v>1656</v>
      </c>
      <c r="G363" s="326"/>
      <c r="H363" s="326"/>
    </row>
    <row r="364">
      <c r="A364" s="202"/>
      <c r="B364" s="202"/>
      <c r="C364" s="175"/>
      <c r="E364" s="326"/>
      <c r="F364" s="326"/>
      <c r="G364" s="326"/>
      <c r="H364" s="326"/>
    </row>
    <row r="365">
      <c r="A365" s="202"/>
      <c r="B365" s="202"/>
      <c r="C365" s="175"/>
      <c r="E365" s="326"/>
      <c r="F365" s="326"/>
      <c r="G365" s="326"/>
      <c r="H365" s="326"/>
    </row>
    <row r="366">
      <c r="A366" s="202"/>
      <c r="B366" s="202"/>
      <c r="C366" s="175"/>
      <c r="E366" s="326"/>
      <c r="F366" s="326"/>
      <c r="G366" s="326"/>
      <c r="H366" s="326"/>
    </row>
    <row r="367">
      <c r="A367" s="202"/>
      <c r="B367" s="202"/>
      <c r="C367" s="175"/>
      <c r="E367" s="326"/>
      <c r="F367" s="326"/>
      <c r="G367" s="326"/>
      <c r="H367" s="326"/>
    </row>
    <row r="368">
      <c r="A368" s="202"/>
      <c r="B368" s="202"/>
      <c r="C368" s="175"/>
      <c r="E368" s="326"/>
      <c r="F368" s="326"/>
      <c r="G368" s="326"/>
      <c r="H368" s="326"/>
    </row>
    <row r="369">
      <c r="A369" s="202"/>
      <c r="B369" s="202"/>
      <c r="C369" s="175"/>
      <c r="E369" s="326"/>
      <c r="F369" s="326"/>
      <c r="G369" s="326"/>
      <c r="H369" s="326"/>
    </row>
    <row r="370">
      <c r="A370" s="202"/>
      <c r="B370" s="202"/>
      <c r="C370" s="175"/>
      <c r="E370" s="326"/>
      <c r="F370" s="326"/>
      <c r="G370" s="326"/>
      <c r="H370" s="326"/>
    </row>
    <row r="371">
      <c r="A371" s="202"/>
      <c r="B371" s="202"/>
      <c r="C371" s="175"/>
      <c r="E371" s="326"/>
      <c r="F371" s="326"/>
      <c r="G371" s="326"/>
      <c r="H371" s="326"/>
    </row>
    <row r="372">
      <c r="A372" s="202"/>
      <c r="B372" s="202"/>
      <c r="C372" s="175"/>
      <c r="E372" s="326"/>
      <c r="F372" s="326"/>
      <c r="G372" s="326"/>
      <c r="H372" s="326"/>
    </row>
    <row r="373">
      <c r="A373" s="202"/>
      <c r="B373" s="202"/>
      <c r="C373" s="175"/>
      <c r="E373" s="326"/>
      <c r="F373" s="326"/>
      <c r="G373" s="326"/>
      <c r="H373" s="326"/>
    </row>
    <row r="374">
      <c r="A374" s="7"/>
      <c r="B374" s="7"/>
      <c r="C374" s="175"/>
      <c r="E374" s="326"/>
      <c r="F374" s="326"/>
      <c r="G374" s="326"/>
      <c r="H374" s="326"/>
    </row>
    <row r="375">
      <c r="A375" s="7"/>
      <c r="B375" s="7"/>
      <c r="C375" s="175"/>
      <c r="E375" s="326"/>
      <c r="F375" s="326"/>
      <c r="G375" s="326"/>
      <c r="H375" s="326"/>
    </row>
    <row r="376">
      <c r="A376" s="7"/>
      <c r="B376" s="7"/>
      <c r="C376" s="175"/>
      <c r="E376" s="326"/>
      <c r="F376" s="326"/>
      <c r="G376" s="326"/>
      <c r="H376" s="326"/>
    </row>
    <row r="377">
      <c r="A377" s="7"/>
      <c r="B377" s="7"/>
      <c r="C377" s="175"/>
      <c r="E377" s="326"/>
      <c r="F377" s="326"/>
      <c r="G377" s="326"/>
      <c r="H377" s="326"/>
    </row>
    <row r="378">
      <c r="A378" s="7"/>
      <c r="B378" s="7"/>
      <c r="C378" s="175"/>
      <c r="E378" s="326"/>
      <c r="F378" s="326"/>
      <c r="G378" s="326"/>
      <c r="H378" s="326"/>
    </row>
    <row r="379">
      <c r="A379" s="7"/>
      <c r="B379" s="7"/>
      <c r="C379" s="175"/>
      <c r="E379" s="326"/>
      <c r="F379" s="326"/>
      <c r="G379" s="326"/>
      <c r="H379" s="326"/>
    </row>
    <row r="380">
      <c r="A380" s="7"/>
      <c r="B380" s="7"/>
      <c r="C380" s="175"/>
      <c r="E380" s="326"/>
      <c r="F380" s="326"/>
      <c r="G380" s="326"/>
      <c r="H380" s="326"/>
    </row>
    <row r="381">
      <c r="A381" s="7"/>
      <c r="B381" s="199"/>
      <c r="C381" s="175"/>
      <c r="E381" s="326"/>
      <c r="F381" s="326"/>
      <c r="G381" s="326"/>
      <c r="H381" s="326"/>
    </row>
    <row r="382">
      <c r="A382" s="7"/>
      <c r="B382" s="7"/>
      <c r="C382" s="175"/>
      <c r="E382" s="326"/>
      <c r="F382" s="326"/>
      <c r="G382" s="326"/>
      <c r="H382" s="326"/>
    </row>
    <row r="383">
      <c r="A383" s="231"/>
      <c r="B383" s="231"/>
      <c r="C383" s="231"/>
      <c r="E383" s="326"/>
      <c r="F383" s="326"/>
      <c r="G383" s="326"/>
      <c r="H383" s="326"/>
    </row>
    <row r="384">
      <c r="A384" s="231"/>
      <c r="B384" s="231"/>
      <c r="C384" s="231"/>
      <c r="E384" s="326"/>
      <c r="F384" s="326"/>
      <c r="G384" s="326"/>
      <c r="H384" s="326"/>
    </row>
    <row r="385">
      <c r="A385" s="231"/>
      <c r="B385" s="231"/>
      <c r="C385" s="231"/>
      <c r="E385" s="326"/>
      <c r="F385" s="326"/>
      <c r="G385" s="326"/>
      <c r="H385" s="326"/>
    </row>
    <row r="386">
      <c r="A386" s="231"/>
      <c r="B386" s="231"/>
      <c r="C386" s="231"/>
      <c r="E386" s="326"/>
      <c r="F386" s="326"/>
      <c r="G386" s="326"/>
      <c r="H386" s="326"/>
    </row>
    <row r="387">
      <c r="A387" s="231"/>
      <c r="B387" s="231"/>
      <c r="C387" s="231"/>
      <c r="E387" s="326"/>
      <c r="F387" s="326"/>
      <c r="G387" s="326"/>
      <c r="H387" s="326"/>
    </row>
    <row r="388">
      <c r="A388" s="231"/>
      <c r="B388" s="231"/>
      <c r="C388" s="231"/>
      <c r="E388" s="326"/>
      <c r="F388" s="326"/>
      <c r="G388" s="326"/>
      <c r="H388" s="326"/>
    </row>
    <row r="389">
      <c r="A389" s="231"/>
      <c r="B389" s="231"/>
      <c r="C389" s="231"/>
      <c r="E389" s="326"/>
      <c r="F389" s="326"/>
      <c r="G389" s="326"/>
      <c r="H389" s="326"/>
    </row>
    <row r="390">
      <c r="A390" s="231"/>
      <c r="B390" s="231"/>
      <c r="C390" s="231"/>
      <c r="E390" s="326"/>
      <c r="F390" s="326"/>
      <c r="G390" s="326"/>
      <c r="H390" s="326"/>
    </row>
    <row r="391">
      <c r="A391" s="231"/>
      <c r="B391" s="231"/>
      <c r="C391" s="231"/>
      <c r="E391" s="326"/>
      <c r="F391" s="326"/>
      <c r="G391" s="326"/>
      <c r="H391" s="326"/>
    </row>
    <row r="392">
      <c r="A392" s="231"/>
      <c r="B392" s="231"/>
      <c r="C392" s="231"/>
      <c r="E392" s="326"/>
      <c r="F392" s="326"/>
      <c r="G392" s="326"/>
      <c r="H392" s="326"/>
    </row>
    <row r="393">
      <c r="A393" s="231"/>
      <c r="B393" s="231"/>
      <c r="C393" s="231"/>
      <c r="E393" s="326"/>
      <c r="F393" s="326"/>
      <c r="G393" s="326"/>
      <c r="H393" s="326"/>
    </row>
    <row r="394">
      <c r="A394" s="231"/>
      <c r="B394" s="231"/>
      <c r="C394" s="231"/>
      <c r="E394" s="326"/>
      <c r="F394" s="326"/>
      <c r="G394" s="326"/>
      <c r="H394" s="326"/>
    </row>
    <row r="395">
      <c r="A395" s="231"/>
      <c r="B395" s="231"/>
      <c r="C395" s="231"/>
      <c r="E395" s="326"/>
      <c r="F395" s="326"/>
      <c r="G395" s="326"/>
      <c r="H395" s="326"/>
    </row>
    <row r="396">
      <c r="A396" s="231"/>
      <c r="B396" s="231"/>
      <c r="C396" s="231"/>
      <c r="E396" s="326"/>
      <c r="F396" s="326"/>
      <c r="G396" s="326"/>
      <c r="H396" s="326"/>
    </row>
    <row r="397">
      <c r="A397" s="231"/>
      <c r="B397" s="231"/>
      <c r="C397" s="231"/>
      <c r="E397" s="326"/>
      <c r="F397" s="326"/>
      <c r="G397" s="326"/>
      <c r="H397" s="326"/>
    </row>
    <row r="398">
      <c r="A398" s="231"/>
      <c r="B398" s="231"/>
      <c r="C398" s="231"/>
      <c r="E398" s="326"/>
      <c r="F398" s="326"/>
      <c r="G398" s="326"/>
      <c r="H398" s="326"/>
    </row>
    <row r="399">
      <c r="A399" s="231"/>
      <c r="B399" s="231"/>
      <c r="C399" s="231"/>
      <c r="E399" s="326"/>
      <c r="F399" s="326"/>
      <c r="G399" s="326"/>
      <c r="H399" s="326"/>
    </row>
    <row r="400">
      <c r="A400" s="231"/>
      <c r="B400" s="231"/>
      <c r="C400" s="231"/>
      <c r="E400" s="326"/>
      <c r="F400" s="326"/>
      <c r="G400" s="326"/>
      <c r="H400" s="326"/>
    </row>
    <row r="401">
      <c r="A401" s="231"/>
      <c r="B401" s="231"/>
      <c r="C401" s="231"/>
      <c r="E401" s="326"/>
      <c r="F401" s="326"/>
      <c r="G401" s="326"/>
      <c r="H401" s="326"/>
    </row>
    <row r="402">
      <c r="A402" s="231"/>
      <c r="B402" s="231"/>
      <c r="C402" s="231"/>
      <c r="E402" s="326"/>
      <c r="F402" s="326"/>
      <c r="G402" s="326"/>
      <c r="H402" s="326"/>
    </row>
    <row r="403">
      <c r="A403" s="231"/>
      <c r="B403" s="231"/>
      <c r="C403" s="231"/>
      <c r="E403" s="326"/>
      <c r="F403" s="326"/>
      <c r="G403" s="326"/>
      <c r="H403" s="326"/>
    </row>
    <row r="404">
      <c r="A404" s="231"/>
      <c r="B404" s="231"/>
      <c r="C404" s="231"/>
      <c r="E404" s="326"/>
      <c r="F404" s="326"/>
      <c r="G404" s="326"/>
      <c r="H404" s="326"/>
    </row>
    <row r="405">
      <c r="A405" s="231"/>
      <c r="B405" s="231"/>
      <c r="C405" s="231"/>
      <c r="E405" s="326"/>
      <c r="F405" s="326"/>
      <c r="G405" s="326"/>
      <c r="H405" s="326"/>
    </row>
    <row r="406">
      <c r="A406" s="231"/>
      <c r="B406" s="231"/>
      <c r="C406" s="231"/>
      <c r="E406" s="326"/>
      <c r="F406" s="326"/>
      <c r="G406" s="326"/>
      <c r="H406" s="326"/>
    </row>
    <row r="407">
      <c r="A407" s="231"/>
      <c r="B407" s="231"/>
      <c r="C407" s="231"/>
      <c r="E407" s="326"/>
      <c r="F407" s="326"/>
      <c r="G407" s="326"/>
      <c r="H407" s="326"/>
    </row>
    <row r="408">
      <c r="A408" s="231"/>
      <c r="B408" s="231"/>
      <c r="C408" s="231"/>
      <c r="E408" s="326"/>
      <c r="F408" s="326"/>
      <c r="G408" s="326"/>
      <c r="H408" s="326"/>
    </row>
    <row r="409">
      <c r="A409" s="231"/>
      <c r="B409" s="231"/>
      <c r="C409" s="231"/>
      <c r="E409" s="326"/>
      <c r="F409" s="326"/>
      <c r="G409" s="326"/>
      <c r="H409" s="326"/>
    </row>
    <row r="410">
      <c r="A410" s="231"/>
      <c r="B410" s="231"/>
      <c r="C410" s="231"/>
      <c r="E410" s="326"/>
      <c r="F410" s="326"/>
      <c r="G410" s="326"/>
      <c r="H410" s="326"/>
    </row>
    <row r="411">
      <c r="A411" s="231"/>
      <c r="B411" s="231"/>
      <c r="C411" s="231"/>
      <c r="E411" s="326"/>
      <c r="F411" s="326"/>
      <c r="G411" s="326"/>
      <c r="H411" s="326"/>
    </row>
    <row r="412">
      <c r="A412" s="231"/>
      <c r="B412" s="231"/>
      <c r="C412" s="231"/>
      <c r="E412" s="326"/>
      <c r="F412" s="326"/>
      <c r="G412" s="326"/>
      <c r="H412" s="326"/>
    </row>
    <row r="413">
      <c r="A413" s="231"/>
      <c r="B413" s="231"/>
      <c r="C413" s="231"/>
      <c r="E413" s="326"/>
      <c r="F413" s="326"/>
      <c r="G413" s="326"/>
      <c r="H413" s="326"/>
    </row>
    <row r="414">
      <c r="A414" s="231"/>
      <c r="B414" s="231"/>
      <c r="C414" s="231"/>
      <c r="E414" s="326"/>
      <c r="F414" s="326"/>
      <c r="G414" s="326"/>
      <c r="H414" s="326"/>
    </row>
    <row r="415">
      <c r="A415" s="231"/>
      <c r="B415" s="231"/>
      <c r="C415" s="231"/>
      <c r="E415" s="326"/>
      <c r="F415" s="326"/>
      <c r="G415" s="326"/>
      <c r="H415" s="326"/>
    </row>
    <row r="416">
      <c r="A416" s="231"/>
      <c r="B416" s="231"/>
      <c r="C416" s="231"/>
      <c r="E416" s="326"/>
      <c r="F416" s="326"/>
      <c r="G416" s="326"/>
      <c r="H416" s="326"/>
    </row>
    <row r="417">
      <c r="A417" s="231"/>
      <c r="B417" s="231"/>
      <c r="C417" s="231"/>
      <c r="E417" s="326"/>
      <c r="F417" s="326"/>
      <c r="G417" s="326"/>
      <c r="H417" s="326"/>
    </row>
    <row r="418">
      <c r="A418" s="231"/>
      <c r="B418" s="231"/>
      <c r="C418" s="231"/>
      <c r="E418" s="326"/>
      <c r="F418" s="326"/>
      <c r="G418" s="326"/>
      <c r="H418" s="326"/>
    </row>
    <row r="419">
      <c r="A419" s="231"/>
      <c r="B419" s="231"/>
      <c r="C419" s="231"/>
      <c r="E419" s="326"/>
      <c r="F419" s="326"/>
      <c r="G419" s="326"/>
      <c r="H419" s="326"/>
    </row>
    <row r="420">
      <c r="A420" s="231"/>
      <c r="B420" s="231"/>
      <c r="C420" s="231"/>
      <c r="E420" s="326"/>
      <c r="F420" s="326"/>
      <c r="G420" s="326"/>
      <c r="H420" s="326"/>
    </row>
    <row r="421">
      <c r="A421" s="231"/>
      <c r="B421" s="231"/>
      <c r="C421" s="231"/>
      <c r="E421" s="326"/>
      <c r="F421" s="326"/>
      <c r="G421" s="326"/>
      <c r="H421" s="326"/>
    </row>
    <row r="422">
      <c r="A422" s="231"/>
      <c r="B422" s="231"/>
      <c r="C422" s="231"/>
      <c r="E422" s="326"/>
      <c r="F422" s="326"/>
      <c r="G422" s="326"/>
      <c r="H422" s="326"/>
    </row>
    <row r="423">
      <c r="A423" s="231"/>
      <c r="B423" s="231"/>
      <c r="C423" s="231"/>
      <c r="E423" s="326"/>
      <c r="F423" s="326"/>
      <c r="G423" s="326"/>
      <c r="H423" s="326"/>
    </row>
    <row r="424">
      <c r="A424" s="231"/>
      <c r="B424" s="231"/>
      <c r="C424" s="231"/>
      <c r="E424" s="326"/>
      <c r="F424" s="326"/>
      <c r="G424" s="326"/>
      <c r="H424" s="326"/>
    </row>
    <row r="425">
      <c r="A425" s="231"/>
      <c r="B425" s="231"/>
      <c r="C425" s="231"/>
      <c r="E425" s="326"/>
      <c r="F425" s="326"/>
      <c r="G425" s="326"/>
      <c r="H425" s="326"/>
    </row>
    <row r="426">
      <c r="A426" s="231"/>
      <c r="B426" s="231"/>
      <c r="C426" s="231"/>
      <c r="E426" s="326"/>
      <c r="F426" s="326"/>
      <c r="G426" s="326"/>
      <c r="H426" s="326"/>
    </row>
    <row r="427">
      <c r="A427" s="231"/>
      <c r="B427" s="231"/>
      <c r="C427" s="231"/>
      <c r="E427" s="326"/>
      <c r="F427" s="326"/>
      <c r="G427" s="326"/>
      <c r="H427" s="326"/>
    </row>
    <row r="428">
      <c r="A428" s="231"/>
      <c r="B428" s="231"/>
      <c r="C428" s="231"/>
      <c r="E428" s="326"/>
      <c r="F428" s="326"/>
      <c r="G428" s="326"/>
      <c r="H428" s="326"/>
    </row>
    <row r="429">
      <c r="A429" s="231"/>
      <c r="B429" s="231"/>
      <c r="C429" s="231"/>
      <c r="E429" s="326"/>
      <c r="F429" s="326"/>
      <c r="G429" s="326"/>
      <c r="H429" s="326"/>
    </row>
    <row r="430">
      <c r="A430" s="231"/>
      <c r="B430" s="231"/>
      <c r="C430" s="231"/>
      <c r="E430" s="326"/>
      <c r="F430" s="326"/>
      <c r="G430" s="326"/>
      <c r="H430" s="326"/>
    </row>
    <row r="431">
      <c r="A431" s="231"/>
      <c r="B431" s="231"/>
      <c r="C431" s="231"/>
      <c r="E431" s="326"/>
      <c r="F431" s="326"/>
      <c r="G431" s="326"/>
      <c r="H431" s="326"/>
    </row>
    <row r="432">
      <c r="A432" s="231"/>
      <c r="B432" s="231"/>
      <c r="C432" s="231"/>
      <c r="E432" s="326"/>
      <c r="F432" s="326"/>
      <c r="G432" s="326"/>
      <c r="H432" s="326"/>
    </row>
    <row r="433">
      <c r="A433" s="231"/>
      <c r="B433" s="231"/>
      <c r="C433" s="231"/>
      <c r="E433" s="326"/>
      <c r="F433" s="326"/>
      <c r="G433" s="326"/>
      <c r="H433" s="326"/>
    </row>
    <row r="434">
      <c r="A434" s="231"/>
      <c r="B434" s="231"/>
      <c r="C434" s="231"/>
      <c r="E434" s="326"/>
      <c r="F434" s="326"/>
      <c r="G434" s="326"/>
      <c r="H434" s="326"/>
    </row>
    <row r="435">
      <c r="A435" s="231"/>
      <c r="B435" s="231"/>
      <c r="C435" s="231"/>
      <c r="E435" s="326"/>
      <c r="F435" s="326"/>
      <c r="G435" s="326"/>
      <c r="H435" s="326"/>
    </row>
    <row r="436">
      <c r="A436" s="231"/>
      <c r="B436" s="231"/>
      <c r="C436" s="231"/>
      <c r="E436" s="326"/>
      <c r="F436" s="326"/>
      <c r="G436" s="326"/>
      <c r="H436" s="326"/>
    </row>
    <row r="437">
      <c r="A437" s="231"/>
      <c r="B437" s="231"/>
      <c r="C437" s="231"/>
      <c r="E437" s="326"/>
      <c r="F437" s="326"/>
      <c r="G437" s="326"/>
      <c r="H437" s="326"/>
    </row>
    <row r="438">
      <c r="A438" s="231"/>
      <c r="B438" s="231"/>
      <c r="C438" s="231"/>
      <c r="E438" s="326"/>
      <c r="F438" s="326"/>
      <c r="G438" s="326"/>
      <c r="H438" s="326"/>
    </row>
    <row r="439">
      <c r="A439" s="231"/>
      <c r="B439" s="231"/>
      <c r="C439" s="231"/>
      <c r="E439" s="326"/>
      <c r="F439" s="326"/>
      <c r="G439" s="326"/>
      <c r="H439" s="326"/>
    </row>
    <row r="440">
      <c r="A440" s="231"/>
      <c r="B440" s="231"/>
      <c r="C440" s="231"/>
      <c r="E440" s="326"/>
      <c r="F440" s="326"/>
      <c r="G440" s="326"/>
      <c r="H440" s="326"/>
    </row>
    <row r="441">
      <c r="A441" s="231"/>
      <c r="B441" s="231"/>
      <c r="C441" s="231"/>
      <c r="E441" s="326"/>
      <c r="F441" s="326"/>
      <c r="G441" s="326"/>
      <c r="H441" s="326"/>
    </row>
    <row r="442">
      <c r="A442" s="231"/>
      <c r="B442" s="231"/>
      <c r="C442" s="231"/>
      <c r="E442" s="326"/>
      <c r="F442" s="326"/>
      <c r="G442" s="326"/>
      <c r="H442" s="326"/>
    </row>
    <row r="443">
      <c r="A443" s="231"/>
      <c r="B443" s="231"/>
      <c r="C443" s="231"/>
      <c r="E443" s="326"/>
      <c r="F443" s="326"/>
      <c r="G443" s="326"/>
      <c r="H443" s="326"/>
    </row>
    <row r="444">
      <c r="A444" s="231"/>
      <c r="B444" s="231"/>
      <c r="C444" s="231"/>
      <c r="E444" s="326"/>
      <c r="F444" s="326"/>
      <c r="G444" s="326"/>
      <c r="H444" s="326"/>
    </row>
    <row r="445">
      <c r="A445" s="231"/>
      <c r="B445" s="231"/>
      <c r="C445" s="231"/>
      <c r="E445" s="326"/>
      <c r="F445" s="326"/>
      <c r="G445" s="326"/>
      <c r="H445" s="326"/>
    </row>
    <row r="446">
      <c r="A446" s="231"/>
      <c r="B446" s="231"/>
      <c r="C446" s="231"/>
      <c r="E446" s="326"/>
      <c r="F446" s="326"/>
      <c r="G446" s="326"/>
      <c r="H446" s="326"/>
    </row>
    <row r="447">
      <c r="A447" s="231"/>
      <c r="B447" s="231"/>
      <c r="C447" s="231"/>
      <c r="E447" s="326"/>
      <c r="F447" s="326"/>
      <c r="G447" s="326"/>
      <c r="H447" s="326"/>
    </row>
    <row r="448">
      <c r="A448" s="231"/>
      <c r="B448" s="231"/>
      <c r="C448" s="231"/>
      <c r="E448" s="326"/>
      <c r="F448" s="326"/>
      <c r="G448" s="326"/>
      <c r="H448" s="326"/>
    </row>
    <row r="449">
      <c r="A449" s="231"/>
      <c r="B449" s="231"/>
      <c r="C449" s="231"/>
      <c r="E449" s="326"/>
      <c r="F449" s="326"/>
      <c r="G449" s="326"/>
      <c r="H449" s="326"/>
    </row>
    <row r="450">
      <c r="A450" s="231"/>
      <c r="B450" s="231"/>
      <c r="C450" s="231"/>
      <c r="E450" s="326"/>
      <c r="F450" s="326"/>
      <c r="G450" s="326"/>
      <c r="H450" s="326"/>
    </row>
    <row r="451">
      <c r="A451" s="231"/>
      <c r="B451" s="231"/>
      <c r="C451" s="231"/>
      <c r="E451" s="326"/>
      <c r="F451" s="326"/>
      <c r="G451" s="326"/>
      <c r="H451" s="326"/>
    </row>
    <row r="452">
      <c r="A452" s="231"/>
      <c r="B452" s="231"/>
      <c r="C452" s="231"/>
      <c r="E452" s="326"/>
      <c r="F452" s="326"/>
      <c r="G452" s="326"/>
      <c r="H452" s="326"/>
    </row>
    <row r="453">
      <c r="A453" s="231"/>
      <c r="B453" s="231"/>
      <c r="C453" s="231"/>
      <c r="E453" s="326"/>
      <c r="F453" s="326"/>
      <c r="G453" s="326"/>
      <c r="H453" s="326"/>
    </row>
    <row r="454">
      <c r="A454" s="231"/>
      <c r="B454" s="231"/>
      <c r="C454" s="231"/>
      <c r="E454" s="326"/>
      <c r="F454" s="326"/>
      <c r="G454" s="326"/>
      <c r="H454" s="326"/>
    </row>
    <row r="455">
      <c r="A455" s="231"/>
      <c r="B455" s="231"/>
      <c r="C455" s="231"/>
      <c r="E455" s="326"/>
      <c r="F455" s="326"/>
      <c r="G455" s="326"/>
      <c r="H455" s="326"/>
    </row>
    <row r="456">
      <c r="A456" s="231"/>
      <c r="B456" s="231"/>
      <c r="C456" s="231"/>
      <c r="E456" s="326"/>
      <c r="F456" s="326"/>
      <c r="G456" s="326"/>
      <c r="H456" s="326"/>
    </row>
    <row r="457">
      <c r="A457" s="231"/>
      <c r="B457" s="231"/>
      <c r="C457" s="231"/>
      <c r="E457" s="326"/>
      <c r="F457" s="326"/>
      <c r="G457" s="326"/>
      <c r="H457" s="326"/>
    </row>
    <row r="458">
      <c r="A458" s="231"/>
      <c r="B458" s="231"/>
      <c r="C458" s="231"/>
      <c r="E458" s="326"/>
      <c r="F458" s="326"/>
      <c r="G458" s="326"/>
      <c r="H458" s="326"/>
    </row>
    <row r="459">
      <c r="A459" s="231"/>
      <c r="B459" s="231"/>
      <c r="C459" s="231"/>
      <c r="E459" s="326"/>
      <c r="F459" s="326"/>
      <c r="G459" s="326"/>
      <c r="H459" s="326"/>
    </row>
    <row r="460">
      <c r="A460" s="231"/>
      <c r="B460" s="231"/>
      <c r="C460" s="231"/>
      <c r="E460" s="326"/>
      <c r="F460" s="326"/>
      <c r="G460" s="326"/>
      <c r="H460" s="326"/>
    </row>
    <row r="461">
      <c r="A461" s="231"/>
      <c r="B461" s="231"/>
      <c r="C461" s="231"/>
      <c r="E461" s="326"/>
      <c r="F461" s="326"/>
      <c r="G461" s="326"/>
      <c r="H461" s="326"/>
    </row>
    <row r="462">
      <c r="A462" s="231"/>
      <c r="B462" s="231"/>
      <c r="C462" s="231"/>
      <c r="E462" s="326"/>
      <c r="F462" s="326"/>
      <c r="G462" s="326"/>
      <c r="H462" s="326"/>
    </row>
    <row r="463">
      <c r="A463" s="231"/>
      <c r="B463" s="231"/>
      <c r="C463" s="231"/>
      <c r="E463" s="326"/>
      <c r="F463" s="326"/>
      <c r="G463" s="326"/>
      <c r="H463" s="326"/>
    </row>
    <row r="464">
      <c r="A464" s="231"/>
      <c r="B464" s="231"/>
      <c r="C464" s="231"/>
      <c r="E464" s="326"/>
      <c r="F464" s="326"/>
      <c r="G464" s="326"/>
      <c r="H464" s="326"/>
    </row>
    <row r="465">
      <c r="A465" s="231"/>
      <c r="B465" s="231"/>
      <c r="C465" s="231"/>
      <c r="E465" s="326"/>
      <c r="F465" s="326"/>
      <c r="G465" s="326"/>
      <c r="H465" s="326"/>
    </row>
    <row r="466">
      <c r="A466" s="231"/>
      <c r="B466" s="231"/>
      <c r="C466" s="231"/>
      <c r="E466" s="326"/>
      <c r="F466" s="326"/>
      <c r="G466" s="326"/>
      <c r="H466" s="326"/>
    </row>
    <row r="467">
      <c r="A467" s="231"/>
      <c r="B467" s="231"/>
      <c r="C467" s="231"/>
      <c r="E467" s="326"/>
      <c r="F467" s="326"/>
      <c r="G467" s="326"/>
      <c r="H467" s="326"/>
    </row>
    <row r="468">
      <c r="A468" s="231"/>
      <c r="B468" s="231"/>
      <c r="C468" s="231"/>
      <c r="E468" s="326"/>
      <c r="F468" s="326"/>
      <c r="G468" s="326"/>
      <c r="H468" s="326"/>
    </row>
    <row r="469">
      <c r="A469" s="231"/>
      <c r="B469" s="231"/>
      <c r="C469" s="231"/>
      <c r="E469" s="326"/>
      <c r="F469" s="326"/>
      <c r="G469" s="326"/>
      <c r="H469" s="326"/>
    </row>
    <row r="470">
      <c r="A470" s="231"/>
      <c r="B470" s="231"/>
      <c r="C470" s="231"/>
      <c r="E470" s="326"/>
      <c r="F470" s="326"/>
      <c r="G470" s="326"/>
      <c r="H470" s="326"/>
    </row>
    <row r="471">
      <c r="A471" s="231"/>
      <c r="B471" s="231"/>
      <c r="C471" s="231"/>
      <c r="E471" s="326"/>
      <c r="F471" s="326"/>
      <c r="G471" s="326"/>
      <c r="H471" s="326"/>
    </row>
    <row r="472">
      <c r="A472" s="231"/>
      <c r="B472" s="231"/>
      <c r="C472" s="231"/>
      <c r="E472" s="326"/>
      <c r="F472" s="326"/>
      <c r="G472" s="326"/>
      <c r="H472" s="326"/>
    </row>
    <row r="473">
      <c r="A473" s="231"/>
      <c r="B473" s="231"/>
      <c r="C473" s="231"/>
      <c r="E473" s="326"/>
      <c r="F473" s="326"/>
      <c r="G473" s="326"/>
      <c r="H473" s="326"/>
    </row>
    <row r="474">
      <c r="A474" s="231"/>
      <c r="B474" s="231"/>
      <c r="C474" s="231"/>
      <c r="E474" s="326"/>
      <c r="F474" s="326"/>
      <c r="G474" s="326"/>
      <c r="H474" s="326"/>
    </row>
    <row r="475">
      <c r="A475" s="231"/>
      <c r="B475" s="231"/>
      <c r="C475" s="231"/>
      <c r="E475" s="326"/>
      <c r="F475" s="326"/>
      <c r="G475" s="326"/>
      <c r="H475" s="326"/>
    </row>
    <row r="476">
      <c r="A476" s="231"/>
      <c r="B476" s="231"/>
      <c r="C476" s="231"/>
      <c r="E476" s="326"/>
      <c r="F476" s="326"/>
      <c r="G476" s="326"/>
      <c r="H476" s="326"/>
    </row>
    <row r="477">
      <c r="A477" s="231"/>
      <c r="B477" s="231"/>
      <c r="C477" s="231"/>
      <c r="E477" s="326"/>
      <c r="F477" s="326"/>
      <c r="G477" s="326"/>
      <c r="H477" s="326"/>
    </row>
    <row r="478">
      <c r="A478" s="231"/>
      <c r="B478" s="231"/>
      <c r="C478" s="231"/>
      <c r="E478" s="326"/>
      <c r="F478" s="326"/>
      <c r="G478" s="326"/>
      <c r="H478" s="326"/>
    </row>
    <row r="479">
      <c r="A479" s="231"/>
      <c r="B479" s="231"/>
      <c r="C479" s="231"/>
      <c r="E479" s="326"/>
      <c r="F479" s="326"/>
      <c r="G479" s="326"/>
      <c r="H479" s="326"/>
    </row>
    <row r="480">
      <c r="A480" s="231"/>
      <c r="B480" s="231"/>
      <c r="C480" s="231"/>
      <c r="E480" s="326"/>
      <c r="F480" s="326"/>
      <c r="G480" s="326"/>
      <c r="H480" s="326"/>
    </row>
    <row r="481">
      <c r="A481" s="231"/>
      <c r="B481" s="231"/>
      <c r="C481" s="231"/>
      <c r="E481" s="326"/>
      <c r="F481" s="326"/>
      <c r="G481" s="326"/>
      <c r="H481" s="326"/>
    </row>
    <row r="482">
      <c r="A482" s="231"/>
      <c r="B482" s="231"/>
      <c r="C482" s="231"/>
      <c r="E482" s="326"/>
      <c r="F482" s="326"/>
      <c r="G482" s="326"/>
      <c r="H482" s="326"/>
    </row>
    <row r="483">
      <c r="A483" s="231"/>
      <c r="B483" s="231"/>
      <c r="C483" s="231"/>
      <c r="E483" s="326"/>
      <c r="F483" s="326"/>
      <c r="G483" s="326"/>
      <c r="H483" s="326"/>
    </row>
    <row r="484">
      <c r="A484" s="231"/>
      <c r="B484" s="231"/>
      <c r="C484" s="231"/>
      <c r="E484" s="326"/>
      <c r="F484" s="326"/>
      <c r="G484" s="326"/>
      <c r="H484" s="326"/>
    </row>
    <row r="485">
      <c r="A485" s="231"/>
      <c r="B485" s="231"/>
      <c r="C485" s="231"/>
      <c r="E485" s="326"/>
      <c r="F485" s="326"/>
      <c r="G485" s="326"/>
      <c r="H485" s="326"/>
    </row>
    <row r="486">
      <c r="A486" s="231"/>
      <c r="B486" s="231"/>
      <c r="C486" s="231"/>
      <c r="E486" s="326"/>
      <c r="F486" s="326"/>
      <c r="G486" s="326"/>
      <c r="H486" s="326"/>
    </row>
    <row r="487">
      <c r="A487" s="231"/>
      <c r="B487" s="231"/>
      <c r="C487" s="231"/>
      <c r="E487" s="326"/>
      <c r="F487" s="326"/>
      <c r="G487" s="326"/>
      <c r="H487" s="326"/>
    </row>
    <row r="488">
      <c r="A488" s="231"/>
      <c r="B488" s="231"/>
      <c r="C488" s="231"/>
      <c r="E488" s="326"/>
      <c r="F488" s="326"/>
      <c r="G488" s="326"/>
      <c r="H488" s="326"/>
    </row>
    <row r="489">
      <c r="A489" s="231"/>
      <c r="B489" s="231"/>
      <c r="C489" s="231"/>
      <c r="E489" s="326"/>
      <c r="F489" s="326"/>
      <c r="G489" s="326"/>
      <c r="H489" s="326"/>
    </row>
    <row r="490">
      <c r="A490" s="231"/>
      <c r="B490" s="231"/>
      <c r="C490" s="231"/>
      <c r="E490" s="326"/>
      <c r="F490" s="326"/>
      <c r="G490" s="326"/>
      <c r="H490" s="326"/>
    </row>
    <row r="491">
      <c r="A491" s="231"/>
      <c r="B491" s="231"/>
      <c r="C491" s="231"/>
      <c r="E491" s="326"/>
      <c r="F491" s="326"/>
      <c r="G491" s="326"/>
      <c r="H491" s="326"/>
    </row>
    <row r="492">
      <c r="A492" s="231"/>
      <c r="B492" s="231"/>
      <c r="C492" s="231"/>
      <c r="E492" s="326"/>
      <c r="F492" s="326"/>
      <c r="G492" s="326"/>
      <c r="H492" s="326"/>
    </row>
    <row r="493">
      <c r="A493" s="231"/>
      <c r="B493" s="231"/>
      <c r="C493" s="231"/>
      <c r="E493" s="326"/>
      <c r="F493" s="326"/>
      <c r="G493" s="326"/>
      <c r="H493" s="326"/>
    </row>
    <row r="494">
      <c r="A494" s="231"/>
      <c r="B494" s="231"/>
      <c r="C494" s="231"/>
      <c r="E494" s="326"/>
      <c r="F494" s="326"/>
      <c r="G494" s="326"/>
      <c r="H494" s="326"/>
    </row>
    <row r="495">
      <c r="A495" s="231"/>
      <c r="B495" s="231"/>
      <c r="C495" s="231"/>
      <c r="E495" s="326"/>
      <c r="F495" s="326"/>
      <c r="G495" s="326"/>
      <c r="H495" s="326"/>
    </row>
    <row r="496">
      <c r="A496" s="231"/>
      <c r="B496" s="231"/>
      <c r="C496" s="231"/>
      <c r="E496" s="326"/>
      <c r="F496" s="326"/>
      <c r="G496" s="326"/>
      <c r="H496" s="326"/>
    </row>
    <row r="497">
      <c r="A497" s="231"/>
      <c r="B497" s="231"/>
      <c r="C497" s="231"/>
      <c r="E497" s="326"/>
      <c r="F497" s="326"/>
      <c r="G497" s="326"/>
      <c r="H497" s="326"/>
    </row>
    <row r="498">
      <c r="A498" s="231"/>
      <c r="B498" s="231"/>
      <c r="C498" s="231"/>
      <c r="E498" s="326"/>
      <c r="F498" s="326"/>
      <c r="G498" s="326"/>
      <c r="H498" s="326"/>
    </row>
    <row r="499">
      <c r="A499" s="231"/>
      <c r="B499" s="231"/>
      <c r="C499" s="231"/>
      <c r="E499" s="326"/>
      <c r="F499" s="326"/>
      <c r="G499" s="326"/>
      <c r="H499" s="326"/>
    </row>
    <row r="500">
      <c r="A500" s="231"/>
      <c r="B500" s="231"/>
      <c r="C500" s="231"/>
      <c r="E500" s="326"/>
      <c r="F500" s="326"/>
      <c r="G500" s="326"/>
      <c r="H500" s="326"/>
    </row>
    <row r="501">
      <c r="A501" s="231"/>
      <c r="B501" s="231"/>
      <c r="C501" s="231"/>
      <c r="E501" s="326"/>
      <c r="F501" s="326"/>
      <c r="G501" s="326"/>
      <c r="H501" s="326"/>
    </row>
    <row r="502">
      <c r="A502" s="231"/>
      <c r="B502" s="231"/>
      <c r="C502" s="231"/>
      <c r="E502" s="326"/>
      <c r="F502" s="326"/>
      <c r="G502" s="326"/>
      <c r="H502" s="326"/>
    </row>
    <row r="503">
      <c r="A503" s="231"/>
      <c r="B503" s="231"/>
      <c r="C503" s="231"/>
      <c r="E503" s="326"/>
      <c r="F503" s="326"/>
      <c r="G503" s="326"/>
      <c r="H503" s="326"/>
    </row>
    <row r="504">
      <c r="A504" s="231"/>
      <c r="B504" s="231"/>
      <c r="C504" s="231"/>
      <c r="E504" s="326"/>
      <c r="F504" s="326"/>
      <c r="G504" s="326"/>
      <c r="H504" s="326"/>
    </row>
    <row r="505">
      <c r="A505" s="231"/>
      <c r="B505" s="231"/>
      <c r="C505" s="231"/>
      <c r="E505" s="326"/>
      <c r="F505" s="326"/>
      <c r="G505" s="326"/>
      <c r="H505" s="326"/>
    </row>
    <row r="506">
      <c r="A506" s="231"/>
      <c r="B506" s="231"/>
      <c r="C506" s="231"/>
      <c r="E506" s="326"/>
      <c r="F506" s="326"/>
      <c r="G506" s="326"/>
      <c r="H506" s="326"/>
    </row>
    <row r="507">
      <c r="A507" s="231"/>
      <c r="B507" s="231"/>
      <c r="C507" s="231"/>
      <c r="E507" s="326"/>
      <c r="F507" s="326"/>
      <c r="G507" s="326"/>
      <c r="H507" s="326"/>
    </row>
    <row r="508">
      <c r="A508" s="231"/>
      <c r="B508" s="231"/>
      <c r="C508" s="231"/>
      <c r="E508" s="326"/>
      <c r="F508" s="326"/>
      <c r="G508" s="326"/>
      <c r="H508" s="326"/>
    </row>
    <row r="509">
      <c r="A509" s="231"/>
      <c r="B509" s="231"/>
      <c r="C509" s="231"/>
      <c r="E509" s="326"/>
      <c r="F509" s="326"/>
      <c r="G509" s="326"/>
      <c r="H509" s="326"/>
    </row>
    <row r="510">
      <c r="A510" s="231"/>
      <c r="B510" s="231"/>
      <c r="C510" s="231"/>
      <c r="E510" s="326"/>
      <c r="F510" s="326"/>
      <c r="G510" s="326"/>
      <c r="H510" s="326"/>
    </row>
    <row r="511">
      <c r="A511" s="231"/>
      <c r="B511" s="231"/>
      <c r="C511" s="231"/>
      <c r="E511" s="326"/>
      <c r="F511" s="326"/>
      <c r="G511" s="326"/>
      <c r="H511" s="326"/>
    </row>
    <row r="512">
      <c r="A512" s="231"/>
      <c r="B512" s="231"/>
      <c r="C512" s="231"/>
      <c r="E512" s="326"/>
      <c r="F512" s="326"/>
      <c r="G512" s="326"/>
      <c r="H512" s="326"/>
    </row>
    <row r="513">
      <c r="A513" s="231"/>
      <c r="B513" s="231"/>
      <c r="C513" s="231"/>
      <c r="E513" s="326"/>
      <c r="F513" s="326"/>
      <c r="G513" s="326"/>
      <c r="H513" s="326"/>
    </row>
    <row r="514">
      <c r="A514" s="231"/>
      <c r="B514" s="231"/>
      <c r="C514" s="231"/>
      <c r="E514" s="326"/>
      <c r="F514" s="326"/>
      <c r="G514" s="326"/>
      <c r="H514" s="326"/>
    </row>
    <row r="515">
      <c r="A515" s="231"/>
      <c r="B515" s="231"/>
      <c r="C515" s="231"/>
      <c r="E515" s="326"/>
      <c r="F515" s="326"/>
      <c r="G515" s="326"/>
      <c r="H515" s="326"/>
    </row>
    <row r="516">
      <c r="A516" s="231"/>
      <c r="B516" s="231"/>
      <c r="C516" s="231"/>
      <c r="E516" s="326"/>
      <c r="F516" s="326"/>
      <c r="G516" s="326"/>
      <c r="H516" s="326"/>
    </row>
    <row r="517">
      <c r="A517" s="231"/>
      <c r="B517" s="231"/>
      <c r="C517" s="231"/>
      <c r="E517" s="326"/>
      <c r="F517" s="326"/>
      <c r="G517" s="326"/>
      <c r="H517" s="326"/>
    </row>
    <row r="518">
      <c r="A518" s="231"/>
      <c r="B518" s="231"/>
      <c r="C518" s="231"/>
      <c r="E518" s="326"/>
      <c r="F518" s="326"/>
      <c r="G518" s="326"/>
      <c r="H518" s="326"/>
    </row>
    <row r="519">
      <c r="A519" s="231"/>
      <c r="B519" s="231"/>
      <c r="C519" s="231"/>
      <c r="E519" s="326"/>
      <c r="F519" s="326"/>
      <c r="G519" s="326"/>
      <c r="H519" s="326"/>
    </row>
    <row r="520">
      <c r="A520" s="231"/>
      <c r="B520" s="231"/>
      <c r="C520" s="231"/>
      <c r="E520" s="326"/>
      <c r="F520" s="326"/>
      <c r="G520" s="326"/>
      <c r="H520" s="326"/>
    </row>
    <row r="521">
      <c r="A521" s="231"/>
      <c r="B521" s="231"/>
      <c r="C521" s="231"/>
      <c r="E521" s="326"/>
      <c r="F521" s="326"/>
      <c r="G521" s="326"/>
      <c r="H521" s="326"/>
    </row>
    <row r="522">
      <c r="A522" s="231"/>
      <c r="B522" s="231"/>
      <c r="C522" s="231"/>
      <c r="E522" s="326"/>
      <c r="F522" s="326"/>
      <c r="G522" s="326"/>
      <c r="H522" s="326"/>
    </row>
    <row r="523">
      <c r="A523" s="231"/>
      <c r="B523" s="231"/>
      <c r="C523" s="231"/>
      <c r="E523" s="326"/>
      <c r="F523" s="326"/>
      <c r="G523" s="326"/>
      <c r="H523" s="326"/>
    </row>
    <row r="524">
      <c r="A524" s="231"/>
      <c r="B524" s="231"/>
      <c r="C524" s="231"/>
      <c r="E524" s="326"/>
      <c r="F524" s="326"/>
      <c r="G524" s="326"/>
      <c r="H524" s="326"/>
    </row>
    <row r="525">
      <c r="A525" s="231"/>
      <c r="B525" s="231"/>
      <c r="C525" s="231"/>
      <c r="E525" s="326"/>
      <c r="F525" s="326"/>
      <c r="G525" s="326"/>
      <c r="H525" s="326"/>
    </row>
    <row r="526">
      <c r="A526" s="231"/>
      <c r="B526" s="231"/>
      <c r="C526" s="231"/>
      <c r="E526" s="326"/>
      <c r="F526" s="326"/>
      <c r="G526" s="326"/>
      <c r="H526" s="326"/>
    </row>
    <row r="527">
      <c r="A527" s="231"/>
      <c r="B527" s="231"/>
      <c r="C527" s="231"/>
      <c r="E527" s="326"/>
      <c r="F527" s="326"/>
      <c r="G527" s="326"/>
      <c r="H527" s="326"/>
    </row>
    <row r="528">
      <c r="A528" s="231"/>
      <c r="B528" s="231"/>
      <c r="C528" s="231"/>
      <c r="E528" s="326"/>
      <c r="F528" s="326"/>
      <c r="G528" s="326"/>
      <c r="H528" s="326"/>
    </row>
    <row r="529">
      <c r="A529" s="231"/>
      <c r="B529" s="231"/>
      <c r="C529" s="231"/>
      <c r="E529" s="326"/>
      <c r="F529" s="326"/>
      <c r="G529" s="326"/>
      <c r="H529" s="326"/>
    </row>
    <row r="530">
      <c r="A530" s="231"/>
      <c r="B530" s="231"/>
      <c r="C530" s="231"/>
      <c r="E530" s="326"/>
      <c r="F530" s="326"/>
      <c r="G530" s="326"/>
      <c r="H530" s="326"/>
    </row>
    <row r="531">
      <c r="A531" s="231"/>
      <c r="B531" s="231"/>
      <c r="C531" s="231"/>
      <c r="E531" s="326"/>
      <c r="F531" s="326"/>
      <c r="G531" s="326"/>
      <c r="H531" s="326"/>
    </row>
    <row r="532">
      <c r="A532" s="231"/>
      <c r="B532" s="231"/>
      <c r="C532" s="231"/>
      <c r="E532" s="326"/>
      <c r="F532" s="326"/>
      <c r="G532" s="326"/>
      <c r="H532" s="326"/>
    </row>
    <row r="533">
      <c r="A533" s="231"/>
      <c r="B533" s="231"/>
      <c r="C533" s="231"/>
      <c r="E533" s="326"/>
      <c r="F533" s="326"/>
      <c r="G533" s="326"/>
      <c r="H533" s="326"/>
    </row>
    <row r="534">
      <c r="A534" s="231"/>
      <c r="B534" s="231"/>
      <c r="C534" s="231"/>
      <c r="E534" s="326"/>
      <c r="F534" s="326"/>
      <c r="G534" s="326"/>
      <c r="H534" s="326"/>
    </row>
    <row r="535">
      <c r="A535" s="231"/>
      <c r="B535" s="231"/>
      <c r="C535" s="231"/>
      <c r="E535" s="326"/>
      <c r="F535" s="326"/>
      <c r="G535" s="326"/>
      <c r="H535" s="326"/>
    </row>
    <row r="536">
      <c r="A536" s="231"/>
      <c r="B536" s="231"/>
      <c r="C536" s="231"/>
      <c r="E536" s="326"/>
      <c r="F536" s="326"/>
      <c r="G536" s="326"/>
      <c r="H536" s="326"/>
    </row>
    <row r="537">
      <c r="A537" s="231"/>
      <c r="B537" s="231"/>
      <c r="C537" s="231"/>
      <c r="E537" s="326"/>
      <c r="F537" s="326"/>
      <c r="G537" s="326"/>
      <c r="H537" s="326"/>
    </row>
    <row r="538">
      <c r="A538" s="231"/>
      <c r="B538" s="231"/>
      <c r="C538" s="231"/>
      <c r="E538" s="326"/>
      <c r="F538" s="326"/>
      <c r="G538" s="326"/>
      <c r="H538" s="326"/>
    </row>
    <row r="539">
      <c r="A539" s="231"/>
      <c r="B539" s="231"/>
      <c r="C539" s="231"/>
      <c r="E539" s="326"/>
      <c r="F539" s="326"/>
      <c r="G539" s="326"/>
      <c r="H539" s="326"/>
    </row>
    <row r="540">
      <c r="A540" s="231"/>
      <c r="B540" s="231"/>
      <c r="C540" s="231"/>
      <c r="E540" s="326"/>
      <c r="F540" s="326"/>
      <c r="G540" s="326"/>
      <c r="H540" s="326"/>
    </row>
    <row r="541">
      <c r="A541" s="231"/>
      <c r="B541" s="231"/>
      <c r="C541" s="231"/>
      <c r="E541" s="326"/>
      <c r="F541" s="326"/>
      <c r="G541" s="326"/>
      <c r="H541" s="326"/>
    </row>
    <row r="542">
      <c r="A542" s="231"/>
      <c r="B542" s="231"/>
      <c r="C542" s="231"/>
      <c r="E542" s="326"/>
      <c r="F542" s="326"/>
      <c r="G542" s="326"/>
      <c r="H542" s="326"/>
    </row>
    <row r="543">
      <c r="A543" s="231"/>
      <c r="B543" s="231"/>
      <c r="C543" s="231"/>
      <c r="E543" s="326"/>
      <c r="F543" s="326"/>
      <c r="G543" s="326"/>
      <c r="H543" s="326"/>
    </row>
    <row r="544">
      <c r="A544" s="231"/>
      <c r="B544" s="231"/>
      <c r="C544" s="231"/>
      <c r="E544" s="326"/>
      <c r="F544" s="326"/>
      <c r="G544" s="326"/>
      <c r="H544" s="326"/>
    </row>
    <row r="545">
      <c r="A545" s="231"/>
      <c r="B545" s="231"/>
      <c r="C545" s="231"/>
      <c r="E545" s="326"/>
      <c r="F545" s="326"/>
      <c r="G545" s="326"/>
      <c r="H545" s="326"/>
    </row>
    <row r="546">
      <c r="A546" s="231"/>
      <c r="B546" s="231"/>
      <c r="C546" s="231"/>
      <c r="E546" s="326"/>
      <c r="F546" s="326"/>
      <c r="G546" s="326"/>
      <c r="H546" s="326"/>
    </row>
    <row r="547">
      <c r="A547" s="231"/>
      <c r="B547" s="231"/>
      <c r="C547" s="231"/>
      <c r="E547" s="326"/>
      <c r="F547" s="326"/>
      <c r="G547" s="326"/>
      <c r="H547" s="326"/>
    </row>
    <row r="548">
      <c r="A548" s="231"/>
      <c r="B548" s="231"/>
      <c r="C548" s="231"/>
      <c r="E548" s="326"/>
      <c r="F548" s="326"/>
      <c r="G548" s="326"/>
      <c r="H548" s="326"/>
    </row>
    <row r="549">
      <c r="A549" s="231"/>
      <c r="B549" s="231"/>
      <c r="C549" s="231"/>
      <c r="E549" s="326"/>
      <c r="F549" s="326"/>
      <c r="G549" s="326"/>
      <c r="H549" s="326"/>
    </row>
    <row r="550">
      <c r="A550" s="231"/>
      <c r="B550" s="231"/>
      <c r="C550" s="231"/>
      <c r="E550" s="326"/>
      <c r="F550" s="326"/>
      <c r="G550" s="326"/>
      <c r="H550" s="326"/>
    </row>
    <row r="551">
      <c r="A551" s="231"/>
      <c r="B551" s="231"/>
      <c r="C551" s="231"/>
      <c r="E551" s="326"/>
      <c r="F551" s="326"/>
      <c r="G551" s="326"/>
      <c r="H551" s="326"/>
    </row>
    <row r="552">
      <c r="A552" s="231"/>
      <c r="B552" s="231"/>
      <c r="C552" s="231"/>
      <c r="E552" s="326"/>
      <c r="F552" s="326"/>
      <c r="G552" s="326"/>
      <c r="H552" s="326"/>
    </row>
    <row r="553">
      <c r="A553" s="231"/>
      <c r="B553" s="231"/>
      <c r="C553" s="231"/>
      <c r="E553" s="326"/>
      <c r="F553" s="326"/>
      <c r="G553" s="326"/>
      <c r="H553" s="326"/>
    </row>
    <row r="554">
      <c r="A554" s="231"/>
      <c r="B554" s="231"/>
      <c r="C554" s="231"/>
      <c r="E554" s="326"/>
      <c r="F554" s="326"/>
      <c r="G554" s="326"/>
      <c r="H554" s="326"/>
    </row>
    <row r="555">
      <c r="A555" s="231"/>
      <c r="B555" s="231"/>
      <c r="C555" s="231"/>
      <c r="E555" s="326"/>
      <c r="F555" s="326"/>
      <c r="G555" s="326"/>
      <c r="H555" s="326"/>
    </row>
    <row r="556">
      <c r="A556" s="231"/>
      <c r="B556" s="231"/>
      <c r="C556" s="231"/>
      <c r="E556" s="326"/>
      <c r="F556" s="326"/>
      <c r="G556" s="326"/>
      <c r="H556" s="326"/>
    </row>
    <row r="557">
      <c r="A557" s="231"/>
      <c r="B557" s="231"/>
      <c r="C557" s="231"/>
      <c r="E557" s="326"/>
      <c r="F557" s="326"/>
      <c r="G557" s="326"/>
      <c r="H557" s="326"/>
    </row>
    <row r="558">
      <c r="A558" s="231"/>
      <c r="B558" s="231"/>
      <c r="C558" s="231"/>
      <c r="E558" s="326"/>
      <c r="F558" s="326"/>
      <c r="G558" s="326"/>
      <c r="H558" s="326"/>
    </row>
    <row r="559">
      <c r="A559" s="231"/>
      <c r="B559" s="231"/>
      <c r="C559" s="231"/>
      <c r="E559" s="326"/>
      <c r="F559" s="326"/>
      <c r="G559" s="326"/>
      <c r="H559" s="326"/>
    </row>
    <row r="560">
      <c r="A560" s="231"/>
      <c r="B560" s="231"/>
      <c r="C560" s="231"/>
      <c r="E560" s="326"/>
      <c r="F560" s="326"/>
      <c r="G560" s="326"/>
      <c r="H560" s="326"/>
    </row>
    <row r="561">
      <c r="A561" s="231"/>
      <c r="B561" s="231"/>
      <c r="C561" s="231"/>
      <c r="E561" s="326"/>
      <c r="F561" s="326"/>
      <c r="G561" s="326"/>
      <c r="H561" s="326"/>
    </row>
    <row r="562">
      <c r="A562" s="231"/>
      <c r="B562" s="231"/>
      <c r="C562" s="231"/>
      <c r="E562" s="326"/>
      <c r="F562" s="326"/>
      <c r="G562" s="326"/>
      <c r="H562" s="326"/>
    </row>
    <row r="563">
      <c r="A563" s="231"/>
      <c r="B563" s="231"/>
      <c r="C563" s="231"/>
      <c r="E563" s="326"/>
      <c r="F563" s="326"/>
      <c r="G563" s="326"/>
      <c r="H563" s="326"/>
    </row>
    <row r="564">
      <c r="A564" s="231"/>
      <c r="B564" s="231"/>
      <c r="C564" s="231"/>
      <c r="E564" s="326"/>
      <c r="F564" s="326"/>
      <c r="G564" s="326"/>
      <c r="H564" s="326"/>
    </row>
    <row r="565">
      <c r="A565" s="231"/>
      <c r="B565" s="231"/>
      <c r="C565" s="231"/>
      <c r="E565" s="326"/>
      <c r="F565" s="326"/>
      <c r="G565" s="326"/>
      <c r="H565" s="326"/>
    </row>
    <row r="566">
      <c r="A566" s="231"/>
      <c r="B566" s="231"/>
      <c r="C566" s="231"/>
      <c r="E566" s="326"/>
      <c r="F566" s="326"/>
      <c r="G566" s="326"/>
      <c r="H566" s="326"/>
    </row>
    <row r="567">
      <c r="A567" s="231"/>
      <c r="B567" s="231"/>
      <c r="C567" s="231"/>
      <c r="E567" s="326"/>
      <c r="F567" s="326"/>
      <c r="G567" s="326"/>
      <c r="H567" s="326"/>
    </row>
    <row r="568">
      <c r="A568" s="231"/>
      <c r="B568" s="231"/>
      <c r="C568" s="231"/>
      <c r="E568" s="326"/>
      <c r="F568" s="326"/>
      <c r="G568" s="326"/>
      <c r="H568" s="326"/>
    </row>
    <row r="569">
      <c r="A569" s="231"/>
      <c r="B569" s="231"/>
      <c r="C569" s="231"/>
      <c r="E569" s="326"/>
      <c r="F569" s="326"/>
      <c r="G569" s="326"/>
      <c r="H569" s="326"/>
    </row>
    <row r="570">
      <c r="A570" s="231"/>
      <c r="B570" s="231"/>
      <c r="C570" s="231"/>
      <c r="E570" s="326"/>
      <c r="F570" s="326"/>
      <c r="G570" s="326"/>
      <c r="H570" s="326"/>
    </row>
    <row r="571">
      <c r="A571" s="231"/>
      <c r="B571" s="231"/>
      <c r="C571" s="231"/>
      <c r="E571" s="326"/>
      <c r="F571" s="326"/>
      <c r="G571" s="326"/>
      <c r="H571" s="326"/>
    </row>
    <row r="572">
      <c r="A572" s="231"/>
      <c r="B572" s="231"/>
      <c r="C572" s="231"/>
      <c r="E572" s="326"/>
      <c r="F572" s="326"/>
      <c r="G572" s="326"/>
      <c r="H572" s="326"/>
    </row>
    <row r="573">
      <c r="A573" s="231"/>
      <c r="B573" s="231"/>
      <c r="C573" s="231"/>
      <c r="E573" s="326"/>
      <c r="F573" s="326"/>
      <c r="G573" s="326"/>
      <c r="H573" s="326"/>
    </row>
    <row r="574">
      <c r="A574" s="231"/>
      <c r="B574" s="231"/>
      <c r="C574" s="231"/>
      <c r="E574" s="326"/>
      <c r="F574" s="326"/>
      <c r="G574" s="326"/>
      <c r="H574" s="326"/>
    </row>
    <row r="575">
      <c r="A575" s="231"/>
      <c r="B575" s="231"/>
      <c r="C575" s="231"/>
      <c r="E575" s="326"/>
      <c r="F575" s="326"/>
      <c r="G575" s="326"/>
      <c r="H575" s="326"/>
    </row>
    <row r="576">
      <c r="A576" s="231"/>
      <c r="B576" s="231"/>
      <c r="C576" s="231"/>
      <c r="E576" s="326"/>
      <c r="F576" s="326"/>
      <c r="G576" s="326"/>
      <c r="H576" s="326"/>
    </row>
    <row r="577">
      <c r="A577" s="231"/>
      <c r="B577" s="231"/>
      <c r="C577" s="231"/>
      <c r="E577" s="326"/>
      <c r="F577" s="326"/>
      <c r="G577" s="326"/>
      <c r="H577" s="326"/>
    </row>
    <row r="578">
      <c r="A578" s="231"/>
      <c r="B578" s="231"/>
      <c r="C578" s="231"/>
      <c r="E578" s="326"/>
      <c r="F578" s="326"/>
      <c r="G578" s="326"/>
      <c r="H578" s="326"/>
    </row>
    <row r="579">
      <c r="A579" s="231"/>
      <c r="B579" s="231"/>
      <c r="C579" s="231"/>
      <c r="E579" s="326"/>
      <c r="F579" s="326"/>
      <c r="G579" s="326"/>
      <c r="H579" s="326"/>
    </row>
    <row r="580">
      <c r="A580" s="231"/>
      <c r="B580" s="231"/>
      <c r="C580" s="231"/>
      <c r="E580" s="326"/>
      <c r="F580" s="326"/>
      <c r="G580" s="326"/>
      <c r="H580" s="326"/>
    </row>
    <row r="581">
      <c r="A581" s="231"/>
      <c r="B581" s="231"/>
      <c r="C581" s="231"/>
      <c r="E581" s="326"/>
      <c r="F581" s="326"/>
      <c r="G581" s="326"/>
      <c r="H581" s="326"/>
    </row>
    <row r="582">
      <c r="A582" s="231"/>
      <c r="B582" s="231"/>
      <c r="C582" s="231"/>
      <c r="E582" s="326"/>
      <c r="F582" s="326"/>
      <c r="G582" s="326"/>
      <c r="H582" s="326"/>
    </row>
    <row r="583">
      <c r="A583" s="231"/>
      <c r="B583" s="231"/>
      <c r="C583" s="231"/>
      <c r="E583" s="326"/>
      <c r="F583" s="326"/>
      <c r="G583" s="326"/>
      <c r="H583" s="326"/>
    </row>
    <row r="584">
      <c r="A584" s="231"/>
      <c r="B584" s="231"/>
      <c r="C584" s="231"/>
      <c r="E584" s="326"/>
      <c r="F584" s="326"/>
      <c r="G584" s="326"/>
      <c r="H584" s="326"/>
    </row>
    <row r="585">
      <c r="A585" s="231"/>
      <c r="B585" s="231"/>
      <c r="C585" s="231"/>
      <c r="E585" s="326"/>
      <c r="F585" s="326"/>
      <c r="G585" s="326"/>
      <c r="H585" s="326"/>
    </row>
    <row r="586">
      <c r="A586" s="231"/>
      <c r="B586" s="231"/>
      <c r="C586" s="231"/>
      <c r="E586" s="326"/>
      <c r="F586" s="326"/>
      <c r="G586" s="326"/>
      <c r="H586" s="326"/>
    </row>
    <row r="587">
      <c r="A587" s="231"/>
      <c r="B587" s="231"/>
      <c r="C587" s="231"/>
      <c r="E587" s="326"/>
      <c r="F587" s="326"/>
      <c r="G587" s="326"/>
      <c r="H587" s="326"/>
    </row>
    <row r="588">
      <c r="A588" s="231"/>
      <c r="B588" s="231"/>
      <c r="C588" s="231"/>
      <c r="E588" s="326"/>
      <c r="F588" s="326"/>
      <c r="G588" s="326"/>
      <c r="H588" s="326"/>
    </row>
    <row r="589">
      <c r="A589" s="231"/>
      <c r="B589" s="231"/>
      <c r="C589" s="231"/>
      <c r="E589" s="326"/>
      <c r="F589" s="326"/>
      <c r="G589" s="326"/>
      <c r="H589" s="326"/>
    </row>
    <row r="590">
      <c r="A590" s="231"/>
      <c r="B590" s="231"/>
      <c r="C590" s="231"/>
      <c r="E590" s="326"/>
      <c r="F590" s="326"/>
      <c r="G590" s="326"/>
      <c r="H590" s="326"/>
    </row>
    <row r="591">
      <c r="A591" s="231"/>
      <c r="B591" s="231"/>
      <c r="C591" s="231"/>
      <c r="E591" s="326"/>
      <c r="F591" s="326"/>
      <c r="G591" s="326"/>
      <c r="H591" s="326"/>
    </row>
    <row r="592">
      <c r="A592" s="231"/>
      <c r="B592" s="231"/>
      <c r="C592" s="231"/>
      <c r="E592" s="326"/>
      <c r="F592" s="326"/>
      <c r="G592" s="326"/>
      <c r="H592" s="326"/>
    </row>
    <row r="593">
      <c r="A593" s="231"/>
      <c r="B593" s="231"/>
      <c r="C593" s="231"/>
      <c r="E593" s="326"/>
      <c r="F593" s="326"/>
      <c r="G593" s="326"/>
      <c r="H593" s="326"/>
    </row>
    <row r="594">
      <c r="A594" s="231"/>
      <c r="B594" s="231"/>
      <c r="C594" s="231"/>
      <c r="E594" s="326"/>
      <c r="F594" s="326"/>
      <c r="G594" s="326"/>
      <c r="H594" s="326"/>
    </row>
    <row r="595">
      <c r="A595" s="231"/>
      <c r="B595" s="231"/>
      <c r="C595" s="231"/>
      <c r="E595" s="326"/>
      <c r="F595" s="326"/>
      <c r="G595" s="326"/>
      <c r="H595" s="326"/>
    </row>
    <row r="596">
      <c r="A596" s="231"/>
      <c r="B596" s="231"/>
      <c r="C596" s="231"/>
      <c r="E596" s="326"/>
      <c r="F596" s="326"/>
      <c r="G596" s="326"/>
      <c r="H596" s="326"/>
    </row>
    <row r="597">
      <c r="A597" s="231"/>
      <c r="B597" s="231"/>
      <c r="C597" s="231"/>
      <c r="E597" s="326"/>
      <c r="F597" s="326"/>
      <c r="G597" s="326"/>
      <c r="H597" s="326"/>
    </row>
    <row r="598">
      <c r="A598" s="231"/>
      <c r="B598" s="231"/>
      <c r="C598" s="231"/>
      <c r="E598" s="326"/>
      <c r="F598" s="326"/>
      <c r="G598" s="326"/>
      <c r="H598" s="326"/>
    </row>
    <row r="599">
      <c r="A599" s="231"/>
      <c r="B599" s="231"/>
      <c r="C599" s="231"/>
      <c r="E599" s="326"/>
      <c r="F599" s="326"/>
      <c r="G599" s="326"/>
      <c r="H599" s="326"/>
    </row>
    <row r="600">
      <c r="A600" s="231"/>
      <c r="B600" s="231"/>
      <c r="C600" s="231"/>
      <c r="E600" s="326"/>
      <c r="F600" s="326"/>
      <c r="G600" s="326"/>
      <c r="H600" s="326"/>
    </row>
    <row r="601">
      <c r="A601" s="231"/>
      <c r="B601" s="231"/>
      <c r="C601" s="231"/>
      <c r="E601" s="326"/>
      <c r="F601" s="326"/>
      <c r="G601" s="326"/>
      <c r="H601" s="326"/>
    </row>
    <row r="602">
      <c r="A602" s="231"/>
      <c r="B602" s="231"/>
      <c r="C602" s="231"/>
      <c r="E602" s="326"/>
      <c r="F602" s="326"/>
      <c r="G602" s="326"/>
      <c r="H602" s="326"/>
    </row>
    <row r="603">
      <c r="A603" s="231"/>
      <c r="B603" s="231"/>
      <c r="C603" s="231"/>
      <c r="E603" s="326"/>
      <c r="F603" s="326"/>
      <c r="G603" s="326"/>
      <c r="H603" s="326"/>
    </row>
    <row r="604">
      <c r="A604" s="231"/>
      <c r="B604" s="231"/>
      <c r="C604" s="231"/>
      <c r="E604" s="326"/>
      <c r="F604" s="326"/>
      <c r="G604" s="326"/>
      <c r="H604" s="326"/>
    </row>
    <row r="605">
      <c r="A605" s="231"/>
      <c r="B605" s="231"/>
      <c r="C605" s="231"/>
      <c r="E605" s="326"/>
      <c r="F605" s="326"/>
      <c r="G605" s="326"/>
      <c r="H605" s="326"/>
    </row>
    <row r="606">
      <c r="A606" s="231"/>
      <c r="B606" s="231"/>
      <c r="C606" s="231"/>
      <c r="E606" s="326"/>
      <c r="F606" s="326"/>
      <c r="G606" s="326"/>
      <c r="H606" s="326"/>
    </row>
    <row r="607">
      <c r="A607" s="231"/>
      <c r="B607" s="231"/>
      <c r="C607" s="231"/>
      <c r="E607" s="326"/>
      <c r="F607" s="326"/>
      <c r="G607" s="326"/>
      <c r="H607" s="326"/>
    </row>
    <row r="608">
      <c r="A608" s="231"/>
      <c r="B608" s="231"/>
      <c r="C608" s="231"/>
      <c r="E608" s="326"/>
      <c r="F608" s="326"/>
      <c r="G608" s="326"/>
      <c r="H608" s="326"/>
    </row>
    <row r="609">
      <c r="A609" s="231"/>
      <c r="B609" s="231"/>
      <c r="C609" s="231"/>
      <c r="E609" s="326"/>
      <c r="F609" s="326"/>
      <c r="G609" s="326"/>
      <c r="H609" s="326"/>
    </row>
    <row r="610">
      <c r="A610" s="231"/>
      <c r="B610" s="231"/>
      <c r="C610" s="231"/>
      <c r="E610" s="326"/>
      <c r="F610" s="326"/>
      <c r="G610" s="326"/>
      <c r="H610" s="326"/>
    </row>
    <row r="611">
      <c r="A611" s="231"/>
      <c r="B611" s="231"/>
      <c r="C611" s="231"/>
      <c r="E611" s="326"/>
      <c r="F611" s="326"/>
      <c r="G611" s="326"/>
      <c r="H611" s="326"/>
    </row>
    <row r="612">
      <c r="A612" s="231"/>
      <c r="B612" s="231"/>
      <c r="C612" s="231"/>
      <c r="E612" s="326"/>
      <c r="F612" s="326"/>
      <c r="G612" s="326"/>
      <c r="H612" s="326"/>
    </row>
    <row r="613">
      <c r="A613" s="231"/>
      <c r="B613" s="231"/>
      <c r="C613" s="231"/>
      <c r="E613" s="326"/>
      <c r="F613" s="326"/>
      <c r="G613" s="326"/>
      <c r="H613" s="326"/>
    </row>
    <row r="614">
      <c r="A614" s="231"/>
      <c r="B614" s="231"/>
      <c r="C614" s="231"/>
      <c r="E614" s="326"/>
      <c r="F614" s="326"/>
      <c r="G614" s="326"/>
      <c r="H614" s="326"/>
    </row>
    <row r="615">
      <c r="A615" s="231"/>
      <c r="B615" s="231"/>
      <c r="C615" s="231"/>
      <c r="E615" s="326"/>
      <c r="F615" s="326"/>
      <c r="G615" s="326"/>
      <c r="H615" s="326"/>
    </row>
    <row r="616">
      <c r="A616" s="231"/>
      <c r="B616" s="231"/>
      <c r="C616" s="231"/>
      <c r="E616" s="326"/>
      <c r="F616" s="326"/>
      <c r="G616" s="326"/>
      <c r="H616" s="326"/>
    </row>
    <row r="617">
      <c r="A617" s="231"/>
      <c r="B617" s="231"/>
      <c r="C617" s="231"/>
      <c r="E617" s="326"/>
      <c r="F617" s="326"/>
      <c r="G617" s="326"/>
      <c r="H617" s="326"/>
    </row>
    <row r="618">
      <c r="A618" s="231"/>
      <c r="B618" s="231"/>
      <c r="C618" s="231"/>
      <c r="E618" s="326"/>
      <c r="F618" s="326"/>
      <c r="G618" s="326"/>
      <c r="H618" s="326"/>
    </row>
    <row r="619">
      <c r="A619" s="231"/>
      <c r="B619" s="231"/>
      <c r="C619" s="231"/>
      <c r="E619" s="326"/>
      <c r="F619" s="326"/>
      <c r="G619" s="326"/>
      <c r="H619" s="326"/>
    </row>
    <row r="620">
      <c r="A620" s="231"/>
      <c r="B620" s="231"/>
      <c r="C620" s="231"/>
      <c r="E620" s="326"/>
      <c r="F620" s="326"/>
      <c r="G620" s="326"/>
      <c r="H620" s="326"/>
    </row>
    <row r="621">
      <c r="A621" s="231"/>
      <c r="B621" s="231"/>
      <c r="C621" s="231"/>
      <c r="E621" s="326"/>
      <c r="F621" s="326"/>
      <c r="G621" s="326"/>
      <c r="H621" s="326"/>
    </row>
    <row r="622">
      <c r="A622" s="231"/>
      <c r="B622" s="231"/>
      <c r="C622" s="231"/>
      <c r="E622" s="326"/>
      <c r="F622" s="326"/>
      <c r="G622" s="326"/>
      <c r="H622" s="326"/>
    </row>
    <row r="623">
      <c r="A623" s="231"/>
      <c r="B623" s="231"/>
      <c r="C623" s="231"/>
      <c r="E623" s="326"/>
      <c r="F623" s="326"/>
      <c r="G623" s="326"/>
      <c r="H623" s="326"/>
    </row>
    <row r="624">
      <c r="A624" s="231"/>
      <c r="B624" s="231"/>
      <c r="C624" s="231"/>
      <c r="E624" s="326"/>
      <c r="F624" s="326"/>
      <c r="G624" s="326"/>
      <c r="H624" s="326"/>
    </row>
    <row r="625">
      <c r="A625" s="231"/>
      <c r="B625" s="231"/>
      <c r="C625" s="231"/>
      <c r="E625" s="326"/>
      <c r="F625" s="326"/>
      <c r="G625" s="326"/>
      <c r="H625" s="326"/>
    </row>
    <row r="626">
      <c r="A626" s="231"/>
      <c r="B626" s="231"/>
      <c r="C626" s="231"/>
      <c r="E626" s="326"/>
      <c r="F626" s="326"/>
      <c r="G626" s="326"/>
      <c r="H626" s="326"/>
    </row>
    <row r="627">
      <c r="A627" s="231"/>
      <c r="B627" s="231"/>
      <c r="C627" s="231"/>
      <c r="E627" s="326"/>
      <c r="F627" s="326"/>
      <c r="G627" s="326"/>
      <c r="H627" s="326"/>
    </row>
    <row r="628">
      <c r="A628" s="231"/>
      <c r="B628" s="231"/>
      <c r="C628" s="231"/>
      <c r="E628" s="326"/>
      <c r="F628" s="326"/>
      <c r="G628" s="326"/>
      <c r="H628" s="326"/>
    </row>
    <row r="629">
      <c r="A629" s="231"/>
      <c r="B629" s="231"/>
      <c r="C629" s="231"/>
      <c r="E629" s="326"/>
      <c r="F629" s="326"/>
      <c r="G629" s="326"/>
      <c r="H629" s="326"/>
    </row>
    <row r="630">
      <c r="A630" s="231"/>
      <c r="B630" s="231"/>
      <c r="C630" s="231"/>
      <c r="E630" s="326"/>
      <c r="F630" s="326"/>
      <c r="G630" s="326"/>
      <c r="H630" s="326"/>
    </row>
    <row r="631">
      <c r="A631" s="231"/>
      <c r="B631" s="231"/>
      <c r="C631" s="231"/>
      <c r="E631" s="326"/>
      <c r="F631" s="326"/>
      <c r="G631" s="326"/>
      <c r="H631" s="326"/>
    </row>
    <row r="632">
      <c r="A632" s="231"/>
      <c r="B632" s="231"/>
      <c r="C632" s="231"/>
      <c r="E632" s="326"/>
      <c r="F632" s="326"/>
      <c r="G632" s="326"/>
      <c r="H632" s="326"/>
    </row>
    <row r="633">
      <c r="A633" s="231"/>
      <c r="B633" s="231"/>
      <c r="C633" s="231"/>
      <c r="E633" s="326"/>
      <c r="F633" s="326"/>
      <c r="G633" s="326"/>
      <c r="H633" s="326"/>
    </row>
    <row r="634">
      <c r="A634" s="231"/>
      <c r="B634" s="231"/>
      <c r="C634" s="231"/>
      <c r="E634" s="326"/>
      <c r="F634" s="326"/>
      <c r="G634" s="326"/>
      <c r="H634" s="326"/>
    </row>
    <row r="635">
      <c r="A635" s="231"/>
      <c r="B635" s="231"/>
      <c r="C635" s="231"/>
      <c r="E635" s="326"/>
      <c r="F635" s="326"/>
      <c r="G635" s="326"/>
      <c r="H635" s="326"/>
    </row>
    <row r="636">
      <c r="A636" s="231"/>
      <c r="B636" s="231"/>
      <c r="C636" s="231"/>
      <c r="E636" s="326"/>
      <c r="F636" s="326"/>
      <c r="G636" s="326"/>
      <c r="H636" s="326"/>
    </row>
    <row r="637">
      <c r="A637" s="231"/>
      <c r="B637" s="231"/>
      <c r="C637" s="231"/>
      <c r="E637" s="326"/>
      <c r="F637" s="326"/>
      <c r="G637" s="326"/>
      <c r="H637" s="326"/>
    </row>
    <row r="638">
      <c r="A638" s="231"/>
      <c r="B638" s="231"/>
      <c r="C638" s="231"/>
      <c r="E638" s="326"/>
      <c r="F638" s="326"/>
      <c r="G638" s="326"/>
      <c r="H638" s="326"/>
    </row>
    <row r="639">
      <c r="A639" s="231"/>
      <c r="B639" s="231"/>
      <c r="C639" s="231"/>
      <c r="E639" s="326"/>
      <c r="F639" s="326"/>
      <c r="G639" s="326"/>
      <c r="H639" s="326"/>
    </row>
    <row r="640">
      <c r="A640" s="231"/>
      <c r="B640" s="231"/>
      <c r="C640" s="231"/>
      <c r="E640" s="326"/>
      <c r="F640" s="326"/>
      <c r="G640" s="326"/>
      <c r="H640" s="326"/>
    </row>
    <row r="641">
      <c r="A641" s="231"/>
      <c r="B641" s="231"/>
      <c r="C641" s="231"/>
      <c r="E641" s="326"/>
      <c r="F641" s="326"/>
      <c r="G641" s="326"/>
      <c r="H641" s="326"/>
    </row>
    <row r="642">
      <c r="A642" s="231"/>
      <c r="B642" s="231"/>
      <c r="C642" s="231"/>
      <c r="E642" s="326"/>
      <c r="F642" s="326"/>
      <c r="G642" s="326"/>
      <c r="H642" s="326"/>
    </row>
    <row r="643">
      <c r="A643" s="231"/>
      <c r="B643" s="231"/>
      <c r="C643" s="231"/>
      <c r="E643" s="326"/>
      <c r="F643" s="326"/>
      <c r="G643" s="326"/>
      <c r="H643" s="326"/>
    </row>
    <row r="644">
      <c r="A644" s="231"/>
      <c r="B644" s="231"/>
      <c r="C644" s="231"/>
      <c r="E644" s="326"/>
      <c r="F644" s="326"/>
      <c r="G644" s="326"/>
      <c r="H644" s="326"/>
    </row>
    <row r="645">
      <c r="A645" s="231"/>
      <c r="B645" s="231"/>
      <c r="C645" s="231"/>
      <c r="E645" s="326"/>
      <c r="F645" s="326"/>
      <c r="G645" s="326"/>
      <c r="H645" s="326"/>
    </row>
    <row r="646">
      <c r="A646" s="231"/>
      <c r="B646" s="231"/>
      <c r="C646" s="231"/>
      <c r="E646" s="326"/>
      <c r="F646" s="326"/>
      <c r="G646" s="326"/>
      <c r="H646" s="326"/>
    </row>
    <row r="647">
      <c r="A647" s="231"/>
      <c r="B647" s="231"/>
      <c r="C647" s="231"/>
      <c r="E647" s="326"/>
      <c r="F647" s="326"/>
      <c r="G647" s="326"/>
      <c r="H647" s="326"/>
    </row>
    <row r="648">
      <c r="A648" s="231"/>
      <c r="B648" s="231"/>
      <c r="C648" s="231"/>
      <c r="E648" s="326"/>
      <c r="F648" s="326"/>
      <c r="G648" s="326"/>
      <c r="H648" s="326"/>
    </row>
    <row r="649">
      <c r="A649" s="231"/>
      <c r="B649" s="231"/>
      <c r="C649" s="231"/>
      <c r="E649" s="326"/>
      <c r="F649" s="326"/>
      <c r="G649" s="326"/>
      <c r="H649" s="326"/>
    </row>
    <row r="650">
      <c r="A650" s="231"/>
      <c r="B650" s="231"/>
      <c r="C650" s="231"/>
      <c r="E650" s="326"/>
      <c r="F650" s="326"/>
      <c r="G650" s="326"/>
      <c r="H650" s="326"/>
    </row>
    <row r="651">
      <c r="A651" s="231"/>
      <c r="B651" s="231"/>
      <c r="C651" s="231"/>
      <c r="E651" s="326"/>
      <c r="F651" s="326"/>
      <c r="G651" s="326"/>
      <c r="H651" s="326"/>
    </row>
    <row r="652">
      <c r="A652" s="231"/>
      <c r="B652" s="231"/>
      <c r="C652" s="231"/>
      <c r="E652" s="326"/>
      <c r="F652" s="326"/>
      <c r="G652" s="326"/>
      <c r="H652" s="326"/>
    </row>
    <row r="653">
      <c r="A653" s="231"/>
      <c r="B653" s="231"/>
      <c r="C653" s="231"/>
      <c r="E653" s="326"/>
      <c r="F653" s="326"/>
      <c r="G653" s="326"/>
      <c r="H653" s="326"/>
    </row>
    <row r="654">
      <c r="A654" s="231"/>
      <c r="B654" s="231"/>
      <c r="C654" s="231"/>
      <c r="E654" s="326"/>
      <c r="F654" s="326"/>
      <c r="G654" s="326"/>
      <c r="H654" s="326"/>
    </row>
    <row r="655">
      <c r="A655" s="231"/>
      <c r="B655" s="231"/>
      <c r="C655" s="231"/>
      <c r="E655" s="326"/>
      <c r="F655" s="326"/>
      <c r="G655" s="326"/>
      <c r="H655" s="326"/>
    </row>
    <row r="656">
      <c r="A656" s="231"/>
      <c r="B656" s="231"/>
      <c r="C656" s="231"/>
      <c r="E656" s="326"/>
      <c r="F656" s="326"/>
      <c r="G656" s="326"/>
      <c r="H656" s="326"/>
    </row>
    <row r="657">
      <c r="A657" s="231"/>
      <c r="B657" s="231"/>
      <c r="C657" s="231"/>
      <c r="E657" s="326"/>
      <c r="F657" s="326"/>
      <c r="G657" s="326"/>
      <c r="H657" s="326"/>
    </row>
    <row r="658">
      <c r="A658" s="231"/>
      <c r="B658" s="231"/>
      <c r="C658" s="231"/>
      <c r="E658" s="326"/>
      <c r="F658" s="326"/>
      <c r="G658" s="326"/>
      <c r="H658" s="326"/>
    </row>
    <row r="659">
      <c r="A659" s="231"/>
      <c r="B659" s="231"/>
      <c r="C659" s="231"/>
      <c r="E659" s="326"/>
      <c r="F659" s="326"/>
      <c r="G659" s="326"/>
      <c r="H659" s="326"/>
    </row>
    <row r="660">
      <c r="A660" s="231"/>
      <c r="B660" s="231"/>
      <c r="C660" s="231"/>
      <c r="E660" s="326"/>
      <c r="F660" s="326"/>
      <c r="G660" s="326"/>
      <c r="H660" s="326"/>
    </row>
    <row r="661">
      <c r="A661" s="231"/>
      <c r="B661" s="231"/>
      <c r="C661" s="231"/>
      <c r="E661" s="326"/>
      <c r="F661" s="326"/>
      <c r="G661" s="326"/>
      <c r="H661" s="326"/>
    </row>
    <row r="662">
      <c r="A662" s="231"/>
      <c r="B662" s="231"/>
      <c r="C662" s="231"/>
      <c r="E662" s="326"/>
      <c r="F662" s="326"/>
      <c r="G662" s="326"/>
      <c r="H662" s="326"/>
    </row>
    <row r="663">
      <c r="A663" s="231"/>
      <c r="B663" s="231"/>
      <c r="C663" s="231"/>
      <c r="E663" s="326"/>
      <c r="F663" s="326"/>
      <c r="G663" s="326"/>
      <c r="H663" s="326"/>
    </row>
    <row r="664">
      <c r="A664" s="231"/>
      <c r="B664" s="231"/>
      <c r="C664" s="231"/>
      <c r="E664" s="326"/>
      <c r="F664" s="326"/>
      <c r="G664" s="326"/>
      <c r="H664" s="326"/>
    </row>
    <row r="665">
      <c r="A665" s="231"/>
      <c r="B665" s="231"/>
      <c r="C665" s="231"/>
      <c r="E665" s="326"/>
      <c r="F665" s="326"/>
      <c r="G665" s="326"/>
      <c r="H665" s="326"/>
    </row>
    <row r="666">
      <c r="A666" s="231"/>
      <c r="B666" s="231"/>
      <c r="C666" s="231"/>
      <c r="E666" s="326"/>
      <c r="F666" s="326"/>
      <c r="G666" s="326"/>
      <c r="H666" s="326"/>
    </row>
    <row r="667">
      <c r="A667" s="231"/>
      <c r="B667" s="231"/>
      <c r="C667" s="231"/>
      <c r="E667" s="326"/>
      <c r="F667" s="326"/>
      <c r="G667" s="326"/>
      <c r="H667" s="326"/>
    </row>
    <row r="668">
      <c r="A668" s="231"/>
      <c r="B668" s="231"/>
      <c r="C668" s="231"/>
      <c r="E668" s="326"/>
      <c r="F668" s="326"/>
      <c r="G668" s="326"/>
      <c r="H668" s="326"/>
    </row>
    <row r="669">
      <c r="A669" s="231"/>
      <c r="B669" s="231"/>
      <c r="C669" s="231"/>
      <c r="E669" s="326"/>
      <c r="F669" s="326"/>
      <c r="G669" s="326"/>
      <c r="H669" s="326"/>
    </row>
    <row r="670">
      <c r="A670" s="231"/>
      <c r="B670" s="231"/>
      <c r="C670" s="231"/>
      <c r="E670" s="326"/>
      <c r="F670" s="326"/>
      <c r="G670" s="326"/>
      <c r="H670" s="326"/>
    </row>
    <row r="671">
      <c r="A671" s="231"/>
      <c r="B671" s="231"/>
      <c r="C671" s="231"/>
      <c r="E671" s="326"/>
      <c r="F671" s="326"/>
      <c r="G671" s="326"/>
      <c r="H671" s="326"/>
    </row>
    <row r="672">
      <c r="A672" s="231"/>
      <c r="B672" s="231"/>
      <c r="C672" s="231"/>
      <c r="E672" s="326"/>
      <c r="F672" s="326"/>
      <c r="G672" s="326"/>
      <c r="H672" s="326"/>
    </row>
    <row r="673">
      <c r="A673" s="231"/>
      <c r="B673" s="231"/>
      <c r="C673" s="231"/>
      <c r="E673" s="326"/>
      <c r="F673" s="326"/>
      <c r="G673" s="326"/>
      <c r="H673" s="326"/>
    </row>
    <row r="674">
      <c r="A674" s="231"/>
      <c r="B674" s="231"/>
      <c r="C674" s="231"/>
      <c r="E674" s="326"/>
      <c r="F674" s="326"/>
      <c r="G674" s="326"/>
      <c r="H674" s="326"/>
    </row>
    <row r="675">
      <c r="A675" s="231"/>
      <c r="B675" s="231"/>
      <c r="C675" s="231"/>
      <c r="E675" s="326"/>
      <c r="F675" s="326"/>
      <c r="G675" s="326"/>
      <c r="H675" s="326"/>
    </row>
    <row r="676">
      <c r="A676" s="231"/>
      <c r="B676" s="231"/>
      <c r="C676" s="231"/>
      <c r="E676" s="326"/>
      <c r="F676" s="326"/>
      <c r="G676" s="326"/>
      <c r="H676" s="326"/>
    </row>
    <row r="677">
      <c r="A677" s="231"/>
      <c r="B677" s="231"/>
      <c r="C677" s="231"/>
      <c r="E677" s="326"/>
      <c r="F677" s="326"/>
      <c r="G677" s="326"/>
      <c r="H677" s="326"/>
    </row>
    <row r="678">
      <c r="A678" s="231"/>
      <c r="B678" s="231"/>
      <c r="C678" s="231"/>
      <c r="E678" s="326"/>
      <c r="F678" s="326"/>
      <c r="G678" s="326"/>
      <c r="H678" s="326"/>
    </row>
    <row r="679">
      <c r="A679" s="231"/>
      <c r="B679" s="231"/>
      <c r="C679" s="231"/>
      <c r="E679" s="326"/>
      <c r="F679" s="326"/>
      <c r="G679" s="326"/>
      <c r="H679" s="326"/>
    </row>
    <row r="680">
      <c r="A680" s="231"/>
      <c r="B680" s="231"/>
      <c r="C680" s="231"/>
      <c r="E680" s="326"/>
      <c r="F680" s="326"/>
      <c r="G680" s="326"/>
      <c r="H680" s="326"/>
    </row>
    <row r="681">
      <c r="A681" s="231"/>
      <c r="B681" s="231"/>
      <c r="C681" s="231"/>
      <c r="E681" s="326"/>
      <c r="F681" s="326"/>
      <c r="G681" s="326"/>
      <c r="H681" s="326"/>
    </row>
    <row r="682">
      <c r="A682" s="231"/>
      <c r="B682" s="231"/>
      <c r="C682" s="231"/>
      <c r="E682" s="326"/>
      <c r="F682" s="326"/>
      <c r="G682" s="326"/>
      <c r="H682" s="326"/>
    </row>
    <row r="683">
      <c r="A683" s="231"/>
      <c r="B683" s="231"/>
      <c r="C683" s="231"/>
      <c r="E683" s="326"/>
      <c r="F683" s="326"/>
      <c r="G683" s="326"/>
      <c r="H683" s="326"/>
    </row>
    <row r="684">
      <c r="A684" s="231"/>
      <c r="B684" s="231"/>
      <c r="C684" s="231"/>
      <c r="E684" s="326"/>
      <c r="F684" s="326"/>
      <c r="G684" s="326"/>
      <c r="H684" s="326"/>
    </row>
    <row r="685">
      <c r="A685" s="231"/>
      <c r="B685" s="231"/>
      <c r="C685" s="231"/>
      <c r="E685" s="326"/>
      <c r="F685" s="326"/>
      <c r="G685" s="326"/>
      <c r="H685" s="326"/>
    </row>
    <row r="686">
      <c r="A686" s="231"/>
      <c r="B686" s="231"/>
      <c r="C686" s="231"/>
      <c r="E686" s="326"/>
      <c r="F686" s="326"/>
      <c r="G686" s="326"/>
      <c r="H686" s="326"/>
    </row>
    <row r="687">
      <c r="A687" s="231"/>
      <c r="B687" s="231"/>
      <c r="C687" s="231"/>
      <c r="E687" s="326"/>
      <c r="F687" s="326"/>
      <c r="G687" s="326"/>
      <c r="H687" s="326"/>
    </row>
    <row r="688">
      <c r="A688" s="231"/>
      <c r="B688" s="231"/>
      <c r="C688" s="231"/>
      <c r="E688" s="326"/>
      <c r="F688" s="326"/>
      <c r="G688" s="326"/>
      <c r="H688" s="326"/>
    </row>
    <row r="689">
      <c r="A689" s="231"/>
      <c r="B689" s="231"/>
      <c r="C689" s="231"/>
      <c r="E689" s="326"/>
      <c r="F689" s="326"/>
      <c r="G689" s="326"/>
      <c r="H689" s="326"/>
    </row>
    <row r="690">
      <c r="A690" s="231"/>
      <c r="B690" s="231"/>
      <c r="C690" s="231"/>
      <c r="E690" s="326"/>
      <c r="F690" s="326"/>
      <c r="G690" s="326"/>
      <c r="H690" s="326"/>
    </row>
    <row r="691">
      <c r="A691" s="231"/>
      <c r="B691" s="231"/>
      <c r="C691" s="231"/>
      <c r="E691" s="326"/>
      <c r="F691" s="326"/>
      <c r="G691" s="326"/>
      <c r="H691" s="326"/>
    </row>
    <row r="692">
      <c r="A692" s="231"/>
      <c r="B692" s="231"/>
      <c r="C692" s="231"/>
      <c r="E692" s="326"/>
      <c r="F692" s="326"/>
      <c r="G692" s="326"/>
      <c r="H692" s="326"/>
    </row>
    <row r="693">
      <c r="A693" s="231"/>
      <c r="B693" s="231"/>
      <c r="C693" s="231"/>
      <c r="E693" s="326"/>
      <c r="F693" s="326"/>
      <c r="G693" s="326"/>
      <c r="H693" s="326"/>
    </row>
    <row r="694">
      <c r="A694" s="231"/>
      <c r="B694" s="231"/>
      <c r="C694" s="231"/>
      <c r="E694" s="326"/>
      <c r="F694" s="326"/>
      <c r="G694" s="326"/>
      <c r="H694" s="326"/>
    </row>
    <row r="695">
      <c r="A695" s="231"/>
      <c r="B695" s="231"/>
      <c r="C695" s="231"/>
      <c r="E695" s="326"/>
      <c r="F695" s="326"/>
      <c r="G695" s="326"/>
      <c r="H695" s="326"/>
    </row>
    <row r="696">
      <c r="A696" s="231"/>
      <c r="B696" s="231"/>
      <c r="C696" s="231"/>
      <c r="E696" s="326"/>
      <c r="F696" s="326"/>
      <c r="G696" s="326"/>
      <c r="H696" s="326"/>
    </row>
    <row r="697">
      <c r="A697" s="231"/>
      <c r="B697" s="231"/>
      <c r="C697" s="231"/>
      <c r="E697" s="326"/>
      <c r="F697" s="326"/>
      <c r="G697" s="326"/>
      <c r="H697" s="326"/>
    </row>
    <row r="698">
      <c r="A698" s="231"/>
      <c r="B698" s="231"/>
      <c r="C698" s="231"/>
      <c r="E698" s="326"/>
      <c r="F698" s="326"/>
      <c r="G698" s="326"/>
      <c r="H698" s="326"/>
    </row>
    <row r="699">
      <c r="A699" s="231"/>
      <c r="B699" s="231"/>
      <c r="C699" s="231"/>
      <c r="E699" s="326"/>
      <c r="F699" s="326"/>
      <c r="G699" s="326"/>
      <c r="H699" s="326"/>
    </row>
    <row r="700">
      <c r="A700" s="231"/>
      <c r="B700" s="231"/>
      <c r="C700" s="231"/>
      <c r="E700" s="326"/>
      <c r="F700" s="326"/>
      <c r="G700" s="326"/>
      <c r="H700" s="326"/>
    </row>
    <row r="701">
      <c r="A701" s="231"/>
      <c r="B701" s="231"/>
      <c r="C701" s="231"/>
      <c r="E701" s="326"/>
      <c r="F701" s="326"/>
      <c r="G701" s="326"/>
      <c r="H701" s="326"/>
    </row>
    <row r="702">
      <c r="A702" s="231"/>
      <c r="B702" s="231"/>
      <c r="C702" s="231"/>
      <c r="E702" s="326"/>
      <c r="F702" s="326"/>
      <c r="G702" s="326"/>
      <c r="H702" s="326"/>
    </row>
    <row r="703">
      <c r="A703" s="231"/>
      <c r="B703" s="231"/>
      <c r="C703" s="231"/>
      <c r="E703" s="326"/>
      <c r="F703" s="326"/>
      <c r="G703" s="326"/>
      <c r="H703" s="326"/>
    </row>
    <row r="704">
      <c r="A704" s="231"/>
      <c r="B704" s="231"/>
      <c r="C704" s="231"/>
      <c r="E704" s="326"/>
      <c r="F704" s="326"/>
      <c r="G704" s="326"/>
      <c r="H704" s="326"/>
    </row>
    <row r="705">
      <c r="A705" s="231"/>
      <c r="B705" s="231"/>
      <c r="C705" s="231"/>
      <c r="E705" s="326"/>
      <c r="F705" s="326"/>
      <c r="G705" s="326"/>
      <c r="H705" s="326"/>
    </row>
    <row r="706">
      <c r="A706" s="231"/>
      <c r="B706" s="231"/>
      <c r="C706" s="231"/>
      <c r="E706" s="326"/>
      <c r="F706" s="326"/>
      <c r="G706" s="326"/>
      <c r="H706" s="326"/>
    </row>
    <row r="707">
      <c r="A707" s="231"/>
      <c r="B707" s="231"/>
      <c r="C707" s="231"/>
      <c r="E707" s="326"/>
      <c r="F707" s="326"/>
      <c r="G707" s="326"/>
      <c r="H707" s="326"/>
    </row>
    <row r="708">
      <c r="A708" s="231"/>
      <c r="B708" s="231"/>
      <c r="C708" s="231"/>
      <c r="E708" s="326"/>
      <c r="F708" s="326"/>
      <c r="G708" s="326"/>
      <c r="H708" s="326"/>
    </row>
    <row r="709">
      <c r="A709" s="231"/>
      <c r="B709" s="231"/>
      <c r="C709" s="231"/>
      <c r="E709" s="326"/>
      <c r="F709" s="326"/>
      <c r="G709" s="326"/>
      <c r="H709" s="326"/>
    </row>
    <row r="710">
      <c r="A710" s="231"/>
      <c r="B710" s="231"/>
      <c r="C710" s="231"/>
      <c r="E710" s="326"/>
      <c r="F710" s="326"/>
      <c r="G710" s="326"/>
      <c r="H710" s="326"/>
    </row>
    <row r="711">
      <c r="A711" s="231"/>
      <c r="B711" s="231"/>
      <c r="C711" s="231"/>
      <c r="E711" s="326"/>
      <c r="F711" s="326"/>
      <c r="G711" s="326"/>
      <c r="H711" s="326"/>
    </row>
    <row r="712">
      <c r="A712" s="231"/>
      <c r="B712" s="231"/>
      <c r="C712" s="231"/>
      <c r="E712" s="326"/>
      <c r="F712" s="326"/>
      <c r="G712" s="326"/>
      <c r="H712" s="326"/>
    </row>
    <row r="713">
      <c r="A713" s="231"/>
      <c r="B713" s="231"/>
      <c r="C713" s="231"/>
      <c r="E713" s="326"/>
      <c r="F713" s="326"/>
      <c r="G713" s="326"/>
      <c r="H713" s="326"/>
    </row>
    <row r="714">
      <c r="A714" s="231"/>
      <c r="B714" s="231"/>
      <c r="C714" s="231"/>
      <c r="E714" s="326"/>
      <c r="F714" s="326"/>
      <c r="G714" s="326"/>
      <c r="H714" s="326"/>
    </row>
    <row r="715">
      <c r="A715" s="231"/>
      <c r="B715" s="231"/>
      <c r="C715" s="231"/>
      <c r="E715" s="326"/>
      <c r="F715" s="326"/>
      <c r="G715" s="326"/>
      <c r="H715" s="326"/>
    </row>
    <row r="716">
      <c r="A716" s="231"/>
      <c r="B716" s="231"/>
      <c r="C716" s="231"/>
      <c r="E716" s="326"/>
      <c r="F716" s="326"/>
      <c r="G716" s="326"/>
      <c r="H716" s="326"/>
    </row>
    <row r="717">
      <c r="A717" s="231"/>
      <c r="B717" s="231"/>
      <c r="C717" s="231"/>
      <c r="E717" s="326"/>
      <c r="F717" s="326"/>
      <c r="G717" s="326"/>
      <c r="H717" s="326"/>
    </row>
    <row r="718">
      <c r="A718" s="231"/>
      <c r="B718" s="231"/>
      <c r="C718" s="231"/>
      <c r="E718" s="326"/>
      <c r="F718" s="326"/>
      <c r="G718" s="326"/>
      <c r="H718" s="326"/>
    </row>
    <row r="719">
      <c r="A719" s="231"/>
      <c r="B719" s="231"/>
      <c r="C719" s="231"/>
      <c r="E719" s="326"/>
      <c r="F719" s="326"/>
      <c r="G719" s="326"/>
      <c r="H719" s="326"/>
    </row>
    <row r="720">
      <c r="A720" s="231"/>
      <c r="B720" s="231"/>
      <c r="C720" s="231"/>
      <c r="E720" s="326"/>
      <c r="F720" s="326"/>
      <c r="G720" s="326"/>
      <c r="H720" s="326"/>
    </row>
    <row r="721">
      <c r="A721" s="231"/>
      <c r="B721" s="231"/>
      <c r="C721" s="231"/>
      <c r="E721" s="326"/>
      <c r="F721" s="326"/>
      <c r="G721" s="326"/>
      <c r="H721" s="326"/>
    </row>
    <row r="722">
      <c r="A722" s="231"/>
      <c r="B722" s="231"/>
      <c r="C722" s="231"/>
      <c r="E722" s="326"/>
      <c r="F722" s="326"/>
      <c r="G722" s="326"/>
      <c r="H722" s="326"/>
    </row>
    <row r="723">
      <c r="A723" s="231"/>
      <c r="B723" s="231"/>
      <c r="C723" s="231"/>
      <c r="E723" s="326"/>
      <c r="F723" s="326"/>
      <c r="G723" s="326"/>
      <c r="H723" s="326"/>
    </row>
    <row r="724">
      <c r="A724" s="231"/>
      <c r="B724" s="231"/>
      <c r="C724" s="231"/>
      <c r="E724" s="326"/>
      <c r="F724" s="326"/>
      <c r="G724" s="326"/>
      <c r="H724" s="326"/>
    </row>
    <row r="725">
      <c r="A725" s="231"/>
      <c r="B725" s="231"/>
      <c r="C725" s="231"/>
      <c r="E725" s="326"/>
      <c r="F725" s="326"/>
      <c r="G725" s="326"/>
      <c r="H725" s="326"/>
    </row>
    <row r="726">
      <c r="A726" s="231"/>
      <c r="B726" s="231"/>
      <c r="C726" s="231"/>
      <c r="E726" s="326"/>
      <c r="F726" s="326"/>
      <c r="G726" s="326"/>
      <c r="H726" s="326"/>
    </row>
    <row r="727">
      <c r="A727" s="231"/>
      <c r="B727" s="231"/>
      <c r="C727" s="231"/>
      <c r="E727" s="326"/>
      <c r="F727" s="326"/>
      <c r="G727" s="326"/>
      <c r="H727" s="326"/>
    </row>
    <row r="728">
      <c r="A728" s="231"/>
      <c r="B728" s="231"/>
      <c r="C728" s="231"/>
      <c r="E728" s="326"/>
      <c r="F728" s="326"/>
      <c r="G728" s="326"/>
      <c r="H728" s="326"/>
    </row>
    <row r="729">
      <c r="A729" s="231"/>
      <c r="B729" s="231"/>
      <c r="C729" s="231"/>
      <c r="E729" s="326"/>
      <c r="F729" s="326"/>
      <c r="G729" s="326"/>
      <c r="H729" s="326"/>
    </row>
    <row r="730">
      <c r="A730" s="231"/>
      <c r="B730" s="231"/>
      <c r="C730" s="231"/>
      <c r="E730" s="326"/>
      <c r="F730" s="326"/>
      <c r="G730" s="326"/>
      <c r="H730" s="326"/>
    </row>
    <row r="731">
      <c r="A731" s="231"/>
      <c r="B731" s="231"/>
      <c r="C731" s="231"/>
      <c r="E731" s="326"/>
      <c r="F731" s="326"/>
      <c r="G731" s="326"/>
      <c r="H731" s="326"/>
    </row>
    <row r="732">
      <c r="A732" s="231"/>
      <c r="B732" s="231"/>
      <c r="C732" s="231"/>
      <c r="E732" s="326"/>
      <c r="F732" s="326"/>
      <c r="G732" s="326"/>
      <c r="H732" s="326"/>
    </row>
    <row r="733">
      <c r="A733" s="231"/>
      <c r="B733" s="231"/>
      <c r="C733" s="231"/>
      <c r="E733" s="326"/>
      <c r="F733" s="326"/>
      <c r="G733" s="326"/>
      <c r="H733" s="326"/>
    </row>
    <row r="734">
      <c r="A734" s="231"/>
      <c r="B734" s="231"/>
      <c r="C734" s="231"/>
      <c r="E734" s="326"/>
      <c r="F734" s="326"/>
      <c r="G734" s="326"/>
      <c r="H734" s="326"/>
    </row>
    <row r="735">
      <c r="A735" s="231"/>
      <c r="B735" s="231"/>
      <c r="C735" s="231"/>
      <c r="E735" s="326"/>
      <c r="F735" s="326"/>
      <c r="G735" s="326"/>
      <c r="H735" s="326"/>
    </row>
    <row r="736">
      <c r="A736" s="231"/>
      <c r="B736" s="231"/>
      <c r="C736" s="231"/>
      <c r="E736" s="326"/>
      <c r="F736" s="326"/>
      <c r="G736" s="326"/>
      <c r="H736" s="326"/>
    </row>
    <row r="737">
      <c r="A737" s="231"/>
      <c r="B737" s="231"/>
      <c r="C737" s="231"/>
      <c r="E737" s="326"/>
      <c r="F737" s="326"/>
      <c r="G737" s="326"/>
      <c r="H737" s="326"/>
    </row>
    <row r="738">
      <c r="A738" s="231"/>
      <c r="B738" s="231"/>
      <c r="C738" s="231"/>
      <c r="E738" s="326"/>
      <c r="F738" s="326"/>
      <c r="G738" s="326"/>
      <c r="H738" s="326"/>
    </row>
    <row r="739">
      <c r="A739" s="231"/>
      <c r="B739" s="231"/>
      <c r="C739" s="231"/>
      <c r="E739" s="326"/>
      <c r="F739" s="326"/>
      <c r="G739" s="326"/>
      <c r="H739" s="326"/>
    </row>
    <row r="740">
      <c r="A740" s="231"/>
      <c r="B740" s="231"/>
      <c r="C740" s="231"/>
      <c r="E740" s="326"/>
      <c r="F740" s="326"/>
      <c r="G740" s="326"/>
      <c r="H740" s="326"/>
    </row>
    <row r="741">
      <c r="A741" s="231"/>
      <c r="B741" s="231"/>
      <c r="C741" s="231"/>
      <c r="E741" s="326"/>
      <c r="F741" s="326"/>
      <c r="G741" s="326"/>
      <c r="H741" s="326"/>
    </row>
    <row r="742">
      <c r="A742" s="231"/>
      <c r="B742" s="231"/>
      <c r="C742" s="231"/>
      <c r="E742" s="326"/>
      <c r="F742" s="326"/>
      <c r="G742" s="326"/>
      <c r="H742" s="326"/>
    </row>
    <row r="743">
      <c r="A743" s="231"/>
      <c r="B743" s="231"/>
      <c r="C743" s="231"/>
      <c r="E743" s="326"/>
      <c r="F743" s="326"/>
      <c r="G743" s="326"/>
      <c r="H743" s="326"/>
    </row>
    <row r="744">
      <c r="A744" s="231"/>
      <c r="B744" s="231"/>
      <c r="C744" s="231"/>
      <c r="E744" s="326"/>
      <c r="F744" s="326"/>
      <c r="G744" s="326"/>
      <c r="H744" s="326"/>
    </row>
    <row r="745">
      <c r="A745" s="231"/>
      <c r="B745" s="231"/>
      <c r="C745" s="231"/>
      <c r="E745" s="326"/>
      <c r="F745" s="326"/>
      <c r="G745" s="326"/>
      <c r="H745" s="326"/>
    </row>
    <row r="746">
      <c r="A746" s="231"/>
      <c r="B746" s="231"/>
      <c r="C746" s="231"/>
      <c r="E746" s="326"/>
      <c r="F746" s="326"/>
      <c r="G746" s="326"/>
      <c r="H746" s="326"/>
    </row>
    <row r="747">
      <c r="A747" s="231"/>
      <c r="B747" s="231"/>
      <c r="C747" s="231"/>
      <c r="E747" s="326"/>
      <c r="F747" s="326"/>
      <c r="G747" s="326"/>
      <c r="H747" s="326"/>
    </row>
    <row r="748">
      <c r="A748" s="231"/>
      <c r="B748" s="231"/>
      <c r="C748" s="231"/>
      <c r="E748" s="326"/>
      <c r="F748" s="326"/>
      <c r="G748" s="326"/>
      <c r="H748" s="326"/>
    </row>
    <row r="749">
      <c r="A749" s="231"/>
      <c r="B749" s="231"/>
      <c r="C749" s="231"/>
      <c r="E749" s="326"/>
      <c r="F749" s="326"/>
      <c r="G749" s="326"/>
      <c r="H749" s="326"/>
    </row>
    <row r="750">
      <c r="A750" s="231"/>
      <c r="B750" s="231"/>
      <c r="C750" s="231"/>
      <c r="E750" s="326"/>
      <c r="F750" s="326"/>
      <c r="G750" s="326"/>
      <c r="H750" s="326"/>
    </row>
    <row r="751">
      <c r="A751" s="231"/>
      <c r="B751" s="231"/>
      <c r="C751" s="231"/>
      <c r="E751" s="326"/>
      <c r="F751" s="326"/>
      <c r="G751" s="326"/>
      <c r="H751" s="326"/>
    </row>
    <row r="752">
      <c r="A752" s="231"/>
      <c r="B752" s="231"/>
      <c r="C752" s="231"/>
      <c r="E752" s="326"/>
      <c r="F752" s="326"/>
      <c r="G752" s="326"/>
      <c r="H752" s="326"/>
    </row>
    <row r="753">
      <c r="A753" s="231"/>
      <c r="B753" s="231"/>
      <c r="C753" s="231"/>
      <c r="E753" s="326"/>
      <c r="F753" s="326"/>
      <c r="G753" s="326"/>
      <c r="H753" s="326"/>
    </row>
    <row r="754">
      <c r="A754" s="231"/>
      <c r="B754" s="231"/>
      <c r="C754" s="231"/>
      <c r="E754" s="326"/>
      <c r="F754" s="326"/>
      <c r="G754" s="326"/>
      <c r="H754" s="326"/>
    </row>
    <row r="755">
      <c r="A755" s="231"/>
      <c r="B755" s="231"/>
      <c r="C755" s="231"/>
      <c r="E755" s="326"/>
      <c r="F755" s="326"/>
      <c r="G755" s="326"/>
      <c r="H755" s="326"/>
    </row>
    <row r="756">
      <c r="A756" s="231"/>
      <c r="B756" s="231"/>
      <c r="C756" s="231"/>
      <c r="E756" s="326"/>
      <c r="F756" s="326"/>
      <c r="G756" s="326"/>
      <c r="H756" s="326"/>
    </row>
    <row r="757">
      <c r="A757" s="231"/>
      <c r="B757" s="231"/>
      <c r="C757" s="231"/>
      <c r="E757" s="326"/>
      <c r="F757" s="326"/>
      <c r="G757" s="326"/>
      <c r="H757" s="326"/>
    </row>
    <row r="758">
      <c r="A758" s="231"/>
      <c r="B758" s="231"/>
      <c r="C758" s="231"/>
      <c r="E758" s="326"/>
      <c r="F758" s="326"/>
      <c r="G758" s="326"/>
      <c r="H758" s="326"/>
    </row>
    <row r="759">
      <c r="A759" s="231"/>
      <c r="B759" s="231"/>
      <c r="C759" s="231"/>
      <c r="E759" s="326"/>
      <c r="F759" s="326"/>
      <c r="G759" s="326"/>
      <c r="H759" s="326"/>
    </row>
    <row r="760">
      <c r="A760" s="231"/>
      <c r="B760" s="231"/>
      <c r="C760" s="231"/>
      <c r="E760" s="326"/>
      <c r="F760" s="326"/>
      <c r="G760" s="326"/>
      <c r="H760" s="326"/>
    </row>
    <row r="761">
      <c r="A761" s="231"/>
      <c r="B761" s="231"/>
      <c r="C761" s="231"/>
      <c r="E761" s="326"/>
      <c r="F761" s="326"/>
      <c r="G761" s="326"/>
      <c r="H761" s="326"/>
    </row>
    <row r="762">
      <c r="A762" s="231"/>
      <c r="B762" s="231"/>
      <c r="C762" s="231"/>
      <c r="E762" s="326"/>
      <c r="F762" s="326"/>
      <c r="G762" s="326"/>
      <c r="H762" s="326"/>
    </row>
    <row r="763">
      <c r="A763" s="231"/>
      <c r="B763" s="231"/>
      <c r="C763" s="231"/>
      <c r="E763" s="326"/>
      <c r="F763" s="326"/>
      <c r="G763" s="326"/>
      <c r="H763" s="326"/>
    </row>
    <row r="764">
      <c r="A764" s="231"/>
      <c r="B764" s="231"/>
      <c r="C764" s="231"/>
      <c r="E764" s="326"/>
      <c r="F764" s="326"/>
      <c r="G764" s="326"/>
      <c r="H764" s="326"/>
    </row>
    <row r="765">
      <c r="A765" s="231"/>
      <c r="B765" s="231"/>
      <c r="C765" s="231"/>
      <c r="E765" s="326"/>
      <c r="F765" s="326"/>
      <c r="G765" s="326"/>
      <c r="H765" s="326"/>
    </row>
    <row r="766">
      <c r="A766" s="231"/>
      <c r="B766" s="231"/>
      <c r="C766" s="231"/>
      <c r="E766" s="326"/>
      <c r="F766" s="326"/>
      <c r="G766" s="326"/>
      <c r="H766" s="326"/>
    </row>
    <row r="767">
      <c r="A767" s="231"/>
      <c r="B767" s="231"/>
      <c r="C767" s="231"/>
      <c r="E767" s="326"/>
      <c r="F767" s="326"/>
      <c r="G767" s="326"/>
      <c r="H767" s="326"/>
    </row>
    <row r="768">
      <c r="A768" s="231"/>
      <c r="B768" s="231"/>
      <c r="C768" s="231"/>
      <c r="E768" s="326"/>
      <c r="F768" s="326"/>
      <c r="G768" s="326"/>
      <c r="H768" s="326"/>
    </row>
    <row r="769">
      <c r="A769" s="231"/>
      <c r="B769" s="231"/>
      <c r="C769" s="231"/>
      <c r="E769" s="326"/>
      <c r="F769" s="326"/>
      <c r="G769" s="326"/>
      <c r="H769" s="326"/>
    </row>
    <row r="770">
      <c r="A770" s="231"/>
      <c r="B770" s="231"/>
      <c r="C770" s="231"/>
      <c r="E770" s="326"/>
      <c r="F770" s="326"/>
      <c r="G770" s="326"/>
      <c r="H770" s="326"/>
    </row>
    <row r="771">
      <c r="A771" s="231"/>
      <c r="B771" s="231"/>
      <c r="C771" s="231"/>
      <c r="E771" s="326"/>
      <c r="F771" s="326"/>
      <c r="G771" s="326"/>
      <c r="H771" s="326"/>
    </row>
    <row r="772">
      <c r="A772" s="231"/>
      <c r="B772" s="231"/>
      <c r="C772" s="231"/>
      <c r="E772" s="326"/>
      <c r="F772" s="326"/>
      <c r="G772" s="326"/>
      <c r="H772" s="326"/>
    </row>
    <row r="773">
      <c r="A773" s="231"/>
      <c r="B773" s="231"/>
      <c r="C773" s="231"/>
      <c r="E773" s="326"/>
      <c r="F773" s="326"/>
      <c r="G773" s="326"/>
      <c r="H773" s="326"/>
    </row>
    <row r="774">
      <c r="A774" s="231"/>
      <c r="B774" s="231"/>
      <c r="C774" s="231"/>
      <c r="E774" s="326"/>
      <c r="F774" s="326"/>
      <c r="G774" s="326"/>
      <c r="H774" s="326"/>
    </row>
    <row r="775">
      <c r="A775" s="231"/>
      <c r="B775" s="231"/>
      <c r="C775" s="231"/>
      <c r="E775" s="326"/>
      <c r="F775" s="326"/>
      <c r="G775" s="326"/>
      <c r="H775" s="326"/>
    </row>
    <row r="776">
      <c r="A776" s="231"/>
      <c r="B776" s="231"/>
      <c r="C776" s="231"/>
      <c r="E776" s="326"/>
      <c r="F776" s="326"/>
      <c r="G776" s="326"/>
      <c r="H776" s="326"/>
    </row>
    <row r="777">
      <c r="A777" s="231"/>
      <c r="B777" s="231"/>
      <c r="C777" s="231"/>
      <c r="E777" s="326"/>
      <c r="F777" s="326"/>
      <c r="G777" s="326"/>
      <c r="H777" s="326"/>
    </row>
    <row r="778">
      <c r="A778" s="231"/>
      <c r="B778" s="231"/>
      <c r="C778" s="231"/>
      <c r="E778" s="326"/>
      <c r="F778" s="326"/>
      <c r="G778" s="326"/>
      <c r="H778" s="326"/>
    </row>
    <row r="779">
      <c r="A779" s="231"/>
      <c r="B779" s="231"/>
      <c r="C779" s="231"/>
      <c r="E779" s="326"/>
      <c r="F779" s="326"/>
      <c r="G779" s="326"/>
      <c r="H779" s="326"/>
    </row>
    <row r="780">
      <c r="A780" s="231"/>
      <c r="B780" s="231"/>
      <c r="C780" s="231"/>
      <c r="E780" s="326"/>
      <c r="F780" s="326"/>
      <c r="G780" s="326"/>
      <c r="H780" s="326"/>
    </row>
    <row r="781">
      <c r="A781" s="231"/>
      <c r="B781" s="231"/>
      <c r="C781" s="231"/>
      <c r="E781" s="326"/>
      <c r="F781" s="326"/>
      <c r="G781" s="326"/>
      <c r="H781" s="326"/>
    </row>
    <row r="782">
      <c r="A782" s="231"/>
      <c r="B782" s="231"/>
      <c r="C782" s="231"/>
      <c r="E782" s="326"/>
      <c r="F782" s="326"/>
      <c r="G782" s="326"/>
      <c r="H782" s="326"/>
    </row>
    <row r="783">
      <c r="A783" s="231"/>
      <c r="B783" s="231"/>
      <c r="C783" s="231"/>
      <c r="E783" s="326"/>
      <c r="F783" s="326"/>
      <c r="G783" s="326"/>
      <c r="H783" s="326"/>
    </row>
    <row r="784">
      <c r="A784" s="231"/>
      <c r="B784" s="231"/>
      <c r="C784" s="231"/>
      <c r="E784" s="326"/>
      <c r="F784" s="326"/>
      <c r="G784" s="326"/>
      <c r="H784" s="326"/>
    </row>
    <row r="785">
      <c r="A785" s="231"/>
      <c r="B785" s="231"/>
      <c r="C785" s="231"/>
      <c r="E785" s="326"/>
      <c r="F785" s="326"/>
      <c r="G785" s="326"/>
      <c r="H785" s="326"/>
    </row>
    <row r="786">
      <c r="A786" s="231"/>
      <c r="B786" s="231"/>
      <c r="C786" s="231"/>
      <c r="E786" s="326"/>
      <c r="F786" s="326"/>
      <c r="G786" s="326"/>
      <c r="H786" s="326"/>
    </row>
    <row r="787">
      <c r="A787" s="231"/>
      <c r="B787" s="231"/>
      <c r="C787" s="231"/>
      <c r="E787" s="326"/>
      <c r="F787" s="326"/>
      <c r="G787" s="326"/>
      <c r="H787" s="326"/>
    </row>
    <row r="788">
      <c r="A788" s="231"/>
      <c r="B788" s="231"/>
      <c r="C788" s="231"/>
      <c r="E788" s="326"/>
      <c r="F788" s="326"/>
      <c r="G788" s="326"/>
      <c r="H788" s="326"/>
    </row>
    <row r="789">
      <c r="A789" s="231"/>
      <c r="B789" s="231"/>
      <c r="C789" s="231"/>
      <c r="E789" s="326"/>
      <c r="F789" s="326"/>
      <c r="G789" s="326"/>
      <c r="H789" s="326"/>
    </row>
    <row r="790">
      <c r="A790" s="231"/>
      <c r="B790" s="231"/>
      <c r="C790" s="231"/>
      <c r="E790" s="326"/>
      <c r="F790" s="326"/>
      <c r="G790" s="326"/>
      <c r="H790" s="326"/>
    </row>
    <row r="791">
      <c r="A791" s="231"/>
      <c r="B791" s="231"/>
      <c r="C791" s="231"/>
      <c r="E791" s="326"/>
      <c r="F791" s="326"/>
      <c r="G791" s="326"/>
      <c r="H791" s="326"/>
    </row>
    <row r="792">
      <c r="A792" s="231"/>
      <c r="B792" s="231"/>
      <c r="C792" s="231"/>
      <c r="E792" s="326"/>
      <c r="F792" s="326"/>
      <c r="G792" s="326"/>
      <c r="H792" s="326"/>
    </row>
    <row r="793">
      <c r="A793" s="231"/>
      <c r="B793" s="231"/>
      <c r="C793" s="231"/>
      <c r="E793" s="326"/>
      <c r="F793" s="326"/>
      <c r="G793" s="326"/>
      <c r="H793" s="326"/>
    </row>
    <row r="794">
      <c r="A794" s="231"/>
      <c r="B794" s="231"/>
      <c r="C794" s="231"/>
      <c r="E794" s="326"/>
      <c r="F794" s="326"/>
      <c r="G794" s="326"/>
      <c r="H794" s="326"/>
    </row>
    <row r="795">
      <c r="A795" s="231"/>
      <c r="B795" s="231"/>
      <c r="C795" s="231"/>
      <c r="E795" s="326"/>
      <c r="F795" s="326"/>
      <c r="G795" s="326"/>
      <c r="H795" s="326"/>
    </row>
    <row r="796">
      <c r="A796" s="231"/>
      <c r="B796" s="231"/>
      <c r="C796" s="231"/>
      <c r="E796" s="326"/>
      <c r="F796" s="326"/>
      <c r="G796" s="326"/>
      <c r="H796" s="326"/>
    </row>
    <row r="797">
      <c r="A797" s="231"/>
      <c r="B797" s="231"/>
      <c r="C797" s="231"/>
      <c r="E797" s="326"/>
      <c r="F797" s="326"/>
      <c r="G797" s="326"/>
      <c r="H797" s="326"/>
    </row>
    <row r="798">
      <c r="A798" s="231"/>
      <c r="B798" s="231"/>
      <c r="C798" s="231"/>
      <c r="E798" s="326"/>
      <c r="F798" s="326"/>
      <c r="G798" s="326"/>
      <c r="H798" s="326"/>
    </row>
    <row r="799">
      <c r="A799" s="231"/>
      <c r="B799" s="231"/>
      <c r="C799" s="231"/>
      <c r="E799" s="326"/>
      <c r="F799" s="326"/>
      <c r="G799" s="326"/>
      <c r="H799" s="326"/>
    </row>
    <row r="800">
      <c r="A800" s="231"/>
      <c r="B800" s="231"/>
      <c r="C800" s="231"/>
      <c r="E800" s="326"/>
      <c r="F800" s="326"/>
      <c r="G800" s="326"/>
      <c r="H800" s="326"/>
    </row>
    <row r="801">
      <c r="A801" s="231"/>
      <c r="B801" s="231"/>
      <c r="C801" s="231"/>
      <c r="E801" s="326"/>
      <c r="F801" s="326"/>
      <c r="G801" s="326"/>
      <c r="H801" s="326"/>
    </row>
    <row r="802">
      <c r="A802" s="231"/>
      <c r="B802" s="231"/>
      <c r="C802" s="231"/>
      <c r="E802" s="326"/>
      <c r="F802" s="326"/>
      <c r="G802" s="326"/>
      <c r="H802" s="326"/>
    </row>
    <row r="803">
      <c r="A803" s="231"/>
      <c r="B803" s="231"/>
      <c r="C803" s="231"/>
      <c r="E803" s="326"/>
      <c r="F803" s="326"/>
      <c r="G803" s="326"/>
      <c r="H803" s="326"/>
    </row>
    <row r="804">
      <c r="A804" s="231"/>
      <c r="B804" s="231"/>
      <c r="C804" s="231"/>
      <c r="E804" s="326"/>
      <c r="F804" s="326"/>
      <c r="G804" s="326"/>
      <c r="H804" s="326"/>
    </row>
    <row r="805">
      <c r="A805" s="231"/>
      <c r="B805" s="231"/>
      <c r="C805" s="231"/>
      <c r="E805" s="326"/>
      <c r="F805" s="326"/>
      <c r="G805" s="326"/>
      <c r="H805" s="326"/>
    </row>
    <row r="806">
      <c r="A806" s="231"/>
      <c r="B806" s="231"/>
      <c r="C806" s="231"/>
      <c r="E806" s="326"/>
      <c r="F806" s="326"/>
      <c r="G806" s="326"/>
      <c r="H806" s="326"/>
    </row>
    <row r="807">
      <c r="A807" s="231"/>
      <c r="B807" s="231"/>
      <c r="C807" s="231"/>
      <c r="E807" s="326"/>
      <c r="F807" s="326"/>
      <c r="G807" s="326"/>
      <c r="H807" s="326"/>
    </row>
    <row r="808">
      <c r="A808" s="231"/>
      <c r="B808" s="231"/>
      <c r="C808" s="231"/>
      <c r="E808" s="326"/>
      <c r="F808" s="326"/>
      <c r="G808" s="326"/>
      <c r="H808" s="326"/>
    </row>
    <row r="809">
      <c r="A809" s="231"/>
      <c r="B809" s="231"/>
      <c r="C809" s="231"/>
      <c r="E809" s="326"/>
      <c r="F809" s="326"/>
      <c r="G809" s="326"/>
      <c r="H809" s="326"/>
    </row>
    <row r="810">
      <c r="A810" s="231"/>
      <c r="B810" s="231"/>
      <c r="C810" s="231"/>
      <c r="E810" s="326"/>
      <c r="F810" s="326"/>
      <c r="G810" s="326"/>
      <c r="H810" s="326"/>
    </row>
    <row r="811">
      <c r="A811" s="231"/>
      <c r="B811" s="231"/>
      <c r="C811" s="231"/>
      <c r="E811" s="326"/>
      <c r="F811" s="326"/>
      <c r="G811" s="326"/>
      <c r="H811" s="326"/>
    </row>
    <row r="812">
      <c r="A812" s="231"/>
      <c r="B812" s="231"/>
      <c r="C812" s="231"/>
      <c r="E812" s="326"/>
      <c r="F812" s="326"/>
      <c r="G812" s="326"/>
      <c r="H812" s="326"/>
    </row>
    <row r="813">
      <c r="A813" s="231"/>
      <c r="B813" s="231"/>
      <c r="C813" s="231"/>
      <c r="E813" s="326"/>
      <c r="F813" s="326"/>
      <c r="G813" s="326"/>
      <c r="H813" s="326"/>
    </row>
    <row r="814">
      <c r="A814" s="231"/>
      <c r="B814" s="231"/>
      <c r="C814" s="231"/>
      <c r="E814" s="326"/>
      <c r="F814" s="326"/>
      <c r="G814" s="326"/>
      <c r="H814" s="326"/>
    </row>
    <row r="815">
      <c r="A815" s="231"/>
      <c r="B815" s="231"/>
      <c r="C815" s="231"/>
      <c r="E815" s="326"/>
      <c r="F815" s="326"/>
      <c r="G815" s="326"/>
      <c r="H815" s="326"/>
    </row>
    <row r="816">
      <c r="A816" s="231"/>
      <c r="B816" s="231"/>
      <c r="C816" s="231"/>
      <c r="E816" s="326"/>
      <c r="F816" s="326"/>
      <c r="G816" s="326"/>
      <c r="H816" s="326"/>
    </row>
    <row r="817">
      <c r="A817" s="231"/>
      <c r="B817" s="231"/>
      <c r="C817" s="231"/>
      <c r="E817" s="326"/>
      <c r="F817" s="326"/>
      <c r="G817" s="326"/>
      <c r="H817" s="326"/>
    </row>
    <row r="818">
      <c r="A818" s="231"/>
      <c r="B818" s="231"/>
      <c r="C818" s="231"/>
      <c r="E818" s="326"/>
      <c r="F818" s="326"/>
      <c r="G818" s="326"/>
      <c r="H818" s="326"/>
    </row>
    <row r="819">
      <c r="A819" s="231"/>
      <c r="B819" s="231"/>
      <c r="C819" s="231"/>
      <c r="E819" s="326"/>
      <c r="F819" s="326"/>
      <c r="G819" s="326"/>
      <c r="H819" s="326"/>
    </row>
    <row r="820">
      <c r="A820" s="231"/>
      <c r="B820" s="231"/>
      <c r="C820" s="231"/>
      <c r="E820" s="326"/>
      <c r="F820" s="326"/>
      <c r="G820" s="326"/>
      <c r="H820" s="326"/>
    </row>
    <row r="821">
      <c r="A821" s="231"/>
      <c r="B821" s="231"/>
      <c r="C821" s="231"/>
      <c r="E821" s="326"/>
      <c r="F821" s="326"/>
      <c r="G821" s="326"/>
      <c r="H821" s="326"/>
    </row>
    <row r="822">
      <c r="A822" s="231"/>
      <c r="B822" s="231"/>
      <c r="C822" s="231"/>
      <c r="E822" s="326"/>
      <c r="F822" s="326"/>
      <c r="G822" s="326"/>
      <c r="H822" s="326"/>
    </row>
    <row r="823">
      <c r="A823" s="231"/>
      <c r="B823" s="231"/>
      <c r="C823" s="231"/>
      <c r="E823" s="326"/>
      <c r="F823" s="326"/>
      <c r="G823" s="326"/>
      <c r="H823" s="326"/>
    </row>
    <row r="824">
      <c r="A824" s="231"/>
      <c r="B824" s="231"/>
      <c r="C824" s="231"/>
      <c r="E824" s="326"/>
      <c r="F824" s="326"/>
      <c r="G824" s="326"/>
      <c r="H824" s="326"/>
    </row>
    <row r="825">
      <c r="A825" s="231"/>
      <c r="B825" s="231"/>
      <c r="C825" s="231"/>
      <c r="E825" s="326"/>
      <c r="F825" s="326"/>
      <c r="G825" s="326"/>
      <c r="H825" s="326"/>
    </row>
    <row r="826">
      <c r="A826" s="231"/>
      <c r="B826" s="231"/>
      <c r="C826" s="231"/>
      <c r="E826" s="326"/>
      <c r="F826" s="326"/>
      <c r="G826" s="326"/>
      <c r="H826" s="326"/>
    </row>
    <row r="827">
      <c r="A827" s="231"/>
      <c r="B827" s="231"/>
      <c r="C827" s="231"/>
      <c r="E827" s="326"/>
      <c r="F827" s="326"/>
      <c r="G827" s="326"/>
      <c r="H827" s="326"/>
    </row>
    <row r="828">
      <c r="A828" s="231"/>
      <c r="B828" s="231"/>
      <c r="C828" s="231"/>
      <c r="E828" s="326"/>
      <c r="F828" s="326"/>
      <c r="G828" s="326"/>
      <c r="H828" s="326"/>
    </row>
    <row r="829">
      <c r="A829" s="231"/>
      <c r="B829" s="231"/>
      <c r="C829" s="231"/>
      <c r="E829" s="326"/>
      <c r="F829" s="326"/>
      <c r="G829" s="326"/>
      <c r="H829" s="326"/>
    </row>
    <row r="830">
      <c r="A830" s="231"/>
      <c r="B830" s="231"/>
      <c r="C830" s="231"/>
      <c r="E830" s="326"/>
      <c r="F830" s="326"/>
      <c r="G830" s="326"/>
      <c r="H830" s="326"/>
    </row>
    <row r="831">
      <c r="A831" s="231"/>
      <c r="B831" s="231"/>
      <c r="C831" s="231"/>
      <c r="E831" s="326"/>
      <c r="F831" s="326"/>
      <c r="G831" s="326"/>
      <c r="H831" s="326"/>
    </row>
    <row r="832">
      <c r="A832" s="231"/>
      <c r="B832" s="231"/>
      <c r="C832" s="231"/>
      <c r="E832" s="326"/>
      <c r="F832" s="326"/>
      <c r="G832" s="326"/>
      <c r="H832" s="326"/>
    </row>
    <row r="833">
      <c r="A833" s="231"/>
      <c r="B833" s="231"/>
      <c r="C833" s="231"/>
      <c r="E833" s="326"/>
      <c r="F833" s="326"/>
      <c r="G833" s="326"/>
      <c r="H833" s="326"/>
    </row>
    <row r="834">
      <c r="A834" s="231"/>
      <c r="B834" s="231"/>
      <c r="C834" s="231"/>
      <c r="E834" s="326"/>
      <c r="F834" s="326"/>
      <c r="G834" s="326"/>
      <c r="H834" s="326"/>
    </row>
    <row r="835">
      <c r="A835" s="231"/>
      <c r="B835" s="231"/>
      <c r="C835" s="231"/>
      <c r="E835" s="326"/>
      <c r="F835" s="326"/>
      <c r="G835" s="326"/>
      <c r="H835" s="326"/>
    </row>
    <row r="836">
      <c r="A836" s="231"/>
      <c r="B836" s="231"/>
      <c r="C836" s="231"/>
      <c r="E836" s="326"/>
      <c r="F836" s="326"/>
      <c r="G836" s="326"/>
      <c r="H836" s="326"/>
    </row>
    <row r="837">
      <c r="A837" s="231"/>
      <c r="B837" s="231"/>
      <c r="C837" s="231"/>
      <c r="E837" s="326"/>
      <c r="F837" s="326"/>
      <c r="G837" s="326"/>
      <c r="H837" s="326"/>
    </row>
    <row r="838">
      <c r="A838" s="231"/>
      <c r="B838" s="231"/>
      <c r="C838" s="231"/>
      <c r="E838" s="326"/>
      <c r="F838" s="326"/>
      <c r="G838" s="326"/>
      <c r="H838" s="326"/>
    </row>
    <row r="839">
      <c r="A839" s="231"/>
      <c r="B839" s="231"/>
      <c r="C839" s="231"/>
      <c r="E839" s="326"/>
      <c r="F839" s="326"/>
      <c r="G839" s="326"/>
      <c r="H839" s="326"/>
    </row>
    <row r="840">
      <c r="A840" s="231"/>
      <c r="B840" s="231"/>
      <c r="C840" s="231"/>
      <c r="E840" s="326"/>
      <c r="F840" s="326"/>
      <c r="G840" s="326"/>
      <c r="H840" s="326"/>
    </row>
    <row r="841">
      <c r="A841" s="231"/>
      <c r="B841" s="231"/>
      <c r="C841" s="231"/>
      <c r="E841" s="326"/>
      <c r="F841" s="326"/>
      <c r="G841" s="326"/>
      <c r="H841" s="326"/>
    </row>
    <row r="842">
      <c r="A842" s="231"/>
      <c r="B842" s="231"/>
      <c r="C842" s="231"/>
      <c r="E842" s="326"/>
      <c r="F842" s="326"/>
      <c r="G842" s="326"/>
      <c r="H842" s="326"/>
    </row>
    <row r="843">
      <c r="A843" s="231"/>
      <c r="B843" s="231"/>
      <c r="C843" s="231"/>
      <c r="E843" s="326"/>
      <c r="F843" s="326"/>
      <c r="G843" s="326"/>
      <c r="H843" s="326"/>
    </row>
    <row r="844">
      <c r="A844" s="231"/>
      <c r="B844" s="231"/>
      <c r="C844" s="231"/>
      <c r="E844" s="326"/>
      <c r="F844" s="326"/>
      <c r="G844" s="326"/>
      <c r="H844" s="326"/>
    </row>
    <row r="845">
      <c r="A845" s="231"/>
      <c r="B845" s="231"/>
      <c r="C845" s="231"/>
      <c r="E845" s="326"/>
      <c r="F845" s="326"/>
      <c r="G845" s="326"/>
      <c r="H845" s="326"/>
    </row>
    <row r="846">
      <c r="A846" s="231"/>
      <c r="B846" s="231"/>
      <c r="C846" s="231"/>
      <c r="E846" s="326"/>
      <c r="F846" s="326"/>
      <c r="G846" s="326"/>
      <c r="H846" s="326"/>
    </row>
    <row r="847">
      <c r="A847" s="231"/>
      <c r="B847" s="231"/>
      <c r="C847" s="231"/>
      <c r="E847" s="326"/>
      <c r="F847" s="326"/>
      <c r="G847" s="326"/>
      <c r="H847" s="326"/>
    </row>
    <row r="848">
      <c r="A848" s="231"/>
      <c r="B848" s="231"/>
      <c r="C848" s="231"/>
      <c r="E848" s="326"/>
      <c r="F848" s="326"/>
      <c r="G848" s="326"/>
      <c r="H848" s="326"/>
    </row>
    <row r="849">
      <c r="A849" s="231"/>
      <c r="B849" s="231"/>
      <c r="C849" s="231"/>
      <c r="E849" s="326"/>
      <c r="F849" s="326"/>
      <c r="G849" s="326"/>
      <c r="H849" s="326"/>
    </row>
    <row r="850">
      <c r="A850" s="231"/>
      <c r="B850" s="231"/>
      <c r="C850" s="231"/>
      <c r="E850" s="326"/>
      <c r="F850" s="326"/>
      <c r="G850" s="326"/>
      <c r="H850" s="326"/>
    </row>
    <row r="851">
      <c r="A851" s="231"/>
      <c r="B851" s="231"/>
      <c r="C851" s="231"/>
      <c r="E851" s="326"/>
      <c r="F851" s="326"/>
      <c r="G851" s="326"/>
      <c r="H851" s="326"/>
    </row>
    <row r="852">
      <c r="A852" s="231"/>
      <c r="B852" s="231"/>
      <c r="C852" s="231"/>
      <c r="E852" s="326"/>
      <c r="F852" s="326"/>
      <c r="G852" s="326"/>
      <c r="H852" s="326"/>
    </row>
    <row r="853">
      <c r="A853" s="231"/>
      <c r="B853" s="231"/>
      <c r="C853" s="231"/>
      <c r="E853" s="326"/>
      <c r="F853" s="326"/>
      <c r="G853" s="326"/>
      <c r="H853" s="326"/>
    </row>
    <row r="854">
      <c r="A854" s="231"/>
      <c r="B854" s="231"/>
      <c r="C854" s="231"/>
      <c r="E854" s="326"/>
      <c r="F854" s="326"/>
      <c r="G854" s="326"/>
      <c r="H854" s="326"/>
    </row>
    <row r="855">
      <c r="A855" s="231"/>
      <c r="B855" s="231"/>
      <c r="C855" s="231"/>
      <c r="E855" s="326"/>
      <c r="F855" s="326"/>
      <c r="G855" s="326"/>
      <c r="H855" s="326"/>
    </row>
    <row r="856">
      <c r="A856" s="231"/>
      <c r="B856" s="231"/>
      <c r="C856" s="231"/>
      <c r="E856" s="326"/>
      <c r="F856" s="326"/>
      <c r="G856" s="326"/>
      <c r="H856" s="326"/>
    </row>
    <row r="857">
      <c r="A857" s="231"/>
      <c r="B857" s="231"/>
      <c r="C857" s="231"/>
      <c r="E857" s="326"/>
      <c r="F857" s="326"/>
      <c r="G857" s="326"/>
      <c r="H857" s="326"/>
    </row>
    <row r="858">
      <c r="A858" s="231"/>
      <c r="B858" s="231"/>
      <c r="C858" s="231"/>
      <c r="E858" s="326"/>
      <c r="F858" s="326"/>
      <c r="G858" s="326"/>
      <c r="H858" s="326"/>
    </row>
    <row r="859">
      <c r="A859" s="231"/>
      <c r="B859" s="231"/>
      <c r="C859" s="231"/>
      <c r="E859" s="326"/>
      <c r="F859" s="326"/>
      <c r="G859" s="326"/>
      <c r="H859" s="326"/>
    </row>
    <row r="860">
      <c r="A860" s="231"/>
      <c r="B860" s="231"/>
      <c r="C860" s="231"/>
      <c r="E860" s="326"/>
      <c r="F860" s="326"/>
      <c r="G860" s="326"/>
      <c r="H860" s="326"/>
    </row>
    <row r="861">
      <c r="A861" s="231"/>
      <c r="B861" s="231"/>
      <c r="C861" s="231"/>
      <c r="E861" s="326"/>
      <c r="F861" s="326"/>
      <c r="G861" s="326"/>
      <c r="H861" s="326"/>
    </row>
    <row r="862">
      <c r="A862" s="231"/>
      <c r="B862" s="231"/>
      <c r="C862" s="231"/>
      <c r="E862" s="326"/>
      <c r="F862" s="326"/>
      <c r="G862" s="326"/>
      <c r="H862" s="326"/>
    </row>
    <row r="863">
      <c r="A863" s="231"/>
      <c r="B863" s="231"/>
      <c r="C863" s="231"/>
      <c r="E863" s="326"/>
      <c r="F863" s="326"/>
      <c r="G863" s="326"/>
      <c r="H863" s="326"/>
    </row>
    <row r="864">
      <c r="A864" s="231"/>
      <c r="B864" s="231"/>
      <c r="C864" s="231"/>
      <c r="E864" s="326"/>
      <c r="F864" s="326"/>
      <c r="G864" s="326"/>
      <c r="H864" s="326"/>
    </row>
    <row r="865">
      <c r="A865" s="231"/>
      <c r="B865" s="231"/>
      <c r="C865" s="231"/>
      <c r="E865" s="326"/>
      <c r="F865" s="326"/>
      <c r="G865" s="326"/>
      <c r="H865" s="326"/>
    </row>
    <row r="866">
      <c r="A866" s="231"/>
      <c r="B866" s="231"/>
      <c r="C866" s="231"/>
      <c r="E866" s="326"/>
      <c r="F866" s="326"/>
      <c r="G866" s="326"/>
      <c r="H866" s="326"/>
    </row>
    <row r="867">
      <c r="A867" s="231"/>
      <c r="B867" s="231"/>
      <c r="C867" s="231"/>
      <c r="E867" s="326"/>
      <c r="F867" s="326"/>
      <c r="G867" s="326"/>
      <c r="H867" s="326"/>
    </row>
    <row r="868">
      <c r="A868" s="231"/>
      <c r="B868" s="231"/>
      <c r="C868" s="231"/>
      <c r="E868" s="326"/>
      <c r="F868" s="326"/>
      <c r="G868" s="326"/>
      <c r="H868" s="326"/>
    </row>
    <row r="869">
      <c r="A869" s="231"/>
      <c r="B869" s="231"/>
      <c r="C869" s="231"/>
      <c r="E869" s="326"/>
      <c r="F869" s="326"/>
      <c r="G869" s="326"/>
      <c r="H869" s="326"/>
    </row>
    <row r="870">
      <c r="A870" s="231"/>
      <c r="B870" s="231"/>
      <c r="C870" s="231"/>
      <c r="E870" s="326"/>
      <c r="F870" s="326"/>
      <c r="G870" s="326"/>
      <c r="H870" s="326"/>
    </row>
    <row r="871">
      <c r="A871" s="231"/>
      <c r="B871" s="231"/>
      <c r="C871" s="231"/>
      <c r="E871" s="326"/>
      <c r="F871" s="326"/>
      <c r="G871" s="326"/>
      <c r="H871" s="326"/>
    </row>
    <row r="872">
      <c r="A872" s="231"/>
      <c r="B872" s="231"/>
      <c r="C872" s="231"/>
      <c r="E872" s="326"/>
      <c r="F872" s="326"/>
      <c r="G872" s="326"/>
      <c r="H872" s="326"/>
    </row>
    <row r="873">
      <c r="A873" s="231"/>
      <c r="B873" s="231"/>
      <c r="C873" s="231"/>
      <c r="E873" s="326"/>
      <c r="F873" s="326"/>
      <c r="G873" s="326"/>
      <c r="H873" s="326"/>
    </row>
    <row r="874">
      <c r="A874" s="231"/>
      <c r="B874" s="231"/>
      <c r="C874" s="231"/>
      <c r="E874" s="326"/>
      <c r="F874" s="326"/>
      <c r="G874" s="326"/>
      <c r="H874" s="326"/>
    </row>
    <row r="875">
      <c r="A875" s="231"/>
      <c r="B875" s="231"/>
      <c r="C875" s="231"/>
      <c r="E875" s="326"/>
      <c r="F875" s="326"/>
      <c r="G875" s="326"/>
      <c r="H875" s="326"/>
    </row>
    <row r="876">
      <c r="A876" s="231"/>
      <c r="B876" s="231"/>
      <c r="C876" s="231"/>
      <c r="E876" s="326"/>
      <c r="F876" s="326"/>
      <c r="G876" s="326"/>
      <c r="H876" s="326"/>
    </row>
    <row r="877">
      <c r="A877" s="231"/>
      <c r="B877" s="231"/>
      <c r="C877" s="231"/>
      <c r="E877" s="326"/>
      <c r="F877" s="326"/>
      <c r="G877" s="326"/>
      <c r="H877" s="326"/>
    </row>
    <row r="878">
      <c r="A878" s="231"/>
      <c r="B878" s="231"/>
      <c r="C878" s="231"/>
      <c r="E878" s="326"/>
      <c r="F878" s="326"/>
      <c r="G878" s="326"/>
      <c r="H878" s="326"/>
    </row>
    <row r="879">
      <c r="A879" s="231"/>
      <c r="B879" s="231"/>
      <c r="C879" s="231"/>
      <c r="E879" s="326"/>
      <c r="F879" s="326"/>
      <c r="G879" s="326"/>
      <c r="H879" s="326"/>
    </row>
    <row r="880">
      <c r="A880" s="231"/>
      <c r="B880" s="231"/>
      <c r="C880" s="231"/>
      <c r="E880" s="326"/>
      <c r="F880" s="326"/>
      <c r="G880" s="326"/>
      <c r="H880" s="326"/>
    </row>
    <row r="881">
      <c r="A881" s="231"/>
      <c r="B881" s="231"/>
      <c r="C881" s="231"/>
      <c r="E881" s="326"/>
      <c r="F881" s="326"/>
      <c r="G881" s="326"/>
      <c r="H881" s="326"/>
    </row>
    <row r="882">
      <c r="A882" s="231"/>
      <c r="B882" s="231"/>
      <c r="C882" s="231"/>
      <c r="E882" s="326"/>
      <c r="F882" s="326"/>
      <c r="G882" s="326"/>
      <c r="H882" s="326"/>
    </row>
    <row r="883">
      <c r="A883" s="231"/>
      <c r="B883" s="231"/>
      <c r="C883" s="231"/>
      <c r="E883" s="326"/>
      <c r="F883" s="326"/>
      <c r="G883" s="326"/>
      <c r="H883" s="326"/>
    </row>
    <row r="884">
      <c r="A884" s="231"/>
      <c r="B884" s="231"/>
      <c r="C884" s="231"/>
      <c r="E884" s="326"/>
      <c r="F884" s="326"/>
      <c r="G884" s="326"/>
      <c r="H884" s="326"/>
    </row>
    <row r="885">
      <c r="A885" s="231"/>
      <c r="B885" s="231"/>
      <c r="C885" s="231"/>
      <c r="E885" s="326"/>
      <c r="F885" s="326"/>
      <c r="G885" s="326"/>
      <c r="H885" s="326"/>
    </row>
    <row r="886">
      <c r="A886" s="231"/>
      <c r="B886" s="231"/>
      <c r="C886" s="231"/>
      <c r="E886" s="326"/>
      <c r="F886" s="326"/>
      <c r="G886" s="326"/>
      <c r="H886" s="326"/>
    </row>
    <row r="887">
      <c r="A887" s="231"/>
      <c r="B887" s="231"/>
      <c r="C887" s="231"/>
      <c r="E887" s="326"/>
      <c r="F887" s="326"/>
      <c r="G887" s="326"/>
      <c r="H887" s="326"/>
    </row>
    <row r="888">
      <c r="A888" s="231"/>
      <c r="B888" s="231"/>
      <c r="C888" s="231"/>
      <c r="E888" s="326"/>
      <c r="F888" s="326"/>
      <c r="G888" s="326"/>
      <c r="H888" s="326"/>
    </row>
    <row r="889">
      <c r="A889" s="231"/>
      <c r="B889" s="231"/>
      <c r="C889" s="231"/>
      <c r="E889" s="326"/>
      <c r="F889" s="326"/>
      <c r="G889" s="326"/>
      <c r="H889" s="326"/>
    </row>
    <row r="890">
      <c r="A890" s="231"/>
      <c r="B890" s="231"/>
      <c r="C890" s="231"/>
      <c r="E890" s="326"/>
      <c r="F890" s="326"/>
      <c r="G890" s="326"/>
      <c r="H890" s="326"/>
    </row>
    <row r="891">
      <c r="A891" s="231"/>
      <c r="B891" s="231"/>
      <c r="C891" s="231"/>
      <c r="E891" s="326"/>
      <c r="F891" s="326"/>
      <c r="G891" s="326"/>
      <c r="H891" s="326"/>
    </row>
    <row r="892">
      <c r="A892" s="231"/>
      <c r="B892" s="231"/>
      <c r="C892" s="231"/>
      <c r="E892" s="326"/>
      <c r="F892" s="326"/>
      <c r="G892" s="326"/>
      <c r="H892" s="326"/>
    </row>
    <row r="893">
      <c r="A893" s="231"/>
      <c r="B893" s="231"/>
      <c r="C893" s="231"/>
      <c r="E893" s="326"/>
      <c r="F893" s="326"/>
      <c r="G893" s="326"/>
      <c r="H893" s="326"/>
    </row>
    <row r="894">
      <c r="A894" s="231"/>
      <c r="B894" s="231"/>
      <c r="C894" s="231"/>
      <c r="E894" s="326"/>
      <c r="F894" s="326"/>
      <c r="G894" s="326"/>
      <c r="H894" s="326"/>
    </row>
    <row r="895">
      <c r="A895" s="231"/>
      <c r="B895" s="231"/>
      <c r="C895" s="231"/>
      <c r="E895" s="326"/>
      <c r="F895" s="326"/>
      <c r="G895" s="326"/>
      <c r="H895" s="326"/>
    </row>
    <row r="896">
      <c r="A896" s="231"/>
      <c r="B896" s="231"/>
      <c r="C896" s="231"/>
      <c r="E896" s="326"/>
      <c r="F896" s="326"/>
      <c r="G896" s="326"/>
      <c r="H896" s="326"/>
    </row>
    <row r="897">
      <c r="A897" s="231"/>
      <c r="B897" s="231"/>
      <c r="C897" s="231"/>
      <c r="E897" s="326"/>
      <c r="F897" s="326"/>
      <c r="G897" s="326"/>
      <c r="H897" s="326"/>
    </row>
    <row r="898">
      <c r="A898" s="231"/>
      <c r="B898" s="231"/>
      <c r="C898" s="231"/>
      <c r="E898" s="326"/>
      <c r="F898" s="326"/>
      <c r="G898" s="326"/>
      <c r="H898" s="326"/>
    </row>
    <row r="899">
      <c r="A899" s="231"/>
      <c r="B899" s="231"/>
      <c r="C899" s="231"/>
      <c r="E899" s="326"/>
      <c r="F899" s="326"/>
      <c r="G899" s="326"/>
      <c r="H899" s="326"/>
    </row>
    <row r="900">
      <c r="A900" s="231"/>
      <c r="B900" s="231"/>
      <c r="C900" s="231"/>
      <c r="E900" s="326"/>
      <c r="F900" s="326"/>
      <c r="G900" s="326"/>
      <c r="H900" s="326"/>
    </row>
    <row r="901">
      <c r="A901" s="231"/>
      <c r="B901" s="231"/>
      <c r="C901" s="231"/>
      <c r="E901" s="326"/>
      <c r="F901" s="326"/>
      <c r="G901" s="326"/>
      <c r="H901" s="326"/>
    </row>
    <row r="902">
      <c r="A902" s="231"/>
      <c r="B902" s="231"/>
      <c r="C902" s="231"/>
      <c r="E902" s="326"/>
      <c r="F902" s="326"/>
      <c r="G902" s="326"/>
      <c r="H902" s="326"/>
    </row>
    <row r="903">
      <c r="A903" s="231"/>
      <c r="B903" s="231"/>
      <c r="C903" s="231"/>
      <c r="E903" s="326"/>
      <c r="F903" s="326"/>
      <c r="G903" s="326"/>
      <c r="H903" s="326"/>
    </row>
    <row r="904">
      <c r="A904" s="231"/>
      <c r="B904" s="231"/>
      <c r="C904" s="231"/>
      <c r="E904" s="326"/>
      <c r="F904" s="326"/>
      <c r="G904" s="326"/>
      <c r="H904" s="326"/>
    </row>
    <row r="905">
      <c r="A905" s="231"/>
      <c r="B905" s="231"/>
      <c r="C905" s="231"/>
      <c r="E905" s="326"/>
      <c r="F905" s="326"/>
      <c r="G905" s="326"/>
      <c r="H905" s="326"/>
    </row>
    <row r="906">
      <c r="A906" s="231"/>
      <c r="B906" s="231"/>
      <c r="C906" s="231"/>
      <c r="E906" s="326"/>
      <c r="F906" s="326"/>
      <c r="G906" s="326"/>
      <c r="H906" s="326"/>
    </row>
    <row r="907">
      <c r="A907" s="231"/>
      <c r="B907" s="231"/>
      <c r="C907" s="231"/>
      <c r="E907" s="326"/>
      <c r="F907" s="326"/>
      <c r="G907" s="326"/>
      <c r="H907" s="326"/>
    </row>
    <row r="908">
      <c r="A908" s="231"/>
      <c r="B908" s="231"/>
      <c r="C908" s="231"/>
      <c r="E908" s="326"/>
      <c r="F908" s="326"/>
      <c r="G908" s="326"/>
      <c r="H908" s="326"/>
    </row>
    <row r="909">
      <c r="A909" s="231"/>
      <c r="B909" s="231"/>
      <c r="C909" s="231"/>
      <c r="E909" s="326"/>
      <c r="F909" s="326"/>
      <c r="G909" s="326"/>
      <c r="H909" s="326"/>
    </row>
    <row r="910">
      <c r="A910" s="231"/>
      <c r="B910" s="231"/>
      <c r="C910" s="231"/>
      <c r="E910" s="326"/>
      <c r="F910" s="326"/>
      <c r="G910" s="326"/>
      <c r="H910" s="326"/>
    </row>
    <row r="911">
      <c r="A911" s="231"/>
      <c r="B911" s="231"/>
      <c r="C911" s="231"/>
      <c r="E911" s="326"/>
      <c r="F911" s="326"/>
      <c r="G911" s="326"/>
      <c r="H911" s="326"/>
    </row>
    <row r="912">
      <c r="A912" s="231"/>
      <c r="B912" s="231"/>
      <c r="C912" s="231"/>
      <c r="E912" s="326"/>
      <c r="F912" s="326"/>
      <c r="G912" s="326"/>
      <c r="H912" s="326"/>
    </row>
    <row r="913">
      <c r="A913" s="231"/>
      <c r="B913" s="231"/>
      <c r="C913" s="231"/>
      <c r="E913" s="326"/>
      <c r="F913" s="326"/>
      <c r="G913" s="326"/>
      <c r="H913" s="326"/>
    </row>
    <row r="914">
      <c r="A914" s="231"/>
      <c r="B914" s="231"/>
      <c r="C914" s="231"/>
      <c r="E914" s="326"/>
      <c r="F914" s="326"/>
      <c r="G914" s="326"/>
      <c r="H914" s="326"/>
    </row>
    <row r="915">
      <c r="A915" s="231"/>
      <c r="B915" s="231"/>
      <c r="C915" s="231"/>
      <c r="E915" s="326"/>
      <c r="F915" s="326"/>
      <c r="G915" s="326"/>
      <c r="H915" s="326"/>
    </row>
    <row r="916">
      <c r="A916" s="231"/>
      <c r="B916" s="231"/>
      <c r="C916" s="231"/>
      <c r="E916" s="326"/>
      <c r="F916" s="326"/>
      <c r="G916" s="326"/>
      <c r="H916" s="326"/>
    </row>
    <row r="917">
      <c r="A917" s="231"/>
      <c r="B917" s="231"/>
      <c r="C917" s="231"/>
      <c r="E917" s="326"/>
      <c r="F917" s="326"/>
      <c r="G917" s="326"/>
      <c r="H917" s="326"/>
    </row>
    <row r="918">
      <c r="A918" s="231"/>
      <c r="B918" s="231"/>
      <c r="C918" s="231"/>
      <c r="E918" s="326"/>
      <c r="F918" s="326"/>
      <c r="G918" s="326"/>
      <c r="H918" s="326"/>
    </row>
    <row r="919">
      <c r="A919" s="231"/>
      <c r="B919" s="231"/>
      <c r="C919" s="231"/>
      <c r="E919" s="326"/>
      <c r="F919" s="326"/>
      <c r="G919" s="326"/>
      <c r="H919" s="326"/>
    </row>
    <row r="920">
      <c r="A920" s="231"/>
      <c r="B920" s="231"/>
      <c r="C920" s="231"/>
      <c r="E920" s="326"/>
      <c r="F920" s="326"/>
      <c r="G920" s="326"/>
      <c r="H920" s="326"/>
    </row>
    <row r="921">
      <c r="A921" s="231"/>
      <c r="B921" s="231"/>
      <c r="C921" s="231"/>
      <c r="E921" s="326"/>
      <c r="F921" s="326"/>
      <c r="G921" s="326"/>
      <c r="H921" s="326"/>
    </row>
    <row r="922">
      <c r="A922" s="231"/>
      <c r="B922" s="231"/>
      <c r="C922" s="231"/>
      <c r="E922" s="326"/>
      <c r="F922" s="326"/>
      <c r="G922" s="326"/>
      <c r="H922" s="326"/>
    </row>
    <row r="923">
      <c r="A923" s="231"/>
      <c r="B923" s="231"/>
      <c r="C923" s="231"/>
      <c r="E923" s="326"/>
      <c r="F923" s="326"/>
      <c r="G923" s="326"/>
      <c r="H923" s="326"/>
    </row>
    <row r="924">
      <c r="A924" s="231"/>
      <c r="B924" s="231"/>
      <c r="C924" s="231"/>
      <c r="E924" s="326"/>
      <c r="F924" s="326"/>
      <c r="G924" s="326"/>
      <c r="H924" s="326"/>
    </row>
    <row r="925">
      <c r="A925" s="231"/>
      <c r="B925" s="231"/>
      <c r="C925" s="231"/>
      <c r="E925" s="326"/>
      <c r="F925" s="326"/>
      <c r="G925" s="326"/>
      <c r="H925" s="326"/>
    </row>
    <row r="926">
      <c r="A926" s="231"/>
      <c r="B926" s="231"/>
      <c r="C926" s="231"/>
      <c r="E926" s="326"/>
      <c r="F926" s="326"/>
      <c r="G926" s="326"/>
      <c r="H926" s="326"/>
    </row>
    <row r="927">
      <c r="A927" s="231"/>
      <c r="B927" s="231"/>
      <c r="C927" s="231"/>
      <c r="E927" s="326"/>
      <c r="F927" s="326"/>
      <c r="G927" s="326"/>
      <c r="H927" s="326"/>
    </row>
    <row r="928">
      <c r="A928" s="231"/>
      <c r="B928" s="231"/>
      <c r="C928" s="231"/>
      <c r="E928" s="326"/>
      <c r="F928" s="326"/>
      <c r="G928" s="326"/>
      <c r="H928" s="326"/>
    </row>
    <row r="929">
      <c r="A929" s="231"/>
      <c r="B929" s="231"/>
      <c r="C929" s="231"/>
      <c r="E929" s="326"/>
      <c r="F929" s="326"/>
      <c r="G929" s="326"/>
      <c r="H929" s="326"/>
    </row>
    <row r="930">
      <c r="A930" s="231"/>
      <c r="B930" s="231"/>
      <c r="C930" s="231"/>
      <c r="E930" s="326"/>
      <c r="F930" s="326"/>
      <c r="G930" s="326"/>
      <c r="H930" s="326"/>
    </row>
    <row r="931">
      <c r="A931" s="231"/>
      <c r="B931" s="231"/>
      <c r="C931" s="231"/>
      <c r="E931" s="326"/>
      <c r="F931" s="326"/>
      <c r="G931" s="326"/>
      <c r="H931" s="326"/>
    </row>
    <row r="932">
      <c r="A932" s="231"/>
      <c r="B932" s="231"/>
      <c r="C932" s="231"/>
      <c r="E932" s="326"/>
      <c r="F932" s="326"/>
      <c r="G932" s="326"/>
      <c r="H932" s="326"/>
    </row>
    <row r="933">
      <c r="A933" s="231"/>
      <c r="B933" s="231"/>
      <c r="C933" s="231"/>
      <c r="E933" s="326"/>
      <c r="F933" s="326"/>
      <c r="G933" s="326"/>
      <c r="H933" s="326"/>
    </row>
    <row r="934">
      <c r="A934" s="231"/>
      <c r="B934" s="231"/>
      <c r="C934" s="231"/>
      <c r="E934" s="326"/>
      <c r="F934" s="326"/>
      <c r="G934" s="326"/>
      <c r="H934" s="326"/>
    </row>
    <row r="935">
      <c r="A935" s="231"/>
      <c r="B935" s="231"/>
      <c r="C935" s="231"/>
      <c r="E935" s="326"/>
      <c r="F935" s="326"/>
      <c r="G935" s="326"/>
      <c r="H935" s="326"/>
    </row>
    <row r="936">
      <c r="A936" s="231"/>
      <c r="B936" s="231"/>
      <c r="C936" s="231"/>
      <c r="E936" s="326"/>
      <c r="F936" s="326"/>
      <c r="G936" s="326"/>
      <c r="H936" s="326"/>
    </row>
    <row r="937">
      <c r="A937" s="231"/>
      <c r="B937" s="231"/>
      <c r="C937" s="231"/>
      <c r="E937" s="326"/>
      <c r="F937" s="326"/>
      <c r="G937" s="326"/>
      <c r="H937" s="326"/>
    </row>
    <row r="938">
      <c r="A938" s="231"/>
      <c r="B938" s="231"/>
      <c r="C938" s="231"/>
      <c r="E938" s="326"/>
      <c r="F938" s="326"/>
      <c r="G938" s="326"/>
      <c r="H938" s="326"/>
    </row>
    <row r="939">
      <c r="A939" s="231"/>
      <c r="B939" s="231"/>
      <c r="C939" s="231"/>
      <c r="E939" s="326"/>
      <c r="F939" s="326"/>
      <c r="G939" s="326"/>
      <c r="H939" s="326"/>
    </row>
    <row r="940">
      <c r="A940" s="231"/>
      <c r="B940" s="231"/>
      <c r="C940" s="231"/>
      <c r="E940" s="326"/>
      <c r="F940" s="326"/>
      <c r="G940" s="326"/>
      <c r="H940" s="326"/>
    </row>
    <row r="941">
      <c r="A941" s="231"/>
      <c r="B941" s="231"/>
      <c r="C941" s="231"/>
      <c r="E941" s="326"/>
      <c r="F941" s="326"/>
      <c r="G941" s="326"/>
      <c r="H941" s="326"/>
    </row>
    <row r="942">
      <c r="A942" s="231"/>
      <c r="B942" s="231"/>
      <c r="C942" s="231"/>
      <c r="E942" s="326"/>
      <c r="F942" s="326"/>
      <c r="G942" s="326"/>
      <c r="H942" s="326"/>
    </row>
    <row r="943">
      <c r="A943" s="231"/>
      <c r="B943" s="231"/>
      <c r="C943" s="231"/>
      <c r="E943" s="326"/>
      <c r="F943" s="326"/>
      <c r="G943" s="326"/>
      <c r="H943" s="326"/>
    </row>
    <row r="944">
      <c r="A944" s="231"/>
      <c r="B944" s="231"/>
      <c r="C944" s="231"/>
      <c r="E944" s="326"/>
      <c r="F944" s="326"/>
      <c r="G944" s="326"/>
      <c r="H944" s="326"/>
    </row>
    <row r="945">
      <c r="A945" s="231"/>
      <c r="B945" s="231"/>
      <c r="C945" s="231"/>
      <c r="E945" s="326"/>
      <c r="F945" s="326"/>
      <c r="G945" s="326"/>
      <c r="H945" s="326"/>
    </row>
    <row r="946">
      <c r="A946" s="231"/>
      <c r="B946" s="231"/>
      <c r="C946" s="231"/>
      <c r="E946" s="326"/>
      <c r="F946" s="326"/>
      <c r="G946" s="326"/>
      <c r="H946" s="326"/>
    </row>
    <row r="947">
      <c r="A947" s="231"/>
      <c r="B947" s="231"/>
      <c r="C947" s="231"/>
      <c r="E947" s="326"/>
      <c r="F947" s="326"/>
      <c r="G947" s="326"/>
      <c r="H947" s="326"/>
    </row>
    <row r="948">
      <c r="A948" s="231"/>
      <c r="B948" s="231"/>
      <c r="C948" s="231"/>
      <c r="E948" s="326"/>
      <c r="F948" s="326"/>
      <c r="G948" s="326"/>
      <c r="H948" s="326"/>
    </row>
    <row r="949">
      <c r="A949" s="231"/>
      <c r="B949" s="231"/>
      <c r="C949" s="231"/>
      <c r="E949" s="326"/>
      <c r="F949" s="326"/>
      <c r="G949" s="326"/>
      <c r="H949" s="326"/>
    </row>
    <row r="950">
      <c r="A950" s="231"/>
      <c r="B950" s="231"/>
      <c r="C950" s="231"/>
      <c r="E950" s="326"/>
      <c r="F950" s="326"/>
      <c r="G950" s="326"/>
      <c r="H950" s="326"/>
    </row>
    <row r="951">
      <c r="A951" s="231"/>
      <c r="B951" s="231"/>
      <c r="C951" s="231"/>
      <c r="E951" s="326"/>
      <c r="F951" s="326"/>
      <c r="G951" s="326"/>
      <c r="H951" s="326"/>
    </row>
    <row r="952">
      <c r="A952" s="231"/>
      <c r="B952" s="231"/>
      <c r="C952" s="231"/>
      <c r="E952" s="326"/>
      <c r="F952" s="326"/>
      <c r="G952" s="326"/>
      <c r="H952" s="326"/>
    </row>
    <row r="953">
      <c r="A953" s="231"/>
      <c r="B953" s="231"/>
      <c r="C953" s="231"/>
      <c r="E953" s="326"/>
      <c r="F953" s="326"/>
      <c r="G953" s="326"/>
      <c r="H953" s="326"/>
    </row>
    <row r="954">
      <c r="A954" s="231"/>
      <c r="B954" s="231"/>
      <c r="C954" s="231"/>
      <c r="E954" s="326"/>
      <c r="F954" s="326"/>
      <c r="G954" s="326"/>
      <c r="H954" s="326"/>
    </row>
    <row r="955">
      <c r="A955" s="231"/>
      <c r="B955" s="231"/>
      <c r="C955" s="231"/>
      <c r="E955" s="326"/>
      <c r="F955" s="326"/>
      <c r="G955" s="326"/>
      <c r="H955" s="326"/>
    </row>
    <row r="956">
      <c r="A956" s="231"/>
      <c r="B956" s="231"/>
      <c r="C956" s="231"/>
      <c r="E956" s="326"/>
      <c r="F956" s="326"/>
      <c r="G956" s="326"/>
      <c r="H956" s="326"/>
    </row>
    <row r="957">
      <c r="A957" s="231"/>
      <c r="B957" s="231"/>
      <c r="C957" s="231"/>
      <c r="E957" s="326"/>
      <c r="F957" s="326"/>
      <c r="G957" s="326"/>
      <c r="H957" s="326"/>
    </row>
  </sheetData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40.75"/>
    <col customWidth="1" min="4" max="4" width="20.63"/>
    <col customWidth="1" min="5" max="5" width="26.13"/>
    <col hidden="1" min="8" max="13" width="12.63"/>
  </cols>
  <sheetData>
    <row r="1">
      <c r="A1" s="56" t="s">
        <v>44</v>
      </c>
      <c r="B1" s="56" t="s">
        <v>1</v>
      </c>
      <c r="C1" s="19" t="s">
        <v>294</v>
      </c>
      <c r="D1" s="55" t="s">
        <v>248</v>
      </c>
      <c r="E1" s="348" t="s">
        <v>249</v>
      </c>
      <c r="F1" s="349" t="s">
        <v>250</v>
      </c>
      <c r="K1" s="115" t="s">
        <v>44</v>
      </c>
      <c r="L1" s="116" t="s">
        <v>1</v>
      </c>
    </row>
    <row r="2">
      <c r="A2" s="25" t="s">
        <v>5080</v>
      </c>
      <c r="B2" s="25">
        <v>986.0</v>
      </c>
      <c r="C2" s="136" t="s">
        <v>7385</v>
      </c>
      <c r="D2" s="179">
        <v>0.73</v>
      </c>
      <c r="E2" s="179">
        <v>0.73</v>
      </c>
      <c r="F2" s="229" t="s">
        <v>1656</v>
      </c>
      <c r="K2" s="11" t="s">
        <v>5080</v>
      </c>
      <c r="L2" s="11">
        <v>986.0</v>
      </c>
    </row>
    <row r="3">
      <c r="A3" s="25" t="s">
        <v>7386</v>
      </c>
      <c r="B3" s="25">
        <v>8486.0</v>
      </c>
      <c r="C3" s="136" t="s">
        <v>7385</v>
      </c>
      <c r="D3" s="179">
        <v>0.83</v>
      </c>
      <c r="E3" s="179">
        <v>0.83</v>
      </c>
      <c r="F3" s="229" t="s">
        <v>1656</v>
      </c>
      <c r="K3" s="11" t="s">
        <v>7386</v>
      </c>
      <c r="L3" s="11">
        <v>8486.0</v>
      </c>
      <c r="M3" s="11">
        <v>986.0</v>
      </c>
    </row>
    <row r="4">
      <c r="A4" s="25" t="s">
        <v>7387</v>
      </c>
      <c r="B4" s="25">
        <v>986.0</v>
      </c>
      <c r="C4" s="136" t="s">
        <v>7385</v>
      </c>
      <c r="D4" s="179">
        <v>0.73</v>
      </c>
      <c r="E4" s="179">
        <v>0.73</v>
      </c>
      <c r="F4" s="229" t="s">
        <v>1656</v>
      </c>
      <c r="K4" s="11" t="s">
        <v>7387</v>
      </c>
      <c r="L4" s="11">
        <v>986.0</v>
      </c>
    </row>
    <row r="5">
      <c r="A5" s="25" t="s">
        <v>7388</v>
      </c>
      <c r="B5" s="25">
        <v>2345.0</v>
      </c>
      <c r="C5" s="136" t="s">
        <v>7385</v>
      </c>
      <c r="D5" s="179">
        <v>0.9</v>
      </c>
      <c r="E5" s="179">
        <v>0.9</v>
      </c>
      <c r="F5" s="229" t="s">
        <v>1656</v>
      </c>
      <c r="K5" s="11" t="s">
        <v>7388</v>
      </c>
      <c r="L5" s="11">
        <v>2345.0</v>
      </c>
    </row>
    <row r="6">
      <c r="A6" s="25" t="s">
        <v>5082</v>
      </c>
      <c r="B6" s="25">
        <v>14529.0</v>
      </c>
      <c r="C6" s="136" t="s">
        <v>7385</v>
      </c>
      <c r="D6" s="179">
        <v>0.73</v>
      </c>
      <c r="E6" s="179">
        <v>0.73</v>
      </c>
      <c r="F6" s="229" t="s">
        <v>1656</v>
      </c>
      <c r="K6" s="35" t="s">
        <v>5082</v>
      </c>
      <c r="L6" s="35">
        <v>6675.0</v>
      </c>
      <c r="M6" s="36"/>
    </row>
    <row r="7">
      <c r="A7" s="25" t="s">
        <v>7389</v>
      </c>
      <c r="B7" s="25">
        <v>7137.0</v>
      </c>
      <c r="C7" s="136" t="s">
        <v>7385</v>
      </c>
      <c r="D7" s="179">
        <v>0.73</v>
      </c>
      <c r="E7" s="179">
        <v>0.73</v>
      </c>
      <c r="F7" s="229" t="s">
        <v>1656</v>
      </c>
      <c r="K7" s="35" t="s">
        <v>7389</v>
      </c>
      <c r="L7" s="35">
        <v>189.0</v>
      </c>
      <c r="M7" s="36"/>
    </row>
    <row r="8">
      <c r="A8" s="25" t="s">
        <v>7390</v>
      </c>
      <c r="B8" s="25">
        <v>3307.0</v>
      </c>
      <c r="C8" s="136" t="s">
        <v>7385</v>
      </c>
      <c r="D8" s="179">
        <v>0.73</v>
      </c>
      <c r="E8" s="179">
        <v>0.73</v>
      </c>
      <c r="F8" s="229" t="s">
        <v>1656</v>
      </c>
      <c r="K8" s="35" t="s">
        <v>7390</v>
      </c>
      <c r="L8" s="35">
        <v>663.0</v>
      </c>
      <c r="M8" s="36"/>
    </row>
    <row r="9">
      <c r="A9" s="25" t="s">
        <v>7391</v>
      </c>
      <c r="B9" s="25">
        <v>6668.0</v>
      </c>
      <c r="C9" s="136" t="s">
        <v>7385</v>
      </c>
      <c r="D9" s="179">
        <v>0.73</v>
      </c>
      <c r="E9" s="179">
        <v>0.73</v>
      </c>
      <c r="F9" s="229" t="s">
        <v>1656</v>
      </c>
      <c r="K9" s="35" t="s">
        <v>7391</v>
      </c>
      <c r="L9" s="35">
        <v>663.0</v>
      </c>
      <c r="M9" s="36"/>
    </row>
    <row r="10">
      <c r="A10" s="25" t="s">
        <v>7392</v>
      </c>
      <c r="B10" s="25">
        <v>14580.0</v>
      </c>
      <c r="C10" s="136" t="s">
        <v>7385</v>
      </c>
      <c r="D10" s="179">
        <v>0.73</v>
      </c>
      <c r="E10" s="179">
        <v>0.73</v>
      </c>
      <c r="F10" s="229" t="s">
        <v>1656</v>
      </c>
      <c r="K10" s="35" t="s">
        <v>7392</v>
      </c>
      <c r="L10" s="35">
        <v>189.0</v>
      </c>
      <c r="M10" s="36"/>
    </row>
    <row r="11">
      <c r="A11" s="25" t="s">
        <v>7393</v>
      </c>
      <c r="B11" s="25">
        <v>6668.0</v>
      </c>
      <c r="C11" s="136" t="s">
        <v>7385</v>
      </c>
      <c r="D11" s="179">
        <v>0.73</v>
      </c>
      <c r="E11" s="179">
        <v>0.73</v>
      </c>
      <c r="F11" s="229" t="s">
        <v>1656</v>
      </c>
      <c r="K11" s="35" t="s">
        <v>7393</v>
      </c>
      <c r="L11" s="35">
        <v>6658.0</v>
      </c>
      <c r="M11" s="36"/>
    </row>
    <row r="12">
      <c r="A12" s="25" t="s">
        <v>7394</v>
      </c>
      <c r="B12" s="25">
        <v>12553.0</v>
      </c>
      <c r="C12" s="136" t="s">
        <v>7385</v>
      </c>
      <c r="D12" s="179">
        <v>0.73</v>
      </c>
      <c r="E12" s="179">
        <v>0.73</v>
      </c>
      <c r="F12" s="229" t="s">
        <v>1656</v>
      </c>
      <c r="K12" s="35" t="s">
        <v>7394</v>
      </c>
      <c r="L12" s="35">
        <v>6658.0</v>
      </c>
      <c r="M12" s="36"/>
    </row>
    <row r="13">
      <c r="A13" s="25" t="s">
        <v>7395</v>
      </c>
      <c r="B13" s="37">
        <v>14480.0</v>
      </c>
      <c r="C13" s="136" t="s">
        <v>7385</v>
      </c>
      <c r="D13" s="179">
        <v>0.73</v>
      </c>
      <c r="E13" s="179">
        <v>0.73</v>
      </c>
      <c r="F13" s="229" t="s">
        <v>1656</v>
      </c>
      <c r="K13" s="35" t="s">
        <v>7395</v>
      </c>
      <c r="L13" s="35">
        <v>6671.0</v>
      </c>
      <c r="M13" s="36"/>
    </row>
    <row r="14">
      <c r="A14" s="25" t="s">
        <v>7396</v>
      </c>
      <c r="B14" s="25">
        <v>6947.0</v>
      </c>
      <c r="C14" s="136" t="s">
        <v>7385</v>
      </c>
      <c r="D14" s="179">
        <v>0.73</v>
      </c>
      <c r="E14" s="179">
        <v>0.73</v>
      </c>
      <c r="F14" s="229" t="s">
        <v>1656</v>
      </c>
      <c r="K14" s="35" t="s">
        <v>7396</v>
      </c>
      <c r="L14" s="35">
        <v>11875.0</v>
      </c>
      <c r="M14" s="36"/>
    </row>
    <row r="15">
      <c r="A15" s="25" t="s">
        <v>7397</v>
      </c>
      <c r="B15" s="25">
        <v>6675.0</v>
      </c>
      <c r="C15" s="136" t="s">
        <v>7385</v>
      </c>
      <c r="D15" s="74">
        <v>0.86</v>
      </c>
      <c r="E15" s="74">
        <v>0.86</v>
      </c>
      <c r="F15" s="229" t="s">
        <v>1656</v>
      </c>
      <c r="K15" s="11" t="s">
        <v>7397</v>
      </c>
      <c r="L15" s="11">
        <v>6675.0</v>
      </c>
    </row>
    <row r="16">
      <c r="A16" s="25" t="s">
        <v>7398</v>
      </c>
      <c r="B16" s="25">
        <v>7023.0</v>
      </c>
      <c r="C16" s="136" t="s">
        <v>7385</v>
      </c>
      <c r="D16" s="179">
        <v>0.73</v>
      </c>
      <c r="E16" s="179">
        <v>0.73</v>
      </c>
      <c r="F16" s="229" t="s">
        <v>1656</v>
      </c>
      <c r="K16" s="35" t="s">
        <v>7398</v>
      </c>
      <c r="L16" s="109">
        <v>6706.0</v>
      </c>
      <c r="M16" s="36"/>
    </row>
    <row r="17">
      <c r="A17" s="25" t="s">
        <v>7399</v>
      </c>
      <c r="B17" s="25">
        <v>14594.0</v>
      </c>
      <c r="C17" s="136" t="s">
        <v>7385</v>
      </c>
      <c r="D17" s="179">
        <v>0.73</v>
      </c>
      <c r="E17" s="179">
        <v>0.73</v>
      </c>
      <c r="F17" s="229" t="s">
        <v>1656</v>
      </c>
      <c r="K17" s="35" t="s">
        <v>7399</v>
      </c>
      <c r="L17" s="35">
        <v>11708.0</v>
      </c>
      <c r="M17" s="36"/>
    </row>
    <row r="18">
      <c r="A18" s="25" t="s">
        <v>7400</v>
      </c>
      <c r="B18" s="25">
        <v>14638.0</v>
      </c>
      <c r="C18" s="136" t="s">
        <v>7385</v>
      </c>
      <c r="D18" s="179">
        <v>0.73</v>
      </c>
      <c r="E18" s="179">
        <v>0.73</v>
      </c>
      <c r="F18" s="229" t="s">
        <v>1656</v>
      </c>
      <c r="K18" s="35" t="s">
        <v>7400</v>
      </c>
      <c r="L18" s="35">
        <v>5125.0</v>
      </c>
      <c r="M18" s="36"/>
    </row>
    <row r="19">
      <c r="A19" s="25" t="s">
        <v>7401</v>
      </c>
      <c r="B19" s="25">
        <v>7010.0</v>
      </c>
      <c r="C19" s="136" t="s">
        <v>7385</v>
      </c>
      <c r="D19" s="179">
        <v>0.73</v>
      </c>
      <c r="E19" s="179">
        <v>0.73</v>
      </c>
      <c r="F19" s="229" t="s">
        <v>1656</v>
      </c>
      <c r="K19" s="11" t="s">
        <v>7401</v>
      </c>
      <c r="L19" s="11">
        <v>7010.0</v>
      </c>
    </row>
    <row r="20">
      <c r="A20" s="25" t="s">
        <v>7402</v>
      </c>
      <c r="B20" s="25">
        <v>6675.0</v>
      </c>
      <c r="C20" s="136" t="s">
        <v>7385</v>
      </c>
      <c r="D20" s="74">
        <v>0.86</v>
      </c>
      <c r="E20" s="74">
        <v>0.86</v>
      </c>
      <c r="F20" s="229" t="s">
        <v>1656</v>
      </c>
      <c r="K20" s="11" t="s">
        <v>7402</v>
      </c>
      <c r="L20" s="11">
        <v>7010.0</v>
      </c>
    </row>
    <row r="21">
      <c r="A21" s="25" t="s">
        <v>7403</v>
      </c>
      <c r="B21" s="25">
        <v>6873.0</v>
      </c>
      <c r="C21" s="136" t="s">
        <v>7385</v>
      </c>
      <c r="D21" s="179">
        <v>0.73</v>
      </c>
      <c r="E21" s="179">
        <v>0.73</v>
      </c>
      <c r="F21" s="229" t="s">
        <v>1656</v>
      </c>
      <c r="K21" s="35" t="s">
        <v>7403</v>
      </c>
      <c r="L21" s="35">
        <v>6893.0</v>
      </c>
      <c r="M21" s="36"/>
    </row>
    <row r="22">
      <c r="A22" s="25" t="s">
        <v>7404</v>
      </c>
      <c r="B22" s="25"/>
      <c r="C22" s="136" t="s">
        <v>7385</v>
      </c>
      <c r="D22" s="179">
        <v>0.73</v>
      </c>
      <c r="E22" s="179">
        <v>0.73</v>
      </c>
      <c r="F22" s="229" t="s">
        <v>1656</v>
      </c>
      <c r="K22" s="35" t="s">
        <v>7404</v>
      </c>
      <c r="L22" s="35">
        <v>5458.0</v>
      </c>
      <c r="M22" s="36"/>
    </row>
    <row r="23">
      <c r="A23" s="25" t="s">
        <v>7405</v>
      </c>
      <c r="B23" s="25">
        <v>8199.0</v>
      </c>
      <c r="C23" s="136" t="s">
        <v>7385</v>
      </c>
      <c r="D23" s="179">
        <v>0.73</v>
      </c>
      <c r="E23" s="179">
        <v>0.73</v>
      </c>
      <c r="F23" s="229" t="s">
        <v>1656</v>
      </c>
      <c r="K23" s="35" t="s">
        <v>7405</v>
      </c>
      <c r="L23" s="35">
        <v>8199.0</v>
      </c>
      <c r="M23" s="36"/>
    </row>
    <row r="24">
      <c r="A24" s="25" t="s">
        <v>7406</v>
      </c>
      <c r="B24" s="25"/>
      <c r="C24" s="136" t="s">
        <v>7385</v>
      </c>
      <c r="D24" s="179">
        <v>0.73</v>
      </c>
      <c r="E24" s="179">
        <v>0.73</v>
      </c>
      <c r="F24" s="229" t="s">
        <v>1656</v>
      </c>
      <c r="K24" s="35" t="s">
        <v>7406</v>
      </c>
      <c r="L24" s="35">
        <v>11773.0</v>
      </c>
      <c r="M24" s="36"/>
    </row>
    <row r="25">
      <c r="A25" s="25" t="s">
        <v>7407</v>
      </c>
      <c r="B25" s="25">
        <v>6675.0</v>
      </c>
      <c r="C25" s="136" t="s">
        <v>7385</v>
      </c>
      <c r="D25" s="74">
        <v>0.86</v>
      </c>
      <c r="E25" s="74">
        <v>0.86</v>
      </c>
      <c r="F25" s="229" t="s">
        <v>1656</v>
      </c>
      <c r="K25" s="35" t="s">
        <v>7407</v>
      </c>
      <c r="L25" s="35">
        <v>6668.0</v>
      </c>
      <c r="M25" s="36"/>
    </row>
    <row r="26">
      <c r="A26" s="25" t="s">
        <v>7408</v>
      </c>
      <c r="B26" s="25">
        <v>6669.0</v>
      </c>
      <c r="C26" s="136" t="s">
        <v>7385</v>
      </c>
      <c r="D26" s="179">
        <v>0.73</v>
      </c>
      <c r="E26" s="179">
        <v>0.73</v>
      </c>
      <c r="F26" s="229" t="s">
        <v>1656</v>
      </c>
      <c r="K26" s="35" t="s">
        <v>7408</v>
      </c>
      <c r="L26" s="35">
        <v>7083.0</v>
      </c>
      <c r="M26" s="36"/>
    </row>
    <row r="27">
      <c r="A27" s="25" t="s">
        <v>7409</v>
      </c>
      <c r="B27" s="25">
        <v>7100.0</v>
      </c>
      <c r="C27" s="136" t="s">
        <v>7385</v>
      </c>
      <c r="D27" s="179">
        <v>0.73</v>
      </c>
      <c r="E27" s="179">
        <v>0.73</v>
      </c>
      <c r="F27" s="229" t="s">
        <v>1656</v>
      </c>
      <c r="K27" s="11" t="s">
        <v>7409</v>
      </c>
      <c r="L27" s="11">
        <v>7100.0</v>
      </c>
    </row>
    <row r="28">
      <c r="A28" s="25" t="s">
        <v>7410</v>
      </c>
      <c r="B28" s="25">
        <v>14482.0</v>
      </c>
      <c r="C28" s="136" t="s">
        <v>7385</v>
      </c>
      <c r="D28" s="179">
        <v>0.73</v>
      </c>
      <c r="E28" s="179">
        <v>0.73</v>
      </c>
      <c r="F28" s="229" t="s">
        <v>1656</v>
      </c>
      <c r="K28" s="35" t="s">
        <v>7410</v>
      </c>
      <c r="L28" s="35">
        <v>4193.0</v>
      </c>
      <c r="M28" s="36"/>
    </row>
    <row r="29">
      <c r="A29" s="25" t="s">
        <v>7411</v>
      </c>
      <c r="B29" s="25">
        <v>14482.0</v>
      </c>
      <c r="C29" s="136" t="s">
        <v>7385</v>
      </c>
      <c r="D29" s="179">
        <v>0.73</v>
      </c>
      <c r="E29" s="179">
        <v>0.73</v>
      </c>
      <c r="F29" s="229" t="s">
        <v>1656</v>
      </c>
      <c r="K29" s="11" t="s">
        <v>7411</v>
      </c>
      <c r="L29" s="11">
        <v>4193.0</v>
      </c>
    </row>
    <row r="30">
      <c r="A30" s="25" t="s">
        <v>7412</v>
      </c>
      <c r="B30" s="25">
        <v>14482.0</v>
      </c>
      <c r="C30" s="136" t="s">
        <v>7385</v>
      </c>
      <c r="D30" s="179">
        <v>0.73</v>
      </c>
      <c r="E30" s="179">
        <v>0.73</v>
      </c>
      <c r="F30" s="229" t="s">
        <v>1656</v>
      </c>
      <c r="K30" s="35" t="s">
        <v>7412</v>
      </c>
      <c r="L30" s="35">
        <v>4193.0</v>
      </c>
      <c r="M30" s="36"/>
    </row>
    <row r="31">
      <c r="A31" s="25" t="s">
        <v>7413</v>
      </c>
      <c r="B31" s="25">
        <v>6903.0</v>
      </c>
      <c r="C31" s="136" t="s">
        <v>7385</v>
      </c>
      <c r="D31" s="179">
        <v>0.73</v>
      </c>
      <c r="E31" s="179">
        <v>0.73</v>
      </c>
      <c r="F31" s="229" t="s">
        <v>1656</v>
      </c>
      <c r="K31" s="35" t="s">
        <v>7413</v>
      </c>
      <c r="L31" s="35">
        <v>6903.0</v>
      </c>
      <c r="M31" s="36"/>
    </row>
    <row r="32">
      <c r="A32" s="25" t="s">
        <v>7414</v>
      </c>
      <c r="B32" s="25">
        <v>14659.0</v>
      </c>
      <c r="C32" s="136" t="s">
        <v>7385</v>
      </c>
      <c r="D32" s="179">
        <v>0.73</v>
      </c>
      <c r="E32" s="179">
        <v>0.73</v>
      </c>
      <c r="F32" s="229" t="s">
        <v>1656</v>
      </c>
      <c r="K32" s="35" t="s">
        <v>7414</v>
      </c>
      <c r="L32" s="35">
        <v>9701.0</v>
      </c>
      <c r="M32" s="36"/>
    </row>
    <row r="33">
      <c r="A33" s="25" t="s">
        <v>7415</v>
      </c>
      <c r="B33" s="25">
        <v>6132.0</v>
      </c>
      <c r="C33" s="136" t="s">
        <v>7385</v>
      </c>
      <c r="D33" s="179">
        <v>0.73</v>
      </c>
      <c r="E33" s="179">
        <v>0.73</v>
      </c>
      <c r="F33" s="229" t="s">
        <v>1656</v>
      </c>
      <c r="K33" s="35" t="s">
        <v>7415</v>
      </c>
      <c r="L33" s="35">
        <v>6668.0</v>
      </c>
      <c r="M33" s="36"/>
    </row>
    <row r="34">
      <c r="A34" s="25" t="s">
        <v>7416</v>
      </c>
      <c r="B34" s="25">
        <v>6732.0</v>
      </c>
      <c r="C34" s="136" t="s">
        <v>7385</v>
      </c>
      <c r="D34" s="179">
        <v>0.73</v>
      </c>
      <c r="E34" s="179">
        <v>0.73</v>
      </c>
      <c r="F34" s="229" t="s">
        <v>1656</v>
      </c>
      <c r="K34" s="35" t="s">
        <v>7416</v>
      </c>
      <c r="L34" s="35">
        <v>6668.0</v>
      </c>
      <c r="M34" s="36"/>
    </row>
    <row r="35">
      <c r="A35" s="25" t="s">
        <v>7417</v>
      </c>
      <c r="B35" s="25">
        <v>6732.0</v>
      </c>
      <c r="C35" s="136" t="s">
        <v>7385</v>
      </c>
      <c r="D35" s="179">
        <v>0.73</v>
      </c>
      <c r="E35" s="179">
        <v>0.73</v>
      </c>
      <c r="F35" s="229" t="s">
        <v>1656</v>
      </c>
      <c r="K35" s="35" t="s">
        <v>7417</v>
      </c>
      <c r="L35" s="35">
        <v>6668.0</v>
      </c>
      <c r="M35" s="36"/>
    </row>
    <row r="36">
      <c r="A36" s="25" t="s">
        <v>7418</v>
      </c>
      <c r="B36" s="25">
        <v>10923.0</v>
      </c>
      <c r="C36" s="136" t="s">
        <v>7385</v>
      </c>
      <c r="D36" s="179">
        <v>0.73</v>
      </c>
      <c r="E36" s="179">
        <v>0.73</v>
      </c>
      <c r="F36" s="229" t="s">
        <v>1656</v>
      </c>
      <c r="K36" s="11" t="s">
        <v>7418</v>
      </c>
      <c r="L36" s="11">
        <v>10923.0</v>
      </c>
    </row>
    <row r="37">
      <c r="A37" s="25" t="s">
        <v>7419</v>
      </c>
      <c r="B37" s="25">
        <v>6924.0</v>
      </c>
      <c r="C37" s="136" t="s">
        <v>7385</v>
      </c>
      <c r="D37" s="179">
        <v>0.73</v>
      </c>
      <c r="E37" s="179">
        <v>0.73</v>
      </c>
      <c r="F37" s="229" t="s">
        <v>1656</v>
      </c>
      <c r="K37" s="11" t="s">
        <v>7419</v>
      </c>
      <c r="L37" s="11">
        <v>6924.0</v>
      </c>
    </row>
    <row r="38">
      <c r="A38" s="25" t="s">
        <v>7420</v>
      </c>
      <c r="B38" s="25">
        <v>499.0</v>
      </c>
      <c r="C38" s="136" t="s">
        <v>7385</v>
      </c>
      <c r="D38" s="179">
        <v>0.73</v>
      </c>
      <c r="E38" s="179">
        <v>0.73</v>
      </c>
      <c r="F38" s="229" t="s">
        <v>1656</v>
      </c>
      <c r="K38" s="35" t="s">
        <v>7420</v>
      </c>
      <c r="L38" s="35">
        <v>3689.0</v>
      </c>
      <c r="M38" s="36"/>
    </row>
    <row r="39">
      <c r="A39" s="25" t="s">
        <v>7421</v>
      </c>
      <c r="B39" s="25">
        <v>6732.0</v>
      </c>
      <c r="C39" s="136" t="s">
        <v>7385</v>
      </c>
      <c r="D39" s="179">
        <v>0.73</v>
      </c>
      <c r="E39" s="179">
        <v>0.73</v>
      </c>
      <c r="F39" s="229" t="s">
        <v>1656</v>
      </c>
      <c r="K39" s="35" t="s">
        <v>7421</v>
      </c>
      <c r="L39" s="35">
        <v>13858.0</v>
      </c>
      <c r="M39" s="36"/>
    </row>
    <row r="40">
      <c r="A40" s="25" t="s">
        <v>7422</v>
      </c>
      <c r="B40" s="25">
        <v>6729.0</v>
      </c>
      <c r="C40" s="136" t="s">
        <v>7385</v>
      </c>
      <c r="D40" s="74">
        <v>0.66</v>
      </c>
      <c r="E40" s="74">
        <v>0.66</v>
      </c>
      <c r="F40" s="229" t="s">
        <v>1656</v>
      </c>
      <c r="K40" s="11" t="s">
        <v>7422</v>
      </c>
      <c r="L40" s="11">
        <v>6729.0</v>
      </c>
    </row>
    <row r="41">
      <c r="A41" s="25" t="s">
        <v>7423</v>
      </c>
      <c r="B41" s="25"/>
      <c r="C41" s="136" t="s">
        <v>7385</v>
      </c>
      <c r="D41" s="179">
        <v>0.73</v>
      </c>
      <c r="E41" s="179">
        <v>0.73</v>
      </c>
      <c r="F41" s="229" t="s">
        <v>1656</v>
      </c>
      <c r="K41" s="35" t="s">
        <v>7423</v>
      </c>
      <c r="L41" s="35">
        <v>9746.0</v>
      </c>
      <c r="M41" s="36"/>
    </row>
    <row r="42">
      <c r="A42" s="25" t="s">
        <v>7424</v>
      </c>
      <c r="B42" s="25">
        <v>7142.0</v>
      </c>
      <c r="C42" s="136" t="s">
        <v>7385</v>
      </c>
      <c r="D42" s="179">
        <v>0.73</v>
      </c>
      <c r="E42" s="179">
        <v>0.73</v>
      </c>
      <c r="F42" s="229" t="s">
        <v>1656</v>
      </c>
      <c r="K42" s="35" t="s">
        <v>7424</v>
      </c>
      <c r="L42" s="35">
        <v>12609.0</v>
      </c>
      <c r="M42" s="36"/>
    </row>
    <row r="43">
      <c r="A43" s="25" t="s">
        <v>7425</v>
      </c>
      <c r="B43" s="25">
        <v>11601.0</v>
      </c>
      <c r="C43" s="136" t="s">
        <v>7385</v>
      </c>
      <c r="D43" s="179">
        <v>0.73</v>
      </c>
      <c r="E43" s="179">
        <v>0.73</v>
      </c>
      <c r="F43" s="229" t="s">
        <v>1656</v>
      </c>
      <c r="K43" s="11" t="s">
        <v>7425</v>
      </c>
      <c r="L43" s="11">
        <v>11601.0</v>
      </c>
    </row>
    <row r="44">
      <c r="A44" s="25" t="s">
        <v>7426</v>
      </c>
      <c r="B44" s="25"/>
      <c r="C44" s="136" t="s">
        <v>7385</v>
      </c>
      <c r="D44" s="179">
        <v>0.73</v>
      </c>
      <c r="E44" s="179">
        <v>0.73</v>
      </c>
      <c r="F44" s="229" t="s">
        <v>1656</v>
      </c>
      <c r="K44" s="35" t="s">
        <v>7426</v>
      </c>
      <c r="L44" s="35">
        <v>6706.0</v>
      </c>
      <c r="M44" s="36"/>
    </row>
    <row r="45">
      <c r="A45" s="25" t="s">
        <v>7427</v>
      </c>
      <c r="B45" s="25"/>
      <c r="C45" s="136" t="s">
        <v>7385</v>
      </c>
      <c r="D45" s="179">
        <v>0.73</v>
      </c>
      <c r="E45" s="179">
        <v>0.73</v>
      </c>
      <c r="F45" s="229" t="s">
        <v>1656</v>
      </c>
      <c r="K45" s="35" t="s">
        <v>7427</v>
      </c>
      <c r="L45" s="35">
        <v>7149.0</v>
      </c>
      <c r="M45" s="36"/>
    </row>
    <row r="46">
      <c r="A46" s="25" t="s">
        <v>7428</v>
      </c>
      <c r="B46" s="25"/>
      <c r="C46" s="136" t="s">
        <v>7385</v>
      </c>
      <c r="D46" s="179">
        <v>0.73</v>
      </c>
      <c r="E46" s="179">
        <v>0.73</v>
      </c>
      <c r="F46" s="229" t="s">
        <v>1656</v>
      </c>
      <c r="K46" s="35" t="s">
        <v>7428</v>
      </c>
      <c r="L46" s="35">
        <v>7073.0</v>
      </c>
      <c r="M46" s="36"/>
    </row>
    <row r="47">
      <c r="A47" s="25" t="s">
        <v>7429</v>
      </c>
      <c r="B47" s="25"/>
      <c r="C47" s="136" t="s">
        <v>7385</v>
      </c>
      <c r="D47" s="179">
        <v>0.73</v>
      </c>
      <c r="E47" s="179">
        <v>0.73</v>
      </c>
      <c r="F47" s="229" t="s">
        <v>1656</v>
      </c>
      <c r="K47" s="35" t="s">
        <v>7429</v>
      </c>
      <c r="L47" s="35">
        <v>6668.0</v>
      </c>
      <c r="M47" s="36"/>
    </row>
    <row r="48">
      <c r="A48" s="25" t="s">
        <v>7430</v>
      </c>
      <c r="B48" s="25">
        <v>6875.0</v>
      </c>
      <c r="C48" s="136" t="s">
        <v>7385</v>
      </c>
      <c r="D48" s="179">
        <v>0.73</v>
      </c>
      <c r="E48" s="179">
        <v>0.73</v>
      </c>
      <c r="F48" s="229" t="s">
        <v>1656</v>
      </c>
      <c r="K48" s="11" t="s">
        <v>7430</v>
      </c>
      <c r="L48" s="11">
        <v>6875.0</v>
      </c>
    </row>
    <row r="49">
      <c r="A49" s="25" t="s">
        <v>7431</v>
      </c>
      <c r="B49" s="25"/>
      <c r="C49" s="136" t="s">
        <v>7385</v>
      </c>
      <c r="D49" s="179">
        <v>0.73</v>
      </c>
      <c r="E49" s="179">
        <v>0.73</v>
      </c>
      <c r="F49" s="229" t="s">
        <v>1656</v>
      </c>
      <c r="K49" s="35" t="s">
        <v>7431</v>
      </c>
      <c r="L49" s="35">
        <v>2345.0</v>
      </c>
      <c r="M49" s="36"/>
    </row>
    <row r="50">
      <c r="A50" s="25" t="s">
        <v>7432</v>
      </c>
      <c r="B50" s="25"/>
      <c r="C50" s="136" t="s">
        <v>7385</v>
      </c>
      <c r="D50" s="179">
        <v>0.73</v>
      </c>
      <c r="E50" s="179">
        <v>0.73</v>
      </c>
      <c r="F50" s="229" t="s">
        <v>1656</v>
      </c>
      <c r="K50" s="35" t="s">
        <v>7432</v>
      </c>
      <c r="L50" s="35">
        <v>2345.0</v>
      </c>
      <c r="M50" s="36"/>
    </row>
    <row r="51">
      <c r="A51" s="25" t="s">
        <v>7433</v>
      </c>
      <c r="B51" s="25"/>
      <c r="C51" s="136" t="s">
        <v>7385</v>
      </c>
      <c r="D51" s="179">
        <v>0.73</v>
      </c>
      <c r="E51" s="179">
        <v>0.73</v>
      </c>
      <c r="F51" s="229" t="s">
        <v>1656</v>
      </c>
      <c r="K51" s="35" t="s">
        <v>7433</v>
      </c>
      <c r="L51" s="35">
        <v>6706.0</v>
      </c>
      <c r="M51" s="36"/>
    </row>
    <row r="52">
      <c r="A52" s="25" t="s">
        <v>7434</v>
      </c>
      <c r="B52" s="25">
        <v>14646.0</v>
      </c>
      <c r="C52" s="136" t="s">
        <v>7385</v>
      </c>
      <c r="D52" s="179">
        <v>0.73</v>
      </c>
      <c r="E52" s="179">
        <v>0.73</v>
      </c>
      <c r="F52" s="229" t="s">
        <v>1656</v>
      </c>
      <c r="K52" s="35" t="s">
        <v>7434</v>
      </c>
      <c r="L52" s="35">
        <v>499.0</v>
      </c>
      <c r="M52" s="36"/>
    </row>
    <row r="53">
      <c r="A53" s="25" t="s">
        <v>7435</v>
      </c>
      <c r="B53" s="25">
        <v>14004.0</v>
      </c>
      <c r="C53" s="136" t="s">
        <v>7385</v>
      </c>
      <c r="D53" s="179">
        <v>0.73</v>
      </c>
      <c r="E53" s="179">
        <v>0.73</v>
      </c>
      <c r="F53" s="229" t="s">
        <v>1656</v>
      </c>
      <c r="K53" s="35" t="s">
        <v>7435</v>
      </c>
      <c r="L53" s="35">
        <v>6936.0</v>
      </c>
      <c r="M53" s="36"/>
    </row>
    <row r="54">
      <c r="A54" s="25" t="s">
        <v>7436</v>
      </c>
      <c r="B54" s="25">
        <v>189.0</v>
      </c>
      <c r="C54" s="136" t="s">
        <v>7385</v>
      </c>
      <c r="D54" s="179">
        <v>0.9</v>
      </c>
      <c r="E54" s="179">
        <v>0.9</v>
      </c>
      <c r="F54" s="229" t="s">
        <v>1656</v>
      </c>
      <c r="K54" s="35" t="s">
        <v>7436</v>
      </c>
      <c r="L54" s="35">
        <v>11708.0</v>
      </c>
      <c r="M54" s="36"/>
    </row>
    <row r="55">
      <c r="A55" s="25" t="s">
        <v>7437</v>
      </c>
      <c r="B55" s="25">
        <v>189.0</v>
      </c>
      <c r="C55" s="136" t="s">
        <v>7385</v>
      </c>
      <c r="D55" s="179">
        <v>0.9</v>
      </c>
      <c r="E55" s="179">
        <v>0.9</v>
      </c>
      <c r="F55" s="229" t="s">
        <v>1656</v>
      </c>
      <c r="K55" s="35" t="s">
        <v>7437</v>
      </c>
      <c r="L55" s="35">
        <v>2095.0</v>
      </c>
      <c r="M55" s="36"/>
    </row>
    <row r="56">
      <c r="A56" s="25" t="s">
        <v>7438</v>
      </c>
      <c r="B56" s="25">
        <v>3404.0</v>
      </c>
      <c r="C56" s="136" t="s">
        <v>7385</v>
      </c>
      <c r="D56" s="179">
        <v>0.73</v>
      </c>
      <c r="E56" s="179">
        <v>0.73</v>
      </c>
      <c r="F56" s="229" t="s">
        <v>1656</v>
      </c>
      <c r="K56" s="35" t="s">
        <v>7438</v>
      </c>
      <c r="L56" s="35">
        <v>14065.0</v>
      </c>
      <c r="M56" s="36"/>
    </row>
    <row r="57">
      <c r="A57" s="25" t="s">
        <v>7439</v>
      </c>
      <c r="B57" s="25"/>
      <c r="C57" s="136" t="s">
        <v>7385</v>
      </c>
      <c r="D57" s="179">
        <v>0.73</v>
      </c>
      <c r="E57" s="179">
        <v>0.73</v>
      </c>
      <c r="F57" s="229" t="s">
        <v>1656</v>
      </c>
      <c r="K57" s="35" t="s">
        <v>7439</v>
      </c>
      <c r="L57" s="35">
        <v>2095.0</v>
      </c>
      <c r="M57" s="36"/>
    </row>
    <row r="58">
      <c r="A58" s="25" t="s">
        <v>7440</v>
      </c>
      <c r="B58" s="25">
        <v>6772.0</v>
      </c>
      <c r="C58" s="136" t="s">
        <v>7385</v>
      </c>
      <c r="D58" s="179">
        <v>0.73</v>
      </c>
      <c r="E58" s="179">
        <v>0.73</v>
      </c>
      <c r="F58" s="229" t="s">
        <v>1656</v>
      </c>
      <c r="K58" s="35" t="s">
        <v>7440</v>
      </c>
      <c r="L58" s="35">
        <v>2345.0</v>
      </c>
      <c r="M58" s="36"/>
    </row>
    <row r="59">
      <c r="A59" s="25" t="s">
        <v>7441</v>
      </c>
      <c r="B59" s="25">
        <v>14298.0</v>
      </c>
      <c r="C59" s="136" t="s">
        <v>7385</v>
      </c>
      <c r="D59" s="179">
        <v>0.73</v>
      </c>
      <c r="E59" s="179">
        <v>0.73</v>
      </c>
      <c r="F59" s="229" t="s">
        <v>1656</v>
      </c>
      <c r="K59" s="35" t="s">
        <v>7441</v>
      </c>
      <c r="L59" s="35">
        <v>2345.0</v>
      </c>
      <c r="M59" s="35">
        <v>7100.0</v>
      </c>
    </row>
    <row r="60">
      <c r="A60" s="25" t="s">
        <v>7442</v>
      </c>
      <c r="B60" s="25"/>
      <c r="C60" s="136" t="s">
        <v>7385</v>
      </c>
      <c r="D60" s="179">
        <v>0.73</v>
      </c>
      <c r="E60" s="179">
        <v>0.73</v>
      </c>
      <c r="F60" s="229" t="s">
        <v>1656</v>
      </c>
      <c r="K60" s="35" t="s">
        <v>7442</v>
      </c>
      <c r="L60" s="35">
        <v>2345.0</v>
      </c>
      <c r="M60" s="36"/>
    </row>
    <row r="61">
      <c r="A61" s="25" t="s">
        <v>7443</v>
      </c>
      <c r="B61" s="37">
        <v>14465.0</v>
      </c>
      <c r="C61" s="136" t="s">
        <v>7385</v>
      </c>
      <c r="D61" s="179">
        <v>0.9</v>
      </c>
      <c r="E61" s="179">
        <v>0.9</v>
      </c>
      <c r="F61" s="229" t="s">
        <v>1656</v>
      </c>
      <c r="K61" s="11" t="s">
        <v>7443</v>
      </c>
      <c r="L61" s="11">
        <v>2345.0</v>
      </c>
    </row>
    <row r="62">
      <c r="A62" s="25" t="s">
        <v>7444</v>
      </c>
      <c r="B62" s="25">
        <v>11049.0</v>
      </c>
      <c r="C62" s="136" t="s">
        <v>7385</v>
      </c>
      <c r="D62" s="76">
        <v>0.787</v>
      </c>
      <c r="E62" s="76">
        <v>0.787</v>
      </c>
      <c r="F62" s="229" t="s">
        <v>1656</v>
      </c>
      <c r="K62" s="35" t="s">
        <v>7444</v>
      </c>
      <c r="L62" s="35">
        <v>7031.0</v>
      </c>
      <c r="M62" s="36"/>
    </row>
    <row r="63">
      <c r="A63" s="25" t="s">
        <v>7445</v>
      </c>
      <c r="B63" s="25">
        <v>14076.0</v>
      </c>
      <c r="C63" s="136" t="s">
        <v>7385</v>
      </c>
      <c r="D63" s="179">
        <v>0.73</v>
      </c>
      <c r="E63" s="179">
        <v>0.73</v>
      </c>
      <c r="F63" s="229" t="s">
        <v>1656</v>
      </c>
      <c r="K63" s="35" t="s">
        <v>7445</v>
      </c>
      <c r="L63" s="35">
        <v>7003.0</v>
      </c>
      <c r="M63" s="36"/>
    </row>
    <row r="64">
      <c r="A64" s="25" t="s">
        <v>7446</v>
      </c>
      <c r="B64" s="25">
        <v>6873.0</v>
      </c>
      <c r="C64" s="136" t="s">
        <v>7385</v>
      </c>
      <c r="D64" s="179">
        <v>0.73</v>
      </c>
      <c r="E64" s="179">
        <v>0.73</v>
      </c>
      <c r="F64" s="229" t="s">
        <v>1656</v>
      </c>
      <c r="K64" s="35" t="s">
        <v>7446</v>
      </c>
      <c r="L64" s="35">
        <v>6873.0</v>
      </c>
      <c r="M64" s="36"/>
    </row>
    <row r="65">
      <c r="A65" s="25" t="s">
        <v>7447</v>
      </c>
      <c r="B65" s="25">
        <v>11049.0</v>
      </c>
      <c r="C65" s="136" t="s">
        <v>7385</v>
      </c>
      <c r="D65" s="76">
        <v>0.787</v>
      </c>
      <c r="E65" s="76">
        <v>0.787</v>
      </c>
      <c r="F65" s="229" t="s">
        <v>1656</v>
      </c>
      <c r="K65" s="35" t="s">
        <v>7447</v>
      </c>
      <c r="L65" s="35">
        <v>13951.0</v>
      </c>
      <c r="M65" s="36"/>
    </row>
    <row r="66">
      <c r="A66" s="25" t="s">
        <v>7448</v>
      </c>
      <c r="B66" s="25">
        <v>11049.0</v>
      </c>
      <c r="C66" s="136" t="s">
        <v>7385</v>
      </c>
      <c r="D66" s="76">
        <v>0.787</v>
      </c>
      <c r="E66" s="76">
        <v>0.787</v>
      </c>
      <c r="F66" s="229" t="s">
        <v>1656</v>
      </c>
      <c r="K66" s="35" t="s">
        <v>7448</v>
      </c>
      <c r="L66" s="35">
        <v>13829.0</v>
      </c>
      <c r="M66" s="36"/>
    </row>
    <row r="67">
      <c r="A67" s="25" t="s">
        <v>7449</v>
      </c>
      <c r="B67" s="25">
        <v>12932.0</v>
      </c>
      <c r="C67" s="136" t="s">
        <v>7385</v>
      </c>
      <c r="D67" s="179">
        <v>0.73</v>
      </c>
      <c r="E67" s="179">
        <v>0.73</v>
      </c>
      <c r="F67" s="229" t="s">
        <v>1656</v>
      </c>
      <c r="K67" s="35" t="s">
        <v>7449</v>
      </c>
      <c r="L67" s="35">
        <v>12932.0</v>
      </c>
      <c r="M67" s="36"/>
    </row>
    <row r="68">
      <c r="A68" s="25" t="s">
        <v>7450</v>
      </c>
      <c r="B68" s="25">
        <v>5458.0</v>
      </c>
      <c r="C68" s="136" t="s">
        <v>7385</v>
      </c>
      <c r="D68" s="179">
        <v>0.73</v>
      </c>
      <c r="E68" s="179">
        <v>0.73</v>
      </c>
      <c r="F68" s="229" t="s">
        <v>1656</v>
      </c>
      <c r="K68" s="11" t="s">
        <v>7450</v>
      </c>
      <c r="L68" s="11">
        <v>5458.0</v>
      </c>
    </row>
    <row r="69">
      <c r="A69" s="25" t="s">
        <v>7451</v>
      </c>
      <c r="B69" s="25">
        <v>14575.0</v>
      </c>
      <c r="C69" s="136" t="s">
        <v>7385</v>
      </c>
      <c r="D69" s="74">
        <v>0.85</v>
      </c>
      <c r="E69" s="74">
        <v>0.85</v>
      </c>
      <c r="F69" s="229" t="s">
        <v>1656</v>
      </c>
      <c r="K69" s="35" t="s">
        <v>7451</v>
      </c>
      <c r="L69" s="35">
        <v>5458.0</v>
      </c>
      <c r="M69" s="36"/>
    </row>
    <row r="70">
      <c r="A70" s="25" t="s">
        <v>7452</v>
      </c>
      <c r="B70" s="25">
        <v>7157.0</v>
      </c>
      <c r="C70" s="136" t="s">
        <v>7385</v>
      </c>
      <c r="D70" s="179">
        <v>0.73</v>
      </c>
      <c r="E70" s="179">
        <v>0.73</v>
      </c>
      <c r="F70" s="229" t="s">
        <v>1656</v>
      </c>
      <c r="K70" s="11" t="s">
        <v>7452</v>
      </c>
      <c r="L70" s="11">
        <v>7157.0</v>
      </c>
    </row>
    <row r="71">
      <c r="A71" s="25" t="s">
        <v>7453</v>
      </c>
      <c r="B71" s="25"/>
      <c r="C71" s="136" t="s">
        <v>7385</v>
      </c>
      <c r="D71" s="179">
        <v>0.73</v>
      </c>
      <c r="E71" s="179">
        <v>0.73</v>
      </c>
      <c r="F71" s="229" t="s">
        <v>1656</v>
      </c>
      <c r="K71" s="35" t="s">
        <v>7453</v>
      </c>
      <c r="L71" s="35">
        <v>6772.0</v>
      </c>
      <c r="M71" s="36"/>
    </row>
    <row r="72">
      <c r="A72" s="25" t="s">
        <v>7454</v>
      </c>
      <c r="B72" s="25">
        <v>7033.0</v>
      </c>
      <c r="C72" s="136" t="s">
        <v>7385</v>
      </c>
      <c r="D72" s="179">
        <v>0.73</v>
      </c>
      <c r="E72" s="179">
        <v>0.73</v>
      </c>
      <c r="F72" s="229" t="s">
        <v>1656</v>
      </c>
      <c r="K72" s="11" t="s">
        <v>7454</v>
      </c>
      <c r="L72" s="11">
        <v>7033.0</v>
      </c>
    </row>
    <row r="73">
      <c r="A73" s="25" t="s">
        <v>7455</v>
      </c>
      <c r="B73" s="25">
        <v>6779.0</v>
      </c>
      <c r="C73" s="136" t="s">
        <v>7385</v>
      </c>
      <c r="D73" s="179">
        <v>0.73</v>
      </c>
      <c r="E73" s="179">
        <v>0.73</v>
      </c>
      <c r="F73" s="229" t="s">
        <v>1656</v>
      </c>
      <c r="K73" s="35" t="s">
        <v>7455</v>
      </c>
      <c r="L73" s="35">
        <v>7023.0</v>
      </c>
      <c r="M73" s="36"/>
    </row>
    <row r="74">
      <c r="A74" s="25" t="s">
        <v>7456</v>
      </c>
      <c r="B74" s="25">
        <v>11049.0</v>
      </c>
      <c r="C74" s="136" t="s">
        <v>7385</v>
      </c>
      <c r="D74" s="76">
        <v>0.787</v>
      </c>
      <c r="E74" s="76">
        <v>0.787</v>
      </c>
      <c r="F74" s="229" t="s">
        <v>1656</v>
      </c>
      <c r="K74" s="35" t="s">
        <v>7456</v>
      </c>
      <c r="L74" s="35">
        <v>14337.0</v>
      </c>
      <c r="M74" s="35">
        <v>6727.0</v>
      </c>
    </row>
    <row r="75">
      <c r="A75" s="25" t="s">
        <v>7457</v>
      </c>
      <c r="B75" s="25">
        <v>6133.0</v>
      </c>
      <c r="C75" s="136" t="s">
        <v>7385</v>
      </c>
      <c r="D75" s="179">
        <v>0.73</v>
      </c>
      <c r="E75" s="179">
        <v>0.73</v>
      </c>
      <c r="F75" s="229" t="s">
        <v>1656</v>
      </c>
      <c r="K75" s="35" t="s">
        <v>7457</v>
      </c>
      <c r="L75" s="35">
        <v>6727.0</v>
      </c>
      <c r="M75" s="36"/>
    </row>
    <row r="76">
      <c r="A76" s="25" t="s">
        <v>7458</v>
      </c>
      <c r="B76" s="25">
        <v>11049.0</v>
      </c>
      <c r="C76" s="136" t="s">
        <v>7385</v>
      </c>
      <c r="D76" s="76">
        <v>0.787</v>
      </c>
      <c r="E76" s="76">
        <v>0.787</v>
      </c>
      <c r="F76" s="229" t="s">
        <v>1656</v>
      </c>
      <c r="K76" s="35" t="s">
        <v>7458</v>
      </c>
      <c r="L76" s="35">
        <v>6727.0</v>
      </c>
      <c r="M76" s="36"/>
    </row>
    <row r="77">
      <c r="A77" s="25" t="s">
        <v>7459</v>
      </c>
      <c r="B77" s="25">
        <v>11049.0</v>
      </c>
      <c r="C77" s="136" t="s">
        <v>7385</v>
      </c>
      <c r="D77" s="76">
        <v>0.787</v>
      </c>
      <c r="E77" s="76">
        <v>0.787</v>
      </c>
      <c r="F77" s="229" t="s">
        <v>1656</v>
      </c>
      <c r="K77" s="35" t="s">
        <v>7459</v>
      </c>
      <c r="L77" s="35">
        <v>6727.0</v>
      </c>
      <c r="M77" s="36"/>
    </row>
    <row r="78">
      <c r="A78" s="25" t="s">
        <v>7460</v>
      </c>
      <c r="B78" s="25">
        <v>9307.0</v>
      </c>
      <c r="C78" s="136" t="s">
        <v>7385</v>
      </c>
      <c r="D78" s="179">
        <v>0.73</v>
      </c>
      <c r="E78" s="179">
        <v>0.73</v>
      </c>
      <c r="F78" s="229" t="s">
        <v>1656</v>
      </c>
      <c r="K78" s="11" t="s">
        <v>7460</v>
      </c>
      <c r="L78" s="11">
        <v>9307.0</v>
      </c>
    </row>
    <row r="79">
      <c r="A79" s="25" t="s">
        <v>7461</v>
      </c>
      <c r="B79" s="25">
        <v>7229.0</v>
      </c>
      <c r="C79" s="136" t="s">
        <v>7385</v>
      </c>
      <c r="D79" s="179">
        <v>0.73</v>
      </c>
      <c r="E79" s="179">
        <v>0.73</v>
      </c>
      <c r="F79" s="229" t="s">
        <v>1656</v>
      </c>
      <c r="K79" s="11" t="s">
        <v>7461</v>
      </c>
      <c r="L79" s="11">
        <v>7229.0</v>
      </c>
    </row>
    <row r="80">
      <c r="A80" s="25" t="s">
        <v>7462</v>
      </c>
      <c r="B80" s="25">
        <v>2345.0</v>
      </c>
      <c r="C80" s="136" t="s">
        <v>7385</v>
      </c>
      <c r="D80" s="179">
        <v>0.9</v>
      </c>
      <c r="E80" s="179">
        <v>0.9</v>
      </c>
      <c r="F80" s="229" t="s">
        <v>1656</v>
      </c>
      <c r="K80" s="35" t="s">
        <v>7462</v>
      </c>
      <c r="L80" s="35">
        <v>12388.0</v>
      </c>
      <c r="M80" s="36"/>
    </row>
    <row r="81">
      <c r="A81" s="25" t="s">
        <v>7463</v>
      </c>
      <c r="B81" s="25">
        <v>2345.0</v>
      </c>
      <c r="C81" s="136" t="s">
        <v>7385</v>
      </c>
      <c r="D81" s="179">
        <v>0.9</v>
      </c>
      <c r="E81" s="179">
        <v>0.9</v>
      </c>
      <c r="F81" s="229" t="s">
        <v>1656</v>
      </c>
      <c r="K81" s="35" t="s">
        <v>7463</v>
      </c>
      <c r="L81" s="35">
        <v>14440.0</v>
      </c>
      <c r="M81" s="36"/>
    </row>
    <row r="82">
      <c r="A82" s="25" t="s">
        <v>7464</v>
      </c>
      <c r="B82" s="25">
        <v>2345.0</v>
      </c>
      <c r="C82" s="136" t="s">
        <v>7385</v>
      </c>
      <c r="D82" s="179">
        <v>0.9</v>
      </c>
      <c r="E82" s="179">
        <v>0.9</v>
      </c>
      <c r="F82" s="229" t="s">
        <v>1656</v>
      </c>
      <c r="K82" s="35" t="s">
        <v>7464</v>
      </c>
      <c r="L82" s="11">
        <v>467.0</v>
      </c>
      <c r="M82" s="35">
        <v>315.0</v>
      </c>
    </row>
    <row r="83">
      <c r="A83" s="25" t="s">
        <v>7465</v>
      </c>
      <c r="B83" s="25">
        <v>2345.0</v>
      </c>
      <c r="C83" s="136" t="s">
        <v>7385</v>
      </c>
      <c r="D83" s="179">
        <v>0.9</v>
      </c>
      <c r="E83" s="179">
        <v>0.9</v>
      </c>
      <c r="F83" s="229" t="s">
        <v>1656</v>
      </c>
      <c r="K83" s="35" t="s">
        <v>7465</v>
      </c>
      <c r="L83" s="35">
        <v>5389.0</v>
      </c>
      <c r="M83" s="36"/>
    </row>
    <row r="84">
      <c r="A84" s="25" t="s">
        <v>7466</v>
      </c>
      <c r="B84" s="25">
        <v>2345.0</v>
      </c>
      <c r="C84" s="136" t="s">
        <v>7385</v>
      </c>
      <c r="D84" s="179">
        <v>0.9</v>
      </c>
      <c r="E84" s="179">
        <v>0.9</v>
      </c>
      <c r="F84" s="229" t="s">
        <v>1656</v>
      </c>
      <c r="K84" s="35" t="s">
        <v>7466</v>
      </c>
      <c r="L84" s="35">
        <v>6132.0</v>
      </c>
      <c r="M84" s="36"/>
    </row>
    <row r="85">
      <c r="A85" s="25" t="s">
        <v>7467</v>
      </c>
      <c r="B85" s="25">
        <v>2345.0</v>
      </c>
      <c r="C85" s="136" t="s">
        <v>7385</v>
      </c>
      <c r="D85" s="179">
        <v>0.9</v>
      </c>
      <c r="E85" s="179">
        <v>0.9</v>
      </c>
      <c r="F85" s="229" t="s">
        <v>1656</v>
      </c>
      <c r="K85" s="35" t="s">
        <v>7467</v>
      </c>
      <c r="L85" s="35">
        <v>6774.0</v>
      </c>
      <c r="M85" s="36"/>
    </row>
    <row r="86">
      <c r="A86" s="25" t="s">
        <v>7468</v>
      </c>
      <c r="B86" s="25">
        <v>11049.0</v>
      </c>
      <c r="C86" s="136" t="s">
        <v>7385</v>
      </c>
      <c r="D86" s="76">
        <v>0.787</v>
      </c>
      <c r="E86" s="76">
        <v>0.787</v>
      </c>
      <c r="F86" s="229" t="s">
        <v>1656</v>
      </c>
      <c r="K86" s="35" t="s">
        <v>7468</v>
      </c>
      <c r="L86" s="35">
        <v>6891.0</v>
      </c>
      <c r="M86" s="36"/>
    </row>
    <row r="87">
      <c r="A87" s="25" t="s">
        <v>7469</v>
      </c>
      <c r="B87" s="25">
        <v>11049.0</v>
      </c>
      <c r="C87" s="136" t="s">
        <v>7385</v>
      </c>
      <c r="D87" s="76">
        <v>0.787</v>
      </c>
      <c r="E87" s="76">
        <v>0.787</v>
      </c>
      <c r="F87" s="229" t="s">
        <v>1656</v>
      </c>
      <c r="K87" s="11" t="s">
        <v>7469</v>
      </c>
      <c r="L87" s="11">
        <v>14020.0</v>
      </c>
    </row>
    <row r="88">
      <c r="A88" s="25" t="s">
        <v>7470</v>
      </c>
      <c r="B88" s="25">
        <v>11049.0</v>
      </c>
      <c r="C88" s="136" t="s">
        <v>7385</v>
      </c>
      <c r="D88" s="76">
        <v>0.787</v>
      </c>
      <c r="E88" s="76">
        <v>0.787</v>
      </c>
      <c r="F88" s="229" t="s">
        <v>1656</v>
      </c>
      <c r="K88" s="35" t="s">
        <v>7470</v>
      </c>
      <c r="L88" s="35">
        <v>11049.0</v>
      </c>
      <c r="M88" s="36"/>
    </row>
    <row r="89">
      <c r="A89" s="25" t="s">
        <v>7471</v>
      </c>
      <c r="B89" s="25">
        <v>11049.0</v>
      </c>
      <c r="C89" s="136" t="s">
        <v>7385</v>
      </c>
      <c r="D89" s="76">
        <v>0.787</v>
      </c>
      <c r="E89" s="76">
        <v>0.787</v>
      </c>
      <c r="F89" s="229" t="s">
        <v>1656</v>
      </c>
      <c r="K89" s="35" t="s">
        <v>7471</v>
      </c>
      <c r="L89" s="35">
        <v>11049.0</v>
      </c>
      <c r="M89" s="36"/>
    </row>
    <row r="90">
      <c r="A90" s="25" t="s">
        <v>7472</v>
      </c>
      <c r="B90" s="25">
        <v>11049.0</v>
      </c>
      <c r="C90" s="136" t="s">
        <v>7385</v>
      </c>
      <c r="D90" s="76">
        <v>0.787</v>
      </c>
      <c r="E90" s="76">
        <v>0.787</v>
      </c>
      <c r="F90" s="229" t="s">
        <v>1656</v>
      </c>
      <c r="K90" s="35" t="s">
        <v>7472</v>
      </c>
      <c r="L90" s="35">
        <v>11049.0</v>
      </c>
      <c r="M90" s="36"/>
    </row>
    <row r="91">
      <c r="A91" s="25" t="s">
        <v>7473</v>
      </c>
      <c r="B91" s="25">
        <v>11049.0</v>
      </c>
      <c r="C91" s="136" t="s">
        <v>7385</v>
      </c>
      <c r="D91" s="76">
        <v>0.787</v>
      </c>
      <c r="E91" s="76">
        <v>0.787</v>
      </c>
      <c r="F91" s="229" t="s">
        <v>1656</v>
      </c>
      <c r="K91" s="35" t="s">
        <v>7473</v>
      </c>
      <c r="L91" s="35">
        <v>11049.0</v>
      </c>
      <c r="M91" s="36"/>
    </row>
    <row r="92">
      <c r="A92" s="25" t="s">
        <v>7474</v>
      </c>
      <c r="B92" s="25">
        <v>7031.0</v>
      </c>
      <c r="C92" s="136" t="s">
        <v>7385</v>
      </c>
      <c r="D92" s="179">
        <v>0.73</v>
      </c>
      <c r="E92" s="179">
        <v>0.73</v>
      </c>
      <c r="F92" s="229" t="s">
        <v>1656</v>
      </c>
      <c r="K92" s="35" t="s">
        <v>7474</v>
      </c>
      <c r="L92" s="35">
        <v>11049.0</v>
      </c>
      <c r="M92" s="36"/>
    </row>
    <row r="93">
      <c r="A93" s="25" t="s">
        <v>7475</v>
      </c>
      <c r="B93" s="25">
        <v>11049.0</v>
      </c>
      <c r="C93" s="136" t="s">
        <v>7385</v>
      </c>
      <c r="D93" s="76">
        <v>0.787</v>
      </c>
      <c r="E93" s="76">
        <v>0.787</v>
      </c>
      <c r="F93" s="229" t="s">
        <v>1656</v>
      </c>
      <c r="K93" s="35" t="s">
        <v>7475</v>
      </c>
      <c r="L93" s="35">
        <v>7142.0</v>
      </c>
      <c r="M93" s="36"/>
    </row>
    <row r="94">
      <c r="A94" s="25" t="s">
        <v>3928</v>
      </c>
      <c r="B94" s="25">
        <v>8161.0</v>
      </c>
      <c r="C94" s="136" t="s">
        <v>7385</v>
      </c>
      <c r="D94" s="179">
        <v>0.73</v>
      </c>
      <c r="E94" s="179">
        <v>0.73</v>
      </c>
      <c r="F94" s="229" t="s">
        <v>1656</v>
      </c>
      <c r="K94" s="35" t="s">
        <v>3928</v>
      </c>
      <c r="L94" s="35">
        <v>8161.0</v>
      </c>
      <c r="M94" s="36"/>
    </row>
    <row r="95">
      <c r="A95" s="101" t="s">
        <v>7476</v>
      </c>
      <c r="B95" s="57"/>
      <c r="C95" s="136" t="s">
        <v>7385</v>
      </c>
      <c r="D95" s="179">
        <v>0.73</v>
      </c>
      <c r="E95" s="179">
        <v>0.73</v>
      </c>
      <c r="F95" s="229" t="s">
        <v>1656</v>
      </c>
      <c r="K95" s="208" t="s">
        <v>7476</v>
      </c>
      <c r="L95" s="350">
        <v>6143.0</v>
      </c>
      <c r="M95" s="36"/>
    </row>
    <row r="96">
      <c r="A96" s="202" t="s">
        <v>7477</v>
      </c>
      <c r="B96" s="188">
        <v>8486.0</v>
      </c>
      <c r="C96" s="136" t="s">
        <v>7385</v>
      </c>
      <c r="D96" s="179">
        <v>0.83</v>
      </c>
      <c r="E96" s="179">
        <v>0.83</v>
      </c>
      <c r="F96" s="229" t="s">
        <v>1656</v>
      </c>
      <c r="G96" s="25" t="s">
        <v>207</v>
      </c>
    </row>
    <row r="97">
      <c r="A97" s="202" t="s">
        <v>7478</v>
      </c>
      <c r="B97" s="188">
        <v>12259.0</v>
      </c>
      <c r="C97" s="136" t="s">
        <v>7385</v>
      </c>
      <c r="D97" s="179">
        <v>0.73</v>
      </c>
      <c r="E97" s="179">
        <v>0.73</v>
      </c>
      <c r="F97" s="229" t="s">
        <v>1656</v>
      </c>
      <c r="G97" s="25" t="s">
        <v>207</v>
      </c>
    </row>
    <row r="98">
      <c r="A98" s="202" t="s">
        <v>7479</v>
      </c>
      <c r="B98" s="188">
        <v>12277.0</v>
      </c>
      <c r="C98" s="136" t="s">
        <v>7385</v>
      </c>
      <c r="D98" s="179">
        <v>0.73</v>
      </c>
      <c r="E98" s="179">
        <v>0.73</v>
      </c>
      <c r="F98" s="229" t="s">
        <v>1656</v>
      </c>
      <c r="G98" s="25" t="s">
        <v>207</v>
      </c>
    </row>
    <row r="99">
      <c r="A99" s="202" t="s">
        <v>7480</v>
      </c>
      <c r="B99" s="72">
        <v>13988.0</v>
      </c>
      <c r="C99" s="136" t="s">
        <v>7385</v>
      </c>
      <c r="D99" s="179">
        <v>0.73</v>
      </c>
      <c r="E99" s="179">
        <v>0.73</v>
      </c>
      <c r="F99" s="229" t="s">
        <v>1656</v>
      </c>
      <c r="G99" s="25" t="s">
        <v>207</v>
      </c>
    </row>
    <row r="100">
      <c r="A100" s="202" t="s">
        <v>7481</v>
      </c>
      <c r="B100" s="72">
        <v>7416.0</v>
      </c>
      <c r="C100" s="136" t="s">
        <v>7385</v>
      </c>
      <c r="D100" s="179">
        <v>0.73</v>
      </c>
      <c r="E100" s="179">
        <v>0.73</v>
      </c>
      <c r="F100" s="229" t="s">
        <v>1656</v>
      </c>
      <c r="G100" s="25" t="s">
        <v>207</v>
      </c>
    </row>
    <row r="101">
      <c r="A101" s="202" t="s">
        <v>7482</v>
      </c>
      <c r="B101" s="72">
        <v>13811.0</v>
      </c>
      <c r="C101" s="136" t="s">
        <v>7385</v>
      </c>
      <c r="D101" s="179">
        <v>0.73</v>
      </c>
      <c r="E101" s="179">
        <v>0.73</v>
      </c>
      <c r="F101" s="229" t="s">
        <v>1656</v>
      </c>
      <c r="G101" s="25" t="s">
        <v>207</v>
      </c>
    </row>
    <row r="102">
      <c r="A102" s="202" t="s">
        <v>7483</v>
      </c>
      <c r="B102" s="202"/>
      <c r="C102" s="136" t="s">
        <v>7385</v>
      </c>
      <c r="D102" s="179">
        <v>0.73</v>
      </c>
      <c r="E102" s="179">
        <v>0.73</v>
      </c>
      <c r="F102" s="229" t="s">
        <v>1656</v>
      </c>
      <c r="G102" s="25" t="s">
        <v>207</v>
      </c>
    </row>
    <row r="103">
      <c r="A103" s="25" t="s">
        <v>4160</v>
      </c>
      <c r="B103" s="25">
        <v>14594.0</v>
      </c>
      <c r="C103" s="136" t="s">
        <v>7385</v>
      </c>
      <c r="D103" s="179">
        <v>0.73</v>
      </c>
      <c r="E103" s="179">
        <v>0.73</v>
      </c>
      <c r="F103" s="229" t="s">
        <v>1656</v>
      </c>
    </row>
    <row r="104">
      <c r="A104" s="25" t="s">
        <v>220</v>
      </c>
      <c r="B104" s="25">
        <v>14663.0</v>
      </c>
      <c r="C104" s="136" t="s">
        <v>7385</v>
      </c>
      <c r="D104" s="179">
        <v>0.73</v>
      </c>
      <c r="E104" s="179">
        <v>0.73</v>
      </c>
      <c r="F104" s="229" t="s">
        <v>1656</v>
      </c>
    </row>
    <row r="105">
      <c r="A105" s="25" t="s">
        <v>43</v>
      </c>
      <c r="B105" s="25">
        <v>14727.0</v>
      </c>
      <c r="C105" s="136" t="s">
        <v>7385</v>
      </c>
      <c r="D105" s="179">
        <v>0.73</v>
      </c>
      <c r="E105" s="179">
        <v>0.73</v>
      </c>
      <c r="F105" s="229" t="s">
        <v>1656</v>
      </c>
    </row>
    <row r="106">
      <c r="A106" s="231"/>
      <c r="B106" s="231"/>
      <c r="C106" s="231"/>
    </row>
    <row r="107">
      <c r="A107" s="231"/>
      <c r="B107" s="231"/>
      <c r="C107" s="231"/>
    </row>
    <row r="108">
      <c r="A108" s="231"/>
      <c r="B108" s="231"/>
      <c r="C108" s="231"/>
    </row>
    <row r="109">
      <c r="A109" s="231"/>
      <c r="B109" s="231"/>
      <c r="C109" s="231"/>
    </row>
    <row r="110">
      <c r="A110" s="231"/>
      <c r="B110" s="231"/>
      <c r="C110" s="231"/>
    </row>
    <row r="111">
      <c r="A111" s="231"/>
      <c r="B111" s="231"/>
      <c r="C111" s="231"/>
    </row>
    <row r="112">
      <c r="A112" s="231"/>
      <c r="B112" s="231"/>
      <c r="C112" s="231"/>
    </row>
    <row r="113">
      <c r="A113" s="231"/>
      <c r="B113" s="231"/>
      <c r="C113" s="231"/>
    </row>
    <row r="114">
      <c r="A114" s="231"/>
      <c r="B114" s="231"/>
      <c r="C114" s="231"/>
    </row>
    <row r="115">
      <c r="A115" s="231"/>
      <c r="B115" s="231"/>
      <c r="C115" s="231"/>
    </row>
    <row r="116">
      <c r="A116" s="231"/>
      <c r="B116" s="231"/>
      <c r="C116" s="231"/>
    </row>
    <row r="117">
      <c r="A117" s="231"/>
      <c r="B117" s="231"/>
      <c r="C117" s="231"/>
    </row>
    <row r="118">
      <c r="A118" s="231"/>
      <c r="B118" s="231"/>
      <c r="C118" s="231"/>
    </row>
    <row r="119">
      <c r="A119" s="231"/>
      <c r="B119" s="231"/>
      <c r="C119" s="231"/>
    </row>
    <row r="120">
      <c r="A120" s="231"/>
      <c r="B120" s="231"/>
      <c r="C120" s="231"/>
    </row>
    <row r="121">
      <c r="A121" s="231"/>
      <c r="B121" s="231"/>
      <c r="C121" s="231"/>
    </row>
    <row r="122">
      <c r="A122" s="231"/>
      <c r="B122" s="231"/>
      <c r="C122" s="231"/>
    </row>
    <row r="123">
      <c r="A123" s="231"/>
      <c r="B123" s="231"/>
      <c r="C123" s="231"/>
    </row>
    <row r="124">
      <c r="A124" s="231"/>
      <c r="B124" s="231"/>
      <c r="C124" s="231"/>
    </row>
    <row r="125">
      <c r="A125" s="231"/>
      <c r="B125" s="231"/>
      <c r="C125" s="231"/>
    </row>
    <row r="126">
      <c r="A126" s="231"/>
      <c r="B126" s="231"/>
      <c r="C126" s="231"/>
    </row>
    <row r="127">
      <c r="A127" s="231"/>
      <c r="B127" s="231"/>
      <c r="C127" s="231"/>
    </row>
    <row r="128">
      <c r="A128" s="231"/>
      <c r="B128" s="231"/>
      <c r="C128" s="231"/>
    </row>
    <row r="129">
      <c r="A129" s="231"/>
      <c r="B129" s="231"/>
      <c r="C129" s="231"/>
    </row>
    <row r="130">
      <c r="A130" s="231"/>
      <c r="B130" s="231"/>
      <c r="C130" s="231"/>
    </row>
    <row r="131">
      <c r="A131" s="231"/>
      <c r="B131" s="231"/>
      <c r="C131" s="231"/>
    </row>
    <row r="132">
      <c r="A132" s="231"/>
      <c r="B132" s="231"/>
      <c r="C132" s="231"/>
    </row>
    <row r="133">
      <c r="A133" s="231"/>
      <c r="B133" s="231"/>
      <c r="C133" s="231"/>
    </row>
    <row r="134">
      <c r="A134" s="231"/>
      <c r="B134" s="231"/>
      <c r="C134" s="231"/>
    </row>
    <row r="135">
      <c r="A135" s="231"/>
      <c r="B135" s="231"/>
      <c r="C135" s="231"/>
    </row>
    <row r="136">
      <c r="A136" s="231"/>
      <c r="B136" s="231"/>
      <c r="C136" s="231"/>
    </row>
    <row r="137">
      <c r="A137" s="231"/>
      <c r="B137" s="231"/>
      <c r="C137" s="231"/>
    </row>
    <row r="138">
      <c r="A138" s="231"/>
      <c r="B138" s="231"/>
      <c r="C138" s="231"/>
    </row>
    <row r="139">
      <c r="A139" s="231"/>
      <c r="B139" s="231"/>
      <c r="C139" s="231"/>
    </row>
    <row r="140">
      <c r="A140" s="231"/>
      <c r="B140" s="231"/>
      <c r="C140" s="231"/>
    </row>
    <row r="141">
      <c r="A141" s="231"/>
      <c r="B141" s="231"/>
      <c r="C141" s="231"/>
    </row>
    <row r="142">
      <c r="A142" s="231"/>
      <c r="B142" s="231"/>
      <c r="C142" s="231"/>
    </row>
    <row r="143">
      <c r="A143" s="231"/>
      <c r="B143" s="231"/>
      <c r="C143" s="231"/>
    </row>
    <row r="144">
      <c r="A144" s="231"/>
      <c r="B144" s="231"/>
      <c r="C144" s="231"/>
    </row>
    <row r="145">
      <c r="A145" s="231"/>
      <c r="B145" s="231"/>
      <c r="C145" s="231"/>
    </row>
    <row r="146">
      <c r="A146" s="231"/>
      <c r="B146" s="231"/>
      <c r="C146" s="231"/>
    </row>
    <row r="147">
      <c r="A147" s="231"/>
      <c r="B147" s="231"/>
      <c r="C147" s="231"/>
    </row>
    <row r="148">
      <c r="A148" s="231"/>
      <c r="B148" s="231"/>
      <c r="C148" s="231"/>
    </row>
    <row r="149">
      <c r="A149" s="231"/>
      <c r="B149" s="231"/>
      <c r="C149" s="231"/>
    </row>
    <row r="150">
      <c r="A150" s="231"/>
      <c r="B150" s="231"/>
      <c r="C150" s="231"/>
    </row>
    <row r="151">
      <c r="A151" s="231"/>
      <c r="B151" s="231"/>
      <c r="C151" s="231"/>
    </row>
    <row r="152">
      <c r="A152" s="231"/>
      <c r="B152" s="231"/>
      <c r="C152" s="231"/>
    </row>
    <row r="153">
      <c r="A153" s="231"/>
      <c r="B153" s="231"/>
      <c r="C153" s="231"/>
    </row>
    <row r="154">
      <c r="A154" s="231"/>
      <c r="B154" s="231"/>
      <c r="C154" s="231"/>
    </row>
    <row r="155">
      <c r="A155" s="231"/>
      <c r="B155" s="231"/>
      <c r="C155" s="231"/>
    </row>
    <row r="156">
      <c r="A156" s="231"/>
      <c r="B156" s="231"/>
      <c r="C156" s="231"/>
    </row>
    <row r="157">
      <c r="A157" s="231"/>
      <c r="B157" s="231"/>
      <c r="C157" s="231"/>
    </row>
    <row r="158">
      <c r="A158" s="231"/>
      <c r="B158" s="231"/>
      <c r="C158" s="231"/>
    </row>
    <row r="159">
      <c r="A159" s="231"/>
      <c r="B159" s="231"/>
      <c r="C159" s="231"/>
    </row>
    <row r="160">
      <c r="A160" s="231"/>
      <c r="B160" s="231"/>
      <c r="C160" s="231"/>
    </row>
    <row r="161">
      <c r="A161" s="231"/>
      <c r="B161" s="231"/>
      <c r="C161" s="231"/>
    </row>
    <row r="162">
      <c r="A162" s="231"/>
      <c r="B162" s="231"/>
      <c r="C162" s="231"/>
    </row>
    <row r="163">
      <c r="A163" s="231"/>
      <c r="B163" s="231"/>
      <c r="C163" s="231"/>
    </row>
    <row r="164">
      <c r="A164" s="231"/>
      <c r="B164" s="231"/>
      <c r="C164" s="231"/>
    </row>
    <row r="165">
      <c r="A165" s="231"/>
      <c r="B165" s="231"/>
      <c r="C165" s="231"/>
    </row>
    <row r="166">
      <c r="A166" s="231"/>
      <c r="B166" s="231"/>
      <c r="C166" s="231"/>
    </row>
    <row r="167">
      <c r="A167" s="231"/>
      <c r="B167" s="231"/>
      <c r="C167" s="231"/>
    </row>
    <row r="168">
      <c r="A168" s="231"/>
      <c r="B168" s="231"/>
      <c r="C168" s="231"/>
    </row>
    <row r="169">
      <c r="A169" s="231"/>
      <c r="B169" s="231"/>
      <c r="C169" s="231"/>
    </row>
    <row r="170">
      <c r="A170" s="231"/>
      <c r="B170" s="231"/>
      <c r="C170" s="231"/>
    </row>
    <row r="171">
      <c r="A171" s="231"/>
      <c r="B171" s="231"/>
      <c r="C171" s="231"/>
    </row>
    <row r="172">
      <c r="A172" s="231"/>
      <c r="B172" s="231"/>
      <c r="C172" s="231"/>
    </row>
    <row r="173">
      <c r="A173" s="231"/>
      <c r="B173" s="231"/>
      <c r="C173" s="231"/>
    </row>
    <row r="174">
      <c r="A174" s="231"/>
      <c r="B174" s="231"/>
      <c r="C174" s="231"/>
    </row>
    <row r="175">
      <c r="A175" s="231"/>
      <c r="B175" s="231"/>
      <c r="C175" s="231"/>
    </row>
    <row r="176">
      <c r="A176" s="231"/>
      <c r="B176" s="231"/>
      <c r="C176" s="231"/>
    </row>
    <row r="177">
      <c r="A177" s="231"/>
      <c r="B177" s="231"/>
      <c r="C177" s="231"/>
    </row>
    <row r="178">
      <c r="A178" s="231"/>
      <c r="B178" s="231"/>
      <c r="C178" s="231"/>
    </row>
    <row r="179">
      <c r="A179" s="231"/>
      <c r="B179" s="231"/>
      <c r="C179" s="231"/>
    </row>
    <row r="180">
      <c r="A180" s="231"/>
      <c r="B180" s="231"/>
      <c r="C180" s="231"/>
    </row>
    <row r="181">
      <c r="A181" s="231"/>
      <c r="B181" s="231"/>
      <c r="C181" s="231"/>
    </row>
    <row r="182">
      <c r="A182" s="231"/>
      <c r="B182" s="231"/>
      <c r="C182" s="231"/>
    </row>
    <row r="183">
      <c r="A183" s="231"/>
      <c r="B183" s="231"/>
      <c r="C183" s="231"/>
    </row>
    <row r="184">
      <c r="A184" s="231"/>
      <c r="B184" s="231"/>
      <c r="C184" s="231"/>
    </row>
    <row r="185">
      <c r="A185" s="231"/>
      <c r="B185" s="231"/>
      <c r="C185" s="231"/>
    </row>
    <row r="186">
      <c r="A186" s="231"/>
      <c r="B186" s="231"/>
      <c r="C186" s="231"/>
    </row>
    <row r="187">
      <c r="A187" s="231"/>
      <c r="B187" s="231"/>
      <c r="C187" s="231"/>
    </row>
    <row r="188">
      <c r="A188" s="231"/>
      <c r="B188" s="231"/>
      <c r="C188" s="231"/>
    </row>
    <row r="189">
      <c r="A189" s="231"/>
      <c r="B189" s="231"/>
      <c r="C189" s="231"/>
    </row>
    <row r="190">
      <c r="A190" s="231"/>
      <c r="B190" s="231"/>
      <c r="C190" s="231"/>
    </row>
    <row r="191">
      <c r="A191" s="231"/>
      <c r="B191" s="231"/>
      <c r="C191" s="231"/>
    </row>
    <row r="192">
      <c r="A192" s="231"/>
      <c r="B192" s="231"/>
      <c r="C192" s="231"/>
    </row>
    <row r="193">
      <c r="A193" s="231"/>
      <c r="B193" s="231"/>
      <c r="C193" s="231"/>
    </row>
    <row r="194">
      <c r="A194" s="231"/>
      <c r="B194" s="231"/>
      <c r="C194" s="231"/>
    </row>
    <row r="195">
      <c r="A195" s="231"/>
      <c r="B195" s="231"/>
      <c r="C195" s="231"/>
    </row>
    <row r="196">
      <c r="A196" s="231"/>
      <c r="B196" s="231"/>
      <c r="C196" s="231"/>
    </row>
    <row r="197">
      <c r="A197" s="231"/>
      <c r="B197" s="231"/>
      <c r="C197" s="231"/>
    </row>
    <row r="198">
      <c r="A198" s="231"/>
      <c r="B198" s="231"/>
      <c r="C198" s="231"/>
    </row>
    <row r="199">
      <c r="A199" s="231"/>
      <c r="B199" s="231"/>
      <c r="C199" s="231"/>
    </row>
    <row r="200">
      <c r="A200" s="231"/>
      <c r="B200" s="231"/>
      <c r="C200" s="231"/>
    </row>
    <row r="201">
      <c r="A201" s="231"/>
      <c r="B201" s="231"/>
      <c r="C201" s="231"/>
    </row>
    <row r="202">
      <c r="A202" s="231"/>
      <c r="B202" s="231"/>
      <c r="C202" s="231"/>
    </row>
    <row r="203">
      <c r="A203" s="231"/>
      <c r="B203" s="231"/>
      <c r="C203" s="231"/>
    </row>
    <row r="204">
      <c r="A204" s="231"/>
      <c r="B204" s="231"/>
      <c r="C204" s="231"/>
    </row>
    <row r="205">
      <c r="A205" s="231"/>
      <c r="B205" s="231"/>
      <c r="C205" s="231"/>
    </row>
    <row r="206">
      <c r="A206" s="231"/>
      <c r="B206" s="231"/>
      <c r="C206" s="231"/>
    </row>
    <row r="207">
      <c r="A207" s="231"/>
      <c r="B207" s="231"/>
      <c r="C207" s="231"/>
    </row>
    <row r="208">
      <c r="A208" s="231"/>
      <c r="B208" s="231"/>
      <c r="C208" s="231"/>
    </row>
    <row r="209">
      <c r="A209" s="231"/>
      <c r="B209" s="231"/>
      <c r="C209" s="231"/>
    </row>
    <row r="210">
      <c r="A210" s="231"/>
      <c r="B210" s="231"/>
      <c r="C210" s="231"/>
    </row>
    <row r="211">
      <c r="A211" s="231"/>
      <c r="B211" s="231"/>
      <c r="C211" s="231"/>
    </row>
    <row r="212">
      <c r="A212" s="231"/>
      <c r="B212" s="231"/>
      <c r="C212" s="231"/>
    </row>
    <row r="213">
      <c r="A213" s="231"/>
      <c r="B213" s="231"/>
      <c r="C213" s="231"/>
    </row>
    <row r="214">
      <c r="A214" s="231"/>
      <c r="B214" s="231"/>
      <c r="C214" s="231"/>
    </row>
    <row r="215">
      <c r="A215" s="231"/>
      <c r="B215" s="231"/>
      <c r="C215" s="231"/>
    </row>
    <row r="216">
      <c r="A216" s="231"/>
      <c r="B216" s="231"/>
      <c r="C216" s="231"/>
    </row>
    <row r="217">
      <c r="A217" s="231"/>
      <c r="B217" s="231"/>
      <c r="C217" s="231"/>
    </row>
    <row r="218">
      <c r="A218" s="231"/>
      <c r="B218" s="231"/>
      <c r="C218" s="231"/>
    </row>
    <row r="219">
      <c r="A219" s="231"/>
      <c r="B219" s="231"/>
      <c r="C219" s="231"/>
    </row>
    <row r="220">
      <c r="A220" s="231"/>
      <c r="B220" s="231"/>
      <c r="C220" s="231"/>
    </row>
    <row r="221">
      <c r="A221" s="231"/>
      <c r="B221" s="231"/>
      <c r="C221" s="231"/>
    </row>
    <row r="222">
      <c r="A222" s="231"/>
      <c r="B222" s="231"/>
      <c r="C222" s="231"/>
    </row>
    <row r="223">
      <c r="A223" s="231"/>
      <c r="B223" s="231"/>
      <c r="C223" s="231"/>
    </row>
    <row r="224">
      <c r="A224" s="231"/>
      <c r="B224" s="231"/>
      <c r="C224" s="231"/>
    </row>
    <row r="225">
      <c r="A225" s="231"/>
      <c r="B225" s="231"/>
      <c r="C225" s="231"/>
    </row>
    <row r="226">
      <c r="A226" s="231"/>
      <c r="B226" s="231"/>
      <c r="C226" s="231"/>
    </row>
    <row r="227">
      <c r="A227" s="231"/>
      <c r="B227" s="231"/>
      <c r="C227" s="231"/>
    </row>
    <row r="228">
      <c r="A228" s="231"/>
      <c r="B228" s="231"/>
      <c r="C228" s="231"/>
    </row>
    <row r="229">
      <c r="A229" s="231"/>
      <c r="B229" s="231"/>
      <c r="C229" s="231"/>
    </row>
    <row r="230">
      <c r="A230" s="231"/>
      <c r="B230" s="231"/>
      <c r="C230" s="231"/>
    </row>
    <row r="231">
      <c r="A231" s="231"/>
      <c r="B231" s="231"/>
      <c r="C231" s="231"/>
    </row>
    <row r="232">
      <c r="A232" s="231"/>
      <c r="B232" s="231"/>
      <c r="C232" s="231"/>
    </row>
    <row r="233">
      <c r="A233" s="231"/>
      <c r="B233" s="231"/>
      <c r="C233" s="231"/>
    </row>
    <row r="234">
      <c r="A234" s="231"/>
      <c r="B234" s="231"/>
      <c r="C234" s="231"/>
    </row>
    <row r="235">
      <c r="A235" s="231"/>
      <c r="B235" s="231"/>
      <c r="C235" s="231"/>
    </row>
    <row r="236">
      <c r="A236" s="231"/>
      <c r="B236" s="231"/>
      <c r="C236" s="231"/>
    </row>
    <row r="237">
      <c r="A237" s="231"/>
      <c r="B237" s="231"/>
      <c r="C237" s="231"/>
    </row>
    <row r="238">
      <c r="A238" s="231"/>
      <c r="B238" s="231"/>
      <c r="C238" s="231"/>
    </row>
    <row r="239">
      <c r="A239" s="231"/>
      <c r="B239" s="231"/>
      <c r="C239" s="231"/>
    </row>
    <row r="240">
      <c r="A240" s="231"/>
      <c r="B240" s="231"/>
      <c r="C240" s="231"/>
    </row>
    <row r="241">
      <c r="A241" s="231"/>
      <c r="B241" s="231"/>
      <c r="C241" s="231"/>
    </row>
    <row r="242">
      <c r="A242" s="231"/>
      <c r="B242" s="231"/>
      <c r="C242" s="231"/>
    </row>
    <row r="243">
      <c r="A243" s="231"/>
      <c r="B243" s="231"/>
      <c r="C243" s="231"/>
    </row>
    <row r="244">
      <c r="A244" s="231"/>
      <c r="B244" s="231"/>
      <c r="C244" s="231"/>
    </row>
    <row r="245">
      <c r="A245" s="231"/>
      <c r="B245" s="231"/>
      <c r="C245" s="231"/>
    </row>
    <row r="246">
      <c r="A246" s="231"/>
      <c r="B246" s="231"/>
      <c r="C246" s="231"/>
    </row>
    <row r="247">
      <c r="A247" s="231"/>
      <c r="B247" s="231"/>
      <c r="C247" s="231"/>
    </row>
    <row r="248">
      <c r="A248" s="231"/>
      <c r="B248" s="231"/>
      <c r="C248" s="231"/>
    </row>
    <row r="249">
      <c r="A249" s="231"/>
      <c r="B249" s="231"/>
      <c r="C249" s="231"/>
    </row>
    <row r="250">
      <c r="A250" s="231"/>
      <c r="B250" s="231"/>
      <c r="C250" s="231"/>
    </row>
    <row r="251">
      <c r="A251" s="231"/>
      <c r="B251" s="231"/>
      <c r="C251" s="231"/>
    </row>
    <row r="252">
      <c r="A252" s="231"/>
      <c r="B252" s="231"/>
      <c r="C252" s="231"/>
    </row>
    <row r="253">
      <c r="A253" s="231"/>
      <c r="B253" s="231"/>
      <c r="C253" s="231"/>
    </row>
    <row r="254">
      <c r="A254" s="231"/>
      <c r="B254" s="231"/>
      <c r="C254" s="231"/>
    </row>
    <row r="255">
      <c r="A255" s="231"/>
      <c r="B255" s="231"/>
      <c r="C255" s="231"/>
    </row>
    <row r="256">
      <c r="A256" s="231"/>
      <c r="B256" s="231"/>
      <c r="C256" s="231"/>
    </row>
    <row r="257">
      <c r="A257" s="231"/>
      <c r="B257" s="231"/>
      <c r="C257" s="231"/>
    </row>
    <row r="258">
      <c r="A258" s="231"/>
      <c r="B258" s="231"/>
      <c r="C258" s="231"/>
    </row>
    <row r="259">
      <c r="A259" s="231"/>
      <c r="B259" s="231"/>
      <c r="C259" s="231"/>
    </row>
    <row r="260">
      <c r="A260" s="231"/>
      <c r="B260" s="231"/>
      <c r="C260" s="231"/>
    </row>
    <row r="261">
      <c r="A261" s="231"/>
      <c r="B261" s="231"/>
      <c r="C261" s="231"/>
    </row>
    <row r="262">
      <c r="A262" s="231"/>
      <c r="B262" s="231"/>
      <c r="C262" s="231"/>
    </row>
    <row r="263">
      <c r="A263" s="231"/>
      <c r="B263" s="231"/>
      <c r="C263" s="231"/>
    </row>
    <row r="264">
      <c r="A264" s="231"/>
      <c r="B264" s="231"/>
      <c r="C264" s="231"/>
    </row>
    <row r="265">
      <c r="A265" s="231"/>
      <c r="B265" s="231"/>
      <c r="C265" s="231"/>
    </row>
    <row r="266">
      <c r="A266" s="231"/>
      <c r="B266" s="231"/>
      <c r="C266" s="231"/>
    </row>
    <row r="267">
      <c r="A267" s="231"/>
      <c r="B267" s="231"/>
      <c r="C267" s="231"/>
    </row>
    <row r="268">
      <c r="A268" s="231"/>
      <c r="B268" s="231"/>
      <c r="C268" s="231"/>
    </row>
    <row r="269">
      <c r="A269" s="231"/>
      <c r="B269" s="231"/>
      <c r="C269" s="231"/>
    </row>
    <row r="270">
      <c r="A270" s="231"/>
      <c r="B270" s="231"/>
      <c r="C270" s="231"/>
    </row>
    <row r="271">
      <c r="A271" s="231"/>
      <c r="B271" s="231"/>
      <c r="C271" s="231"/>
    </row>
    <row r="272">
      <c r="A272" s="231"/>
      <c r="B272" s="231"/>
      <c r="C272" s="231"/>
    </row>
    <row r="273">
      <c r="A273" s="231"/>
      <c r="B273" s="231"/>
      <c r="C273" s="231"/>
    </row>
    <row r="274">
      <c r="A274" s="231"/>
      <c r="B274" s="231"/>
      <c r="C274" s="231"/>
    </row>
    <row r="275">
      <c r="A275" s="231"/>
      <c r="B275" s="231"/>
      <c r="C275" s="231"/>
    </row>
    <row r="276">
      <c r="A276" s="231"/>
      <c r="B276" s="231"/>
      <c r="C276" s="231"/>
    </row>
    <row r="277">
      <c r="A277" s="231"/>
      <c r="B277" s="231"/>
      <c r="C277" s="231"/>
    </row>
    <row r="278">
      <c r="A278" s="231"/>
      <c r="B278" s="231"/>
      <c r="C278" s="231"/>
    </row>
    <row r="279">
      <c r="A279" s="231"/>
      <c r="B279" s="231"/>
      <c r="C279" s="231"/>
    </row>
    <row r="280">
      <c r="A280" s="231"/>
      <c r="B280" s="231"/>
      <c r="C280" s="231"/>
    </row>
    <row r="281">
      <c r="A281" s="231"/>
      <c r="B281" s="231"/>
      <c r="C281" s="231"/>
    </row>
    <row r="282">
      <c r="A282" s="231"/>
      <c r="B282" s="231"/>
      <c r="C282" s="231"/>
    </row>
    <row r="283">
      <c r="A283" s="231"/>
      <c r="B283" s="231"/>
      <c r="C283" s="231"/>
    </row>
    <row r="284">
      <c r="A284" s="231"/>
      <c r="B284" s="231"/>
      <c r="C284" s="231"/>
    </row>
    <row r="285">
      <c r="A285" s="231"/>
      <c r="B285" s="231"/>
      <c r="C285" s="231"/>
    </row>
    <row r="286">
      <c r="A286" s="231"/>
      <c r="B286" s="231"/>
      <c r="C286" s="231"/>
    </row>
    <row r="287">
      <c r="A287" s="231"/>
      <c r="B287" s="231"/>
      <c r="C287" s="231"/>
    </row>
    <row r="288">
      <c r="A288" s="231"/>
      <c r="B288" s="231"/>
      <c r="C288" s="231"/>
    </row>
    <row r="289">
      <c r="A289" s="231"/>
      <c r="B289" s="231"/>
      <c r="C289" s="231"/>
    </row>
    <row r="290">
      <c r="A290" s="231"/>
      <c r="B290" s="231"/>
      <c r="C290" s="231"/>
    </row>
    <row r="291">
      <c r="A291" s="231"/>
      <c r="B291" s="231"/>
      <c r="C291" s="231"/>
    </row>
    <row r="292">
      <c r="A292" s="231"/>
      <c r="B292" s="231"/>
      <c r="C292" s="231"/>
    </row>
    <row r="293">
      <c r="A293" s="231"/>
      <c r="B293" s="231"/>
      <c r="C293" s="231"/>
    </row>
    <row r="294">
      <c r="A294" s="231"/>
      <c r="B294" s="231"/>
      <c r="C294" s="231"/>
    </row>
    <row r="295">
      <c r="A295" s="231"/>
      <c r="B295" s="231"/>
      <c r="C295" s="231"/>
    </row>
    <row r="296">
      <c r="A296" s="231"/>
      <c r="B296" s="231"/>
      <c r="C296" s="231"/>
    </row>
    <row r="297">
      <c r="A297" s="231"/>
      <c r="B297" s="231"/>
      <c r="C297" s="231"/>
    </row>
    <row r="298">
      <c r="A298" s="231"/>
      <c r="B298" s="231"/>
      <c r="C298" s="231"/>
    </row>
    <row r="299">
      <c r="A299" s="231"/>
      <c r="B299" s="231"/>
      <c r="C299" s="231"/>
    </row>
    <row r="300">
      <c r="A300" s="231"/>
      <c r="B300" s="231"/>
      <c r="C300" s="231"/>
    </row>
    <row r="301">
      <c r="A301" s="231"/>
      <c r="B301" s="231"/>
      <c r="C301" s="231"/>
    </row>
    <row r="302">
      <c r="A302" s="231"/>
      <c r="B302" s="231"/>
      <c r="C302" s="231"/>
    </row>
    <row r="303">
      <c r="A303" s="231"/>
      <c r="B303" s="231"/>
      <c r="C303" s="231"/>
    </row>
    <row r="304">
      <c r="A304" s="231"/>
      <c r="B304" s="231"/>
      <c r="C304" s="231"/>
    </row>
    <row r="305">
      <c r="A305" s="231"/>
      <c r="B305" s="231"/>
      <c r="C305" s="231"/>
    </row>
    <row r="306">
      <c r="A306" s="231"/>
      <c r="B306" s="231"/>
      <c r="C306" s="231"/>
    </row>
    <row r="307">
      <c r="A307" s="231"/>
      <c r="B307" s="231"/>
      <c r="C307" s="231"/>
    </row>
    <row r="308">
      <c r="A308" s="231"/>
      <c r="B308" s="231"/>
      <c r="C308" s="231"/>
    </row>
    <row r="309">
      <c r="A309" s="231"/>
      <c r="B309" s="231"/>
      <c r="C309" s="231"/>
    </row>
    <row r="310">
      <c r="A310" s="231"/>
      <c r="B310" s="231"/>
      <c r="C310" s="231"/>
    </row>
    <row r="311">
      <c r="A311" s="231"/>
      <c r="B311" s="231"/>
      <c r="C311" s="231"/>
    </row>
    <row r="312">
      <c r="A312" s="231"/>
      <c r="B312" s="231"/>
      <c r="C312" s="231"/>
    </row>
    <row r="313">
      <c r="A313" s="231"/>
      <c r="B313" s="231"/>
      <c r="C313" s="231"/>
    </row>
    <row r="314">
      <c r="A314" s="231"/>
      <c r="B314" s="231"/>
      <c r="C314" s="231"/>
    </row>
    <row r="315">
      <c r="A315" s="231"/>
      <c r="B315" s="231"/>
      <c r="C315" s="231"/>
    </row>
    <row r="316">
      <c r="A316" s="231"/>
      <c r="B316" s="231"/>
      <c r="C316" s="231"/>
    </row>
    <row r="317">
      <c r="A317" s="231"/>
      <c r="B317" s="231"/>
      <c r="C317" s="231"/>
    </row>
    <row r="318">
      <c r="A318" s="231"/>
      <c r="B318" s="231"/>
      <c r="C318" s="231"/>
    </row>
    <row r="319">
      <c r="A319" s="231"/>
      <c r="B319" s="231"/>
      <c r="C319" s="231"/>
    </row>
    <row r="320">
      <c r="A320" s="231"/>
      <c r="B320" s="231"/>
      <c r="C320" s="231"/>
    </row>
    <row r="321">
      <c r="A321" s="231"/>
      <c r="B321" s="231"/>
      <c r="C321" s="231"/>
    </row>
    <row r="322">
      <c r="A322" s="231"/>
      <c r="B322" s="231"/>
      <c r="C322" s="231"/>
    </row>
    <row r="323">
      <c r="A323" s="231"/>
      <c r="B323" s="231"/>
      <c r="C323" s="231"/>
    </row>
    <row r="324">
      <c r="A324" s="231"/>
      <c r="B324" s="231"/>
      <c r="C324" s="231"/>
    </row>
    <row r="325">
      <c r="A325" s="231"/>
      <c r="B325" s="231"/>
      <c r="C325" s="231"/>
    </row>
    <row r="326">
      <c r="A326" s="231"/>
      <c r="B326" s="231"/>
      <c r="C326" s="231"/>
    </row>
    <row r="327">
      <c r="A327" s="231"/>
      <c r="B327" s="231"/>
      <c r="C327" s="231"/>
    </row>
    <row r="328">
      <c r="A328" s="231"/>
      <c r="B328" s="231"/>
      <c r="C328" s="231"/>
    </row>
    <row r="329">
      <c r="A329" s="231"/>
      <c r="B329" s="231"/>
      <c r="C329" s="231"/>
    </row>
    <row r="330">
      <c r="A330" s="231"/>
      <c r="B330" s="231"/>
      <c r="C330" s="231"/>
    </row>
    <row r="331">
      <c r="A331" s="231"/>
      <c r="B331" s="231"/>
      <c r="C331" s="231"/>
    </row>
    <row r="332">
      <c r="A332" s="231"/>
      <c r="B332" s="231"/>
      <c r="C332" s="231"/>
    </row>
    <row r="333">
      <c r="A333" s="231"/>
      <c r="B333" s="231"/>
      <c r="C333" s="231"/>
    </row>
    <row r="334">
      <c r="A334" s="231"/>
      <c r="B334" s="231"/>
      <c r="C334" s="231"/>
    </row>
    <row r="335">
      <c r="A335" s="231"/>
      <c r="B335" s="231"/>
      <c r="C335" s="231"/>
    </row>
    <row r="336">
      <c r="A336" s="231"/>
      <c r="B336" s="231"/>
      <c r="C336" s="231"/>
    </row>
    <row r="337">
      <c r="A337" s="231"/>
      <c r="B337" s="231"/>
      <c r="C337" s="231"/>
    </row>
    <row r="338">
      <c r="A338" s="231"/>
      <c r="B338" s="231"/>
      <c r="C338" s="231"/>
    </row>
    <row r="339">
      <c r="A339" s="231"/>
      <c r="B339" s="231"/>
      <c r="C339" s="231"/>
    </row>
    <row r="340">
      <c r="A340" s="231"/>
      <c r="B340" s="231"/>
      <c r="C340" s="231"/>
    </row>
    <row r="341">
      <c r="A341" s="231"/>
      <c r="B341" s="231"/>
      <c r="C341" s="231"/>
    </row>
    <row r="342">
      <c r="A342" s="231"/>
      <c r="B342" s="231"/>
      <c r="C342" s="231"/>
    </row>
    <row r="343">
      <c r="A343" s="231"/>
      <c r="B343" s="231"/>
      <c r="C343" s="231"/>
    </row>
    <row r="344">
      <c r="A344" s="231"/>
      <c r="B344" s="231"/>
      <c r="C344" s="231"/>
    </row>
    <row r="345">
      <c r="A345" s="231"/>
      <c r="B345" s="231"/>
      <c r="C345" s="231"/>
    </row>
    <row r="346">
      <c r="A346" s="231"/>
      <c r="B346" s="231"/>
      <c r="C346" s="231"/>
    </row>
    <row r="347">
      <c r="A347" s="231"/>
      <c r="B347" s="231"/>
      <c r="C347" s="231"/>
    </row>
    <row r="348">
      <c r="A348" s="231"/>
      <c r="B348" s="231"/>
      <c r="C348" s="231"/>
    </row>
    <row r="349">
      <c r="A349" s="231"/>
      <c r="B349" s="231"/>
      <c r="C349" s="231"/>
    </row>
    <row r="350">
      <c r="A350" s="231"/>
      <c r="B350" s="231"/>
      <c r="C350" s="231"/>
    </row>
    <row r="351">
      <c r="A351" s="231"/>
      <c r="B351" s="231"/>
      <c r="C351" s="231"/>
    </row>
    <row r="352">
      <c r="A352" s="231"/>
      <c r="B352" s="231"/>
      <c r="C352" s="231"/>
    </row>
    <row r="353">
      <c r="A353" s="231"/>
      <c r="B353" s="231"/>
      <c r="C353" s="231"/>
    </row>
    <row r="354">
      <c r="A354" s="231"/>
      <c r="B354" s="231"/>
      <c r="C354" s="231"/>
    </row>
    <row r="355">
      <c r="A355" s="231"/>
      <c r="B355" s="231"/>
      <c r="C355" s="231"/>
    </row>
    <row r="356">
      <c r="A356" s="231"/>
      <c r="B356" s="231"/>
      <c r="C356" s="231"/>
    </row>
    <row r="357">
      <c r="A357" s="231"/>
      <c r="B357" s="231"/>
      <c r="C357" s="231"/>
    </row>
    <row r="358">
      <c r="A358" s="231"/>
      <c r="B358" s="231"/>
      <c r="C358" s="231"/>
    </row>
    <row r="359">
      <c r="A359" s="231"/>
      <c r="B359" s="231"/>
      <c r="C359" s="231"/>
    </row>
    <row r="360">
      <c r="A360" s="231"/>
      <c r="B360" s="231"/>
      <c r="C360" s="231"/>
    </row>
    <row r="361">
      <c r="A361" s="231"/>
      <c r="B361" s="231"/>
      <c r="C361" s="231"/>
    </row>
    <row r="362">
      <c r="A362" s="231"/>
      <c r="B362" s="231"/>
      <c r="C362" s="231"/>
    </row>
    <row r="363">
      <c r="A363" s="231"/>
      <c r="B363" s="231"/>
      <c r="C363" s="231"/>
    </row>
    <row r="364">
      <c r="A364" s="231"/>
      <c r="B364" s="231"/>
      <c r="C364" s="231"/>
    </row>
    <row r="365">
      <c r="A365" s="231"/>
      <c r="B365" s="231"/>
      <c r="C365" s="231"/>
    </row>
    <row r="366">
      <c r="A366" s="231"/>
      <c r="B366" s="231"/>
      <c r="C366" s="231"/>
    </row>
    <row r="367">
      <c r="A367" s="231"/>
      <c r="B367" s="231"/>
      <c r="C367" s="231"/>
    </row>
    <row r="368">
      <c r="A368" s="231"/>
      <c r="B368" s="231"/>
      <c r="C368" s="231"/>
    </row>
    <row r="369">
      <c r="A369" s="231"/>
      <c r="B369" s="231"/>
      <c r="C369" s="231"/>
    </row>
    <row r="370">
      <c r="A370" s="231"/>
      <c r="B370" s="231"/>
      <c r="C370" s="231"/>
    </row>
    <row r="371">
      <c r="A371" s="231"/>
      <c r="B371" s="231"/>
      <c r="C371" s="231"/>
    </row>
    <row r="372">
      <c r="A372" s="231"/>
      <c r="B372" s="231"/>
      <c r="C372" s="231"/>
    </row>
    <row r="373">
      <c r="A373" s="231"/>
      <c r="B373" s="231"/>
      <c r="C373" s="231"/>
    </row>
    <row r="374">
      <c r="A374" s="231"/>
      <c r="B374" s="231"/>
      <c r="C374" s="231"/>
    </row>
    <row r="375">
      <c r="A375" s="231"/>
      <c r="B375" s="231"/>
      <c r="C375" s="231"/>
    </row>
    <row r="376">
      <c r="A376" s="231"/>
      <c r="B376" s="231"/>
      <c r="C376" s="231"/>
    </row>
    <row r="377">
      <c r="A377" s="231"/>
      <c r="B377" s="231"/>
      <c r="C377" s="231"/>
    </row>
    <row r="378">
      <c r="A378" s="231"/>
      <c r="B378" s="231"/>
      <c r="C378" s="231"/>
    </row>
    <row r="379">
      <c r="A379" s="231"/>
      <c r="B379" s="231"/>
      <c r="C379" s="231"/>
    </row>
    <row r="380">
      <c r="A380" s="231"/>
      <c r="B380" s="231"/>
      <c r="C380" s="231"/>
    </row>
    <row r="381">
      <c r="A381" s="231"/>
      <c r="B381" s="231"/>
      <c r="C381" s="231"/>
    </row>
    <row r="382">
      <c r="A382" s="231"/>
      <c r="B382" s="231"/>
      <c r="C382" s="231"/>
    </row>
    <row r="383">
      <c r="A383" s="231"/>
      <c r="B383" s="231"/>
      <c r="C383" s="231"/>
    </row>
    <row r="384">
      <c r="A384" s="231"/>
      <c r="B384" s="231"/>
      <c r="C384" s="231"/>
    </row>
    <row r="385">
      <c r="A385" s="231"/>
      <c r="B385" s="231"/>
      <c r="C385" s="231"/>
    </row>
    <row r="386">
      <c r="A386" s="231"/>
      <c r="B386" s="231"/>
      <c r="C386" s="231"/>
    </row>
    <row r="387">
      <c r="A387" s="231"/>
      <c r="B387" s="231"/>
      <c r="C387" s="231"/>
    </row>
    <row r="388">
      <c r="A388" s="231"/>
      <c r="B388" s="231"/>
      <c r="C388" s="231"/>
    </row>
    <row r="389">
      <c r="A389" s="231"/>
      <c r="B389" s="231"/>
      <c r="C389" s="231"/>
    </row>
    <row r="390">
      <c r="A390" s="231"/>
      <c r="B390" s="231"/>
      <c r="C390" s="231"/>
    </row>
    <row r="391">
      <c r="A391" s="231"/>
      <c r="B391" s="231"/>
      <c r="C391" s="231"/>
    </row>
    <row r="392">
      <c r="A392" s="231"/>
      <c r="B392" s="231"/>
      <c r="C392" s="231"/>
    </row>
    <row r="393">
      <c r="A393" s="231"/>
      <c r="B393" s="231"/>
      <c r="C393" s="231"/>
    </row>
    <row r="394">
      <c r="A394" s="231"/>
      <c r="B394" s="231"/>
      <c r="C394" s="231"/>
    </row>
    <row r="395">
      <c r="A395" s="231"/>
      <c r="B395" s="231"/>
      <c r="C395" s="231"/>
    </row>
    <row r="396">
      <c r="A396" s="231"/>
      <c r="B396" s="231"/>
      <c r="C396" s="231"/>
    </row>
    <row r="397">
      <c r="A397" s="231"/>
      <c r="B397" s="231"/>
      <c r="C397" s="231"/>
    </row>
    <row r="398">
      <c r="A398" s="231"/>
      <c r="B398" s="231"/>
      <c r="C398" s="231"/>
    </row>
    <row r="399">
      <c r="A399" s="231"/>
      <c r="B399" s="231"/>
      <c r="C399" s="231"/>
    </row>
    <row r="400">
      <c r="A400" s="231"/>
      <c r="B400" s="231"/>
      <c r="C400" s="231"/>
    </row>
    <row r="401">
      <c r="A401" s="231"/>
      <c r="B401" s="231"/>
      <c r="C401" s="231"/>
    </row>
    <row r="402">
      <c r="A402" s="231"/>
      <c r="B402" s="231"/>
      <c r="C402" s="231"/>
    </row>
    <row r="403">
      <c r="A403" s="231"/>
      <c r="B403" s="231"/>
      <c r="C403" s="231"/>
    </row>
    <row r="404">
      <c r="A404" s="231"/>
      <c r="B404" s="231"/>
      <c r="C404" s="231"/>
    </row>
    <row r="405">
      <c r="A405" s="231"/>
      <c r="B405" s="231"/>
      <c r="C405" s="231"/>
    </row>
    <row r="406">
      <c r="A406" s="231"/>
      <c r="B406" s="231"/>
      <c r="C406" s="231"/>
    </row>
    <row r="407">
      <c r="A407" s="231"/>
      <c r="B407" s="231"/>
      <c r="C407" s="231"/>
    </row>
    <row r="408">
      <c r="A408" s="231"/>
      <c r="B408" s="231"/>
      <c r="C408" s="231"/>
    </row>
    <row r="409">
      <c r="A409" s="231"/>
      <c r="B409" s="231"/>
      <c r="C409" s="231"/>
    </row>
    <row r="410">
      <c r="A410" s="231"/>
      <c r="B410" s="231"/>
      <c r="C410" s="231"/>
    </row>
    <row r="411">
      <c r="A411" s="231"/>
      <c r="B411" s="231"/>
      <c r="C411" s="231"/>
    </row>
    <row r="412">
      <c r="A412" s="231"/>
      <c r="B412" s="231"/>
      <c r="C412" s="231"/>
    </row>
    <row r="413">
      <c r="A413" s="231"/>
      <c r="B413" s="231"/>
      <c r="C413" s="231"/>
    </row>
    <row r="414">
      <c r="A414" s="231"/>
      <c r="B414" s="231"/>
      <c r="C414" s="231"/>
    </row>
    <row r="415">
      <c r="A415" s="231"/>
      <c r="B415" s="231"/>
      <c r="C415" s="231"/>
    </row>
    <row r="416">
      <c r="A416" s="231"/>
      <c r="B416" s="231"/>
      <c r="C416" s="231"/>
    </row>
    <row r="417">
      <c r="A417" s="231"/>
      <c r="B417" s="231"/>
      <c r="C417" s="231"/>
    </row>
    <row r="418">
      <c r="A418" s="231"/>
      <c r="B418" s="231"/>
      <c r="C418" s="231"/>
    </row>
    <row r="419">
      <c r="A419" s="231"/>
      <c r="B419" s="231"/>
      <c r="C419" s="231"/>
    </row>
    <row r="420">
      <c r="A420" s="231"/>
      <c r="B420" s="231"/>
      <c r="C420" s="231"/>
    </row>
    <row r="421">
      <c r="A421" s="231"/>
      <c r="B421" s="231"/>
      <c r="C421" s="231"/>
    </row>
    <row r="422">
      <c r="A422" s="231"/>
      <c r="B422" s="231"/>
      <c r="C422" s="231"/>
    </row>
    <row r="423">
      <c r="A423" s="231"/>
      <c r="B423" s="231"/>
      <c r="C423" s="231"/>
    </row>
    <row r="424">
      <c r="A424" s="231"/>
      <c r="B424" s="231"/>
      <c r="C424" s="231"/>
    </row>
    <row r="425">
      <c r="A425" s="231"/>
      <c r="B425" s="231"/>
      <c r="C425" s="231"/>
    </row>
    <row r="426">
      <c r="A426" s="231"/>
      <c r="B426" s="231"/>
      <c r="C426" s="231"/>
    </row>
    <row r="427">
      <c r="A427" s="231"/>
      <c r="B427" s="231"/>
      <c r="C427" s="231"/>
    </row>
    <row r="428">
      <c r="A428" s="231"/>
      <c r="B428" s="231"/>
      <c r="C428" s="231"/>
    </row>
    <row r="429">
      <c r="A429" s="231"/>
      <c r="B429" s="231"/>
      <c r="C429" s="231"/>
    </row>
    <row r="430">
      <c r="A430" s="231"/>
      <c r="B430" s="231"/>
      <c r="C430" s="231"/>
    </row>
    <row r="431">
      <c r="A431" s="231"/>
      <c r="B431" s="231"/>
      <c r="C431" s="231"/>
    </row>
    <row r="432">
      <c r="A432" s="231"/>
      <c r="B432" s="231"/>
      <c r="C432" s="231"/>
    </row>
    <row r="433">
      <c r="A433" s="231"/>
      <c r="B433" s="231"/>
      <c r="C433" s="231"/>
    </row>
    <row r="434">
      <c r="A434" s="231"/>
      <c r="B434" s="231"/>
      <c r="C434" s="231"/>
    </row>
    <row r="435">
      <c r="A435" s="231"/>
      <c r="B435" s="231"/>
      <c r="C435" s="231"/>
    </row>
    <row r="436">
      <c r="A436" s="231"/>
      <c r="B436" s="231"/>
      <c r="C436" s="231"/>
    </row>
    <row r="437">
      <c r="A437" s="231"/>
      <c r="B437" s="231"/>
      <c r="C437" s="231"/>
    </row>
    <row r="438">
      <c r="A438" s="231"/>
      <c r="B438" s="231"/>
      <c r="C438" s="231"/>
    </row>
    <row r="439">
      <c r="A439" s="231"/>
      <c r="B439" s="231"/>
      <c r="C439" s="231"/>
    </row>
    <row r="440">
      <c r="A440" s="231"/>
      <c r="B440" s="231"/>
      <c r="C440" s="231"/>
    </row>
    <row r="441">
      <c r="A441" s="231"/>
      <c r="B441" s="231"/>
      <c r="C441" s="231"/>
    </row>
    <row r="442">
      <c r="A442" s="231"/>
      <c r="B442" s="231"/>
      <c r="C442" s="231"/>
    </row>
    <row r="443">
      <c r="A443" s="231"/>
      <c r="B443" s="231"/>
      <c r="C443" s="231"/>
    </row>
    <row r="444">
      <c r="A444" s="231"/>
      <c r="B444" s="231"/>
      <c r="C444" s="231"/>
    </row>
    <row r="445">
      <c r="A445" s="231"/>
      <c r="B445" s="231"/>
      <c r="C445" s="231"/>
    </row>
    <row r="446">
      <c r="A446" s="231"/>
      <c r="B446" s="231"/>
      <c r="C446" s="231"/>
    </row>
    <row r="447">
      <c r="A447" s="231"/>
      <c r="B447" s="231"/>
      <c r="C447" s="231"/>
    </row>
    <row r="448">
      <c r="A448" s="231"/>
      <c r="B448" s="231"/>
      <c r="C448" s="231"/>
    </row>
    <row r="449">
      <c r="A449" s="231"/>
      <c r="B449" s="231"/>
      <c r="C449" s="231"/>
    </row>
    <row r="450">
      <c r="A450" s="231"/>
      <c r="B450" s="231"/>
      <c r="C450" s="231"/>
    </row>
    <row r="451">
      <c r="A451" s="231"/>
      <c r="B451" s="231"/>
      <c r="C451" s="231"/>
    </row>
    <row r="452">
      <c r="A452" s="231"/>
      <c r="B452" s="231"/>
      <c r="C452" s="231"/>
    </row>
    <row r="453">
      <c r="A453" s="231"/>
      <c r="B453" s="231"/>
      <c r="C453" s="231"/>
    </row>
    <row r="454">
      <c r="A454" s="231"/>
      <c r="B454" s="231"/>
      <c r="C454" s="231"/>
    </row>
    <row r="455">
      <c r="A455" s="231"/>
      <c r="B455" s="231"/>
      <c r="C455" s="231"/>
    </row>
    <row r="456">
      <c r="A456" s="231"/>
      <c r="B456" s="231"/>
      <c r="C456" s="231"/>
    </row>
    <row r="457">
      <c r="A457" s="231"/>
      <c r="B457" s="231"/>
      <c r="C457" s="231"/>
    </row>
    <row r="458">
      <c r="A458" s="231"/>
      <c r="B458" s="231"/>
      <c r="C458" s="231"/>
    </row>
    <row r="459">
      <c r="A459" s="231"/>
      <c r="B459" s="231"/>
      <c r="C459" s="231"/>
    </row>
    <row r="460">
      <c r="A460" s="231"/>
      <c r="B460" s="231"/>
      <c r="C460" s="231"/>
    </row>
    <row r="461">
      <c r="A461" s="231"/>
      <c r="B461" s="231"/>
      <c r="C461" s="231"/>
    </row>
    <row r="462">
      <c r="A462" s="231"/>
      <c r="B462" s="231"/>
      <c r="C462" s="231"/>
    </row>
    <row r="463">
      <c r="A463" s="231"/>
      <c r="B463" s="231"/>
      <c r="C463" s="231"/>
    </row>
    <row r="464">
      <c r="A464" s="231"/>
      <c r="B464" s="231"/>
      <c r="C464" s="231"/>
    </row>
    <row r="465">
      <c r="A465" s="231"/>
      <c r="B465" s="231"/>
      <c r="C465" s="231"/>
    </row>
    <row r="466">
      <c r="A466" s="231"/>
      <c r="B466" s="231"/>
      <c r="C466" s="231"/>
    </row>
    <row r="467">
      <c r="A467" s="231"/>
      <c r="B467" s="231"/>
      <c r="C467" s="231"/>
    </row>
    <row r="468">
      <c r="A468" s="231"/>
      <c r="B468" s="231"/>
      <c r="C468" s="231"/>
    </row>
    <row r="469">
      <c r="A469" s="231"/>
      <c r="B469" s="231"/>
      <c r="C469" s="231"/>
    </row>
    <row r="470">
      <c r="A470" s="231"/>
      <c r="B470" s="231"/>
      <c r="C470" s="231"/>
    </row>
    <row r="471">
      <c r="A471" s="231"/>
      <c r="B471" s="231"/>
      <c r="C471" s="231"/>
    </row>
    <row r="472">
      <c r="A472" s="231"/>
      <c r="B472" s="231"/>
      <c r="C472" s="231"/>
    </row>
    <row r="473">
      <c r="A473" s="231"/>
      <c r="B473" s="231"/>
      <c r="C473" s="231"/>
    </row>
    <row r="474">
      <c r="A474" s="231"/>
      <c r="B474" s="231"/>
      <c r="C474" s="231"/>
    </row>
    <row r="475">
      <c r="A475" s="231"/>
      <c r="B475" s="231"/>
      <c r="C475" s="231"/>
    </row>
    <row r="476">
      <c r="A476" s="231"/>
      <c r="B476" s="231"/>
      <c r="C476" s="231"/>
    </row>
    <row r="477">
      <c r="A477" s="231"/>
      <c r="B477" s="231"/>
      <c r="C477" s="231"/>
    </row>
    <row r="478">
      <c r="A478" s="231"/>
      <c r="B478" s="231"/>
      <c r="C478" s="231"/>
    </row>
    <row r="479">
      <c r="A479" s="231"/>
      <c r="B479" s="231"/>
      <c r="C479" s="231"/>
    </row>
    <row r="480">
      <c r="A480" s="231"/>
      <c r="B480" s="231"/>
      <c r="C480" s="231"/>
    </row>
    <row r="481">
      <c r="A481" s="231"/>
      <c r="B481" s="231"/>
      <c r="C481" s="231"/>
    </row>
    <row r="482">
      <c r="A482" s="231"/>
      <c r="B482" s="231"/>
      <c r="C482" s="231"/>
    </row>
    <row r="483">
      <c r="A483" s="231"/>
      <c r="B483" s="231"/>
      <c r="C483" s="231"/>
    </row>
    <row r="484">
      <c r="A484" s="231"/>
      <c r="B484" s="231"/>
      <c r="C484" s="231"/>
    </row>
    <row r="485">
      <c r="A485" s="231"/>
      <c r="B485" s="231"/>
      <c r="C485" s="231"/>
    </row>
    <row r="486">
      <c r="A486" s="231"/>
      <c r="B486" s="231"/>
      <c r="C486" s="231"/>
    </row>
    <row r="487">
      <c r="A487" s="231"/>
      <c r="B487" s="231"/>
      <c r="C487" s="231"/>
    </row>
    <row r="488">
      <c r="A488" s="231"/>
      <c r="B488" s="231"/>
      <c r="C488" s="231"/>
    </row>
    <row r="489">
      <c r="A489" s="231"/>
      <c r="B489" s="231"/>
      <c r="C489" s="231"/>
    </row>
    <row r="490">
      <c r="A490" s="231"/>
      <c r="B490" s="231"/>
      <c r="C490" s="231"/>
    </row>
    <row r="491">
      <c r="A491" s="231"/>
      <c r="B491" s="231"/>
      <c r="C491" s="231"/>
    </row>
    <row r="492">
      <c r="A492" s="231"/>
      <c r="B492" s="231"/>
      <c r="C492" s="231"/>
    </row>
    <row r="493">
      <c r="A493" s="231"/>
      <c r="B493" s="231"/>
      <c r="C493" s="231"/>
    </row>
    <row r="494">
      <c r="A494" s="231"/>
      <c r="B494" s="231"/>
      <c r="C494" s="231"/>
    </row>
    <row r="495">
      <c r="A495" s="231"/>
      <c r="B495" s="231"/>
      <c r="C495" s="231"/>
    </row>
    <row r="496">
      <c r="A496" s="231"/>
      <c r="B496" s="231"/>
      <c r="C496" s="231"/>
    </row>
    <row r="497">
      <c r="A497" s="231"/>
      <c r="B497" s="231"/>
      <c r="C497" s="231"/>
    </row>
    <row r="498">
      <c r="A498" s="231"/>
      <c r="B498" s="231"/>
      <c r="C498" s="231"/>
    </row>
    <row r="499">
      <c r="A499" s="231"/>
      <c r="B499" s="231"/>
      <c r="C499" s="231"/>
    </row>
    <row r="500">
      <c r="A500" s="231"/>
      <c r="B500" s="231"/>
      <c r="C500" s="231"/>
    </row>
    <row r="501">
      <c r="A501" s="231"/>
      <c r="B501" s="231"/>
      <c r="C501" s="231"/>
    </row>
    <row r="502">
      <c r="A502" s="231"/>
      <c r="B502" s="231"/>
      <c r="C502" s="231"/>
    </row>
    <row r="503">
      <c r="A503" s="231"/>
      <c r="B503" s="231"/>
      <c r="C503" s="231"/>
    </row>
    <row r="504">
      <c r="A504" s="231"/>
      <c r="B504" s="231"/>
      <c r="C504" s="231"/>
    </row>
    <row r="505">
      <c r="A505" s="231"/>
      <c r="B505" s="231"/>
      <c r="C505" s="231"/>
    </row>
    <row r="506">
      <c r="A506" s="231"/>
      <c r="B506" s="231"/>
      <c r="C506" s="231"/>
    </row>
    <row r="507">
      <c r="A507" s="231"/>
      <c r="B507" s="231"/>
      <c r="C507" s="231"/>
    </row>
    <row r="508">
      <c r="A508" s="231"/>
      <c r="B508" s="231"/>
      <c r="C508" s="231"/>
    </row>
    <row r="509">
      <c r="A509" s="231"/>
      <c r="B509" s="231"/>
      <c r="C509" s="231"/>
    </row>
    <row r="510">
      <c r="A510" s="231"/>
      <c r="B510" s="231"/>
      <c r="C510" s="231"/>
    </row>
    <row r="511">
      <c r="A511" s="231"/>
      <c r="B511" s="231"/>
      <c r="C511" s="231"/>
    </row>
    <row r="512">
      <c r="A512" s="231"/>
      <c r="B512" s="231"/>
      <c r="C512" s="231"/>
    </row>
    <row r="513">
      <c r="A513" s="231"/>
      <c r="B513" s="231"/>
      <c r="C513" s="231"/>
    </row>
    <row r="514">
      <c r="A514" s="231"/>
      <c r="B514" s="231"/>
      <c r="C514" s="231"/>
    </row>
    <row r="515">
      <c r="A515" s="231"/>
      <c r="B515" s="231"/>
      <c r="C515" s="231"/>
    </row>
    <row r="516">
      <c r="A516" s="231"/>
      <c r="B516" s="231"/>
      <c r="C516" s="231"/>
    </row>
    <row r="517">
      <c r="A517" s="231"/>
      <c r="B517" s="231"/>
      <c r="C517" s="231"/>
    </row>
    <row r="518">
      <c r="A518" s="231"/>
      <c r="B518" s="231"/>
      <c r="C518" s="231"/>
    </row>
    <row r="519">
      <c r="A519" s="231"/>
      <c r="B519" s="231"/>
      <c r="C519" s="231"/>
    </row>
    <row r="520">
      <c r="A520" s="231"/>
      <c r="B520" s="231"/>
      <c r="C520" s="231"/>
    </row>
    <row r="521">
      <c r="A521" s="231"/>
      <c r="B521" s="231"/>
      <c r="C521" s="231"/>
    </row>
    <row r="522">
      <c r="A522" s="231"/>
      <c r="B522" s="231"/>
      <c r="C522" s="231"/>
    </row>
    <row r="523">
      <c r="A523" s="231"/>
      <c r="B523" s="231"/>
      <c r="C523" s="231"/>
    </row>
    <row r="524">
      <c r="A524" s="231"/>
      <c r="B524" s="231"/>
      <c r="C524" s="231"/>
    </row>
    <row r="525">
      <c r="A525" s="231"/>
      <c r="B525" s="231"/>
      <c r="C525" s="231"/>
    </row>
    <row r="526">
      <c r="A526" s="231"/>
      <c r="B526" s="231"/>
      <c r="C526" s="231"/>
    </row>
    <row r="527">
      <c r="A527" s="231"/>
      <c r="B527" s="231"/>
      <c r="C527" s="231"/>
    </row>
    <row r="528">
      <c r="A528" s="231"/>
      <c r="B528" s="231"/>
      <c r="C528" s="231"/>
    </row>
    <row r="529">
      <c r="A529" s="231"/>
      <c r="B529" s="231"/>
      <c r="C529" s="231"/>
    </row>
    <row r="530">
      <c r="A530" s="231"/>
      <c r="B530" s="231"/>
      <c r="C530" s="231"/>
    </row>
    <row r="531">
      <c r="A531" s="231"/>
      <c r="B531" s="231"/>
      <c r="C531" s="231"/>
    </row>
    <row r="532">
      <c r="A532" s="231"/>
      <c r="B532" s="231"/>
      <c r="C532" s="231"/>
    </row>
    <row r="533">
      <c r="A533" s="231"/>
      <c r="B533" s="231"/>
      <c r="C533" s="231"/>
    </row>
    <row r="534">
      <c r="A534" s="231"/>
      <c r="B534" s="231"/>
      <c r="C534" s="231"/>
    </row>
    <row r="535">
      <c r="A535" s="231"/>
      <c r="B535" s="231"/>
      <c r="C535" s="231"/>
    </row>
    <row r="536">
      <c r="A536" s="231"/>
      <c r="B536" s="231"/>
      <c r="C536" s="231"/>
    </row>
    <row r="537">
      <c r="A537" s="231"/>
      <c r="B537" s="231"/>
      <c r="C537" s="231"/>
    </row>
    <row r="538">
      <c r="A538" s="231"/>
      <c r="B538" s="231"/>
      <c r="C538" s="231"/>
    </row>
    <row r="539">
      <c r="A539" s="231"/>
      <c r="B539" s="231"/>
      <c r="C539" s="231"/>
    </row>
    <row r="540">
      <c r="A540" s="231"/>
      <c r="B540" s="231"/>
      <c r="C540" s="231"/>
    </row>
    <row r="541">
      <c r="A541" s="231"/>
      <c r="B541" s="231"/>
      <c r="C541" s="231"/>
    </row>
    <row r="542">
      <c r="A542" s="231"/>
      <c r="B542" s="231"/>
      <c r="C542" s="231"/>
    </row>
    <row r="543">
      <c r="A543" s="231"/>
      <c r="B543" s="231"/>
      <c r="C543" s="231"/>
    </row>
    <row r="544">
      <c r="A544" s="231"/>
      <c r="B544" s="231"/>
      <c r="C544" s="231"/>
    </row>
    <row r="545">
      <c r="A545" s="231"/>
      <c r="B545" s="231"/>
      <c r="C545" s="231"/>
    </row>
    <row r="546">
      <c r="A546" s="231"/>
      <c r="B546" s="231"/>
      <c r="C546" s="231"/>
    </row>
    <row r="547">
      <c r="A547" s="231"/>
      <c r="B547" s="231"/>
      <c r="C547" s="231"/>
    </row>
    <row r="548">
      <c r="A548" s="231"/>
      <c r="B548" s="231"/>
      <c r="C548" s="231"/>
    </row>
    <row r="549">
      <c r="A549" s="231"/>
      <c r="B549" s="231"/>
      <c r="C549" s="231"/>
    </row>
    <row r="550">
      <c r="A550" s="231"/>
      <c r="B550" s="231"/>
      <c r="C550" s="231"/>
    </row>
    <row r="551">
      <c r="A551" s="231"/>
      <c r="B551" s="231"/>
      <c r="C551" s="231"/>
    </row>
    <row r="552">
      <c r="A552" s="231"/>
      <c r="B552" s="231"/>
      <c r="C552" s="231"/>
    </row>
    <row r="553">
      <c r="A553" s="231"/>
      <c r="B553" s="231"/>
      <c r="C553" s="231"/>
    </row>
    <row r="554">
      <c r="A554" s="231"/>
      <c r="B554" s="231"/>
      <c r="C554" s="231"/>
    </row>
    <row r="555">
      <c r="A555" s="231"/>
      <c r="B555" s="231"/>
      <c r="C555" s="231"/>
    </row>
    <row r="556">
      <c r="A556" s="231"/>
      <c r="B556" s="231"/>
      <c r="C556" s="231"/>
    </row>
    <row r="557">
      <c r="A557" s="231"/>
      <c r="B557" s="231"/>
      <c r="C557" s="231"/>
    </row>
    <row r="558">
      <c r="A558" s="231"/>
      <c r="B558" s="231"/>
      <c r="C558" s="231"/>
    </row>
    <row r="559">
      <c r="A559" s="231"/>
      <c r="B559" s="231"/>
      <c r="C559" s="231"/>
    </row>
    <row r="560">
      <c r="A560" s="231"/>
      <c r="B560" s="231"/>
      <c r="C560" s="231"/>
    </row>
    <row r="561">
      <c r="A561" s="231"/>
      <c r="B561" s="231"/>
      <c r="C561" s="231"/>
    </row>
    <row r="562">
      <c r="A562" s="231"/>
      <c r="B562" s="231"/>
      <c r="C562" s="231"/>
    </row>
    <row r="563">
      <c r="A563" s="231"/>
      <c r="B563" s="231"/>
      <c r="C563" s="231"/>
    </row>
    <row r="564">
      <c r="A564" s="231"/>
      <c r="B564" s="231"/>
      <c r="C564" s="231"/>
    </row>
    <row r="565">
      <c r="A565" s="231"/>
      <c r="B565" s="231"/>
      <c r="C565" s="231"/>
    </row>
    <row r="566">
      <c r="A566" s="231"/>
      <c r="B566" s="231"/>
      <c r="C566" s="231"/>
    </row>
    <row r="567">
      <c r="A567" s="231"/>
      <c r="B567" s="231"/>
      <c r="C567" s="231"/>
    </row>
    <row r="568">
      <c r="A568" s="231"/>
      <c r="B568" s="231"/>
      <c r="C568" s="231"/>
    </row>
    <row r="569">
      <c r="A569" s="231"/>
      <c r="B569" s="231"/>
      <c r="C569" s="231"/>
    </row>
    <row r="570">
      <c r="A570" s="231"/>
      <c r="B570" s="231"/>
      <c r="C570" s="231"/>
    </row>
    <row r="571">
      <c r="A571" s="231"/>
      <c r="B571" s="231"/>
      <c r="C571" s="231"/>
    </row>
    <row r="572">
      <c r="A572" s="231"/>
      <c r="B572" s="231"/>
      <c r="C572" s="231"/>
    </row>
    <row r="573">
      <c r="A573" s="231"/>
      <c r="B573" s="231"/>
      <c r="C573" s="231"/>
    </row>
    <row r="574">
      <c r="A574" s="231"/>
      <c r="B574" s="231"/>
      <c r="C574" s="231"/>
    </row>
    <row r="575">
      <c r="A575" s="231"/>
      <c r="B575" s="231"/>
      <c r="C575" s="231"/>
    </row>
    <row r="576">
      <c r="A576" s="231"/>
      <c r="B576" s="231"/>
      <c r="C576" s="231"/>
    </row>
    <row r="577">
      <c r="A577" s="231"/>
      <c r="B577" s="231"/>
      <c r="C577" s="231"/>
    </row>
    <row r="578">
      <c r="A578" s="231"/>
      <c r="B578" s="231"/>
      <c r="C578" s="231"/>
    </row>
    <row r="579">
      <c r="A579" s="231"/>
      <c r="B579" s="231"/>
      <c r="C579" s="231"/>
    </row>
    <row r="580">
      <c r="A580" s="231"/>
      <c r="B580" s="231"/>
      <c r="C580" s="231"/>
    </row>
    <row r="581">
      <c r="A581" s="231"/>
      <c r="B581" s="231"/>
      <c r="C581" s="231"/>
    </row>
    <row r="582">
      <c r="A582" s="231"/>
      <c r="B582" s="231"/>
      <c r="C582" s="231"/>
    </row>
    <row r="583">
      <c r="A583" s="231"/>
      <c r="B583" s="231"/>
      <c r="C583" s="231"/>
    </row>
    <row r="584">
      <c r="A584" s="231"/>
      <c r="B584" s="231"/>
      <c r="C584" s="231"/>
    </row>
    <row r="585">
      <c r="A585" s="231"/>
      <c r="B585" s="231"/>
      <c r="C585" s="231"/>
    </row>
    <row r="586">
      <c r="A586" s="231"/>
      <c r="B586" s="231"/>
      <c r="C586" s="231"/>
    </row>
    <row r="587">
      <c r="A587" s="231"/>
      <c r="B587" s="231"/>
      <c r="C587" s="231"/>
    </row>
    <row r="588">
      <c r="A588" s="231"/>
      <c r="B588" s="231"/>
      <c r="C588" s="231"/>
    </row>
    <row r="589">
      <c r="A589" s="231"/>
      <c r="B589" s="231"/>
      <c r="C589" s="231"/>
    </row>
    <row r="590">
      <c r="A590" s="231"/>
      <c r="B590" s="231"/>
      <c r="C590" s="231"/>
    </row>
    <row r="591">
      <c r="A591" s="231"/>
      <c r="B591" s="231"/>
      <c r="C591" s="231"/>
    </row>
    <row r="592">
      <c r="A592" s="231"/>
      <c r="B592" s="231"/>
      <c r="C592" s="231"/>
    </row>
    <row r="593">
      <c r="A593" s="231"/>
      <c r="B593" s="231"/>
      <c r="C593" s="231"/>
    </row>
    <row r="594">
      <c r="A594" s="231"/>
      <c r="B594" s="231"/>
      <c r="C594" s="231"/>
    </row>
    <row r="595">
      <c r="A595" s="231"/>
      <c r="B595" s="231"/>
      <c r="C595" s="231"/>
    </row>
    <row r="596">
      <c r="A596" s="231"/>
      <c r="B596" s="231"/>
      <c r="C596" s="231"/>
    </row>
    <row r="597">
      <c r="A597" s="231"/>
      <c r="B597" s="231"/>
      <c r="C597" s="231"/>
    </row>
    <row r="598">
      <c r="A598" s="231"/>
      <c r="B598" s="231"/>
      <c r="C598" s="231"/>
    </row>
    <row r="599">
      <c r="A599" s="231"/>
      <c r="B599" s="231"/>
      <c r="C599" s="231"/>
    </row>
    <row r="600">
      <c r="A600" s="231"/>
      <c r="B600" s="231"/>
      <c r="C600" s="231"/>
    </row>
    <row r="601">
      <c r="A601" s="231"/>
      <c r="B601" s="231"/>
      <c r="C601" s="231"/>
    </row>
    <row r="602">
      <c r="A602" s="231"/>
      <c r="B602" s="231"/>
      <c r="C602" s="231"/>
    </row>
    <row r="603">
      <c r="A603" s="231"/>
      <c r="B603" s="231"/>
      <c r="C603" s="231"/>
    </row>
    <row r="604">
      <c r="A604" s="231"/>
      <c r="B604" s="231"/>
      <c r="C604" s="231"/>
    </row>
    <row r="605">
      <c r="A605" s="231"/>
      <c r="B605" s="231"/>
      <c r="C605" s="231"/>
    </row>
    <row r="606">
      <c r="A606" s="231"/>
      <c r="B606" s="231"/>
      <c r="C606" s="231"/>
    </row>
    <row r="607">
      <c r="A607" s="231"/>
      <c r="B607" s="231"/>
      <c r="C607" s="231"/>
    </row>
    <row r="608">
      <c r="A608" s="231"/>
      <c r="B608" s="231"/>
      <c r="C608" s="231"/>
    </row>
    <row r="609">
      <c r="A609" s="231"/>
      <c r="B609" s="231"/>
      <c r="C609" s="231"/>
    </row>
    <row r="610">
      <c r="A610" s="231"/>
      <c r="B610" s="231"/>
      <c r="C610" s="231"/>
    </row>
    <row r="611">
      <c r="A611" s="231"/>
      <c r="B611" s="231"/>
      <c r="C611" s="231"/>
    </row>
    <row r="612">
      <c r="A612" s="231"/>
      <c r="B612" s="231"/>
      <c r="C612" s="231"/>
    </row>
    <row r="613">
      <c r="A613" s="231"/>
      <c r="B613" s="231"/>
      <c r="C613" s="231"/>
    </row>
    <row r="614">
      <c r="A614" s="231"/>
      <c r="B614" s="231"/>
      <c r="C614" s="231"/>
    </row>
    <row r="615">
      <c r="A615" s="231"/>
      <c r="B615" s="231"/>
      <c r="C615" s="231"/>
    </row>
    <row r="616">
      <c r="A616" s="231"/>
      <c r="B616" s="231"/>
      <c r="C616" s="231"/>
    </row>
    <row r="617">
      <c r="A617" s="231"/>
      <c r="B617" s="231"/>
      <c r="C617" s="231"/>
    </row>
    <row r="618">
      <c r="A618" s="231"/>
      <c r="B618" s="231"/>
      <c r="C618" s="231"/>
    </row>
    <row r="619">
      <c r="A619" s="231"/>
      <c r="B619" s="231"/>
      <c r="C619" s="231"/>
    </row>
    <row r="620">
      <c r="A620" s="231"/>
      <c r="B620" s="231"/>
      <c r="C620" s="231"/>
    </row>
    <row r="621">
      <c r="A621" s="231"/>
      <c r="B621" s="231"/>
      <c r="C621" s="231"/>
    </row>
    <row r="622">
      <c r="A622" s="231"/>
      <c r="B622" s="231"/>
      <c r="C622" s="231"/>
    </row>
    <row r="623">
      <c r="A623" s="231"/>
      <c r="B623" s="231"/>
      <c r="C623" s="231"/>
    </row>
    <row r="624">
      <c r="A624" s="231"/>
      <c r="B624" s="231"/>
      <c r="C624" s="231"/>
    </row>
    <row r="625">
      <c r="A625" s="231"/>
      <c r="B625" s="231"/>
      <c r="C625" s="231"/>
    </row>
    <row r="626">
      <c r="A626" s="231"/>
      <c r="B626" s="231"/>
      <c r="C626" s="231"/>
    </row>
    <row r="627">
      <c r="A627" s="231"/>
      <c r="B627" s="231"/>
      <c r="C627" s="231"/>
    </row>
    <row r="628">
      <c r="A628" s="231"/>
      <c r="B628" s="231"/>
      <c r="C628" s="231"/>
    </row>
    <row r="629">
      <c r="A629" s="231"/>
      <c r="B629" s="231"/>
      <c r="C629" s="231"/>
    </row>
    <row r="630">
      <c r="A630" s="231"/>
      <c r="B630" s="231"/>
      <c r="C630" s="231"/>
    </row>
    <row r="631">
      <c r="A631" s="231"/>
      <c r="B631" s="231"/>
      <c r="C631" s="231"/>
    </row>
    <row r="632">
      <c r="A632" s="231"/>
      <c r="B632" s="231"/>
      <c r="C632" s="231"/>
    </row>
    <row r="633">
      <c r="A633" s="231"/>
      <c r="B633" s="231"/>
      <c r="C633" s="231"/>
    </row>
    <row r="634">
      <c r="A634" s="231"/>
      <c r="B634" s="231"/>
      <c r="C634" s="231"/>
    </row>
    <row r="635">
      <c r="A635" s="231"/>
      <c r="B635" s="231"/>
      <c r="C635" s="231"/>
    </row>
    <row r="636">
      <c r="A636" s="231"/>
      <c r="B636" s="231"/>
      <c r="C636" s="231"/>
    </row>
    <row r="637">
      <c r="A637" s="231"/>
      <c r="B637" s="231"/>
      <c r="C637" s="231"/>
    </row>
    <row r="638">
      <c r="A638" s="231"/>
      <c r="B638" s="231"/>
      <c r="C638" s="231"/>
    </row>
    <row r="639">
      <c r="A639" s="231"/>
      <c r="B639" s="231"/>
      <c r="C639" s="231"/>
    </row>
    <row r="640">
      <c r="A640" s="231"/>
      <c r="B640" s="231"/>
      <c r="C640" s="231"/>
    </row>
    <row r="641">
      <c r="A641" s="231"/>
      <c r="B641" s="231"/>
      <c r="C641" s="231"/>
    </row>
    <row r="642">
      <c r="A642" s="231"/>
      <c r="B642" s="231"/>
      <c r="C642" s="231"/>
    </row>
    <row r="643">
      <c r="A643" s="231"/>
      <c r="B643" s="231"/>
      <c r="C643" s="231"/>
    </row>
    <row r="644">
      <c r="A644" s="231"/>
      <c r="B644" s="231"/>
      <c r="C644" s="231"/>
    </row>
    <row r="645">
      <c r="A645" s="231"/>
      <c r="B645" s="231"/>
      <c r="C645" s="231"/>
    </row>
    <row r="646">
      <c r="A646" s="231"/>
      <c r="B646" s="231"/>
      <c r="C646" s="231"/>
    </row>
    <row r="647">
      <c r="A647" s="231"/>
      <c r="B647" s="231"/>
      <c r="C647" s="231"/>
    </row>
    <row r="648">
      <c r="A648" s="231"/>
      <c r="B648" s="231"/>
      <c r="C648" s="231"/>
    </row>
    <row r="649">
      <c r="A649" s="231"/>
      <c r="B649" s="231"/>
      <c r="C649" s="231"/>
    </row>
    <row r="650">
      <c r="A650" s="231"/>
      <c r="B650" s="231"/>
      <c r="C650" s="231"/>
    </row>
    <row r="651">
      <c r="A651" s="231"/>
      <c r="B651" s="231"/>
      <c r="C651" s="231"/>
    </row>
    <row r="652">
      <c r="A652" s="231"/>
      <c r="B652" s="231"/>
      <c r="C652" s="231"/>
    </row>
    <row r="653">
      <c r="A653" s="231"/>
      <c r="B653" s="231"/>
      <c r="C653" s="231"/>
    </row>
    <row r="654">
      <c r="A654" s="231"/>
      <c r="B654" s="231"/>
      <c r="C654" s="231"/>
    </row>
    <row r="655">
      <c r="A655" s="231"/>
      <c r="B655" s="231"/>
      <c r="C655" s="231"/>
    </row>
    <row r="656">
      <c r="A656" s="231"/>
      <c r="B656" s="231"/>
      <c r="C656" s="231"/>
    </row>
    <row r="657">
      <c r="A657" s="231"/>
      <c r="B657" s="231"/>
      <c r="C657" s="231"/>
    </row>
    <row r="658">
      <c r="A658" s="231"/>
      <c r="B658" s="231"/>
      <c r="C658" s="231"/>
    </row>
    <row r="659">
      <c r="A659" s="231"/>
      <c r="B659" s="231"/>
      <c r="C659" s="231"/>
    </row>
    <row r="660">
      <c r="A660" s="231"/>
      <c r="B660" s="231"/>
      <c r="C660" s="231"/>
    </row>
    <row r="661">
      <c r="A661" s="231"/>
      <c r="B661" s="231"/>
      <c r="C661" s="231"/>
    </row>
    <row r="662">
      <c r="A662" s="231"/>
      <c r="B662" s="231"/>
      <c r="C662" s="231"/>
    </row>
    <row r="663">
      <c r="A663" s="231"/>
      <c r="B663" s="231"/>
      <c r="C663" s="231"/>
    </row>
    <row r="664">
      <c r="A664" s="231"/>
      <c r="B664" s="231"/>
      <c r="C664" s="231"/>
    </row>
    <row r="665">
      <c r="A665" s="231"/>
      <c r="B665" s="231"/>
      <c r="C665" s="231"/>
    </row>
    <row r="666">
      <c r="A666" s="231"/>
      <c r="B666" s="231"/>
      <c r="C666" s="231"/>
    </row>
    <row r="667">
      <c r="A667" s="231"/>
      <c r="B667" s="231"/>
      <c r="C667" s="231"/>
    </row>
    <row r="668">
      <c r="A668" s="231"/>
      <c r="B668" s="231"/>
      <c r="C668" s="231"/>
    </row>
    <row r="669">
      <c r="A669" s="231"/>
      <c r="B669" s="231"/>
      <c r="C669" s="231"/>
    </row>
    <row r="670">
      <c r="A670" s="231"/>
      <c r="B670" s="231"/>
      <c r="C670" s="231"/>
    </row>
    <row r="671">
      <c r="A671" s="231"/>
      <c r="B671" s="231"/>
      <c r="C671" s="231"/>
    </row>
    <row r="672">
      <c r="A672" s="231"/>
      <c r="B672" s="231"/>
      <c r="C672" s="231"/>
    </row>
    <row r="673">
      <c r="A673" s="231"/>
      <c r="B673" s="231"/>
      <c r="C673" s="231"/>
    </row>
    <row r="674">
      <c r="A674" s="231"/>
      <c r="B674" s="231"/>
      <c r="C674" s="231"/>
    </row>
    <row r="675">
      <c r="A675" s="231"/>
      <c r="B675" s="231"/>
      <c r="C675" s="231"/>
    </row>
    <row r="676">
      <c r="A676" s="231"/>
      <c r="B676" s="231"/>
      <c r="C676" s="231"/>
    </row>
    <row r="677">
      <c r="A677" s="231"/>
      <c r="B677" s="231"/>
      <c r="C677" s="231"/>
    </row>
    <row r="678">
      <c r="A678" s="231"/>
      <c r="B678" s="231"/>
      <c r="C678" s="231"/>
    </row>
    <row r="679">
      <c r="A679" s="231"/>
      <c r="B679" s="231"/>
      <c r="C679" s="231"/>
    </row>
    <row r="680">
      <c r="A680" s="231"/>
      <c r="B680" s="231"/>
      <c r="C680" s="231"/>
    </row>
    <row r="681">
      <c r="A681" s="231"/>
      <c r="B681" s="231"/>
      <c r="C681" s="231"/>
    </row>
    <row r="682">
      <c r="A682" s="231"/>
      <c r="B682" s="231"/>
      <c r="C682" s="231"/>
    </row>
    <row r="683">
      <c r="A683" s="231"/>
      <c r="B683" s="231"/>
      <c r="C683" s="231"/>
    </row>
    <row r="684">
      <c r="A684" s="231"/>
      <c r="B684" s="231"/>
      <c r="C684" s="231"/>
    </row>
    <row r="685">
      <c r="A685" s="231"/>
      <c r="B685" s="231"/>
      <c r="C685" s="231"/>
    </row>
    <row r="686">
      <c r="A686" s="231"/>
      <c r="B686" s="231"/>
      <c r="C686" s="231"/>
    </row>
    <row r="687">
      <c r="A687" s="231"/>
      <c r="B687" s="231"/>
      <c r="C687" s="231"/>
    </row>
    <row r="688">
      <c r="A688" s="231"/>
      <c r="B688" s="231"/>
      <c r="C688" s="231"/>
    </row>
    <row r="689">
      <c r="A689" s="231"/>
      <c r="B689" s="231"/>
      <c r="C689" s="231"/>
    </row>
    <row r="690">
      <c r="A690" s="231"/>
      <c r="B690" s="231"/>
      <c r="C690" s="231"/>
    </row>
    <row r="691">
      <c r="A691" s="231"/>
      <c r="B691" s="231"/>
      <c r="C691" s="231"/>
    </row>
    <row r="692">
      <c r="A692" s="231"/>
      <c r="B692" s="231"/>
      <c r="C692" s="231"/>
    </row>
    <row r="693">
      <c r="A693" s="231"/>
      <c r="B693" s="231"/>
      <c r="C693" s="231"/>
    </row>
    <row r="694">
      <c r="A694" s="231"/>
      <c r="B694" s="231"/>
      <c r="C694" s="231"/>
    </row>
    <row r="695">
      <c r="A695" s="231"/>
      <c r="B695" s="231"/>
      <c r="C695" s="231"/>
    </row>
    <row r="696">
      <c r="A696" s="231"/>
      <c r="B696" s="231"/>
      <c r="C696" s="231"/>
    </row>
    <row r="697">
      <c r="A697" s="231"/>
      <c r="B697" s="231"/>
      <c r="C697" s="231"/>
    </row>
    <row r="698">
      <c r="A698" s="231"/>
      <c r="B698" s="231"/>
      <c r="C698" s="231"/>
    </row>
    <row r="699">
      <c r="A699" s="231"/>
      <c r="B699" s="231"/>
      <c r="C699" s="231"/>
    </row>
    <row r="700">
      <c r="A700" s="231"/>
      <c r="B700" s="231"/>
      <c r="C700" s="231"/>
    </row>
    <row r="701">
      <c r="A701" s="231"/>
      <c r="B701" s="231"/>
      <c r="C701" s="231"/>
    </row>
    <row r="702">
      <c r="A702" s="231"/>
      <c r="B702" s="231"/>
      <c r="C702" s="231"/>
    </row>
    <row r="703">
      <c r="A703" s="231"/>
      <c r="B703" s="231"/>
      <c r="C703" s="231"/>
    </row>
    <row r="704">
      <c r="A704" s="231"/>
      <c r="B704" s="231"/>
      <c r="C704" s="231"/>
    </row>
    <row r="705">
      <c r="A705" s="231"/>
      <c r="B705" s="231"/>
      <c r="C705" s="231"/>
    </row>
    <row r="706">
      <c r="A706" s="231"/>
      <c r="B706" s="231"/>
      <c r="C706" s="231"/>
    </row>
    <row r="707">
      <c r="A707" s="231"/>
      <c r="B707" s="231"/>
      <c r="C707" s="231"/>
    </row>
    <row r="708">
      <c r="A708" s="231"/>
      <c r="B708" s="231"/>
      <c r="C708" s="231"/>
    </row>
    <row r="709">
      <c r="A709" s="231"/>
      <c r="B709" s="231"/>
      <c r="C709" s="231"/>
    </row>
    <row r="710">
      <c r="A710" s="231"/>
      <c r="B710" s="231"/>
      <c r="C710" s="231"/>
    </row>
    <row r="711">
      <c r="A711" s="231"/>
      <c r="B711" s="231"/>
      <c r="C711" s="231"/>
    </row>
    <row r="712">
      <c r="A712" s="231"/>
      <c r="B712" s="231"/>
      <c r="C712" s="231"/>
    </row>
    <row r="713">
      <c r="A713" s="231"/>
      <c r="B713" s="231"/>
      <c r="C713" s="231"/>
    </row>
    <row r="714">
      <c r="A714" s="231"/>
      <c r="B714" s="231"/>
      <c r="C714" s="231"/>
    </row>
    <row r="715">
      <c r="A715" s="231"/>
      <c r="B715" s="231"/>
      <c r="C715" s="231"/>
    </row>
    <row r="716">
      <c r="A716" s="231"/>
      <c r="B716" s="231"/>
      <c r="C716" s="231"/>
    </row>
    <row r="717">
      <c r="A717" s="231"/>
      <c r="B717" s="231"/>
      <c r="C717" s="231"/>
    </row>
    <row r="718">
      <c r="A718" s="231"/>
      <c r="B718" s="231"/>
      <c r="C718" s="231"/>
    </row>
    <row r="719">
      <c r="A719" s="231"/>
      <c r="B719" s="231"/>
      <c r="C719" s="231"/>
    </row>
    <row r="720">
      <c r="A720" s="231"/>
      <c r="B720" s="231"/>
      <c r="C720" s="231"/>
    </row>
    <row r="721">
      <c r="A721" s="231"/>
      <c r="B721" s="231"/>
      <c r="C721" s="231"/>
    </row>
    <row r="722">
      <c r="A722" s="231"/>
      <c r="B722" s="231"/>
      <c r="C722" s="231"/>
    </row>
    <row r="723">
      <c r="A723" s="231"/>
      <c r="B723" s="231"/>
      <c r="C723" s="231"/>
    </row>
    <row r="724">
      <c r="A724" s="231"/>
      <c r="B724" s="231"/>
      <c r="C724" s="231"/>
    </row>
    <row r="725">
      <c r="A725" s="231"/>
      <c r="B725" s="231"/>
      <c r="C725" s="231"/>
    </row>
    <row r="726">
      <c r="A726" s="231"/>
      <c r="B726" s="231"/>
      <c r="C726" s="231"/>
    </row>
    <row r="727">
      <c r="A727" s="231"/>
      <c r="B727" s="231"/>
      <c r="C727" s="231"/>
    </row>
    <row r="728">
      <c r="A728" s="231"/>
      <c r="B728" s="231"/>
      <c r="C728" s="231"/>
    </row>
    <row r="729">
      <c r="A729" s="231"/>
      <c r="B729" s="231"/>
      <c r="C729" s="231"/>
    </row>
    <row r="730">
      <c r="A730" s="231"/>
      <c r="B730" s="231"/>
      <c r="C730" s="231"/>
    </row>
    <row r="731">
      <c r="A731" s="231"/>
      <c r="B731" s="231"/>
      <c r="C731" s="231"/>
    </row>
    <row r="732">
      <c r="A732" s="231"/>
      <c r="B732" s="231"/>
      <c r="C732" s="231"/>
    </row>
    <row r="733">
      <c r="A733" s="231"/>
      <c r="B733" s="231"/>
      <c r="C733" s="231"/>
    </row>
    <row r="734">
      <c r="A734" s="231"/>
      <c r="B734" s="231"/>
      <c r="C734" s="231"/>
    </row>
    <row r="735">
      <c r="A735" s="231"/>
      <c r="B735" s="231"/>
      <c r="C735" s="231"/>
    </row>
    <row r="736">
      <c r="A736" s="231"/>
      <c r="B736" s="231"/>
      <c r="C736" s="231"/>
    </row>
    <row r="737">
      <c r="A737" s="231"/>
      <c r="B737" s="231"/>
      <c r="C737" s="231"/>
    </row>
    <row r="738">
      <c r="A738" s="231"/>
      <c r="B738" s="231"/>
      <c r="C738" s="231"/>
    </row>
    <row r="739">
      <c r="A739" s="231"/>
      <c r="B739" s="231"/>
      <c r="C739" s="231"/>
    </row>
    <row r="740">
      <c r="A740" s="231"/>
      <c r="B740" s="231"/>
      <c r="C740" s="231"/>
    </row>
    <row r="741">
      <c r="A741" s="231"/>
      <c r="B741" s="231"/>
      <c r="C741" s="231"/>
    </row>
    <row r="742">
      <c r="A742" s="231"/>
      <c r="B742" s="231"/>
      <c r="C742" s="231"/>
    </row>
    <row r="743">
      <c r="A743" s="231"/>
      <c r="B743" s="231"/>
      <c r="C743" s="231"/>
    </row>
    <row r="744">
      <c r="A744" s="231"/>
      <c r="B744" s="231"/>
      <c r="C744" s="231"/>
    </row>
    <row r="745">
      <c r="A745" s="231"/>
      <c r="B745" s="231"/>
      <c r="C745" s="231"/>
    </row>
    <row r="746">
      <c r="A746" s="231"/>
      <c r="B746" s="231"/>
      <c r="C746" s="231"/>
    </row>
    <row r="747">
      <c r="A747" s="231"/>
      <c r="B747" s="231"/>
      <c r="C747" s="231"/>
    </row>
    <row r="748">
      <c r="A748" s="231"/>
      <c r="B748" s="231"/>
      <c r="C748" s="231"/>
    </row>
    <row r="749">
      <c r="A749" s="231"/>
      <c r="B749" s="231"/>
      <c r="C749" s="231"/>
    </row>
    <row r="750">
      <c r="A750" s="231"/>
      <c r="B750" s="231"/>
      <c r="C750" s="231"/>
    </row>
    <row r="751">
      <c r="A751" s="231"/>
      <c r="B751" s="231"/>
      <c r="C751" s="231"/>
    </row>
    <row r="752">
      <c r="A752" s="231"/>
      <c r="B752" s="231"/>
      <c r="C752" s="231"/>
    </row>
    <row r="753">
      <c r="A753" s="231"/>
      <c r="B753" s="231"/>
      <c r="C753" s="231"/>
    </row>
    <row r="754">
      <c r="A754" s="231"/>
      <c r="B754" s="231"/>
      <c r="C754" s="231"/>
    </row>
    <row r="755">
      <c r="A755" s="231"/>
      <c r="B755" s="231"/>
      <c r="C755" s="231"/>
    </row>
    <row r="756">
      <c r="A756" s="231"/>
      <c r="B756" s="231"/>
      <c r="C756" s="231"/>
    </row>
    <row r="757">
      <c r="A757" s="231"/>
      <c r="B757" s="231"/>
      <c r="C757" s="231"/>
    </row>
    <row r="758">
      <c r="A758" s="231"/>
      <c r="B758" s="231"/>
      <c r="C758" s="231"/>
    </row>
    <row r="759">
      <c r="A759" s="231"/>
      <c r="B759" s="231"/>
      <c r="C759" s="231"/>
    </row>
    <row r="760">
      <c r="A760" s="231"/>
      <c r="B760" s="231"/>
      <c r="C760" s="231"/>
    </row>
    <row r="761">
      <c r="A761" s="231"/>
      <c r="B761" s="231"/>
      <c r="C761" s="231"/>
    </row>
    <row r="762">
      <c r="A762" s="231"/>
      <c r="B762" s="231"/>
      <c r="C762" s="231"/>
    </row>
    <row r="763">
      <c r="A763" s="231"/>
      <c r="B763" s="231"/>
      <c r="C763" s="231"/>
    </row>
    <row r="764">
      <c r="A764" s="231"/>
      <c r="B764" s="231"/>
      <c r="C764" s="231"/>
    </row>
    <row r="765">
      <c r="A765" s="231"/>
      <c r="B765" s="231"/>
      <c r="C765" s="231"/>
    </row>
    <row r="766">
      <c r="A766" s="231"/>
      <c r="B766" s="231"/>
      <c r="C766" s="231"/>
    </row>
    <row r="767">
      <c r="A767" s="231"/>
      <c r="B767" s="231"/>
      <c r="C767" s="231"/>
    </row>
    <row r="768">
      <c r="A768" s="231"/>
      <c r="B768" s="231"/>
      <c r="C768" s="231"/>
    </row>
    <row r="769">
      <c r="A769" s="231"/>
      <c r="B769" s="231"/>
      <c r="C769" s="231"/>
    </row>
    <row r="770">
      <c r="A770" s="231"/>
      <c r="B770" s="231"/>
      <c r="C770" s="231"/>
    </row>
    <row r="771">
      <c r="A771" s="231"/>
      <c r="B771" s="231"/>
      <c r="C771" s="231"/>
    </row>
    <row r="772">
      <c r="A772" s="231"/>
      <c r="B772" s="231"/>
      <c r="C772" s="231"/>
    </row>
    <row r="773">
      <c r="A773" s="231"/>
      <c r="B773" s="231"/>
      <c r="C773" s="231"/>
    </row>
    <row r="774">
      <c r="A774" s="231"/>
      <c r="B774" s="231"/>
      <c r="C774" s="231"/>
    </row>
    <row r="775">
      <c r="A775" s="231"/>
      <c r="B775" s="231"/>
      <c r="C775" s="231"/>
    </row>
    <row r="776">
      <c r="A776" s="231"/>
      <c r="B776" s="231"/>
      <c r="C776" s="231"/>
    </row>
    <row r="777">
      <c r="A777" s="231"/>
      <c r="B777" s="231"/>
      <c r="C777" s="231"/>
    </row>
    <row r="778">
      <c r="A778" s="231"/>
      <c r="B778" s="231"/>
      <c r="C778" s="231"/>
    </row>
    <row r="779">
      <c r="A779" s="231"/>
      <c r="B779" s="231"/>
      <c r="C779" s="231"/>
    </row>
    <row r="780">
      <c r="A780" s="231"/>
      <c r="B780" s="231"/>
      <c r="C780" s="231"/>
    </row>
    <row r="781">
      <c r="A781" s="231"/>
      <c r="B781" s="231"/>
      <c r="C781" s="231"/>
    </row>
    <row r="782">
      <c r="A782" s="231"/>
      <c r="B782" s="231"/>
      <c r="C782" s="231"/>
    </row>
    <row r="783">
      <c r="A783" s="231"/>
      <c r="B783" s="231"/>
      <c r="C783" s="231"/>
    </row>
    <row r="784">
      <c r="A784" s="231"/>
      <c r="B784" s="231"/>
      <c r="C784" s="231"/>
    </row>
    <row r="785">
      <c r="A785" s="231"/>
      <c r="B785" s="231"/>
      <c r="C785" s="231"/>
    </row>
    <row r="786">
      <c r="A786" s="231"/>
      <c r="B786" s="231"/>
      <c r="C786" s="231"/>
    </row>
    <row r="787">
      <c r="A787" s="231"/>
      <c r="B787" s="231"/>
      <c r="C787" s="231"/>
    </row>
    <row r="788">
      <c r="A788" s="231"/>
      <c r="B788" s="231"/>
      <c r="C788" s="231"/>
    </row>
    <row r="789">
      <c r="A789" s="231"/>
      <c r="B789" s="231"/>
      <c r="C789" s="231"/>
    </row>
    <row r="790">
      <c r="A790" s="231"/>
      <c r="B790" s="231"/>
      <c r="C790" s="231"/>
    </row>
    <row r="791">
      <c r="A791" s="231"/>
      <c r="B791" s="231"/>
      <c r="C791" s="231"/>
    </row>
    <row r="792">
      <c r="A792" s="231"/>
      <c r="B792" s="231"/>
      <c r="C792" s="231"/>
    </row>
    <row r="793">
      <c r="A793" s="231"/>
      <c r="B793" s="231"/>
      <c r="C793" s="231"/>
    </row>
    <row r="794">
      <c r="A794" s="231"/>
      <c r="B794" s="231"/>
      <c r="C794" s="231"/>
    </row>
    <row r="795">
      <c r="A795" s="231"/>
      <c r="B795" s="231"/>
      <c r="C795" s="231"/>
    </row>
    <row r="796">
      <c r="A796" s="231"/>
      <c r="B796" s="231"/>
      <c r="C796" s="231"/>
    </row>
    <row r="797">
      <c r="A797" s="231"/>
      <c r="B797" s="231"/>
      <c r="C797" s="231"/>
    </row>
    <row r="798">
      <c r="A798" s="231"/>
      <c r="B798" s="231"/>
      <c r="C798" s="231"/>
    </row>
    <row r="799">
      <c r="A799" s="231"/>
      <c r="B799" s="231"/>
      <c r="C799" s="231"/>
    </row>
    <row r="800">
      <c r="A800" s="231"/>
      <c r="B800" s="231"/>
      <c r="C800" s="231"/>
    </row>
    <row r="801">
      <c r="A801" s="231"/>
      <c r="B801" s="231"/>
      <c r="C801" s="231"/>
    </row>
    <row r="802">
      <c r="A802" s="231"/>
      <c r="B802" s="231"/>
      <c r="C802" s="231"/>
    </row>
    <row r="803">
      <c r="A803" s="231"/>
      <c r="B803" s="231"/>
      <c r="C803" s="231"/>
    </row>
    <row r="804">
      <c r="A804" s="231"/>
      <c r="B804" s="231"/>
      <c r="C804" s="231"/>
    </row>
    <row r="805">
      <c r="A805" s="231"/>
      <c r="B805" s="231"/>
      <c r="C805" s="231"/>
    </row>
    <row r="806">
      <c r="A806" s="231"/>
      <c r="B806" s="231"/>
      <c r="C806" s="231"/>
    </row>
    <row r="807">
      <c r="A807" s="231"/>
      <c r="B807" s="231"/>
      <c r="C807" s="231"/>
    </row>
    <row r="808">
      <c r="A808" s="231"/>
      <c r="B808" s="231"/>
      <c r="C808" s="231"/>
    </row>
    <row r="809">
      <c r="A809" s="231"/>
      <c r="B809" s="231"/>
      <c r="C809" s="231"/>
    </row>
    <row r="810">
      <c r="A810" s="231"/>
      <c r="B810" s="231"/>
      <c r="C810" s="231"/>
    </row>
    <row r="811">
      <c r="A811" s="231"/>
      <c r="B811" s="231"/>
      <c r="C811" s="231"/>
    </row>
    <row r="812">
      <c r="A812" s="231"/>
      <c r="B812" s="231"/>
      <c r="C812" s="231"/>
    </row>
    <row r="813">
      <c r="A813" s="231"/>
      <c r="B813" s="231"/>
      <c r="C813" s="231"/>
    </row>
    <row r="814">
      <c r="A814" s="231"/>
      <c r="B814" s="231"/>
      <c r="C814" s="231"/>
    </row>
    <row r="815">
      <c r="A815" s="231"/>
      <c r="B815" s="231"/>
      <c r="C815" s="231"/>
    </row>
    <row r="816">
      <c r="A816" s="231"/>
      <c r="B816" s="231"/>
      <c r="C816" s="231"/>
    </row>
    <row r="817">
      <c r="A817" s="231"/>
      <c r="B817" s="231"/>
      <c r="C817" s="231"/>
    </row>
    <row r="818">
      <c r="A818" s="231"/>
      <c r="B818" s="231"/>
      <c r="C818" s="231"/>
    </row>
    <row r="819">
      <c r="A819" s="231"/>
      <c r="B819" s="231"/>
      <c r="C819" s="231"/>
    </row>
    <row r="820">
      <c r="A820" s="231"/>
      <c r="B820" s="231"/>
      <c r="C820" s="231"/>
    </row>
    <row r="821">
      <c r="A821" s="231"/>
      <c r="B821" s="231"/>
      <c r="C821" s="231"/>
    </row>
    <row r="822">
      <c r="A822" s="231"/>
      <c r="B822" s="231"/>
      <c r="C822" s="231"/>
    </row>
    <row r="823">
      <c r="A823" s="231"/>
      <c r="B823" s="231"/>
      <c r="C823" s="231"/>
    </row>
    <row r="824">
      <c r="A824" s="231"/>
      <c r="B824" s="231"/>
      <c r="C824" s="231"/>
    </row>
    <row r="825">
      <c r="A825" s="231"/>
      <c r="B825" s="231"/>
      <c r="C825" s="231"/>
    </row>
    <row r="826">
      <c r="A826" s="231"/>
      <c r="B826" s="231"/>
      <c r="C826" s="231"/>
    </row>
    <row r="827">
      <c r="A827" s="231"/>
      <c r="B827" s="231"/>
      <c r="C827" s="231"/>
    </row>
    <row r="828">
      <c r="A828" s="231"/>
      <c r="B828" s="231"/>
      <c r="C828" s="231"/>
    </row>
    <row r="829">
      <c r="A829" s="231"/>
      <c r="B829" s="231"/>
      <c r="C829" s="231"/>
    </row>
    <row r="830">
      <c r="A830" s="231"/>
      <c r="B830" s="231"/>
      <c r="C830" s="231"/>
    </row>
    <row r="831">
      <c r="A831" s="231"/>
      <c r="B831" s="231"/>
      <c r="C831" s="231"/>
    </row>
    <row r="832">
      <c r="A832" s="231"/>
      <c r="B832" s="231"/>
      <c r="C832" s="231"/>
    </row>
    <row r="833">
      <c r="A833" s="231"/>
      <c r="B833" s="231"/>
      <c r="C833" s="231"/>
    </row>
    <row r="834">
      <c r="A834" s="231"/>
      <c r="B834" s="231"/>
      <c r="C834" s="231"/>
    </row>
    <row r="835">
      <c r="A835" s="231"/>
      <c r="B835" s="231"/>
      <c r="C835" s="231"/>
    </row>
    <row r="836">
      <c r="A836" s="231"/>
      <c r="B836" s="231"/>
      <c r="C836" s="231"/>
    </row>
    <row r="837">
      <c r="A837" s="231"/>
      <c r="B837" s="231"/>
      <c r="C837" s="231"/>
    </row>
    <row r="838">
      <c r="A838" s="231"/>
      <c r="B838" s="231"/>
      <c r="C838" s="231"/>
    </row>
    <row r="839">
      <c r="A839" s="231"/>
      <c r="B839" s="231"/>
      <c r="C839" s="231"/>
    </row>
    <row r="840">
      <c r="A840" s="231"/>
      <c r="B840" s="231"/>
      <c r="C840" s="231"/>
    </row>
    <row r="841">
      <c r="A841" s="231"/>
      <c r="B841" s="231"/>
      <c r="C841" s="231"/>
    </row>
    <row r="842">
      <c r="A842" s="231"/>
      <c r="B842" s="231"/>
      <c r="C842" s="231"/>
    </row>
    <row r="843">
      <c r="A843" s="231"/>
      <c r="B843" s="231"/>
      <c r="C843" s="231"/>
    </row>
    <row r="844">
      <c r="A844" s="231"/>
      <c r="B844" s="231"/>
      <c r="C844" s="231"/>
    </row>
    <row r="845">
      <c r="A845" s="231"/>
      <c r="B845" s="231"/>
      <c r="C845" s="231"/>
    </row>
    <row r="846">
      <c r="A846" s="231"/>
      <c r="B846" s="231"/>
      <c r="C846" s="231"/>
    </row>
    <row r="847">
      <c r="A847" s="231"/>
      <c r="B847" s="231"/>
      <c r="C847" s="231"/>
    </row>
    <row r="848">
      <c r="A848" s="231"/>
      <c r="B848" s="231"/>
      <c r="C848" s="231"/>
    </row>
    <row r="849">
      <c r="A849" s="231"/>
      <c r="B849" s="231"/>
      <c r="C849" s="231"/>
    </row>
    <row r="850">
      <c r="A850" s="231"/>
      <c r="B850" s="231"/>
      <c r="C850" s="231"/>
    </row>
    <row r="851">
      <c r="A851" s="231"/>
      <c r="B851" s="231"/>
      <c r="C851" s="231"/>
    </row>
    <row r="852">
      <c r="A852" s="231"/>
      <c r="B852" s="231"/>
      <c r="C852" s="231"/>
    </row>
    <row r="853">
      <c r="A853" s="231"/>
      <c r="B853" s="231"/>
      <c r="C853" s="231"/>
    </row>
    <row r="854">
      <c r="A854" s="231"/>
      <c r="B854" s="231"/>
      <c r="C854" s="231"/>
    </row>
    <row r="855">
      <c r="A855" s="231"/>
      <c r="B855" s="231"/>
      <c r="C855" s="231"/>
    </row>
    <row r="856">
      <c r="A856" s="231"/>
      <c r="B856" s="231"/>
      <c r="C856" s="231"/>
    </row>
    <row r="857">
      <c r="A857" s="231"/>
      <c r="B857" s="231"/>
      <c r="C857" s="231"/>
    </row>
    <row r="858">
      <c r="A858" s="231"/>
      <c r="B858" s="231"/>
      <c r="C858" s="231"/>
    </row>
    <row r="859">
      <c r="A859" s="231"/>
      <c r="B859" s="231"/>
      <c r="C859" s="231"/>
    </row>
    <row r="860">
      <c r="A860" s="231"/>
      <c r="B860" s="231"/>
      <c r="C860" s="231"/>
    </row>
    <row r="861">
      <c r="A861" s="231"/>
      <c r="B861" s="231"/>
      <c r="C861" s="231"/>
    </row>
    <row r="862">
      <c r="A862" s="231"/>
      <c r="B862" s="231"/>
      <c r="C862" s="231"/>
    </row>
    <row r="863">
      <c r="A863" s="231"/>
      <c r="B863" s="231"/>
      <c r="C863" s="231"/>
    </row>
    <row r="864">
      <c r="A864" s="231"/>
      <c r="B864" s="231"/>
      <c r="C864" s="231"/>
    </row>
    <row r="865">
      <c r="A865" s="231"/>
      <c r="B865" s="231"/>
      <c r="C865" s="231"/>
    </row>
    <row r="866">
      <c r="A866" s="231"/>
      <c r="B866" s="231"/>
      <c r="C866" s="231"/>
    </row>
    <row r="867">
      <c r="A867" s="231"/>
      <c r="B867" s="231"/>
      <c r="C867" s="231"/>
    </row>
    <row r="868">
      <c r="A868" s="231"/>
      <c r="B868" s="231"/>
      <c r="C868" s="231"/>
    </row>
    <row r="869">
      <c r="A869" s="231"/>
      <c r="B869" s="231"/>
      <c r="C869" s="231"/>
    </row>
    <row r="870">
      <c r="A870" s="231"/>
      <c r="B870" s="231"/>
      <c r="C870" s="231"/>
    </row>
    <row r="871">
      <c r="A871" s="231"/>
      <c r="B871" s="231"/>
      <c r="C871" s="231"/>
    </row>
    <row r="872">
      <c r="A872" s="231"/>
      <c r="B872" s="231"/>
      <c r="C872" s="231"/>
    </row>
    <row r="873">
      <c r="A873" s="231"/>
      <c r="B873" s="231"/>
      <c r="C873" s="231"/>
    </row>
    <row r="874">
      <c r="A874" s="231"/>
      <c r="B874" s="231"/>
      <c r="C874" s="231"/>
    </row>
    <row r="875">
      <c r="A875" s="231"/>
      <c r="B875" s="231"/>
      <c r="C875" s="231"/>
    </row>
    <row r="876">
      <c r="A876" s="231"/>
      <c r="B876" s="231"/>
      <c r="C876" s="231"/>
    </row>
    <row r="877">
      <c r="A877" s="231"/>
      <c r="B877" s="231"/>
      <c r="C877" s="231"/>
    </row>
    <row r="878">
      <c r="A878" s="231"/>
      <c r="B878" s="231"/>
      <c r="C878" s="231"/>
    </row>
    <row r="879">
      <c r="A879" s="231"/>
      <c r="B879" s="231"/>
      <c r="C879" s="231"/>
    </row>
    <row r="880">
      <c r="A880" s="231"/>
      <c r="B880" s="231"/>
      <c r="C880" s="231"/>
    </row>
    <row r="881">
      <c r="A881" s="231"/>
      <c r="B881" s="231"/>
      <c r="C881" s="231"/>
    </row>
    <row r="882">
      <c r="A882" s="231"/>
      <c r="B882" s="231"/>
      <c r="C882" s="231"/>
    </row>
    <row r="883">
      <c r="A883" s="231"/>
      <c r="B883" s="231"/>
      <c r="C883" s="231"/>
    </row>
    <row r="884">
      <c r="A884" s="231"/>
      <c r="B884" s="231"/>
      <c r="C884" s="231"/>
    </row>
    <row r="885">
      <c r="A885" s="231"/>
      <c r="B885" s="231"/>
      <c r="C885" s="231"/>
    </row>
    <row r="886">
      <c r="A886" s="231"/>
      <c r="B886" s="231"/>
      <c r="C886" s="231"/>
    </row>
    <row r="887">
      <c r="A887" s="231"/>
      <c r="B887" s="231"/>
      <c r="C887" s="231"/>
    </row>
    <row r="888">
      <c r="A888" s="231"/>
      <c r="B888" s="231"/>
      <c r="C888" s="231"/>
    </row>
    <row r="889">
      <c r="A889" s="231"/>
      <c r="B889" s="231"/>
      <c r="C889" s="231"/>
    </row>
    <row r="890">
      <c r="A890" s="231"/>
      <c r="B890" s="231"/>
      <c r="C890" s="231"/>
    </row>
    <row r="891">
      <c r="A891" s="231"/>
      <c r="B891" s="231"/>
      <c r="C891" s="231"/>
    </row>
    <row r="892">
      <c r="A892" s="231"/>
      <c r="B892" s="231"/>
      <c r="C892" s="231"/>
    </row>
    <row r="893">
      <c r="A893" s="231"/>
      <c r="B893" s="231"/>
      <c r="C893" s="231"/>
    </row>
    <row r="894">
      <c r="A894" s="231"/>
      <c r="B894" s="231"/>
      <c r="C894" s="231"/>
    </row>
    <row r="895">
      <c r="A895" s="231"/>
      <c r="B895" s="231"/>
      <c r="C895" s="231"/>
    </row>
    <row r="896">
      <c r="A896" s="231"/>
      <c r="B896" s="231"/>
      <c r="C896" s="231"/>
    </row>
    <row r="897">
      <c r="A897" s="231"/>
      <c r="B897" s="231"/>
      <c r="C897" s="231"/>
    </row>
    <row r="898">
      <c r="A898" s="231"/>
      <c r="B898" s="231"/>
      <c r="C898" s="231"/>
    </row>
    <row r="899">
      <c r="A899" s="231"/>
      <c r="B899" s="231"/>
      <c r="C899" s="231"/>
    </row>
    <row r="900">
      <c r="A900" s="231"/>
      <c r="B900" s="231"/>
      <c r="C900" s="231"/>
    </row>
    <row r="901">
      <c r="A901" s="231"/>
      <c r="B901" s="231"/>
      <c r="C901" s="231"/>
    </row>
    <row r="902">
      <c r="A902" s="231"/>
      <c r="B902" s="231"/>
      <c r="C902" s="231"/>
    </row>
    <row r="903">
      <c r="A903" s="231"/>
      <c r="B903" s="231"/>
      <c r="C903" s="231"/>
    </row>
    <row r="904">
      <c r="A904" s="231"/>
      <c r="B904" s="231"/>
      <c r="C904" s="231"/>
    </row>
    <row r="905">
      <c r="A905" s="231"/>
      <c r="B905" s="231"/>
      <c r="C905" s="231"/>
    </row>
    <row r="906">
      <c r="A906" s="231"/>
      <c r="B906" s="231"/>
      <c r="C906" s="231"/>
    </row>
    <row r="907">
      <c r="A907" s="231"/>
      <c r="B907" s="231"/>
      <c r="C907" s="231"/>
    </row>
    <row r="908">
      <c r="A908" s="231"/>
      <c r="B908" s="231"/>
      <c r="C908" s="231"/>
    </row>
    <row r="909">
      <c r="A909" s="231"/>
      <c r="B909" s="231"/>
      <c r="C909" s="231"/>
    </row>
    <row r="910">
      <c r="A910" s="231"/>
      <c r="B910" s="231"/>
      <c r="C910" s="231"/>
    </row>
    <row r="911">
      <c r="A911" s="231"/>
      <c r="B911" s="231"/>
      <c r="C911" s="231"/>
    </row>
    <row r="912">
      <c r="A912" s="231"/>
      <c r="B912" s="231"/>
      <c r="C912" s="231"/>
    </row>
    <row r="913">
      <c r="A913" s="231"/>
      <c r="B913" s="231"/>
      <c r="C913" s="231"/>
    </row>
    <row r="914">
      <c r="A914" s="231"/>
      <c r="B914" s="231"/>
      <c r="C914" s="231"/>
    </row>
    <row r="915">
      <c r="A915" s="231"/>
      <c r="B915" s="231"/>
      <c r="C915" s="231"/>
    </row>
    <row r="916">
      <c r="A916" s="231"/>
      <c r="B916" s="231"/>
      <c r="C916" s="231"/>
    </row>
    <row r="917">
      <c r="A917" s="231"/>
      <c r="B917" s="231"/>
      <c r="C917" s="231"/>
    </row>
    <row r="918">
      <c r="A918" s="231"/>
      <c r="B918" s="231"/>
      <c r="C918" s="231"/>
    </row>
    <row r="919">
      <c r="A919" s="231"/>
      <c r="B919" s="231"/>
      <c r="C919" s="231"/>
    </row>
    <row r="920">
      <c r="A920" s="231"/>
      <c r="B920" s="231"/>
      <c r="C920" s="231"/>
    </row>
    <row r="921">
      <c r="A921" s="231"/>
      <c r="B921" s="231"/>
      <c r="C921" s="231"/>
    </row>
    <row r="922">
      <c r="A922" s="231"/>
      <c r="B922" s="231"/>
      <c r="C922" s="231"/>
    </row>
    <row r="923">
      <c r="A923" s="231"/>
      <c r="B923" s="231"/>
      <c r="C923" s="231"/>
    </row>
    <row r="924">
      <c r="A924" s="231"/>
      <c r="B924" s="231"/>
      <c r="C924" s="231"/>
    </row>
    <row r="925">
      <c r="A925" s="231"/>
      <c r="B925" s="231"/>
      <c r="C925" s="231"/>
    </row>
    <row r="926">
      <c r="A926" s="231"/>
      <c r="B926" s="231"/>
      <c r="C926" s="231"/>
    </row>
    <row r="927">
      <c r="A927" s="231"/>
      <c r="B927" s="231"/>
      <c r="C927" s="231"/>
    </row>
    <row r="928">
      <c r="A928" s="231"/>
      <c r="B928" s="231"/>
      <c r="C928" s="231"/>
    </row>
    <row r="929">
      <c r="A929" s="231"/>
      <c r="B929" s="231"/>
      <c r="C929" s="231"/>
    </row>
    <row r="930">
      <c r="A930" s="231"/>
      <c r="B930" s="231"/>
      <c r="C930" s="231"/>
    </row>
    <row r="931">
      <c r="A931" s="231"/>
      <c r="B931" s="231"/>
      <c r="C931" s="231"/>
    </row>
    <row r="932">
      <c r="A932" s="231"/>
      <c r="B932" s="231"/>
      <c r="C932" s="231"/>
    </row>
    <row r="933">
      <c r="A933" s="231"/>
      <c r="B933" s="231"/>
      <c r="C933" s="231"/>
    </row>
    <row r="934">
      <c r="A934" s="231"/>
      <c r="B934" s="231"/>
      <c r="C934" s="231"/>
    </row>
    <row r="935">
      <c r="A935" s="231"/>
      <c r="B935" s="231"/>
      <c r="C935" s="231"/>
    </row>
    <row r="936">
      <c r="A936" s="231"/>
      <c r="B936" s="231"/>
      <c r="C936" s="231"/>
    </row>
    <row r="937">
      <c r="A937" s="231"/>
      <c r="B937" s="231"/>
      <c r="C937" s="231"/>
    </row>
    <row r="938">
      <c r="A938" s="231"/>
      <c r="B938" s="231"/>
      <c r="C938" s="231"/>
    </row>
    <row r="939">
      <c r="A939" s="231"/>
      <c r="B939" s="231"/>
      <c r="C939" s="231"/>
    </row>
    <row r="940">
      <c r="A940" s="231"/>
      <c r="B940" s="231"/>
      <c r="C940" s="231"/>
    </row>
    <row r="941">
      <c r="A941" s="231"/>
      <c r="B941" s="231"/>
      <c r="C941" s="231"/>
    </row>
    <row r="942">
      <c r="A942" s="231"/>
      <c r="B942" s="231"/>
      <c r="C942" s="231"/>
    </row>
    <row r="943">
      <c r="A943" s="231"/>
      <c r="B943" s="231"/>
      <c r="C943" s="231"/>
    </row>
    <row r="944">
      <c r="A944" s="231"/>
      <c r="B944" s="231"/>
      <c r="C944" s="231"/>
    </row>
    <row r="945">
      <c r="A945" s="231"/>
      <c r="B945" s="231"/>
      <c r="C945" s="231"/>
    </row>
    <row r="946">
      <c r="A946" s="231"/>
      <c r="B946" s="231"/>
      <c r="C946" s="231"/>
    </row>
    <row r="947">
      <c r="A947" s="231"/>
      <c r="B947" s="231"/>
      <c r="C947" s="231"/>
    </row>
    <row r="948">
      <c r="A948" s="231"/>
      <c r="B948" s="231"/>
      <c r="C948" s="231"/>
    </row>
    <row r="949">
      <c r="A949" s="231"/>
      <c r="B949" s="231"/>
      <c r="C949" s="231"/>
    </row>
    <row r="950">
      <c r="A950" s="231"/>
      <c r="B950" s="231"/>
      <c r="C950" s="231"/>
    </row>
    <row r="951">
      <c r="A951" s="231"/>
      <c r="B951" s="231"/>
      <c r="C951" s="231"/>
    </row>
    <row r="952">
      <c r="A952" s="231"/>
      <c r="B952" s="231"/>
      <c r="C952" s="231"/>
    </row>
    <row r="953">
      <c r="A953" s="231"/>
      <c r="B953" s="231"/>
      <c r="C953" s="231"/>
    </row>
    <row r="954">
      <c r="A954" s="231"/>
      <c r="B954" s="231"/>
      <c r="C954" s="231"/>
    </row>
    <row r="955">
      <c r="A955" s="231"/>
      <c r="B955" s="231"/>
      <c r="C955" s="231"/>
    </row>
    <row r="956">
      <c r="A956" s="231"/>
      <c r="B956" s="231"/>
      <c r="C956" s="231"/>
    </row>
    <row r="957">
      <c r="A957" s="231"/>
      <c r="B957" s="231"/>
      <c r="C957" s="231"/>
    </row>
    <row r="958">
      <c r="A958" s="231"/>
      <c r="B958" s="231"/>
      <c r="C958" s="231"/>
    </row>
    <row r="959">
      <c r="A959" s="231"/>
      <c r="B959" s="231"/>
      <c r="C959" s="231"/>
    </row>
    <row r="960">
      <c r="A960" s="231"/>
      <c r="B960" s="231"/>
      <c r="C960" s="231"/>
    </row>
    <row r="961">
      <c r="A961" s="231"/>
      <c r="B961" s="231"/>
      <c r="C961" s="231"/>
    </row>
    <row r="962">
      <c r="A962" s="231"/>
      <c r="B962" s="231"/>
      <c r="C962" s="231"/>
    </row>
    <row r="963">
      <c r="A963" s="231"/>
      <c r="B963" s="231"/>
      <c r="C963" s="231"/>
    </row>
    <row r="964">
      <c r="A964" s="231"/>
      <c r="B964" s="231"/>
      <c r="C964" s="231"/>
    </row>
    <row r="965">
      <c r="A965" s="231"/>
      <c r="B965" s="231"/>
      <c r="C965" s="231"/>
    </row>
    <row r="966">
      <c r="A966" s="231"/>
      <c r="B966" s="231"/>
      <c r="C966" s="231"/>
    </row>
    <row r="967">
      <c r="A967" s="231"/>
      <c r="B967" s="231"/>
      <c r="C967" s="231"/>
    </row>
    <row r="968">
      <c r="A968" s="231"/>
      <c r="B968" s="231"/>
      <c r="C968" s="231"/>
    </row>
    <row r="969">
      <c r="A969" s="231"/>
      <c r="B969" s="231"/>
      <c r="C969" s="231"/>
    </row>
    <row r="970">
      <c r="A970" s="231"/>
      <c r="B970" s="231"/>
      <c r="C970" s="231"/>
    </row>
    <row r="971">
      <c r="A971" s="231"/>
      <c r="B971" s="231"/>
      <c r="C971" s="231"/>
    </row>
    <row r="972">
      <c r="A972" s="231"/>
      <c r="B972" s="231"/>
      <c r="C972" s="231"/>
    </row>
    <row r="973">
      <c r="A973" s="231"/>
      <c r="B973" s="231"/>
      <c r="C973" s="231"/>
    </row>
    <row r="974">
      <c r="A974" s="231"/>
      <c r="B974" s="231"/>
      <c r="C974" s="231"/>
    </row>
    <row r="975">
      <c r="A975" s="231"/>
      <c r="B975" s="231"/>
      <c r="C975" s="231"/>
    </row>
    <row r="976">
      <c r="A976" s="231"/>
      <c r="B976" s="231"/>
      <c r="C976" s="231"/>
    </row>
    <row r="977">
      <c r="A977" s="231"/>
      <c r="B977" s="231"/>
      <c r="C977" s="231"/>
    </row>
    <row r="978">
      <c r="A978" s="231"/>
      <c r="B978" s="231"/>
      <c r="C978" s="231"/>
    </row>
    <row r="979">
      <c r="A979" s="231"/>
      <c r="B979" s="231"/>
      <c r="C979" s="231"/>
    </row>
    <row r="980">
      <c r="A980" s="231"/>
      <c r="B980" s="231"/>
      <c r="C980" s="231"/>
    </row>
    <row r="981">
      <c r="A981" s="231"/>
      <c r="B981" s="231"/>
      <c r="C981" s="231"/>
    </row>
    <row r="982">
      <c r="A982" s="231"/>
      <c r="B982" s="231"/>
      <c r="C982" s="231"/>
    </row>
    <row r="983">
      <c r="A983" s="231"/>
      <c r="B983" s="231"/>
      <c r="C983" s="231"/>
    </row>
    <row r="984">
      <c r="A984" s="231"/>
      <c r="B984" s="231"/>
      <c r="C984" s="231"/>
    </row>
    <row r="985">
      <c r="A985" s="231"/>
      <c r="B985" s="231"/>
      <c r="C985" s="231"/>
    </row>
    <row r="986">
      <c r="A986" s="231"/>
      <c r="B986" s="231"/>
      <c r="C986" s="231"/>
    </row>
    <row r="987">
      <c r="A987" s="231"/>
      <c r="B987" s="231"/>
      <c r="C987" s="231"/>
    </row>
    <row r="988">
      <c r="A988" s="231"/>
      <c r="B988" s="231"/>
      <c r="C988" s="231"/>
    </row>
    <row r="989">
      <c r="A989" s="231"/>
      <c r="B989" s="231"/>
      <c r="C989" s="231"/>
    </row>
    <row r="990">
      <c r="A990" s="231"/>
      <c r="B990" s="231"/>
      <c r="C990" s="231"/>
    </row>
    <row r="991">
      <c r="A991" s="231"/>
      <c r="B991" s="231"/>
      <c r="C991" s="231"/>
    </row>
    <row r="992">
      <c r="A992" s="231"/>
      <c r="B992" s="231"/>
      <c r="C992" s="231"/>
    </row>
    <row r="993">
      <c r="A993" s="231"/>
      <c r="B993" s="231"/>
      <c r="C993" s="231"/>
    </row>
    <row r="994">
      <c r="A994" s="231"/>
      <c r="B994" s="231"/>
      <c r="C994" s="231"/>
    </row>
    <row r="995">
      <c r="A995" s="231"/>
      <c r="B995" s="231"/>
      <c r="C995" s="231"/>
    </row>
    <row r="996">
      <c r="A996" s="231"/>
      <c r="B996" s="231"/>
      <c r="C996" s="231"/>
    </row>
    <row r="997">
      <c r="A997" s="231"/>
      <c r="B997" s="231"/>
      <c r="C997" s="231"/>
    </row>
    <row r="998">
      <c r="A998" s="231"/>
      <c r="B998" s="231"/>
      <c r="C998" s="231"/>
    </row>
    <row r="999">
      <c r="A999" s="231"/>
      <c r="B999" s="231"/>
      <c r="C999" s="231"/>
    </row>
    <row r="1000">
      <c r="A1000" s="231"/>
      <c r="B1000" s="231"/>
      <c r="C1000" s="231"/>
    </row>
  </sheetData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49.0"/>
    <col customWidth="1" min="4" max="4" width="16.88"/>
    <col customWidth="1" min="5" max="5" width="26.13"/>
    <col hidden="1" min="8" max="28" width="12.63"/>
  </cols>
  <sheetData>
    <row r="1">
      <c r="A1" s="351" t="s">
        <v>44</v>
      </c>
      <c r="B1" s="351" t="s">
        <v>1</v>
      </c>
      <c r="C1" s="57" t="s">
        <v>294</v>
      </c>
      <c r="D1" s="55" t="s">
        <v>248</v>
      </c>
      <c r="E1" s="348" t="s">
        <v>249</v>
      </c>
      <c r="F1" s="349" t="s">
        <v>250</v>
      </c>
      <c r="G1" s="352"/>
      <c r="M1" s="353" t="s">
        <v>1</v>
      </c>
      <c r="N1" s="353" t="s">
        <v>7484</v>
      </c>
      <c r="Q1" s="21" t="s">
        <v>1769</v>
      </c>
      <c r="R1" s="81">
        <v>2345.0</v>
      </c>
      <c r="T1" s="115" t="s">
        <v>44</v>
      </c>
      <c r="U1" s="116" t="s">
        <v>1</v>
      </c>
      <c r="V1" s="11" t="s">
        <v>7485</v>
      </c>
      <c r="W1" s="11" t="s">
        <v>252</v>
      </c>
      <c r="X1" s="11"/>
    </row>
    <row r="2">
      <c r="A2" s="354" t="s">
        <v>1738</v>
      </c>
      <c r="B2" s="354">
        <v>2345.0</v>
      </c>
      <c r="C2" s="136" t="s">
        <v>7486</v>
      </c>
      <c r="D2" s="179">
        <v>0.9</v>
      </c>
      <c r="E2" s="179">
        <v>0.9</v>
      </c>
      <c r="F2" s="229" t="s">
        <v>1656</v>
      </c>
      <c r="G2" s="355"/>
      <c r="M2" s="353">
        <v>986.0</v>
      </c>
      <c r="N2" s="356">
        <v>0.065</v>
      </c>
      <c r="Q2" s="21" t="s">
        <v>1780</v>
      </c>
      <c r="R2" s="81">
        <v>986.0</v>
      </c>
      <c r="T2" s="35" t="s">
        <v>1738</v>
      </c>
      <c r="U2" s="35">
        <v>6729.0</v>
      </c>
      <c r="V2" s="36" t="e">
        <v>#N/A</v>
      </c>
      <c r="W2" s="36"/>
    </row>
    <row r="3">
      <c r="A3" s="354" t="s">
        <v>1736</v>
      </c>
      <c r="B3" s="354">
        <v>2345.0</v>
      </c>
      <c r="C3" s="136" t="s">
        <v>7486</v>
      </c>
      <c r="D3" s="179">
        <v>0.9</v>
      </c>
      <c r="E3" s="179">
        <v>0.9</v>
      </c>
      <c r="F3" s="229" t="s">
        <v>1656</v>
      </c>
      <c r="G3" s="355"/>
      <c r="M3" s="353">
        <v>2345.0</v>
      </c>
      <c r="N3" s="356">
        <v>0.065</v>
      </c>
      <c r="Q3" s="21" t="s">
        <v>1759</v>
      </c>
      <c r="R3" s="81">
        <v>189.0</v>
      </c>
      <c r="T3" s="35" t="s">
        <v>1736</v>
      </c>
      <c r="U3" s="35">
        <v>986.0</v>
      </c>
      <c r="V3" s="36" t="e">
        <v>#N/A</v>
      </c>
      <c r="W3" s="36"/>
    </row>
    <row r="4">
      <c r="A4" s="354" t="s">
        <v>1739</v>
      </c>
      <c r="B4" s="354">
        <v>2345.0</v>
      </c>
      <c r="C4" s="136" t="s">
        <v>7486</v>
      </c>
      <c r="D4" s="179">
        <v>0.9</v>
      </c>
      <c r="E4" s="179">
        <v>0.9</v>
      </c>
      <c r="F4" s="229" t="s">
        <v>1656</v>
      </c>
      <c r="G4" s="357"/>
      <c r="M4" s="353">
        <v>6732.0</v>
      </c>
      <c r="N4" s="356">
        <v>0.065</v>
      </c>
      <c r="Q4" s="21" t="s">
        <v>1754</v>
      </c>
      <c r="R4" s="81">
        <v>986.0</v>
      </c>
      <c r="T4" s="35" t="s">
        <v>1739</v>
      </c>
      <c r="U4" s="35">
        <v>986.0</v>
      </c>
      <c r="V4" s="36" t="e">
        <v>#N/A</v>
      </c>
      <c r="W4" s="36"/>
    </row>
    <row r="5">
      <c r="A5" s="354" t="s">
        <v>1740</v>
      </c>
      <c r="B5" s="354">
        <v>2345.0</v>
      </c>
      <c r="C5" s="136" t="s">
        <v>7486</v>
      </c>
      <c r="D5" s="179">
        <v>0.9</v>
      </c>
      <c r="E5" s="179">
        <v>0.9</v>
      </c>
      <c r="F5" s="229" t="s">
        <v>1656</v>
      </c>
      <c r="G5" s="357"/>
      <c r="I5" s="358"/>
      <c r="M5" s="353">
        <v>189.0</v>
      </c>
      <c r="N5" s="356">
        <v>0.065</v>
      </c>
      <c r="Q5" s="21" t="s">
        <v>1739</v>
      </c>
      <c r="R5" s="81">
        <v>986.0</v>
      </c>
      <c r="T5" s="35" t="s">
        <v>1740</v>
      </c>
      <c r="U5" s="35">
        <v>986.0</v>
      </c>
      <c r="V5" s="36" t="e">
        <v>#N/A</v>
      </c>
      <c r="W5" s="36"/>
    </row>
    <row r="6">
      <c r="A6" s="354" t="s">
        <v>1741</v>
      </c>
      <c r="B6" s="354">
        <v>2345.0</v>
      </c>
      <c r="C6" s="136" t="s">
        <v>7486</v>
      </c>
      <c r="D6" s="179">
        <v>0.9</v>
      </c>
      <c r="E6" s="179">
        <v>0.9</v>
      </c>
      <c r="F6" s="229" t="s">
        <v>1656</v>
      </c>
      <c r="G6" s="359"/>
      <c r="I6" s="358"/>
      <c r="M6" s="353">
        <v>3607.0</v>
      </c>
      <c r="N6" s="356">
        <v>0.065</v>
      </c>
      <c r="Q6" s="21" t="s">
        <v>1748</v>
      </c>
      <c r="R6" s="81">
        <v>986.0</v>
      </c>
      <c r="T6" s="35" t="s">
        <v>1741</v>
      </c>
      <c r="U6" s="35">
        <v>6143.0</v>
      </c>
      <c r="V6" s="36" t="e">
        <v>#N/A</v>
      </c>
      <c r="W6" s="36"/>
    </row>
    <row r="7">
      <c r="A7" s="354" t="s">
        <v>1742</v>
      </c>
      <c r="B7" s="354">
        <v>14516.0</v>
      </c>
      <c r="C7" s="136" t="s">
        <v>7486</v>
      </c>
      <c r="D7" s="360">
        <v>0.75</v>
      </c>
      <c r="E7" s="360">
        <v>0.75</v>
      </c>
      <c r="F7" s="229" t="s">
        <v>1656</v>
      </c>
      <c r="M7" s="353">
        <v>6143.0</v>
      </c>
      <c r="N7" s="356">
        <v>0.065</v>
      </c>
      <c r="Q7" s="21" t="s">
        <v>1779</v>
      </c>
      <c r="R7" s="81">
        <v>2345.0</v>
      </c>
      <c r="T7" s="35" t="s">
        <v>1742</v>
      </c>
      <c r="U7" s="35">
        <v>283.0</v>
      </c>
      <c r="V7" s="36" t="e">
        <v>#N/A</v>
      </c>
      <c r="W7" s="36"/>
    </row>
    <row r="8">
      <c r="A8" s="354" t="s">
        <v>1745</v>
      </c>
      <c r="B8" s="354">
        <v>499.0</v>
      </c>
      <c r="C8" s="136" t="s">
        <v>7486</v>
      </c>
      <c r="D8" s="360">
        <v>0.75</v>
      </c>
      <c r="E8" s="360">
        <v>0.75</v>
      </c>
      <c r="F8" s="229" t="s">
        <v>1656</v>
      </c>
      <c r="M8" s="11">
        <v>6924.0</v>
      </c>
      <c r="N8" s="356">
        <v>0.065</v>
      </c>
      <c r="Q8" s="21" t="s">
        <v>1746</v>
      </c>
      <c r="R8" s="81">
        <v>986.0</v>
      </c>
      <c r="T8" s="35" t="s">
        <v>1745</v>
      </c>
      <c r="U8" s="35">
        <v>986.0</v>
      </c>
      <c r="V8" s="36" t="e">
        <v>#N/A</v>
      </c>
      <c r="W8" s="36"/>
    </row>
    <row r="9">
      <c r="A9" s="354" t="s">
        <v>1747</v>
      </c>
      <c r="B9" s="354">
        <v>6924.0</v>
      </c>
      <c r="C9" s="136" t="s">
        <v>7486</v>
      </c>
      <c r="D9" s="360">
        <v>0.83</v>
      </c>
      <c r="E9" s="360">
        <v>0.83</v>
      </c>
      <c r="F9" s="229" t="s">
        <v>1656</v>
      </c>
      <c r="Q9" s="21" t="s">
        <v>1771</v>
      </c>
      <c r="R9" s="81">
        <v>6530.0</v>
      </c>
      <c r="T9" s="11" t="s">
        <v>1747</v>
      </c>
      <c r="U9" s="11">
        <v>6924.0</v>
      </c>
      <c r="V9" s="18">
        <v>1.0</v>
      </c>
    </row>
    <row r="10">
      <c r="A10" s="354" t="s">
        <v>1749</v>
      </c>
      <c r="B10" s="354">
        <v>8002.0</v>
      </c>
      <c r="C10" s="136" t="s">
        <v>7486</v>
      </c>
      <c r="D10" s="360">
        <v>0.75</v>
      </c>
      <c r="E10" s="360">
        <v>0.75</v>
      </c>
      <c r="F10" s="229" t="s">
        <v>1656</v>
      </c>
      <c r="Q10" s="21" t="s">
        <v>1757</v>
      </c>
      <c r="R10" s="81">
        <v>2345.0</v>
      </c>
      <c r="T10" s="35" t="s">
        <v>1749</v>
      </c>
      <c r="U10" s="35">
        <v>986.0</v>
      </c>
      <c r="V10" s="36" t="e">
        <v>#N/A</v>
      </c>
      <c r="W10" s="36"/>
    </row>
    <row r="11">
      <c r="A11" s="354" t="s">
        <v>1743</v>
      </c>
      <c r="B11" s="354">
        <v>12553.0</v>
      </c>
      <c r="C11" s="136" t="s">
        <v>7486</v>
      </c>
      <c r="D11" s="360">
        <v>0.75</v>
      </c>
      <c r="E11" s="360">
        <v>0.75</v>
      </c>
      <c r="F11" s="229" t="s">
        <v>1656</v>
      </c>
      <c r="Q11" s="21" t="s">
        <v>1785</v>
      </c>
      <c r="R11" s="81">
        <v>2345.0</v>
      </c>
      <c r="T11" s="35" t="s">
        <v>1743</v>
      </c>
      <c r="U11" s="35">
        <v>283.0</v>
      </c>
      <c r="V11" s="36" t="e">
        <v>#N/A</v>
      </c>
      <c r="W11" s="36"/>
    </row>
    <row r="12">
      <c r="A12" s="354" t="s">
        <v>1744</v>
      </c>
      <c r="B12" s="354">
        <v>5389.0</v>
      </c>
      <c r="C12" s="136" t="s">
        <v>7486</v>
      </c>
      <c r="D12" s="360">
        <v>0.75</v>
      </c>
      <c r="E12" s="360">
        <v>0.75</v>
      </c>
      <c r="F12" s="229" t="s">
        <v>1656</v>
      </c>
      <c r="Q12" s="21" t="s">
        <v>1755</v>
      </c>
      <c r="R12" s="81">
        <v>189.0</v>
      </c>
      <c r="T12" s="35" t="s">
        <v>1744</v>
      </c>
      <c r="U12" s="35">
        <v>5389.0</v>
      </c>
      <c r="V12" s="36" t="e">
        <v>#N/A</v>
      </c>
      <c r="W12" s="35">
        <v>986.0</v>
      </c>
    </row>
    <row r="13">
      <c r="A13" s="354" t="s">
        <v>1746</v>
      </c>
      <c r="B13" s="354">
        <v>7747.0</v>
      </c>
      <c r="C13" s="136" t="s">
        <v>7486</v>
      </c>
      <c r="D13" s="360">
        <v>0.75</v>
      </c>
      <c r="E13" s="360">
        <v>0.75</v>
      </c>
      <c r="F13" s="229" t="s">
        <v>1656</v>
      </c>
      <c r="Q13" s="21" t="s">
        <v>1770</v>
      </c>
      <c r="R13" s="81">
        <v>6530.0</v>
      </c>
      <c r="T13" s="35" t="s">
        <v>1746</v>
      </c>
      <c r="U13" s="35">
        <v>986.0</v>
      </c>
      <c r="V13" s="36" t="e">
        <v>#N/A</v>
      </c>
      <c r="W13" s="36"/>
    </row>
    <row r="14">
      <c r="A14" s="354" t="s">
        <v>1748</v>
      </c>
      <c r="B14" s="354">
        <v>3404.0</v>
      </c>
      <c r="C14" s="136" t="s">
        <v>7486</v>
      </c>
      <c r="D14" s="360">
        <v>0.75</v>
      </c>
      <c r="E14" s="360">
        <v>0.75</v>
      </c>
      <c r="F14" s="229" t="s">
        <v>1656</v>
      </c>
      <c r="Q14" s="21" t="s">
        <v>1763</v>
      </c>
      <c r="R14" s="81">
        <v>663.0</v>
      </c>
      <c r="T14" s="35" t="s">
        <v>1748</v>
      </c>
      <c r="U14" s="35">
        <v>986.0</v>
      </c>
      <c r="V14" s="36" t="e">
        <v>#N/A</v>
      </c>
      <c r="W14" s="36"/>
    </row>
    <row r="15">
      <c r="A15" s="354" t="s">
        <v>1750</v>
      </c>
      <c r="B15" s="354">
        <v>5458.0</v>
      </c>
      <c r="C15" s="136" t="s">
        <v>7486</v>
      </c>
      <c r="D15" s="360">
        <v>0.75</v>
      </c>
      <c r="E15" s="360">
        <v>0.75</v>
      </c>
      <c r="F15" s="229" t="s">
        <v>1656</v>
      </c>
      <c r="Q15" s="21" t="s">
        <v>1751</v>
      </c>
      <c r="R15" s="81">
        <v>5458.0</v>
      </c>
      <c r="T15" s="35" t="s">
        <v>1750</v>
      </c>
      <c r="U15" s="35">
        <v>5458.0</v>
      </c>
      <c r="V15" s="36" t="e">
        <v>#N/A</v>
      </c>
      <c r="W15" s="36"/>
    </row>
    <row r="16">
      <c r="A16" s="354" t="s">
        <v>1751</v>
      </c>
      <c r="B16" s="354">
        <v>6668.0</v>
      </c>
      <c r="C16" s="136" t="s">
        <v>7486</v>
      </c>
      <c r="D16" s="360">
        <v>0.75</v>
      </c>
      <c r="E16" s="360">
        <v>0.75</v>
      </c>
      <c r="F16" s="229" t="s">
        <v>1656</v>
      </c>
      <c r="Q16" s="21" t="s">
        <v>1756</v>
      </c>
      <c r="R16" s="81">
        <v>189.0</v>
      </c>
      <c r="T16" s="35" t="s">
        <v>1751</v>
      </c>
      <c r="U16" s="35">
        <v>5458.0</v>
      </c>
      <c r="V16" s="36" t="e">
        <v>#N/A</v>
      </c>
      <c r="W16" s="36"/>
    </row>
    <row r="17">
      <c r="A17" s="354" t="s">
        <v>1752</v>
      </c>
      <c r="B17" s="354">
        <v>6668.0</v>
      </c>
      <c r="C17" s="136" t="s">
        <v>7486</v>
      </c>
      <c r="D17" s="360">
        <v>0.75</v>
      </c>
      <c r="E17" s="360">
        <v>0.75</v>
      </c>
      <c r="F17" s="229" t="s">
        <v>1656</v>
      </c>
      <c r="Q17" s="21" t="s">
        <v>1783</v>
      </c>
      <c r="R17" s="81">
        <v>986.0</v>
      </c>
      <c r="T17" s="35" t="s">
        <v>1752</v>
      </c>
      <c r="U17" s="35">
        <v>986.0</v>
      </c>
      <c r="V17" s="36" t="e">
        <v>#N/A</v>
      </c>
      <c r="W17" s="36"/>
    </row>
    <row r="18">
      <c r="A18" s="354" t="s">
        <v>1758</v>
      </c>
      <c r="B18" s="354">
        <v>6767.0</v>
      </c>
      <c r="C18" s="136" t="s">
        <v>7486</v>
      </c>
      <c r="D18" s="360">
        <v>0.75</v>
      </c>
      <c r="E18" s="360">
        <v>0.75</v>
      </c>
      <c r="F18" s="229" t="s">
        <v>1656</v>
      </c>
      <c r="Q18" s="21" t="s">
        <v>1744</v>
      </c>
      <c r="R18" s="81">
        <v>986.0</v>
      </c>
      <c r="T18" s="35" t="s">
        <v>1758</v>
      </c>
      <c r="U18" s="35">
        <v>283.0</v>
      </c>
      <c r="V18" s="36" t="e">
        <v>#N/A</v>
      </c>
      <c r="W18" s="36"/>
    </row>
    <row r="19">
      <c r="A19" s="354" t="s">
        <v>1753</v>
      </c>
      <c r="B19" s="354">
        <v>7229.0</v>
      </c>
      <c r="C19" s="136" t="s">
        <v>7486</v>
      </c>
      <c r="D19" s="360">
        <v>0.75</v>
      </c>
      <c r="E19" s="360">
        <v>0.75</v>
      </c>
      <c r="F19" s="229" t="s">
        <v>1656</v>
      </c>
      <c r="T19" s="35" t="s">
        <v>1753</v>
      </c>
      <c r="U19" s="35">
        <v>283.0</v>
      </c>
      <c r="V19" s="36" t="e">
        <v>#N/A</v>
      </c>
      <c r="W19" s="36"/>
    </row>
    <row r="20">
      <c r="A20" s="354" t="s">
        <v>1754</v>
      </c>
      <c r="B20" s="354">
        <v>14659.0</v>
      </c>
      <c r="C20" s="136" t="s">
        <v>7486</v>
      </c>
      <c r="D20" s="360">
        <v>0.75</v>
      </c>
      <c r="E20" s="360">
        <v>0.75</v>
      </c>
      <c r="F20" s="229" t="s">
        <v>1656</v>
      </c>
      <c r="T20" s="35" t="s">
        <v>1754</v>
      </c>
      <c r="U20" s="35">
        <v>986.0</v>
      </c>
      <c r="V20" s="36" t="e">
        <v>#N/A</v>
      </c>
      <c r="W20" s="36"/>
    </row>
    <row r="21">
      <c r="A21" s="354" t="s">
        <v>1755</v>
      </c>
      <c r="B21" s="354">
        <v>189.0</v>
      </c>
      <c r="C21" s="136" t="s">
        <v>7486</v>
      </c>
      <c r="D21" s="360">
        <v>0.83</v>
      </c>
      <c r="E21" s="360">
        <v>0.83</v>
      </c>
      <c r="F21" s="229" t="s">
        <v>1656</v>
      </c>
      <c r="T21" s="11" t="s">
        <v>1755</v>
      </c>
      <c r="U21" s="11">
        <v>189.0</v>
      </c>
      <c r="V21" s="18">
        <v>1.0</v>
      </c>
    </row>
    <row r="22">
      <c r="A22" s="354" t="s">
        <v>1756</v>
      </c>
      <c r="B22" s="354">
        <v>189.0</v>
      </c>
      <c r="C22" s="136" t="s">
        <v>7486</v>
      </c>
      <c r="D22" s="360">
        <v>0.83</v>
      </c>
      <c r="E22" s="360">
        <v>0.83</v>
      </c>
      <c r="F22" s="229" t="s">
        <v>1656</v>
      </c>
      <c r="T22" s="11" t="s">
        <v>1756</v>
      </c>
      <c r="U22" s="11">
        <v>189.0</v>
      </c>
      <c r="V22" s="18">
        <v>1.0</v>
      </c>
    </row>
    <row r="23">
      <c r="A23" s="354" t="s">
        <v>1757</v>
      </c>
      <c r="B23" s="354">
        <v>2345.0</v>
      </c>
      <c r="C23" s="136" t="s">
        <v>7486</v>
      </c>
      <c r="D23" s="179">
        <v>0.9</v>
      </c>
      <c r="E23" s="179">
        <v>0.9</v>
      </c>
      <c r="F23" s="229" t="s">
        <v>1656</v>
      </c>
      <c r="T23" s="11" t="s">
        <v>1757</v>
      </c>
      <c r="U23" s="11">
        <v>2345.0</v>
      </c>
      <c r="V23" s="18">
        <v>1.0</v>
      </c>
    </row>
    <row r="24">
      <c r="A24" s="354" t="s">
        <v>1759</v>
      </c>
      <c r="B24" s="354"/>
      <c r="C24" s="136" t="s">
        <v>7486</v>
      </c>
      <c r="D24" s="360">
        <v>0.75</v>
      </c>
      <c r="E24" s="360">
        <v>0.75</v>
      </c>
      <c r="F24" s="229" t="s">
        <v>1656</v>
      </c>
      <c r="T24" s="35" t="s">
        <v>1759</v>
      </c>
      <c r="U24" s="35">
        <v>189.0</v>
      </c>
      <c r="V24" s="36" t="e">
        <v>#N/A</v>
      </c>
      <c r="W24" s="36"/>
    </row>
    <row r="25">
      <c r="A25" s="354" t="s">
        <v>1760</v>
      </c>
      <c r="B25" s="354">
        <v>7010.0</v>
      </c>
      <c r="C25" s="136" t="s">
        <v>7486</v>
      </c>
      <c r="D25" s="360">
        <v>0.83</v>
      </c>
      <c r="E25" s="360">
        <v>0.83</v>
      </c>
      <c r="F25" s="229" t="s">
        <v>1656</v>
      </c>
      <c r="T25" s="11" t="s">
        <v>1760</v>
      </c>
      <c r="U25" s="11">
        <v>7010.0</v>
      </c>
      <c r="V25" s="18">
        <v>1.0</v>
      </c>
    </row>
    <row r="26">
      <c r="A26" s="354" t="s">
        <v>1761</v>
      </c>
      <c r="B26" s="354">
        <v>14663.0</v>
      </c>
      <c r="C26" s="136" t="s">
        <v>7486</v>
      </c>
      <c r="D26" s="360">
        <v>0.75</v>
      </c>
      <c r="E26" s="360">
        <v>0.75</v>
      </c>
      <c r="F26" s="229" t="s">
        <v>1656</v>
      </c>
      <c r="T26" s="35" t="s">
        <v>1761</v>
      </c>
      <c r="U26" s="35">
        <v>6463.0</v>
      </c>
      <c r="V26" s="36" t="e">
        <v>#N/A</v>
      </c>
      <c r="W26" s="36"/>
    </row>
    <row r="27">
      <c r="A27" s="354" t="s">
        <v>1762</v>
      </c>
      <c r="B27" s="354"/>
      <c r="C27" s="136" t="s">
        <v>7486</v>
      </c>
      <c r="D27" s="360">
        <v>0.75</v>
      </c>
      <c r="E27" s="360">
        <v>0.75</v>
      </c>
      <c r="F27" s="229" t="s">
        <v>1656</v>
      </c>
      <c r="T27" s="35" t="s">
        <v>1762</v>
      </c>
      <c r="U27" s="35">
        <v>663.0</v>
      </c>
      <c r="V27" s="36" t="e">
        <v>#N/A</v>
      </c>
      <c r="W27" s="36"/>
    </row>
    <row r="28">
      <c r="A28" s="354" t="s">
        <v>1763</v>
      </c>
      <c r="B28" s="354"/>
      <c r="C28" s="136" t="s">
        <v>7486</v>
      </c>
      <c r="D28" s="360">
        <v>0.75</v>
      </c>
      <c r="E28" s="360">
        <v>0.75</v>
      </c>
      <c r="F28" s="229" t="s">
        <v>1656</v>
      </c>
      <c r="T28" s="35" t="s">
        <v>1763</v>
      </c>
      <c r="U28" s="35">
        <v>663.0</v>
      </c>
      <c r="V28" s="36" t="e">
        <v>#N/A</v>
      </c>
      <c r="W28" s="36"/>
    </row>
    <row r="29">
      <c r="A29" s="354" t="s">
        <v>1764</v>
      </c>
      <c r="B29" s="354"/>
      <c r="C29" s="136" t="s">
        <v>7486</v>
      </c>
      <c r="D29" s="360">
        <v>0.75</v>
      </c>
      <c r="E29" s="360">
        <v>0.75</v>
      </c>
      <c r="F29" s="229" t="s">
        <v>1656</v>
      </c>
      <c r="T29" s="11" t="s">
        <v>1764</v>
      </c>
      <c r="U29" s="11">
        <v>7010.0</v>
      </c>
      <c r="V29" s="18">
        <v>1.0</v>
      </c>
    </row>
    <row r="30">
      <c r="A30" s="354" t="s">
        <v>1765</v>
      </c>
      <c r="B30" s="354"/>
      <c r="C30" s="136" t="s">
        <v>7486</v>
      </c>
      <c r="D30" s="360">
        <v>0.75</v>
      </c>
      <c r="E30" s="360">
        <v>0.75</v>
      </c>
      <c r="F30" s="229" t="s">
        <v>1656</v>
      </c>
      <c r="T30" s="35" t="s">
        <v>1765</v>
      </c>
      <c r="U30" s="35">
        <v>6109.0</v>
      </c>
      <c r="V30" s="36" t="e">
        <v>#N/A</v>
      </c>
      <c r="W30" s="36"/>
    </row>
    <row r="31">
      <c r="A31" s="354" t="s">
        <v>1766</v>
      </c>
      <c r="B31" s="354">
        <v>14575.0</v>
      </c>
      <c r="C31" s="136" t="s">
        <v>7486</v>
      </c>
      <c r="D31" s="105">
        <v>0.85</v>
      </c>
      <c r="E31" s="105">
        <v>0.85</v>
      </c>
      <c r="F31" s="229" t="s">
        <v>1656</v>
      </c>
      <c r="T31" s="35" t="s">
        <v>1766</v>
      </c>
      <c r="U31" s="35">
        <v>6109.0</v>
      </c>
      <c r="V31" s="36" t="e">
        <v>#N/A</v>
      </c>
      <c r="W31" s="36"/>
    </row>
    <row r="32">
      <c r="A32" s="354" t="s">
        <v>1767</v>
      </c>
      <c r="B32" s="354">
        <v>14646.0</v>
      </c>
      <c r="C32" s="136" t="s">
        <v>7486</v>
      </c>
      <c r="D32" s="360">
        <v>0.75</v>
      </c>
      <c r="E32" s="360">
        <v>0.75</v>
      </c>
      <c r="F32" s="229" t="s">
        <v>1656</v>
      </c>
      <c r="T32" s="11" t="s">
        <v>1767</v>
      </c>
      <c r="U32" s="11">
        <v>6109.0</v>
      </c>
      <c r="V32" s="18">
        <v>1.0</v>
      </c>
    </row>
    <row r="33">
      <c r="A33" s="354" t="s">
        <v>1768</v>
      </c>
      <c r="B33" s="354"/>
      <c r="C33" s="136" t="s">
        <v>7486</v>
      </c>
      <c r="D33" s="360">
        <v>0.75</v>
      </c>
      <c r="E33" s="360">
        <v>0.75</v>
      </c>
      <c r="F33" s="229" t="s">
        <v>1656</v>
      </c>
      <c r="T33" s="35" t="s">
        <v>1768</v>
      </c>
      <c r="U33" s="35">
        <v>986.0</v>
      </c>
      <c r="V33" s="36" t="e">
        <v>#N/A</v>
      </c>
      <c r="W33" s="36"/>
    </row>
    <row r="34">
      <c r="A34" s="354" t="s">
        <v>1769</v>
      </c>
      <c r="B34" s="37">
        <v>14480.0</v>
      </c>
      <c r="C34" s="136" t="s">
        <v>7486</v>
      </c>
      <c r="D34" s="360">
        <v>0.75</v>
      </c>
      <c r="E34" s="360">
        <v>0.75</v>
      </c>
      <c r="F34" s="229" t="s">
        <v>1656</v>
      </c>
      <c r="T34" s="35" t="s">
        <v>1769</v>
      </c>
      <c r="U34" s="35">
        <v>2345.0</v>
      </c>
      <c r="V34" s="36" t="e">
        <v>#N/A</v>
      </c>
      <c r="W34" s="36"/>
    </row>
    <row r="35">
      <c r="A35" s="354" t="s">
        <v>1770</v>
      </c>
      <c r="B35" s="354"/>
      <c r="C35" s="136" t="s">
        <v>7486</v>
      </c>
      <c r="D35" s="360">
        <v>0.75</v>
      </c>
      <c r="E35" s="360">
        <v>0.75</v>
      </c>
      <c r="F35" s="229" t="s">
        <v>1656</v>
      </c>
      <c r="T35" s="35" t="s">
        <v>1770</v>
      </c>
      <c r="U35" s="35">
        <v>6530.0</v>
      </c>
      <c r="V35" s="36" t="e">
        <v>#N/A</v>
      </c>
      <c r="W35" s="36"/>
    </row>
    <row r="36">
      <c r="A36" s="354" t="s">
        <v>1771</v>
      </c>
      <c r="B36" s="354"/>
      <c r="C36" s="136" t="s">
        <v>7486</v>
      </c>
      <c r="D36" s="360">
        <v>0.75</v>
      </c>
      <c r="E36" s="360">
        <v>0.75</v>
      </c>
      <c r="F36" s="229" t="s">
        <v>1656</v>
      </c>
      <c r="T36" s="35" t="s">
        <v>1771</v>
      </c>
      <c r="U36" s="35">
        <v>6530.0</v>
      </c>
      <c r="V36" s="36" t="e">
        <v>#N/A</v>
      </c>
      <c r="W36" s="36"/>
    </row>
    <row r="37">
      <c r="A37" s="354" t="s">
        <v>1772</v>
      </c>
      <c r="B37" s="354"/>
      <c r="C37" s="136" t="s">
        <v>7486</v>
      </c>
      <c r="D37" s="360">
        <v>0.75</v>
      </c>
      <c r="E37" s="360">
        <v>0.75</v>
      </c>
      <c r="F37" s="229" t="s">
        <v>1656</v>
      </c>
      <c r="T37" s="35" t="s">
        <v>1772</v>
      </c>
      <c r="U37" s="35">
        <v>1610.0</v>
      </c>
      <c r="V37" s="36" t="e">
        <v>#N/A</v>
      </c>
      <c r="W37" s="36"/>
    </row>
    <row r="38">
      <c r="A38" s="354" t="s">
        <v>1773</v>
      </c>
      <c r="B38" s="354"/>
      <c r="C38" s="136" t="s">
        <v>7486</v>
      </c>
      <c r="D38" s="360">
        <v>0.75</v>
      </c>
      <c r="E38" s="360">
        <v>0.75</v>
      </c>
      <c r="F38" s="229" t="s">
        <v>1656</v>
      </c>
      <c r="T38" s="35" t="s">
        <v>1773</v>
      </c>
      <c r="U38" s="35">
        <v>1610.0</v>
      </c>
      <c r="V38" s="36" t="e">
        <v>#N/A</v>
      </c>
      <c r="W38" s="36"/>
    </row>
    <row r="39">
      <c r="A39" s="354" t="s">
        <v>1774</v>
      </c>
      <c r="B39" s="354">
        <v>7070.0</v>
      </c>
      <c r="C39" s="136" t="s">
        <v>7486</v>
      </c>
      <c r="D39" s="360">
        <v>0.75</v>
      </c>
      <c r="E39" s="360">
        <v>0.75</v>
      </c>
      <c r="F39" s="229" t="s">
        <v>1656</v>
      </c>
      <c r="T39" s="11" t="s">
        <v>1774</v>
      </c>
      <c r="U39" s="11">
        <v>7070.0</v>
      </c>
      <c r="V39" s="18">
        <v>1.0</v>
      </c>
    </row>
    <row r="40">
      <c r="A40" s="354" t="s">
        <v>1775</v>
      </c>
      <c r="B40" s="354"/>
      <c r="C40" s="136" t="s">
        <v>7486</v>
      </c>
      <c r="D40" s="360">
        <v>0.75</v>
      </c>
      <c r="E40" s="360">
        <v>0.75</v>
      </c>
      <c r="F40" s="229" t="s">
        <v>1656</v>
      </c>
      <c r="T40" s="35" t="s">
        <v>1775</v>
      </c>
      <c r="U40" s="35">
        <v>986.0</v>
      </c>
      <c r="V40" s="36" t="e">
        <v>#N/A</v>
      </c>
      <c r="W40" s="36"/>
    </row>
    <row r="41">
      <c r="A41" s="354" t="s">
        <v>1776</v>
      </c>
      <c r="B41" s="354"/>
      <c r="C41" s="136" t="s">
        <v>7486</v>
      </c>
      <c r="D41" s="360">
        <v>0.75</v>
      </c>
      <c r="E41" s="360">
        <v>0.75</v>
      </c>
      <c r="F41" s="229" t="s">
        <v>1656</v>
      </c>
      <c r="T41" s="35" t="s">
        <v>1776</v>
      </c>
      <c r="U41" s="35">
        <v>6530.0</v>
      </c>
      <c r="V41" s="36" t="e">
        <v>#N/A</v>
      </c>
      <c r="W41" s="36"/>
    </row>
    <row r="42">
      <c r="A42" s="354" t="s">
        <v>1783</v>
      </c>
      <c r="B42" s="354"/>
      <c r="C42" s="136" t="s">
        <v>7486</v>
      </c>
      <c r="D42" s="360">
        <v>0.75</v>
      </c>
      <c r="E42" s="360">
        <v>0.75</v>
      </c>
      <c r="F42" s="229" t="s">
        <v>1656</v>
      </c>
      <c r="T42" s="35" t="s">
        <v>1783</v>
      </c>
      <c r="U42" s="35">
        <v>986.0</v>
      </c>
      <c r="V42" s="36" t="e">
        <v>#N/A</v>
      </c>
      <c r="W42" s="36"/>
    </row>
    <row r="43">
      <c r="A43" s="354" t="s">
        <v>1777</v>
      </c>
      <c r="B43" s="25">
        <v>14529.0</v>
      </c>
      <c r="C43" s="136" t="s">
        <v>7486</v>
      </c>
      <c r="D43" s="360">
        <v>0.75</v>
      </c>
      <c r="E43" s="360">
        <v>0.75</v>
      </c>
      <c r="F43" s="229" t="s">
        <v>1656</v>
      </c>
      <c r="T43" s="35" t="s">
        <v>1777</v>
      </c>
      <c r="U43" s="35">
        <v>6988.0</v>
      </c>
      <c r="V43" s="36" t="e">
        <v>#N/A</v>
      </c>
      <c r="W43" s="36"/>
    </row>
    <row r="44">
      <c r="A44" s="354" t="s">
        <v>1778</v>
      </c>
      <c r="B44" s="354"/>
      <c r="C44" s="136" t="s">
        <v>7486</v>
      </c>
      <c r="D44" s="360">
        <v>0.75</v>
      </c>
      <c r="E44" s="360">
        <v>0.75</v>
      </c>
      <c r="F44" s="229" t="s">
        <v>1656</v>
      </c>
      <c r="T44" s="35" t="s">
        <v>1778</v>
      </c>
      <c r="U44" s="35">
        <v>986.0</v>
      </c>
      <c r="V44" s="36" t="e">
        <v>#N/A</v>
      </c>
      <c r="W44" s="36"/>
    </row>
    <row r="45">
      <c r="A45" s="354" t="s">
        <v>1787</v>
      </c>
      <c r="B45" s="354"/>
      <c r="C45" s="136" t="s">
        <v>7486</v>
      </c>
      <c r="D45" s="360">
        <v>0.75</v>
      </c>
      <c r="E45" s="360">
        <v>0.75</v>
      </c>
      <c r="F45" s="229" t="s">
        <v>1656</v>
      </c>
      <c r="T45" s="35" t="s">
        <v>1787</v>
      </c>
      <c r="U45" s="35">
        <v>2345.0</v>
      </c>
      <c r="V45" s="36" t="e">
        <v>#N/A</v>
      </c>
      <c r="W45" s="36"/>
    </row>
    <row r="46">
      <c r="A46" s="354" t="s">
        <v>1779</v>
      </c>
      <c r="B46" s="354"/>
      <c r="C46" s="136" t="s">
        <v>7486</v>
      </c>
      <c r="D46" s="360">
        <v>0.75</v>
      </c>
      <c r="E46" s="360">
        <v>0.75</v>
      </c>
      <c r="F46" s="229" t="s">
        <v>1656</v>
      </c>
      <c r="T46" s="35" t="s">
        <v>1779</v>
      </c>
      <c r="U46" s="35">
        <v>2345.0</v>
      </c>
      <c r="V46" s="36" t="e">
        <v>#N/A</v>
      </c>
      <c r="W46" s="36"/>
    </row>
    <row r="47">
      <c r="A47" s="354" t="s">
        <v>1780</v>
      </c>
      <c r="B47" s="354"/>
      <c r="C47" s="136" t="s">
        <v>7486</v>
      </c>
      <c r="D47" s="360">
        <v>0.75</v>
      </c>
      <c r="E47" s="360">
        <v>0.75</v>
      </c>
      <c r="F47" s="229" t="s">
        <v>1656</v>
      </c>
      <c r="T47" s="35" t="s">
        <v>1780</v>
      </c>
      <c r="U47" s="35">
        <v>986.0</v>
      </c>
      <c r="V47" s="36" t="e">
        <v>#N/A</v>
      </c>
      <c r="W47" s="36"/>
    </row>
    <row r="48">
      <c r="A48" s="354" t="s">
        <v>1781</v>
      </c>
      <c r="B48" s="354"/>
      <c r="C48" s="136" t="s">
        <v>7486</v>
      </c>
      <c r="D48" s="360">
        <v>0.75</v>
      </c>
      <c r="E48" s="360">
        <v>0.75</v>
      </c>
      <c r="F48" s="229" t="s">
        <v>1656</v>
      </c>
      <c r="T48" s="35" t="s">
        <v>1781</v>
      </c>
      <c r="U48" s="35">
        <v>2345.0</v>
      </c>
      <c r="V48" s="36" t="e">
        <v>#N/A</v>
      </c>
      <c r="W48" s="36"/>
    </row>
    <row r="49">
      <c r="A49" s="354" t="s">
        <v>1782</v>
      </c>
      <c r="B49" s="25">
        <v>14465.0</v>
      </c>
      <c r="C49" s="136" t="s">
        <v>7486</v>
      </c>
      <c r="D49" s="179">
        <v>0.9</v>
      </c>
      <c r="E49" s="179">
        <v>0.9</v>
      </c>
      <c r="F49" s="229" t="s">
        <v>1656</v>
      </c>
      <c r="T49" s="35" t="s">
        <v>1782</v>
      </c>
      <c r="U49" s="35">
        <v>2345.0</v>
      </c>
      <c r="V49" s="36" t="e">
        <v>#N/A</v>
      </c>
      <c r="W49" s="36"/>
    </row>
    <row r="50">
      <c r="A50" s="354" t="s">
        <v>1784</v>
      </c>
      <c r="B50" s="354"/>
      <c r="C50" s="136" t="s">
        <v>7486</v>
      </c>
      <c r="D50" s="360">
        <v>0.75</v>
      </c>
      <c r="E50" s="360">
        <v>0.75</v>
      </c>
      <c r="F50" s="229" t="s">
        <v>1656</v>
      </c>
      <c r="T50" s="35" t="s">
        <v>1784</v>
      </c>
      <c r="U50" s="35">
        <v>2345.0</v>
      </c>
      <c r="V50" s="36" t="e">
        <v>#N/A</v>
      </c>
      <c r="W50" s="36"/>
    </row>
    <row r="51">
      <c r="A51" s="354" t="s">
        <v>1785</v>
      </c>
      <c r="B51" s="354"/>
      <c r="C51" s="136" t="s">
        <v>7486</v>
      </c>
      <c r="D51" s="360">
        <v>0.75</v>
      </c>
      <c r="E51" s="360">
        <v>0.75</v>
      </c>
      <c r="F51" s="229" t="s">
        <v>1656</v>
      </c>
      <c r="T51" s="35" t="s">
        <v>1785</v>
      </c>
      <c r="U51" s="35">
        <v>2345.0</v>
      </c>
      <c r="V51" s="36" t="e">
        <v>#N/A</v>
      </c>
      <c r="W51" s="36"/>
    </row>
    <row r="52">
      <c r="A52" s="354" t="s">
        <v>7487</v>
      </c>
      <c r="B52" s="354">
        <v>189.0</v>
      </c>
      <c r="C52" s="136" t="s">
        <v>7486</v>
      </c>
      <c r="D52" s="360">
        <v>0.83</v>
      </c>
      <c r="E52" s="360">
        <v>0.83</v>
      </c>
      <c r="F52" s="229" t="s">
        <v>1656</v>
      </c>
      <c r="T52" s="11" t="s">
        <v>7487</v>
      </c>
      <c r="U52" s="11">
        <v>189.0</v>
      </c>
      <c r="V52" s="18">
        <v>1.0</v>
      </c>
    </row>
    <row r="53">
      <c r="A53" s="354" t="s">
        <v>5415</v>
      </c>
      <c r="B53" s="354">
        <v>189.0</v>
      </c>
      <c r="C53" s="136" t="s">
        <v>7486</v>
      </c>
      <c r="D53" s="360">
        <v>0.83</v>
      </c>
      <c r="E53" s="360">
        <v>0.83</v>
      </c>
      <c r="F53" s="229" t="s">
        <v>1656</v>
      </c>
      <c r="T53" s="11" t="s">
        <v>5415</v>
      </c>
      <c r="U53" s="11">
        <v>189.0</v>
      </c>
      <c r="V53" s="18">
        <v>1.0</v>
      </c>
    </row>
    <row r="54">
      <c r="A54" s="354" t="s">
        <v>5416</v>
      </c>
      <c r="B54" s="354">
        <v>5125.0</v>
      </c>
      <c r="C54" s="136" t="s">
        <v>7486</v>
      </c>
      <c r="D54" s="360">
        <v>0.75</v>
      </c>
      <c r="E54" s="360">
        <v>0.75</v>
      </c>
      <c r="F54" s="229" t="s">
        <v>1656</v>
      </c>
      <c r="T54" s="11" t="s">
        <v>5416</v>
      </c>
      <c r="U54" s="11">
        <v>5125.0</v>
      </c>
      <c r="V54" s="18">
        <v>1.0</v>
      </c>
    </row>
    <row r="55">
      <c r="A55" s="354" t="s">
        <v>5417</v>
      </c>
      <c r="B55" s="354"/>
      <c r="C55" s="136" t="s">
        <v>7486</v>
      </c>
      <c r="D55" s="360">
        <v>0.75</v>
      </c>
      <c r="E55" s="360">
        <v>0.75</v>
      </c>
      <c r="F55" s="229" t="s">
        <v>1656</v>
      </c>
      <c r="T55" s="35" t="s">
        <v>5417</v>
      </c>
      <c r="U55" s="35">
        <v>6697.0</v>
      </c>
      <c r="V55" s="36" t="e">
        <v>#N/A</v>
      </c>
      <c r="W55" s="36"/>
    </row>
    <row r="56">
      <c r="A56" s="354" t="s">
        <v>5418</v>
      </c>
      <c r="B56" s="354"/>
      <c r="C56" s="136" t="s">
        <v>7486</v>
      </c>
      <c r="D56" s="360">
        <v>0.75</v>
      </c>
      <c r="E56" s="360">
        <v>0.75</v>
      </c>
      <c r="F56" s="229" t="s">
        <v>1656</v>
      </c>
      <c r="T56" s="35" t="s">
        <v>5418</v>
      </c>
      <c r="U56" s="35">
        <v>6707.0</v>
      </c>
      <c r="V56" s="36" t="e">
        <v>#N/A</v>
      </c>
      <c r="W56" s="36"/>
    </row>
    <row r="57">
      <c r="A57" s="354" t="s">
        <v>5419</v>
      </c>
      <c r="B57" s="354">
        <v>6732.0</v>
      </c>
      <c r="C57" s="136" t="s">
        <v>7486</v>
      </c>
      <c r="D57" s="360">
        <v>0.83</v>
      </c>
      <c r="E57" s="360">
        <v>0.83</v>
      </c>
      <c r="F57" s="229" t="s">
        <v>1656</v>
      </c>
      <c r="T57" s="35" t="s">
        <v>5419</v>
      </c>
      <c r="U57" s="35">
        <v>986.0</v>
      </c>
      <c r="V57" s="36" t="e">
        <v>#N/A</v>
      </c>
      <c r="W57" s="36"/>
    </row>
    <row r="58">
      <c r="A58" s="354" t="s">
        <v>5420</v>
      </c>
      <c r="B58" s="354"/>
      <c r="C58" s="136" t="s">
        <v>7486</v>
      </c>
      <c r="D58" s="360">
        <v>0.75</v>
      </c>
      <c r="E58" s="360">
        <v>0.75</v>
      </c>
      <c r="F58" s="229" t="s">
        <v>1656</v>
      </c>
      <c r="T58" s="35" t="s">
        <v>5420</v>
      </c>
      <c r="U58" s="35">
        <v>986.0</v>
      </c>
      <c r="V58" s="36" t="e">
        <v>#N/A</v>
      </c>
      <c r="W58" s="36"/>
    </row>
    <row r="59">
      <c r="A59" s="354" t="s">
        <v>5421</v>
      </c>
      <c r="B59" s="354"/>
      <c r="C59" s="136" t="s">
        <v>7486</v>
      </c>
      <c r="D59" s="360">
        <v>0.75</v>
      </c>
      <c r="E59" s="360">
        <v>0.75</v>
      </c>
      <c r="F59" s="229" t="s">
        <v>1656</v>
      </c>
      <c r="T59" s="35" t="s">
        <v>5421</v>
      </c>
      <c r="U59" s="35">
        <v>986.0</v>
      </c>
      <c r="V59" s="36" t="e">
        <v>#N/A</v>
      </c>
      <c r="W59" s="36"/>
    </row>
    <row r="60">
      <c r="A60" s="354" t="s">
        <v>5422</v>
      </c>
      <c r="B60" s="354"/>
      <c r="C60" s="136" t="s">
        <v>7486</v>
      </c>
      <c r="D60" s="360">
        <v>0.75</v>
      </c>
      <c r="E60" s="360">
        <v>0.75</v>
      </c>
      <c r="F60" s="229" t="s">
        <v>1656</v>
      </c>
      <c r="T60" s="35" t="s">
        <v>5422</v>
      </c>
      <c r="U60" s="35">
        <v>986.0</v>
      </c>
      <c r="V60" s="36" t="e">
        <v>#N/A</v>
      </c>
      <c r="W60" s="36"/>
    </row>
    <row r="61">
      <c r="A61" s="354" t="s">
        <v>5423</v>
      </c>
      <c r="B61" s="354"/>
      <c r="C61" s="136" t="s">
        <v>7486</v>
      </c>
      <c r="D61" s="360">
        <v>0.75</v>
      </c>
      <c r="E61" s="360">
        <v>0.75</v>
      </c>
      <c r="F61" s="229" t="s">
        <v>1656</v>
      </c>
      <c r="T61" s="35" t="s">
        <v>5423</v>
      </c>
      <c r="U61" s="35">
        <v>6671.0</v>
      </c>
      <c r="V61" s="36" t="e">
        <v>#N/A</v>
      </c>
      <c r="W61" s="36"/>
    </row>
    <row r="62">
      <c r="A62" s="354" t="s">
        <v>5424</v>
      </c>
      <c r="B62" s="354">
        <v>5421.0</v>
      </c>
      <c r="C62" s="136" t="s">
        <v>7486</v>
      </c>
      <c r="D62" s="360">
        <v>0.75</v>
      </c>
      <c r="E62" s="360">
        <v>0.75</v>
      </c>
      <c r="F62" s="229" t="s">
        <v>1656</v>
      </c>
      <c r="T62" s="11" t="s">
        <v>5424</v>
      </c>
      <c r="U62" s="11">
        <v>5421.0</v>
      </c>
      <c r="V62" s="18">
        <v>1.0</v>
      </c>
    </row>
    <row r="63">
      <c r="A63" s="354" t="s">
        <v>5425</v>
      </c>
      <c r="B63" s="354"/>
      <c r="C63" s="136" t="s">
        <v>7486</v>
      </c>
      <c r="D63" s="360">
        <v>0.75</v>
      </c>
      <c r="E63" s="360">
        <v>0.75</v>
      </c>
      <c r="F63" s="229" t="s">
        <v>1656</v>
      </c>
      <c r="T63" s="35" t="s">
        <v>5425</v>
      </c>
      <c r="U63" s="35">
        <v>6463.0</v>
      </c>
      <c r="V63" s="36" t="e">
        <v>#N/A</v>
      </c>
      <c r="W63" s="36"/>
    </row>
    <row r="64">
      <c r="A64" s="354" t="s">
        <v>5426</v>
      </c>
      <c r="B64" s="354">
        <v>6779.0</v>
      </c>
      <c r="C64" s="136" t="s">
        <v>7486</v>
      </c>
      <c r="D64" s="360">
        <v>0.75</v>
      </c>
      <c r="E64" s="360">
        <v>0.75</v>
      </c>
      <c r="F64" s="229" t="s">
        <v>1656</v>
      </c>
      <c r="T64" s="35" t="s">
        <v>5426</v>
      </c>
      <c r="U64" s="35">
        <v>6463.0</v>
      </c>
      <c r="V64" s="36" t="e">
        <v>#N/A</v>
      </c>
      <c r="W64" s="36"/>
    </row>
    <row r="65">
      <c r="A65" s="354" t="s">
        <v>5427</v>
      </c>
      <c r="B65" s="354">
        <v>189.0</v>
      </c>
      <c r="C65" s="136" t="s">
        <v>7486</v>
      </c>
      <c r="D65" s="360">
        <v>0.83</v>
      </c>
      <c r="E65" s="360">
        <v>0.83</v>
      </c>
      <c r="F65" s="229" t="s">
        <v>1656</v>
      </c>
      <c r="T65" s="11" t="s">
        <v>5427</v>
      </c>
      <c r="U65" s="11">
        <v>189.0</v>
      </c>
      <c r="V65" s="18">
        <v>1.0</v>
      </c>
    </row>
    <row r="66">
      <c r="A66" s="354" t="s">
        <v>5428</v>
      </c>
      <c r="B66" s="354">
        <v>7010.0</v>
      </c>
      <c r="C66" s="136" t="s">
        <v>7486</v>
      </c>
      <c r="D66" s="360">
        <v>0.83</v>
      </c>
      <c r="E66" s="360">
        <v>0.83</v>
      </c>
      <c r="F66" s="229" t="s">
        <v>1656</v>
      </c>
      <c r="T66" s="11" t="s">
        <v>5428</v>
      </c>
      <c r="U66" s="11">
        <v>7010.0</v>
      </c>
      <c r="V66" s="18">
        <v>1.0</v>
      </c>
      <c r="W66" s="11">
        <v>669.0</v>
      </c>
    </row>
    <row r="67">
      <c r="A67" s="354" t="s">
        <v>5429</v>
      </c>
      <c r="B67" s="354"/>
      <c r="C67" s="136" t="s">
        <v>7486</v>
      </c>
      <c r="D67" s="360">
        <v>0.75</v>
      </c>
      <c r="E67" s="360">
        <v>0.75</v>
      </c>
      <c r="F67" s="229" t="s">
        <v>1656</v>
      </c>
      <c r="T67" s="35" t="s">
        <v>5429</v>
      </c>
      <c r="U67" s="35">
        <v>669.0</v>
      </c>
      <c r="V67" s="36" t="e">
        <v>#N/A</v>
      </c>
      <c r="W67" s="36"/>
    </row>
    <row r="68">
      <c r="A68" s="354" t="s">
        <v>5430</v>
      </c>
      <c r="B68" s="354">
        <v>5421.0</v>
      </c>
      <c r="C68" s="136" t="s">
        <v>7486</v>
      </c>
      <c r="D68" s="360">
        <v>0.75</v>
      </c>
      <c r="E68" s="360">
        <v>0.75</v>
      </c>
      <c r="F68" s="229" t="s">
        <v>1656</v>
      </c>
      <c r="T68" s="11" t="s">
        <v>5430</v>
      </c>
      <c r="U68" s="11">
        <v>5421.0</v>
      </c>
      <c r="V68" s="18">
        <v>1.0</v>
      </c>
    </row>
    <row r="69">
      <c r="A69" s="354" t="s">
        <v>5431</v>
      </c>
      <c r="B69" s="354">
        <v>6732.0</v>
      </c>
      <c r="C69" s="136" t="s">
        <v>7486</v>
      </c>
      <c r="D69" s="360">
        <v>0.83</v>
      </c>
      <c r="E69" s="360">
        <v>0.83</v>
      </c>
      <c r="F69" s="229" t="s">
        <v>1656</v>
      </c>
      <c r="T69" s="35" t="s">
        <v>5431</v>
      </c>
      <c r="U69" s="35">
        <v>5421.0</v>
      </c>
      <c r="V69" s="36" t="e">
        <v>#N/A</v>
      </c>
      <c r="W69" s="36"/>
    </row>
    <row r="70">
      <c r="A70" s="354" t="s">
        <v>5432</v>
      </c>
      <c r="B70" s="354"/>
      <c r="C70" s="136" t="s">
        <v>7486</v>
      </c>
      <c r="D70" s="360">
        <v>0.75</v>
      </c>
      <c r="E70" s="360">
        <v>0.75</v>
      </c>
      <c r="F70" s="229" t="s">
        <v>1656</v>
      </c>
      <c r="T70" s="35" t="s">
        <v>5432</v>
      </c>
      <c r="U70" s="35">
        <v>6557.0</v>
      </c>
      <c r="V70" s="36" t="e">
        <v>#N/A</v>
      </c>
      <c r="W70" s="36"/>
    </row>
    <row r="71">
      <c r="A71" s="354" t="s">
        <v>5433</v>
      </c>
      <c r="B71" s="354">
        <v>6722.0</v>
      </c>
      <c r="C71" s="136" t="s">
        <v>7486</v>
      </c>
      <c r="D71" s="360">
        <v>0.75</v>
      </c>
      <c r="E71" s="360">
        <v>0.75</v>
      </c>
      <c r="F71" s="229" t="s">
        <v>1656</v>
      </c>
      <c r="T71" s="35" t="s">
        <v>5433</v>
      </c>
      <c r="U71" s="35">
        <v>6722.0</v>
      </c>
      <c r="V71" s="36" t="e">
        <v>#N/A</v>
      </c>
      <c r="W71" s="36"/>
    </row>
    <row r="72">
      <c r="A72" s="354" t="s">
        <v>5434</v>
      </c>
      <c r="B72" s="354"/>
      <c r="C72" s="136" t="s">
        <v>7486</v>
      </c>
      <c r="D72" s="360">
        <v>0.75</v>
      </c>
      <c r="E72" s="360">
        <v>0.75</v>
      </c>
      <c r="F72" s="229" t="s">
        <v>1656</v>
      </c>
      <c r="T72" s="35" t="s">
        <v>5434</v>
      </c>
      <c r="U72" s="35">
        <v>6736.0</v>
      </c>
      <c r="V72" s="36" t="e">
        <v>#N/A</v>
      </c>
      <c r="W72" s="36"/>
    </row>
    <row r="73">
      <c r="A73" s="354" t="s">
        <v>5435</v>
      </c>
      <c r="B73" s="354">
        <v>6732.0</v>
      </c>
      <c r="C73" s="136" t="s">
        <v>7486</v>
      </c>
      <c r="D73" s="360">
        <v>0.83</v>
      </c>
      <c r="E73" s="360">
        <v>0.83</v>
      </c>
      <c r="F73" s="229" t="s">
        <v>1656</v>
      </c>
      <c r="T73" s="35" t="s">
        <v>5435</v>
      </c>
      <c r="U73" s="35">
        <v>6557.0</v>
      </c>
      <c r="V73" s="36" t="e">
        <v>#N/A</v>
      </c>
      <c r="W73" s="36"/>
    </row>
    <row r="74">
      <c r="A74" s="354" t="s">
        <v>5436</v>
      </c>
      <c r="B74" s="354"/>
      <c r="C74" s="136" t="s">
        <v>7486</v>
      </c>
      <c r="D74" s="360">
        <v>0.75</v>
      </c>
      <c r="E74" s="360">
        <v>0.75</v>
      </c>
      <c r="F74" s="229" t="s">
        <v>1656</v>
      </c>
      <c r="T74" s="35" t="s">
        <v>5436</v>
      </c>
      <c r="U74" s="35">
        <v>6132.0</v>
      </c>
      <c r="V74" s="36" t="e">
        <v>#N/A</v>
      </c>
      <c r="W74" s="36"/>
    </row>
    <row r="75">
      <c r="A75" s="354" t="s">
        <v>5437</v>
      </c>
      <c r="B75" s="354">
        <v>5458.0</v>
      </c>
      <c r="C75" s="136" t="s">
        <v>7486</v>
      </c>
      <c r="D75" s="360">
        <v>0.75</v>
      </c>
      <c r="E75" s="360">
        <v>0.75</v>
      </c>
      <c r="F75" s="229" t="s">
        <v>1656</v>
      </c>
      <c r="T75" s="35" t="s">
        <v>5437</v>
      </c>
      <c r="U75" s="35">
        <v>5458.0</v>
      </c>
      <c r="V75" s="36" t="e">
        <v>#N/A</v>
      </c>
      <c r="W75" s="36"/>
    </row>
    <row r="76">
      <c r="A76" s="354" t="s">
        <v>5438</v>
      </c>
      <c r="B76" s="354"/>
      <c r="C76" s="136" t="s">
        <v>7486</v>
      </c>
      <c r="D76" s="360">
        <v>0.75</v>
      </c>
      <c r="E76" s="360">
        <v>0.75</v>
      </c>
      <c r="F76" s="229" t="s">
        <v>1656</v>
      </c>
      <c r="T76" s="35" t="s">
        <v>5438</v>
      </c>
      <c r="U76" s="35">
        <v>6710.0</v>
      </c>
      <c r="V76" s="36" t="e">
        <v>#N/A</v>
      </c>
      <c r="W76" s="36"/>
    </row>
    <row r="77">
      <c r="A77" s="354" t="s">
        <v>5439</v>
      </c>
      <c r="B77" s="354">
        <v>5458.0</v>
      </c>
      <c r="C77" s="136" t="s">
        <v>7486</v>
      </c>
      <c r="D77" s="360">
        <v>0.75</v>
      </c>
      <c r="E77" s="360">
        <v>0.75</v>
      </c>
      <c r="F77" s="229" t="s">
        <v>1656</v>
      </c>
      <c r="T77" s="35" t="s">
        <v>5439</v>
      </c>
      <c r="U77" s="35">
        <v>5458.0</v>
      </c>
      <c r="V77" s="36" t="e">
        <v>#N/A</v>
      </c>
      <c r="W77" s="36"/>
    </row>
    <row r="78">
      <c r="A78" s="354" t="s">
        <v>5440</v>
      </c>
      <c r="B78" s="354">
        <v>6727.0</v>
      </c>
      <c r="C78" s="136" t="s">
        <v>7486</v>
      </c>
      <c r="D78" s="360">
        <v>0.75</v>
      </c>
      <c r="E78" s="360">
        <v>0.75</v>
      </c>
      <c r="F78" s="229" t="s">
        <v>1656</v>
      </c>
      <c r="T78" s="35" t="s">
        <v>5440</v>
      </c>
      <c r="U78" s="35">
        <v>6727.0</v>
      </c>
      <c r="V78" s="36" t="e">
        <v>#N/A</v>
      </c>
      <c r="W78" s="36"/>
    </row>
    <row r="79">
      <c r="A79" s="354" t="s">
        <v>5441</v>
      </c>
      <c r="B79" s="354">
        <v>5458.0</v>
      </c>
      <c r="C79" s="136" t="s">
        <v>7486</v>
      </c>
      <c r="D79" s="360">
        <v>0.75</v>
      </c>
      <c r="E79" s="360">
        <v>0.75</v>
      </c>
      <c r="F79" s="229" t="s">
        <v>1656</v>
      </c>
      <c r="T79" s="11" t="s">
        <v>5441</v>
      </c>
      <c r="U79" s="11">
        <v>5458.0</v>
      </c>
      <c r="V79" s="18">
        <v>1.0</v>
      </c>
    </row>
    <row r="80">
      <c r="A80" s="354" t="s">
        <v>5442</v>
      </c>
      <c r="B80" s="354">
        <v>6675.0</v>
      </c>
      <c r="C80" s="136" t="s">
        <v>7486</v>
      </c>
      <c r="D80" s="74">
        <v>0.9</v>
      </c>
      <c r="E80" s="74">
        <v>0.9</v>
      </c>
      <c r="F80" s="229" t="s">
        <v>1656</v>
      </c>
      <c r="T80" s="35" t="s">
        <v>5442</v>
      </c>
      <c r="U80" s="35">
        <v>6675.0</v>
      </c>
      <c r="V80" s="36" t="e">
        <v>#N/A</v>
      </c>
      <c r="W80" s="36"/>
    </row>
    <row r="81">
      <c r="A81" s="354" t="s">
        <v>5443</v>
      </c>
      <c r="B81" s="354">
        <v>6675.0</v>
      </c>
      <c r="C81" s="136" t="s">
        <v>7486</v>
      </c>
      <c r="D81" s="74">
        <v>0.9</v>
      </c>
      <c r="E81" s="74">
        <v>0.9</v>
      </c>
      <c r="F81" s="229" t="s">
        <v>1656</v>
      </c>
      <c r="T81" s="11" t="s">
        <v>5443</v>
      </c>
      <c r="U81" s="11">
        <v>6675.0</v>
      </c>
      <c r="V81" s="18">
        <v>1.0</v>
      </c>
    </row>
    <row r="82">
      <c r="A82" s="354" t="s">
        <v>7488</v>
      </c>
      <c r="B82" s="354">
        <v>6675.0</v>
      </c>
      <c r="C82" s="136" t="s">
        <v>7486</v>
      </c>
      <c r="D82" s="74">
        <v>0.9</v>
      </c>
      <c r="E82" s="74">
        <v>0.9</v>
      </c>
      <c r="F82" s="229" t="s">
        <v>1656</v>
      </c>
      <c r="T82" s="35" t="s">
        <v>7488</v>
      </c>
      <c r="U82" s="35">
        <v>986.0</v>
      </c>
      <c r="V82" s="36" t="e">
        <v>#N/A</v>
      </c>
      <c r="W82" s="36"/>
    </row>
    <row r="83">
      <c r="A83" s="354" t="s">
        <v>7489</v>
      </c>
      <c r="B83" s="354">
        <v>6675.0</v>
      </c>
      <c r="C83" s="136" t="s">
        <v>7486</v>
      </c>
      <c r="D83" s="74">
        <v>0.9</v>
      </c>
      <c r="E83" s="74">
        <v>0.9</v>
      </c>
      <c r="F83" s="229" t="s">
        <v>1656</v>
      </c>
      <c r="T83" s="35" t="s">
        <v>7489</v>
      </c>
      <c r="U83" s="35">
        <v>986.0</v>
      </c>
      <c r="V83" s="36" t="e">
        <v>#N/A</v>
      </c>
      <c r="W83" s="36"/>
    </row>
    <row r="84">
      <c r="A84" s="354" t="s">
        <v>7490</v>
      </c>
      <c r="B84" s="354">
        <v>6675.0</v>
      </c>
      <c r="C84" s="136" t="s">
        <v>7486</v>
      </c>
      <c r="D84" s="74">
        <v>0.9</v>
      </c>
      <c r="E84" s="74">
        <v>0.9</v>
      </c>
      <c r="F84" s="229" t="s">
        <v>1656</v>
      </c>
      <c r="T84" s="35" t="s">
        <v>7490</v>
      </c>
      <c r="U84" s="35">
        <v>986.0</v>
      </c>
      <c r="V84" s="36" t="e">
        <v>#N/A</v>
      </c>
      <c r="W84" s="36"/>
    </row>
    <row r="85">
      <c r="A85" s="354" t="s">
        <v>7491</v>
      </c>
      <c r="B85" s="354"/>
      <c r="C85" s="136" t="s">
        <v>7486</v>
      </c>
      <c r="D85" s="360">
        <v>0.75</v>
      </c>
      <c r="E85" s="360">
        <v>0.75</v>
      </c>
      <c r="F85" s="229" t="s">
        <v>1656</v>
      </c>
      <c r="T85" s="35" t="s">
        <v>7491</v>
      </c>
      <c r="U85" s="35">
        <v>986.0</v>
      </c>
      <c r="V85" s="36" t="e">
        <v>#N/A</v>
      </c>
      <c r="W85" s="36"/>
    </row>
    <row r="86">
      <c r="A86" s="354" t="s">
        <v>7492</v>
      </c>
      <c r="B86" s="354"/>
      <c r="C86" s="136" t="s">
        <v>7486</v>
      </c>
      <c r="D86" s="360">
        <v>0.75</v>
      </c>
      <c r="E86" s="360">
        <v>0.75</v>
      </c>
      <c r="F86" s="229" t="s">
        <v>1656</v>
      </c>
      <c r="T86" s="35" t="s">
        <v>7492</v>
      </c>
      <c r="U86" s="35">
        <v>986.0</v>
      </c>
      <c r="V86" s="36" t="e">
        <v>#N/A</v>
      </c>
      <c r="W86" s="36"/>
    </row>
    <row r="87">
      <c r="A87" s="354" t="s">
        <v>7493</v>
      </c>
      <c r="B87" s="354"/>
      <c r="C87" s="136" t="s">
        <v>7486</v>
      </c>
      <c r="D87" s="360">
        <v>0.75</v>
      </c>
      <c r="E87" s="360">
        <v>0.75</v>
      </c>
      <c r="F87" s="229" t="s">
        <v>1656</v>
      </c>
      <c r="T87" s="35" t="s">
        <v>7493</v>
      </c>
      <c r="U87" s="35">
        <v>986.0</v>
      </c>
      <c r="V87" s="36" t="e">
        <v>#N/A</v>
      </c>
      <c r="W87" s="36"/>
    </row>
    <row r="88">
      <c r="A88" s="354" t="s">
        <v>7494</v>
      </c>
      <c r="B88" s="354"/>
      <c r="C88" s="136" t="s">
        <v>7486</v>
      </c>
      <c r="D88" s="360">
        <v>0.75</v>
      </c>
      <c r="E88" s="360">
        <v>0.75</v>
      </c>
      <c r="F88" s="229" t="s">
        <v>1656</v>
      </c>
      <c r="T88" s="35" t="s">
        <v>7494</v>
      </c>
      <c r="U88" s="35">
        <v>986.0</v>
      </c>
      <c r="V88" s="36" t="e">
        <v>#N/A</v>
      </c>
      <c r="W88" s="36"/>
    </row>
    <row r="89">
      <c r="A89" s="354" t="s">
        <v>7495</v>
      </c>
      <c r="B89" s="354"/>
      <c r="C89" s="136" t="s">
        <v>7486</v>
      </c>
      <c r="D89" s="360">
        <v>0.75</v>
      </c>
      <c r="E89" s="360">
        <v>0.75</v>
      </c>
      <c r="F89" s="229" t="s">
        <v>1656</v>
      </c>
      <c r="T89" s="35" t="s">
        <v>7495</v>
      </c>
      <c r="U89" s="35">
        <v>986.0</v>
      </c>
      <c r="V89" s="36" t="e">
        <v>#N/A</v>
      </c>
      <c r="W89" s="36"/>
    </row>
    <row r="90">
      <c r="A90" s="354" t="s">
        <v>7496</v>
      </c>
      <c r="B90" s="354"/>
      <c r="C90" s="136" t="s">
        <v>7486</v>
      </c>
      <c r="D90" s="360">
        <v>0.75</v>
      </c>
      <c r="E90" s="360">
        <v>0.75</v>
      </c>
      <c r="F90" s="229" t="s">
        <v>1656</v>
      </c>
      <c r="T90" s="35" t="s">
        <v>7496</v>
      </c>
      <c r="U90" s="35">
        <v>986.0</v>
      </c>
      <c r="V90" s="36" t="e">
        <v>#N/A</v>
      </c>
      <c r="W90" s="36"/>
    </row>
    <row r="91">
      <c r="A91" s="354" t="s">
        <v>7497</v>
      </c>
      <c r="B91" s="354">
        <v>986.0</v>
      </c>
      <c r="C91" s="136" t="s">
        <v>7486</v>
      </c>
      <c r="D91" s="76">
        <v>0.875</v>
      </c>
      <c r="E91" s="76">
        <v>0.875</v>
      </c>
      <c r="F91" s="229" t="s">
        <v>1656</v>
      </c>
      <c r="T91" s="35" t="s">
        <v>7497</v>
      </c>
      <c r="U91" s="35">
        <v>986.0</v>
      </c>
      <c r="V91" s="36" t="e">
        <v>#N/A</v>
      </c>
      <c r="W91" s="36"/>
    </row>
    <row r="92">
      <c r="A92" s="354" t="s">
        <v>7498</v>
      </c>
      <c r="B92" s="354"/>
      <c r="C92" s="136" t="s">
        <v>7486</v>
      </c>
      <c r="D92" s="360">
        <v>0.75</v>
      </c>
      <c r="E92" s="360">
        <v>0.75</v>
      </c>
      <c r="F92" s="229" t="s">
        <v>1656</v>
      </c>
      <c r="T92" s="35" t="s">
        <v>7498</v>
      </c>
      <c r="U92" s="35">
        <v>6676.0</v>
      </c>
      <c r="V92" s="36" t="e">
        <v>#N/A</v>
      </c>
      <c r="W92" s="36"/>
    </row>
    <row r="93">
      <c r="A93" s="354" t="s">
        <v>7499</v>
      </c>
      <c r="B93" s="354"/>
      <c r="C93" s="136" t="s">
        <v>7486</v>
      </c>
      <c r="D93" s="360">
        <v>0.75</v>
      </c>
      <c r="E93" s="360">
        <v>0.75</v>
      </c>
      <c r="F93" s="229" t="s">
        <v>1656</v>
      </c>
      <c r="T93" s="35" t="s">
        <v>7499</v>
      </c>
      <c r="U93" s="35">
        <v>7168.0</v>
      </c>
      <c r="V93" s="36" t="e">
        <v>#N/A</v>
      </c>
      <c r="W93" s="36"/>
    </row>
    <row r="94">
      <c r="A94" s="354" t="s">
        <v>7500</v>
      </c>
      <c r="B94" s="354"/>
      <c r="C94" s="136" t="s">
        <v>7486</v>
      </c>
      <c r="D94" s="360">
        <v>0.75</v>
      </c>
      <c r="E94" s="360">
        <v>0.75</v>
      </c>
      <c r="F94" s="229" t="s">
        <v>1656</v>
      </c>
      <c r="T94" s="35" t="s">
        <v>7500</v>
      </c>
      <c r="U94" s="35">
        <v>6580.0</v>
      </c>
      <c r="V94" s="36" t="e">
        <v>#N/A</v>
      </c>
      <c r="W94" s="36"/>
    </row>
    <row r="95">
      <c r="A95" s="354" t="s">
        <v>7501</v>
      </c>
      <c r="B95" s="354">
        <v>14727.0</v>
      </c>
      <c r="C95" s="136" t="s">
        <v>7486</v>
      </c>
      <c r="D95" s="360">
        <v>0.75</v>
      </c>
      <c r="E95" s="360">
        <v>0.75</v>
      </c>
      <c r="F95" s="229" t="s">
        <v>1656</v>
      </c>
      <c r="T95" s="35" t="s">
        <v>7501</v>
      </c>
      <c r="U95" s="35">
        <v>189.0</v>
      </c>
      <c r="V95" s="36" t="e">
        <v>#N/A</v>
      </c>
      <c r="W95" s="36"/>
    </row>
    <row r="96">
      <c r="A96" s="354" t="s">
        <v>7502</v>
      </c>
      <c r="B96" s="354"/>
      <c r="C96" s="136" t="s">
        <v>7486</v>
      </c>
      <c r="D96" s="360">
        <v>0.75</v>
      </c>
      <c r="E96" s="360">
        <v>0.75</v>
      </c>
      <c r="F96" s="229" t="s">
        <v>1656</v>
      </c>
      <c r="T96" s="35" t="s">
        <v>7502</v>
      </c>
      <c r="U96" s="35">
        <v>189.0</v>
      </c>
      <c r="V96" s="36" t="e">
        <v>#N/A</v>
      </c>
      <c r="W96" s="36"/>
    </row>
    <row r="97">
      <c r="A97" s="354" t="s">
        <v>7503</v>
      </c>
      <c r="B97" s="354"/>
      <c r="C97" s="136" t="s">
        <v>7486</v>
      </c>
      <c r="D97" s="360">
        <v>0.75</v>
      </c>
      <c r="E97" s="360">
        <v>0.75</v>
      </c>
      <c r="F97" s="229" t="s">
        <v>1656</v>
      </c>
      <c r="T97" s="35" t="s">
        <v>7503</v>
      </c>
      <c r="U97" s="35">
        <v>189.0</v>
      </c>
      <c r="V97" s="36" t="e">
        <v>#N/A</v>
      </c>
      <c r="W97" s="36"/>
    </row>
    <row r="98">
      <c r="A98" s="354" t="s">
        <v>7504</v>
      </c>
      <c r="B98" s="354"/>
      <c r="C98" s="136" t="s">
        <v>7486</v>
      </c>
      <c r="D98" s="360">
        <v>0.75</v>
      </c>
      <c r="E98" s="360">
        <v>0.75</v>
      </c>
      <c r="F98" s="229" t="s">
        <v>1656</v>
      </c>
      <c r="T98" s="35" t="s">
        <v>7504</v>
      </c>
      <c r="U98" s="35">
        <v>189.0</v>
      </c>
      <c r="V98" s="36" t="e">
        <v>#N/A</v>
      </c>
      <c r="W98" s="36"/>
    </row>
    <row r="99">
      <c r="A99" s="354" t="s">
        <v>7505</v>
      </c>
      <c r="B99" s="354"/>
      <c r="C99" s="136" t="s">
        <v>7486</v>
      </c>
      <c r="D99" s="360">
        <v>0.75</v>
      </c>
      <c r="E99" s="360">
        <v>0.75</v>
      </c>
      <c r="F99" s="229" t="s">
        <v>1656</v>
      </c>
      <c r="G99" s="11"/>
      <c r="H99" s="11"/>
      <c r="T99" s="35" t="s">
        <v>7505</v>
      </c>
      <c r="U99" s="35">
        <v>283.0</v>
      </c>
      <c r="V99" s="36" t="e">
        <v>#N/A</v>
      </c>
      <c r="W99" s="36"/>
    </row>
    <row r="100">
      <c r="A100" s="354" t="s">
        <v>7506</v>
      </c>
      <c r="B100" s="354"/>
      <c r="C100" s="136" t="s">
        <v>7486</v>
      </c>
      <c r="D100" s="360">
        <v>0.75</v>
      </c>
      <c r="E100" s="360">
        <v>0.75</v>
      </c>
      <c r="F100" s="229" t="s">
        <v>1656</v>
      </c>
      <c r="T100" s="35" t="s">
        <v>7506</v>
      </c>
      <c r="U100" s="35">
        <v>283.0</v>
      </c>
      <c r="V100" s="36" t="e">
        <v>#N/A</v>
      </c>
      <c r="W100" s="36"/>
    </row>
    <row r="101">
      <c r="A101" s="354" t="s">
        <v>7507</v>
      </c>
      <c r="B101" s="354"/>
      <c r="C101" s="136" t="s">
        <v>7486</v>
      </c>
      <c r="D101" s="360">
        <v>0.75</v>
      </c>
      <c r="E101" s="360">
        <v>0.75</v>
      </c>
      <c r="F101" s="229" t="s">
        <v>1656</v>
      </c>
      <c r="T101" s="35" t="s">
        <v>7507</v>
      </c>
      <c r="U101" s="35">
        <v>6770.0</v>
      </c>
      <c r="V101" s="36" t="e">
        <v>#N/A</v>
      </c>
      <c r="W101" s="36"/>
    </row>
    <row r="102">
      <c r="A102" s="354" t="s">
        <v>7508</v>
      </c>
      <c r="B102" s="354"/>
      <c r="C102" s="136" t="s">
        <v>7486</v>
      </c>
      <c r="D102" s="360">
        <v>0.75</v>
      </c>
      <c r="E102" s="360">
        <v>0.75</v>
      </c>
      <c r="F102" s="229" t="s">
        <v>1656</v>
      </c>
      <c r="T102" s="35" t="s">
        <v>7508</v>
      </c>
      <c r="U102" s="35">
        <v>6770.0</v>
      </c>
      <c r="V102" s="36" t="e">
        <v>#N/A</v>
      </c>
      <c r="W102" s="36"/>
    </row>
    <row r="103">
      <c r="A103" s="354" t="s">
        <v>7509</v>
      </c>
      <c r="B103" s="354"/>
      <c r="C103" s="136" t="s">
        <v>7486</v>
      </c>
      <c r="D103" s="360">
        <v>0.75</v>
      </c>
      <c r="E103" s="360">
        <v>0.75</v>
      </c>
      <c r="F103" s="229" t="s">
        <v>1656</v>
      </c>
      <c r="T103" s="35" t="s">
        <v>7509</v>
      </c>
      <c r="U103" s="35">
        <v>6770.0</v>
      </c>
      <c r="V103" s="36" t="e">
        <v>#N/A</v>
      </c>
      <c r="W103" s="36"/>
    </row>
    <row r="104">
      <c r="A104" s="354" t="s">
        <v>7510</v>
      </c>
      <c r="B104" s="354"/>
      <c r="C104" s="136" t="s">
        <v>7486</v>
      </c>
      <c r="D104" s="360">
        <v>0.75</v>
      </c>
      <c r="E104" s="360">
        <v>0.75</v>
      </c>
      <c r="F104" s="229" t="s">
        <v>1656</v>
      </c>
      <c r="T104" s="35" t="s">
        <v>7510</v>
      </c>
      <c r="U104" s="35">
        <v>6770.0</v>
      </c>
      <c r="V104" s="36" t="e">
        <v>#N/A</v>
      </c>
      <c r="W104" s="36"/>
    </row>
    <row r="105">
      <c r="A105" s="354" t="s">
        <v>7511</v>
      </c>
      <c r="B105" s="354"/>
      <c r="C105" s="136" t="s">
        <v>7486</v>
      </c>
      <c r="D105" s="360">
        <v>0.75</v>
      </c>
      <c r="E105" s="360">
        <v>0.75</v>
      </c>
      <c r="F105" s="229" t="s">
        <v>1656</v>
      </c>
      <c r="T105" s="35" t="s">
        <v>7511</v>
      </c>
      <c r="U105" s="35">
        <v>6770.0</v>
      </c>
      <c r="V105" s="36" t="e">
        <v>#N/A</v>
      </c>
      <c r="W105" s="36"/>
    </row>
    <row r="106">
      <c r="A106" s="354" t="s">
        <v>7512</v>
      </c>
      <c r="B106" s="354"/>
      <c r="C106" s="136" t="s">
        <v>7486</v>
      </c>
      <c r="D106" s="360">
        <v>0.75</v>
      </c>
      <c r="E106" s="360">
        <v>0.75</v>
      </c>
      <c r="F106" s="229" t="s">
        <v>1656</v>
      </c>
      <c r="T106" s="35" t="s">
        <v>7512</v>
      </c>
      <c r="U106" s="35">
        <v>6770.0</v>
      </c>
      <c r="V106" s="36" t="e">
        <v>#N/A</v>
      </c>
      <c r="W106" s="36"/>
    </row>
    <row r="107">
      <c r="A107" s="354" t="s">
        <v>7513</v>
      </c>
      <c r="B107" s="354">
        <v>6732.0</v>
      </c>
      <c r="C107" s="136" t="s">
        <v>7486</v>
      </c>
      <c r="D107" s="360">
        <v>0.83</v>
      </c>
      <c r="E107" s="360">
        <v>0.83</v>
      </c>
      <c r="F107" s="229" t="s">
        <v>1656</v>
      </c>
      <c r="T107" s="11" t="s">
        <v>7513</v>
      </c>
      <c r="U107" s="11">
        <v>6732.0</v>
      </c>
      <c r="V107" s="18">
        <v>1.0</v>
      </c>
    </row>
    <row r="108">
      <c r="A108" s="354" t="s">
        <v>7514</v>
      </c>
      <c r="B108" s="354"/>
      <c r="C108" s="136" t="s">
        <v>7486</v>
      </c>
      <c r="D108" s="360">
        <v>0.75</v>
      </c>
      <c r="E108" s="360">
        <v>0.75</v>
      </c>
      <c r="F108" s="229" t="s">
        <v>1656</v>
      </c>
      <c r="T108" s="35" t="s">
        <v>7514</v>
      </c>
      <c r="U108" s="35">
        <v>6732.0</v>
      </c>
      <c r="V108" s="36" t="e">
        <v>#N/A</v>
      </c>
      <c r="W108" s="36"/>
    </row>
    <row r="109">
      <c r="A109" s="354" t="s">
        <v>7515</v>
      </c>
      <c r="B109" s="354"/>
      <c r="C109" s="136" t="s">
        <v>7486</v>
      </c>
      <c r="D109" s="360">
        <v>0.75</v>
      </c>
      <c r="E109" s="360">
        <v>0.75</v>
      </c>
      <c r="F109" s="229" t="s">
        <v>1656</v>
      </c>
      <c r="T109" s="35" t="s">
        <v>7515</v>
      </c>
      <c r="U109" s="35">
        <v>6732.0</v>
      </c>
      <c r="V109" s="36" t="e">
        <v>#N/A</v>
      </c>
      <c r="W109" s="36"/>
    </row>
    <row r="110">
      <c r="A110" s="354" t="s">
        <v>7516</v>
      </c>
      <c r="B110" s="354"/>
      <c r="C110" s="136" t="s">
        <v>7486</v>
      </c>
      <c r="D110" s="360">
        <v>0.75</v>
      </c>
      <c r="E110" s="360">
        <v>0.75</v>
      </c>
      <c r="F110" s="229" t="s">
        <v>1656</v>
      </c>
      <c r="T110" s="35" t="s">
        <v>7516</v>
      </c>
      <c r="U110" s="35">
        <v>6732.0</v>
      </c>
      <c r="V110" s="36" t="e">
        <v>#N/A</v>
      </c>
      <c r="W110" s="36"/>
    </row>
    <row r="111">
      <c r="A111" s="354" t="s">
        <v>7517</v>
      </c>
      <c r="B111" s="354"/>
      <c r="C111" s="136" t="s">
        <v>7486</v>
      </c>
      <c r="D111" s="360">
        <v>0.75</v>
      </c>
      <c r="E111" s="360">
        <v>0.75</v>
      </c>
      <c r="F111" s="229" t="s">
        <v>1656</v>
      </c>
      <c r="T111" s="35" t="s">
        <v>7517</v>
      </c>
      <c r="U111" s="35">
        <v>6772.0</v>
      </c>
      <c r="V111" s="36" t="e">
        <v>#N/A</v>
      </c>
      <c r="W111" s="36"/>
    </row>
    <row r="112">
      <c r="A112" s="354" t="s">
        <v>7518</v>
      </c>
      <c r="B112" s="354"/>
      <c r="C112" s="136" t="s">
        <v>7486</v>
      </c>
      <c r="D112" s="360">
        <v>0.75</v>
      </c>
      <c r="E112" s="360">
        <v>0.75</v>
      </c>
      <c r="F112" s="229" t="s">
        <v>1656</v>
      </c>
      <c r="T112" s="35" t="s">
        <v>7518</v>
      </c>
      <c r="U112" s="35">
        <v>7031.0</v>
      </c>
      <c r="V112" s="36" t="e">
        <v>#N/A</v>
      </c>
      <c r="W112" s="36"/>
    </row>
    <row r="113">
      <c r="A113" s="354" t="s">
        <v>7519</v>
      </c>
      <c r="B113" s="354"/>
      <c r="C113" s="136" t="s">
        <v>7486</v>
      </c>
      <c r="D113" s="360">
        <v>0.75</v>
      </c>
      <c r="E113" s="360">
        <v>0.75</v>
      </c>
      <c r="F113" s="229" t="s">
        <v>1656</v>
      </c>
      <c r="T113" s="35" t="s">
        <v>7519</v>
      </c>
      <c r="U113" s="35">
        <v>6924.0</v>
      </c>
      <c r="V113" s="36" t="e">
        <v>#N/A</v>
      </c>
      <c r="W113" s="36"/>
    </row>
    <row r="114">
      <c r="A114" s="354" t="s">
        <v>7520</v>
      </c>
      <c r="B114" s="354"/>
      <c r="C114" s="136" t="s">
        <v>7486</v>
      </c>
      <c r="D114" s="360">
        <v>0.75</v>
      </c>
      <c r="E114" s="360">
        <v>0.75</v>
      </c>
      <c r="F114" s="229" t="s">
        <v>1656</v>
      </c>
      <c r="T114" s="35" t="s">
        <v>7520</v>
      </c>
      <c r="U114" s="35">
        <v>11875.0</v>
      </c>
      <c r="V114" s="36" t="e">
        <v>#N/A</v>
      </c>
      <c r="W114" s="35">
        <v>6924.0</v>
      </c>
    </row>
    <row r="115">
      <c r="A115" s="354" t="s">
        <v>7521</v>
      </c>
      <c r="B115" s="354"/>
      <c r="C115" s="136" t="s">
        <v>7486</v>
      </c>
      <c r="D115" s="360">
        <v>0.75</v>
      </c>
      <c r="E115" s="360">
        <v>0.75</v>
      </c>
      <c r="F115" s="229" t="s">
        <v>1656</v>
      </c>
      <c r="T115" s="35" t="s">
        <v>7521</v>
      </c>
      <c r="U115" s="35">
        <v>6824.0</v>
      </c>
      <c r="V115" s="36" t="e">
        <v>#N/A</v>
      </c>
      <c r="W115" s="36"/>
    </row>
    <row r="116">
      <c r="A116" s="354" t="s">
        <v>7522</v>
      </c>
      <c r="B116" s="354"/>
      <c r="C116" s="136" t="s">
        <v>7486</v>
      </c>
      <c r="D116" s="360">
        <v>0.75</v>
      </c>
      <c r="E116" s="360">
        <v>0.75</v>
      </c>
      <c r="F116" s="229" t="s">
        <v>1656</v>
      </c>
      <c r="T116" s="35" t="s">
        <v>7522</v>
      </c>
      <c r="U116" s="35">
        <v>6949.0</v>
      </c>
      <c r="V116" s="36" t="e">
        <v>#N/A</v>
      </c>
      <c r="W116" s="36"/>
    </row>
    <row r="117">
      <c r="A117" s="354" t="s">
        <v>7523</v>
      </c>
      <c r="B117" s="354"/>
      <c r="C117" s="136" t="s">
        <v>7486</v>
      </c>
      <c r="D117" s="360">
        <v>0.75</v>
      </c>
      <c r="E117" s="360">
        <v>0.75</v>
      </c>
      <c r="F117" s="229" t="s">
        <v>1656</v>
      </c>
      <c r="T117" s="35" t="s">
        <v>7523</v>
      </c>
      <c r="U117" s="35">
        <v>6732.0</v>
      </c>
      <c r="V117" s="36" t="e">
        <v>#N/A</v>
      </c>
      <c r="W117" s="36"/>
    </row>
    <row r="118">
      <c r="A118" s="354" t="s">
        <v>7524</v>
      </c>
      <c r="B118" s="354"/>
      <c r="C118" s="136" t="s">
        <v>7486</v>
      </c>
      <c r="D118" s="360">
        <v>0.75</v>
      </c>
      <c r="E118" s="360">
        <v>0.75</v>
      </c>
      <c r="F118" s="229" t="s">
        <v>1656</v>
      </c>
      <c r="T118" s="35" t="s">
        <v>7524</v>
      </c>
      <c r="U118" s="35">
        <v>6732.0</v>
      </c>
      <c r="V118" s="36" t="e">
        <v>#N/A</v>
      </c>
      <c r="W118" s="36"/>
    </row>
    <row r="119">
      <c r="A119" s="354" t="s">
        <v>7525</v>
      </c>
      <c r="B119" s="354"/>
      <c r="C119" s="136" t="s">
        <v>7486</v>
      </c>
      <c r="D119" s="360">
        <v>0.75</v>
      </c>
      <c r="E119" s="360">
        <v>0.75</v>
      </c>
      <c r="F119" s="229" t="s">
        <v>1656</v>
      </c>
      <c r="T119" s="35" t="s">
        <v>7525</v>
      </c>
      <c r="U119" s="35">
        <v>6732.0</v>
      </c>
      <c r="V119" s="36" t="e">
        <v>#N/A</v>
      </c>
      <c r="W119" s="36"/>
    </row>
    <row r="120">
      <c r="A120" s="354" t="s">
        <v>7526</v>
      </c>
      <c r="B120" s="354"/>
      <c r="C120" s="136" t="s">
        <v>7486</v>
      </c>
      <c r="D120" s="360">
        <v>0.75</v>
      </c>
      <c r="E120" s="360">
        <v>0.75</v>
      </c>
      <c r="F120" s="229" t="s">
        <v>1656</v>
      </c>
      <c r="T120" s="35" t="s">
        <v>7526</v>
      </c>
      <c r="U120" s="35">
        <v>5125.0</v>
      </c>
      <c r="V120" s="36" t="e">
        <v>#N/A</v>
      </c>
      <c r="W120" s="36"/>
    </row>
    <row r="121">
      <c r="A121" s="354" t="s">
        <v>7527</v>
      </c>
      <c r="B121" s="354"/>
      <c r="C121" s="136" t="s">
        <v>7486</v>
      </c>
      <c r="D121" s="360">
        <v>0.75</v>
      </c>
      <c r="E121" s="360">
        <v>0.75</v>
      </c>
      <c r="F121" s="229" t="s">
        <v>1656</v>
      </c>
      <c r="T121" s="35" t="s">
        <v>7527</v>
      </c>
      <c r="U121" s="35">
        <v>6732.0</v>
      </c>
      <c r="V121" s="36" t="e">
        <v>#N/A</v>
      </c>
      <c r="W121" s="36"/>
    </row>
    <row r="122">
      <c r="A122" s="354" t="s">
        <v>7528</v>
      </c>
      <c r="B122" s="354"/>
      <c r="C122" s="136" t="s">
        <v>7486</v>
      </c>
      <c r="D122" s="360">
        <v>0.75</v>
      </c>
      <c r="E122" s="360">
        <v>0.75</v>
      </c>
      <c r="F122" s="229" t="s">
        <v>1656</v>
      </c>
      <c r="T122" s="35" t="s">
        <v>7528</v>
      </c>
      <c r="U122" s="35">
        <v>930.0</v>
      </c>
      <c r="V122" s="36" t="e">
        <v>#N/A</v>
      </c>
      <c r="W122" s="36"/>
    </row>
    <row r="123">
      <c r="A123" s="354" t="s">
        <v>7529</v>
      </c>
      <c r="B123" s="354"/>
      <c r="C123" s="136" t="s">
        <v>7486</v>
      </c>
      <c r="D123" s="360">
        <v>0.75</v>
      </c>
      <c r="E123" s="360">
        <v>0.75</v>
      </c>
      <c r="F123" s="229" t="s">
        <v>1656</v>
      </c>
      <c r="T123" s="35" t="s">
        <v>7529</v>
      </c>
      <c r="U123" s="35">
        <v>6750.0</v>
      </c>
      <c r="V123" s="36" t="e">
        <v>#N/A</v>
      </c>
      <c r="W123" s="36"/>
    </row>
    <row r="124">
      <c r="A124" s="354" t="s">
        <v>7530</v>
      </c>
      <c r="B124" s="354"/>
      <c r="C124" s="136" t="s">
        <v>7486</v>
      </c>
      <c r="D124" s="360">
        <v>0.75</v>
      </c>
      <c r="E124" s="360">
        <v>0.75</v>
      </c>
      <c r="F124" s="229" t="s">
        <v>1656</v>
      </c>
      <c r="T124" s="35" t="s">
        <v>7530</v>
      </c>
      <c r="U124" s="35">
        <v>6970.0</v>
      </c>
      <c r="V124" s="36" t="e">
        <v>#N/A</v>
      </c>
      <c r="W124" s="36"/>
    </row>
    <row r="125">
      <c r="A125" s="354" t="s">
        <v>7531</v>
      </c>
      <c r="B125" s="354"/>
      <c r="C125" s="136" t="s">
        <v>7486</v>
      </c>
      <c r="D125" s="360">
        <v>0.75</v>
      </c>
      <c r="E125" s="360">
        <v>0.75</v>
      </c>
      <c r="F125" s="229" t="s">
        <v>1656</v>
      </c>
      <c r="T125" s="35" t="s">
        <v>7531</v>
      </c>
      <c r="U125" s="35">
        <v>4933.0</v>
      </c>
      <c r="V125" s="36" t="e">
        <v>#N/A</v>
      </c>
      <c r="W125" s="36"/>
    </row>
    <row r="126">
      <c r="A126" s="354" t="s">
        <v>7532</v>
      </c>
      <c r="B126" s="354"/>
      <c r="C126" s="136" t="s">
        <v>7486</v>
      </c>
      <c r="D126" s="360">
        <v>0.75</v>
      </c>
      <c r="E126" s="360">
        <v>0.75</v>
      </c>
      <c r="F126" s="229" t="s">
        <v>1656</v>
      </c>
      <c r="T126" s="35" t="s">
        <v>7532</v>
      </c>
      <c r="U126" s="35">
        <v>6998.0</v>
      </c>
      <c r="V126" s="36" t="e">
        <v>#N/A</v>
      </c>
      <c r="W126" s="36"/>
    </row>
    <row r="127">
      <c r="A127" s="354" t="s">
        <v>7533</v>
      </c>
      <c r="B127" s="354"/>
      <c r="C127" s="136" t="s">
        <v>7486</v>
      </c>
      <c r="D127" s="360">
        <v>0.75</v>
      </c>
      <c r="E127" s="360">
        <v>0.75</v>
      </c>
      <c r="F127" s="229" t="s">
        <v>1656</v>
      </c>
      <c r="T127" s="35" t="s">
        <v>7533</v>
      </c>
      <c r="U127" s="35">
        <v>1360.0</v>
      </c>
      <c r="V127" s="36" t="e">
        <v>#N/A</v>
      </c>
      <c r="W127" s="36"/>
    </row>
    <row r="128">
      <c r="A128" s="354" t="s">
        <v>7534</v>
      </c>
      <c r="B128" s="354"/>
      <c r="C128" s="136" t="s">
        <v>7486</v>
      </c>
      <c r="D128" s="360">
        <v>0.75</v>
      </c>
      <c r="E128" s="360">
        <v>0.75</v>
      </c>
      <c r="F128" s="229" t="s">
        <v>1656</v>
      </c>
      <c r="T128" s="35" t="s">
        <v>7534</v>
      </c>
      <c r="U128" s="35">
        <v>669.0</v>
      </c>
      <c r="V128" s="36" t="e">
        <v>#N/A</v>
      </c>
      <c r="W128" s="36"/>
    </row>
    <row r="129">
      <c r="A129" s="354" t="s">
        <v>7535</v>
      </c>
      <c r="B129" s="354"/>
      <c r="C129" s="136" t="s">
        <v>7486</v>
      </c>
      <c r="D129" s="360">
        <v>0.75</v>
      </c>
      <c r="E129" s="360">
        <v>0.75</v>
      </c>
      <c r="F129" s="229" t="s">
        <v>1656</v>
      </c>
      <c r="T129" s="35" t="s">
        <v>7535</v>
      </c>
      <c r="U129" s="35">
        <v>3920.0</v>
      </c>
      <c r="V129" s="36" t="e">
        <v>#N/A</v>
      </c>
      <c r="W129" s="36"/>
    </row>
    <row r="130">
      <c r="A130" s="354" t="s">
        <v>7536</v>
      </c>
      <c r="B130" s="354"/>
      <c r="C130" s="136" t="s">
        <v>7486</v>
      </c>
      <c r="D130" s="360">
        <v>0.75</v>
      </c>
      <c r="E130" s="360">
        <v>0.75</v>
      </c>
      <c r="F130" s="229" t="s">
        <v>1656</v>
      </c>
      <c r="T130" s="35" t="s">
        <v>7536</v>
      </c>
      <c r="U130" s="35">
        <v>5125.0</v>
      </c>
      <c r="V130" s="36" t="e">
        <v>#N/A</v>
      </c>
      <c r="W130" s="36"/>
    </row>
    <row r="131">
      <c r="A131" s="354" t="s">
        <v>7537</v>
      </c>
      <c r="B131" s="354">
        <v>986.0</v>
      </c>
      <c r="C131" s="136" t="s">
        <v>7486</v>
      </c>
      <c r="D131" s="76">
        <v>0.875</v>
      </c>
      <c r="E131" s="76">
        <v>0.875</v>
      </c>
      <c r="F131" s="229" t="s">
        <v>1656</v>
      </c>
      <c r="T131" s="11" t="s">
        <v>7537</v>
      </c>
      <c r="U131" s="11">
        <v>986.0</v>
      </c>
      <c r="V131" s="18">
        <v>1.0</v>
      </c>
    </row>
    <row r="132">
      <c r="A132" s="354" t="s">
        <v>7538</v>
      </c>
      <c r="B132" s="354">
        <v>3307.0</v>
      </c>
      <c r="C132" s="136" t="s">
        <v>7486</v>
      </c>
      <c r="D132" s="360">
        <v>0.75</v>
      </c>
      <c r="E132" s="360">
        <v>0.75</v>
      </c>
      <c r="F132" s="229" t="s">
        <v>1656</v>
      </c>
      <c r="T132" s="35" t="s">
        <v>7538</v>
      </c>
      <c r="U132" s="35">
        <v>3307.0</v>
      </c>
      <c r="V132" s="36" t="e">
        <v>#N/A</v>
      </c>
      <c r="W132" s="36"/>
    </row>
    <row r="133">
      <c r="A133" s="354" t="s">
        <v>7539</v>
      </c>
      <c r="B133" s="354"/>
      <c r="C133" s="136" t="s">
        <v>7486</v>
      </c>
      <c r="D133" s="360">
        <v>0.75</v>
      </c>
      <c r="E133" s="360">
        <v>0.75</v>
      </c>
      <c r="F133" s="229" t="s">
        <v>1656</v>
      </c>
      <c r="T133" s="35" t="s">
        <v>7539</v>
      </c>
      <c r="U133" s="35">
        <v>6727.0</v>
      </c>
      <c r="V133" s="36" t="e">
        <v>#N/A</v>
      </c>
      <c r="W133" s="36"/>
    </row>
    <row r="134">
      <c r="A134" s="354" t="s">
        <v>7540</v>
      </c>
      <c r="B134" s="354"/>
      <c r="C134" s="136" t="s">
        <v>7486</v>
      </c>
      <c r="D134" s="360">
        <v>0.75</v>
      </c>
      <c r="E134" s="360">
        <v>0.75</v>
      </c>
      <c r="F134" s="229" t="s">
        <v>1656</v>
      </c>
      <c r="T134" s="35" t="s">
        <v>7540</v>
      </c>
      <c r="U134" s="35">
        <v>6727.0</v>
      </c>
      <c r="V134" s="36" t="e">
        <v>#N/A</v>
      </c>
      <c r="W134" s="36"/>
    </row>
    <row r="135">
      <c r="A135" s="354" t="s">
        <v>7541</v>
      </c>
      <c r="B135" s="354"/>
      <c r="C135" s="136" t="s">
        <v>7486</v>
      </c>
      <c r="D135" s="360">
        <v>0.75</v>
      </c>
      <c r="E135" s="360">
        <v>0.75</v>
      </c>
      <c r="F135" s="229" t="s">
        <v>1656</v>
      </c>
      <c r="T135" s="35" t="s">
        <v>7541</v>
      </c>
      <c r="U135" s="35">
        <v>6887.0</v>
      </c>
      <c r="V135" s="36" t="e">
        <v>#N/A</v>
      </c>
      <c r="W135" s="36"/>
    </row>
    <row r="136">
      <c r="A136" s="354" t="s">
        <v>7542</v>
      </c>
      <c r="B136" s="354">
        <v>6947.0</v>
      </c>
      <c r="C136" s="136" t="s">
        <v>7486</v>
      </c>
      <c r="D136" s="360">
        <v>0.75</v>
      </c>
      <c r="E136" s="360">
        <v>0.75</v>
      </c>
      <c r="F136" s="229" t="s">
        <v>1656</v>
      </c>
      <c r="T136" s="35" t="s">
        <v>7542</v>
      </c>
      <c r="U136" s="35">
        <v>6947.0</v>
      </c>
      <c r="V136" s="36" t="e">
        <v>#N/A</v>
      </c>
      <c r="W136" s="36"/>
    </row>
    <row r="137">
      <c r="A137" s="354" t="s">
        <v>7543</v>
      </c>
      <c r="B137" s="354"/>
      <c r="C137" s="136" t="s">
        <v>7486</v>
      </c>
      <c r="D137" s="360">
        <v>0.75</v>
      </c>
      <c r="E137" s="360">
        <v>0.75</v>
      </c>
      <c r="F137" s="229" t="s">
        <v>1656</v>
      </c>
      <c r="T137" s="35" t="s">
        <v>7543</v>
      </c>
      <c r="U137" s="35">
        <v>6732.0</v>
      </c>
      <c r="V137" s="36" t="e">
        <v>#N/A</v>
      </c>
      <c r="W137" s="36"/>
    </row>
    <row r="138">
      <c r="A138" s="354" t="s">
        <v>7544</v>
      </c>
      <c r="B138" s="354"/>
      <c r="C138" s="136" t="s">
        <v>7486</v>
      </c>
      <c r="D138" s="360">
        <v>0.75</v>
      </c>
      <c r="E138" s="360">
        <v>0.75</v>
      </c>
      <c r="F138" s="229" t="s">
        <v>1656</v>
      </c>
      <c r="T138" s="35" t="s">
        <v>7544</v>
      </c>
      <c r="U138" s="35">
        <v>6732.0</v>
      </c>
      <c r="V138" s="36" t="e">
        <v>#N/A</v>
      </c>
      <c r="W138" s="36"/>
    </row>
    <row r="139">
      <c r="A139" s="354" t="s">
        <v>7545</v>
      </c>
      <c r="B139" s="354"/>
      <c r="C139" s="136" t="s">
        <v>7486</v>
      </c>
      <c r="D139" s="360">
        <v>0.75</v>
      </c>
      <c r="E139" s="360">
        <v>0.75</v>
      </c>
      <c r="F139" s="229" t="s">
        <v>1656</v>
      </c>
      <c r="T139" s="35" t="s">
        <v>7545</v>
      </c>
      <c r="U139" s="35">
        <v>6732.0</v>
      </c>
      <c r="V139" s="36" t="e">
        <v>#N/A</v>
      </c>
      <c r="W139" s="36"/>
    </row>
    <row r="140">
      <c r="A140" s="354" t="s">
        <v>7546</v>
      </c>
      <c r="B140" s="354"/>
      <c r="C140" s="136" t="s">
        <v>7486</v>
      </c>
      <c r="D140" s="360">
        <v>0.75</v>
      </c>
      <c r="E140" s="360">
        <v>0.75</v>
      </c>
      <c r="F140" s="229" t="s">
        <v>1656</v>
      </c>
      <c r="T140" s="35" t="s">
        <v>7546</v>
      </c>
      <c r="U140" s="35">
        <v>6732.0</v>
      </c>
      <c r="V140" s="36" t="e">
        <v>#N/A</v>
      </c>
      <c r="W140" s="36"/>
    </row>
    <row r="141">
      <c r="A141" s="354" t="s">
        <v>7547</v>
      </c>
      <c r="B141" s="354"/>
      <c r="C141" s="136" t="s">
        <v>7486</v>
      </c>
      <c r="D141" s="360">
        <v>0.75</v>
      </c>
      <c r="E141" s="360">
        <v>0.75</v>
      </c>
      <c r="F141" s="229" t="s">
        <v>1656</v>
      </c>
      <c r="T141" s="35" t="s">
        <v>7547</v>
      </c>
      <c r="U141" s="35">
        <v>6732.0</v>
      </c>
      <c r="V141" s="36" t="e">
        <v>#N/A</v>
      </c>
      <c r="W141" s="36"/>
    </row>
    <row r="142">
      <c r="A142" s="354" t="s">
        <v>7548</v>
      </c>
      <c r="B142" s="354"/>
      <c r="C142" s="136" t="s">
        <v>7486</v>
      </c>
      <c r="D142" s="360">
        <v>0.75</v>
      </c>
      <c r="E142" s="360">
        <v>0.75</v>
      </c>
      <c r="F142" s="229" t="s">
        <v>1656</v>
      </c>
      <c r="T142" s="35" t="s">
        <v>7548</v>
      </c>
      <c r="U142" s="35">
        <v>6732.0</v>
      </c>
      <c r="V142" s="36" t="e">
        <v>#N/A</v>
      </c>
      <c r="W142" s="36"/>
    </row>
    <row r="143">
      <c r="A143" s="354" t="s">
        <v>7549</v>
      </c>
      <c r="B143" s="354"/>
      <c r="C143" s="136" t="s">
        <v>7486</v>
      </c>
      <c r="D143" s="360">
        <v>0.75</v>
      </c>
      <c r="E143" s="360">
        <v>0.75</v>
      </c>
      <c r="F143" s="229" t="s">
        <v>1656</v>
      </c>
      <c r="T143" s="35" t="s">
        <v>7549</v>
      </c>
      <c r="U143" s="35">
        <v>7129.0</v>
      </c>
      <c r="V143" s="36" t="e">
        <v>#N/A</v>
      </c>
      <c r="W143" s="36"/>
    </row>
    <row r="144">
      <c r="A144" s="354" t="s">
        <v>7550</v>
      </c>
      <c r="B144" s="354"/>
      <c r="C144" s="136" t="s">
        <v>7486</v>
      </c>
      <c r="D144" s="360">
        <v>0.75</v>
      </c>
      <c r="E144" s="360">
        <v>0.75</v>
      </c>
      <c r="F144" s="229" t="s">
        <v>1656</v>
      </c>
      <c r="T144" s="35" t="s">
        <v>7550</v>
      </c>
      <c r="U144" s="35">
        <v>7113.0</v>
      </c>
      <c r="V144" s="36" t="e">
        <v>#N/A</v>
      </c>
      <c r="W144" s="36"/>
    </row>
    <row r="145">
      <c r="A145" s="354" t="s">
        <v>7551</v>
      </c>
      <c r="B145" s="354"/>
      <c r="C145" s="136" t="s">
        <v>7486</v>
      </c>
      <c r="D145" s="360">
        <v>0.75</v>
      </c>
      <c r="E145" s="360">
        <v>0.75</v>
      </c>
      <c r="F145" s="229" t="s">
        <v>1656</v>
      </c>
      <c r="T145" s="35" t="s">
        <v>7551</v>
      </c>
      <c r="U145" s="35">
        <v>6727.0</v>
      </c>
      <c r="V145" s="36" t="e">
        <v>#N/A</v>
      </c>
      <c r="W145" s="36"/>
    </row>
    <row r="146">
      <c r="A146" s="354" t="s">
        <v>7552</v>
      </c>
      <c r="B146" s="354">
        <v>7142.0</v>
      </c>
      <c r="C146" s="136" t="s">
        <v>7486</v>
      </c>
      <c r="D146" s="360">
        <v>0.75</v>
      </c>
      <c r="E146" s="360">
        <v>0.75</v>
      </c>
      <c r="F146" s="229" t="s">
        <v>1656</v>
      </c>
      <c r="T146" s="11" t="s">
        <v>7552</v>
      </c>
      <c r="U146" s="11">
        <v>7142.0</v>
      </c>
      <c r="V146" s="18">
        <v>1.0</v>
      </c>
    </row>
    <row r="147">
      <c r="A147" s="354" t="s">
        <v>7553</v>
      </c>
      <c r="B147" s="354"/>
      <c r="C147" s="136" t="s">
        <v>7486</v>
      </c>
      <c r="D147" s="360">
        <v>0.75</v>
      </c>
      <c r="E147" s="360">
        <v>0.75</v>
      </c>
      <c r="F147" s="229" t="s">
        <v>1656</v>
      </c>
      <c r="T147" s="35" t="s">
        <v>7553</v>
      </c>
      <c r="U147" s="35">
        <v>7023.0</v>
      </c>
      <c r="V147" s="36" t="e">
        <v>#N/A</v>
      </c>
      <c r="W147" s="36"/>
    </row>
    <row r="148">
      <c r="A148" s="354" t="s">
        <v>7554</v>
      </c>
      <c r="B148" s="354"/>
      <c r="C148" s="136" t="s">
        <v>7486</v>
      </c>
      <c r="D148" s="360">
        <v>0.75</v>
      </c>
      <c r="E148" s="360">
        <v>0.75</v>
      </c>
      <c r="F148" s="229" t="s">
        <v>1656</v>
      </c>
      <c r="T148" s="35" t="s">
        <v>7554</v>
      </c>
      <c r="U148" s="35">
        <v>7033.0</v>
      </c>
      <c r="V148" s="36" t="e">
        <v>#N/A</v>
      </c>
      <c r="W148" s="36"/>
    </row>
    <row r="149">
      <c r="A149" s="354" t="s">
        <v>7555</v>
      </c>
      <c r="B149" s="354"/>
      <c r="C149" s="136" t="s">
        <v>7486</v>
      </c>
      <c r="D149" s="360">
        <v>0.75</v>
      </c>
      <c r="E149" s="360">
        <v>0.75</v>
      </c>
      <c r="F149" s="229" t="s">
        <v>1656</v>
      </c>
      <c r="T149" s="35" t="s">
        <v>7555</v>
      </c>
      <c r="U149" s="35">
        <v>6903.0</v>
      </c>
      <c r="V149" s="36" t="e">
        <v>#N/A</v>
      </c>
      <c r="W149" s="36"/>
    </row>
    <row r="150">
      <c r="A150" s="354" t="s">
        <v>7556</v>
      </c>
      <c r="B150" s="354"/>
      <c r="C150" s="136" t="s">
        <v>7486</v>
      </c>
      <c r="D150" s="360">
        <v>0.75</v>
      </c>
      <c r="E150" s="360">
        <v>0.75</v>
      </c>
      <c r="F150" s="229" t="s">
        <v>1656</v>
      </c>
      <c r="T150" s="35" t="s">
        <v>7556</v>
      </c>
      <c r="U150" s="35">
        <v>4933.0</v>
      </c>
      <c r="V150" s="36" t="e">
        <v>#N/A</v>
      </c>
      <c r="W150" s="36"/>
    </row>
    <row r="151">
      <c r="A151" s="354" t="s">
        <v>7557</v>
      </c>
      <c r="B151" s="354"/>
      <c r="C151" s="136" t="s">
        <v>7486</v>
      </c>
      <c r="D151" s="360">
        <v>0.75</v>
      </c>
      <c r="E151" s="360">
        <v>0.75</v>
      </c>
      <c r="F151" s="229" t="s">
        <v>1656</v>
      </c>
      <c r="T151" s="35" t="s">
        <v>7557</v>
      </c>
      <c r="U151" s="35">
        <v>4933.0</v>
      </c>
      <c r="V151" s="36" t="e">
        <v>#N/A</v>
      </c>
      <c r="W151" s="36"/>
    </row>
    <row r="152">
      <c r="A152" s="354" t="s">
        <v>7558</v>
      </c>
      <c r="B152" s="354"/>
      <c r="C152" s="136" t="s">
        <v>7486</v>
      </c>
      <c r="D152" s="360">
        <v>0.75</v>
      </c>
      <c r="E152" s="360">
        <v>0.75</v>
      </c>
      <c r="F152" s="229" t="s">
        <v>1656</v>
      </c>
      <c r="T152" s="35" t="s">
        <v>7558</v>
      </c>
      <c r="U152" s="35">
        <v>136.0</v>
      </c>
      <c r="V152" s="36" t="e">
        <v>#N/A</v>
      </c>
      <c r="W152" s="36"/>
    </row>
    <row r="153">
      <c r="A153" s="354" t="s">
        <v>7559</v>
      </c>
      <c r="B153" s="354"/>
      <c r="C153" s="136" t="s">
        <v>7486</v>
      </c>
      <c r="D153" s="360">
        <v>0.75</v>
      </c>
      <c r="E153" s="360">
        <v>0.75</v>
      </c>
      <c r="F153" s="229" t="s">
        <v>1656</v>
      </c>
      <c r="T153" s="35" t="s">
        <v>7559</v>
      </c>
      <c r="U153" s="35">
        <v>7051.0</v>
      </c>
      <c r="V153" s="36" t="e">
        <v>#N/A</v>
      </c>
      <c r="W153" s="36"/>
    </row>
    <row r="154">
      <c r="A154" s="354" t="s">
        <v>7560</v>
      </c>
      <c r="B154" s="354"/>
      <c r="C154" s="136" t="s">
        <v>7486</v>
      </c>
      <c r="D154" s="360">
        <v>0.75</v>
      </c>
      <c r="E154" s="360">
        <v>0.75</v>
      </c>
      <c r="F154" s="229" t="s">
        <v>1656</v>
      </c>
      <c r="T154" s="35" t="s">
        <v>7560</v>
      </c>
      <c r="U154" s="35">
        <v>6928.0</v>
      </c>
      <c r="V154" s="36" t="e">
        <v>#N/A</v>
      </c>
      <c r="W154" s="36"/>
    </row>
    <row r="155">
      <c r="A155" s="354" t="s">
        <v>7561</v>
      </c>
      <c r="B155" s="354"/>
      <c r="C155" s="136" t="s">
        <v>7486</v>
      </c>
      <c r="D155" s="360">
        <v>0.75</v>
      </c>
      <c r="E155" s="360">
        <v>0.75</v>
      </c>
      <c r="F155" s="229" t="s">
        <v>1656</v>
      </c>
      <c r="T155" s="35" t="s">
        <v>7561</v>
      </c>
      <c r="U155" s="35">
        <v>7124.0</v>
      </c>
      <c r="V155" s="36" t="e">
        <v>#N/A</v>
      </c>
      <c r="W155" s="36"/>
    </row>
    <row r="156">
      <c r="A156" s="354" t="s">
        <v>7562</v>
      </c>
      <c r="B156" s="252"/>
      <c r="C156" s="136" t="s">
        <v>7486</v>
      </c>
      <c r="D156" s="360">
        <v>0.75</v>
      </c>
      <c r="E156" s="360">
        <v>0.75</v>
      </c>
      <c r="F156" s="229" t="s">
        <v>1656</v>
      </c>
      <c r="T156" s="35" t="s">
        <v>7562</v>
      </c>
      <c r="U156" s="124">
        <v>6802.0</v>
      </c>
      <c r="V156" s="36" t="e">
        <v>#N/A</v>
      </c>
      <c r="W156" s="36"/>
    </row>
    <row r="157">
      <c r="A157" s="354" t="s">
        <v>7563</v>
      </c>
      <c r="B157" s="354"/>
      <c r="C157" s="136" t="s">
        <v>7486</v>
      </c>
      <c r="D157" s="360">
        <v>0.75</v>
      </c>
      <c r="E157" s="360">
        <v>0.75</v>
      </c>
      <c r="F157" s="229" t="s">
        <v>1656</v>
      </c>
      <c r="T157" s="35" t="s">
        <v>7563</v>
      </c>
      <c r="U157" s="35">
        <v>136.0</v>
      </c>
      <c r="V157" s="36" t="e">
        <v>#N/A</v>
      </c>
      <c r="W157" s="36"/>
    </row>
    <row r="158">
      <c r="A158" s="354" t="s">
        <v>7564</v>
      </c>
      <c r="B158" s="252"/>
      <c r="C158" s="136" t="s">
        <v>7486</v>
      </c>
      <c r="D158" s="360">
        <v>0.75</v>
      </c>
      <c r="E158" s="360">
        <v>0.75</v>
      </c>
      <c r="F158" s="229" t="s">
        <v>1656</v>
      </c>
      <c r="T158" s="35" t="s">
        <v>7564</v>
      </c>
      <c r="U158" s="124">
        <v>6697.0</v>
      </c>
      <c r="V158" s="36" t="e">
        <v>#N/A</v>
      </c>
      <c r="W158" s="36"/>
    </row>
    <row r="159">
      <c r="A159" s="354" t="s">
        <v>7565</v>
      </c>
      <c r="B159" s="354">
        <v>7083.0</v>
      </c>
      <c r="C159" s="136" t="s">
        <v>7486</v>
      </c>
      <c r="D159" s="360">
        <v>0.75</v>
      </c>
      <c r="E159" s="360">
        <v>0.75</v>
      </c>
      <c r="F159" s="229" t="s">
        <v>1656</v>
      </c>
      <c r="T159" s="11" t="s">
        <v>7565</v>
      </c>
      <c r="U159" s="11">
        <v>7083.0</v>
      </c>
      <c r="V159" s="18">
        <v>1.0</v>
      </c>
    </row>
    <row r="160">
      <c r="A160" s="354" t="s">
        <v>7566</v>
      </c>
      <c r="B160" s="354"/>
      <c r="C160" s="136" t="s">
        <v>7486</v>
      </c>
      <c r="D160" s="360">
        <v>0.75</v>
      </c>
      <c r="E160" s="360">
        <v>0.75</v>
      </c>
      <c r="F160" s="229" t="s">
        <v>1656</v>
      </c>
      <c r="T160" s="35" t="s">
        <v>7566</v>
      </c>
      <c r="U160" s="35">
        <v>6133.0</v>
      </c>
      <c r="V160" s="36" t="e">
        <v>#N/A</v>
      </c>
      <c r="W160" s="36"/>
    </row>
    <row r="161">
      <c r="A161" s="354" t="s">
        <v>7567</v>
      </c>
      <c r="B161" s="354"/>
      <c r="C161" s="136" t="s">
        <v>7486</v>
      </c>
      <c r="D161" s="360">
        <v>0.75</v>
      </c>
      <c r="E161" s="360">
        <v>0.75</v>
      </c>
      <c r="F161" s="229" t="s">
        <v>1656</v>
      </c>
      <c r="T161" s="35" t="s">
        <v>7567</v>
      </c>
      <c r="U161" s="35">
        <v>6133.0</v>
      </c>
      <c r="V161" s="36" t="e">
        <v>#N/A</v>
      </c>
      <c r="W161" s="36"/>
    </row>
    <row r="162">
      <c r="A162" s="354" t="s">
        <v>7568</v>
      </c>
      <c r="B162" s="354"/>
      <c r="C162" s="136" t="s">
        <v>7486</v>
      </c>
      <c r="D162" s="360">
        <v>0.75</v>
      </c>
      <c r="E162" s="360">
        <v>0.75</v>
      </c>
      <c r="F162" s="229" t="s">
        <v>1656</v>
      </c>
      <c r="T162" s="35" t="s">
        <v>7568</v>
      </c>
      <c r="U162" s="35">
        <v>7055.0</v>
      </c>
      <c r="V162" s="36" t="e">
        <v>#N/A</v>
      </c>
      <c r="W162" s="36"/>
    </row>
    <row r="163">
      <c r="A163" s="354" t="s">
        <v>1956</v>
      </c>
      <c r="B163" s="354">
        <v>7055.0</v>
      </c>
      <c r="C163" s="136" t="s">
        <v>7486</v>
      </c>
      <c r="D163" s="360">
        <v>0.75</v>
      </c>
      <c r="E163" s="360">
        <v>0.75</v>
      </c>
      <c r="F163" s="229" t="s">
        <v>1656</v>
      </c>
      <c r="T163" s="35" t="s">
        <v>1956</v>
      </c>
      <c r="U163" s="35">
        <v>7055.0</v>
      </c>
      <c r="V163" s="36" t="e">
        <v>#N/A</v>
      </c>
      <c r="W163" s="36"/>
    </row>
    <row r="164">
      <c r="A164" s="354" t="s">
        <v>9</v>
      </c>
      <c r="B164" s="354">
        <v>6671.0</v>
      </c>
      <c r="C164" s="136" t="s">
        <v>7486</v>
      </c>
      <c r="D164" s="360">
        <v>0.83</v>
      </c>
      <c r="E164" s="360">
        <v>0.83</v>
      </c>
      <c r="F164" s="229" t="s">
        <v>1656</v>
      </c>
      <c r="T164" s="35" t="s">
        <v>9</v>
      </c>
      <c r="U164" s="35">
        <v>6671.0</v>
      </c>
      <c r="V164" s="36" t="e">
        <v>#N/A</v>
      </c>
      <c r="W164" s="36"/>
    </row>
    <row r="165">
      <c r="A165" s="354" t="s">
        <v>7569</v>
      </c>
      <c r="B165" s="252"/>
      <c r="C165" s="136" t="s">
        <v>7486</v>
      </c>
      <c r="D165" s="360">
        <v>0.75</v>
      </c>
      <c r="E165" s="360">
        <v>0.75</v>
      </c>
      <c r="F165" s="229" t="s">
        <v>1656</v>
      </c>
      <c r="T165" s="35" t="s">
        <v>7569</v>
      </c>
      <c r="U165" s="124">
        <v>3294.0</v>
      </c>
      <c r="V165" s="36" t="e">
        <v>#N/A</v>
      </c>
      <c r="W165" s="36"/>
    </row>
    <row r="166">
      <c r="A166" s="354" t="s">
        <v>7570</v>
      </c>
      <c r="B166" s="354"/>
      <c r="C166" s="136" t="s">
        <v>7486</v>
      </c>
      <c r="D166" s="360">
        <v>0.75</v>
      </c>
      <c r="E166" s="360">
        <v>0.75</v>
      </c>
      <c r="F166" s="229" t="s">
        <v>1656</v>
      </c>
      <c r="T166" s="35" t="s">
        <v>7570</v>
      </c>
      <c r="U166" s="35">
        <v>3381.0</v>
      </c>
      <c r="V166" s="36" t="e">
        <v>#N/A</v>
      </c>
      <c r="W166" s="36"/>
    </row>
    <row r="167">
      <c r="A167" s="354" t="s">
        <v>7571</v>
      </c>
      <c r="B167" s="354"/>
      <c r="C167" s="136" t="s">
        <v>7486</v>
      </c>
      <c r="D167" s="360">
        <v>0.75</v>
      </c>
      <c r="E167" s="360">
        <v>0.75</v>
      </c>
      <c r="F167" s="229" t="s">
        <v>1656</v>
      </c>
      <c r="T167" s="35" t="s">
        <v>7571</v>
      </c>
      <c r="U167" s="35">
        <v>7104.0</v>
      </c>
      <c r="V167" s="36" t="e">
        <v>#N/A</v>
      </c>
      <c r="W167" s="36"/>
    </row>
    <row r="168">
      <c r="A168" s="354" t="s">
        <v>7572</v>
      </c>
      <c r="B168" s="354"/>
      <c r="C168" s="136" t="s">
        <v>7486</v>
      </c>
      <c r="D168" s="360">
        <v>0.75</v>
      </c>
      <c r="E168" s="360">
        <v>0.75</v>
      </c>
      <c r="F168" s="229" t="s">
        <v>1656</v>
      </c>
      <c r="T168" s="35" t="s">
        <v>7572</v>
      </c>
      <c r="U168" s="35">
        <v>7416.0</v>
      </c>
      <c r="V168" s="36" t="e">
        <v>#N/A</v>
      </c>
      <c r="W168" s="36"/>
    </row>
    <row r="169">
      <c r="A169" s="354" t="s">
        <v>7573</v>
      </c>
      <c r="B169" s="354">
        <v>7142.0</v>
      </c>
      <c r="C169" s="136" t="s">
        <v>7486</v>
      </c>
      <c r="D169" s="360">
        <v>0.75</v>
      </c>
      <c r="E169" s="360">
        <v>0.75</v>
      </c>
      <c r="F169" s="229" t="s">
        <v>1656</v>
      </c>
      <c r="T169" s="11" t="s">
        <v>7573</v>
      </c>
      <c r="U169" s="11">
        <v>7142.0</v>
      </c>
      <c r="V169" s="18">
        <v>1.0</v>
      </c>
    </row>
    <row r="170">
      <c r="A170" s="354" t="s">
        <v>7574</v>
      </c>
      <c r="B170" s="354">
        <v>10856.0</v>
      </c>
      <c r="C170" s="136" t="s">
        <v>7486</v>
      </c>
      <c r="D170" s="360">
        <v>0.75</v>
      </c>
      <c r="E170" s="360">
        <v>0.75</v>
      </c>
      <c r="F170" s="229" t="s">
        <v>1656</v>
      </c>
      <c r="T170" s="11" t="s">
        <v>7574</v>
      </c>
      <c r="U170" s="11">
        <v>10856.0</v>
      </c>
      <c r="V170" s="18">
        <v>1.0</v>
      </c>
    </row>
    <row r="171">
      <c r="A171" s="354" t="s">
        <v>7575</v>
      </c>
      <c r="B171" s="354">
        <v>7010.0</v>
      </c>
      <c r="C171" s="136" t="s">
        <v>7486</v>
      </c>
      <c r="D171" s="360">
        <v>0.83</v>
      </c>
      <c r="E171" s="360">
        <v>0.83</v>
      </c>
      <c r="F171" s="229" t="s">
        <v>1656</v>
      </c>
      <c r="T171" s="35" t="s">
        <v>7575</v>
      </c>
      <c r="U171" s="35">
        <v>7010.0</v>
      </c>
      <c r="V171" s="36" t="e">
        <v>#N/A</v>
      </c>
      <c r="W171" s="36"/>
    </row>
    <row r="172">
      <c r="A172" s="354" t="s">
        <v>7576</v>
      </c>
      <c r="B172" s="354"/>
      <c r="C172" s="136" t="s">
        <v>7486</v>
      </c>
      <c r="D172" s="360">
        <v>0.75</v>
      </c>
      <c r="E172" s="360">
        <v>0.75</v>
      </c>
      <c r="F172" s="229" t="s">
        <v>1656</v>
      </c>
      <c r="T172" s="35" t="s">
        <v>7576</v>
      </c>
      <c r="U172" s="35">
        <v>6936.0</v>
      </c>
      <c r="V172" s="36" t="e">
        <v>#N/A</v>
      </c>
      <c r="W172" s="36"/>
    </row>
    <row r="173">
      <c r="A173" s="354" t="s">
        <v>7577</v>
      </c>
      <c r="B173" s="354"/>
      <c r="C173" s="136" t="s">
        <v>7486</v>
      </c>
      <c r="D173" s="360">
        <v>0.75</v>
      </c>
      <c r="E173" s="360">
        <v>0.75</v>
      </c>
      <c r="F173" s="229" t="s">
        <v>1656</v>
      </c>
      <c r="T173" s="35" t="s">
        <v>7577</v>
      </c>
      <c r="U173" s="35">
        <v>3689.0</v>
      </c>
      <c r="V173" s="36" t="e">
        <v>#N/A</v>
      </c>
      <c r="W173" s="36"/>
    </row>
    <row r="174">
      <c r="A174" s="354" t="s">
        <v>7578</v>
      </c>
      <c r="B174" s="354"/>
      <c r="C174" s="136" t="s">
        <v>7486</v>
      </c>
      <c r="D174" s="360">
        <v>0.75</v>
      </c>
      <c r="E174" s="360">
        <v>0.75</v>
      </c>
      <c r="F174" s="229" t="s">
        <v>1656</v>
      </c>
      <c r="T174" s="35" t="s">
        <v>7578</v>
      </c>
      <c r="U174" s="35">
        <v>195.0</v>
      </c>
      <c r="V174" s="36" t="e">
        <v>#N/A</v>
      </c>
      <c r="W174" s="36"/>
    </row>
    <row r="175">
      <c r="A175" s="354" t="s">
        <v>7579</v>
      </c>
      <c r="B175" s="354"/>
      <c r="C175" s="136" t="s">
        <v>7486</v>
      </c>
      <c r="D175" s="360">
        <v>0.75</v>
      </c>
      <c r="E175" s="360">
        <v>0.75</v>
      </c>
      <c r="F175" s="229" t="s">
        <v>1656</v>
      </c>
      <c r="T175" s="35" t="s">
        <v>7579</v>
      </c>
      <c r="U175" s="35">
        <v>195.0</v>
      </c>
      <c r="V175" s="36" t="e">
        <v>#N/A</v>
      </c>
      <c r="W175" s="36"/>
    </row>
    <row r="176">
      <c r="A176" s="354" t="s">
        <v>7580</v>
      </c>
      <c r="B176" s="354"/>
      <c r="C176" s="136" t="s">
        <v>7486</v>
      </c>
      <c r="D176" s="360">
        <v>0.75</v>
      </c>
      <c r="E176" s="360">
        <v>0.75</v>
      </c>
      <c r="F176" s="229" t="s">
        <v>1656</v>
      </c>
      <c r="T176" s="35" t="s">
        <v>7580</v>
      </c>
      <c r="U176" s="35">
        <v>195.0</v>
      </c>
      <c r="V176" s="36" t="e">
        <v>#N/A</v>
      </c>
      <c r="W176" s="36"/>
    </row>
    <row r="177">
      <c r="A177" s="354" t="s">
        <v>7581</v>
      </c>
      <c r="B177" s="354"/>
      <c r="C177" s="136" t="s">
        <v>7486</v>
      </c>
      <c r="D177" s="360">
        <v>0.75</v>
      </c>
      <c r="E177" s="360">
        <v>0.75</v>
      </c>
      <c r="F177" s="229" t="s">
        <v>1656</v>
      </c>
      <c r="T177" s="35" t="s">
        <v>7581</v>
      </c>
      <c r="U177" s="35">
        <v>195.0</v>
      </c>
      <c r="V177" s="36" t="e">
        <v>#N/A</v>
      </c>
      <c r="W177" s="36"/>
    </row>
    <row r="178">
      <c r="A178" s="354" t="s">
        <v>7582</v>
      </c>
      <c r="B178" s="354"/>
      <c r="C178" s="136" t="s">
        <v>7486</v>
      </c>
      <c r="D178" s="360">
        <v>0.75</v>
      </c>
      <c r="E178" s="360">
        <v>0.75</v>
      </c>
      <c r="F178" s="229" t="s">
        <v>1656</v>
      </c>
      <c r="T178" s="35" t="s">
        <v>7582</v>
      </c>
      <c r="U178" s="35">
        <v>7747.0</v>
      </c>
      <c r="V178" s="36" t="e">
        <v>#N/A</v>
      </c>
      <c r="W178" s="36"/>
    </row>
    <row r="179">
      <c r="A179" s="354" t="s">
        <v>7583</v>
      </c>
      <c r="B179" s="354"/>
      <c r="C179" s="136" t="s">
        <v>7486</v>
      </c>
      <c r="D179" s="360">
        <v>0.75</v>
      </c>
      <c r="E179" s="360">
        <v>0.75</v>
      </c>
      <c r="F179" s="229" t="s">
        <v>1656</v>
      </c>
      <c r="T179" s="35" t="s">
        <v>7583</v>
      </c>
      <c r="U179" s="35">
        <v>7244.0</v>
      </c>
      <c r="V179" s="36" t="e">
        <v>#N/A</v>
      </c>
      <c r="W179" s="36"/>
    </row>
    <row r="180">
      <c r="A180" s="354" t="s">
        <v>7584</v>
      </c>
      <c r="B180" s="354"/>
      <c r="C180" s="136" t="s">
        <v>7486</v>
      </c>
      <c r="D180" s="360">
        <v>0.75</v>
      </c>
      <c r="E180" s="360">
        <v>0.75</v>
      </c>
      <c r="F180" s="229" t="s">
        <v>1656</v>
      </c>
      <c r="T180" s="35" t="s">
        <v>7584</v>
      </c>
      <c r="U180" s="35">
        <v>7158.0</v>
      </c>
      <c r="V180" s="36" t="e">
        <v>#N/A</v>
      </c>
      <c r="W180" s="36"/>
    </row>
    <row r="181">
      <c r="A181" s="354" t="s">
        <v>7585</v>
      </c>
      <c r="B181" s="354"/>
      <c r="C181" s="136" t="s">
        <v>7486</v>
      </c>
      <c r="D181" s="360">
        <v>0.75</v>
      </c>
      <c r="E181" s="360">
        <v>0.75</v>
      </c>
      <c r="F181" s="229" t="s">
        <v>1656</v>
      </c>
      <c r="T181" s="35" t="s">
        <v>7585</v>
      </c>
      <c r="U181" s="35">
        <v>7010.0</v>
      </c>
      <c r="V181" s="36" t="e">
        <v>#N/A</v>
      </c>
      <c r="W181" s="36"/>
    </row>
    <row r="182">
      <c r="A182" s="354" t="s">
        <v>7586</v>
      </c>
      <c r="B182" s="354"/>
      <c r="C182" s="136" t="s">
        <v>7486</v>
      </c>
      <c r="D182" s="360">
        <v>0.75</v>
      </c>
      <c r="E182" s="360">
        <v>0.75</v>
      </c>
      <c r="F182" s="229" t="s">
        <v>1656</v>
      </c>
      <c r="T182" s="35" t="s">
        <v>7586</v>
      </c>
      <c r="U182" s="35">
        <v>7010.0</v>
      </c>
      <c r="V182" s="36" t="e">
        <v>#N/A</v>
      </c>
      <c r="W182" s="36"/>
    </row>
    <row r="183">
      <c r="A183" s="354" t="s">
        <v>7587</v>
      </c>
      <c r="B183" s="354"/>
      <c r="C183" s="136" t="s">
        <v>7486</v>
      </c>
      <c r="D183" s="360">
        <v>0.75</v>
      </c>
      <c r="E183" s="360">
        <v>0.75</v>
      </c>
      <c r="F183" s="229" t="s">
        <v>1656</v>
      </c>
      <c r="T183" s="35" t="s">
        <v>7587</v>
      </c>
      <c r="U183" s="35">
        <v>7010.0</v>
      </c>
      <c r="V183" s="36" t="e">
        <v>#N/A</v>
      </c>
      <c r="W183" s="36"/>
    </row>
    <row r="184">
      <c r="A184" s="354" t="s">
        <v>7588</v>
      </c>
      <c r="B184" s="354">
        <v>7157.0</v>
      </c>
      <c r="C184" s="136" t="s">
        <v>7486</v>
      </c>
      <c r="D184" s="360">
        <v>0.75</v>
      </c>
      <c r="E184" s="360">
        <v>0.75</v>
      </c>
      <c r="F184" s="229" t="s">
        <v>1656</v>
      </c>
      <c r="T184" s="35" t="s">
        <v>7588</v>
      </c>
      <c r="U184" s="35">
        <v>7157.0</v>
      </c>
      <c r="V184" s="36" t="e">
        <v>#N/A</v>
      </c>
      <c r="W184" s="36"/>
    </row>
    <row r="185">
      <c r="A185" s="354" t="s">
        <v>7589</v>
      </c>
      <c r="B185" s="354"/>
      <c r="C185" s="136" t="s">
        <v>7486</v>
      </c>
      <c r="D185" s="360">
        <v>0.75</v>
      </c>
      <c r="E185" s="360">
        <v>0.75</v>
      </c>
      <c r="F185" s="229" t="s">
        <v>1656</v>
      </c>
      <c r="T185" s="35" t="s">
        <v>7589</v>
      </c>
      <c r="U185" s="35">
        <v>7010.0</v>
      </c>
      <c r="V185" s="36" t="e">
        <v>#N/A</v>
      </c>
      <c r="W185" s="36"/>
    </row>
    <row r="186">
      <c r="A186" s="354" t="s">
        <v>7590</v>
      </c>
      <c r="B186" s="354"/>
      <c r="C186" s="136" t="s">
        <v>7486</v>
      </c>
      <c r="D186" s="360">
        <v>0.75</v>
      </c>
      <c r="E186" s="360">
        <v>0.75</v>
      </c>
      <c r="F186" s="229" t="s">
        <v>1656</v>
      </c>
      <c r="T186" s="35" t="s">
        <v>7590</v>
      </c>
      <c r="U186" s="35">
        <v>7003.0</v>
      </c>
      <c r="V186" s="36" t="e">
        <v>#N/A</v>
      </c>
      <c r="W186" s="35">
        <v>6924.0</v>
      </c>
    </row>
    <row r="187">
      <c r="A187" s="354" t="s">
        <v>7591</v>
      </c>
      <c r="B187" s="354"/>
      <c r="C187" s="136" t="s">
        <v>7486</v>
      </c>
      <c r="D187" s="360">
        <v>0.75</v>
      </c>
      <c r="E187" s="360">
        <v>0.75</v>
      </c>
      <c r="F187" s="229" t="s">
        <v>1656</v>
      </c>
      <c r="T187" s="35" t="s">
        <v>7591</v>
      </c>
      <c r="U187" s="35">
        <v>7158.0</v>
      </c>
      <c r="V187" s="36" t="e">
        <v>#N/A</v>
      </c>
      <c r="W187" s="36"/>
    </row>
    <row r="188">
      <c r="A188" s="354" t="s">
        <v>7592</v>
      </c>
      <c r="B188" s="354">
        <v>7100.0</v>
      </c>
      <c r="C188" s="136" t="s">
        <v>7486</v>
      </c>
      <c r="D188" s="360">
        <v>0.75</v>
      </c>
      <c r="E188" s="360">
        <v>0.75</v>
      </c>
      <c r="F188" s="229" t="s">
        <v>1656</v>
      </c>
      <c r="T188" s="11" t="s">
        <v>7592</v>
      </c>
      <c r="U188" s="11">
        <v>7100.0</v>
      </c>
      <c r="V188" s="18">
        <v>1.0</v>
      </c>
    </row>
    <row r="189">
      <c r="A189" s="354" t="s">
        <v>7593</v>
      </c>
      <c r="B189" s="354"/>
      <c r="C189" s="136" t="s">
        <v>7486</v>
      </c>
      <c r="D189" s="360">
        <v>0.75</v>
      </c>
      <c r="E189" s="360">
        <v>0.75</v>
      </c>
      <c r="F189" s="229" t="s">
        <v>1656</v>
      </c>
      <c r="T189" s="35" t="s">
        <v>7593</v>
      </c>
      <c r="U189" s="35">
        <v>7229.0</v>
      </c>
      <c r="V189" s="36" t="e">
        <v>#N/A</v>
      </c>
      <c r="W189" s="36"/>
    </row>
    <row r="190">
      <c r="A190" s="354" t="s">
        <v>7594</v>
      </c>
      <c r="B190" s="354"/>
      <c r="C190" s="136" t="s">
        <v>7486</v>
      </c>
      <c r="D190" s="360">
        <v>0.75</v>
      </c>
      <c r="E190" s="360">
        <v>0.75</v>
      </c>
      <c r="F190" s="229" t="s">
        <v>1656</v>
      </c>
      <c r="T190" s="35" t="s">
        <v>7594</v>
      </c>
      <c r="U190" s="35">
        <v>6669.0</v>
      </c>
      <c r="V190" s="36" t="e">
        <v>#N/A</v>
      </c>
      <c r="W190" s="36"/>
    </row>
    <row r="191">
      <c r="A191" s="354" t="s">
        <v>7595</v>
      </c>
      <c r="B191" s="354"/>
      <c r="C191" s="136" t="s">
        <v>7486</v>
      </c>
      <c r="D191" s="360">
        <v>0.75</v>
      </c>
      <c r="E191" s="360">
        <v>0.75</v>
      </c>
      <c r="F191" s="229" t="s">
        <v>1656</v>
      </c>
      <c r="T191" s="35" t="s">
        <v>7595</v>
      </c>
      <c r="U191" s="35">
        <v>7246.0</v>
      </c>
      <c r="V191" s="36" t="e">
        <v>#N/A</v>
      </c>
      <c r="W191" s="36"/>
    </row>
    <row r="192">
      <c r="A192" s="354" t="s">
        <v>7596</v>
      </c>
      <c r="B192" s="354"/>
      <c r="C192" s="136" t="s">
        <v>7486</v>
      </c>
      <c r="D192" s="360">
        <v>0.75</v>
      </c>
      <c r="E192" s="360">
        <v>0.75</v>
      </c>
      <c r="F192" s="229" t="s">
        <v>1656</v>
      </c>
      <c r="T192" s="35" t="s">
        <v>7596</v>
      </c>
      <c r="U192" s="35">
        <v>7414.0</v>
      </c>
      <c r="V192" s="36" t="e">
        <v>#N/A</v>
      </c>
      <c r="W192" s="36"/>
    </row>
    <row r="193">
      <c r="A193" s="354" t="s">
        <v>7597</v>
      </c>
      <c r="B193" s="354"/>
      <c r="C193" s="136" t="s">
        <v>7486</v>
      </c>
      <c r="D193" s="360">
        <v>0.75</v>
      </c>
      <c r="E193" s="360">
        <v>0.75</v>
      </c>
      <c r="F193" s="229" t="s">
        <v>1656</v>
      </c>
      <c r="T193" s="35" t="s">
        <v>7597</v>
      </c>
      <c r="U193" s="35">
        <v>6789.0</v>
      </c>
      <c r="V193" s="36" t="e">
        <v>#N/A</v>
      </c>
      <c r="W193" s="36"/>
    </row>
    <row r="194">
      <c r="A194" s="354" t="s">
        <v>7598</v>
      </c>
      <c r="B194" s="354"/>
      <c r="C194" s="136" t="s">
        <v>7486</v>
      </c>
      <c r="D194" s="360">
        <v>0.75</v>
      </c>
      <c r="E194" s="360">
        <v>0.75</v>
      </c>
      <c r="F194" s="229" t="s">
        <v>1656</v>
      </c>
      <c r="T194" s="35" t="s">
        <v>7598</v>
      </c>
      <c r="U194" s="35">
        <v>7183.0</v>
      </c>
      <c r="V194" s="36" t="e">
        <v>#N/A</v>
      </c>
      <c r="W194" s="36"/>
    </row>
    <row r="195">
      <c r="A195" s="354" t="s">
        <v>7599</v>
      </c>
      <c r="B195" s="354"/>
      <c r="C195" s="136" t="s">
        <v>7486</v>
      </c>
      <c r="D195" s="360">
        <v>0.75</v>
      </c>
      <c r="E195" s="360">
        <v>0.75</v>
      </c>
      <c r="F195" s="229" t="s">
        <v>1656</v>
      </c>
      <c r="T195" s="35" t="s">
        <v>7599</v>
      </c>
      <c r="U195" s="35">
        <v>7186.0</v>
      </c>
      <c r="V195" s="36" t="e">
        <v>#N/A</v>
      </c>
      <c r="W195" s="36"/>
    </row>
    <row r="196">
      <c r="A196" s="354" t="s">
        <v>7600</v>
      </c>
      <c r="B196" s="354"/>
      <c r="C196" s="136" t="s">
        <v>7486</v>
      </c>
      <c r="D196" s="360">
        <v>0.75</v>
      </c>
      <c r="E196" s="360">
        <v>0.75</v>
      </c>
      <c r="F196" s="229" t="s">
        <v>1656</v>
      </c>
      <c r="T196" s="35" t="s">
        <v>7600</v>
      </c>
      <c r="U196" s="35">
        <v>6669.0</v>
      </c>
      <c r="V196" s="36" t="e">
        <v>#N/A</v>
      </c>
      <c r="W196" s="36"/>
    </row>
    <row r="197">
      <c r="A197" s="354" t="s">
        <v>7601</v>
      </c>
      <c r="B197" s="354"/>
      <c r="C197" s="136" t="s">
        <v>7486</v>
      </c>
      <c r="D197" s="360">
        <v>0.75</v>
      </c>
      <c r="E197" s="360">
        <v>0.75</v>
      </c>
      <c r="F197" s="229" t="s">
        <v>1656</v>
      </c>
      <c r="T197" s="35" t="s">
        <v>7601</v>
      </c>
      <c r="U197" s="35">
        <v>6669.0</v>
      </c>
      <c r="V197" s="36" t="e">
        <v>#N/A</v>
      </c>
      <c r="W197" s="36"/>
    </row>
    <row r="198">
      <c r="A198" s="354" t="s">
        <v>7602</v>
      </c>
      <c r="B198" s="354"/>
      <c r="C198" s="136" t="s">
        <v>7486</v>
      </c>
      <c r="D198" s="360">
        <v>0.75</v>
      </c>
      <c r="E198" s="360">
        <v>0.75</v>
      </c>
      <c r="F198" s="229" t="s">
        <v>1656</v>
      </c>
      <c r="T198" s="35" t="s">
        <v>7602</v>
      </c>
      <c r="U198" s="35">
        <v>6989.0</v>
      </c>
      <c r="V198" s="36" t="e">
        <v>#N/A</v>
      </c>
      <c r="W198" s="36"/>
    </row>
    <row r="199">
      <c r="A199" s="354" t="s">
        <v>7603</v>
      </c>
      <c r="B199" s="354">
        <v>6875.0</v>
      </c>
      <c r="C199" s="136" t="s">
        <v>7486</v>
      </c>
      <c r="D199" s="360">
        <v>0.75</v>
      </c>
      <c r="E199" s="360">
        <v>0.75</v>
      </c>
      <c r="F199" s="229" t="s">
        <v>1656</v>
      </c>
      <c r="T199" s="35" t="s">
        <v>7603</v>
      </c>
      <c r="U199" s="35">
        <v>6875.0</v>
      </c>
      <c r="V199" s="36" t="e">
        <v>#N/A</v>
      </c>
      <c r="W199" s="36"/>
    </row>
    <row r="200">
      <c r="A200" s="354" t="s">
        <v>7604</v>
      </c>
      <c r="B200" s="354"/>
      <c r="C200" s="136" t="s">
        <v>7486</v>
      </c>
      <c r="D200" s="360">
        <v>0.75</v>
      </c>
      <c r="E200" s="360">
        <v>0.75</v>
      </c>
      <c r="F200" s="229" t="s">
        <v>1656</v>
      </c>
      <c r="T200" s="35" t="s">
        <v>7604</v>
      </c>
      <c r="U200" s="35">
        <v>7283.0</v>
      </c>
      <c r="V200" s="36" t="e">
        <v>#N/A</v>
      </c>
      <c r="W200" s="36"/>
    </row>
    <row r="201">
      <c r="A201" s="354" t="s">
        <v>1959</v>
      </c>
      <c r="B201" s="354">
        <v>7132.0</v>
      </c>
      <c r="C201" s="136" t="s">
        <v>7486</v>
      </c>
      <c r="D201" s="360">
        <v>0.75</v>
      </c>
      <c r="E201" s="360">
        <v>0.75</v>
      </c>
      <c r="F201" s="229" t="s">
        <v>1656</v>
      </c>
      <c r="T201" s="35" t="s">
        <v>1959</v>
      </c>
      <c r="U201" s="35">
        <v>7132.0</v>
      </c>
      <c r="V201" s="36" t="e">
        <v>#N/A</v>
      </c>
      <c r="W201" s="36"/>
    </row>
    <row r="202">
      <c r="A202" s="361" t="s">
        <v>7605</v>
      </c>
      <c r="B202" s="354"/>
      <c r="C202" s="136" t="s">
        <v>7486</v>
      </c>
      <c r="D202" s="360">
        <v>0.75</v>
      </c>
      <c r="E202" s="360">
        <v>0.75</v>
      </c>
      <c r="F202" s="229" t="s">
        <v>1656</v>
      </c>
      <c r="T202" s="208" t="s">
        <v>7605</v>
      </c>
      <c r="U202" s="35">
        <v>11708.0</v>
      </c>
      <c r="V202" s="36" t="e">
        <v>#N/A</v>
      </c>
      <c r="W202" s="36"/>
    </row>
    <row r="203">
      <c r="A203" s="361" t="s">
        <v>7606</v>
      </c>
      <c r="B203" s="354"/>
      <c r="C203" s="136" t="s">
        <v>7486</v>
      </c>
      <c r="D203" s="360">
        <v>0.75</v>
      </c>
      <c r="E203" s="360">
        <v>0.75</v>
      </c>
      <c r="F203" s="229" t="s">
        <v>1656</v>
      </c>
      <c r="T203" s="208" t="s">
        <v>7606</v>
      </c>
      <c r="U203" s="35">
        <v>14065.0</v>
      </c>
      <c r="V203" s="36" t="e">
        <v>#N/A</v>
      </c>
      <c r="W203" s="36"/>
    </row>
    <row r="204">
      <c r="A204" s="361" t="s">
        <v>7607</v>
      </c>
      <c r="B204" s="362"/>
      <c r="C204" s="136" t="s">
        <v>7486</v>
      </c>
      <c r="D204" s="360">
        <v>0.75</v>
      </c>
      <c r="E204" s="360">
        <v>0.75</v>
      </c>
      <c r="F204" s="229" t="s">
        <v>1656</v>
      </c>
      <c r="T204" s="208" t="s">
        <v>7607</v>
      </c>
      <c r="U204" s="36"/>
      <c r="V204" s="36" t="e">
        <v>#N/A</v>
      </c>
      <c r="W204" s="36"/>
    </row>
    <row r="205">
      <c r="A205" s="361" t="s">
        <v>7608</v>
      </c>
      <c r="B205" s="354"/>
      <c r="C205" s="136" t="s">
        <v>7486</v>
      </c>
      <c r="D205" s="360">
        <v>0.75</v>
      </c>
      <c r="E205" s="360">
        <v>0.75</v>
      </c>
      <c r="F205" s="229" t="s">
        <v>1656</v>
      </c>
      <c r="T205" s="208" t="s">
        <v>7608</v>
      </c>
      <c r="U205" s="109">
        <v>14055.0</v>
      </c>
      <c r="V205" s="36" t="e">
        <v>#N/A</v>
      </c>
      <c r="W205" s="36"/>
    </row>
    <row r="206">
      <c r="A206" s="361" t="s">
        <v>7609</v>
      </c>
      <c r="B206" s="354"/>
      <c r="C206" s="136" t="s">
        <v>7486</v>
      </c>
      <c r="D206" s="360">
        <v>0.75</v>
      </c>
      <c r="E206" s="360">
        <v>0.75</v>
      </c>
      <c r="F206" s="229" t="s">
        <v>1656</v>
      </c>
      <c r="T206" s="208" t="s">
        <v>7609</v>
      </c>
      <c r="U206" s="35">
        <v>9746.0</v>
      </c>
      <c r="V206" s="36" t="e">
        <v>#N/A</v>
      </c>
      <c r="W206" s="36"/>
    </row>
    <row r="207">
      <c r="A207" s="361" t="s">
        <v>7610</v>
      </c>
      <c r="B207" s="354"/>
      <c r="C207" s="136" t="s">
        <v>7486</v>
      </c>
      <c r="D207" s="360">
        <v>0.75</v>
      </c>
      <c r="E207" s="360">
        <v>0.75</v>
      </c>
      <c r="F207" s="229" t="s">
        <v>1656</v>
      </c>
      <c r="T207" s="208" t="s">
        <v>7610</v>
      </c>
      <c r="U207" s="35">
        <v>6106.0</v>
      </c>
      <c r="V207" s="36" t="e">
        <v>#N/A</v>
      </c>
      <c r="W207" s="36"/>
    </row>
    <row r="208">
      <c r="A208" s="361" t="s">
        <v>7611</v>
      </c>
      <c r="B208" s="354"/>
      <c r="C208" s="136" t="s">
        <v>7486</v>
      </c>
      <c r="D208" s="360">
        <v>0.75</v>
      </c>
      <c r="E208" s="360">
        <v>0.75</v>
      </c>
      <c r="F208" s="229" t="s">
        <v>1656</v>
      </c>
      <c r="T208" s="208" t="s">
        <v>7611</v>
      </c>
      <c r="U208" s="35">
        <v>6143.0</v>
      </c>
      <c r="V208" s="36" t="e">
        <v>#N/A</v>
      </c>
      <c r="W208" s="36"/>
    </row>
    <row r="209">
      <c r="A209" s="361" t="s">
        <v>7612</v>
      </c>
      <c r="B209" s="354"/>
      <c r="C209" s="136" t="s">
        <v>7486</v>
      </c>
      <c r="D209" s="360">
        <v>0.75</v>
      </c>
      <c r="E209" s="360">
        <v>0.75</v>
      </c>
      <c r="F209" s="229" t="s">
        <v>1656</v>
      </c>
      <c r="T209" s="208" t="s">
        <v>7612</v>
      </c>
      <c r="U209" s="35">
        <v>6143.0</v>
      </c>
      <c r="V209" s="36" t="e">
        <v>#N/A</v>
      </c>
      <c r="W209" s="36"/>
    </row>
    <row r="210">
      <c r="A210" s="361" t="s">
        <v>7613</v>
      </c>
      <c r="B210" s="354"/>
      <c r="C210" s="136" t="s">
        <v>7486</v>
      </c>
      <c r="D210" s="360">
        <v>0.75</v>
      </c>
      <c r="E210" s="360">
        <v>0.75</v>
      </c>
      <c r="F210" s="229" t="s">
        <v>1656</v>
      </c>
      <c r="T210" s="208" t="s">
        <v>7613</v>
      </c>
      <c r="U210" s="35">
        <v>12609.0</v>
      </c>
      <c r="V210" s="36" t="e">
        <v>#N/A</v>
      </c>
      <c r="W210" s="36"/>
    </row>
    <row r="211">
      <c r="A211" s="361" t="s">
        <v>7614</v>
      </c>
      <c r="B211" s="354"/>
      <c r="C211" s="136" t="s">
        <v>7486</v>
      </c>
      <c r="D211" s="360">
        <v>0.75</v>
      </c>
      <c r="E211" s="360">
        <v>0.75</v>
      </c>
      <c r="F211" s="229" t="s">
        <v>1656</v>
      </c>
      <c r="T211" s="208" t="s">
        <v>7614</v>
      </c>
      <c r="U211" s="35">
        <v>14337.0</v>
      </c>
      <c r="V211" s="36" t="e">
        <v>#N/A</v>
      </c>
      <c r="W211" s="36"/>
    </row>
    <row r="212">
      <c r="A212" s="361" t="s">
        <v>7615</v>
      </c>
      <c r="B212" s="354"/>
      <c r="C212" s="136" t="s">
        <v>7486</v>
      </c>
      <c r="D212" s="360">
        <v>0.75</v>
      </c>
      <c r="E212" s="360">
        <v>0.75</v>
      </c>
      <c r="F212" s="229" t="s">
        <v>1656</v>
      </c>
      <c r="T212" s="208" t="s">
        <v>7615</v>
      </c>
      <c r="U212" s="35">
        <v>6272.0</v>
      </c>
      <c r="V212" s="36" t="e">
        <v>#N/A</v>
      </c>
      <c r="W212" s="36"/>
    </row>
    <row r="213">
      <c r="A213" s="361" t="s">
        <v>7616</v>
      </c>
      <c r="B213" s="354"/>
      <c r="C213" s="136" t="s">
        <v>7486</v>
      </c>
      <c r="D213" s="360">
        <v>0.75</v>
      </c>
      <c r="E213" s="360">
        <v>0.75</v>
      </c>
      <c r="F213" s="229" t="s">
        <v>1656</v>
      </c>
      <c r="T213" s="208" t="s">
        <v>7616</v>
      </c>
      <c r="U213" s="35">
        <v>14440.0</v>
      </c>
      <c r="V213" s="36" t="e">
        <v>#N/A</v>
      </c>
      <c r="W213" s="36"/>
    </row>
    <row r="214">
      <c r="A214" s="361" t="s">
        <v>7617</v>
      </c>
      <c r="B214" s="354"/>
      <c r="C214" s="136" t="s">
        <v>7486</v>
      </c>
      <c r="D214" s="360">
        <v>0.75</v>
      </c>
      <c r="E214" s="360">
        <v>0.75</v>
      </c>
      <c r="F214" s="229" t="s">
        <v>1656</v>
      </c>
      <c r="T214" s="208" t="s">
        <v>7617</v>
      </c>
      <c r="U214" s="35">
        <v>13951.0</v>
      </c>
      <c r="V214" s="36" t="e">
        <v>#N/A</v>
      </c>
      <c r="W214" s="36"/>
    </row>
    <row r="215">
      <c r="A215" s="361" t="s">
        <v>7618</v>
      </c>
      <c r="B215" s="354">
        <v>6891.0</v>
      </c>
      <c r="C215" s="136" t="s">
        <v>7486</v>
      </c>
      <c r="D215" s="360">
        <v>0.75</v>
      </c>
      <c r="E215" s="360">
        <v>0.75</v>
      </c>
      <c r="F215" s="229" t="s">
        <v>1656</v>
      </c>
      <c r="T215" s="208" t="s">
        <v>7618</v>
      </c>
      <c r="U215" s="35">
        <v>6891.0</v>
      </c>
      <c r="V215" s="36" t="e">
        <v>#N/A</v>
      </c>
      <c r="W215" s="36"/>
    </row>
    <row r="216">
      <c r="A216" s="361" t="s">
        <v>7619</v>
      </c>
      <c r="B216" s="362"/>
      <c r="C216" s="136" t="s">
        <v>7486</v>
      </c>
      <c r="D216" s="360">
        <v>0.75</v>
      </c>
      <c r="E216" s="360">
        <v>0.75</v>
      </c>
      <c r="F216" s="229" t="s">
        <v>1656</v>
      </c>
      <c r="T216" s="208" t="s">
        <v>7619</v>
      </c>
      <c r="U216" s="36"/>
      <c r="V216" s="36" t="e">
        <v>#N/A</v>
      </c>
      <c r="W216" s="36"/>
    </row>
    <row r="217">
      <c r="A217" s="361" t="s">
        <v>7620</v>
      </c>
      <c r="B217" s="362"/>
      <c r="C217" s="136" t="s">
        <v>7486</v>
      </c>
      <c r="D217" s="360">
        <v>0.75</v>
      </c>
      <c r="E217" s="360">
        <v>0.75</v>
      </c>
      <c r="F217" s="229" t="s">
        <v>1656</v>
      </c>
      <c r="T217" s="208" t="s">
        <v>7620</v>
      </c>
      <c r="U217" s="36"/>
      <c r="V217" s="36" t="e">
        <v>#N/A</v>
      </c>
      <c r="W217" s="36"/>
    </row>
    <row r="218">
      <c r="A218" s="361" t="s">
        <v>7621</v>
      </c>
      <c r="B218" s="354">
        <v>189.0</v>
      </c>
      <c r="C218" s="136" t="s">
        <v>7486</v>
      </c>
      <c r="D218" s="360">
        <v>0.83</v>
      </c>
      <c r="E218" s="360">
        <v>0.83</v>
      </c>
      <c r="F218" s="229" t="s">
        <v>1656</v>
      </c>
      <c r="T218" s="7" t="s">
        <v>7621</v>
      </c>
      <c r="U218" s="11">
        <v>189.0</v>
      </c>
      <c r="V218" s="18">
        <v>1.0</v>
      </c>
    </row>
    <row r="219">
      <c r="A219" s="361" t="s">
        <v>7622</v>
      </c>
      <c r="B219" s="362"/>
      <c r="C219" s="136" t="s">
        <v>7486</v>
      </c>
      <c r="D219" s="360">
        <v>0.75</v>
      </c>
      <c r="E219" s="360">
        <v>0.75</v>
      </c>
      <c r="F219" s="229" t="s">
        <v>1656</v>
      </c>
      <c r="T219" s="208" t="s">
        <v>7622</v>
      </c>
      <c r="U219" s="36"/>
      <c r="V219" s="36" t="e">
        <v>#N/A</v>
      </c>
      <c r="W219" s="36"/>
    </row>
    <row r="220">
      <c r="A220" s="361" t="s">
        <v>7623</v>
      </c>
      <c r="B220" s="354"/>
      <c r="C220" s="136" t="s">
        <v>7486</v>
      </c>
      <c r="D220" s="360">
        <v>0.75</v>
      </c>
      <c r="E220" s="360">
        <v>0.75</v>
      </c>
      <c r="F220" s="229" t="s">
        <v>1656</v>
      </c>
      <c r="T220" s="208" t="s">
        <v>7623</v>
      </c>
      <c r="U220" s="35">
        <v>13858.0</v>
      </c>
      <c r="V220" s="36" t="e">
        <v>#N/A</v>
      </c>
      <c r="W220" s="36"/>
    </row>
    <row r="221">
      <c r="A221" s="361" t="s">
        <v>7624</v>
      </c>
      <c r="B221" s="354">
        <v>11049.0</v>
      </c>
      <c r="C221" s="136" t="s">
        <v>7486</v>
      </c>
      <c r="D221" s="360">
        <v>0.75</v>
      </c>
      <c r="E221" s="360">
        <v>0.75</v>
      </c>
      <c r="F221" s="229" t="s">
        <v>1656</v>
      </c>
      <c r="T221" s="208" t="s">
        <v>7624</v>
      </c>
      <c r="U221" s="36"/>
      <c r="V221" s="36" t="e">
        <v>#N/A</v>
      </c>
      <c r="W221" s="36"/>
    </row>
    <row r="222">
      <c r="A222" s="361" t="s">
        <v>7625</v>
      </c>
      <c r="B222" s="354">
        <v>11049.0</v>
      </c>
      <c r="C222" s="136" t="s">
        <v>7486</v>
      </c>
      <c r="D222" s="360">
        <v>0.75</v>
      </c>
      <c r="E222" s="360">
        <v>0.75</v>
      </c>
      <c r="F222" s="229" t="s">
        <v>1656</v>
      </c>
      <c r="T222" s="208" t="s">
        <v>7625</v>
      </c>
      <c r="U222" s="36"/>
      <c r="V222" s="36" t="e">
        <v>#N/A</v>
      </c>
      <c r="W222" s="36"/>
    </row>
    <row r="223">
      <c r="A223" s="361" t="s">
        <v>7626</v>
      </c>
      <c r="B223" s="136">
        <v>6629.0</v>
      </c>
      <c r="C223" s="136" t="s">
        <v>7486</v>
      </c>
      <c r="D223" s="360">
        <v>0.75</v>
      </c>
      <c r="E223" s="360">
        <v>0.75</v>
      </c>
      <c r="F223" s="229" t="s">
        <v>1656</v>
      </c>
      <c r="T223" s="208" t="s">
        <v>7626</v>
      </c>
      <c r="U223" s="35">
        <v>6629.0</v>
      </c>
      <c r="V223" s="36" t="e">
        <v>#N/A</v>
      </c>
      <c r="W223" s="36"/>
    </row>
    <row r="224">
      <c r="A224" s="361" t="s">
        <v>7627</v>
      </c>
      <c r="B224" s="354"/>
      <c r="C224" s="136" t="s">
        <v>7486</v>
      </c>
      <c r="D224" s="360">
        <v>0.75</v>
      </c>
      <c r="E224" s="360">
        <v>0.75</v>
      </c>
      <c r="F224" s="229" t="s">
        <v>1656</v>
      </c>
      <c r="T224" s="208" t="s">
        <v>7627</v>
      </c>
      <c r="U224" s="35">
        <v>13829.0</v>
      </c>
      <c r="V224" s="36" t="e">
        <v>#N/A</v>
      </c>
      <c r="W224" s="36"/>
    </row>
    <row r="225">
      <c r="A225" s="361" t="s">
        <v>7628</v>
      </c>
      <c r="B225" s="354"/>
      <c r="C225" s="136" t="s">
        <v>7486</v>
      </c>
      <c r="D225" s="360">
        <v>0.75</v>
      </c>
      <c r="E225" s="360">
        <v>0.75</v>
      </c>
      <c r="F225" s="229" t="s">
        <v>1656</v>
      </c>
      <c r="T225" s="208" t="s">
        <v>7628</v>
      </c>
      <c r="U225" s="35">
        <v>6891.0</v>
      </c>
      <c r="V225" s="36" t="e">
        <v>#N/A</v>
      </c>
      <c r="W225" s="36"/>
    </row>
    <row r="226">
      <c r="A226" s="361" t="s">
        <v>7629</v>
      </c>
      <c r="B226" s="354">
        <v>11049.0</v>
      </c>
      <c r="C226" s="136" t="s">
        <v>7486</v>
      </c>
      <c r="D226" s="360">
        <v>0.75</v>
      </c>
      <c r="E226" s="360">
        <v>0.75</v>
      </c>
      <c r="F226" s="229" t="s">
        <v>1656</v>
      </c>
      <c r="T226" s="208" t="s">
        <v>7629</v>
      </c>
      <c r="U226" s="36"/>
      <c r="V226" s="36" t="e">
        <v>#N/A</v>
      </c>
      <c r="W226" s="36"/>
    </row>
    <row r="227">
      <c r="A227" s="361" t="s">
        <v>7630</v>
      </c>
      <c r="B227" s="354">
        <v>11049.0</v>
      </c>
      <c r="C227" s="136" t="s">
        <v>7486</v>
      </c>
      <c r="D227" s="360">
        <v>0.75</v>
      </c>
      <c r="E227" s="360">
        <v>0.75</v>
      </c>
      <c r="F227" s="229" t="s">
        <v>1656</v>
      </c>
      <c r="T227" s="208" t="s">
        <v>7630</v>
      </c>
      <c r="U227" s="36"/>
      <c r="V227" s="36" t="e">
        <v>#N/A</v>
      </c>
      <c r="W227" s="36"/>
    </row>
    <row r="228">
      <c r="A228" s="361" t="s">
        <v>7631</v>
      </c>
      <c r="B228" s="354">
        <v>11049.0</v>
      </c>
      <c r="C228" s="136" t="s">
        <v>7486</v>
      </c>
      <c r="D228" s="360">
        <v>0.75</v>
      </c>
      <c r="E228" s="360">
        <v>0.75</v>
      </c>
      <c r="F228" s="229" t="s">
        <v>1656</v>
      </c>
      <c r="T228" s="208" t="s">
        <v>7631</v>
      </c>
      <c r="U228" s="36"/>
      <c r="V228" s="36" t="e">
        <v>#N/A</v>
      </c>
      <c r="W228" s="36"/>
    </row>
    <row r="229">
      <c r="A229" s="361" t="s">
        <v>7632</v>
      </c>
      <c r="B229" s="354">
        <v>11049.0</v>
      </c>
      <c r="C229" s="136" t="s">
        <v>7486</v>
      </c>
      <c r="D229" s="360">
        <v>0.75</v>
      </c>
      <c r="E229" s="360">
        <v>0.75</v>
      </c>
      <c r="F229" s="229" t="s">
        <v>1656</v>
      </c>
      <c r="T229" s="208" t="s">
        <v>7632</v>
      </c>
      <c r="U229" s="36"/>
      <c r="V229" s="36" t="e">
        <v>#N/A</v>
      </c>
      <c r="W229" s="36"/>
    </row>
    <row r="230">
      <c r="A230" s="361" t="s">
        <v>7633</v>
      </c>
      <c r="B230" s="354"/>
      <c r="C230" s="136" t="s">
        <v>7486</v>
      </c>
      <c r="D230" s="360">
        <v>0.75</v>
      </c>
      <c r="E230" s="360">
        <v>0.75</v>
      </c>
      <c r="F230" s="229" t="s">
        <v>1656</v>
      </c>
      <c r="T230" s="208" t="s">
        <v>7633</v>
      </c>
      <c r="U230" s="35">
        <v>315.0</v>
      </c>
      <c r="V230" s="36" t="e">
        <v>#N/A</v>
      </c>
      <c r="W230" s="36"/>
    </row>
    <row r="231">
      <c r="A231" s="361" t="s">
        <v>7634</v>
      </c>
      <c r="B231" s="354">
        <v>11049.0</v>
      </c>
      <c r="C231" s="136" t="s">
        <v>7486</v>
      </c>
      <c r="D231" s="360">
        <v>0.75</v>
      </c>
      <c r="E231" s="360">
        <v>0.75</v>
      </c>
      <c r="F231" s="229" t="s">
        <v>1656</v>
      </c>
      <c r="T231" s="208" t="s">
        <v>7634</v>
      </c>
      <c r="U231" s="36"/>
      <c r="V231" s="36" t="e">
        <v>#N/A</v>
      </c>
      <c r="W231" s="36"/>
    </row>
    <row r="232">
      <c r="A232" s="361" t="s">
        <v>7635</v>
      </c>
      <c r="B232" s="354">
        <v>11049.0</v>
      </c>
      <c r="C232" s="136" t="s">
        <v>7486</v>
      </c>
      <c r="D232" s="360">
        <v>0.75</v>
      </c>
      <c r="E232" s="360">
        <v>0.75</v>
      </c>
      <c r="F232" s="229" t="s">
        <v>1656</v>
      </c>
      <c r="T232" s="208" t="s">
        <v>7635</v>
      </c>
      <c r="U232" s="36"/>
      <c r="V232" s="36" t="e">
        <v>#N/A</v>
      </c>
      <c r="W232" s="36"/>
    </row>
    <row r="233">
      <c r="A233" s="361" t="s">
        <v>7636</v>
      </c>
      <c r="B233" s="354">
        <v>11049.0</v>
      </c>
      <c r="C233" s="136" t="s">
        <v>7486</v>
      </c>
      <c r="D233" s="360">
        <v>0.75</v>
      </c>
      <c r="E233" s="360">
        <v>0.75</v>
      </c>
      <c r="F233" s="229" t="s">
        <v>1656</v>
      </c>
      <c r="T233" s="208" t="s">
        <v>7636</v>
      </c>
      <c r="U233" s="36"/>
      <c r="V233" s="36" t="e">
        <v>#N/A</v>
      </c>
      <c r="W233" s="36"/>
    </row>
    <row r="234">
      <c r="A234" s="361" t="s">
        <v>7637</v>
      </c>
      <c r="B234" s="354"/>
      <c r="C234" s="136" t="s">
        <v>7486</v>
      </c>
      <c r="D234" s="360">
        <v>0.75</v>
      </c>
      <c r="E234" s="360">
        <v>0.75</v>
      </c>
      <c r="F234" s="229" t="s">
        <v>1656</v>
      </c>
      <c r="T234" s="208" t="s">
        <v>7637</v>
      </c>
      <c r="U234" s="35">
        <v>6873.0</v>
      </c>
      <c r="V234" s="36" t="e">
        <v>#N/A</v>
      </c>
      <c r="W234" s="36"/>
    </row>
    <row r="235">
      <c r="A235" s="361" t="s">
        <v>7638</v>
      </c>
      <c r="B235" s="354"/>
      <c r="C235" s="136" t="s">
        <v>7486</v>
      </c>
      <c r="D235" s="360">
        <v>0.75</v>
      </c>
      <c r="E235" s="360">
        <v>0.75</v>
      </c>
      <c r="F235" s="229" t="s">
        <v>1656</v>
      </c>
      <c r="T235" s="208" t="s">
        <v>7638</v>
      </c>
      <c r="U235" s="35">
        <v>6706.0</v>
      </c>
      <c r="V235" s="36" t="e">
        <v>#N/A</v>
      </c>
      <c r="W235" s="36"/>
    </row>
    <row r="236">
      <c r="A236" s="354" t="s">
        <v>2030</v>
      </c>
      <c r="B236" s="363">
        <v>12078.0</v>
      </c>
      <c r="C236" s="136" t="s">
        <v>7486</v>
      </c>
      <c r="D236" s="360">
        <v>0.75</v>
      </c>
      <c r="E236" s="360">
        <v>0.75</v>
      </c>
      <c r="F236" s="229" t="s">
        <v>1656</v>
      </c>
      <c r="T236" s="35" t="s">
        <v>2030</v>
      </c>
      <c r="U236" s="127">
        <v>12078.0</v>
      </c>
      <c r="V236" s="36" t="e">
        <v>#N/A</v>
      </c>
      <c r="W236" s="36"/>
    </row>
    <row r="237">
      <c r="A237" s="354" t="s">
        <v>2011</v>
      </c>
      <c r="B237" s="354">
        <v>3689.0</v>
      </c>
      <c r="C237" s="136" t="s">
        <v>7486</v>
      </c>
      <c r="D237" s="360">
        <v>0.75</v>
      </c>
      <c r="E237" s="360">
        <v>0.75</v>
      </c>
      <c r="F237" s="229" t="s">
        <v>1656</v>
      </c>
      <c r="T237" s="35" t="s">
        <v>2011</v>
      </c>
      <c r="U237" s="35">
        <v>3689.0</v>
      </c>
      <c r="V237" s="36" t="e">
        <v>#N/A</v>
      </c>
      <c r="W237" s="36"/>
    </row>
    <row r="238">
      <c r="A238" s="202" t="s">
        <v>7639</v>
      </c>
      <c r="B238" s="72">
        <v>7519.0</v>
      </c>
      <c r="C238" s="136" t="s">
        <v>7486</v>
      </c>
      <c r="D238" s="360">
        <v>0.75</v>
      </c>
      <c r="E238" s="360">
        <v>0.75</v>
      </c>
      <c r="F238" s="229" t="s">
        <v>1656</v>
      </c>
      <c r="G238" s="60" t="s">
        <v>207</v>
      </c>
    </row>
    <row r="239">
      <c r="A239" s="202" t="s">
        <v>7640</v>
      </c>
      <c r="B239" s="72">
        <v>8163.0</v>
      </c>
      <c r="C239" s="136" t="s">
        <v>7486</v>
      </c>
      <c r="D239" s="360">
        <v>0.75</v>
      </c>
      <c r="E239" s="360">
        <v>0.75</v>
      </c>
      <c r="F239" s="229" t="s">
        <v>1656</v>
      </c>
      <c r="G239" s="60" t="s">
        <v>207</v>
      </c>
    </row>
    <row r="240">
      <c r="A240" s="202" t="s">
        <v>7641</v>
      </c>
      <c r="B240" s="72">
        <v>7780.0</v>
      </c>
      <c r="C240" s="136" t="s">
        <v>7486</v>
      </c>
      <c r="D240" s="360">
        <v>0.75</v>
      </c>
      <c r="E240" s="360">
        <v>0.75</v>
      </c>
      <c r="F240" s="229" t="s">
        <v>1656</v>
      </c>
      <c r="G240" s="60" t="s">
        <v>207</v>
      </c>
    </row>
    <row r="241">
      <c r="A241" s="202" t="s">
        <v>7642</v>
      </c>
      <c r="B241" s="72">
        <v>8576.0</v>
      </c>
      <c r="C241" s="136" t="s">
        <v>7486</v>
      </c>
      <c r="D241" s="360">
        <v>0.75</v>
      </c>
      <c r="E241" s="360">
        <v>0.75</v>
      </c>
      <c r="F241" s="229" t="s">
        <v>1656</v>
      </c>
      <c r="G241" s="60" t="s">
        <v>207</v>
      </c>
    </row>
    <row r="242">
      <c r="A242" s="202" t="s">
        <v>7643</v>
      </c>
      <c r="B242" s="72">
        <v>7670.0</v>
      </c>
      <c r="C242" s="136" t="s">
        <v>7486</v>
      </c>
      <c r="D242" s="360">
        <v>0.75</v>
      </c>
      <c r="E242" s="360">
        <v>0.75</v>
      </c>
      <c r="F242" s="229" t="s">
        <v>1656</v>
      </c>
      <c r="G242" s="60" t="s">
        <v>207</v>
      </c>
    </row>
    <row r="243">
      <c r="A243" s="202" t="s">
        <v>7644</v>
      </c>
      <c r="B243" s="72">
        <v>8623.0</v>
      </c>
      <c r="C243" s="136" t="s">
        <v>7486</v>
      </c>
      <c r="D243" s="74">
        <v>0.8</v>
      </c>
      <c r="E243" s="74">
        <v>0.8</v>
      </c>
      <c r="F243" s="229" t="s">
        <v>1656</v>
      </c>
      <c r="G243" s="60" t="s">
        <v>207</v>
      </c>
    </row>
    <row r="244">
      <c r="A244" s="202" t="s">
        <v>7645</v>
      </c>
      <c r="B244" s="72">
        <v>7670.0</v>
      </c>
      <c r="C244" s="136" t="s">
        <v>7486</v>
      </c>
      <c r="D244" s="360">
        <v>0.75</v>
      </c>
      <c r="E244" s="360">
        <v>0.75</v>
      </c>
      <c r="F244" s="229" t="s">
        <v>1656</v>
      </c>
      <c r="G244" s="60" t="s">
        <v>207</v>
      </c>
    </row>
    <row r="245">
      <c r="A245" s="202" t="s">
        <v>7646</v>
      </c>
      <c r="B245" s="72">
        <v>9594.0</v>
      </c>
      <c r="C245" s="136" t="s">
        <v>7486</v>
      </c>
      <c r="D245" s="360">
        <v>0.75</v>
      </c>
      <c r="E245" s="360">
        <v>0.75</v>
      </c>
      <c r="F245" s="229" t="s">
        <v>1656</v>
      </c>
      <c r="G245" s="60" t="s">
        <v>207</v>
      </c>
    </row>
    <row r="246">
      <c r="A246" s="202" t="s">
        <v>7647</v>
      </c>
      <c r="B246" s="72">
        <v>9572.0</v>
      </c>
      <c r="C246" s="136" t="s">
        <v>7486</v>
      </c>
      <c r="D246" s="360">
        <v>0.75</v>
      </c>
      <c r="E246" s="360">
        <v>0.75</v>
      </c>
      <c r="F246" s="229" t="s">
        <v>1656</v>
      </c>
      <c r="G246" s="60" t="s">
        <v>207</v>
      </c>
    </row>
    <row r="247">
      <c r="A247" s="202" t="s">
        <v>7648</v>
      </c>
      <c r="B247" s="72">
        <v>9573.0</v>
      </c>
      <c r="C247" s="136" t="s">
        <v>7486</v>
      </c>
      <c r="D247" s="360">
        <v>0.75</v>
      </c>
      <c r="E247" s="360">
        <v>0.75</v>
      </c>
      <c r="F247" s="229" t="s">
        <v>1656</v>
      </c>
      <c r="G247" s="60" t="s">
        <v>207</v>
      </c>
    </row>
    <row r="248">
      <c r="A248" s="202" t="s">
        <v>7649</v>
      </c>
      <c r="B248" s="72">
        <v>7520.0</v>
      </c>
      <c r="C248" s="136" t="s">
        <v>7486</v>
      </c>
      <c r="D248" s="360">
        <v>0.75</v>
      </c>
      <c r="E248" s="360">
        <v>0.75</v>
      </c>
      <c r="F248" s="229" t="s">
        <v>1656</v>
      </c>
      <c r="G248" s="60" t="s">
        <v>207</v>
      </c>
    </row>
    <row r="249">
      <c r="A249" s="202" t="s">
        <v>7650</v>
      </c>
      <c r="B249" s="72">
        <v>9667.0</v>
      </c>
      <c r="C249" s="136" t="s">
        <v>7486</v>
      </c>
      <c r="D249" s="360">
        <v>0.75</v>
      </c>
      <c r="E249" s="360">
        <v>0.75</v>
      </c>
      <c r="F249" s="229" t="s">
        <v>1656</v>
      </c>
      <c r="G249" s="60" t="s">
        <v>207</v>
      </c>
    </row>
    <row r="250">
      <c r="A250" s="202" t="s">
        <v>7651</v>
      </c>
      <c r="B250" s="72">
        <v>10253.0</v>
      </c>
      <c r="C250" s="136" t="s">
        <v>7486</v>
      </c>
      <c r="D250" s="360">
        <v>0.75</v>
      </c>
      <c r="E250" s="360">
        <v>0.75</v>
      </c>
      <c r="F250" s="229" t="s">
        <v>1656</v>
      </c>
      <c r="G250" s="60" t="s">
        <v>207</v>
      </c>
    </row>
    <row r="251">
      <c r="A251" s="202" t="s">
        <v>7652</v>
      </c>
      <c r="B251" s="72">
        <v>9814.0</v>
      </c>
      <c r="C251" s="136" t="s">
        <v>7486</v>
      </c>
      <c r="D251" s="360">
        <v>0.75</v>
      </c>
      <c r="E251" s="360">
        <v>0.75</v>
      </c>
      <c r="F251" s="229" t="s">
        <v>1656</v>
      </c>
      <c r="G251" s="60" t="s">
        <v>207</v>
      </c>
    </row>
    <row r="252">
      <c r="A252" s="202" t="s">
        <v>7653</v>
      </c>
      <c r="B252" s="72">
        <v>12259.0</v>
      </c>
      <c r="C252" s="136" t="s">
        <v>7486</v>
      </c>
      <c r="D252" s="360">
        <v>0.75</v>
      </c>
      <c r="E252" s="360">
        <v>0.75</v>
      </c>
      <c r="F252" s="229" t="s">
        <v>1656</v>
      </c>
      <c r="G252" s="60" t="s">
        <v>207</v>
      </c>
    </row>
    <row r="253">
      <c r="A253" s="202" t="s">
        <v>7654</v>
      </c>
      <c r="B253" s="72">
        <v>12575.0</v>
      </c>
      <c r="C253" s="136" t="s">
        <v>7486</v>
      </c>
      <c r="D253" s="360">
        <v>0.75</v>
      </c>
      <c r="E253" s="360">
        <v>0.75</v>
      </c>
      <c r="F253" s="229" t="s">
        <v>1656</v>
      </c>
      <c r="G253" s="60" t="s">
        <v>207</v>
      </c>
    </row>
    <row r="254">
      <c r="A254" s="202" t="s">
        <v>7655</v>
      </c>
      <c r="B254" s="72">
        <v>12135.0</v>
      </c>
      <c r="C254" s="136" t="s">
        <v>7486</v>
      </c>
      <c r="D254" s="360">
        <v>0.75</v>
      </c>
      <c r="E254" s="360">
        <v>0.75</v>
      </c>
      <c r="F254" s="229" t="s">
        <v>1656</v>
      </c>
      <c r="G254" s="60" t="s">
        <v>207</v>
      </c>
    </row>
    <row r="255">
      <c r="A255" s="202" t="s">
        <v>7656</v>
      </c>
      <c r="B255" s="188">
        <v>14071.0</v>
      </c>
      <c r="C255" s="136" t="s">
        <v>7486</v>
      </c>
      <c r="D255" s="360">
        <v>0.75</v>
      </c>
      <c r="E255" s="360">
        <v>0.75</v>
      </c>
      <c r="F255" s="229" t="s">
        <v>1656</v>
      </c>
      <c r="G255" s="60" t="s">
        <v>207</v>
      </c>
    </row>
    <row r="256">
      <c r="A256" s="202" t="s">
        <v>7657</v>
      </c>
      <c r="B256" s="72">
        <v>12277.0</v>
      </c>
      <c r="C256" s="136" t="s">
        <v>7486</v>
      </c>
      <c r="D256" s="360">
        <v>0.75</v>
      </c>
      <c r="E256" s="360">
        <v>0.75</v>
      </c>
      <c r="F256" s="229" t="s">
        <v>1656</v>
      </c>
      <c r="G256" s="60" t="s">
        <v>207</v>
      </c>
    </row>
    <row r="257">
      <c r="A257" s="202" t="s">
        <v>7658</v>
      </c>
      <c r="B257" s="364">
        <v>14253.0</v>
      </c>
      <c r="C257" s="136" t="s">
        <v>7486</v>
      </c>
      <c r="D257" s="360">
        <v>0.75</v>
      </c>
      <c r="E257" s="360">
        <v>0.75</v>
      </c>
      <c r="F257" s="229" t="s">
        <v>1656</v>
      </c>
      <c r="G257" s="60" t="s">
        <v>207</v>
      </c>
    </row>
    <row r="258">
      <c r="A258" s="202" t="s">
        <v>7659</v>
      </c>
      <c r="B258" s="72">
        <v>13895.0</v>
      </c>
      <c r="C258" s="136" t="s">
        <v>7486</v>
      </c>
      <c r="D258" s="360">
        <v>0.75</v>
      </c>
      <c r="E258" s="360">
        <v>0.75</v>
      </c>
      <c r="F258" s="229" t="s">
        <v>1656</v>
      </c>
      <c r="G258" s="60" t="s">
        <v>207</v>
      </c>
    </row>
    <row r="259">
      <c r="A259" s="202" t="s">
        <v>7660</v>
      </c>
      <c r="B259" s="72">
        <v>13904.0</v>
      </c>
      <c r="C259" s="136" t="s">
        <v>7486</v>
      </c>
      <c r="D259" s="360">
        <v>0.75</v>
      </c>
      <c r="E259" s="360">
        <v>0.75</v>
      </c>
      <c r="F259" s="229" t="s">
        <v>1656</v>
      </c>
      <c r="G259" s="60" t="s">
        <v>207</v>
      </c>
    </row>
    <row r="260">
      <c r="A260" s="202" t="s">
        <v>7661</v>
      </c>
      <c r="B260" s="72">
        <v>13811.0</v>
      </c>
      <c r="C260" s="136" t="s">
        <v>7486</v>
      </c>
      <c r="D260" s="360">
        <v>0.75</v>
      </c>
      <c r="E260" s="360">
        <v>0.75</v>
      </c>
      <c r="F260" s="229" t="s">
        <v>1656</v>
      </c>
      <c r="G260" s="60" t="s">
        <v>207</v>
      </c>
    </row>
    <row r="261">
      <c r="A261" s="202" t="s">
        <v>7662</v>
      </c>
      <c r="B261" s="72">
        <v>13304.0</v>
      </c>
      <c r="C261" s="136" t="s">
        <v>7486</v>
      </c>
      <c r="D261" s="360">
        <v>0.75</v>
      </c>
      <c r="E261" s="360">
        <v>0.75</v>
      </c>
      <c r="F261" s="229" t="s">
        <v>1656</v>
      </c>
      <c r="G261" s="60" t="s">
        <v>207</v>
      </c>
    </row>
    <row r="262">
      <c r="A262" s="202" t="s">
        <v>7663</v>
      </c>
      <c r="B262" s="202"/>
      <c r="C262" s="136" t="s">
        <v>7486</v>
      </c>
      <c r="D262" s="360">
        <v>0.75</v>
      </c>
      <c r="E262" s="360">
        <v>0.75</v>
      </c>
      <c r="F262" s="229" t="s">
        <v>1656</v>
      </c>
      <c r="G262" s="60" t="s">
        <v>207</v>
      </c>
    </row>
    <row r="263">
      <c r="A263" s="202" t="s">
        <v>7664</v>
      </c>
      <c r="B263" s="72">
        <v>13987.0</v>
      </c>
      <c r="C263" s="136" t="s">
        <v>7486</v>
      </c>
      <c r="D263" s="360">
        <v>0.75</v>
      </c>
      <c r="E263" s="360">
        <v>0.75</v>
      </c>
      <c r="F263" s="229" t="s">
        <v>1656</v>
      </c>
      <c r="G263" s="60" t="s">
        <v>207</v>
      </c>
    </row>
    <row r="264">
      <c r="A264" s="202" t="s">
        <v>7665</v>
      </c>
      <c r="B264" s="202"/>
      <c r="C264" s="136" t="s">
        <v>7486</v>
      </c>
      <c r="D264" s="360">
        <v>0.75</v>
      </c>
      <c r="E264" s="360">
        <v>0.75</v>
      </c>
      <c r="F264" s="229" t="s">
        <v>1656</v>
      </c>
      <c r="G264" s="60" t="s">
        <v>207</v>
      </c>
    </row>
    <row r="265">
      <c r="A265" s="202" t="s">
        <v>7666</v>
      </c>
      <c r="B265" s="202"/>
      <c r="C265" s="136" t="s">
        <v>7486</v>
      </c>
      <c r="D265" s="360">
        <v>0.75</v>
      </c>
      <c r="E265" s="360">
        <v>0.75</v>
      </c>
      <c r="F265" s="229" t="s">
        <v>1656</v>
      </c>
      <c r="G265" s="60" t="s">
        <v>207</v>
      </c>
    </row>
    <row r="266">
      <c r="A266" s="202" t="s">
        <v>7667</v>
      </c>
      <c r="B266" s="202"/>
      <c r="C266" s="136" t="s">
        <v>7486</v>
      </c>
      <c r="D266" s="360">
        <v>0.75</v>
      </c>
      <c r="E266" s="360">
        <v>0.75</v>
      </c>
      <c r="F266" s="229" t="s">
        <v>1656</v>
      </c>
      <c r="G266" s="60" t="s">
        <v>207</v>
      </c>
    </row>
    <row r="267">
      <c r="A267" s="202" t="s">
        <v>7668</v>
      </c>
      <c r="B267" s="72">
        <v>7416.0</v>
      </c>
      <c r="C267" s="136" t="s">
        <v>7486</v>
      </c>
      <c r="D267" s="360">
        <v>0.75</v>
      </c>
      <c r="E267" s="360">
        <v>0.75</v>
      </c>
      <c r="F267" s="229" t="s">
        <v>1656</v>
      </c>
      <c r="G267" s="60" t="s">
        <v>207</v>
      </c>
    </row>
    <row r="268">
      <c r="A268" s="236"/>
      <c r="B268" s="236"/>
      <c r="C268" s="236"/>
    </row>
    <row r="269">
      <c r="A269" s="236"/>
      <c r="B269" s="236"/>
      <c r="C269" s="236"/>
    </row>
    <row r="270">
      <c r="A270" s="236"/>
      <c r="B270" s="236"/>
      <c r="C270" s="236"/>
    </row>
    <row r="271">
      <c r="A271" s="236"/>
      <c r="B271" s="236"/>
      <c r="C271" s="236"/>
    </row>
    <row r="272">
      <c r="A272" s="236"/>
      <c r="B272" s="236"/>
      <c r="C272" s="236"/>
    </row>
    <row r="273">
      <c r="A273" s="236"/>
      <c r="B273" s="236"/>
      <c r="C273" s="236"/>
    </row>
    <row r="274">
      <c r="A274" s="236"/>
      <c r="B274" s="236"/>
      <c r="C274" s="236"/>
    </row>
    <row r="275">
      <c r="A275" s="236"/>
      <c r="B275" s="236"/>
      <c r="C275" s="236"/>
    </row>
    <row r="276">
      <c r="A276" s="236"/>
      <c r="B276" s="236"/>
      <c r="C276" s="236"/>
    </row>
    <row r="277">
      <c r="A277" s="236"/>
      <c r="B277" s="236"/>
      <c r="C277" s="236"/>
    </row>
    <row r="278">
      <c r="A278" s="236"/>
      <c r="B278" s="236"/>
      <c r="C278" s="236"/>
    </row>
    <row r="279">
      <c r="A279" s="236"/>
      <c r="B279" s="236"/>
      <c r="C279" s="236"/>
    </row>
    <row r="280">
      <c r="A280" s="236"/>
      <c r="B280" s="236"/>
      <c r="C280" s="236"/>
    </row>
    <row r="281">
      <c r="A281" s="236"/>
      <c r="B281" s="236"/>
      <c r="C281" s="236"/>
    </row>
    <row r="282">
      <c r="A282" s="236"/>
      <c r="B282" s="236"/>
      <c r="C282" s="236"/>
    </row>
    <row r="283">
      <c r="A283" s="236"/>
      <c r="B283" s="236"/>
      <c r="C283" s="236"/>
    </row>
    <row r="284">
      <c r="A284" s="236"/>
      <c r="B284" s="236"/>
      <c r="C284" s="236"/>
    </row>
    <row r="285">
      <c r="A285" s="236"/>
      <c r="B285" s="236"/>
      <c r="C285" s="236"/>
    </row>
    <row r="286">
      <c r="A286" s="236"/>
      <c r="B286" s="236"/>
      <c r="C286" s="236"/>
    </row>
    <row r="287">
      <c r="A287" s="236"/>
      <c r="B287" s="236"/>
      <c r="C287" s="236"/>
    </row>
    <row r="288">
      <c r="A288" s="236"/>
      <c r="B288" s="236"/>
      <c r="C288" s="236"/>
    </row>
    <row r="289">
      <c r="A289" s="236"/>
      <c r="B289" s="236"/>
      <c r="C289" s="236"/>
    </row>
    <row r="290">
      <c r="A290" s="236"/>
      <c r="B290" s="236"/>
      <c r="C290" s="236"/>
    </row>
    <row r="291">
      <c r="A291" s="236"/>
      <c r="B291" s="236"/>
      <c r="C291" s="236"/>
    </row>
    <row r="292">
      <c r="A292" s="236"/>
      <c r="B292" s="236"/>
      <c r="C292" s="236"/>
    </row>
    <row r="293">
      <c r="A293" s="236"/>
      <c r="B293" s="236"/>
      <c r="C293" s="236"/>
    </row>
    <row r="294">
      <c r="A294" s="236"/>
      <c r="B294" s="236"/>
      <c r="C294" s="236"/>
    </row>
    <row r="295">
      <c r="A295" s="236"/>
      <c r="B295" s="236"/>
      <c r="C295" s="236"/>
    </row>
    <row r="296">
      <c r="A296" s="236"/>
      <c r="B296" s="236"/>
      <c r="C296" s="236"/>
    </row>
    <row r="297">
      <c r="A297" s="236"/>
      <c r="B297" s="236"/>
      <c r="C297" s="236"/>
    </row>
    <row r="298">
      <c r="A298" s="236"/>
      <c r="B298" s="236"/>
      <c r="C298" s="236"/>
    </row>
    <row r="299">
      <c r="A299" s="236"/>
      <c r="B299" s="236"/>
      <c r="C299" s="236"/>
    </row>
    <row r="300">
      <c r="A300" s="236"/>
      <c r="B300" s="236"/>
      <c r="C300" s="236"/>
    </row>
    <row r="301">
      <c r="A301" s="236"/>
      <c r="B301" s="236"/>
      <c r="C301" s="236"/>
    </row>
    <row r="302">
      <c r="A302" s="236"/>
      <c r="B302" s="236"/>
      <c r="C302" s="236"/>
    </row>
    <row r="303">
      <c r="A303" s="236"/>
      <c r="B303" s="236"/>
      <c r="C303" s="236"/>
    </row>
    <row r="304">
      <c r="A304" s="236"/>
      <c r="B304" s="236"/>
      <c r="C304" s="236"/>
    </row>
    <row r="305">
      <c r="A305" s="236"/>
      <c r="B305" s="236"/>
      <c r="C305" s="236"/>
    </row>
    <row r="306">
      <c r="A306" s="236"/>
      <c r="B306" s="236"/>
      <c r="C306" s="236"/>
    </row>
    <row r="307">
      <c r="A307" s="236"/>
      <c r="B307" s="236"/>
      <c r="C307" s="236"/>
    </row>
    <row r="308">
      <c r="A308" s="236"/>
      <c r="B308" s="236"/>
      <c r="C308" s="236"/>
    </row>
    <row r="309">
      <c r="A309" s="236"/>
      <c r="B309" s="236"/>
      <c r="C309" s="236"/>
    </row>
    <row r="310">
      <c r="A310" s="236"/>
      <c r="B310" s="236"/>
      <c r="C310" s="236"/>
    </row>
    <row r="311">
      <c r="A311" s="236"/>
      <c r="B311" s="236"/>
      <c r="C311" s="236"/>
    </row>
    <row r="312">
      <c r="A312" s="236"/>
      <c r="B312" s="236"/>
      <c r="C312" s="236"/>
    </row>
    <row r="313">
      <c r="A313" s="236"/>
      <c r="B313" s="236"/>
      <c r="C313" s="236"/>
    </row>
    <row r="314">
      <c r="A314" s="236"/>
      <c r="B314" s="236"/>
      <c r="C314" s="236"/>
    </row>
    <row r="315">
      <c r="A315" s="236"/>
      <c r="B315" s="236"/>
      <c r="C315" s="236"/>
    </row>
    <row r="316">
      <c r="A316" s="236"/>
      <c r="B316" s="236"/>
      <c r="C316" s="236"/>
    </row>
    <row r="317">
      <c r="A317" s="236"/>
      <c r="B317" s="236"/>
      <c r="C317" s="236"/>
    </row>
    <row r="318">
      <c r="A318" s="236"/>
      <c r="B318" s="236"/>
      <c r="C318" s="236"/>
    </row>
    <row r="319">
      <c r="A319" s="236"/>
      <c r="B319" s="236"/>
      <c r="C319" s="236"/>
    </row>
    <row r="320">
      <c r="A320" s="236"/>
      <c r="B320" s="236"/>
      <c r="C320" s="236"/>
    </row>
    <row r="321">
      <c r="A321" s="236"/>
      <c r="B321" s="236"/>
      <c r="C321" s="236"/>
    </row>
    <row r="322">
      <c r="A322" s="236"/>
      <c r="B322" s="236"/>
      <c r="C322" s="236"/>
    </row>
    <row r="323">
      <c r="A323" s="236"/>
      <c r="B323" s="236"/>
      <c r="C323" s="236"/>
    </row>
    <row r="324">
      <c r="A324" s="236"/>
      <c r="B324" s="236"/>
      <c r="C324" s="236"/>
    </row>
    <row r="325">
      <c r="A325" s="236"/>
      <c r="B325" s="236"/>
      <c r="C325" s="236"/>
    </row>
    <row r="326">
      <c r="A326" s="236"/>
      <c r="B326" s="236"/>
      <c r="C326" s="236"/>
    </row>
    <row r="327">
      <c r="A327" s="236"/>
      <c r="B327" s="236"/>
      <c r="C327" s="236"/>
    </row>
    <row r="328">
      <c r="A328" s="236"/>
      <c r="B328" s="236"/>
      <c r="C328" s="236"/>
    </row>
    <row r="329">
      <c r="A329" s="236"/>
      <c r="B329" s="236"/>
      <c r="C329" s="236"/>
    </row>
    <row r="330">
      <c r="A330" s="236"/>
      <c r="B330" s="236"/>
      <c r="C330" s="236"/>
    </row>
    <row r="331">
      <c r="A331" s="236"/>
      <c r="B331" s="236"/>
      <c r="C331" s="236"/>
    </row>
    <row r="332">
      <c r="A332" s="236"/>
      <c r="B332" s="236"/>
      <c r="C332" s="236"/>
    </row>
    <row r="333">
      <c r="A333" s="236"/>
      <c r="B333" s="236"/>
      <c r="C333" s="236"/>
    </row>
    <row r="334">
      <c r="A334" s="236"/>
      <c r="B334" s="236"/>
      <c r="C334" s="236"/>
    </row>
    <row r="335">
      <c r="A335" s="236"/>
      <c r="B335" s="236"/>
      <c r="C335" s="236"/>
    </row>
    <row r="336">
      <c r="A336" s="236"/>
      <c r="B336" s="236"/>
      <c r="C336" s="236"/>
    </row>
    <row r="337">
      <c r="A337" s="236"/>
      <c r="B337" s="236"/>
      <c r="C337" s="236"/>
    </row>
    <row r="338">
      <c r="A338" s="236"/>
      <c r="B338" s="236"/>
      <c r="C338" s="236"/>
    </row>
    <row r="339">
      <c r="A339" s="236"/>
      <c r="B339" s="236"/>
      <c r="C339" s="236"/>
    </row>
    <row r="340">
      <c r="A340" s="236"/>
      <c r="B340" s="236"/>
      <c r="C340" s="236"/>
    </row>
    <row r="341">
      <c r="A341" s="236"/>
      <c r="B341" s="236"/>
      <c r="C341" s="236"/>
    </row>
    <row r="342">
      <c r="A342" s="236"/>
      <c r="B342" s="236"/>
      <c r="C342" s="236"/>
    </row>
    <row r="343">
      <c r="A343" s="236"/>
      <c r="B343" s="236"/>
      <c r="C343" s="236"/>
    </row>
    <row r="344">
      <c r="A344" s="236"/>
      <c r="B344" s="236"/>
      <c r="C344" s="236"/>
    </row>
    <row r="345">
      <c r="A345" s="236"/>
      <c r="B345" s="236"/>
      <c r="C345" s="236"/>
    </row>
    <row r="346">
      <c r="A346" s="236"/>
      <c r="B346" s="236"/>
      <c r="C346" s="236"/>
    </row>
    <row r="347">
      <c r="A347" s="236"/>
      <c r="B347" s="236"/>
      <c r="C347" s="236"/>
    </row>
    <row r="348">
      <c r="A348" s="236"/>
      <c r="B348" s="236"/>
      <c r="C348" s="236"/>
    </row>
    <row r="349">
      <c r="A349" s="236"/>
      <c r="B349" s="236"/>
      <c r="C349" s="236"/>
    </row>
    <row r="350">
      <c r="A350" s="236"/>
      <c r="B350" s="236"/>
      <c r="C350" s="236"/>
    </row>
    <row r="351">
      <c r="A351" s="236"/>
      <c r="B351" s="236"/>
      <c r="C351" s="236"/>
    </row>
    <row r="352">
      <c r="A352" s="236"/>
      <c r="B352" s="236"/>
      <c r="C352" s="236"/>
    </row>
    <row r="353">
      <c r="A353" s="236"/>
      <c r="B353" s="236"/>
      <c r="C353" s="236"/>
    </row>
    <row r="354">
      <c r="A354" s="236"/>
      <c r="B354" s="236"/>
      <c r="C354" s="236"/>
    </row>
    <row r="355">
      <c r="A355" s="236"/>
      <c r="B355" s="236"/>
      <c r="C355" s="236"/>
    </row>
    <row r="356">
      <c r="A356" s="236"/>
      <c r="B356" s="236"/>
      <c r="C356" s="236"/>
    </row>
    <row r="357">
      <c r="A357" s="236"/>
      <c r="B357" s="236"/>
      <c r="C357" s="236"/>
    </row>
    <row r="358">
      <c r="A358" s="236"/>
      <c r="B358" s="236"/>
      <c r="C358" s="236"/>
    </row>
    <row r="359">
      <c r="A359" s="236"/>
      <c r="B359" s="236"/>
      <c r="C359" s="236"/>
    </row>
    <row r="360">
      <c r="A360" s="236"/>
      <c r="B360" s="236"/>
      <c r="C360" s="236"/>
    </row>
    <row r="361">
      <c r="A361" s="236"/>
      <c r="B361" s="236"/>
      <c r="C361" s="236"/>
    </row>
    <row r="362">
      <c r="A362" s="236"/>
      <c r="B362" s="236"/>
      <c r="C362" s="236"/>
    </row>
    <row r="363">
      <c r="A363" s="236"/>
      <c r="B363" s="236"/>
      <c r="C363" s="236"/>
    </row>
    <row r="364">
      <c r="A364" s="236"/>
      <c r="B364" s="236"/>
      <c r="C364" s="236"/>
    </row>
    <row r="365">
      <c r="A365" s="236"/>
      <c r="B365" s="236"/>
      <c r="C365" s="236"/>
    </row>
    <row r="366">
      <c r="A366" s="236"/>
      <c r="B366" s="236"/>
      <c r="C366" s="236"/>
    </row>
    <row r="367">
      <c r="A367" s="236"/>
      <c r="B367" s="236"/>
      <c r="C367" s="236"/>
    </row>
    <row r="368">
      <c r="A368" s="236"/>
      <c r="B368" s="236"/>
      <c r="C368" s="236"/>
    </row>
    <row r="369">
      <c r="A369" s="236"/>
      <c r="B369" s="236"/>
      <c r="C369" s="236"/>
    </row>
    <row r="370">
      <c r="A370" s="236"/>
      <c r="B370" s="236"/>
      <c r="C370" s="236"/>
    </row>
    <row r="371">
      <c r="A371" s="236"/>
      <c r="B371" s="236"/>
      <c r="C371" s="236"/>
    </row>
    <row r="372">
      <c r="A372" s="236"/>
      <c r="B372" s="236"/>
      <c r="C372" s="236"/>
    </row>
    <row r="373">
      <c r="A373" s="236"/>
      <c r="B373" s="236"/>
      <c r="C373" s="236"/>
    </row>
    <row r="374">
      <c r="A374" s="236"/>
      <c r="B374" s="236"/>
      <c r="C374" s="236"/>
    </row>
    <row r="375">
      <c r="A375" s="236"/>
      <c r="B375" s="236"/>
      <c r="C375" s="236"/>
    </row>
    <row r="376">
      <c r="A376" s="236"/>
      <c r="B376" s="236"/>
      <c r="C376" s="236"/>
    </row>
    <row r="377">
      <c r="A377" s="236"/>
      <c r="B377" s="236"/>
      <c r="C377" s="236"/>
    </row>
    <row r="378">
      <c r="A378" s="236"/>
      <c r="B378" s="236"/>
      <c r="C378" s="236"/>
    </row>
    <row r="379">
      <c r="A379" s="236"/>
      <c r="B379" s="236"/>
      <c r="C379" s="236"/>
    </row>
    <row r="380">
      <c r="A380" s="236"/>
      <c r="B380" s="236"/>
      <c r="C380" s="236"/>
    </row>
    <row r="381">
      <c r="A381" s="236"/>
      <c r="B381" s="236"/>
      <c r="C381" s="236"/>
    </row>
    <row r="382">
      <c r="A382" s="236"/>
      <c r="B382" s="236"/>
      <c r="C382" s="236"/>
    </row>
    <row r="383">
      <c r="A383" s="236"/>
      <c r="B383" s="236"/>
      <c r="C383" s="236"/>
    </row>
    <row r="384">
      <c r="A384" s="236"/>
      <c r="B384" s="236"/>
      <c r="C384" s="236"/>
    </row>
    <row r="385">
      <c r="A385" s="236"/>
      <c r="B385" s="236"/>
      <c r="C385" s="236"/>
    </row>
    <row r="386">
      <c r="A386" s="236"/>
      <c r="B386" s="236"/>
      <c r="C386" s="236"/>
    </row>
    <row r="387">
      <c r="A387" s="236"/>
      <c r="B387" s="236"/>
      <c r="C387" s="236"/>
    </row>
    <row r="388">
      <c r="A388" s="236"/>
      <c r="B388" s="236"/>
      <c r="C388" s="236"/>
    </row>
    <row r="389">
      <c r="A389" s="236"/>
      <c r="B389" s="236"/>
      <c r="C389" s="236"/>
    </row>
    <row r="390">
      <c r="A390" s="236"/>
      <c r="B390" s="236"/>
      <c r="C390" s="236"/>
    </row>
    <row r="391">
      <c r="A391" s="236"/>
      <c r="B391" s="236"/>
      <c r="C391" s="236"/>
    </row>
    <row r="392">
      <c r="A392" s="236"/>
      <c r="B392" s="236"/>
      <c r="C392" s="236"/>
    </row>
    <row r="393">
      <c r="A393" s="236"/>
      <c r="B393" s="236"/>
      <c r="C393" s="236"/>
    </row>
    <row r="394">
      <c r="A394" s="236"/>
      <c r="B394" s="236"/>
      <c r="C394" s="236"/>
    </row>
    <row r="395">
      <c r="A395" s="236"/>
      <c r="B395" s="236"/>
      <c r="C395" s="236"/>
    </row>
    <row r="396">
      <c r="A396" s="236"/>
      <c r="B396" s="236"/>
      <c r="C396" s="236"/>
    </row>
    <row r="397">
      <c r="A397" s="236"/>
      <c r="B397" s="236"/>
      <c r="C397" s="236"/>
    </row>
    <row r="398">
      <c r="A398" s="236"/>
      <c r="B398" s="236"/>
      <c r="C398" s="236"/>
    </row>
    <row r="399">
      <c r="A399" s="236"/>
      <c r="B399" s="236"/>
      <c r="C399" s="236"/>
    </row>
    <row r="400">
      <c r="A400" s="236"/>
      <c r="B400" s="236"/>
      <c r="C400" s="236"/>
    </row>
    <row r="401">
      <c r="A401" s="236"/>
      <c r="B401" s="236"/>
      <c r="C401" s="236"/>
    </row>
    <row r="402">
      <c r="A402" s="236"/>
      <c r="B402" s="236"/>
      <c r="C402" s="236"/>
    </row>
    <row r="403">
      <c r="A403" s="236"/>
      <c r="B403" s="236"/>
      <c r="C403" s="236"/>
    </row>
    <row r="404">
      <c r="A404" s="236"/>
      <c r="B404" s="236"/>
      <c r="C404" s="236"/>
    </row>
    <row r="405">
      <c r="A405" s="236"/>
      <c r="B405" s="236"/>
      <c r="C405" s="236"/>
    </row>
    <row r="406">
      <c r="A406" s="236"/>
      <c r="B406" s="236"/>
      <c r="C406" s="236"/>
    </row>
    <row r="407">
      <c r="A407" s="236"/>
      <c r="B407" s="236"/>
      <c r="C407" s="236"/>
    </row>
    <row r="408">
      <c r="A408" s="236"/>
      <c r="B408" s="236"/>
      <c r="C408" s="236"/>
    </row>
    <row r="409">
      <c r="A409" s="236"/>
      <c r="B409" s="236"/>
      <c r="C409" s="236"/>
    </row>
    <row r="410">
      <c r="A410" s="236"/>
      <c r="B410" s="236"/>
      <c r="C410" s="236"/>
    </row>
    <row r="411">
      <c r="A411" s="236"/>
      <c r="B411" s="236"/>
      <c r="C411" s="236"/>
    </row>
    <row r="412">
      <c r="A412" s="236"/>
      <c r="B412" s="236"/>
      <c r="C412" s="236"/>
    </row>
    <row r="413">
      <c r="A413" s="236"/>
      <c r="B413" s="236"/>
      <c r="C413" s="236"/>
    </row>
    <row r="414">
      <c r="A414" s="236"/>
      <c r="B414" s="236"/>
      <c r="C414" s="236"/>
    </row>
    <row r="415">
      <c r="A415" s="236"/>
      <c r="B415" s="236"/>
      <c r="C415" s="236"/>
    </row>
    <row r="416">
      <c r="A416" s="236"/>
      <c r="B416" s="236"/>
      <c r="C416" s="236"/>
    </row>
    <row r="417">
      <c r="A417" s="236"/>
      <c r="B417" s="236"/>
      <c r="C417" s="236"/>
    </row>
    <row r="418">
      <c r="A418" s="236"/>
      <c r="B418" s="236"/>
      <c r="C418" s="236"/>
    </row>
    <row r="419">
      <c r="A419" s="236"/>
      <c r="B419" s="236"/>
      <c r="C419" s="236"/>
    </row>
    <row r="420">
      <c r="A420" s="236"/>
      <c r="B420" s="236"/>
      <c r="C420" s="236"/>
    </row>
    <row r="421">
      <c r="A421" s="236"/>
      <c r="B421" s="236"/>
      <c r="C421" s="236"/>
    </row>
    <row r="422">
      <c r="A422" s="236"/>
      <c r="B422" s="236"/>
      <c r="C422" s="236"/>
    </row>
    <row r="423">
      <c r="A423" s="236"/>
      <c r="B423" s="236"/>
      <c r="C423" s="236"/>
    </row>
    <row r="424">
      <c r="A424" s="236"/>
      <c r="B424" s="236"/>
      <c r="C424" s="236"/>
    </row>
    <row r="425">
      <c r="A425" s="236"/>
      <c r="B425" s="236"/>
      <c r="C425" s="236"/>
    </row>
    <row r="426">
      <c r="A426" s="236"/>
      <c r="B426" s="236"/>
      <c r="C426" s="236"/>
    </row>
    <row r="427">
      <c r="A427" s="236"/>
      <c r="B427" s="236"/>
      <c r="C427" s="236"/>
    </row>
    <row r="428">
      <c r="A428" s="236"/>
      <c r="B428" s="236"/>
      <c r="C428" s="236"/>
    </row>
    <row r="429">
      <c r="A429" s="236"/>
      <c r="B429" s="236"/>
      <c r="C429" s="236"/>
    </row>
    <row r="430">
      <c r="A430" s="236"/>
      <c r="B430" s="236"/>
      <c r="C430" s="236"/>
    </row>
    <row r="431">
      <c r="A431" s="236"/>
      <c r="B431" s="236"/>
      <c r="C431" s="236"/>
    </row>
    <row r="432">
      <c r="A432" s="236"/>
      <c r="B432" s="236"/>
      <c r="C432" s="236"/>
    </row>
    <row r="433">
      <c r="A433" s="236"/>
      <c r="B433" s="236"/>
      <c r="C433" s="236"/>
    </row>
    <row r="434">
      <c r="A434" s="236"/>
      <c r="B434" s="236"/>
      <c r="C434" s="236"/>
    </row>
    <row r="435">
      <c r="A435" s="236"/>
      <c r="B435" s="236"/>
      <c r="C435" s="236"/>
    </row>
    <row r="436">
      <c r="A436" s="236"/>
      <c r="B436" s="236"/>
      <c r="C436" s="236"/>
    </row>
    <row r="437">
      <c r="A437" s="236"/>
      <c r="B437" s="236"/>
      <c r="C437" s="236"/>
    </row>
    <row r="438">
      <c r="A438" s="236"/>
      <c r="B438" s="236"/>
      <c r="C438" s="236"/>
    </row>
    <row r="439">
      <c r="A439" s="236"/>
      <c r="B439" s="236"/>
      <c r="C439" s="236"/>
    </row>
    <row r="440">
      <c r="A440" s="236"/>
      <c r="B440" s="236"/>
      <c r="C440" s="236"/>
    </row>
    <row r="441">
      <c r="A441" s="236"/>
      <c r="B441" s="236"/>
      <c r="C441" s="236"/>
    </row>
    <row r="442">
      <c r="A442" s="236"/>
      <c r="B442" s="236"/>
      <c r="C442" s="236"/>
    </row>
    <row r="443">
      <c r="A443" s="236"/>
      <c r="B443" s="236"/>
      <c r="C443" s="236"/>
    </row>
    <row r="444">
      <c r="A444" s="236"/>
      <c r="B444" s="236"/>
      <c r="C444" s="236"/>
    </row>
    <row r="445">
      <c r="A445" s="236"/>
      <c r="B445" s="236"/>
      <c r="C445" s="236"/>
    </row>
    <row r="446">
      <c r="A446" s="236"/>
      <c r="B446" s="236"/>
      <c r="C446" s="236"/>
    </row>
    <row r="447">
      <c r="A447" s="236"/>
      <c r="B447" s="236"/>
      <c r="C447" s="236"/>
    </row>
    <row r="448">
      <c r="A448" s="236"/>
      <c r="B448" s="236"/>
      <c r="C448" s="236"/>
    </row>
    <row r="449">
      <c r="A449" s="236"/>
      <c r="B449" s="236"/>
      <c r="C449" s="236"/>
    </row>
    <row r="450">
      <c r="A450" s="236"/>
      <c r="B450" s="236"/>
      <c r="C450" s="236"/>
    </row>
    <row r="451">
      <c r="A451" s="236"/>
      <c r="B451" s="236"/>
      <c r="C451" s="236"/>
    </row>
    <row r="452">
      <c r="A452" s="236"/>
      <c r="B452" s="236"/>
      <c r="C452" s="236"/>
    </row>
    <row r="453">
      <c r="A453" s="236"/>
      <c r="B453" s="236"/>
      <c r="C453" s="236"/>
    </row>
    <row r="454">
      <c r="A454" s="236"/>
      <c r="B454" s="236"/>
      <c r="C454" s="236"/>
    </row>
    <row r="455">
      <c r="A455" s="236"/>
      <c r="B455" s="236"/>
      <c r="C455" s="236"/>
    </row>
    <row r="456">
      <c r="A456" s="236"/>
      <c r="B456" s="236"/>
      <c r="C456" s="236"/>
    </row>
    <row r="457">
      <c r="A457" s="236"/>
      <c r="B457" s="236"/>
      <c r="C457" s="236"/>
    </row>
    <row r="458">
      <c r="A458" s="236"/>
      <c r="B458" s="236"/>
      <c r="C458" s="236"/>
    </row>
    <row r="459">
      <c r="A459" s="236"/>
      <c r="B459" s="236"/>
      <c r="C459" s="236"/>
    </row>
    <row r="460">
      <c r="A460" s="236"/>
      <c r="B460" s="236"/>
      <c r="C460" s="236"/>
    </row>
    <row r="461">
      <c r="A461" s="236"/>
      <c r="B461" s="236"/>
      <c r="C461" s="236"/>
    </row>
    <row r="462">
      <c r="A462" s="236"/>
      <c r="B462" s="236"/>
      <c r="C462" s="236"/>
    </row>
    <row r="463">
      <c r="A463" s="236"/>
      <c r="B463" s="236"/>
      <c r="C463" s="236"/>
    </row>
    <row r="464">
      <c r="A464" s="236"/>
      <c r="B464" s="236"/>
      <c r="C464" s="236"/>
    </row>
    <row r="465">
      <c r="A465" s="236"/>
      <c r="B465" s="236"/>
      <c r="C465" s="236"/>
    </row>
    <row r="466">
      <c r="A466" s="236"/>
      <c r="B466" s="236"/>
      <c r="C466" s="236"/>
    </row>
    <row r="467">
      <c r="A467" s="236"/>
      <c r="B467" s="236"/>
      <c r="C467" s="236"/>
    </row>
    <row r="468">
      <c r="A468" s="236"/>
      <c r="B468" s="236"/>
      <c r="C468" s="236"/>
    </row>
    <row r="469">
      <c r="A469" s="236"/>
      <c r="B469" s="236"/>
      <c r="C469" s="236"/>
    </row>
    <row r="470">
      <c r="A470" s="236"/>
      <c r="B470" s="236"/>
      <c r="C470" s="236"/>
    </row>
    <row r="471">
      <c r="A471" s="236"/>
      <c r="B471" s="236"/>
      <c r="C471" s="236"/>
    </row>
    <row r="472">
      <c r="A472" s="236"/>
      <c r="B472" s="236"/>
      <c r="C472" s="236"/>
    </row>
    <row r="473">
      <c r="A473" s="236"/>
      <c r="B473" s="236"/>
      <c r="C473" s="236"/>
    </row>
    <row r="474">
      <c r="A474" s="236"/>
      <c r="B474" s="236"/>
      <c r="C474" s="236"/>
    </row>
    <row r="475">
      <c r="A475" s="236"/>
      <c r="B475" s="236"/>
      <c r="C475" s="236"/>
    </row>
    <row r="476">
      <c r="A476" s="236"/>
      <c r="B476" s="236"/>
      <c r="C476" s="236"/>
    </row>
    <row r="477">
      <c r="A477" s="236"/>
      <c r="B477" s="236"/>
      <c r="C477" s="236"/>
    </row>
    <row r="478">
      <c r="A478" s="236"/>
      <c r="B478" s="236"/>
      <c r="C478" s="236"/>
    </row>
    <row r="479">
      <c r="A479" s="236"/>
      <c r="B479" s="236"/>
      <c r="C479" s="236"/>
    </row>
    <row r="480">
      <c r="A480" s="236"/>
      <c r="B480" s="236"/>
      <c r="C480" s="236"/>
    </row>
    <row r="481">
      <c r="A481" s="236"/>
      <c r="B481" s="236"/>
      <c r="C481" s="236"/>
    </row>
    <row r="482">
      <c r="A482" s="236"/>
      <c r="B482" s="236"/>
      <c r="C482" s="236"/>
    </row>
    <row r="483">
      <c r="A483" s="236"/>
      <c r="B483" s="236"/>
      <c r="C483" s="236"/>
    </row>
    <row r="484">
      <c r="A484" s="236"/>
      <c r="B484" s="236"/>
      <c r="C484" s="236"/>
    </row>
    <row r="485">
      <c r="A485" s="236"/>
      <c r="B485" s="236"/>
      <c r="C485" s="236"/>
    </row>
    <row r="486">
      <c r="A486" s="236"/>
      <c r="B486" s="236"/>
      <c r="C486" s="236"/>
    </row>
    <row r="487">
      <c r="A487" s="236"/>
      <c r="B487" s="236"/>
      <c r="C487" s="236"/>
    </row>
    <row r="488">
      <c r="A488" s="236"/>
      <c r="B488" s="236"/>
      <c r="C488" s="236"/>
    </row>
    <row r="489">
      <c r="A489" s="236"/>
      <c r="B489" s="236"/>
      <c r="C489" s="236"/>
    </row>
    <row r="490">
      <c r="A490" s="236"/>
      <c r="B490" s="236"/>
      <c r="C490" s="236"/>
    </row>
    <row r="491">
      <c r="A491" s="236"/>
      <c r="B491" s="236"/>
      <c r="C491" s="236"/>
    </row>
    <row r="492">
      <c r="A492" s="236"/>
      <c r="B492" s="236"/>
      <c r="C492" s="236"/>
    </row>
    <row r="493">
      <c r="A493" s="236"/>
      <c r="B493" s="236"/>
      <c r="C493" s="236"/>
    </row>
    <row r="494">
      <c r="A494" s="236"/>
      <c r="B494" s="236"/>
      <c r="C494" s="236"/>
    </row>
    <row r="495">
      <c r="A495" s="236"/>
      <c r="B495" s="236"/>
      <c r="C495" s="236"/>
    </row>
    <row r="496">
      <c r="A496" s="236"/>
      <c r="B496" s="236"/>
      <c r="C496" s="236"/>
    </row>
    <row r="497">
      <c r="A497" s="236"/>
      <c r="B497" s="236"/>
      <c r="C497" s="236"/>
    </row>
    <row r="498">
      <c r="A498" s="236"/>
      <c r="B498" s="236"/>
      <c r="C498" s="236"/>
    </row>
    <row r="499">
      <c r="A499" s="236"/>
      <c r="B499" s="236"/>
      <c r="C499" s="236"/>
    </row>
    <row r="500">
      <c r="A500" s="236"/>
      <c r="B500" s="236"/>
      <c r="C500" s="236"/>
    </row>
    <row r="501">
      <c r="A501" s="236"/>
      <c r="B501" s="236"/>
      <c r="C501" s="236"/>
    </row>
    <row r="502">
      <c r="A502" s="236"/>
      <c r="B502" s="236"/>
      <c r="C502" s="236"/>
    </row>
    <row r="503">
      <c r="A503" s="236"/>
      <c r="B503" s="236"/>
      <c r="C503" s="236"/>
    </row>
    <row r="504">
      <c r="A504" s="236"/>
      <c r="B504" s="236"/>
      <c r="C504" s="236"/>
    </row>
    <row r="505">
      <c r="A505" s="236"/>
      <c r="B505" s="236"/>
      <c r="C505" s="236"/>
    </row>
    <row r="506">
      <c r="A506" s="236"/>
      <c r="B506" s="236"/>
      <c r="C506" s="236"/>
    </row>
    <row r="507">
      <c r="A507" s="236"/>
      <c r="B507" s="236"/>
      <c r="C507" s="236"/>
    </row>
    <row r="508">
      <c r="A508" s="236"/>
      <c r="B508" s="236"/>
      <c r="C508" s="236"/>
    </row>
    <row r="509">
      <c r="A509" s="236"/>
      <c r="B509" s="236"/>
      <c r="C509" s="236"/>
    </row>
    <row r="510">
      <c r="A510" s="236"/>
      <c r="B510" s="236"/>
      <c r="C510" s="236"/>
    </row>
    <row r="511">
      <c r="A511" s="236"/>
      <c r="B511" s="236"/>
      <c r="C511" s="236"/>
    </row>
    <row r="512">
      <c r="A512" s="236"/>
      <c r="B512" s="236"/>
      <c r="C512" s="236"/>
    </row>
    <row r="513">
      <c r="A513" s="236"/>
      <c r="B513" s="236"/>
      <c r="C513" s="236"/>
    </row>
    <row r="514">
      <c r="A514" s="236"/>
      <c r="B514" s="236"/>
      <c r="C514" s="236"/>
    </row>
    <row r="515">
      <c r="A515" s="236"/>
      <c r="B515" s="236"/>
      <c r="C515" s="236"/>
    </row>
    <row r="516">
      <c r="A516" s="236"/>
      <c r="B516" s="236"/>
      <c r="C516" s="236"/>
    </row>
    <row r="517">
      <c r="A517" s="236"/>
      <c r="B517" s="236"/>
      <c r="C517" s="236"/>
    </row>
    <row r="518">
      <c r="A518" s="236"/>
      <c r="B518" s="236"/>
      <c r="C518" s="236"/>
    </row>
    <row r="519">
      <c r="A519" s="236"/>
      <c r="B519" s="236"/>
      <c r="C519" s="236"/>
    </row>
    <row r="520">
      <c r="A520" s="236"/>
      <c r="B520" s="236"/>
      <c r="C520" s="236"/>
    </row>
    <row r="521">
      <c r="A521" s="236"/>
      <c r="B521" s="236"/>
      <c r="C521" s="236"/>
    </row>
    <row r="522">
      <c r="A522" s="236"/>
      <c r="B522" s="236"/>
      <c r="C522" s="236"/>
    </row>
    <row r="523">
      <c r="A523" s="236"/>
      <c r="B523" s="236"/>
      <c r="C523" s="236"/>
    </row>
    <row r="524">
      <c r="A524" s="236"/>
      <c r="B524" s="236"/>
      <c r="C524" s="236"/>
    </row>
    <row r="525">
      <c r="A525" s="236"/>
      <c r="B525" s="236"/>
      <c r="C525" s="236"/>
    </row>
    <row r="526">
      <c r="A526" s="236"/>
      <c r="B526" s="236"/>
      <c r="C526" s="236"/>
    </row>
    <row r="527">
      <c r="A527" s="236"/>
      <c r="B527" s="236"/>
      <c r="C527" s="236"/>
    </row>
    <row r="528">
      <c r="A528" s="236"/>
      <c r="B528" s="236"/>
      <c r="C528" s="236"/>
    </row>
    <row r="529">
      <c r="A529" s="236"/>
      <c r="B529" s="236"/>
      <c r="C529" s="236"/>
    </row>
    <row r="530">
      <c r="A530" s="236"/>
      <c r="B530" s="236"/>
      <c r="C530" s="236"/>
    </row>
    <row r="531">
      <c r="A531" s="236"/>
      <c r="B531" s="236"/>
      <c r="C531" s="236"/>
    </row>
    <row r="532">
      <c r="A532" s="236"/>
      <c r="B532" s="236"/>
      <c r="C532" s="236"/>
    </row>
    <row r="533">
      <c r="A533" s="236"/>
      <c r="B533" s="236"/>
      <c r="C533" s="236"/>
    </row>
    <row r="534">
      <c r="A534" s="236"/>
      <c r="B534" s="236"/>
      <c r="C534" s="236"/>
    </row>
    <row r="535">
      <c r="A535" s="236"/>
      <c r="B535" s="236"/>
      <c r="C535" s="236"/>
    </row>
    <row r="536">
      <c r="A536" s="236"/>
      <c r="B536" s="236"/>
      <c r="C536" s="236"/>
    </row>
    <row r="537">
      <c r="A537" s="236"/>
      <c r="B537" s="236"/>
      <c r="C537" s="236"/>
    </row>
    <row r="538">
      <c r="A538" s="236"/>
      <c r="B538" s="236"/>
      <c r="C538" s="236"/>
    </row>
    <row r="539">
      <c r="A539" s="236"/>
      <c r="B539" s="236"/>
      <c r="C539" s="236"/>
    </row>
    <row r="540">
      <c r="A540" s="236"/>
      <c r="B540" s="236"/>
      <c r="C540" s="236"/>
    </row>
    <row r="541">
      <c r="A541" s="236"/>
      <c r="B541" s="236"/>
      <c r="C541" s="236"/>
    </row>
    <row r="542">
      <c r="A542" s="236"/>
      <c r="B542" s="236"/>
      <c r="C542" s="236"/>
    </row>
    <row r="543">
      <c r="A543" s="236"/>
      <c r="B543" s="236"/>
      <c r="C543" s="236"/>
    </row>
    <row r="544">
      <c r="A544" s="236"/>
      <c r="B544" s="236"/>
      <c r="C544" s="236"/>
    </row>
    <row r="545">
      <c r="A545" s="236"/>
      <c r="B545" s="236"/>
      <c r="C545" s="236"/>
    </row>
    <row r="546">
      <c r="A546" s="236"/>
      <c r="B546" s="236"/>
      <c r="C546" s="236"/>
    </row>
    <row r="547">
      <c r="A547" s="236"/>
      <c r="B547" s="236"/>
      <c r="C547" s="236"/>
    </row>
    <row r="548">
      <c r="A548" s="236"/>
      <c r="B548" s="236"/>
      <c r="C548" s="236"/>
    </row>
    <row r="549">
      <c r="A549" s="236"/>
      <c r="B549" s="236"/>
      <c r="C549" s="236"/>
    </row>
    <row r="550">
      <c r="A550" s="236"/>
      <c r="B550" s="236"/>
      <c r="C550" s="236"/>
    </row>
    <row r="551">
      <c r="A551" s="236"/>
      <c r="B551" s="236"/>
      <c r="C551" s="236"/>
    </row>
    <row r="552">
      <c r="A552" s="236"/>
      <c r="B552" s="236"/>
      <c r="C552" s="236"/>
    </row>
    <row r="553">
      <c r="A553" s="236"/>
      <c r="B553" s="236"/>
      <c r="C553" s="236"/>
    </row>
    <row r="554">
      <c r="A554" s="236"/>
      <c r="B554" s="236"/>
      <c r="C554" s="236"/>
    </row>
    <row r="555">
      <c r="A555" s="236"/>
      <c r="B555" s="236"/>
      <c r="C555" s="236"/>
    </row>
    <row r="556">
      <c r="A556" s="236"/>
      <c r="B556" s="236"/>
      <c r="C556" s="236"/>
    </row>
    <row r="557">
      <c r="A557" s="236"/>
      <c r="B557" s="236"/>
      <c r="C557" s="236"/>
    </row>
    <row r="558">
      <c r="A558" s="236"/>
      <c r="B558" s="236"/>
      <c r="C558" s="236"/>
    </row>
    <row r="559">
      <c r="A559" s="236"/>
      <c r="B559" s="236"/>
      <c r="C559" s="236"/>
    </row>
    <row r="560">
      <c r="A560" s="236"/>
      <c r="B560" s="236"/>
      <c r="C560" s="236"/>
    </row>
    <row r="561">
      <c r="A561" s="236"/>
      <c r="B561" s="236"/>
      <c r="C561" s="236"/>
    </row>
    <row r="562">
      <c r="A562" s="236"/>
      <c r="B562" s="236"/>
      <c r="C562" s="236"/>
    </row>
    <row r="563">
      <c r="A563" s="236"/>
      <c r="B563" s="236"/>
      <c r="C563" s="236"/>
    </row>
    <row r="564">
      <c r="A564" s="236"/>
      <c r="B564" s="236"/>
      <c r="C564" s="236"/>
    </row>
    <row r="565">
      <c r="A565" s="236"/>
      <c r="B565" s="236"/>
      <c r="C565" s="236"/>
    </row>
    <row r="566">
      <c r="A566" s="236"/>
      <c r="B566" s="236"/>
      <c r="C566" s="236"/>
    </row>
    <row r="567">
      <c r="A567" s="236"/>
      <c r="B567" s="236"/>
      <c r="C567" s="236"/>
    </row>
    <row r="568">
      <c r="A568" s="236"/>
      <c r="B568" s="236"/>
      <c r="C568" s="236"/>
    </row>
    <row r="569">
      <c r="A569" s="236"/>
      <c r="B569" s="236"/>
      <c r="C569" s="236"/>
    </row>
    <row r="570">
      <c r="A570" s="236"/>
      <c r="B570" s="236"/>
      <c r="C570" s="236"/>
    </row>
    <row r="571">
      <c r="A571" s="236"/>
      <c r="B571" s="236"/>
      <c r="C571" s="236"/>
    </row>
    <row r="572">
      <c r="A572" s="236"/>
      <c r="B572" s="236"/>
      <c r="C572" s="236"/>
    </row>
    <row r="573">
      <c r="A573" s="236"/>
      <c r="B573" s="236"/>
      <c r="C573" s="236"/>
    </row>
    <row r="574">
      <c r="A574" s="236"/>
      <c r="B574" s="236"/>
      <c r="C574" s="236"/>
    </row>
    <row r="575">
      <c r="A575" s="236"/>
      <c r="B575" s="236"/>
      <c r="C575" s="236"/>
    </row>
    <row r="576">
      <c r="A576" s="236"/>
      <c r="B576" s="236"/>
      <c r="C576" s="236"/>
    </row>
    <row r="577">
      <c r="A577" s="236"/>
      <c r="B577" s="236"/>
      <c r="C577" s="236"/>
    </row>
    <row r="578">
      <c r="A578" s="236"/>
      <c r="B578" s="236"/>
      <c r="C578" s="236"/>
    </row>
    <row r="579">
      <c r="A579" s="236"/>
      <c r="B579" s="236"/>
      <c r="C579" s="236"/>
    </row>
    <row r="580">
      <c r="A580" s="236"/>
      <c r="B580" s="236"/>
      <c r="C580" s="236"/>
    </row>
    <row r="581">
      <c r="A581" s="236"/>
      <c r="B581" s="236"/>
      <c r="C581" s="236"/>
    </row>
    <row r="582">
      <c r="A582" s="236"/>
      <c r="B582" s="236"/>
      <c r="C582" s="236"/>
    </row>
    <row r="583">
      <c r="A583" s="236"/>
      <c r="B583" s="236"/>
      <c r="C583" s="236"/>
    </row>
    <row r="584">
      <c r="A584" s="236"/>
      <c r="B584" s="236"/>
      <c r="C584" s="236"/>
    </row>
    <row r="585">
      <c r="A585" s="236"/>
      <c r="B585" s="236"/>
      <c r="C585" s="236"/>
    </row>
    <row r="586">
      <c r="A586" s="236"/>
      <c r="B586" s="236"/>
      <c r="C586" s="236"/>
    </row>
    <row r="587">
      <c r="A587" s="236"/>
      <c r="B587" s="236"/>
      <c r="C587" s="236"/>
    </row>
    <row r="588">
      <c r="A588" s="236"/>
      <c r="B588" s="236"/>
      <c r="C588" s="236"/>
    </row>
    <row r="589">
      <c r="A589" s="236"/>
      <c r="B589" s="236"/>
      <c r="C589" s="236"/>
    </row>
    <row r="590">
      <c r="A590" s="236"/>
      <c r="B590" s="236"/>
      <c r="C590" s="236"/>
    </row>
    <row r="591">
      <c r="A591" s="236"/>
      <c r="B591" s="236"/>
      <c r="C591" s="236"/>
    </row>
    <row r="592">
      <c r="A592" s="236"/>
      <c r="B592" s="236"/>
      <c r="C592" s="236"/>
    </row>
    <row r="593">
      <c r="A593" s="236"/>
      <c r="B593" s="236"/>
      <c r="C593" s="236"/>
    </row>
    <row r="594">
      <c r="A594" s="236"/>
      <c r="B594" s="236"/>
      <c r="C594" s="236"/>
    </row>
    <row r="595">
      <c r="A595" s="236"/>
      <c r="B595" s="236"/>
      <c r="C595" s="236"/>
    </row>
    <row r="596">
      <c r="A596" s="236"/>
      <c r="B596" s="236"/>
      <c r="C596" s="236"/>
    </row>
    <row r="597">
      <c r="A597" s="236"/>
      <c r="B597" s="236"/>
      <c r="C597" s="236"/>
    </row>
    <row r="598">
      <c r="A598" s="236"/>
      <c r="B598" s="236"/>
      <c r="C598" s="236"/>
    </row>
    <row r="599">
      <c r="A599" s="236"/>
      <c r="B599" s="236"/>
      <c r="C599" s="236"/>
    </row>
    <row r="600">
      <c r="A600" s="236"/>
      <c r="B600" s="236"/>
      <c r="C600" s="236"/>
    </row>
    <row r="601">
      <c r="A601" s="236"/>
      <c r="B601" s="236"/>
      <c r="C601" s="236"/>
    </row>
    <row r="602">
      <c r="A602" s="236"/>
      <c r="B602" s="236"/>
      <c r="C602" s="236"/>
    </row>
    <row r="603">
      <c r="A603" s="236"/>
      <c r="B603" s="236"/>
      <c r="C603" s="236"/>
    </row>
    <row r="604">
      <c r="A604" s="236"/>
      <c r="B604" s="236"/>
      <c r="C604" s="236"/>
    </row>
    <row r="605">
      <c r="A605" s="236"/>
      <c r="B605" s="236"/>
      <c r="C605" s="236"/>
    </row>
    <row r="606">
      <c r="A606" s="236"/>
      <c r="B606" s="236"/>
      <c r="C606" s="236"/>
    </row>
    <row r="607">
      <c r="A607" s="236"/>
      <c r="B607" s="236"/>
      <c r="C607" s="236"/>
    </row>
    <row r="608">
      <c r="A608" s="236"/>
      <c r="B608" s="236"/>
      <c r="C608" s="236"/>
    </row>
    <row r="609">
      <c r="A609" s="236"/>
      <c r="B609" s="236"/>
      <c r="C609" s="236"/>
    </row>
    <row r="610">
      <c r="A610" s="236"/>
      <c r="B610" s="236"/>
      <c r="C610" s="236"/>
    </row>
    <row r="611">
      <c r="A611" s="236"/>
      <c r="B611" s="236"/>
      <c r="C611" s="236"/>
    </row>
    <row r="612">
      <c r="A612" s="236"/>
      <c r="B612" s="236"/>
      <c r="C612" s="236"/>
    </row>
    <row r="613">
      <c r="A613" s="236"/>
      <c r="B613" s="236"/>
      <c r="C613" s="236"/>
    </row>
    <row r="614">
      <c r="A614" s="236"/>
      <c r="B614" s="236"/>
      <c r="C614" s="236"/>
    </row>
    <row r="615">
      <c r="A615" s="236"/>
      <c r="B615" s="236"/>
      <c r="C615" s="236"/>
    </row>
    <row r="616">
      <c r="A616" s="236"/>
      <c r="B616" s="236"/>
      <c r="C616" s="236"/>
    </row>
    <row r="617">
      <c r="A617" s="236"/>
      <c r="B617" s="236"/>
      <c r="C617" s="236"/>
    </row>
    <row r="618">
      <c r="A618" s="236"/>
      <c r="B618" s="236"/>
      <c r="C618" s="236"/>
    </row>
    <row r="619">
      <c r="A619" s="236"/>
      <c r="B619" s="236"/>
      <c r="C619" s="236"/>
    </row>
    <row r="620">
      <c r="A620" s="236"/>
      <c r="B620" s="236"/>
      <c r="C620" s="236"/>
    </row>
    <row r="621">
      <c r="A621" s="236"/>
      <c r="B621" s="236"/>
      <c r="C621" s="236"/>
    </row>
    <row r="622">
      <c r="A622" s="236"/>
      <c r="B622" s="236"/>
      <c r="C622" s="236"/>
    </row>
    <row r="623">
      <c r="A623" s="236"/>
      <c r="B623" s="236"/>
      <c r="C623" s="236"/>
    </row>
    <row r="624">
      <c r="A624" s="236"/>
      <c r="B624" s="236"/>
      <c r="C624" s="236"/>
    </row>
    <row r="625">
      <c r="A625" s="236"/>
      <c r="B625" s="236"/>
      <c r="C625" s="236"/>
    </row>
    <row r="626">
      <c r="A626" s="236"/>
      <c r="B626" s="236"/>
      <c r="C626" s="236"/>
    </row>
    <row r="627">
      <c r="A627" s="236"/>
      <c r="B627" s="236"/>
      <c r="C627" s="236"/>
    </row>
    <row r="628">
      <c r="A628" s="236"/>
      <c r="B628" s="236"/>
      <c r="C628" s="236"/>
    </row>
    <row r="629">
      <c r="A629" s="236"/>
      <c r="B629" s="236"/>
      <c r="C629" s="236"/>
    </row>
    <row r="630">
      <c r="A630" s="236"/>
      <c r="B630" s="236"/>
      <c r="C630" s="236"/>
    </row>
    <row r="631">
      <c r="A631" s="236"/>
      <c r="B631" s="236"/>
      <c r="C631" s="236"/>
    </row>
    <row r="632">
      <c r="A632" s="236"/>
      <c r="B632" s="236"/>
      <c r="C632" s="236"/>
    </row>
    <row r="633">
      <c r="A633" s="236"/>
      <c r="B633" s="236"/>
      <c r="C633" s="236"/>
    </row>
    <row r="634">
      <c r="A634" s="236"/>
      <c r="B634" s="236"/>
      <c r="C634" s="236"/>
    </row>
    <row r="635">
      <c r="A635" s="236"/>
      <c r="B635" s="236"/>
      <c r="C635" s="236"/>
    </row>
    <row r="636">
      <c r="A636" s="236"/>
      <c r="B636" s="236"/>
      <c r="C636" s="236"/>
    </row>
    <row r="637">
      <c r="A637" s="236"/>
      <c r="B637" s="236"/>
      <c r="C637" s="236"/>
    </row>
    <row r="638">
      <c r="A638" s="236"/>
      <c r="B638" s="236"/>
      <c r="C638" s="236"/>
    </row>
    <row r="639">
      <c r="A639" s="236"/>
      <c r="B639" s="236"/>
      <c r="C639" s="236"/>
    </row>
    <row r="640">
      <c r="A640" s="236"/>
      <c r="B640" s="236"/>
      <c r="C640" s="236"/>
    </row>
    <row r="641">
      <c r="A641" s="236"/>
      <c r="B641" s="236"/>
      <c r="C641" s="236"/>
    </row>
    <row r="642">
      <c r="A642" s="236"/>
      <c r="B642" s="236"/>
      <c r="C642" s="236"/>
    </row>
    <row r="643">
      <c r="A643" s="236"/>
      <c r="B643" s="236"/>
      <c r="C643" s="236"/>
    </row>
    <row r="644">
      <c r="A644" s="236"/>
      <c r="B644" s="236"/>
      <c r="C644" s="236"/>
    </row>
    <row r="645">
      <c r="A645" s="236"/>
      <c r="B645" s="236"/>
      <c r="C645" s="236"/>
    </row>
    <row r="646">
      <c r="A646" s="236"/>
      <c r="B646" s="236"/>
      <c r="C646" s="236"/>
    </row>
    <row r="647">
      <c r="A647" s="236"/>
      <c r="B647" s="236"/>
      <c r="C647" s="236"/>
    </row>
    <row r="648">
      <c r="A648" s="236"/>
      <c r="B648" s="236"/>
      <c r="C648" s="236"/>
    </row>
    <row r="649">
      <c r="A649" s="236"/>
      <c r="B649" s="236"/>
      <c r="C649" s="236"/>
    </row>
    <row r="650">
      <c r="A650" s="236"/>
      <c r="B650" s="236"/>
      <c r="C650" s="236"/>
    </row>
    <row r="651">
      <c r="A651" s="236"/>
      <c r="B651" s="236"/>
      <c r="C651" s="236"/>
    </row>
    <row r="652">
      <c r="A652" s="236"/>
      <c r="B652" s="236"/>
      <c r="C652" s="236"/>
    </row>
    <row r="653">
      <c r="A653" s="236"/>
      <c r="B653" s="236"/>
      <c r="C653" s="236"/>
    </row>
    <row r="654">
      <c r="A654" s="236"/>
      <c r="B654" s="236"/>
      <c r="C654" s="236"/>
    </row>
    <row r="655">
      <c r="A655" s="236"/>
      <c r="B655" s="236"/>
      <c r="C655" s="236"/>
    </row>
    <row r="656">
      <c r="A656" s="236"/>
      <c r="B656" s="236"/>
      <c r="C656" s="236"/>
    </row>
    <row r="657">
      <c r="A657" s="236"/>
      <c r="B657" s="236"/>
      <c r="C657" s="236"/>
    </row>
    <row r="658">
      <c r="A658" s="236"/>
      <c r="B658" s="236"/>
      <c r="C658" s="236"/>
    </row>
    <row r="659">
      <c r="A659" s="236"/>
      <c r="B659" s="236"/>
      <c r="C659" s="236"/>
    </row>
    <row r="660">
      <c r="A660" s="236"/>
      <c r="B660" s="236"/>
      <c r="C660" s="236"/>
    </row>
    <row r="661">
      <c r="A661" s="236"/>
      <c r="B661" s="236"/>
      <c r="C661" s="236"/>
    </row>
    <row r="662">
      <c r="A662" s="236"/>
      <c r="B662" s="236"/>
      <c r="C662" s="236"/>
    </row>
    <row r="663">
      <c r="A663" s="236"/>
      <c r="B663" s="236"/>
      <c r="C663" s="236"/>
    </row>
    <row r="664">
      <c r="A664" s="236"/>
      <c r="B664" s="236"/>
      <c r="C664" s="236"/>
    </row>
    <row r="665">
      <c r="A665" s="236"/>
      <c r="B665" s="236"/>
      <c r="C665" s="236"/>
    </row>
    <row r="666">
      <c r="A666" s="236"/>
      <c r="B666" s="236"/>
      <c r="C666" s="236"/>
    </row>
    <row r="667">
      <c r="A667" s="236"/>
      <c r="B667" s="236"/>
      <c r="C667" s="236"/>
    </row>
    <row r="668">
      <c r="A668" s="236"/>
      <c r="B668" s="236"/>
      <c r="C668" s="236"/>
    </row>
    <row r="669">
      <c r="A669" s="236"/>
      <c r="B669" s="236"/>
      <c r="C669" s="236"/>
    </row>
    <row r="670">
      <c r="A670" s="236"/>
      <c r="B670" s="236"/>
      <c r="C670" s="236"/>
    </row>
    <row r="671">
      <c r="A671" s="236"/>
      <c r="B671" s="236"/>
      <c r="C671" s="236"/>
    </row>
    <row r="672">
      <c r="A672" s="236"/>
      <c r="B672" s="236"/>
      <c r="C672" s="236"/>
    </row>
    <row r="673">
      <c r="A673" s="236"/>
      <c r="B673" s="236"/>
      <c r="C673" s="236"/>
    </row>
    <row r="674">
      <c r="A674" s="236"/>
      <c r="B674" s="236"/>
      <c r="C674" s="236"/>
    </row>
    <row r="675">
      <c r="A675" s="236"/>
      <c r="B675" s="236"/>
      <c r="C675" s="236"/>
    </row>
    <row r="676">
      <c r="A676" s="236"/>
      <c r="B676" s="236"/>
      <c r="C676" s="236"/>
    </row>
    <row r="677">
      <c r="A677" s="236"/>
      <c r="B677" s="236"/>
      <c r="C677" s="236"/>
    </row>
    <row r="678">
      <c r="A678" s="236"/>
      <c r="B678" s="236"/>
      <c r="C678" s="236"/>
    </row>
    <row r="679">
      <c r="A679" s="236"/>
      <c r="B679" s="236"/>
      <c r="C679" s="236"/>
    </row>
    <row r="680">
      <c r="A680" s="236"/>
      <c r="B680" s="236"/>
      <c r="C680" s="236"/>
    </row>
    <row r="681">
      <c r="A681" s="236"/>
      <c r="B681" s="236"/>
      <c r="C681" s="236"/>
    </row>
    <row r="682">
      <c r="A682" s="236"/>
      <c r="B682" s="236"/>
      <c r="C682" s="236"/>
    </row>
    <row r="683">
      <c r="A683" s="236"/>
      <c r="B683" s="236"/>
      <c r="C683" s="236"/>
    </row>
    <row r="684">
      <c r="A684" s="236"/>
      <c r="B684" s="236"/>
      <c r="C684" s="236"/>
    </row>
    <row r="685">
      <c r="A685" s="236"/>
      <c r="B685" s="236"/>
      <c r="C685" s="236"/>
    </row>
    <row r="686">
      <c r="A686" s="236"/>
      <c r="B686" s="236"/>
      <c r="C686" s="236"/>
    </row>
    <row r="687">
      <c r="A687" s="236"/>
      <c r="B687" s="236"/>
      <c r="C687" s="236"/>
    </row>
    <row r="688">
      <c r="A688" s="236"/>
      <c r="B688" s="236"/>
      <c r="C688" s="236"/>
    </row>
    <row r="689">
      <c r="A689" s="236"/>
      <c r="B689" s="236"/>
      <c r="C689" s="236"/>
    </row>
    <row r="690">
      <c r="A690" s="236"/>
      <c r="B690" s="236"/>
      <c r="C690" s="236"/>
    </row>
    <row r="691">
      <c r="A691" s="236"/>
      <c r="B691" s="236"/>
      <c r="C691" s="236"/>
    </row>
    <row r="692">
      <c r="A692" s="236"/>
      <c r="B692" s="236"/>
      <c r="C692" s="236"/>
    </row>
    <row r="693">
      <c r="A693" s="236"/>
      <c r="B693" s="236"/>
      <c r="C693" s="236"/>
    </row>
    <row r="694">
      <c r="A694" s="236"/>
      <c r="B694" s="236"/>
      <c r="C694" s="236"/>
    </row>
    <row r="695">
      <c r="A695" s="236"/>
      <c r="B695" s="236"/>
      <c r="C695" s="236"/>
    </row>
    <row r="696">
      <c r="A696" s="236"/>
      <c r="B696" s="236"/>
      <c r="C696" s="236"/>
    </row>
    <row r="697">
      <c r="A697" s="236"/>
      <c r="B697" s="236"/>
      <c r="C697" s="236"/>
    </row>
    <row r="698">
      <c r="A698" s="236"/>
      <c r="B698" s="236"/>
      <c r="C698" s="236"/>
    </row>
    <row r="699">
      <c r="A699" s="236"/>
      <c r="B699" s="236"/>
      <c r="C699" s="236"/>
    </row>
    <row r="700">
      <c r="A700" s="236"/>
      <c r="B700" s="236"/>
      <c r="C700" s="236"/>
    </row>
    <row r="701">
      <c r="A701" s="236"/>
      <c r="B701" s="236"/>
      <c r="C701" s="236"/>
    </row>
    <row r="702">
      <c r="A702" s="236"/>
      <c r="B702" s="236"/>
      <c r="C702" s="236"/>
    </row>
    <row r="703">
      <c r="A703" s="236"/>
      <c r="B703" s="236"/>
      <c r="C703" s="236"/>
    </row>
    <row r="704">
      <c r="A704" s="236"/>
      <c r="B704" s="236"/>
      <c r="C704" s="236"/>
    </row>
    <row r="705">
      <c r="A705" s="236"/>
      <c r="B705" s="236"/>
      <c r="C705" s="236"/>
    </row>
    <row r="706">
      <c r="A706" s="236"/>
      <c r="B706" s="236"/>
      <c r="C706" s="236"/>
    </row>
    <row r="707">
      <c r="A707" s="236"/>
      <c r="B707" s="236"/>
      <c r="C707" s="236"/>
    </row>
    <row r="708">
      <c r="A708" s="236"/>
      <c r="B708" s="236"/>
      <c r="C708" s="236"/>
    </row>
    <row r="709">
      <c r="A709" s="236"/>
      <c r="B709" s="236"/>
      <c r="C709" s="236"/>
    </row>
    <row r="710">
      <c r="A710" s="236"/>
      <c r="B710" s="236"/>
      <c r="C710" s="236"/>
    </row>
    <row r="711">
      <c r="A711" s="236"/>
      <c r="B711" s="236"/>
      <c r="C711" s="236"/>
    </row>
    <row r="712">
      <c r="A712" s="236"/>
      <c r="B712" s="236"/>
      <c r="C712" s="236"/>
    </row>
    <row r="713">
      <c r="A713" s="236"/>
      <c r="B713" s="236"/>
      <c r="C713" s="236"/>
    </row>
    <row r="714">
      <c r="A714" s="236"/>
      <c r="B714" s="236"/>
      <c r="C714" s="236"/>
    </row>
    <row r="715">
      <c r="A715" s="236"/>
      <c r="B715" s="236"/>
      <c r="C715" s="236"/>
    </row>
    <row r="716">
      <c r="A716" s="236"/>
      <c r="B716" s="236"/>
      <c r="C716" s="236"/>
    </row>
    <row r="717">
      <c r="A717" s="236"/>
      <c r="B717" s="236"/>
      <c r="C717" s="236"/>
    </row>
    <row r="718">
      <c r="A718" s="236"/>
      <c r="B718" s="236"/>
      <c r="C718" s="236"/>
    </row>
    <row r="719">
      <c r="A719" s="236"/>
      <c r="B719" s="236"/>
      <c r="C719" s="236"/>
    </row>
    <row r="720">
      <c r="A720" s="236"/>
      <c r="B720" s="236"/>
      <c r="C720" s="236"/>
    </row>
    <row r="721">
      <c r="A721" s="236"/>
      <c r="B721" s="236"/>
      <c r="C721" s="236"/>
    </row>
    <row r="722">
      <c r="A722" s="236"/>
      <c r="B722" s="236"/>
      <c r="C722" s="236"/>
    </row>
    <row r="723">
      <c r="A723" s="236"/>
      <c r="B723" s="236"/>
      <c r="C723" s="236"/>
    </row>
    <row r="724">
      <c r="A724" s="236"/>
      <c r="B724" s="236"/>
      <c r="C724" s="236"/>
    </row>
    <row r="725">
      <c r="A725" s="236"/>
      <c r="B725" s="236"/>
      <c r="C725" s="236"/>
    </row>
    <row r="726">
      <c r="A726" s="236"/>
      <c r="B726" s="236"/>
      <c r="C726" s="236"/>
    </row>
    <row r="727">
      <c r="A727" s="236"/>
      <c r="B727" s="236"/>
      <c r="C727" s="236"/>
    </row>
    <row r="728">
      <c r="A728" s="236"/>
      <c r="B728" s="236"/>
      <c r="C728" s="236"/>
    </row>
    <row r="729">
      <c r="A729" s="236"/>
      <c r="B729" s="236"/>
      <c r="C729" s="236"/>
    </row>
    <row r="730">
      <c r="A730" s="236"/>
      <c r="B730" s="236"/>
      <c r="C730" s="236"/>
    </row>
    <row r="731">
      <c r="A731" s="236"/>
      <c r="B731" s="236"/>
      <c r="C731" s="236"/>
    </row>
    <row r="732">
      <c r="A732" s="236"/>
      <c r="B732" s="236"/>
      <c r="C732" s="236"/>
    </row>
    <row r="733">
      <c r="A733" s="236"/>
      <c r="B733" s="236"/>
      <c r="C733" s="236"/>
    </row>
    <row r="734">
      <c r="A734" s="236"/>
      <c r="B734" s="236"/>
      <c r="C734" s="236"/>
    </row>
    <row r="735">
      <c r="A735" s="236"/>
      <c r="B735" s="236"/>
      <c r="C735" s="236"/>
    </row>
    <row r="736">
      <c r="A736" s="236"/>
      <c r="B736" s="236"/>
      <c r="C736" s="236"/>
    </row>
    <row r="737">
      <c r="A737" s="236"/>
      <c r="B737" s="236"/>
      <c r="C737" s="236"/>
    </row>
    <row r="738">
      <c r="A738" s="236"/>
      <c r="B738" s="236"/>
      <c r="C738" s="236"/>
    </row>
    <row r="739">
      <c r="A739" s="236"/>
      <c r="B739" s="236"/>
      <c r="C739" s="236"/>
    </row>
    <row r="740">
      <c r="A740" s="236"/>
      <c r="B740" s="236"/>
      <c r="C740" s="236"/>
    </row>
    <row r="741">
      <c r="A741" s="236"/>
      <c r="B741" s="236"/>
      <c r="C741" s="236"/>
    </row>
    <row r="742">
      <c r="A742" s="236"/>
      <c r="B742" s="236"/>
      <c r="C742" s="236"/>
    </row>
    <row r="743">
      <c r="A743" s="236"/>
      <c r="B743" s="236"/>
      <c r="C743" s="236"/>
    </row>
    <row r="744">
      <c r="A744" s="236"/>
      <c r="B744" s="236"/>
      <c r="C744" s="236"/>
    </row>
    <row r="745">
      <c r="A745" s="236"/>
      <c r="B745" s="236"/>
      <c r="C745" s="236"/>
    </row>
    <row r="746">
      <c r="A746" s="236"/>
      <c r="B746" s="236"/>
      <c r="C746" s="236"/>
    </row>
    <row r="747">
      <c r="A747" s="236"/>
      <c r="B747" s="236"/>
      <c r="C747" s="236"/>
    </row>
    <row r="748">
      <c r="A748" s="236"/>
      <c r="B748" s="236"/>
      <c r="C748" s="236"/>
    </row>
    <row r="749">
      <c r="A749" s="236"/>
      <c r="B749" s="236"/>
      <c r="C749" s="236"/>
    </row>
    <row r="750">
      <c r="A750" s="236"/>
      <c r="B750" s="236"/>
      <c r="C750" s="236"/>
    </row>
    <row r="751">
      <c r="A751" s="236"/>
      <c r="B751" s="236"/>
      <c r="C751" s="236"/>
    </row>
    <row r="752">
      <c r="A752" s="236"/>
      <c r="B752" s="236"/>
      <c r="C752" s="236"/>
    </row>
    <row r="753">
      <c r="A753" s="236"/>
      <c r="B753" s="236"/>
      <c r="C753" s="236"/>
    </row>
    <row r="754">
      <c r="A754" s="236"/>
      <c r="B754" s="236"/>
      <c r="C754" s="236"/>
    </row>
    <row r="755">
      <c r="A755" s="236"/>
      <c r="B755" s="236"/>
      <c r="C755" s="236"/>
    </row>
    <row r="756">
      <c r="A756" s="236"/>
      <c r="B756" s="236"/>
      <c r="C756" s="236"/>
    </row>
    <row r="757">
      <c r="A757" s="236"/>
      <c r="B757" s="236"/>
      <c r="C757" s="236"/>
    </row>
    <row r="758">
      <c r="A758" s="236"/>
      <c r="B758" s="236"/>
      <c r="C758" s="236"/>
    </row>
    <row r="759">
      <c r="A759" s="236"/>
      <c r="B759" s="236"/>
      <c r="C759" s="236"/>
    </row>
    <row r="760">
      <c r="A760" s="236"/>
      <c r="B760" s="236"/>
      <c r="C760" s="236"/>
    </row>
    <row r="761">
      <c r="A761" s="236"/>
      <c r="B761" s="236"/>
      <c r="C761" s="236"/>
    </row>
    <row r="762">
      <c r="A762" s="236"/>
      <c r="B762" s="236"/>
      <c r="C762" s="236"/>
    </row>
    <row r="763">
      <c r="A763" s="236"/>
      <c r="B763" s="236"/>
      <c r="C763" s="236"/>
    </row>
    <row r="764">
      <c r="A764" s="236"/>
      <c r="B764" s="236"/>
      <c r="C764" s="236"/>
    </row>
    <row r="765">
      <c r="A765" s="236"/>
      <c r="B765" s="236"/>
      <c r="C765" s="236"/>
    </row>
    <row r="766">
      <c r="A766" s="236"/>
      <c r="B766" s="236"/>
      <c r="C766" s="236"/>
    </row>
    <row r="767">
      <c r="A767" s="236"/>
      <c r="B767" s="236"/>
      <c r="C767" s="236"/>
    </row>
    <row r="768">
      <c r="A768" s="236"/>
      <c r="B768" s="236"/>
      <c r="C768" s="236"/>
    </row>
    <row r="769">
      <c r="A769" s="236"/>
      <c r="B769" s="236"/>
      <c r="C769" s="236"/>
    </row>
    <row r="770">
      <c r="A770" s="236"/>
      <c r="B770" s="236"/>
      <c r="C770" s="236"/>
    </row>
    <row r="771">
      <c r="A771" s="236"/>
      <c r="B771" s="236"/>
      <c r="C771" s="236"/>
    </row>
    <row r="772">
      <c r="A772" s="236"/>
      <c r="B772" s="236"/>
      <c r="C772" s="236"/>
    </row>
    <row r="773">
      <c r="A773" s="236"/>
      <c r="B773" s="236"/>
      <c r="C773" s="236"/>
    </row>
    <row r="774">
      <c r="A774" s="236"/>
      <c r="B774" s="236"/>
      <c r="C774" s="236"/>
    </row>
    <row r="775">
      <c r="A775" s="236"/>
      <c r="B775" s="236"/>
      <c r="C775" s="236"/>
    </row>
    <row r="776">
      <c r="A776" s="236"/>
      <c r="B776" s="236"/>
      <c r="C776" s="236"/>
    </row>
    <row r="777">
      <c r="A777" s="236"/>
      <c r="B777" s="236"/>
      <c r="C777" s="236"/>
    </row>
    <row r="778">
      <c r="A778" s="236"/>
      <c r="B778" s="236"/>
      <c r="C778" s="236"/>
    </row>
    <row r="779">
      <c r="A779" s="236"/>
      <c r="B779" s="236"/>
      <c r="C779" s="236"/>
    </row>
    <row r="780">
      <c r="A780" s="236"/>
      <c r="B780" s="236"/>
      <c r="C780" s="236"/>
    </row>
    <row r="781">
      <c r="A781" s="236"/>
      <c r="B781" s="236"/>
      <c r="C781" s="236"/>
    </row>
    <row r="782">
      <c r="A782" s="236"/>
      <c r="B782" s="236"/>
      <c r="C782" s="236"/>
    </row>
    <row r="783">
      <c r="A783" s="236"/>
      <c r="B783" s="236"/>
      <c r="C783" s="236"/>
    </row>
    <row r="784">
      <c r="A784" s="236"/>
      <c r="B784" s="236"/>
      <c r="C784" s="236"/>
    </row>
    <row r="785">
      <c r="A785" s="236"/>
      <c r="B785" s="236"/>
      <c r="C785" s="236"/>
    </row>
    <row r="786">
      <c r="A786" s="236"/>
      <c r="B786" s="236"/>
      <c r="C786" s="236"/>
    </row>
    <row r="787">
      <c r="A787" s="236"/>
      <c r="B787" s="236"/>
      <c r="C787" s="236"/>
    </row>
    <row r="788">
      <c r="A788" s="236"/>
      <c r="B788" s="236"/>
      <c r="C788" s="236"/>
    </row>
    <row r="789">
      <c r="A789" s="236"/>
      <c r="B789" s="236"/>
      <c r="C789" s="236"/>
    </row>
    <row r="790">
      <c r="A790" s="236"/>
      <c r="B790" s="236"/>
      <c r="C790" s="236"/>
    </row>
    <row r="791">
      <c r="A791" s="236"/>
      <c r="B791" s="236"/>
      <c r="C791" s="236"/>
    </row>
    <row r="792">
      <c r="A792" s="236"/>
      <c r="B792" s="236"/>
      <c r="C792" s="236"/>
    </row>
    <row r="793">
      <c r="A793" s="236"/>
      <c r="B793" s="236"/>
      <c r="C793" s="236"/>
    </row>
    <row r="794">
      <c r="A794" s="236"/>
      <c r="B794" s="236"/>
      <c r="C794" s="236"/>
    </row>
    <row r="795">
      <c r="A795" s="236"/>
      <c r="B795" s="236"/>
      <c r="C795" s="236"/>
    </row>
    <row r="796">
      <c r="A796" s="236"/>
      <c r="B796" s="236"/>
      <c r="C796" s="236"/>
    </row>
    <row r="797">
      <c r="A797" s="236"/>
      <c r="B797" s="236"/>
      <c r="C797" s="236"/>
    </row>
    <row r="798">
      <c r="A798" s="236"/>
      <c r="B798" s="236"/>
      <c r="C798" s="236"/>
    </row>
    <row r="799">
      <c r="A799" s="236"/>
      <c r="B799" s="236"/>
      <c r="C799" s="236"/>
    </row>
    <row r="800">
      <c r="A800" s="236"/>
      <c r="B800" s="236"/>
      <c r="C800" s="236"/>
    </row>
    <row r="801">
      <c r="A801" s="236"/>
      <c r="B801" s="236"/>
      <c r="C801" s="236"/>
    </row>
    <row r="802">
      <c r="A802" s="236"/>
      <c r="B802" s="236"/>
      <c r="C802" s="236"/>
    </row>
    <row r="803">
      <c r="A803" s="236"/>
      <c r="B803" s="236"/>
      <c r="C803" s="236"/>
    </row>
    <row r="804">
      <c r="A804" s="236"/>
      <c r="B804" s="236"/>
      <c r="C804" s="236"/>
    </row>
    <row r="805">
      <c r="A805" s="236"/>
      <c r="B805" s="236"/>
      <c r="C805" s="236"/>
    </row>
    <row r="806">
      <c r="A806" s="236"/>
      <c r="B806" s="236"/>
      <c r="C806" s="236"/>
    </row>
    <row r="807">
      <c r="A807" s="236"/>
      <c r="B807" s="236"/>
      <c r="C807" s="236"/>
    </row>
    <row r="808">
      <c r="A808" s="236"/>
      <c r="B808" s="236"/>
      <c r="C808" s="236"/>
    </row>
    <row r="809">
      <c r="A809" s="236"/>
      <c r="B809" s="236"/>
      <c r="C809" s="236"/>
    </row>
    <row r="810">
      <c r="A810" s="236"/>
      <c r="B810" s="236"/>
      <c r="C810" s="236"/>
    </row>
    <row r="811">
      <c r="A811" s="236"/>
      <c r="B811" s="236"/>
      <c r="C811" s="236"/>
    </row>
    <row r="812">
      <c r="A812" s="236"/>
      <c r="B812" s="236"/>
      <c r="C812" s="236"/>
    </row>
    <row r="813">
      <c r="A813" s="236"/>
      <c r="B813" s="236"/>
      <c r="C813" s="236"/>
    </row>
    <row r="814">
      <c r="A814" s="236"/>
      <c r="B814" s="236"/>
      <c r="C814" s="236"/>
    </row>
    <row r="815">
      <c r="A815" s="236"/>
      <c r="B815" s="236"/>
      <c r="C815" s="236"/>
    </row>
    <row r="816">
      <c r="A816" s="236"/>
      <c r="B816" s="236"/>
      <c r="C816" s="236"/>
    </row>
    <row r="817">
      <c r="A817" s="236"/>
      <c r="B817" s="236"/>
      <c r="C817" s="236"/>
    </row>
    <row r="818">
      <c r="A818" s="236"/>
      <c r="B818" s="236"/>
      <c r="C818" s="236"/>
    </row>
    <row r="819">
      <c r="A819" s="236"/>
      <c r="B819" s="236"/>
      <c r="C819" s="236"/>
    </row>
    <row r="820">
      <c r="A820" s="236"/>
      <c r="B820" s="236"/>
      <c r="C820" s="236"/>
    </row>
    <row r="821">
      <c r="A821" s="236"/>
      <c r="B821" s="236"/>
      <c r="C821" s="236"/>
    </row>
    <row r="822">
      <c r="A822" s="236"/>
      <c r="B822" s="236"/>
      <c r="C822" s="236"/>
    </row>
    <row r="823">
      <c r="A823" s="236"/>
      <c r="B823" s="236"/>
      <c r="C823" s="236"/>
    </row>
    <row r="824">
      <c r="A824" s="236"/>
      <c r="B824" s="236"/>
      <c r="C824" s="236"/>
    </row>
    <row r="825">
      <c r="A825" s="236"/>
      <c r="B825" s="236"/>
      <c r="C825" s="236"/>
    </row>
    <row r="826">
      <c r="A826" s="236"/>
      <c r="B826" s="236"/>
      <c r="C826" s="236"/>
    </row>
    <row r="827">
      <c r="A827" s="236"/>
      <c r="B827" s="236"/>
      <c r="C827" s="236"/>
    </row>
    <row r="828">
      <c r="A828" s="236"/>
      <c r="B828" s="236"/>
      <c r="C828" s="236"/>
    </row>
    <row r="829">
      <c r="A829" s="236"/>
      <c r="B829" s="236"/>
      <c r="C829" s="236"/>
    </row>
    <row r="830">
      <c r="A830" s="236"/>
      <c r="B830" s="236"/>
      <c r="C830" s="236"/>
    </row>
    <row r="831">
      <c r="A831" s="236"/>
      <c r="B831" s="236"/>
      <c r="C831" s="236"/>
    </row>
    <row r="832">
      <c r="A832" s="236"/>
      <c r="B832" s="236"/>
      <c r="C832" s="236"/>
    </row>
    <row r="833">
      <c r="A833" s="236"/>
      <c r="B833" s="236"/>
      <c r="C833" s="236"/>
    </row>
    <row r="834">
      <c r="A834" s="236"/>
      <c r="B834" s="236"/>
      <c r="C834" s="236"/>
    </row>
    <row r="835">
      <c r="A835" s="236"/>
      <c r="B835" s="236"/>
      <c r="C835" s="236"/>
    </row>
    <row r="836">
      <c r="A836" s="236"/>
      <c r="B836" s="236"/>
      <c r="C836" s="236"/>
    </row>
    <row r="837">
      <c r="A837" s="236"/>
      <c r="B837" s="236"/>
      <c r="C837" s="236"/>
    </row>
    <row r="838">
      <c r="A838" s="236"/>
      <c r="B838" s="236"/>
      <c r="C838" s="236"/>
    </row>
    <row r="839">
      <c r="A839" s="236"/>
      <c r="B839" s="236"/>
      <c r="C839" s="236"/>
    </row>
    <row r="840">
      <c r="A840" s="236"/>
      <c r="B840" s="236"/>
      <c r="C840" s="236"/>
    </row>
    <row r="841">
      <c r="A841" s="236"/>
      <c r="B841" s="236"/>
      <c r="C841" s="236"/>
    </row>
    <row r="842">
      <c r="A842" s="236"/>
      <c r="B842" s="236"/>
      <c r="C842" s="236"/>
    </row>
    <row r="843">
      <c r="A843" s="236"/>
      <c r="B843" s="236"/>
      <c r="C843" s="236"/>
    </row>
    <row r="844">
      <c r="A844" s="236"/>
      <c r="B844" s="236"/>
      <c r="C844" s="236"/>
    </row>
    <row r="845">
      <c r="A845" s="236"/>
      <c r="B845" s="236"/>
      <c r="C845" s="236"/>
    </row>
    <row r="846">
      <c r="A846" s="236"/>
      <c r="B846" s="236"/>
      <c r="C846" s="236"/>
    </row>
    <row r="847">
      <c r="A847" s="236"/>
      <c r="B847" s="236"/>
      <c r="C847" s="236"/>
    </row>
    <row r="848">
      <c r="A848" s="236"/>
      <c r="B848" s="236"/>
      <c r="C848" s="236"/>
    </row>
    <row r="849">
      <c r="A849" s="236"/>
      <c r="B849" s="236"/>
      <c r="C849" s="236"/>
    </row>
    <row r="850">
      <c r="A850" s="236"/>
      <c r="B850" s="236"/>
      <c r="C850" s="236"/>
    </row>
    <row r="851">
      <c r="A851" s="236"/>
      <c r="B851" s="236"/>
      <c r="C851" s="236"/>
    </row>
    <row r="852">
      <c r="A852" s="236"/>
      <c r="B852" s="236"/>
      <c r="C852" s="236"/>
    </row>
    <row r="853">
      <c r="A853" s="236"/>
      <c r="B853" s="236"/>
      <c r="C853" s="236"/>
    </row>
    <row r="854">
      <c r="A854" s="236"/>
      <c r="B854" s="236"/>
      <c r="C854" s="236"/>
    </row>
    <row r="855">
      <c r="A855" s="236"/>
      <c r="B855" s="236"/>
      <c r="C855" s="236"/>
    </row>
    <row r="856">
      <c r="A856" s="236"/>
      <c r="B856" s="236"/>
      <c r="C856" s="236"/>
    </row>
    <row r="857">
      <c r="A857" s="236"/>
      <c r="B857" s="236"/>
      <c r="C857" s="236"/>
    </row>
    <row r="858">
      <c r="A858" s="236"/>
      <c r="B858" s="236"/>
      <c r="C858" s="236"/>
    </row>
    <row r="859">
      <c r="A859" s="236"/>
      <c r="B859" s="236"/>
      <c r="C859" s="236"/>
    </row>
    <row r="860">
      <c r="A860" s="236"/>
      <c r="B860" s="236"/>
      <c r="C860" s="236"/>
    </row>
    <row r="861">
      <c r="A861" s="236"/>
      <c r="B861" s="236"/>
      <c r="C861" s="236"/>
    </row>
    <row r="862">
      <c r="A862" s="236"/>
      <c r="B862" s="236"/>
      <c r="C862" s="236"/>
    </row>
    <row r="863">
      <c r="A863" s="236"/>
      <c r="B863" s="236"/>
      <c r="C863" s="236"/>
    </row>
    <row r="864">
      <c r="A864" s="236"/>
      <c r="B864" s="236"/>
      <c r="C864" s="236"/>
    </row>
    <row r="865">
      <c r="A865" s="236"/>
      <c r="B865" s="236"/>
      <c r="C865" s="236"/>
    </row>
    <row r="866">
      <c r="A866" s="236"/>
      <c r="B866" s="236"/>
      <c r="C866" s="236"/>
    </row>
    <row r="867">
      <c r="A867" s="236"/>
      <c r="B867" s="236"/>
      <c r="C867" s="236"/>
    </row>
    <row r="868">
      <c r="A868" s="236"/>
      <c r="B868" s="236"/>
      <c r="C868" s="236"/>
    </row>
    <row r="869">
      <c r="A869" s="236"/>
      <c r="B869" s="236"/>
      <c r="C869" s="236"/>
    </row>
    <row r="870">
      <c r="A870" s="236"/>
      <c r="B870" s="236"/>
      <c r="C870" s="236"/>
    </row>
    <row r="871">
      <c r="A871" s="236"/>
      <c r="B871" s="236"/>
      <c r="C871" s="236"/>
    </row>
    <row r="872">
      <c r="A872" s="236"/>
      <c r="B872" s="236"/>
      <c r="C872" s="236"/>
    </row>
    <row r="873">
      <c r="A873" s="236"/>
      <c r="B873" s="236"/>
      <c r="C873" s="236"/>
    </row>
    <row r="874">
      <c r="A874" s="236"/>
      <c r="B874" s="236"/>
      <c r="C874" s="236"/>
    </row>
    <row r="875">
      <c r="A875" s="236"/>
      <c r="B875" s="236"/>
      <c r="C875" s="236"/>
    </row>
    <row r="876">
      <c r="A876" s="236"/>
      <c r="B876" s="236"/>
      <c r="C876" s="236"/>
    </row>
    <row r="877">
      <c r="A877" s="236"/>
      <c r="B877" s="236"/>
      <c r="C877" s="236"/>
    </row>
    <row r="878">
      <c r="A878" s="236"/>
      <c r="B878" s="236"/>
      <c r="C878" s="236"/>
    </row>
    <row r="879">
      <c r="A879" s="236"/>
      <c r="B879" s="236"/>
      <c r="C879" s="236"/>
    </row>
    <row r="880">
      <c r="A880" s="236"/>
      <c r="B880" s="236"/>
      <c r="C880" s="236"/>
    </row>
    <row r="881">
      <c r="A881" s="236"/>
      <c r="B881" s="236"/>
      <c r="C881" s="236"/>
    </row>
    <row r="882">
      <c r="A882" s="236"/>
      <c r="B882" s="236"/>
      <c r="C882" s="236"/>
    </row>
    <row r="883">
      <c r="A883" s="236"/>
      <c r="B883" s="236"/>
      <c r="C883" s="236"/>
    </row>
    <row r="884">
      <c r="A884" s="236"/>
      <c r="B884" s="236"/>
      <c r="C884" s="236"/>
    </row>
    <row r="885">
      <c r="A885" s="236"/>
      <c r="B885" s="236"/>
      <c r="C885" s="236"/>
    </row>
    <row r="886">
      <c r="A886" s="236"/>
      <c r="B886" s="236"/>
      <c r="C886" s="236"/>
    </row>
    <row r="887">
      <c r="A887" s="236"/>
      <c r="B887" s="236"/>
      <c r="C887" s="236"/>
    </row>
    <row r="888">
      <c r="A888" s="236"/>
      <c r="B888" s="236"/>
      <c r="C888" s="236"/>
    </row>
    <row r="889">
      <c r="A889" s="236"/>
      <c r="B889" s="236"/>
      <c r="C889" s="236"/>
    </row>
    <row r="890">
      <c r="A890" s="236"/>
      <c r="B890" s="236"/>
      <c r="C890" s="236"/>
    </row>
    <row r="891">
      <c r="A891" s="236"/>
      <c r="B891" s="236"/>
      <c r="C891" s="236"/>
    </row>
    <row r="892">
      <c r="A892" s="236"/>
      <c r="B892" s="236"/>
      <c r="C892" s="236"/>
    </row>
    <row r="893">
      <c r="A893" s="236"/>
      <c r="B893" s="236"/>
      <c r="C893" s="236"/>
    </row>
    <row r="894">
      <c r="A894" s="236"/>
      <c r="B894" s="236"/>
      <c r="C894" s="236"/>
    </row>
    <row r="895">
      <c r="A895" s="236"/>
      <c r="B895" s="236"/>
      <c r="C895" s="236"/>
    </row>
    <row r="896">
      <c r="A896" s="236"/>
      <c r="B896" s="236"/>
      <c r="C896" s="236"/>
    </row>
    <row r="897">
      <c r="A897" s="236"/>
      <c r="B897" s="236"/>
      <c r="C897" s="236"/>
    </row>
    <row r="898">
      <c r="A898" s="236"/>
      <c r="B898" s="236"/>
      <c r="C898" s="236"/>
    </row>
    <row r="899">
      <c r="A899" s="236"/>
      <c r="B899" s="236"/>
      <c r="C899" s="236"/>
    </row>
    <row r="900">
      <c r="A900" s="236"/>
      <c r="B900" s="236"/>
      <c r="C900" s="236"/>
    </row>
    <row r="901">
      <c r="A901" s="236"/>
      <c r="B901" s="236"/>
      <c r="C901" s="236"/>
    </row>
    <row r="902">
      <c r="A902" s="236"/>
      <c r="B902" s="236"/>
      <c r="C902" s="236"/>
    </row>
    <row r="903">
      <c r="A903" s="236"/>
      <c r="B903" s="236"/>
      <c r="C903" s="236"/>
    </row>
    <row r="904">
      <c r="A904" s="236"/>
      <c r="B904" s="236"/>
      <c r="C904" s="236"/>
    </row>
    <row r="905">
      <c r="A905" s="236"/>
      <c r="B905" s="236"/>
      <c r="C905" s="236"/>
    </row>
    <row r="906">
      <c r="A906" s="236"/>
      <c r="B906" s="236"/>
      <c r="C906" s="236"/>
    </row>
    <row r="907">
      <c r="A907" s="236"/>
      <c r="B907" s="236"/>
      <c r="C907" s="236"/>
    </row>
    <row r="908">
      <c r="A908" s="236"/>
      <c r="B908" s="236"/>
      <c r="C908" s="236"/>
    </row>
    <row r="909">
      <c r="A909" s="236"/>
      <c r="B909" s="236"/>
      <c r="C909" s="236"/>
    </row>
    <row r="910">
      <c r="A910" s="236"/>
      <c r="B910" s="236"/>
      <c r="C910" s="236"/>
    </row>
    <row r="911">
      <c r="A911" s="236"/>
      <c r="B911" s="236"/>
      <c r="C911" s="236"/>
    </row>
    <row r="912">
      <c r="A912" s="236"/>
      <c r="B912" s="236"/>
      <c r="C912" s="236"/>
    </row>
    <row r="913">
      <c r="A913" s="236"/>
      <c r="B913" s="236"/>
      <c r="C913" s="236"/>
    </row>
    <row r="914">
      <c r="A914" s="236"/>
      <c r="B914" s="236"/>
      <c r="C914" s="236"/>
    </row>
    <row r="915">
      <c r="A915" s="236"/>
      <c r="B915" s="236"/>
      <c r="C915" s="236"/>
    </row>
    <row r="916">
      <c r="A916" s="236"/>
      <c r="B916" s="236"/>
      <c r="C916" s="236"/>
    </row>
    <row r="917">
      <c r="A917" s="236"/>
      <c r="B917" s="236"/>
      <c r="C917" s="236"/>
    </row>
    <row r="918">
      <c r="A918" s="236"/>
      <c r="B918" s="236"/>
      <c r="C918" s="236"/>
    </row>
    <row r="919">
      <c r="A919" s="236"/>
      <c r="B919" s="236"/>
      <c r="C919" s="236"/>
    </row>
    <row r="920">
      <c r="A920" s="236"/>
      <c r="B920" s="236"/>
      <c r="C920" s="236"/>
    </row>
    <row r="921">
      <c r="A921" s="236"/>
      <c r="B921" s="236"/>
      <c r="C921" s="236"/>
    </row>
    <row r="922">
      <c r="A922" s="236"/>
      <c r="B922" s="236"/>
      <c r="C922" s="236"/>
    </row>
    <row r="923">
      <c r="A923" s="236"/>
      <c r="B923" s="236"/>
      <c r="C923" s="236"/>
    </row>
    <row r="924">
      <c r="A924" s="236"/>
      <c r="B924" s="236"/>
      <c r="C924" s="236"/>
    </row>
    <row r="925">
      <c r="A925" s="236"/>
      <c r="B925" s="236"/>
      <c r="C925" s="236"/>
    </row>
    <row r="926">
      <c r="A926" s="236"/>
      <c r="B926" s="236"/>
      <c r="C926" s="236"/>
    </row>
    <row r="927">
      <c r="A927" s="236"/>
      <c r="B927" s="236"/>
      <c r="C927" s="236"/>
    </row>
    <row r="928">
      <c r="A928" s="236"/>
      <c r="B928" s="236"/>
      <c r="C928" s="236"/>
    </row>
    <row r="929">
      <c r="A929" s="236"/>
      <c r="B929" s="236"/>
      <c r="C929" s="236"/>
    </row>
    <row r="930">
      <c r="A930" s="236"/>
      <c r="B930" s="236"/>
      <c r="C930" s="236"/>
    </row>
    <row r="931">
      <c r="A931" s="236"/>
      <c r="B931" s="236"/>
      <c r="C931" s="236"/>
    </row>
    <row r="932">
      <c r="A932" s="236"/>
      <c r="B932" s="236"/>
      <c r="C932" s="236"/>
    </row>
    <row r="933">
      <c r="A933" s="236"/>
      <c r="B933" s="236"/>
      <c r="C933" s="236"/>
    </row>
    <row r="934">
      <c r="A934" s="236"/>
      <c r="B934" s="236"/>
      <c r="C934" s="236"/>
    </row>
    <row r="935">
      <c r="A935" s="236"/>
      <c r="B935" s="236"/>
      <c r="C935" s="236"/>
    </row>
    <row r="936">
      <c r="A936" s="236"/>
      <c r="B936" s="236"/>
      <c r="C936" s="236"/>
    </row>
    <row r="937">
      <c r="A937" s="236"/>
      <c r="B937" s="236"/>
      <c r="C937" s="236"/>
    </row>
    <row r="938">
      <c r="A938" s="236"/>
      <c r="B938" s="236"/>
      <c r="C938" s="236"/>
    </row>
    <row r="939">
      <c r="A939" s="236"/>
      <c r="B939" s="236"/>
      <c r="C939" s="236"/>
    </row>
    <row r="940">
      <c r="A940" s="236"/>
      <c r="B940" s="236"/>
      <c r="C940" s="236"/>
    </row>
    <row r="941">
      <c r="A941" s="236"/>
      <c r="B941" s="236"/>
      <c r="C941" s="236"/>
    </row>
    <row r="942">
      <c r="A942" s="236"/>
      <c r="B942" s="236"/>
      <c r="C942" s="236"/>
    </row>
    <row r="943">
      <c r="A943" s="236"/>
      <c r="B943" s="236"/>
      <c r="C943" s="236"/>
    </row>
    <row r="944">
      <c r="A944" s="236"/>
      <c r="B944" s="236"/>
      <c r="C944" s="236"/>
    </row>
    <row r="945">
      <c r="A945" s="236"/>
      <c r="B945" s="236"/>
      <c r="C945" s="236"/>
    </row>
    <row r="946">
      <c r="A946" s="236"/>
      <c r="B946" s="236"/>
      <c r="C946" s="236"/>
    </row>
    <row r="947">
      <c r="A947" s="236"/>
      <c r="B947" s="236"/>
      <c r="C947" s="236"/>
    </row>
    <row r="948">
      <c r="A948" s="236"/>
      <c r="B948" s="236"/>
      <c r="C948" s="236"/>
    </row>
    <row r="949">
      <c r="A949" s="236"/>
      <c r="B949" s="236"/>
      <c r="C949" s="236"/>
    </row>
    <row r="950">
      <c r="A950" s="236"/>
      <c r="B950" s="236"/>
      <c r="C950" s="236"/>
    </row>
    <row r="951">
      <c r="A951" s="236"/>
      <c r="B951" s="236"/>
      <c r="C951" s="236"/>
    </row>
    <row r="952">
      <c r="A952" s="236"/>
      <c r="B952" s="236"/>
      <c r="C952" s="236"/>
    </row>
    <row r="953">
      <c r="A953" s="236"/>
      <c r="B953" s="236"/>
      <c r="C953" s="236"/>
    </row>
    <row r="954">
      <c r="A954" s="236"/>
      <c r="B954" s="236"/>
      <c r="C954" s="236"/>
    </row>
    <row r="955">
      <c r="A955" s="236"/>
      <c r="B955" s="236"/>
      <c r="C955" s="236"/>
    </row>
    <row r="956">
      <c r="A956" s="236"/>
      <c r="B956" s="236"/>
      <c r="C956" s="236"/>
    </row>
    <row r="957">
      <c r="A957" s="236"/>
      <c r="B957" s="236"/>
      <c r="C957" s="236"/>
    </row>
    <row r="958">
      <c r="A958" s="236"/>
      <c r="B958" s="236"/>
      <c r="C958" s="236"/>
    </row>
    <row r="959">
      <c r="A959" s="236"/>
      <c r="B959" s="236"/>
      <c r="C959" s="236"/>
    </row>
    <row r="960">
      <c r="A960" s="236"/>
      <c r="B960" s="236"/>
      <c r="C960" s="236"/>
    </row>
    <row r="961">
      <c r="A961" s="236"/>
      <c r="B961" s="236"/>
      <c r="C961" s="236"/>
    </row>
    <row r="962">
      <c r="A962" s="236"/>
      <c r="B962" s="236"/>
      <c r="C962" s="236"/>
    </row>
    <row r="963">
      <c r="A963" s="236"/>
      <c r="B963" s="236"/>
      <c r="C963" s="236"/>
    </row>
    <row r="964">
      <c r="A964" s="236"/>
      <c r="B964" s="236"/>
      <c r="C964" s="236"/>
    </row>
    <row r="965">
      <c r="A965" s="236"/>
      <c r="B965" s="236"/>
      <c r="C965" s="236"/>
    </row>
    <row r="966">
      <c r="A966" s="236"/>
      <c r="B966" s="236"/>
      <c r="C966" s="236"/>
    </row>
    <row r="967">
      <c r="A967" s="236"/>
      <c r="B967" s="236"/>
      <c r="C967" s="236"/>
    </row>
    <row r="968">
      <c r="A968" s="236"/>
      <c r="B968" s="236"/>
      <c r="C968" s="236"/>
    </row>
    <row r="969">
      <c r="A969" s="236"/>
      <c r="B969" s="236"/>
      <c r="C969" s="236"/>
    </row>
    <row r="970">
      <c r="A970" s="236"/>
      <c r="B970" s="236"/>
      <c r="C970" s="236"/>
    </row>
    <row r="971">
      <c r="A971" s="236"/>
      <c r="B971" s="236"/>
      <c r="C971" s="236"/>
    </row>
    <row r="972">
      <c r="A972" s="236"/>
      <c r="B972" s="236"/>
      <c r="C972" s="236"/>
    </row>
    <row r="973">
      <c r="A973" s="236"/>
      <c r="B973" s="236"/>
      <c r="C973" s="236"/>
    </row>
    <row r="974">
      <c r="A974" s="236"/>
      <c r="B974" s="236"/>
      <c r="C974" s="236"/>
    </row>
    <row r="975">
      <c r="A975" s="236"/>
      <c r="B975" s="236"/>
      <c r="C975" s="236"/>
    </row>
    <row r="976">
      <c r="A976" s="236"/>
      <c r="B976" s="236"/>
      <c r="C976" s="236"/>
    </row>
    <row r="977">
      <c r="A977" s="236"/>
      <c r="B977" s="236"/>
      <c r="C977" s="236"/>
    </row>
    <row r="978">
      <c r="A978" s="236"/>
      <c r="B978" s="236"/>
      <c r="C978" s="236"/>
    </row>
    <row r="979">
      <c r="A979" s="236"/>
      <c r="B979" s="236"/>
      <c r="C979" s="236"/>
    </row>
  </sheetData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20.5"/>
    <col customWidth="1" min="5" max="5" width="26.13"/>
    <col hidden="1" min="8" max="18" width="12.63"/>
    <col customWidth="1" hidden="1" min="19" max="19" width="9.25"/>
    <col hidden="1" min="20" max="20" width="12.63"/>
  </cols>
  <sheetData>
    <row r="1">
      <c r="A1" s="12" t="s">
        <v>44</v>
      </c>
      <c r="B1" s="56" t="s">
        <v>1</v>
      </c>
      <c r="C1" s="248" t="s">
        <v>3706</v>
      </c>
      <c r="D1" s="114" t="s">
        <v>3707</v>
      </c>
      <c r="E1" s="165" t="s">
        <v>3708</v>
      </c>
      <c r="F1" s="166">
        <v>200.0</v>
      </c>
      <c r="H1" s="11" t="s">
        <v>252</v>
      </c>
      <c r="I1" s="60"/>
      <c r="J1" s="60"/>
      <c r="K1" s="308" t="s">
        <v>44</v>
      </c>
      <c r="L1" s="309" t="s">
        <v>1</v>
      </c>
      <c r="M1" s="11" t="s">
        <v>7669</v>
      </c>
      <c r="Q1" s="308" t="s">
        <v>6968</v>
      </c>
      <c r="R1" s="309" t="s">
        <v>1</v>
      </c>
    </row>
    <row r="2">
      <c r="A2" s="318" t="s">
        <v>1655</v>
      </c>
      <c r="B2" s="318">
        <v>986.0</v>
      </c>
      <c r="C2" s="284">
        <v>10.0</v>
      </c>
      <c r="D2" s="365"/>
      <c r="E2" s="168" t="s">
        <v>2008</v>
      </c>
      <c r="F2" s="366">
        <v>14.0</v>
      </c>
      <c r="H2" s="30">
        <v>1.0</v>
      </c>
      <c r="I2" s="21"/>
      <c r="J2" s="30"/>
      <c r="K2" s="312" t="s">
        <v>6970</v>
      </c>
      <c r="L2" s="97">
        <v>6675.0</v>
      </c>
      <c r="M2" s="11" t="s">
        <v>6971</v>
      </c>
      <c r="Q2" s="312" t="s">
        <v>1655</v>
      </c>
      <c r="R2" s="312">
        <v>986.0</v>
      </c>
      <c r="T2" s="30"/>
    </row>
    <row r="3">
      <c r="A3" s="367" t="s">
        <v>1657</v>
      </c>
      <c r="B3" s="367">
        <v>2345.0</v>
      </c>
      <c r="C3" s="284">
        <v>2.0</v>
      </c>
      <c r="D3" s="7"/>
      <c r="E3" s="168" t="s">
        <v>3709</v>
      </c>
      <c r="F3" s="366">
        <v>0.0</v>
      </c>
      <c r="H3" s="30">
        <v>1.0</v>
      </c>
      <c r="I3" s="21"/>
      <c r="J3" s="30"/>
      <c r="K3" s="312" t="s">
        <v>6972</v>
      </c>
      <c r="L3" s="97">
        <v>663.0</v>
      </c>
      <c r="O3" s="11"/>
      <c r="Q3" s="312" t="s">
        <v>1657</v>
      </c>
      <c r="R3" s="312">
        <v>2345.0</v>
      </c>
      <c r="S3" s="30"/>
    </row>
    <row r="4">
      <c r="A4" s="368" t="s">
        <v>1658</v>
      </c>
      <c r="B4" s="368">
        <v>189.0</v>
      </c>
      <c r="C4" s="284">
        <v>2345.0</v>
      </c>
      <c r="D4" s="7"/>
      <c r="E4" s="168" t="s">
        <v>3710</v>
      </c>
      <c r="F4" s="369">
        <v>47.0</v>
      </c>
      <c r="H4" s="34" t="e">
        <v>#N/A</v>
      </c>
      <c r="I4" s="21"/>
      <c r="J4" s="30"/>
      <c r="K4" s="312" t="s">
        <v>6973</v>
      </c>
      <c r="L4" s="97">
        <v>6924.0</v>
      </c>
      <c r="Q4" s="313" t="s">
        <v>1658</v>
      </c>
      <c r="R4" s="313">
        <v>2345.0</v>
      </c>
      <c r="S4" s="34"/>
      <c r="T4" s="34"/>
    </row>
    <row r="5">
      <c r="A5" s="367" t="s">
        <v>1659</v>
      </c>
      <c r="B5" s="367">
        <v>663.0</v>
      </c>
      <c r="C5" s="284">
        <v>3.0</v>
      </c>
      <c r="D5" s="7"/>
      <c r="E5" s="168" t="s">
        <v>3711</v>
      </c>
      <c r="F5" s="172">
        <v>138.0</v>
      </c>
      <c r="H5" s="30">
        <v>1.0</v>
      </c>
      <c r="I5" s="21"/>
      <c r="J5" s="30"/>
      <c r="K5" s="312" t="s">
        <v>6974</v>
      </c>
      <c r="L5" s="97">
        <v>7100.0</v>
      </c>
      <c r="N5" s="314" t="s">
        <v>7670</v>
      </c>
      <c r="Q5" s="312" t="s">
        <v>1659</v>
      </c>
      <c r="R5" s="312">
        <v>663.0</v>
      </c>
      <c r="S5" s="30"/>
      <c r="T5" s="30"/>
    </row>
    <row r="6">
      <c r="A6" s="318" t="s">
        <v>1660</v>
      </c>
      <c r="B6" s="318">
        <v>189.0</v>
      </c>
      <c r="C6" s="284">
        <v>33.0</v>
      </c>
      <c r="D6" s="365"/>
      <c r="E6" s="168" t="s">
        <v>3712</v>
      </c>
      <c r="F6" s="173">
        <v>0.0</v>
      </c>
      <c r="H6" s="30">
        <v>1.0</v>
      </c>
      <c r="I6" s="21"/>
      <c r="J6" s="30"/>
      <c r="K6" s="312" t="s">
        <v>6976</v>
      </c>
      <c r="L6" s="97">
        <v>7104.0</v>
      </c>
      <c r="N6" s="11" t="s">
        <v>6977</v>
      </c>
      <c r="Q6" s="312" t="s">
        <v>1660</v>
      </c>
      <c r="R6" s="312">
        <v>189.0</v>
      </c>
      <c r="S6" s="30"/>
      <c r="T6" s="30"/>
    </row>
    <row r="7">
      <c r="A7" s="367" t="s">
        <v>1661</v>
      </c>
      <c r="B7" s="367">
        <v>189.0</v>
      </c>
      <c r="C7" s="284">
        <v>1.0</v>
      </c>
      <c r="H7" s="30">
        <v>1.0</v>
      </c>
      <c r="I7" s="21"/>
      <c r="J7" s="30"/>
      <c r="K7" s="312" t="s">
        <v>6978</v>
      </c>
      <c r="L7" s="97">
        <v>6728.0</v>
      </c>
      <c r="Q7" s="312" t="s">
        <v>1661</v>
      </c>
      <c r="R7" s="312">
        <v>189.0</v>
      </c>
      <c r="S7" s="30"/>
      <c r="T7" s="30"/>
    </row>
    <row r="8">
      <c r="A8" s="368" t="s">
        <v>1664</v>
      </c>
      <c r="B8" s="368">
        <v>189.0</v>
      </c>
      <c r="C8" s="284">
        <v>189.0</v>
      </c>
      <c r="H8" s="34" t="e">
        <v>#N/A</v>
      </c>
      <c r="I8" s="21"/>
      <c r="J8" s="30"/>
      <c r="K8" s="312" t="s">
        <v>6979</v>
      </c>
      <c r="L8" s="97">
        <v>189.0</v>
      </c>
      <c r="Q8" s="313" t="s">
        <v>1664</v>
      </c>
      <c r="R8" s="313">
        <v>189.0</v>
      </c>
      <c r="S8" s="34"/>
      <c r="T8" s="34"/>
    </row>
    <row r="9">
      <c r="A9" s="318" t="s">
        <v>1665</v>
      </c>
      <c r="B9" s="318">
        <v>6675.0</v>
      </c>
      <c r="C9" s="284">
        <v>11.0</v>
      </c>
      <c r="H9" s="30">
        <v>1.0</v>
      </c>
      <c r="I9" s="21"/>
      <c r="J9" s="30"/>
      <c r="K9" s="312" t="s">
        <v>6980</v>
      </c>
      <c r="L9" s="97">
        <v>189.0</v>
      </c>
      <c r="Q9" s="312" t="s">
        <v>1665</v>
      </c>
      <c r="R9" s="312">
        <v>6675.0</v>
      </c>
      <c r="T9" s="30"/>
    </row>
    <row r="10">
      <c r="A10" s="367" t="s">
        <v>1666</v>
      </c>
      <c r="B10" s="367">
        <v>7010.0</v>
      </c>
      <c r="C10" s="284">
        <v>7.0</v>
      </c>
      <c r="E10" s="174"/>
      <c r="F10" s="39"/>
      <c r="H10" s="30">
        <v>1.0</v>
      </c>
      <c r="I10" s="21"/>
      <c r="J10" s="30"/>
      <c r="K10" s="312" t="s">
        <v>6981</v>
      </c>
      <c r="L10" s="97">
        <v>6729.0</v>
      </c>
      <c r="Q10" s="312" t="s">
        <v>1666</v>
      </c>
      <c r="R10" s="312">
        <v>7010.0</v>
      </c>
      <c r="S10" s="315">
        <v>7010.0</v>
      </c>
      <c r="T10" s="30"/>
    </row>
    <row r="11">
      <c r="A11" s="367" t="s">
        <v>1667</v>
      </c>
      <c r="B11" s="367">
        <v>7158.0</v>
      </c>
      <c r="C11" s="284">
        <v>1.0</v>
      </c>
      <c r="E11" s="174"/>
      <c r="F11" s="39"/>
      <c r="H11" s="30">
        <v>1.0</v>
      </c>
      <c r="I11" s="21"/>
      <c r="J11" s="30"/>
      <c r="K11" s="312" t="s">
        <v>6982</v>
      </c>
      <c r="L11" s="97">
        <v>6675.0</v>
      </c>
      <c r="Q11" s="312" t="s">
        <v>1667</v>
      </c>
      <c r="R11" s="312">
        <v>7158.0</v>
      </c>
      <c r="S11" s="315">
        <v>7158.0</v>
      </c>
      <c r="T11" s="30"/>
    </row>
    <row r="12">
      <c r="A12" s="368" t="s">
        <v>1668</v>
      </c>
      <c r="B12" s="368">
        <v>7747.0</v>
      </c>
      <c r="C12" s="284">
        <v>3616.0</v>
      </c>
      <c r="E12" s="174"/>
      <c r="F12" s="39"/>
      <c r="H12" s="34" t="e">
        <v>#N/A</v>
      </c>
      <c r="I12" s="21"/>
      <c r="J12" s="30"/>
      <c r="K12" s="312" t="s">
        <v>6983</v>
      </c>
      <c r="L12" s="97">
        <v>986.0</v>
      </c>
      <c r="Q12" s="313" t="s">
        <v>1668</v>
      </c>
      <c r="R12" s="313">
        <v>3616.0</v>
      </c>
      <c r="S12" s="34"/>
      <c r="T12" s="34"/>
    </row>
    <row r="13">
      <c r="A13" s="318" t="s">
        <v>1669</v>
      </c>
      <c r="B13" s="318">
        <v>189.0</v>
      </c>
      <c r="C13" s="284">
        <v>12.0</v>
      </c>
      <c r="E13" s="174"/>
      <c r="F13" s="39"/>
      <c r="H13" s="30">
        <v>1.0</v>
      </c>
      <c r="I13" s="21"/>
      <c r="J13" s="30"/>
      <c r="K13" s="312" t="s">
        <v>6984</v>
      </c>
      <c r="L13" s="97">
        <v>986.0</v>
      </c>
      <c r="Q13" s="312" t="s">
        <v>1669</v>
      </c>
      <c r="R13" s="312">
        <v>189.0</v>
      </c>
      <c r="S13" s="30"/>
      <c r="T13" s="30"/>
    </row>
    <row r="14">
      <c r="A14" s="367" t="s">
        <v>1670</v>
      </c>
      <c r="B14" s="367">
        <v>6133.0</v>
      </c>
      <c r="C14" s="284">
        <v>6.0</v>
      </c>
      <c r="E14" s="174"/>
      <c r="F14" s="39"/>
      <c r="H14" s="30">
        <v>1.0</v>
      </c>
      <c r="I14" s="21"/>
      <c r="J14" s="30"/>
      <c r="K14" s="312" t="s">
        <v>6985</v>
      </c>
      <c r="L14" s="97">
        <v>3381.0</v>
      </c>
      <c r="Q14" s="312" t="s">
        <v>1670</v>
      </c>
      <c r="R14" s="312">
        <v>6133.0</v>
      </c>
      <c r="S14" s="30"/>
      <c r="T14" s="30"/>
    </row>
    <row r="15">
      <c r="A15" s="367" t="s">
        <v>1671</v>
      </c>
      <c r="B15" s="12">
        <v>6924.0</v>
      </c>
      <c r="C15" s="284">
        <v>5.0</v>
      </c>
      <c r="E15" s="174"/>
      <c r="F15" s="39"/>
      <c r="H15" s="30">
        <v>1.0</v>
      </c>
      <c r="I15" s="21"/>
      <c r="J15" s="30"/>
      <c r="K15" s="312" t="s">
        <v>6986</v>
      </c>
      <c r="L15" s="316">
        <v>6893.0</v>
      </c>
      <c r="Q15" s="312" t="s">
        <v>1671</v>
      </c>
      <c r="R15" s="11">
        <v>6924.0</v>
      </c>
      <c r="S15" s="11">
        <v>8486.0</v>
      </c>
      <c r="T15" s="312">
        <v>4514.0</v>
      </c>
    </row>
    <row r="16">
      <c r="A16" s="368" t="s">
        <v>1676</v>
      </c>
      <c r="B16" s="368">
        <v>6779.0</v>
      </c>
      <c r="C16" s="284">
        <v>2345.0</v>
      </c>
      <c r="E16" s="174"/>
      <c r="F16" s="39"/>
      <c r="H16" s="34" t="e">
        <v>#N/A</v>
      </c>
      <c r="I16" s="21"/>
      <c r="J16" s="30"/>
      <c r="K16" s="312" t="s">
        <v>6987</v>
      </c>
      <c r="L16" s="97">
        <v>3307.0</v>
      </c>
      <c r="Q16" s="313" t="s">
        <v>1676</v>
      </c>
      <c r="R16" s="313">
        <v>2345.0</v>
      </c>
      <c r="S16" s="34"/>
      <c r="T16" s="34"/>
    </row>
    <row r="17">
      <c r="A17" s="368" t="s">
        <v>1717</v>
      </c>
      <c r="B17" s="368"/>
      <c r="C17" s="284">
        <v>7747.0</v>
      </c>
      <c r="D17" s="59"/>
      <c r="E17" s="174"/>
      <c r="F17" s="39"/>
      <c r="H17" s="34" t="e">
        <v>#N/A</v>
      </c>
      <c r="I17" s="21"/>
      <c r="J17" s="30"/>
      <c r="K17" s="312" t="s">
        <v>6988</v>
      </c>
      <c r="L17" s="97">
        <v>7168.0</v>
      </c>
      <c r="Q17" s="313" t="s">
        <v>1717</v>
      </c>
      <c r="R17" s="313">
        <v>7747.0</v>
      </c>
      <c r="S17" s="34"/>
      <c r="T17" s="34"/>
    </row>
    <row r="18">
      <c r="A18" s="368" t="s">
        <v>1677</v>
      </c>
      <c r="B18" s="368"/>
      <c r="C18" s="284">
        <v>136.0</v>
      </c>
      <c r="E18" s="174"/>
      <c r="F18" s="39"/>
      <c r="H18" s="34" t="e">
        <v>#N/A</v>
      </c>
      <c r="I18" s="21"/>
      <c r="J18" s="30"/>
      <c r="K18" s="312" t="s">
        <v>6989</v>
      </c>
      <c r="L18" s="97">
        <v>6947.0</v>
      </c>
      <c r="Q18" s="313" t="s">
        <v>1677</v>
      </c>
      <c r="R18" s="313">
        <v>136.0</v>
      </c>
      <c r="S18" s="34"/>
      <c r="T18" s="34"/>
    </row>
    <row r="19">
      <c r="A19" s="367" t="s">
        <v>1678</v>
      </c>
      <c r="B19" s="367">
        <v>6772.0</v>
      </c>
      <c r="C19" s="284">
        <v>7.0</v>
      </c>
      <c r="E19" s="174"/>
      <c r="F19" s="39"/>
      <c r="H19" s="30">
        <v>1.0</v>
      </c>
      <c r="I19" s="21"/>
      <c r="J19" s="30"/>
      <c r="K19" s="312" t="s">
        <v>6990</v>
      </c>
      <c r="L19" s="97">
        <v>6924.0</v>
      </c>
      <c r="Q19" s="312" t="s">
        <v>1678</v>
      </c>
      <c r="R19" s="312">
        <v>6772.0</v>
      </c>
      <c r="S19" s="30"/>
      <c r="T19" s="30"/>
    </row>
    <row r="20">
      <c r="A20" s="367" t="s">
        <v>1679</v>
      </c>
      <c r="B20" s="367">
        <v>7033.0</v>
      </c>
      <c r="C20" s="284">
        <v>2.0</v>
      </c>
      <c r="E20" s="174"/>
      <c r="F20" s="39"/>
      <c r="H20" s="30">
        <v>1.0</v>
      </c>
      <c r="I20" s="21"/>
      <c r="J20" s="30"/>
      <c r="K20" s="312" t="s">
        <v>6991</v>
      </c>
      <c r="L20" s="97"/>
      <c r="Q20" s="312" t="s">
        <v>1679</v>
      </c>
      <c r="R20" s="312">
        <v>7033.0</v>
      </c>
      <c r="S20" s="30"/>
      <c r="T20" s="30"/>
    </row>
    <row r="21">
      <c r="A21" s="368" t="s">
        <v>1680</v>
      </c>
      <c r="B21" s="368"/>
      <c r="C21" s="284">
        <v>5125.0</v>
      </c>
      <c r="E21" s="174"/>
      <c r="F21" s="39"/>
      <c r="H21" s="34" t="e">
        <v>#N/A</v>
      </c>
      <c r="I21" s="21"/>
      <c r="J21" s="30"/>
      <c r="K21" s="312" t="s">
        <v>6992</v>
      </c>
      <c r="L21" s="97">
        <v>6133.0</v>
      </c>
      <c r="Q21" s="313" t="s">
        <v>1680</v>
      </c>
      <c r="R21" s="313">
        <v>5125.0</v>
      </c>
      <c r="S21" s="34"/>
      <c r="T21" s="34"/>
    </row>
    <row r="22">
      <c r="A22" s="318" t="s">
        <v>1681</v>
      </c>
      <c r="B22" s="318">
        <v>6947.0</v>
      </c>
      <c r="C22" s="284">
        <v>19.0</v>
      </c>
      <c r="E22" s="174"/>
      <c r="F22" s="39"/>
      <c r="H22" s="30">
        <v>1.0</v>
      </c>
      <c r="I22" s="21"/>
      <c r="J22" s="30"/>
      <c r="K22" s="312" t="s">
        <v>6993</v>
      </c>
      <c r="L22" s="97">
        <v>7244.0</v>
      </c>
      <c r="Q22" s="312" t="s">
        <v>1681</v>
      </c>
      <c r="R22" s="312">
        <v>6947.0</v>
      </c>
      <c r="S22" s="30"/>
      <c r="T22" s="30"/>
    </row>
    <row r="23">
      <c r="A23" s="367" t="s">
        <v>1682</v>
      </c>
      <c r="B23" s="12">
        <v>6893.0</v>
      </c>
      <c r="C23" s="284">
        <v>2.0</v>
      </c>
      <c r="E23" s="174"/>
      <c r="F23" s="39"/>
      <c r="H23" s="34" t="e">
        <v>#N/A</v>
      </c>
      <c r="I23" s="21"/>
      <c r="J23" s="30"/>
      <c r="K23" s="312" t="s">
        <v>6994</v>
      </c>
      <c r="L23" s="97">
        <v>5458.0</v>
      </c>
      <c r="Q23" s="313" t="s">
        <v>1682</v>
      </c>
      <c r="R23" s="35">
        <v>6893.0</v>
      </c>
      <c r="S23" s="34"/>
      <c r="T23" s="34"/>
    </row>
    <row r="24">
      <c r="A24" s="367" t="s">
        <v>1683</v>
      </c>
      <c r="B24" s="367">
        <v>2345.0</v>
      </c>
      <c r="C24" s="284">
        <v>8.0</v>
      </c>
      <c r="E24" s="174"/>
      <c r="F24" s="39"/>
      <c r="H24" s="30">
        <v>1.0</v>
      </c>
      <c r="I24" s="21"/>
      <c r="J24" s="30"/>
      <c r="K24" s="312" t="s">
        <v>6995</v>
      </c>
      <c r="L24" s="97">
        <v>5458.0</v>
      </c>
      <c r="Q24" s="312" t="s">
        <v>1683</v>
      </c>
      <c r="R24" s="312">
        <v>2345.0</v>
      </c>
      <c r="S24" s="30"/>
      <c r="T24" s="30"/>
    </row>
    <row r="25">
      <c r="A25" s="367" t="s">
        <v>1684</v>
      </c>
      <c r="B25" s="367">
        <v>12346.0</v>
      </c>
      <c r="C25" s="284" t="e">
        <v>#N/A</v>
      </c>
      <c r="D25" s="11" t="s">
        <v>7671</v>
      </c>
      <c r="E25" s="174"/>
      <c r="F25" s="39"/>
      <c r="H25" s="34" t="e">
        <v>#N/A</v>
      </c>
      <c r="I25" s="21"/>
      <c r="J25" s="30"/>
      <c r="K25" s="312" t="s">
        <v>6996</v>
      </c>
      <c r="L25" s="97">
        <v>7040.0</v>
      </c>
      <c r="Q25" s="313" t="s">
        <v>1684</v>
      </c>
      <c r="R25" s="313">
        <v>6732.0</v>
      </c>
      <c r="S25" s="34"/>
      <c r="T25" s="34"/>
    </row>
    <row r="26">
      <c r="A26" s="368" t="s">
        <v>1685</v>
      </c>
      <c r="B26" s="368"/>
      <c r="C26" s="284">
        <v>6732.0</v>
      </c>
      <c r="E26" s="174"/>
      <c r="F26" s="39"/>
      <c r="H26" s="34" t="e">
        <v>#N/A</v>
      </c>
      <c r="I26" s="21"/>
      <c r="J26" s="30"/>
      <c r="K26" s="312" t="s">
        <v>6997</v>
      </c>
      <c r="L26" s="97">
        <v>7033.0</v>
      </c>
      <c r="Q26" s="313" t="s">
        <v>1685</v>
      </c>
      <c r="R26" s="313">
        <v>6732.0</v>
      </c>
      <c r="S26" s="34"/>
      <c r="T26" s="34"/>
    </row>
    <row r="27">
      <c r="A27" s="368" t="s">
        <v>1686</v>
      </c>
      <c r="B27" s="368"/>
      <c r="C27" s="284">
        <v>6732.0</v>
      </c>
      <c r="E27" s="174"/>
      <c r="F27" s="39"/>
      <c r="H27" s="34" t="e">
        <v>#N/A</v>
      </c>
      <c r="I27" s="21"/>
      <c r="J27" s="30"/>
      <c r="K27" s="312" t="s">
        <v>6998</v>
      </c>
      <c r="L27" s="317"/>
      <c r="Q27" s="313" t="s">
        <v>1686</v>
      </c>
      <c r="R27" s="313">
        <v>6732.0</v>
      </c>
      <c r="S27" s="34"/>
      <c r="T27" s="34"/>
    </row>
    <row r="28">
      <c r="A28" s="368" t="s">
        <v>1687</v>
      </c>
      <c r="B28" s="370"/>
      <c r="C28" s="284">
        <v>6728.0</v>
      </c>
      <c r="E28" s="174"/>
      <c r="F28" s="39"/>
      <c r="H28" s="34" t="e">
        <v>#N/A</v>
      </c>
      <c r="I28" s="21"/>
      <c r="J28" s="30"/>
      <c r="K28" s="312" t="s">
        <v>6999</v>
      </c>
      <c r="L28" s="97">
        <v>7023.0</v>
      </c>
      <c r="Q28" s="313" t="s">
        <v>1687</v>
      </c>
      <c r="R28" s="35">
        <v>6728.0</v>
      </c>
      <c r="S28" s="313">
        <v>6732.0</v>
      </c>
      <c r="T28" s="34"/>
    </row>
    <row r="29">
      <c r="A29" s="367" t="s">
        <v>1688</v>
      </c>
      <c r="B29" s="367">
        <v>6671.0</v>
      </c>
      <c r="C29" s="284">
        <v>1.0</v>
      </c>
      <c r="E29" s="174"/>
      <c r="F29" s="39"/>
      <c r="H29" s="30">
        <v>1.0</v>
      </c>
      <c r="I29" s="21"/>
      <c r="J29" s="30"/>
      <c r="K29" s="312" t="s">
        <v>7000</v>
      </c>
      <c r="L29" s="97">
        <v>6132.0</v>
      </c>
      <c r="Q29" s="312" t="s">
        <v>1688</v>
      </c>
      <c r="R29" s="312">
        <v>6671.0</v>
      </c>
      <c r="S29" s="30"/>
      <c r="T29" s="30"/>
    </row>
    <row r="30">
      <c r="A30" s="368" t="s">
        <v>1689</v>
      </c>
      <c r="B30" s="368"/>
      <c r="C30" s="284">
        <v>14065.0</v>
      </c>
      <c r="E30" s="174"/>
      <c r="F30" s="39"/>
      <c r="H30" s="34" t="e">
        <v>#N/A</v>
      </c>
      <c r="I30" s="21"/>
      <c r="J30" s="30"/>
      <c r="K30" s="312" t="s">
        <v>7001</v>
      </c>
      <c r="L30" s="97">
        <v>6671.0</v>
      </c>
      <c r="Q30" s="313" t="s">
        <v>1689</v>
      </c>
      <c r="R30" s="313">
        <v>14065.0</v>
      </c>
      <c r="S30" s="34">
        <v>4933.0</v>
      </c>
      <c r="T30" s="34"/>
    </row>
    <row r="31">
      <c r="A31" s="368" t="s">
        <v>1690</v>
      </c>
      <c r="B31" s="368"/>
      <c r="C31" s="284">
        <v>2507.0</v>
      </c>
      <c r="E31" s="174"/>
      <c r="F31" s="39"/>
      <c r="H31" s="34" t="e">
        <v>#N/A</v>
      </c>
      <c r="I31" s="21"/>
      <c r="J31" s="30"/>
      <c r="K31" s="312" t="s">
        <v>7002</v>
      </c>
      <c r="L31" s="97">
        <v>5125.0</v>
      </c>
      <c r="Q31" s="313" t="s">
        <v>1690</v>
      </c>
      <c r="R31" s="313">
        <v>2507.0</v>
      </c>
      <c r="S31" s="34">
        <v>4933.0</v>
      </c>
      <c r="T31" s="34"/>
    </row>
    <row r="32">
      <c r="A32" s="318" t="s">
        <v>1692</v>
      </c>
      <c r="B32" s="318">
        <v>10141.0</v>
      </c>
      <c r="C32" s="284">
        <v>12.0</v>
      </c>
      <c r="E32" s="174"/>
      <c r="F32" s="39"/>
      <c r="H32" s="30">
        <v>1.0</v>
      </c>
      <c r="I32" s="21"/>
      <c r="J32" s="30"/>
      <c r="K32" s="312" t="s">
        <v>7003</v>
      </c>
      <c r="L32" s="97">
        <v>7416.0</v>
      </c>
      <c r="Q32" s="312" t="s">
        <v>1692</v>
      </c>
      <c r="R32" s="312">
        <v>10141.0</v>
      </c>
      <c r="S32" s="30"/>
      <c r="T32" s="30"/>
    </row>
    <row r="33">
      <c r="A33" s="368" t="s">
        <v>1693</v>
      </c>
      <c r="B33" s="368"/>
      <c r="C33" s="284">
        <v>6675.0</v>
      </c>
      <c r="E33" s="174"/>
      <c r="F33" s="39"/>
      <c r="H33" s="34" t="e">
        <v>#N/A</v>
      </c>
      <c r="I33" s="21"/>
      <c r="J33" s="30"/>
      <c r="K33" s="312" t="s">
        <v>7004</v>
      </c>
      <c r="L33" s="97">
        <v>11601.0</v>
      </c>
      <c r="Q33" s="313" t="s">
        <v>1693</v>
      </c>
      <c r="R33" s="313">
        <v>6675.0</v>
      </c>
      <c r="S33" s="34"/>
      <c r="T33" s="34"/>
    </row>
    <row r="34">
      <c r="A34" s="367" t="s">
        <v>1694</v>
      </c>
      <c r="B34" s="367">
        <v>6875.0</v>
      </c>
      <c r="C34" s="284">
        <v>3.0</v>
      </c>
      <c r="E34" s="174"/>
      <c r="F34" s="39"/>
      <c r="H34" s="30">
        <v>1.0</v>
      </c>
      <c r="I34" s="21"/>
      <c r="J34" s="30"/>
      <c r="K34" s="312" t="s">
        <v>7005</v>
      </c>
      <c r="L34" s="97">
        <v>2345.0</v>
      </c>
      <c r="Q34" s="312" t="s">
        <v>1694</v>
      </c>
      <c r="R34" s="312">
        <v>6875.0</v>
      </c>
      <c r="S34" s="30"/>
      <c r="T34" s="30"/>
    </row>
    <row r="35">
      <c r="A35" s="368" t="s">
        <v>1695</v>
      </c>
      <c r="B35" s="368"/>
      <c r="C35" s="284">
        <v>6669.0</v>
      </c>
      <c r="E35" s="174"/>
      <c r="F35" s="39"/>
      <c r="H35" s="34" t="e">
        <v>#N/A</v>
      </c>
      <c r="I35" s="21"/>
      <c r="J35" s="30"/>
      <c r="K35" s="312" t="s">
        <v>7006</v>
      </c>
      <c r="L35" s="317"/>
      <c r="Q35" s="313" t="s">
        <v>1695</v>
      </c>
      <c r="R35" s="313">
        <v>6669.0</v>
      </c>
      <c r="S35" s="34"/>
      <c r="T35" s="34"/>
    </row>
    <row r="36">
      <c r="A36" s="318" t="s">
        <v>1696</v>
      </c>
      <c r="B36" s="318">
        <v>6729.0</v>
      </c>
      <c r="C36" s="284">
        <v>14.0</v>
      </c>
      <c r="E36" s="174"/>
      <c r="F36" s="39"/>
      <c r="H36" s="30">
        <v>1.0</v>
      </c>
      <c r="I36" s="21"/>
      <c r="J36" s="30"/>
      <c r="K36" s="312" t="s">
        <v>7007</v>
      </c>
      <c r="L36" s="97">
        <v>6658.0</v>
      </c>
      <c r="Q36" s="312" t="s">
        <v>1696</v>
      </c>
      <c r="R36" s="312">
        <v>6729.0</v>
      </c>
      <c r="S36" s="312">
        <v>6669.0</v>
      </c>
      <c r="T36" s="30"/>
    </row>
    <row r="37">
      <c r="A37" s="368" t="s">
        <v>1697</v>
      </c>
      <c r="B37" s="368"/>
      <c r="C37" s="284">
        <v>6669.0</v>
      </c>
      <c r="D37" s="59"/>
      <c r="E37" s="174"/>
      <c r="F37" s="39"/>
      <c r="H37" s="34" t="e">
        <v>#N/A</v>
      </c>
      <c r="I37" s="21"/>
      <c r="J37" s="30"/>
      <c r="K37" s="312" t="s">
        <v>7008</v>
      </c>
      <c r="L37" s="97">
        <v>3607.0</v>
      </c>
      <c r="Q37" s="313" t="s">
        <v>1697</v>
      </c>
      <c r="R37" s="313">
        <v>6669.0</v>
      </c>
      <c r="S37" s="34"/>
      <c r="T37" s="34"/>
    </row>
    <row r="38">
      <c r="A38" s="367" t="s">
        <v>1719</v>
      </c>
      <c r="B38" s="367">
        <v>6133.0</v>
      </c>
      <c r="C38" s="284">
        <v>1.0</v>
      </c>
      <c r="E38" s="174"/>
      <c r="F38" s="39"/>
      <c r="H38" s="34" t="e">
        <v>#N/A</v>
      </c>
      <c r="I38" s="21"/>
      <c r="J38" s="30"/>
      <c r="K38" s="312" t="s">
        <v>7009</v>
      </c>
      <c r="L38" s="97">
        <v>3607.0</v>
      </c>
      <c r="Q38" s="313" t="s">
        <v>1719</v>
      </c>
      <c r="R38" s="313">
        <v>6133.0</v>
      </c>
      <c r="S38" s="34"/>
      <c r="T38" s="34"/>
    </row>
    <row r="39">
      <c r="A39" s="368" t="s">
        <v>1720</v>
      </c>
      <c r="B39" s="368"/>
      <c r="C39" s="284">
        <v>8199.0</v>
      </c>
      <c r="E39" s="174"/>
      <c r="F39" s="39"/>
      <c r="H39" s="34" t="e">
        <v>#N/A</v>
      </c>
      <c r="I39" s="21"/>
      <c r="J39" s="30"/>
      <c r="K39" s="312" t="s">
        <v>7010</v>
      </c>
      <c r="L39" s="97">
        <v>3607.0</v>
      </c>
      <c r="Q39" s="313" t="s">
        <v>1720</v>
      </c>
      <c r="R39" s="313">
        <v>8199.0</v>
      </c>
      <c r="S39" s="34"/>
      <c r="T39" s="34"/>
    </row>
    <row r="40">
      <c r="A40" s="368" t="s">
        <v>1698</v>
      </c>
      <c r="B40" s="368"/>
      <c r="C40" s="284">
        <v>8199.0</v>
      </c>
      <c r="E40" s="174"/>
      <c r="F40" s="39"/>
      <c r="H40" s="34" t="e">
        <v>#N/A</v>
      </c>
      <c r="I40" s="21"/>
      <c r="J40" s="30"/>
      <c r="K40" s="312" t="s">
        <v>7011</v>
      </c>
      <c r="L40" s="97">
        <v>3607.0</v>
      </c>
      <c r="Q40" s="313" t="s">
        <v>1698</v>
      </c>
      <c r="R40" s="313">
        <v>8199.0</v>
      </c>
      <c r="S40" s="34"/>
      <c r="T40" s="34"/>
    </row>
    <row r="41">
      <c r="A41" s="368" t="s">
        <v>1699</v>
      </c>
      <c r="B41" s="368"/>
      <c r="C41" s="284">
        <v>930.0</v>
      </c>
      <c r="E41" s="174"/>
      <c r="F41" s="39"/>
      <c r="H41" s="30">
        <v>1.0</v>
      </c>
      <c r="I41" s="21"/>
      <c r="J41" s="30"/>
      <c r="K41" s="312" t="s">
        <v>7012</v>
      </c>
      <c r="L41" s="97">
        <v>2345.0</v>
      </c>
      <c r="Q41" s="312" t="s">
        <v>1699</v>
      </c>
      <c r="R41" s="312">
        <v>930.0</v>
      </c>
      <c r="S41" s="30"/>
      <c r="T41" s="30"/>
    </row>
    <row r="42">
      <c r="A42" s="367" t="s">
        <v>1700</v>
      </c>
      <c r="B42" s="367">
        <v>3689.0</v>
      </c>
      <c r="C42" s="284">
        <v>1.0</v>
      </c>
      <c r="E42" s="174"/>
      <c r="F42" s="39"/>
      <c r="H42" s="30">
        <v>1.0</v>
      </c>
      <c r="I42" s="21"/>
      <c r="J42" s="30"/>
      <c r="K42" s="312" t="s">
        <v>7013</v>
      </c>
      <c r="L42" s="317"/>
      <c r="Q42" s="312" t="s">
        <v>1700</v>
      </c>
      <c r="R42" s="312">
        <v>3689.0</v>
      </c>
      <c r="S42" s="30"/>
      <c r="T42" s="30"/>
    </row>
    <row r="43">
      <c r="A43" s="367" t="s">
        <v>1701</v>
      </c>
      <c r="B43" s="367">
        <v>10856.0</v>
      </c>
      <c r="C43" s="284">
        <v>4.0</v>
      </c>
      <c r="E43" s="174"/>
      <c r="F43" s="39"/>
      <c r="H43" s="30">
        <v>1.0</v>
      </c>
      <c r="I43" s="21"/>
      <c r="J43" s="30"/>
      <c r="K43" s="312" t="s">
        <v>7014</v>
      </c>
      <c r="L43" s="97">
        <v>3607.0</v>
      </c>
      <c r="Q43" s="312" t="s">
        <v>1701</v>
      </c>
      <c r="R43" s="312">
        <v>10856.0</v>
      </c>
      <c r="S43" s="30"/>
      <c r="T43" s="30"/>
    </row>
    <row r="44">
      <c r="A44" s="318" t="s">
        <v>1702</v>
      </c>
      <c r="B44" s="318">
        <v>7100.0</v>
      </c>
      <c r="C44" s="284">
        <v>11.0</v>
      </c>
      <c r="E44" s="174"/>
      <c r="F44" s="39"/>
      <c r="H44" s="30">
        <v>1.0</v>
      </c>
      <c r="I44" s="21"/>
      <c r="J44" s="30"/>
      <c r="K44" s="312" t="s">
        <v>7015</v>
      </c>
      <c r="L44" s="97">
        <v>3607.0</v>
      </c>
      <c r="Q44" s="312" t="s">
        <v>1702</v>
      </c>
      <c r="R44" s="312">
        <v>7100.0</v>
      </c>
      <c r="S44" s="30"/>
      <c r="T44" s="30"/>
    </row>
    <row r="45">
      <c r="A45" s="368" t="s">
        <v>1703</v>
      </c>
      <c r="B45" s="368"/>
      <c r="C45" s="284">
        <v>189.0</v>
      </c>
      <c r="E45" s="174"/>
      <c r="F45" s="39"/>
      <c r="H45" s="30">
        <v>1.0</v>
      </c>
      <c r="I45" s="21"/>
      <c r="J45" s="30"/>
      <c r="K45" s="312" t="s">
        <v>7016</v>
      </c>
      <c r="L45" s="97">
        <v>7055.0</v>
      </c>
      <c r="Q45" s="312" t="s">
        <v>1703</v>
      </c>
      <c r="R45" s="312">
        <v>189.0</v>
      </c>
      <c r="S45" s="30"/>
      <c r="T45" s="30"/>
    </row>
    <row r="46">
      <c r="A46" s="368" t="s">
        <v>1704</v>
      </c>
      <c r="B46" s="368"/>
      <c r="C46" s="284">
        <v>189.0</v>
      </c>
      <c r="E46" s="174"/>
      <c r="F46" s="39"/>
      <c r="H46" s="34" t="e">
        <v>#N/A</v>
      </c>
      <c r="I46" s="21"/>
      <c r="J46" s="30"/>
      <c r="K46" s="312" t="s">
        <v>7017</v>
      </c>
      <c r="L46" s="97">
        <v>6658.0</v>
      </c>
      <c r="Q46" s="313" t="s">
        <v>1704</v>
      </c>
      <c r="R46" s="313">
        <v>189.0</v>
      </c>
      <c r="S46" s="34"/>
      <c r="T46" s="34"/>
    </row>
    <row r="47">
      <c r="A47" s="368" t="s">
        <v>1705</v>
      </c>
      <c r="B47" s="368"/>
      <c r="C47" s="284">
        <v>189.0</v>
      </c>
      <c r="E47" s="174"/>
      <c r="F47" s="39"/>
      <c r="H47" s="34" t="e">
        <v>#N/A</v>
      </c>
      <c r="I47" s="21"/>
      <c r="J47" s="30"/>
      <c r="K47" s="312" t="s">
        <v>7018</v>
      </c>
      <c r="L47" s="317"/>
      <c r="Q47" s="313" t="s">
        <v>1705</v>
      </c>
      <c r="R47" s="313">
        <v>189.0</v>
      </c>
      <c r="S47" s="34"/>
      <c r="T47" s="34"/>
    </row>
    <row r="48">
      <c r="A48" s="367" t="s">
        <v>1706</v>
      </c>
      <c r="B48" s="367">
        <v>189.0</v>
      </c>
      <c r="C48" s="284">
        <v>8.0</v>
      </c>
      <c r="E48" s="174"/>
      <c r="F48" s="39"/>
      <c r="H48" s="30">
        <v>1.0</v>
      </c>
      <c r="I48" s="21"/>
      <c r="J48" s="30"/>
      <c r="K48" s="312" t="s">
        <v>7019</v>
      </c>
      <c r="L48" s="317"/>
      <c r="Q48" s="312" t="s">
        <v>1706</v>
      </c>
      <c r="R48" s="312">
        <v>189.0</v>
      </c>
      <c r="S48" s="30"/>
      <c r="T48" s="30"/>
    </row>
    <row r="49">
      <c r="A49" s="318" t="s">
        <v>1707</v>
      </c>
      <c r="B49" s="318">
        <v>986.0</v>
      </c>
      <c r="C49" s="284">
        <v>46.0</v>
      </c>
      <c r="E49" s="174"/>
      <c r="F49" s="39"/>
      <c r="H49" s="30">
        <v>1.0</v>
      </c>
      <c r="I49" s="21"/>
      <c r="J49" s="30"/>
      <c r="K49" s="312" t="s">
        <v>7020</v>
      </c>
      <c r="L49" s="97">
        <v>7283.0</v>
      </c>
      <c r="Q49" s="312" t="s">
        <v>1707</v>
      </c>
      <c r="R49" s="312">
        <v>986.0</v>
      </c>
      <c r="S49" s="318">
        <v>7083.0</v>
      </c>
      <c r="T49" s="30"/>
    </row>
    <row r="50">
      <c r="A50" s="318" t="s">
        <v>1708</v>
      </c>
      <c r="B50" s="318">
        <v>189.0</v>
      </c>
      <c r="C50" s="284">
        <v>34.0</v>
      </c>
      <c r="E50" s="174"/>
      <c r="F50" s="39"/>
      <c r="H50" s="30">
        <v>1.0</v>
      </c>
      <c r="I50" s="21"/>
      <c r="J50" s="30"/>
      <c r="K50" s="312" t="s">
        <v>7021</v>
      </c>
      <c r="L50" s="317"/>
      <c r="Q50" s="312" t="s">
        <v>1708</v>
      </c>
      <c r="R50" s="312">
        <v>189.0</v>
      </c>
      <c r="S50" s="30"/>
      <c r="T50" s="30"/>
    </row>
    <row r="51">
      <c r="A51" s="368" t="s">
        <v>1721</v>
      </c>
      <c r="B51" s="368">
        <v>3307.0</v>
      </c>
      <c r="C51" s="284">
        <v>3307.0</v>
      </c>
      <c r="E51" s="174"/>
      <c r="F51" s="39"/>
      <c r="H51" s="30">
        <v>1.0</v>
      </c>
      <c r="I51" s="21"/>
      <c r="J51" s="30"/>
      <c r="K51" s="312" t="s">
        <v>7022</v>
      </c>
      <c r="L51" s="97">
        <v>2345.0</v>
      </c>
      <c r="Q51" s="312" t="s">
        <v>1721</v>
      </c>
      <c r="R51" s="312">
        <v>3307.0</v>
      </c>
      <c r="S51" s="30"/>
      <c r="T51" s="30"/>
    </row>
    <row r="52">
      <c r="A52" s="368" t="s">
        <v>1722</v>
      </c>
      <c r="B52" s="368">
        <v>6903.0</v>
      </c>
      <c r="C52" s="284">
        <v>6903.0</v>
      </c>
      <c r="E52" s="174"/>
      <c r="F52" s="39"/>
      <c r="H52" s="34" t="e">
        <v>#N/A</v>
      </c>
      <c r="I52" s="21"/>
      <c r="J52" s="30"/>
      <c r="K52" s="312" t="s">
        <v>7023</v>
      </c>
      <c r="L52" s="317"/>
      <c r="Q52" s="313" t="s">
        <v>1722</v>
      </c>
      <c r="R52" s="313">
        <v>6903.0</v>
      </c>
      <c r="S52" s="34"/>
      <c r="T52" s="34"/>
    </row>
    <row r="53">
      <c r="A53" s="368" t="s">
        <v>1723</v>
      </c>
      <c r="B53" s="368"/>
      <c r="C53" s="284">
        <v>6463.0</v>
      </c>
      <c r="E53" s="174"/>
      <c r="F53" s="39"/>
      <c r="H53" s="34" t="e">
        <v>#N/A</v>
      </c>
      <c r="I53" s="21"/>
      <c r="J53" s="30"/>
      <c r="K53" s="312" t="s">
        <v>7024</v>
      </c>
      <c r="L53" s="317"/>
      <c r="Q53" s="313" t="s">
        <v>1723</v>
      </c>
      <c r="R53" s="313">
        <v>6463.0</v>
      </c>
      <c r="S53" s="34"/>
      <c r="T53" s="34"/>
    </row>
    <row r="54">
      <c r="A54" s="367" t="s">
        <v>1724</v>
      </c>
      <c r="B54" s="367">
        <v>7326.0</v>
      </c>
      <c r="C54" s="284">
        <v>4.0</v>
      </c>
      <c r="E54" s="174"/>
      <c r="F54" s="39"/>
      <c r="H54" s="30">
        <v>1.0</v>
      </c>
      <c r="I54" s="21"/>
      <c r="J54" s="30"/>
      <c r="K54" s="312" t="s">
        <v>7025</v>
      </c>
      <c r="L54" s="97">
        <v>7137.0</v>
      </c>
      <c r="Q54" s="312" t="s">
        <v>1724</v>
      </c>
      <c r="R54" s="312">
        <v>7326.0</v>
      </c>
      <c r="S54" s="30"/>
      <c r="T54" s="30"/>
    </row>
    <row r="55">
      <c r="A55" s="368" t="s">
        <v>3713</v>
      </c>
      <c r="B55" s="368"/>
      <c r="C55" s="284">
        <v>6785.0</v>
      </c>
      <c r="E55" s="174"/>
      <c r="F55" s="39"/>
      <c r="H55" s="34" t="e">
        <v>#N/A</v>
      </c>
      <c r="I55" s="21"/>
      <c r="J55" s="30"/>
      <c r="K55" s="312" t="s">
        <v>7026</v>
      </c>
      <c r="L55" s="97">
        <v>2345.0</v>
      </c>
      <c r="Q55" s="313" t="s">
        <v>3713</v>
      </c>
      <c r="R55" s="313">
        <v>6785.0</v>
      </c>
      <c r="S55" s="34"/>
      <c r="T55" s="34"/>
    </row>
    <row r="56">
      <c r="A56" s="367" t="s">
        <v>1710</v>
      </c>
      <c r="B56" s="367">
        <v>6557.0</v>
      </c>
      <c r="C56" s="284">
        <v>2.0</v>
      </c>
      <c r="E56" s="174"/>
      <c r="F56" s="39"/>
      <c r="H56" s="30">
        <v>1.0</v>
      </c>
      <c r="I56" s="21"/>
      <c r="J56" s="30"/>
      <c r="K56" s="312" t="s">
        <v>7027</v>
      </c>
      <c r="L56" s="97">
        <v>2345.0</v>
      </c>
      <c r="Q56" s="312" t="s">
        <v>1710</v>
      </c>
      <c r="R56" s="312">
        <v>6557.0</v>
      </c>
      <c r="S56" s="30"/>
      <c r="T56" s="30"/>
    </row>
    <row r="57">
      <c r="A57" s="368" t="s">
        <v>1711</v>
      </c>
      <c r="B57" s="368"/>
      <c r="C57" s="284">
        <v>11708.0</v>
      </c>
      <c r="E57" s="174"/>
      <c r="F57" s="39"/>
      <c r="H57" s="34" t="e">
        <v>#N/A</v>
      </c>
      <c r="I57" s="21"/>
      <c r="J57" s="30"/>
      <c r="K57" s="312" t="s">
        <v>7028</v>
      </c>
      <c r="L57" s="97">
        <v>2345.0</v>
      </c>
      <c r="Q57" s="313" t="s">
        <v>1711</v>
      </c>
      <c r="R57" s="313">
        <v>11708.0</v>
      </c>
      <c r="S57" s="34"/>
      <c r="T57" s="34"/>
    </row>
    <row r="58">
      <c r="A58" s="368" t="s">
        <v>3714</v>
      </c>
      <c r="B58" s="368"/>
      <c r="C58" s="284">
        <v>6927.0</v>
      </c>
      <c r="E58" s="174"/>
      <c r="F58" s="39"/>
      <c r="H58" s="34" t="e">
        <v>#N/A</v>
      </c>
      <c r="I58" s="21"/>
      <c r="J58" s="30"/>
      <c r="K58" s="312" t="s">
        <v>7029</v>
      </c>
      <c r="L58" s="97">
        <v>2345.0</v>
      </c>
      <c r="Q58" s="313" t="s">
        <v>3714</v>
      </c>
      <c r="R58" s="313">
        <v>6927.0</v>
      </c>
      <c r="S58" s="34"/>
      <c r="T58" s="34"/>
    </row>
    <row r="59">
      <c r="A59" s="367" t="s">
        <v>1713</v>
      </c>
      <c r="B59" s="367">
        <v>1130.0</v>
      </c>
      <c r="C59" s="284">
        <v>1.0</v>
      </c>
      <c r="E59" s="174"/>
      <c r="F59" s="39"/>
      <c r="H59" s="30">
        <v>1.0</v>
      </c>
      <c r="I59" s="21"/>
      <c r="J59" s="30"/>
      <c r="K59" s="312" t="s">
        <v>7030</v>
      </c>
      <c r="L59" s="97">
        <v>2345.0</v>
      </c>
      <c r="Q59" s="312" t="s">
        <v>1713</v>
      </c>
      <c r="R59" s="312">
        <v>1130.0</v>
      </c>
      <c r="S59" s="30"/>
      <c r="T59" s="30"/>
    </row>
    <row r="60">
      <c r="A60" s="368" t="s">
        <v>3715</v>
      </c>
      <c r="B60" s="11">
        <v>14480.0</v>
      </c>
      <c r="C60" s="284">
        <v>6989.0</v>
      </c>
      <c r="E60" s="174"/>
      <c r="F60" s="39"/>
      <c r="H60" s="34" t="e">
        <v>#N/A</v>
      </c>
      <c r="I60" s="21"/>
      <c r="J60" s="30"/>
      <c r="K60" s="312" t="s">
        <v>7031</v>
      </c>
      <c r="L60" s="317"/>
      <c r="Q60" s="313" t="s">
        <v>3715</v>
      </c>
      <c r="R60" s="313">
        <v>6989.0</v>
      </c>
      <c r="S60" s="34"/>
      <c r="T60" s="34"/>
    </row>
    <row r="61">
      <c r="A61" s="368" t="s">
        <v>3716</v>
      </c>
      <c r="B61" s="368"/>
      <c r="C61" s="284">
        <v>11104.0</v>
      </c>
      <c r="E61" s="174"/>
      <c r="F61" s="39"/>
      <c r="H61" s="34" t="e">
        <v>#N/A</v>
      </c>
      <c r="I61" s="21"/>
      <c r="J61" s="30"/>
      <c r="K61" s="312" t="s">
        <v>7032</v>
      </c>
      <c r="L61" s="97">
        <v>7010.0</v>
      </c>
      <c r="Q61" s="313" t="s">
        <v>3716</v>
      </c>
      <c r="R61" s="313">
        <v>11104.0</v>
      </c>
      <c r="S61" s="34"/>
      <c r="T61" s="34"/>
    </row>
    <row r="62">
      <c r="A62" s="368" t="s">
        <v>3717</v>
      </c>
      <c r="B62" s="368"/>
      <c r="C62" s="284">
        <v>12550.0</v>
      </c>
      <c r="E62" s="174"/>
      <c r="F62" s="39"/>
      <c r="H62" s="34" t="e">
        <v>#N/A</v>
      </c>
      <c r="I62" s="21"/>
      <c r="J62" s="30"/>
      <c r="K62" s="312" t="s">
        <v>7033</v>
      </c>
      <c r="L62" s="97">
        <v>6732.0</v>
      </c>
      <c r="Q62" s="313" t="s">
        <v>3717</v>
      </c>
      <c r="R62" s="313">
        <v>12550.0</v>
      </c>
      <c r="S62" s="34"/>
      <c r="T62" s="34"/>
    </row>
    <row r="63">
      <c r="A63" s="368" t="s">
        <v>3718</v>
      </c>
      <c r="B63" s="368"/>
      <c r="C63" s="284">
        <v>7023.0</v>
      </c>
      <c r="E63" s="174"/>
      <c r="F63" s="39"/>
      <c r="H63" s="34" t="e">
        <v>#N/A</v>
      </c>
      <c r="I63" s="21"/>
      <c r="J63" s="30"/>
      <c r="K63" s="312" t="s">
        <v>7034</v>
      </c>
      <c r="L63" s="97">
        <v>6732.0</v>
      </c>
      <c r="Q63" s="313" t="s">
        <v>3718</v>
      </c>
      <c r="R63" s="313">
        <v>7023.0</v>
      </c>
      <c r="S63" s="34"/>
      <c r="T63" s="34"/>
    </row>
    <row r="64">
      <c r="A64" s="367" t="s">
        <v>3719</v>
      </c>
      <c r="B64" s="367">
        <v>3381.0</v>
      </c>
      <c r="C64" s="284">
        <v>1.0</v>
      </c>
      <c r="E64" s="174"/>
      <c r="F64" s="39"/>
      <c r="H64" s="30">
        <v>1.0</v>
      </c>
      <c r="I64" s="21"/>
      <c r="J64" s="30"/>
      <c r="K64" s="312" t="s">
        <v>7035</v>
      </c>
      <c r="L64" s="97">
        <v>6732.0</v>
      </c>
      <c r="Q64" s="312" t="s">
        <v>3719</v>
      </c>
      <c r="R64" s="312">
        <v>3381.0</v>
      </c>
      <c r="S64" s="30"/>
      <c r="T64" s="30"/>
    </row>
    <row r="65">
      <c r="A65" s="368" t="s">
        <v>3720</v>
      </c>
      <c r="B65" s="368"/>
      <c r="C65" s="284">
        <v>12278.0</v>
      </c>
      <c r="E65" s="174"/>
      <c r="F65" s="39"/>
      <c r="H65" s="34" t="e">
        <v>#N/A</v>
      </c>
      <c r="I65" s="21"/>
      <c r="J65" s="30"/>
      <c r="K65" s="312" t="s">
        <v>7036</v>
      </c>
      <c r="L65" s="97">
        <v>6732.0</v>
      </c>
      <c r="Q65" s="313" t="s">
        <v>3720</v>
      </c>
      <c r="R65" s="313">
        <v>12278.0</v>
      </c>
      <c r="S65" s="34"/>
      <c r="T65" s="34"/>
    </row>
    <row r="66">
      <c r="A66" s="367" t="s">
        <v>3721</v>
      </c>
      <c r="B66" s="367">
        <v>315.0</v>
      </c>
      <c r="C66" s="284">
        <v>1.0</v>
      </c>
      <c r="E66" s="174"/>
      <c r="F66" s="39"/>
      <c r="H66" s="30">
        <v>1.0</v>
      </c>
      <c r="I66" s="21"/>
      <c r="J66" s="30"/>
      <c r="K66" s="312" t="s">
        <v>7037</v>
      </c>
      <c r="L66" s="97">
        <v>6779.0</v>
      </c>
      <c r="Q66" s="312" t="s">
        <v>3721</v>
      </c>
      <c r="R66" s="312">
        <v>315.0</v>
      </c>
      <c r="S66" s="30"/>
      <c r="T66" s="30"/>
    </row>
    <row r="67">
      <c r="A67" s="368" t="s">
        <v>3722</v>
      </c>
      <c r="B67" s="368"/>
      <c r="C67" s="284">
        <v>7003.0</v>
      </c>
      <c r="E67" s="174"/>
      <c r="F67" s="39"/>
      <c r="H67" s="34" t="e">
        <v>#N/A</v>
      </c>
      <c r="I67" s="21"/>
      <c r="J67" s="30"/>
      <c r="K67" s="312" t="s">
        <v>7038</v>
      </c>
      <c r="L67" s="97">
        <v>2345.0</v>
      </c>
      <c r="Q67" s="313" t="s">
        <v>3722</v>
      </c>
      <c r="R67" s="313">
        <v>7003.0</v>
      </c>
      <c r="S67" s="34"/>
      <c r="T67" s="34"/>
    </row>
    <row r="68">
      <c r="A68" s="368" t="s">
        <v>3723</v>
      </c>
      <c r="B68" s="368"/>
      <c r="C68" s="284">
        <v>6802.0</v>
      </c>
      <c r="E68" s="174"/>
      <c r="F68" s="39"/>
      <c r="H68" s="34" t="e">
        <v>#N/A</v>
      </c>
      <c r="I68" s="30"/>
      <c r="J68" s="30"/>
      <c r="K68" s="312" t="s">
        <v>7039</v>
      </c>
      <c r="L68" s="97">
        <v>6732.0</v>
      </c>
      <c r="Q68" s="313" t="s">
        <v>3723</v>
      </c>
      <c r="R68" s="313">
        <v>6802.0</v>
      </c>
      <c r="S68" s="34"/>
      <c r="T68" s="34"/>
    </row>
    <row r="69">
      <c r="A69" s="368" t="s">
        <v>3724</v>
      </c>
      <c r="B69" s="368"/>
      <c r="C69" s="284">
        <v>283.0</v>
      </c>
      <c r="E69" s="174"/>
      <c r="F69" s="39"/>
      <c r="H69" s="34" t="e">
        <v>#N/A</v>
      </c>
      <c r="I69" s="30"/>
      <c r="J69" s="30"/>
      <c r="K69" s="312" t="s">
        <v>7040</v>
      </c>
      <c r="L69" s="317"/>
      <c r="Q69" s="313" t="s">
        <v>3724</v>
      </c>
      <c r="R69" s="313">
        <v>283.0</v>
      </c>
      <c r="S69" s="34"/>
      <c r="T69" s="34"/>
    </row>
    <row r="70">
      <c r="A70" s="367" t="s">
        <v>3725</v>
      </c>
      <c r="B70" s="367">
        <v>6706.0</v>
      </c>
      <c r="C70" s="284">
        <v>1.0</v>
      </c>
      <c r="E70" s="174"/>
      <c r="F70" s="39"/>
      <c r="H70" s="30">
        <v>1.0</v>
      </c>
      <c r="I70" s="30"/>
      <c r="J70" s="30"/>
      <c r="K70" s="312" t="s">
        <v>7041</v>
      </c>
      <c r="L70" s="317"/>
      <c r="Q70" s="312" t="s">
        <v>3725</v>
      </c>
      <c r="R70" s="312">
        <v>6706.0</v>
      </c>
      <c r="S70" s="30"/>
      <c r="T70" s="30"/>
    </row>
    <row r="71">
      <c r="A71" s="368" t="s">
        <v>3726</v>
      </c>
      <c r="B71" s="368"/>
      <c r="C71" s="284">
        <v>9307.0</v>
      </c>
      <c r="E71" s="174"/>
      <c r="F71" s="39"/>
      <c r="H71" s="34" t="e">
        <v>#N/A</v>
      </c>
      <c r="I71" s="30"/>
      <c r="J71" s="30"/>
      <c r="K71" s="312" t="s">
        <v>7042</v>
      </c>
      <c r="L71" s="97">
        <v>189.0</v>
      </c>
      <c r="Q71" s="313" t="s">
        <v>3726</v>
      </c>
      <c r="R71" s="313">
        <v>9307.0</v>
      </c>
      <c r="S71" s="34"/>
      <c r="T71" s="34"/>
    </row>
    <row r="72">
      <c r="A72" s="368" t="s">
        <v>3727</v>
      </c>
      <c r="B72" s="368"/>
      <c r="C72" s="284">
        <v>7157.0</v>
      </c>
      <c r="E72" s="174"/>
      <c r="F72" s="39"/>
      <c r="H72" s="34" t="e">
        <v>#N/A</v>
      </c>
      <c r="I72" s="30"/>
      <c r="J72" s="30"/>
      <c r="K72" s="312" t="s">
        <v>7043</v>
      </c>
      <c r="L72" s="317"/>
      <c r="Q72" s="313" t="s">
        <v>3727</v>
      </c>
      <c r="R72" s="313">
        <v>7157.0</v>
      </c>
      <c r="S72" s="34"/>
      <c r="T72" s="34"/>
    </row>
    <row r="73">
      <c r="A73" s="368" t="s">
        <v>3728</v>
      </c>
      <c r="B73" s="368"/>
      <c r="C73" s="284">
        <v>12278.0</v>
      </c>
      <c r="E73" s="174"/>
      <c r="F73" s="39"/>
      <c r="H73" s="34" t="e">
        <v>#N/A</v>
      </c>
      <c r="I73" s="30"/>
      <c r="J73" s="30"/>
      <c r="K73" s="312" t="s">
        <v>7044</v>
      </c>
      <c r="L73" s="317"/>
      <c r="Q73" s="313" t="s">
        <v>3728</v>
      </c>
      <c r="R73" s="313">
        <v>12278.0</v>
      </c>
      <c r="S73" s="34"/>
      <c r="T73" s="34"/>
    </row>
    <row r="74">
      <c r="A74" s="368" t="s">
        <v>3729</v>
      </c>
      <c r="B74" s="368"/>
      <c r="C74" s="284">
        <v>7142.0</v>
      </c>
      <c r="E74" s="174"/>
      <c r="F74" s="39"/>
      <c r="H74" s="34" t="e">
        <v>#N/A</v>
      </c>
      <c r="I74" s="30"/>
      <c r="J74" s="30"/>
      <c r="K74" s="312" t="s">
        <v>7045</v>
      </c>
      <c r="L74" s="317"/>
      <c r="Q74" s="313" t="s">
        <v>3729</v>
      </c>
      <c r="R74" s="313">
        <v>7142.0</v>
      </c>
      <c r="S74" s="34"/>
      <c r="T74" s="34"/>
    </row>
    <row r="75">
      <c r="A75" s="367" t="s">
        <v>3730</v>
      </c>
      <c r="B75" s="367">
        <v>6873.0</v>
      </c>
      <c r="C75" s="284">
        <v>1.0</v>
      </c>
      <c r="E75" s="174"/>
      <c r="F75" s="39"/>
      <c r="H75" s="34" t="e">
        <v>#N/A</v>
      </c>
      <c r="I75" s="30"/>
      <c r="J75" s="30"/>
      <c r="K75" s="312" t="s">
        <v>7046</v>
      </c>
      <c r="L75" s="317"/>
      <c r="Q75" s="313" t="s">
        <v>3730</v>
      </c>
      <c r="R75" s="313">
        <v>6873.0</v>
      </c>
      <c r="S75" s="34"/>
      <c r="T75" s="34"/>
    </row>
    <row r="76">
      <c r="A76" s="368" t="s">
        <v>3731</v>
      </c>
      <c r="B76" s="368"/>
      <c r="C76" s="284">
        <v>10393.0</v>
      </c>
      <c r="E76" s="174"/>
      <c r="F76" s="39"/>
      <c r="H76" s="34" t="e">
        <v>#N/A</v>
      </c>
      <c r="I76" s="30"/>
      <c r="J76" s="30"/>
      <c r="K76" s="312" t="s">
        <v>7047</v>
      </c>
      <c r="L76" s="97">
        <v>189.0</v>
      </c>
      <c r="Q76" s="313" t="s">
        <v>3731</v>
      </c>
      <c r="R76" s="313">
        <v>10393.0</v>
      </c>
      <c r="S76" s="34"/>
      <c r="T76" s="34"/>
    </row>
    <row r="77">
      <c r="A77" s="368" t="s">
        <v>3732</v>
      </c>
      <c r="B77" s="370"/>
      <c r="C77" s="284">
        <v>2644.0</v>
      </c>
      <c r="H77" s="34" t="e">
        <v>#N/A</v>
      </c>
      <c r="I77" s="30"/>
      <c r="J77" s="30"/>
      <c r="K77" s="312" t="s">
        <v>7048</v>
      </c>
      <c r="L77" s="97">
        <v>189.0</v>
      </c>
      <c r="Q77" s="313" t="s">
        <v>3732</v>
      </c>
      <c r="R77" s="109">
        <v>2644.0</v>
      </c>
      <c r="S77" s="34"/>
      <c r="T77" s="34"/>
    </row>
    <row r="78">
      <c r="A78" s="367" t="s">
        <v>3733</v>
      </c>
      <c r="B78" s="367">
        <v>11875.0</v>
      </c>
      <c r="C78" s="284">
        <v>5.0</v>
      </c>
      <c r="H78" s="30">
        <v>1.0</v>
      </c>
      <c r="I78" s="30"/>
      <c r="J78" s="30"/>
      <c r="K78" s="312" t="s">
        <v>7049</v>
      </c>
      <c r="L78" s="97">
        <v>189.0</v>
      </c>
      <c r="Q78" s="312" t="s">
        <v>3733</v>
      </c>
      <c r="R78" s="312">
        <v>11875.0</v>
      </c>
      <c r="S78" s="30"/>
      <c r="T78" s="30"/>
    </row>
    <row r="79">
      <c r="A79" s="368" t="s">
        <v>3734</v>
      </c>
      <c r="B79" s="370"/>
      <c r="C79" s="284">
        <v>7227.0</v>
      </c>
      <c r="H79" s="34" t="e">
        <v>#N/A</v>
      </c>
      <c r="I79" s="30"/>
      <c r="J79" s="30"/>
      <c r="K79" s="312" t="s">
        <v>7050</v>
      </c>
      <c r="L79" s="97">
        <v>6772.0</v>
      </c>
      <c r="Q79" s="313" t="s">
        <v>3734</v>
      </c>
      <c r="R79" s="98">
        <v>7227.0</v>
      </c>
      <c r="S79" s="34"/>
      <c r="T79" s="34"/>
    </row>
    <row r="80">
      <c r="A80" s="368" t="s">
        <v>3735</v>
      </c>
      <c r="B80" s="370"/>
      <c r="C80" s="284">
        <v>7227.0</v>
      </c>
      <c r="H80" s="34" t="e">
        <v>#N/A</v>
      </c>
      <c r="I80" s="30"/>
      <c r="J80" s="30"/>
      <c r="K80" s="312" t="s">
        <v>7051</v>
      </c>
      <c r="L80" s="317"/>
      <c r="Q80" s="313" t="s">
        <v>3735</v>
      </c>
      <c r="R80" s="98">
        <v>7227.0</v>
      </c>
      <c r="S80" s="34"/>
      <c r="T80" s="34"/>
    </row>
    <row r="81">
      <c r="A81" s="368" t="s">
        <v>3736</v>
      </c>
      <c r="B81" s="370"/>
      <c r="C81" s="284">
        <v>7227.0</v>
      </c>
      <c r="H81" s="34" t="e">
        <v>#N/A</v>
      </c>
      <c r="I81" s="30"/>
      <c r="J81" s="30"/>
      <c r="K81" s="312" t="s">
        <v>7052</v>
      </c>
      <c r="L81" s="97">
        <v>7142.0</v>
      </c>
      <c r="Q81" s="313" t="s">
        <v>3736</v>
      </c>
      <c r="R81" s="98">
        <v>7227.0</v>
      </c>
      <c r="S81" s="34"/>
      <c r="T81" s="34"/>
    </row>
    <row r="82">
      <c r="A82" s="368" t="s">
        <v>3737</v>
      </c>
      <c r="B82" s="370"/>
      <c r="C82" s="284">
        <v>7227.0</v>
      </c>
      <c r="H82" s="34" t="e">
        <v>#N/A</v>
      </c>
      <c r="I82" s="30"/>
      <c r="J82" s="30"/>
      <c r="K82" s="312" t="s">
        <v>7053</v>
      </c>
      <c r="L82" s="317"/>
      <c r="Q82" s="313" t="s">
        <v>3737</v>
      </c>
      <c r="R82" s="98">
        <v>7227.0</v>
      </c>
      <c r="S82" s="34"/>
      <c r="T82" s="34"/>
    </row>
    <row r="83">
      <c r="A83" s="368" t="s">
        <v>3738</v>
      </c>
      <c r="B83" s="370"/>
      <c r="C83" s="284">
        <v>7227.0</v>
      </c>
      <c r="H83" s="34" t="e">
        <v>#N/A</v>
      </c>
      <c r="I83" s="30"/>
      <c r="J83" s="30"/>
      <c r="K83" s="312" t="s">
        <v>7054</v>
      </c>
      <c r="L83" s="317"/>
      <c r="Q83" s="313" t="s">
        <v>3738</v>
      </c>
      <c r="R83" s="98">
        <v>7227.0</v>
      </c>
      <c r="S83" s="34"/>
      <c r="T83" s="34"/>
    </row>
    <row r="84">
      <c r="A84" s="367" t="s">
        <v>3739</v>
      </c>
      <c r="B84" s="12">
        <v>7227.0</v>
      </c>
      <c r="C84" s="284">
        <v>2.0</v>
      </c>
      <c r="H84" s="30">
        <v>1.0</v>
      </c>
      <c r="I84" s="30"/>
      <c r="J84" s="30"/>
      <c r="K84" s="312" t="s">
        <v>7055</v>
      </c>
      <c r="L84" s="97">
        <v>7227.0</v>
      </c>
      <c r="Q84" s="312" t="s">
        <v>3739</v>
      </c>
      <c r="R84" s="97">
        <v>7227.0</v>
      </c>
      <c r="S84" s="30"/>
      <c r="T84" s="30"/>
    </row>
    <row r="85">
      <c r="A85" s="368" t="s">
        <v>3740</v>
      </c>
      <c r="B85" s="370"/>
      <c r="C85" s="284">
        <v>7227.0</v>
      </c>
      <c r="H85" s="34" t="e">
        <v>#N/A</v>
      </c>
      <c r="I85" s="30"/>
      <c r="J85" s="30"/>
      <c r="K85" s="312" t="s">
        <v>7056</v>
      </c>
      <c r="L85" s="97">
        <v>7227.0</v>
      </c>
      <c r="Q85" s="313" t="s">
        <v>3740</v>
      </c>
      <c r="R85" s="98">
        <v>7227.0</v>
      </c>
      <c r="S85" s="34"/>
      <c r="T85" s="34"/>
    </row>
    <row r="86">
      <c r="A86" s="368" t="s">
        <v>3741</v>
      </c>
      <c r="B86" s="370"/>
      <c r="C86" s="284">
        <v>7227.0</v>
      </c>
      <c r="H86" s="34" t="e">
        <v>#N/A</v>
      </c>
      <c r="I86" s="30"/>
      <c r="J86" s="30"/>
      <c r="K86" s="312" t="s">
        <v>7057</v>
      </c>
      <c r="L86" s="97">
        <v>7227.0</v>
      </c>
      <c r="Q86" s="313" t="s">
        <v>3741</v>
      </c>
      <c r="R86" s="98">
        <v>7227.0</v>
      </c>
      <c r="S86" s="34"/>
      <c r="T86" s="34"/>
    </row>
    <row r="87">
      <c r="A87" s="368" t="s">
        <v>3742</v>
      </c>
      <c r="B87" s="370"/>
      <c r="C87" s="284">
        <v>7227.0</v>
      </c>
      <c r="H87" s="34" t="e">
        <v>#N/A</v>
      </c>
      <c r="I87" s="30"/>
      <c r="J87" s="30"/>
      <c r="K87" s="312" t="s">
        <v>7058</v>
      </c>
      <c r="L87" s="97">
        <v>7227.0</v>
      </c>
      <c r="Q87" s="313" t="s">
        <v>3742</v>
      </c>
      <c r="R87" s="98">
        <v>7227.0</v>
      </c>
      <c r="S87" s="34"/>
      <c r="T87" s="34"/>
    </row>
    <row r="88">
      <c r="A88" s="368" t="s">
        <v>3743</v>
      </c>
      <c r="B88" s="370"/>
      <c r="C88" s="284">
        <v>7227.0</v>
      </c>
      <c r="D88" s="59"/>
      <c r="H88" s="34" t="e">
        <v>#N/A</v>
      </c>
      <c r="I88" s="30"/>
      <c r="J88" s="30"/>
      <c r="K88" s="312" t="s">
        <v>7059</v>
      </c>
      <c r="L88" s="97">
        <v>7227.0</v>
      </c>
      <c r="Q88" s="313" t="s">
        <v>3743</v>
      </c>
      <c r="R88" s="98">
        <v>7227.0</v>
      </c>
      <c r="S88" s="34"/>
      <c r="T88" s="34"/>
    </row>
    <row r="89">
      <c r="A89" s="368" t="s">
        <v>3744</v>
      </c>
      <c r="B89" s="370"/>
      <c r="C89" s="284">
        <v>7227.0</v>
      </c>
      <c r="H89" s="34" t="e">
        <v>#N/A</v>
      </c>
      <c r="I89" s="30"/>
      <c r="J89" s="30"/>
      <c r="K89" s="312" t="s">
        <v>7060</v>
      </c>
      <c r="L89" s="97">
        <v>7132.0</v>
      </c>
      <c r="Q89" s="313" t="s">
        <v>3744</v>
      </c>
      <c r="R89" s="98">
        <v>7227.0</v>
      </c>
      <c r="S89" s="34"/>
      <c r="T89" s="34"/>
    </row>
    <row r="90">
      <c r="A90" s="367" t="s">
        <v>3745</v>
      </c>
      <c r="B90" s="12">
        <v>7227.0</v>
      </c>
      <c r="C90" s="284">
        <v>2.0</v>
      </c>
      <c r="H90" s="30">
        <v>1.0</v>
      </c>
      <c r="I90" s="30"/>
      <c r="J90" s="30"/>
      <c r="K90" s="312" t="s">
        <v>7061</v>
      </c>
      <c r="L90" s="97">
        <v>7227.0</v>
      </c>
      <c r="Q90" s="312" t="s">
        <v>3745</v>
      </c>
      <c r="R90" s="97">
        <v>7227.0</v>
      </c>
      <c r="S90" s="30"/>
      <c r="T90" s="30"/>
    </row>
    <row r="91">
      <c r="A91" s="368" t="s">
        <v>3746</v>
      </c>
      <c r="B91" s="370"/>
      <c r="C91" s="284">
        <v>7227.0</v>
      </c>
      <c r="H91" s="34" t="e">
        <v>#N/A</v>
      </c>
      <c r="I91" s="30"/>
      <c r="J91" s="30"/>
      <c r="K91" s="312" t="s">
        <v>7062</v>
      </c>
      <c r="L91" s="97">
        <v>189.0</v>
      </c>
      <c r="Q91" s="313" t="s">
        <v>3746</v>
      </c>
      <c r="R91" s="98">
        <v>7227.0</v>
      </c>
      <c r="S91" s="34"/>
      <c r="T91" s="34"/>
    </row>
    <row r="92">
      <c r="A92" s="368" t="s">
        <v>3747</v>
      </c>
      <c r="B92" s="370"/>
      <c r="C92" s="284">
        <v>7227.0</v>
      </c>
      <c r="H92" s="34" t="e">
        <v>#N/A</v>
      </c>
      <c r="I92" s="30"/>
      <c r="J92" s="30"/>
      <c r="K92" s="312" t="s">
        <v>7063</v>
      </c>
      <c r="L92" s="97">
        <v>7227.0</v>
      </c>
      <c r="Q92" s="313" t="s">
        <v>3747</v>
      </c>
      <c r="R92" s="98">
        <v>7227.0</v>
      </c>
      <c r="S92" s="34"/>
      <c r="T92" s="34"/>
    </row>
    <row r="93">
      <c r="A93" s="367" t="s">
        <v>3748</v>
      </c>
      <c r="B93" s="12">
        <v>7227.0</v>
      </c>
      <c r="C93" s="284">
        <v>1.0</v>
      </c>
      <c r="H93" s="30">
        <v>1.0</v>
      </c>
      <c r="I93" s="30"/>
      <c r="J93" s="30"/>
      <c r="K93" s="312" t="s">
        <v>7064</v>
      </c>
      <c r="L93" s="317"/>
      <c r="M93" s="97">
        <v>7058.0</v>
      </c>
      <c r="Q93" s="312" t="s">
        <v>3748</v>
      </c>
      <c r="R93" s="97">
        <v>7227.0</v>
      </c>
      <c r="S93" s="30"/>
      <c r="T93" s="30"/>
    </row>
    <row r="94">
      <c r="A94" s="368" t="s">
        <v>3749</v>
      </c>
      <c r="B94" s="370"/>
      <c r="C94" s="284">
        <v>7227.0</v>
      </c>
      <c r="H94" s="34" t="e">
        <v>#N/A</v>
      </c>
      <c r="I94" s="30"/>
      <c r="J94" s="30"/>
      <c r="K94" s="312" t="s">
        <v>7065</v>
      </c>
      <c r="L94" s="97">
        <v>6133.0</v>
      </c>
      <c r="Q94" s="313" t="s">
        <v>3749</v>
      </c>
      <c r="R94" s="98">
        <v>7227.0</v>
      </c>
      <c r="S94" s="34"/>
      <c r="T94" s="34"/>
    </row>
    <row r="95">
      <c r="A95" s="318" t="s">
        <v>3750</v>
      </c>
      <c r="B95" s="318">
        <v>986.0</v>
      </c>
      <c r="C95" s="284">
        <v>11.0</v>
      </c>
      <c r="H95" s="30">
        <v>1.0</v>
      </c>
      <c r="I95" s="30"/>
      <c r="J95" s="30"/>
      <c r="K95" s="312" t="s">
        <v>7066</v>
      </c>
      <c r="L95" s="97">
        <v>6133.0</v>
      </c>
      <c r="Q95" s="312" t="s">
        <v>3750</v>
      </c>
      <c r="R95" s="312">
        <v>986.0</v>
      </c>
      <c r="S95" s="30"/>
      <c r="T95" s="30"/>
    </row>
    <row r="96">
      <c r="A96" s="367" t="s">
        <v>3751</v>
      </c>
      <c r="B96" s="367">
        <v>2345.0</v>
      </c>
      <c r="C96" s="284">
        <v>1.0</v>
      </c>
      <c r="H96" s="30">
        <v>1.0</v>
      </c>
      <c r="I96" s="30"/>
      <c r="J96" s="30"/>
      <c r="K96" s="312" t="s">
        <v>7067</v>
      </c>
      <c r="L96" s="97">
        <v>6133.0</v>
      </c>
      <c r="Q96" s="312" t="s">
        <v>3751</v>
      </c>
      <c r="R96" s="312">
        <v>2345.0</v>
      </c>
      <c r="S96" s="30"/>
      <c r="T96" s="30"/>
    </row>
    <row r="97">
      <c r="A97" s="368" t="s">
        <v>3752</v>
      </c>
      <c r="B97" s="368"/>
      <c r="C97" s="284">
        <v>2345.0</v>
      </c>
      <c r="H97" s="34" t="e">
        <v>#N/A</v>
      </c>
      <c r="I97" s="30"/>
      <c r="J97" s="30"/>
      <c r="K97" s="312" t="s">
        <v>7068</v>
      </c>
      <c r="L97" s="97">
        <v>7227.0</v>
      </c>
      <c r="Q97" s="313" t="s">
        <v>3752</v>
      </c>
      <c r="R97" s="313">
        <v>2345.0</v>
      </c>
      <c r="S97" s="34"/>
      <c r="T97" s="34"/>
    </row>
    <row r="98">
      <c r="A98" s="368" t="s">
        <v>3753</v>
      </c>
      <c r="B98" s="368"/>
      <c r="C98" s="284">
        <v>663.0</v>
      </c>
      <c r="H98" s="34" t="e">
        <v>#N/A</v>
      </c>
      <c r="I98" s="30"/>
      <c r="J98" s="30"/>
      <c r="K98" s="312" t="s">
        <v>7069</v>
      </c>
      <c r="L98" s="97">
        <v>7227.0</v>
      </c>
      <c r="Q98" s="313" t="s">
        <v>3753</v>
      </c>
      <c r="R98" s="313">
        <v>663.0</v>
      </c>
      <c r="S98" s="34"/>
      <c r="T98" s="34"/>
    </row>
    <row r="99">
      <c r="A99" s="367" t="s">
        <v>3754</v>
      </c>
      <c r="B99" s="367">
        <v>189.0</v>
      </c>
      <c r="C99" s="284">
        <v>6.0</v>
      </c>
      <c r="H99" s="30">
        <v>1.0</v>
      </c>
      <c r="I99" s="30"/>
      <c r="J99" s="30"/>
      <c r="K99" s="312" t="s">
        <v>7070</v>
      </c>
      <c r="L99" s="97">
        <v>7227.0</v>
      </c>
      <c r="Q99" s="312" t="s">
        <v>3754</v>
      </c>
      <c r="R99" s="312">
        <v>189.0</v>
      </c>
      <c r="S99" s="30"/>
      <c r="T99" s="30"/>
    </row>
    <row r="100">
      <c r="A100" s="368" t="s">
        <v>3755</v>
      </c>
      <c r="B100" s="368">
        <v>2345.0</v>
      </c>
      <c r="C100" s="284">
        <v>189.0</v>
      </c>
      <c r="H100" s="34" t="e">
        <v>#N/A</v>
      </c>
      <c r="I100" s="30"/>
      <c r="J100" s="30"/>
      <c r="K100" s="312" t="s">
        <v>7071</v>
      </c>
      <c r="L100" s="97">
        <v>189.0</v>
      </c>
      <c r="Q100" s="313" t="s">
        <v>3755</v>
      </c>
      <c r="R100" s="313">
        <v>189.0</v>
      </c>
      <c r="S100" s="34"/>
      <c r="T100" s="34"/>
    </row>
    <row r="101">
      <c r="A101" s="368" t="s">
        <v>3758</v>
      </c>
      <c r="B101" s="368">
        <v>2345.0</v>
      </c>
      <c r="C101" s="284">
        <v>189.0</v>
      </c>
      <c r="D101" s="59"/>
      <c r="H101" s="30">
        <v>1.0</v>
      </c>
      <c r="I101" s="30"/>
      <c r="J101" s="30"/>
      <c r="K101" s="312" t="s">
        <v>7072</v>
      </c>
      <c r="L101" s="97">
        <v>7142.0</v>
      </c>
      <c r="Q101" s="312" t="s">
        <v>3758</v>
      </c>
      <c r="R101" s="312">
        <v>189.0</v>
      </c>
      <c r="S101" s="30"/>
      <c r="T101" s="30"/>
    </row>
    <row r="102">
      <c r="A102" s="367" t="s">
        <v>3929</v>
      </c>
      <c r="B102" s="367">
        <v>6675.0</v>
      </c>
      <c r="C102" s="284">
        <v>6.0</v>
      </c>
      <c r="H102" s="30">
        <v>1.0</v>
      </c>
      <c r="I102" s="30"/>
      <c r="J102" s="30"/>
      <c r="K102" s="312" t="s">
        <v>4647</v>
      </c>
      <c r="L102" s="97">
        <v>6675.0</v>
      </c>
      <c r="M102" s="11" t="s">
        <v>7073</v>
      </c>
      <c r="Q102" s="312" t="s">
        <v>3929</v>
      </c>
      <c r="R102" s="312">
        <v>6675.0</v>
      </c>
      <c r="S102" s="319"/>
      <c r="T102" s="30"/>
    </row>
    <row r="103">
      <c r="A103" s="367" t="s">
        <v>3930</v>
      </c>
      <c r="B103" s="367">
        <v>7010.0</v>
      </c>
      <c r="C103" s="284">
        <v>2.0</v>
      </c>
      <c r="H103" s="30">
        <v>1.0</v>
      </c>
      <c r="I103" s="30"/>
      <c r="J103" s="30"/>
      <c r="K103" s="312" t="s">
        <v>4648</v>
      </c>
      <c r="L103" s="97">
        <v>663.0</v>
      </c>
      <c r="Q103" s="312" t="s">
        <v>3930</v>
      </c>
      <c r="R103" s="312">
        <v>7010.0</v>
      </c>
      <c r="S103" s="315">
        <v>7010.0</v>
      </c>
      <c r="T103" s="30"/>
    </row>
    <row r="104">
      <c r="A104" s="368" t="s">
        <v>3931</v>
      </c>
      <c r="B104" s="368"/>
      <c r="C104" s="284">
        <v>6675.0</v>
      </c>
      <c r="H104" s="34" t="e">
        <v>#N/A</v>
      </c>
      <c r="I104" s="30"/>
      <c r="J104" s="30"/>
      <c r="K104" s="312" t="s">
        <v>4649</v>
      </c>
      <c r="L104" s="97">
        <v>6924.0</v>
      </c>
      <c r="Q104" s="313" t="s">
        <v>3931</v>
      </c>
      <c r="R104" s="313">
        <v>6675.0</v>
      </c>
      <c r="S104" s="320">
        <v>6675.0</v>
      </c>
      <c r="T104" s="34"/>
    </row>
    <row r="105">
      <c r="A105" s="368" t="s">
        <v>3932</v>
      </c>
      <c r="B105" s="368"/>
      <c r="C105" s="284">
        <v>2507.0</v>
      </c>
      <c r="H105" s="34" t="e">
        <v>#N/A</v>
      </c>
      <c r="I105" s="30"/>
      <c r="J105" s="30"/>
      <c r="K105" s="312" t="s">
        <v>4650</v>
      </c>
      <c r="L105" s="97">
        <v>7100.0</v>
      </c>
      <c r="Q105" s="313" t="s">
        <v>3932</v>
      </c>
      <c r="R105" s="313">
        <v>2507.0</v>
      </c>
      <c r="S105" s="34"/>
      <c r="T105" s="34"/>
    </row>
    <row r="106">
      <c r="A106" s="367" t="s">
        <v>3933</v>
      </c>
      <c r="B106" s="367">
        <v>189.0</v>
      </c>
      <c r="C106" s="284">
        <v>2.0</v>
      </c>
      <c r="H106" s="30">
        <v>1.0</v>
      </c>
      <c r="I106" s="30"/>
      <c r="J106" s="30"/>
      <c r="K106" s="312" t="s">
        <v>4651</v>
      </c>
      <c r="L106" s="97">
        <v>7104.0</v>
      </c>
      <c r="Q106" s="312" t="s">
        <v>3933</v>
      </c>
      <c r="R106" s="312">
        <v>189.0</v>
      </c>
      <c r="S106" s="30"/>
      <c r="T106" s="30"/>
    </row>
    <row r="107">
      <c r="A107" s="368" t="s">
        <v>3934</v>
      </c>
      <c r="B107" s="370"/>
      <c r="C107" s="284">
        <v>14337.0</v>
      </c>
      <c r="H107" s="30">
        <v>1.0</v>
      </c>
      <c r="I107" s="30"/>
      <c r="J107" s="30"/>
      <c r="K107" s="312" t="s">
        <v>4652</v>
      </c>
      <c r="L107" s="97">
        <v>6728.0</v>
      </c>
      <c r="Q107" s="312" t="s">
        <v>3934</v>
      </c>
      <c r="R107" s="11">
        <v>14337.0</v>
      </c>
      <c r="S107" s="312">
        <v>6133.0</v>
      </c>
      <c r="T107" s="30"/>
    </row>
    <row r="108">
      <c r="A108" s="367" t="s">
        <v>3935</v>
      </c>
      <c r="B108" s="12">
        <v>6924.0</v>
      </c>
      <c r="C108" s="284">
        <v>2.0</v>
      </c>
      <c r="H108" s="30">
        <v>1.0</v>
      </c>
      <c r="I108" s="30"/>
      <c r="J108" s="30"/>
      <c r="K108" s="312" t="s">
        <v>4653</v>
      </c>
      <c r="L108" s="97">
        <v>189.0</v>
      </c>
      <c r="Q108" s="312" t="s">
        <v>3935</v>
      </c>
      <c r="R108" s="11">
        <v>6924.0</v>
      </c>
      <c r="S108" s="11">
        <v>8486.0</v>
      </c>
      <c r="T108" s="312">
        <v>4514.0</v>
      </c>
    </row>
    <row r="109">
      <c r="A109" s="368" t="s">
        <v>3761</v>
      </c>
      <c r="B109" s="368"/>
      <c r="C109" s="284">
        <v>2345.0</v>
      </c>
      <c r="H109" s="34" t="e">
        <v>#N/A</v>
      </c>
      <c r="I109" s="30"/>
      <c r="J109" s="30"/>
      <c r="K109" s="312" t="s">
        <v>4654</v>
      </c>
      <c r="L109" s="97">
        <v>189.0</v>
      </c>
      <c r="Q109" s="313" t="s">
        <v>3761</v>
      </c>
      <c r="R109" s="313">
        <v>2345.0</v>
      </c>
      <c r="S109" s="34"/>
      <c r="T109" s="34"/>
    </row>
    <row r="110">
      <c r="A110" s="368" t="s">
        <v>3762</v>
      </c>
      <c r="B110" s="368"/>
      <c r="C110" s="284">
        <v>9746.0</v>
      </c>
      <c r="H110" s="34" t="e">
        <v>#N/A</v>
      </c>
      <c r="I110" s="30"/>
      <c r="J110" s="30"/>
      <c r="K110" s="312" t="s">
        <v>4655</v>
      </c>
      <c r="L110" s="97">
        <v>6729.0</v>
      </c>
      <c r="Q110" s="313" t="s">
        <v>3762</v>
      </c>
      <c r="R110" s="313">
        <v>9746.0</v>
      </c>
      <c r="S110" s="34"/>
      <c r="T110" s="34"/>
    </row>
    <row r="111">
      <c r="A111" s="368" t="s">
        <v>3763</v>
      </c>
      <c r="B111" s="368"/>
      <c r="C111" s="284">
        <v>14440.0</v>
      </c>
      <c r="H111" s="34" t="e">
        <v>#N/A</v>
      </c>
      <c r="I111" s="30"/>
      <c r="J111" s="30"/>
      <c r="K111" s="312" t="s">
        <v>4656</v>
      </c>
      <c r="L111" s="97">
        <v>6675.0</v>
      </c>
      <c r="Q111" s="313" t="s">
        <v>3763</v>
      </c>
      <c r="R111" s="313">
        <v>14440.0</v>
      </c>
      <c r="S111" s="34">
        <v>136.0</v>
      </c>
      <c r="T111" s="34"/>
    </row>
    <row r="112">
      <c r="A112" s="368" t="s">
        <v>3764</v>
      </c>
      <c r="B112" s="368">
        <v>2345.0</v>
      </c>
      <c r="C112" s="284">
        <v>6772.0</v>
      </c>
      <c r="H112" s="34" t="e">
        <v>#N/A</v>
      </c>
      <c r="I112" s="30"/>
      <c r="J112" s="30"/>
      <c r="K112" s="312" t="s">
        <v>4657</v>
      </c>
      <c r="L112" s="97">
        <v>986.0</v>
      </c>
      <c r="Q112" s="313" t="s">
        <v>3764</v>
      </c>
      <c r="R112" s="313">
        <v>6772.0</v>
      </c>
      <c r="S112" s="34"/>
      <c r="T112" s="34"/>
    </row>
    <row r="113">
      <c r="A113" s="368" t="s">
        <v>3765</v>
      </c>
      <c r="B113" s="368">
        <v>2345.0</v>
      </c>
      <c r="C113" s="284">
        <v>7033.0</v>
      </c>
      <c r="H113" s="34" t="e">
        <v>#N/A</v>
      </c>
      <c r="I113" s="30"/>
      <c r="J113" s="30"/>
      <c r="K113" s="312" t="s">
        <v>4658</v>
      </c>
      <c r="L113" s="97">
        <v>986.0</v>
      </c>
      <c r="Q113" s="313" t="s">
        <v>3765</v>
      </c>
      <c r="R113" s="313">
        <v>7033.0</v>
      </c>
      <c r="S113" s="34"/>
      <c r="T113" s="34"/>
    </row>
    <row r="114">
      <c r="A114" s="368" t="s">
        <v>3766</v>
      </c>
      <c r="C114" s="18">
        <v>5125.0</v>
      </c>
      <c r="H114" s="34" t="e">
        <v>#N/A</v>
      </c>
      <c r="I114" s="30"/>
      <c r="J114" s="30"/>
      <c r="K114" s="312" t="s">
        <v>4667</v>
      </c>
      <c r="L114" s="97"/>
      <c r="Q114" s="313" t="s">
        <v>3766</v>
      </c>
      <c r="R114" s="313">
        <v>5125.0</v>
      </c>
      <c r="S114" s="34"/>
      <c r="T114" s="34"/>
    </row>
    <row r="115">
      <c r="A115" s="318" t="s">
        <v>3767</v>
      </c>
      <c r="B115" s="318">
        <v>6947.0</v>
      </c>
      <c r="C115" s="284">
        <v>17.0</v>
      </c>
      <c r="H115" s="30">
        <v>1.0</v>
      </c>
      <c r="I115" s="30"/>
      <c r="J115" s="30"/>
      <c r="K115" s="312" t="s">
        <v>4668</v>
      </c>
      <c r="L115" s="316">
        <v>6893.0</v>
      </c>
      <c r="Q115" s="312" t="s">
        <v>3767</v>
      </c>
      <c r="R115" s="312">
        <v>6947.0</v>
      </c>
      <c r="S115" s="30"/>
      <c r="T115" s="30"/>
    </row>
    <row r="116">
      <c r="A116" s="368" t="s">
        <v>3768</v>
      </c>
      <c r="B116" s="370"/>
      <c r="C116" s="284">
        <v>6893.0</v>
      </c>
      <c r="D116" s="59"/>
      <c r="H116" s="34" t="e">
        <v>#N/A</v>
      </c>
      <c r="I116" s="30"/>
      <c r="J116" s="30"/>
      <c r="K116" s="312" t="s">
        <v>4669</v>
      </c>
      <c r="L116" s="97">
        <v>3307.0</v>
      </c>
      <c r="Q116" s="313" t="s">
        <v>3768</v>
      </c>
      <c r="R116" s="35">
        <v>6893.0</v>
      </c>
      <c r="S116" s="34"/>
      <c r="T116" s="34"/>
    </row>
    <row r="117">
      <c r="A117" s="367" t="s">
        <v>3769</v>
      </c>
      <c r="B117" s="367">
        <v>2345.0</v>
      </c>
      <c r="C117" s="284">
        <v>1.0</v>
      </c>
      <c r="H117" s="30">
        <v>1.0</v>
      </c>
      <c r="I117" s="30"/>
      <c r="J117" s="30"/>
      <c r="K117" s="312" t="s">
        <v>7250</v>
      </c>
      <c r="L117" s="97">
        <v>7168.0</v>
      </c>
      <c r="Q117" s="312" t="s">
        <v>3769</v>
      </c>
      <c r="R117" s="312">
        <v>2345.0</v>
      </c>
      <c r="S117" s="30"/>
      <c r="T117" s="30"/>
    </row>
    <row r="118">
      <c r="A118" s="368" t="s">
        <v>3770</v>
      </c>
      <c r="B118" s="368"/>
      <c r="C118" s="284">
        <v>136.0</v>
      </c>
      <c r="H118" s="34" t="e">
        <v>#N/A</v>
      </c>
      <c r="I118" s="30"/>
      <c r="J118" s="30"/>
      <c r="K118" s="312" t="s">
        <v>7251</v>
      </c>
      <c r="L118" s="97">
        <v>6947.0</v>
      </c>
      <c r="Q118" s="313" t="s">
        <v>3770</v>
      </c>
      <c r="R118" s="313">
        <v>136.0</v>
      </c>
      <c r="S118" s="34"/>
      <c r="T118" s="34"/>
    </row>
    <row r="119">
      <c r="A119" s="368" t="s">
        <v>3771</v>
      </c>
      <c r="B119" s="368"/>
      <c r="C119" s="284">
        <v>6732.0</v>
      </c>
      <c r="H119" s="34" t="e">
        <v>#N/A</v>
      </c>
      <c r="I119" s="30"/>
      <c r="J119" s="30"/>
      <c r="K119" s="312" t="s">
        <v>7252</v>
      </c>
      <c r="L119" s="97">
        <v>6924.0</v>
      </c>
      <c r="Q119" s="313" t="s">
        <v>3771</v>
      </c>
      <c r="R119" s="313">
        <v>6732.0</v>
      </c>
      <c r="S119" s="34"/>
      <c r="T119" s="34"/>
    </row>
    <row r="120">
      <c r="A120" s="368" t="s">
        <v>3772</v>
      </c>
      <c r="B120" s="368">
        <v>6936.0</v>
      </c>
      <c r="C120" s="284">
        <v>6936.0</v>
      </c>
      <c r="H120" s="34" t="e">
        <v>#N/A</v>
      </c>
      <c r="I120" s="30"/>
      <c r="J120" s="30"/>
      <c r="K120" s="312" t="s">
        <v>7253</v>
      </c>
      <c r="L120" s="317"/>
      <c r="Q120" s="313" t="s">
        <v>3772</v>
      </c>
      <c r="R120" s="313">
        <v>6936.0</v>
      </c>
      <c r="S120" s="34"/>
      <c r="T120" s="34"/>
    </row>
    <row r="121">
      <c r="A121" s="368" t="s">
        <v>3773</v>
      </c>
      <c r="B121" s="370"/>
      <c r="C121" s="284">
        <v>6728.0</v>
      </c>
      <c r="H121" s="34" t="e">
        <v>#N/A</v>
      </c>
      <c r="I121" s="30"/>
      <c r="J121" s="30"/>
      <c r="K121" s="312" t="s">
        <v>7254</v>
      </c>
      <c r="L121" s="97">
        <v>6133.0</v>
      </c>
      <c r="Q121" s="313" t="s">
        <v>3773</v>
      </c>
      <c r="R121" s="35">
        <v>6728.0</v>
      </c>
      <c r="S121" s="313">
        <v>6732.0</v>
      </c>
      <c r="T121" s="34"/>
    </row>
    <row r="122">
      <c r="A122" s="368" t="s">
        <v>3774</v>
      </c>
      <c r="B122" s="368"/>
      <c r="C122" s="284">
        <v>6671.0</v>
      </c>
      <c r="H122" s="34" t="e">
        <v>#N/A</v>
      </c>
      <c r="I122" s="30"/>
      <c r="J122" s="30"/>
      <c r="K122" s="312" t="s">
        <v>7255</v>
      </c>
      <c r="L122" s="97">
        <v>7244.0</v>
      </c>
      <c r="Q122" s="313" t="s">
        <v>3774</v>
      </c>
      <c r="R122" s="313">
        <v>6671.0</v>
      </c>
      <c r="S122" s="34"/>
      <c r="T122" s="34"/>
    </row>
    <row r="123">
      <c r="A123" s="368" t="s">
        <v>3775</v>
      </c>
      <c r="B123" s="368"/>
      <c r="C123" s="284">
        <v>14065.0</v>
      </c>
      <c r="H123" s="34" t="e">
        <v>#N/A</v>
      </c>
      <c r="I123" s="30"/>
      <c r="J123" s="30"/>
      <c r="K123" s="312" t="s">
        <v>7256</v>
      </c>
      <c r="L123" s="97">
        <v>5458.0</v>
      </c>
      <c r="Q123" s="313" t="s">
        <v>3775</v>
      </c>
      <c r="R123" s="313">
        <v>14065.0</v>
      </c>
      <c r="S123" s="34">
        <v>6732.0</v>
      </c>
      <c r="T123" s="34"/>
    </row>
    <row r="124">
      <c r="A124" s="368" t="s">
        <v>3776</v>
      </c>
      <c r="B124" s="370"/>
      <c r="C124" s="284">
        <v>13829.0</v>
      </c>
      <c r="H124" s="34" t="e">
        <v>#N/A</v>
      </c>
      <c r="I124" s="30"/>
      <c r="J124" s="30"/>
      <c r="K124" s="312" t="s">
        <v>7257</v>
      </c>
      <c r="L124" s="97">
        <v>5458.0</v>
      </c>
      <c r="Q124" s="313" t="s">
        <v>3776</v>
      </c>
      <c r="R124" s="35">
        <v>13829.0</v>
      </c>
      <c r="S124" s="34"/>
      <c r="T124" s="34"/>
    </row>
    <row r="125">
      <c r="A125" s="318" t="s">
        <v>3777</v>
      </c>
      <c r="B125" s="318">
        <v>13864.0</v>
      </c>
      <c r="C125" s="284">
        <v>22.0</v>
      </c>
      <c r="H125" s="30">
        <v>1.0</v>
      </c>
      <c r="I125" s="30"/>
      <c r="J125" s="30"/>
      <c r="K125" s="312" t="s">
        <v>7258</v>
      </c>
      <c r="L125" s="317"/>
      <c r="Q125" s="312" t="s">
        <v>3777</v>
      </c>
      <c r="R125" s="312">
        <v>13864.0</v>
      </c>
      <c r="S125" s="30"/>
      <c r="T125" s="30"/>
    </row>
    <row r="126">
      <c r="A126" s="368" t="s">
        <v>3778</v>
      </c>
      <c r="B126" s="368"/>
      <c r="C126" s="284">
        <v>7010.0</v>
      </c>
      <c r="H126" s="34" t="e">
        <v>#N/A</v>
      </c>
      <c r="I126" s="30"/>
      <c r="J126" s="30"/>
      <c r="K126" s="312" t="s">
        <v>7259</v>
      </c>
      <c r="L126" s="97">
        <v>7033.0</v>
      </c>
      <c r="Q126" s="313" t="s">
        <v>3778</v>
      </c>
      <c r="R126" s="313">
        <v>7010.0</v>
      </c>
      <c r="S126" s="34"/>
      <c r="T126" s="34"/>
    </row>
    <row r="127">
      <c r="A127" s="367" t="s">
        <v>3779</v>
      </c>
      <c r="B127" s="367">
        <v>6875.0</v>
      </c>
      <c r="C127" s="284">
        <v>1.0</v>
      </c>
      <c r="H127" s="30">
        <v>1.0</v>
      </c>
      <c r="I127" s="30"/>
      <c r="J127" s="30"/>
      <c r="K127" s="312" t="s">
        <v>7260</v>
      </c>
      <c r="L127" s="317"/>
      <c r="Q127" s="312" t="s">
        <v>3779</v>
      </c>
      <c r="R127" s="312">
        <v>6875.0</v>
      </c>
      <c r="S127" s="30"/>
      <c r="T127" s="30"/>
    </row>
    <row r="128">
      <c r="A128" s="368" t="s">
        <v>3780</v>
      </c>
      <c r="B128" s="368"/>
      <c r="C128" s="284">
        <v>14292.0</v>
      </c>
      <c r="H128" s="34" t="e">
        <v>#N/A</v>
      </c>
      <c r="I128" s="30"/>
      <c r="J128" s="30"/>
      <c r="K128" s="312" t="s">
        <v>7261</v>
      </c>
      <c r="L128" s="317"/>
      <c r="Q128" s="313" t="s">
        <v>3780</v>
      </c>
      <c r="R128" s="313">
        <v>14292.0</v>
      </c>
      <c r="S128" s="34"/>
      <c r="T128" s="34"/>
    </row>
    <row r="129">
      <c r="A129" s="367" t="s">
        <v>3781</v>
      </c>
      <c r="B129" s="367">
        <v>6729.0</v>
      </c>
      <c r="C129" s="284">
        <v>1.0</v>
      </c>
      <c r="H129" s="34" t="e">
        <v>#N/A</v>
      </c>
      <c r="I129" s="30"/>
      <c r="J129" s="30"/>
      <c r="K129" s="312" t="s">
        <v>7262</v>
      </c>
      <c r="L129" s="317"/>
      <c r="Q129" s="313" t="s">
        <v>3781</v>
      </c>
      <c r="R129" s="313">
        <v>6729.0</v>
      </c>
      <c r="S129" s="34"/>
      <c r="T129" s="34"/>
    </row>
    <row r="130">
      <c r="A130" s="368" t="s">
        <v>3782</v>
      </c>
      <c r="B130" s="368"/>
      <c r="C130" s="284">
        <v>6829.0</v>
      </c>
      <c r="H130" s="34" t="e">
        <v>#N/A</v>
      </c>
      <c r="I130" s="30"/>
      <c r="J130" s="30"/>
      <c r="K130" s="312" t="s">
        <v>7263</v>
      </c>
      <c r="L130" s="97">
        <v>6671.0</v>
      </c>
      <c r="Q130" s="313" t="s">
        <v>3782</v>
      </c>
      <c r="R130" s="313">
        <v>6829.0</v>
      </c>
      <c r="S130" s="34"/>
      <c r="T130" s="34"/>
    </row>
    <row r="131">
      <c r="A131" s="368" t="s">
        <v>3783</v>
      </c>
      <c r="B131" s="368"/>
      <c r="C131" s="284">
        <v>6133.0</v>
      </c>
      <c r="H131" s="34" t="e">
        <v>#N/A</v>
      </c>
      <c r="I131" s="30"/>
      <c r="J131" s="30"/>
      <c r="K131" s="312" t="s">
        <v>7264</v>
      </c>
      <c r="L131" s="97">
        <v>5125.0</v>
      </c>
      <c r="Q131" s="313" t="s">
        <v>3783</v>
      </c>
      <c r="R131" s="313">
        <v>6133.0</v>
      </c>
      <c r="S131" s="34"/>
      <c r="T131" s="34"/>
    </row>
    <row r="132">
      <c r="A132" s="367" t="s">
        <v>3784</v>
      </c>
      <c r="B132" s="367">
        <v>283.0</v>
      </c>
      <c r="C132" s="284">
        <v>3.0</v>
      </c>
      <c r="H132" s="30">
        <v>1.0</v>
      </c>
      <c r="I132" s="30"/>
      <c r="J132" s="30"/>
      <c r="K132" s="312" t="s">
        <v>7265</v>
      </c>
      <c r="L132" s="317"/>
      <c r="Q132" s="312" t="s">
        <v>3784</v>
      </c>
      <c r="R132" s="312">
        <v>283.0</v>
      </c>
      <c r="S132" s="30"/>
      <c r="T132" s="30"/>
    </row>
    <row r="133">
      <c r="A133" s="368" t="s">
        <v>3785</v>
      </c>
      <c r="B133" s="368"/>
      <c r="C133" s="284">
        <v>8199.0</v>
      </c>
      <c r="H133" s="34" t="e">
        <v>#N/A</v>
      </c>
      <c r="I133" s="30"/>
      <c r="J133" s="30"/>
      <c r="K133" s="312" t="s">
        <v>7266</v>
      </c>
      <c r="L133" s="312" t="s">
        <v>7004</v>
      </c>
      <c r="Q133" s="313" t="s">
        <v>3785</v>
      </c>
      <c r="R133" s="313">
        <v>8199.0</v>
      </c>
      <c r="S133" s="34"/>
      <c r="T133" s="34"/>
    </row>
    <row r="134">
      <c r="A134" s="368" t="s">
        <v>3786</v>
      </c>
      <c r="B134" s="368"/>
      <c r="C134" s="284">
        <v>8199.0</v>
      </c>
      <c r="H134" s="34" t="e">
        <v>#N/A</v>
      </c>
      <c r="I134" s="30"/>
      <c r="J134" s="30"/>
      <c r="K134" s="312" t="s">
        <v>7267</v>
      </c>
      <c r="L134" s="97">
        <v>2345.0</v>
      </c>
      <c r="Q134" s="313" t="s">
        <v>3786</v>
      </c>
      <c r="R134" s="313">
        <v>8199.0</v>
      </c>
      <c r="S134" s="34"/>
      <c r="T134" s="34"/>
    </row>
    <row r="135">
      <c r="A135" s="368" t="s">
        <v>3787</v>
      </c>
      <c r="B135" s="368"/>
      <c r="C135" s="284">
        <v>3689.0</v>
      </c>
      <c r="H135" s="34" t="e">
        <v>#N/A</v>
      </c>
      <c r="I135" s="30"/>
      <c r="J135" s="30"/>
      <c r="K135" s="312" t="s">
        <v>7268</v>
      </c>
      <c r="L135" s="317"/>
      <c r="Q135" s="313" t="s">
        <v>3787</v>
      </c>
      <c r="R135" s="313">
        <v>3689.0</v>
      </c>
      <c r="S135" s="34"/>
      <c r="T135" s="34"/>
    </row>
    <row r="136">
      <c r="A136" s="368" t="s">
        <v>3788</v>
      </c>
      <c r="B136" s="368"/>
      <c r="C136" s="284">
        <v>499.0</v>
      </c>
      <c r="H136" s="34" t="e">
        <v>#N/A</v>
      </c>
      <c r="I136" s="30"/>
      <c r="J136" s="30"/>
      <c r="K136" s="312" t="s">
        <v>7269</v>
      </c>
      <c r="L136" s="97">
        <v>6658.0</v>
      </c>
      <c r="Q136" s="313" t="s">
        <v>3788</v>
      </c>
      <c r="R136" s="313">
        <v>499.0</v>
      </c>
      <c r="S136" s="34"/>
      <c r="T136" s="34"/>
    </row>
    <row r="137">
      <c r="A137" s="367" t="s">
        <v>3789</v>
      </c>
      <c r="B137" s="367">
        <v>7100.0</v>
      </c>
      <c r="C137" s="284">
        <v>1.0</v>
      </c>
      <c r="H137" s="30">
        <v>1.0</v>
      </c>
      <c r="I137" s="30"/>
      <c r="J137" s="30"/>
      <c r="K137" s="312" t="s">
        <v>7270</v>
      </c>
      <c r="L137" s="97">
        <v>3607.0</v>
      </c>
      <c r="Q137" s="312" t="s">
        <v>3789</v>
      </c>
      <c r="R137" s="312">
        <v>7100.0</v>
      </c>
      <c r="S137" s="30"/>
      <c r="T137" s="30"/>
    </row>
    <row r="138">
      <c r="A138" s="368" t="s">
        <v>3790</v>
      </c>
      <c r="B138" s="368"/>
      <c r="C138" s="284">
        <v>189.0</v>
      </c>
      <c r="H138" s="34" t="e">
        <v>#N/A</v>
      </c>
      <c r="I138" s="30"/>
      <c r="J138" s="30"/>
      <c r="K138" s="312" t="s">
        <v>7271</v>
      </c>
      <c r="L138" s="97">
        <v>3607.0</v>
      </c>
      <c r="Q138" s="313" t="s">
        <v>3790</v>
      </c>
      <c r="R138" s="313">
        <v>189.0</v>
      </c>
      <c r="S138" s="34"/>
      <c r="T138" s="34"/>
    </row>
    <row r="139">
      <c r="A139" s="368" t="s">
        <v>3791</v>
      </c>
      <c r="B139" s="368"/>
      <c r="C139" s="284">
        <v>189.0</v>
      </c>
      <c r="H139" s="34" t="e">
        <v>#N/A</v>
      </c>
      <c r="I139" s="30"/>
      <c r="J139" s="30"/>
      <c r="K139" s="312" t="s">
        <v>7272</v>
      </c>
      <c r="L139" s="97">
        <v>3607.0</v>
      </c>
      <c r="Q139" s="313" t="s">
        <v>3791</v>
      </c>
      <c r="R139" s="313">
        <v>189.0</v>
      </c>
      <c r="S139" s="34"/>
      <c r="T139" s="34"/>
    </row>
    <row r="140">
      <c r="A140" s="368" t="s">
        <v>3792</v>
      </c>
      <c r="B140" s="368"/>
      <c r="C140" s="284">
        <v>189.0</v>
      </c>
      <c r="H140" s="34" t="e">
        <v>#N/A</v>
      </c>
      <c r="I140" s="30"/>
      <c r="J140" s="30"/>
      <c r="K140" s="312" t="s">
        <v>7273</v>
      </c>
      <c r="L140" s="97">
        <v>3607.0</v>
      </c>
      <c r="Q140" s="313" t="s">
        <v>3792</v>
      </c>
      <c r="R140" s="313">
        <v>189.0</v>
      </c>
      <c r="S140" s="34"/>
      <c r="T140" s="34"/>
    </row>
    <row r="141">
      <c r="A141" s="367" t="s">
        <v>3793</v>
      </c>
      <c r="B141" s="367">
        <v>189.0</v>
      </c>
      <c r="C141" s="284">
        <v>8.0</v>
      </c>
      <c r="H141" s="30">
        <v>1.0</v>
      </c>
      <c r="I141" s="30"/>
      <c r="J141" s="30"/>
      <c r="K141" s="312" t="s">
        <v>7274</v>
      </c>
      <c r="L141" s="97">
        <v>2345.0</v>
      </c>
      <c r="Q141" s="312" t="s">
        <v>3793</v>
      </c>
      <c r="R141" s="312">
        <v>189.0</v>
      </c>
      <c r="S141" s="30"/>
      <c r="T141" s="30"/>
    </row>
    <row r="142">
      <c r="A142" s="367" t="s">
        <v>3794</v>
      </c>
      <c r="B142" s="367">
        <v>986.0</v>
      </c>
      <c r="C142" s="284">
        <v>2.0</v>
      </c>
      <c r="H142" s="34" t="e">
        <v>#N/A</v>
      </c>
      <c r="I142" s="30"/>
      <c r="J142" s="30"/>
      <c r="K142" s="312" t="s">
        <v>7275</v>
      </c>
      <c r="L142" s="97"/>
      <c r="Q142" s="313" t="s">
        <v>3794</v>
      </c>
      <c r="R142" s="313">
        <v>986.0</v>
      </c>
      <c r="S142" s="371">
        <v>7083.0</v>
      </c>
      <c r="T142" s="34"/>
    </row>
    <row r="143">
      <c r="A143" s="318" t="s">
        <v>3795</v>
      </c>
      <c r="B143" s="318">
        <v>189.0</v>
      </c>
      <c r="C143" s="284">
        <v>12.0</v>
      </c>
      <c r="D143" s="59"/>
      <c r="H143" s="30">
        <v>1.0</v>
      </c>
      <c r="I143" s="30"/>
      <c r="J143" s="30"/>
      <c r="K143" s="312" t="s">
        <v>7276</v>
      </c>
      <c r="L143" s="97">
        <v>3607.0</v>
      </c>
      <c r="Q143" s="312" t="s">
        <v>3795</v>
      </c>
      <c r="R143" s="312">
        <v>189.0</v>
      </c>
      <c r="S143" s="30"/>
      <c r="T143" s="30"/>
    </row>
    <row r="144">
      <c r="A144" s="367" t="s">
        <v>3796</v>
      </c>
      <c r="B144" s="367">
        <v>6873.0</v>
      </c>
      <c r="C144" s="284">
        <v>1.0</v>
      </c>
      <c r="H144" s="30">
        <v>1.0</v>
      </c>
      <c r="I144" s="30"/>
      <c r="J144" s="30"/>
      <c r="K144" s="312" t="s">
        <v>7277</v>
      </c>
      <c r="L144" s="97">
        <v>3607.0</v>
      </c>
      <c r="Q144" s="312" t="s">
        <v>3796</v>
      </c>
      <c r="R144" s="312">
        <v>6873.0</v>
      </c>
      <c r="S144" s="30"/>
      <c r="T144" s="30"/>
    </row>
    <row r="145">
      <c r="A145" s="368" t="s">
        <v>3797</v>
      </c>
      <c r="B145" s="368"/>
      <c r="C145" s="284">
        <v>6903.0</v>
      </c>
      <c r="H145" s="34" t="e">
        <v>#N/A</v>
      </c>
      <c r="I145" s="30"/>
      <c r="J145" s="30"/>
      <c r="K145" s="312" t="s">
        <v>7278</v>
      </c>
      <c r="L145" s="97">
        <v>7055.0</v>
      </c>
      <c r="Q145" s="313" t="s">
        <v>3797</v>
      </c>
      <c r="R145" s="313">
        <v>6903.0</v>
      </c>
      <c r="S145" s="34"/>
      <c r="T145" s="34"/>
    </row>
    <row r="146">
      <c r="A146" s="368" t="s">
        <v>3798</v>
      </c>
      <c r="B146" s="368"/>
      <c r="C146" s="284">
        <v>6463.0</v>
      </c>
      <c r="H146" s="34" t="e">
        <v>#N/A</v>
      </c>
      <c r="I146" s="30"/>
      <c r="J146" s="30"/>
      <c r="K146" s="312" t="s">
        <v>7279</v>
      </c>
      <c r="L146" s="97">
        <v>6658.0</v>
      </c>
      <c r="Q146" s="313" t="s">
        <v>3798</v>
      </c>
      <c r="R146" s="313">
        <v>6463.0</v>
      </c>
      <c r="S146" s="34"/>
      <c r="T146" s="34"/>
    </row>
    <row r="147">
      <c r="A147" s="368" t="s">
        <v>3799</v>
      </c>
      <c r="B147" s="368"/>
      <c r="C147" s="284">
        <v>7326.0</v>
      </c>
      <c r="H147" s="34" t="e">
        <v>#N/A</v>
      </c>
      <c r="I147" s="30"/>
      <c r="J147" s="30"/>
      <c r="K147" s="312" t="s">
        <v>7280</v>
      </c>
      <c r="L147" s="317"/>
      <c r="Q147" s="313" t="s">
        <v>3799</v>
      </c>
      <c r="R147" s="313">
        <v>7326.0</v>
      </c>
      <c r="S147" s="34"/>
      <c r="T147" s="34"/>
    </row>
    <row r="148">
      <c r="A148" s="368" t="s">
        <v>3800</v>
      </c>
      <c r="B148" s="368"/>
      <c r="C148" s="284">
        <v>6785.0</v>
      </c>
      <c r="H148" s="34" t="e">
        <v>#N/A</v>
      </c>
      <c r="I148" s="30"/>
      <c r="J148" s="30"/>
      <c r="K148" s="312" t="s">
        <v>7281</v>
      </c>
      <c r="L148" s="317"/>
      <c r="Q148" s="313" t="s">
        <v>3800</v>
      </c>
      <c r="R148" s="313">
        <v>6785.0</v>
      </c>
      <c r="S148" s="34"/>
      <c r="T148" s="34"/>
    </row>
    <row r="149">
      <c r="A149" s="368" t="s">
        <v>3801</v>
      </c>
      <c r="B149" s="368"/>
      <c r="C149" s="284">
        <v>6557.0</v>
      </c>
      <c r="H149" s="34" t="e">
        <v>#N/A</v>
      </c>
      <c r="I149" s="30"/>
      <c r="J149" s="30"/>
      <c r="K149" s="312" t="s">
        <v>7282</v>
      </c>
      <c r="L149" s="97">
        <v>7283.0</v>
      </c>
      <c r="Q149" s="313" t="s">
        <v>3801</v>
      </c>
      <c r="R149" s="313">
        <v>6557.0</v>
      </c>
      <c r="S149" s="34"/>
      <c r="T149" s="34"/>
    </row>
    <row r="150">
      <c r="A150" s="368" t="s">
        <v>3802</v>
      </c>
      <c r="B150" s="368"/>
      <c r="C150" s="284">
        <v>11708.0</v>
      </c>
      <c r="H150" s="34" t="e">
        <v>#N/A</v>
      </c>
      <c r="I150" s="30"/>
      <c r="J150" s="30"/>
      <c r="K150" s="312" t="s">
        <v>7283</v>
      </c>
      <c r="L150" s="317"/>
      <c r="Q150" s="313" t="s">
        <v>3802</v>
      </c>
      <c r="R150" s="313">
        <v>11708.0</v>
      </c>
      <c r="S150" s="34"/>
      <c r="T150" s="34"/>
    </row>
    <row r="151">
      <c r="A151" s="368" t="s">
        <v>3803</v>
      </c>
      <c r="B151" s="368"/>
      <c r="C151" s="284">
        <v>6927.0</v>
      </c>
      <c r="H151" s="34" t="e">
        <v>#N/A</v>
      </c>
      <c r="I151" s="30"/>
      <c r="J151" s="30"/>
      <c r="K151" s="312" t="s">
        <v>7284</v>
      </c>
      <c r="L151" s="97">
        <v>2345.0</v>
      </c>
      <c r="Q151" s="313" t="s">
        <v>3803</v>
      </c>
      <c r="R151" s="313">
        <v>6927.0</v>
      </c>
      <c r="S151" s="34"/>
      <c r="T151" s="34"/>
    </row>
    <row r="152">
      <c r="A152" s="368" t="s">
        <v>3804</v>
      </c>
      <c r="B152" s="368"/>
      <c r="C152" s="284">
        <v>1130.0</v>
      </c>
      <c r="H152" s="34" t="e">
        <v>#N/A</v>
      </c>
      <c r="I152" s="30"/>
      <c r="J152" s="30"/>
      <c r="K152" s="312" t="s">
        <v>7285</v>
      </c>
      <c r="L152" s="317"/>
      <c r="Q152" s="313" t="s">
        <v>3804</v>
      </c>
      <c r="R152" s="313">
        <v>1130.0</v>
      </c>
      <c r="S152" s="34"/>
      <c r="T152" s="34"/>
    </row>
    <row r="153">
      <c r="A153" s="368" t="s">
        <v>3805</v>
      </c>
      <c r="B153" s="368"/>
      <c r="C153" s="284">
        <v>6989.0</v>
      </c>
      <c r="H153" s="34" t="e">
        <v>#N/A</v>
      </c>
      <c r="I153" s="30"/>
      <c r="J153" s="30"/>
      <c r="K153" s="312" t="s">
        <v>7286</v>
      </c>
      <c r="L153" s="317"/>
      <c r="Q153" s="313" t="s">
        <v>3805</v>
      </c>
      <c r="R153" s="313">
        <v>6989.0</v>
      </c>
      <c r="S153" s="34"/>
      <c r="T153" s="34"/>
    </row>
    <row r="154">
      <c r="A154" s="367" t="s">
        <v>3806</v>
      </c>
      <c r="B154" s="367">
        <v>6706.0</v>
      </c>
      <c r="C154" s="284">
        <v>1.0</v>
      </c>
      <c r="H154" s="30">
        <v>1.0</v>
      </c>
      <c r="I154" s="30"/>
      <c r="J154" s="30"/>
      <c r="K154" s="312" t="s">
        <v>7287</v>
      </c>
      <c r="L154" s="97">
        <v>7137.0</v>
      </c>
      <c r="Q154" s="312" t="s">
        <v>3806</v>
      </c>
      <c r="R154" s="312">
        <v>6706.0</v>
      </c>
      <c r="S154" s="30"/>
      <c r="T154" s="30"/>
    </row>
    <row r="155">
      <c r="A155" s="368" t="s">
        <v>3807</v>
      </c>
      <c r="B155" s="368"/>
      <c r="C155" s="284">
        <v>12550.0</v>
      </c>
      <c r="H155" s="34" t="e">
        <v>#N/A</v>
      </c>
      <c r="I155" s="30"/>
      <c r="J155" s="30"/>
      <c r="K155" s="312" t="s">
        <v>7288</v>
      </c>
      <c r="L155" s="97">
        <v>2345.0</v>
      </c>
      <c r="Q155" s="313" t="s">
        <v>3807</v>
      </c>
      <c r="R155" s="313">
        <v>12550.0</v>
      </c>
      <c r="S155" s="34"/>
      <c r="T155" s="34"/>
    </row>
    <row r="156">
      <c r="A156" s="368" t="s">
        <v>3808</v>
      </c>
      <c r="B156" s="368"/>
      <c r="C156" s="284">
        <v>6132.0</v>
      </c>
      <c r="H156" s="34" t="e">
        <v>#N/A</v>
      </c>
      <c r="I156" s="30"/>
      <c r="J156" s="30"/>
      <c r="K156" s="312" t="s">
        <v>7289</v>
      </c>
      <c r="L156" s="97">
        <v>2345.0</v>
      </c>
      <c r="Q156" s="313" t="s">
        <v>3808</v>
      </c>
      <c r="R156" s="313">
        <v>6132.0</v>
      </c>
      <c r="S156" s="34"/>
      <c r="T156" s="34"/>
    </row>
    <row r="157">
      <c r="A157" s="368" t="s">
        <v>3809</v>
      </c>
      <c r="B157" s="368"/>
      <c r="C157" s="284">
        <v>3381.0</v>
      </c>
      <c r="H157" s="34" t="e">
        <v>#N/A</v>
      </c>
      <c r="I157" s="30"/>
      <c r="J157" s="30"/>
      <c r="K157" s="312" t="s">
        <v>7336</v>
      </c>
      <c r="L157" s="97">
        <v>2345.0</v>
      </c>
      <c r="Q157" s="313" t="s">
        <v>3809</v>
      </c>
      <c r="R157" s="313">
        <v>3381.0</v>
      </c>
      <c r="S157" s="34"/>
      <c r="T157" s="34"/>
    </row>
    <row r="158">
      <c r="A158" s="368" t="s">
        <v>3810</v>
      </c>
      <c r="B158" s="368"/>
      <c r="C158" s="284">
        <v>12278.0</v>
      </c>
      <c r="H158" s="34" t="e">
        <v>#N/A</v>
      </c>
      <c r="I158" s="30"/>
      <c r="J158" s="30"/>
      <c r="K158" s="312" t="s">
        <v>7337</v>
      </c>
      <c r="L158" s="97">
        <v>2345.0</v>
      </c>
      <c r="Q158" s="313" t="s">
        <v>3810</v>
      </c>
      <c r="R158" s="313">
        <v>12278.0</v>
      </c>
      <c r="S158" s="34"/>
      <c r="T158" s="34"/>
    </row>
    <row r="159">
      <c r="A159" s="368" t="s">
        <v>3811</v>
      </c>
      <c r="B159" s="368"/>
      <c r="C159" s="284">
        <v>315.0</v>
      </c>
      <c r="H159" s="34" t="e">
        <v>#N/A</v>
      </c>
      <c r="I159" s="30"/>
      <c r="J159" s="30"/>
      <c r="K159" s="312" t="s">
        <v>7338</v>
      </c>
      <c r="L159" s="97">
        <v>2345.0</v>
      </c>
      <c r="Q159" s="313" t="s">
        <v>3811</v>
      </c>
      <c r="R159" s="313">
        <v>315.0</v>
      </c>
      <c r="S159" s="34"/>
      <c r="T159" s="34"/>
    </row>
    <row r="160">
      <c r="A160" s="368" t="s">
        <v>3812</v>
      </c>
      <c r="B160" s="368"/>
      <c r="C160" s="284">
        <v>7003.0</v>
      </c>
      <c r="H160" s="34" t="e">
        <v>#N/A</v>
      </c>
      <c r="I160" s="30"/>
      <c r="J160" s="30"/>
      <c r="K160" s="312" t="s">
        <v>7339</v>
      </c>
      <c r="L160" s="317"/>
      <c r="Q160" s="313" t="s">
        <v>3812</v>
      </c>
      <c r="R160" s="313">
        <v>7003.0</v>
      </c>
      <c r="S160" s="34"/>
      <c r="T160" s="34"/>
    </row>
    <row r="161">
      <c r="A161" s="367" t="s">
        <v>3813</v>
      </c>
      <c r="B161" s="367">
        <v>6802.0</v>
      </c>
      <c r="C161" s="284">
        <v>1.0</v>
      </c>
      <c r="H161" s="30">
        <v>1.0</v>
      </c>
      <c r="I161" s="30"/>
      <c r="J161" s="30"/>
      <c r="K161" s="312" t="s">
        <v>7340</v>
      </c>
      <c r="L161" s="97">
        <v>7010.0</v>
      </c>
      <c r="Q161" s="312" t="s">
        <v>3813</v>
      </c>
      <c r="R161" s="312">
        <v>6802.0</v>
      </c>
      <c r="S161" s="30"/>
      <c r="T161" s="30"/>
    </row>
    <row r="162">
      <c r="A162" s="367" t="s">
        <v>3814</v>
      </c>
      <c r="B162" s="367">
        <v>7186.0</v>
      </c>
      <c r="C162" s="284">
        <v>1.0</v>
      </c>
      <c r="H162" s="30">
        <v>1.0</v>
      </c>
      <c r="I162" s="30"/>
      <c r="J162" s="30"/>
      <c r="K162" s="312" t="s">
        <v>7341</v>
      </c>
      <c r="L162" s="97">
        <v>6732.0</v>
      </c>
      <c r="Q162" s="312" t="s">
        <v>3814</v>
      </c>
      <c r="R162" s="312">
        <v>7186.0</v>
      </c>
      <c r="S162" s="30"/>
      <c r="T162" s="30"/>
    </row>
    <row r="163">
      <c r="A163" s="368" t="s">
        <v>3815</v>
      </c>
      <c r="B163" s="368"/>
      <c r="C163" s="284">
        <v>7183.0</v>
      </c>
      <c r="H163" s="34" t="e">
        <v>#N/A</v>
      </c>
      <c r="I163" s="30"/>
      <c r="J163" s="30"/>
      <c r="K163" s="312" t="s">
        <v>7290</v>
      </c>
      <c r="L163" s="97">
        <v>6732.0</v>
      </c>
      <c r="Q163" s="313" t="s">
        <v>3815</v>
      </c>
      <c r="R163" s="313">
        <v>7183.0</v>
      </c>
      <c r="S163" s="34"/>
      <c r="T163" s="34"/>
    </row>
    <row r="164">
      <c r="A164" s="368" t="s">
        <v>3816</v>
      </c>
      <c r="B164" s="368"/>
      <c r="C164" s="284">
        <v>9307.0</v>
      </c>
      <c r="H164" s="34" t="e">
        <v>#N/A</v>
      </c>
      <c r="I164" s="30"/>
      <c r="J164" s="30"/>
      <c r="K164" s="312" t="s">
        <v>7291</v>
      </c>
      <c r="L164" s="97">
        <v>6732.0</v>
      </c>
      <c r="Q164" s="313" t="s">
        <v>3816</v>
      </c>
      <c r="R164" s="313">
        <v>9307.0</v>
      </c>
      <c r="S164" s="34"/>
      <c r="T164" s="34"/>
    </row>
    <row r="165">
      <c r="A165" s="368" t="s">
        <v>3817</v>
      </c>
      <c r="B165" s="368"/>
      <c r="C165" s="284">
        <v>7157.0</v>
      </c>
      <c r="H165" s="34" t="e">
        <v>#N/A</v>
      </c>
      <c r="I165" s="30"/>
      <c r="J165" s="30"/>
      <c r="K165" s="312" t="s">
        <v>7292</v>
      </c>
      <c r="L165" s="97">
        <v>6732.0</v>
      </c>
      <c r="Q165" s="313" t="s">
        <v>3817</v>
      </c>
      <c r="R165" s="313">
        <v>7157.0</v>
      </c>
      <c r="S165" s="34"/>
      <c r="T165" s="34"/>
    </row>
    <row r="166">
      <c r="A166" s="368" t="s">
        <v>3818</v>
      </c>
      <c r="B166" s="368"/>
      <c r="C166" s="284">
        <v>12278.0</v>
      </c>
      <c r="H166" s="34" t="e">
        <v>#N/A</v>
      </c>
      <c r="I166" s="30"/>
      <c r="J166" s="30"/>
      <c r="K166" s="312" t="s">
        <v>7293</v>
      </c>
      <c r="L166" s="97">
        <v>6779.0</v>
      </c>
      <c r="Q166" s="313" t="s">
        <v>3818</v>
      </c>
      <c r="R166" s="313">
        <v>12278.0</v>
      </c>
      <c r="S166" s="34"/>
      <c r="T166" s="34"/>
    </row>
    <row r="167">
      <c r="A167" s="368" t="s">
        <v>3819</v>
      </c>
      <c r="B167" s="368"/>
      <c r="C167" s="284">
        <v>7142.0</v>
      </c>
      <c r="H167" s="34" t="e">
        <v>#N/A</v>
      </c>
      <c r="I167" s="30"/>
      <c r="J167" s="30"/>
      <c r="K167" s="312" t="s">
        <v>7294</v>
      </c>
      <c r="L167" s="97">
        <v>2345.0</v>
      </c>
      <c r="Q167" s="313" t="s">
        <v>3819</v>
      </c>
      <c r="R167" s="313">
        <v>7142.0</v>
      </c>
      <c r="S167" s="34"/>
      <c r="T167" s="34"/>
    </row>
    <row r="168">
      <c r="A168" s="368" t="s">
        <v>3820</v>
      </c>
      <c r="B168" s="370"/>
      <c r="C168" s="284">
        <v>14298.0</v>
      </c>
      <c r="H168" s="34" t="e">
        <v>#N/A</v>
      </c>
      <c r="I168" s="30"/>
      <c r="J168" s="30"/>
      <c r="K168" s="312" t="s">
        <v>7295</v>
      </c>
      <c r="L168" s="97">
        <v>6732.0</v>
      </c>
      <c r="Q168" s="313" t="s">
        <v>3820</v>
      </c>
      <c r="R168" s="98">
        <v>14298.0</v>
      </c>
      <c r="S168" s="98">
        <v>7040.0</v>
      </c>
      <c r="T168" s="34"/>
    </row>
    <row r="169">
      <c r="A169" s="368" t="s">
        <v>3821</v>
      </c>
      <c r="B169" s="368"/>
      <c r="C169" s="284">
        <v>10393.0</v>
      </c>
      <c r="H169" s="34" t="e">
        <v>#N/A</v>
      </c>
      <c r="I169" s="30"/>
      <c r="J169" s="30"/>
      <c r="K169" s="312" t="s">
        <v>7296</v>
      </c>
      <c r="L169" s="317"/>
      <c r="Q169" s="313" t="s">
        <v>3821</v>
      </c>
      <c r="R169" s="313">
        <v>10393.0</v>
      </c>
      <c r="S169" s="34"/>
      <c r="T169" s="34"/>
    </row>
    <row r="170">
      <c r="A170" s="367" t="s">
        <v>3822</v>
      </c>
      <c r="B170" s="12">
        <v>2644.0</v>
      </c>
      <c r="C170" s="284">
        <v>1.0</v>
      </c>
      <c r="H170" s="34" t="e">
        <v>#N/A</v>
      </c>
      <c r="I170" s="30"/>
      <c r="J170" s="30"/>
      <c r="K170" s="312" t="s">
        <v>7297</v>
      </c>
      <c r="L170" s="317"/>
      <c r="Q170" s="313" t="s">
        <v>3822</v>
      </c>
      <c r="R170" s="372">
        <v>2644.0</v>
      </c>
      <c r="S170" s="34"/>
      <c r="T170" s="34"/>
    </row>
    <row r="171">
      <c r="A171" s="368" t="s">
        <v>3823</v>
      </c>
      <c r="B171" s="368"/>
      <c r="C171" s="284">
        <v>11875.0</v>
      </c>
      <c r="H171" s="34" t="e">
        <v>#N/A</v>
      </c>
      <c r="I171" s="30"/>
      <c r="J171" s="30"/>
      <c r="K171" s="312" t="s">
        <v>7298</v>
      </c>
      <c r="L171" s="97">
        <v>189.0</v>
      </c>
      <c r="Q171" s="313" t="s">
        <v>3823</v>
      </c>
      <c r="R171" s="313">
        <v>11875.0</v>
      </c>
      <c r="S171" s="34"/>
      <c r="T171" s="34"/>
    </row>
    <row r="172">
      <c r="A172" s="368" t="s">
        <v>3824</v>
      </c>
      <c r="B172" s="368"/>
      <c r="C172" s="284">
        <v>7227.0</v>
      </c>
      <c r="H172" s="34" t="e">
        <v>#N/A</v>
      </c>
      <c r="I172" s="30"/>
      <c r="J172" s="30"/>
      <c r="K172" s="312" t="s">
        <v>7299</v>
      </c>
      <c r="L172" s="317"/>
      <c r="Q172" s="313" t="s">
        <v>3824</v>
      </c>
      <c r="R172" s="313">
        <v>7227.0</v>
      </c>
      <c r="S172" s="34"/>
      <c r="T172" s="34"/>
    </row>
    <row r="173">
      <c r="A173" s="368" t="s">
        <v>3825</v>
      </c>
      <c r="B173" s="368"/>
      <c r="C173" s="284">
        <v>7227.0</v>
      </c>
      <c r="H173" s="34" t="e">
        <v>#N/A</v>
      </c>
      <c r="I173" s="30"/>
      <c r="J173" s="30"/>
      <c r="K173" s="312" t="s">
        <v>7300</v>
      </c>
      <c r="L173" s="317"/>
      <c r="Q173" s="313" t="s">
        <v>3825</v>
      </c>
      <c r="R173" s="313">
        <v>7227.0</v>
      </c>
      <c r="S173" s="34"/>
      <c r="T173" s="34"/>
    </row>
    <row r="174">
      <c r="A174" s="367" t="s">
        <v>3826</v>
      </c>
      <c r="B174" s="367">
        <v>7227.0</v>
      </c>
      <c r="C174" s="284">
        <v>1.0</v>
      </c>
      <c r="H174" s="30">
        <v>1.0</v>
      </c>
      <c r="I174" s="30"/>
      <c r="J174" s="30"/>
      <c r="K174" s="312" t="s">
        <v>7301</v>
      </c>
      <c r="L174" s="317"/>
      <c r="Q174" s="312" t="s">
        <v>3826</v>
      </c>
      <c r="R174" s="312">
        <v>7227.0</v>
      </c>
      <c r="S174" s="30"/>
      <c r="T174" s="30"/>
    </row>
    <row r="175">
      <c r="A175" s="368" t="s">
        <v>3827</v>
      </c>
      <c r="B175" s="368"/>
      <c r="C175" s="284">
        <v>7227.0</v>
      </c>
      <c r="H175" s="34" t="e">
        <v>#N/A</v>
      </c>
      <c r="I175" s="30"/>
      <c r="J175" s="30"/>
      <c r="K175" s="312" t="s">
        <v>7302</v>
      </c>
      <c r="L175" s="317"/>
      <c r="Q175" s="313" t="s">
        <v>3827</v>
      </c>
      <c r="R175" s="313">
        <v>7227.0</v>
      </c>
      <c r="S175" s="34"/>
      <c r="T175" s="34"/>
    </row>
    <row r="176">
      <c r="A176" s="368" t="s">
        <v>3828</v>
      </c>
      <c r="B176" s="368"/>
      <c r="C176" s="284">
        <v>7227.0</v>
      </c>
      <c r="H176" s="34" t="e">
        <v>#N/A</v>
      </c>
      <c r="I176" s="30"/>
      <c r="J176" s="30"/>
      <c r="K176" s="312" t="s">
        <v>7303</v>
      </c>
      <c r="L176" s="97">
        <v>189.0</v>
      </c>
      <c r="Q176" s="313" t="s">
        <v>3828</v>
      </c>
      <c r="R176" s="313">
        <v>7227.0</v>
      </c>
      <c r="S176" s="34"/>
      <c r="T176" s="34"/>
    </row>
    <row r="177">
      <c r="A177" s="368" t="s">
        <v>3829</v>
      </c>
      <c r="B177" s="368"/>
      <c r="C177" s="284">
        <v>7227.0</v>
      </c>
      <c r="H177" s="34" t="e">
        <v>#N/A</v>
      </c>
      <c r="I177" s="30"/>
      <c r="J177" s="30"/>
      <c r="K177" s="312" t="s">
        <v>7304</v>
      </c>
      <c r="L177" s="97">
        <v>189.0</v>
      </c>
      <c r="Q177" s="313" t="s">
        <v>3829</v>
      </c>
      <c r="R177" s="313">
        <v>7227.0</v>
      </c>
      <c r="S177" s="34"/>
      <c r="T177" s="34"/>
    </row>
    <row r="178">
      <c r="A178" s="368" t="s">
        <v>3830</v>
      </c>
      <c r="B178" s="368"/>
      <c r="C178" s="284">
        <v>7227.0</v>
      </c>
      <c r="H178" s="34" t="e">
        <v>#N/A</v>
      </c>
      <c r="I178" s="30"/>
      <c r="J178" s="30"/>
      <c r="K178" s="312" t="s">
        <v>7305</v>
      </c>
      <c r="L178" s="97">
        <v>189.0</v>
      </c>
      <c r="Q178" s="313" t="s">
        <v>3830</v>
      </c>
      <c r="R178" s="313">
        <v>7227.0</v>
      </c>
      <c r="S178" s="34"/>
      <c r="T178" s="34"/>
    </row>
    <row r="179">
      <c r="A179" s="368" t="s">
        <v>3831</v>
      </c>
      <c r="B179" s="368"/>
      <c r="C179" s="284">
        <v>7227.0</v>
      </c>
      <c r="D179" s="59"/>
      <c r="H179" s="34" t="e">
        <v>#N/A</v>
      </c>
      <c r="I179" s="30"/>
      <c r="J179" s="30"/>
      <c r="K179" s="312" t="s">
        <v>7306</v>
      </c>
      <c r="L179" s="97">
        <v>6772.0</v>
      </c>
      <c r="Q179" s="313" t="s">
        <v>3831</v>
      </c>
      <c r="R179" s="313">
        <v>7227.0</v>
      </c>
      <c r="S179" s="34"/>
      <c r="T179" s="34"/>
    </row>
    <row r="180">
      <c r="A180" s="368" t="s">
        <v>3832</v>
      </c>
      <c r="B180" s="368"/>
      <c r="C180" s="284">
        <v>7227.0</v>
      </c>
      <c r="H180" s="34" t="e">
        <v>#N/A</v>
      </c>
      <c r="I180" s="30"/>
      <c r="J180" s="30"/>
      <c r="K180" s="312" t="s">
        <v>7307</v>
      </c>
      <c r="L180" s="317"/>
      <c r="Q180" s="313" t="s">
        <v>3832</v>
      </c>
      <c r="R180" s="313">
        <v>7227.0</v>
      </c>
      <c r="S180" s="34"/>
      <c r="T180" s="34"/>
    </row>
    <row r="181">
      <c r="A181" s="368" t="s">
        <v>3833</v>
      </c>
      <c r="B181" s="368"/>
      <c r="C181" s="284">
        <v>7227.0</v>
      </c>
      <c r="H181" s="34" t="e">
        <v>#N/A</v>
      </c>
      <c r="I181" s="30"/>
      <c r="J181" s="30"/>
      <c r="K181" s="312" t="s">
        <v>7308</v>
      </c>
      <c r="L181" s="97">
        <v>7142.0</v>
      </c>
      <c r="Q181" s="313" t="s">
        <v>3833</v>
      </c>
      <c r="R181" s="313">
        <v>7227.0</v>
      </c>
      <c r="S181" s="34"/>
      <c r="T181" s="34"/>
    </row>
    <row r="182">
      <c r="A182" s="368" t="s">
        <v>3834</v>
      </c>
      <c r="B182" s="16">
        <v>14465.0</v>
      </c>
      <c r="C182" s="167">
        <v>7227.0</v>
      </c>
      <c r="D182" s="59">
        <v>45963.0</v>
      </c>
      <c r="H182" s="34" t="e">
        <v>#N/A</v>
      </c>
      <c r="I182" s="30"/>
      <c r="J182" s="30"/>
      <c r="K182" s="312" t="s">
        <v>7309</v>
      </c>
      <c r="L182" s="317"/>
      <c r="Q182" s="313" t="s">
        <v>3834</v>
      </c>
      <c r="R182" s="98">
        <v>7227.0</v>
      </c>
      <c r="S182" s="34"/>
      <c r="T182" s="34"/>
    </row>
    <row r="183">
      <c r="A183" s="368" t="s">
        <v>3835</v>
      </c>
      <c r="B183" s="370"/>
      <c r="C183" s="284">
        <v>7227.0</v>
      </c>
      <c r="H183" s="34" t="e">
        <v>#N/A</v>
      </c>
      <c r="I183" s="30"/>
      <c r="J183" s="30"/>
      <c r="K183" s="312" t="s">
        <v>7310</v>
      </c>
      <c r="L183" s="97">
        <v>7246.0</v>
      </c>
      <c r="Q183" s="313" t="s">
        <v>3835</v>
      </c>
      <c r="R183" s="98">
        <v>7227.0</v>
      </c>
      <c r="S183" s="34"/>
      <c r="T183" s="373" t="s">
        <v>7672</v>
      </c>
    </row>
    <row r="184">
      <c r="A184" s="368" t="s">
        <v>3836</v>
      </c>
      <c r="B184" s="370"/>
      <c r="C184" s="284">
        <v>7227.0</v>
      </c>
      <c r="H184" s="34" t="e">
        <v>#N/A</v>
      </c>
      <c r="I184" s="30"/>
      <c r="J184" s="30"/>
      <c r="K184" s="312" t="s">
        <v>7311</v>
      </c>
      <c r="L184" s="97">
        <v>7227.0</v>
      </c>
      <c r="Q184" s="313" t="s">
        <v>3836</v>
      </c>
      <c r="R184" s="98">
        <v>7227.0</v>
      </c>
      <c r="S184" s="34"/>
      <c r="T184" s="373" t="s">
        <v>7673</v>
      </c>
    </row>
    <row r="185">
      <c r="A185" s="368" t="s">
        <v>3837</v>
      </c>
      <c r="B185" s="370"/>
      <c r="C185" s="284">
        <v>7227.0</v>
      </c>
      <c r="H185" s="34" t="e">
        <v>#N/A</v>
      </c>
      <c r="I185" s="30"/>
      <c r="J185" s="30"/>
      <c r="K185" s="312" t="s">
        <v>7312</v>
      </c>
      <c r="L185" s="97">
        <v>7227.0</v>
      </c>
      <c r="Q185" s="313" t="s">
        <v>3837</v>
      </c>
      <c r="R185" s="98">
        <v>7227.0</v>
      </c>
      <c r="S185" s="34"/>
      <c r="T185" s="374" t="s">
        <v>7674</v>
      </c>
    </row>
    <row r="186">
      <c r="A186" s="368" t="s">
        <v>3838</v>
      </c>
      <c r="B186" s="370"/>
      <c r="C186" s="284">
        <v>7227.0</v>
      </c>
      <c r="H186" s="34" t="e">
        <v>#N/A</v>
      </c>
      <c r="I186" s="30"/>
      <c r="J186" s="30"/>
      <c r="K186" s="312" t="s">
        <v>7313</v>
      </c>
      <c r="L186" s="97">
        <v>7227.0</v>
      </c>
      <c r="Q186" s="313" t="s">
        <v>3838</v>
      </c>
      <c r="R186" s="98">
        <v>7227.0</v>
      </c>
      <c r="S186" s="34"/>
      <c r="T186" s="374" t="s">
        <v>7675</v>
      </c>
    </row>
    <row r="187">
      <c r="A187" s="368" t="s">
        <v>7676</v>
      </c>
      <c r="B187" s="370"/>
      <c r="C187" s="284">
        <v>7227.0</v>
      </c>
      <c r="H187" s="34" t="e">
        <v>#N/A</v>
      </c>
      <c r="I187" s="30"/>
      <c r="J187" s="30"/>
      <c r="K187" s="312" t="s">
        <v>7314</v>
      </c>
      <c r="L187" s="97">
        <v>7227.0</v>
      </c>
      <c r="Q187" s="313" t="s">
        <v>7676</v>
      </c>
      <c r="R187" s="98">
        <v>7227.0</v>
      </c>
      <c r="S187" s="34"/>
      <c r="T187" s="34"/>
    </row>
    <row r="188">
      <c r="A188" s="370" t="s">
        <v>1738</v>
      </c>
      <c r="B188" s="370"/>
      <c r="C188" s="284">
        <v>9307.0</v>
      </c>
      <c r="D188" s="59"/>
      <c r="H188" s="34" t="e">
        <v>#N/A</v>
      </c>
      <c r="I188" s="30"/>
      <c r="J188" s="30"/>
      <c r="K188" s="312" t="s">
        <v>7315</v>
      </c>
      <c r="L188" s="97">
        <v>7227.0</v>
      </c>
      <c r="Q188" s="98" t="s">
        <v>1738</v>
      </c>
      <c r="R188" s="98">
        <v>9307.0</v>
      </c>
      <c r="S188" s="375" t="s">
        <v>7677</v>
      </c>
      <c r="T188" s="34"/>
    </row>
    <row r="189">
      <c r="A189" s="370" t="s">
        <v>1736</v>
      </c>
      <c r="B189" s="370"/>
      <c r="C189" s="284">
        <v>467.0</v>
      </c>
      <c r="H189" s="34" t="e">
        <v>#N/A</v>
      </c>
      <c r="I189" s="30"/>
      <c r="J189" s="30"/>
      <c r="K189" s="312" t="s">
        <v>7316</v>
      </c>
      <c r="L189" s="97">
        <v>7132.0</v>
      </c>
      <c r="Q189" s="98" t="s">
        <v>1736</v>
      </c>
      <c r="R189" s="98">
        <v>467.0</v>
      </c>
      <c r="S189" s="375" t="s">
        <v>7677</v>
      </c>
      <c r="T189" s="34"/>
    </row>
    <row r="190">
      <c r="A190" s="370" t="s">
        <v>1739</v>
      </c>
      <c r="B190" s="370"/>
      <c r="C190" s="284">
        <v>5458.0</v>
      </c>
      <c r="H190" s="34" t="e">
        <v>#N/A</v>
      </c>
      <c r="I190" s="30"/>
      <c r="J190" s="30"/>
      <c r="K190" s="312" t="s">
        <v>7317</v>
      </c>
      <c r="L190" s="97">
        <v>7227.0</v>
      </c>
      <c r="Q190" s="98" t="s">
        <v>1739</v>
      </c>
      <c r="R190" s="98">
        <v>5458.0</v>
      </c>
      <c r="S190" s="375" t="s">
        <v>7677</v>
      </c>
      <c r="T190" s="34"/>
    </row>
    <row r="191">
      <c r="A191" s="370" t="s">
        <v>1740</v>
      </c>
      <c r="B191" s="370"/>
      <c r="C191" s="284">
        <v>6133.0</v>
      </c>
      <c r="H191" s="34" t="e">
        <v>#N/A</v>
      </c>
      <c r="I191" s="30"/>
      <c r="J191" s="30"/>
      <c r="K191" s="312" t="s">
        <v>7318</v>
      </c>
      <c r="L191" s="97">
        <v>189.0</v>
      </c>
      <c r="Q191" s="98" t="s">
        <v>1740</v>
      </c>
      <c r="R191" s="98">
        <v>6133.0</v>
      </c>
      <c r="S191" s="375" t="s">
        <v>7677</v>
      </c>
      <c r="T191" s="34"/>
    </row>
    <row r="192">
      <c r="A192" s="370" t="s">
        <v>1741</v>
      </c>
      <c r="B192" s="370"/>
      <c r="C192" s="284">
        <v>6675.0</v>
      </c>
      <c r="H192" s="34" t="e">
        <v>#N/A</v>
      </c>
      <c r="I192" s="30"/>
      <c r="J192" s="30"/>
      <c r="K192" s="312" t="s">
        <v>7319</v>
      </c>
      <c r="L192" s="97">
        <v>7227.0</v>
      </c>
      <c r="Q192" s="98" t="s">
        <v>1741</v>
      </c>
      <c r="R192" s="98">
        <v>6675.0</v>
      </c>
      <c r="S192" s="375" t="s">
        <v>7677</v>
      </c>
      <c r="T192" s="34"/>
    </row>
    <row r="193">
      <c r="A193" s="370" t="s">
        <v>1742</v>
      </c>
      <c r="B193" s="370"/>
      <c r="C193" s="284">
        <v>6106.0</v>
      </c>
      <c r="H193" s="34" t="e">
        <v>#N/A</v>
      </c>
      <c r="I193" s="30"/>
      <c r="J193" s="30"/>
      <c r="K193" s="312" t="s">
        <v>7320</v>
      </c>
      <c r="L193" s="317"/>
      <c r="M193" s="97">
        <v>7058.0</v>
      </c>
      <c r="Q193" s="98" t="s">
        <v>1742</v>
      </c>
      <c r="R193" s="98">
        <v>6106.0</v>
      </c>
      <c r="S193" s="375" t="s">
        <v>7677</v>
      </c>
      <c r="T193" s="34"/>
    </row>
    <row r="194">
      <c r="A194" s="175" t="s">
        <v>1745</v>
      </c>
      <c r="B194" s="175">
        <v>6722.0</v>
      </c>
      <c r="C194" s="284" t="e">
        <v>#N/A</v>
      </c>
      <c r="H194" s="34" t="e">
        <v>#N/A</v>
      </c>
      <c r="I194" s="30"/>
      <c r="J194" s="30"/>
      <c r="K194" s="312" t="s">
        <v>7321</v>
      </c>
      <c r="L194" s="97">
        <v>6133.0</v>
      </c>
      <c r="Q194" s="98" t="s">
        <v>1745</v>
      </c>
      <c r="R194" s="376"/>
      <c r="S194" s="375" t="s">
        <v>7677</v>
      </c>
      <c r="T194" s="34"/>
    </row>
    <row r="195">
      <c r="A195" s="370" t="s">
        <v>1747</v>
      </c>
      <c r="B195" s="370"/>
      <c r="C195" s="284">
        <v>6658.0</v>
      </c>
      <c r="H195" s="34" t="e">
        <v>#N/A</v>
      </c>
      <c r="I195" s="30"/>
      <c r="J195" s="30"/>
      <c r="K195" s="312" t="s">
        <v>7322</v>
      </c>
      <c r="L195" s="97">
        <v>6133.0</v>
      </c>
      <c r="Q195" s="98" t="s">
        <v>1747</v>
      </c>
      <c r="R195" s="98">
        <v>6658.0</v>
      </c>
      <c r="S195" s="375" t="s">
        <v>7677</v>
      </c>
      <c r="T195" s="34"/>
    </row>
    <row r="196">
      <c r="A196" s="370" t="s">
        <v>1749</v>
      </c>
      <c r="B196" s="370"/>
      <c r="C196" s="284">
        <v>14248.0</v>
      </c>
      <c r="H196" s="34" t="e">
        <v>#N/A</v>
      </c>
      <c r="I196" s="30"/>
      <c r="J196" s="30"/>
      <c r="K196" s="312" t="s">
        <v>7323</v>
      </c>
      <c r="L196" s="97">
        <v>6133.0</v>
      </c>
      <c r="Q196" s="98" t="s">
        <v>1749</v>
      </c>
      <c r="R196" s="98">
        <v>14248.0</v>
      </c>
      <c r="S196" s="375" t="s">
        <v>7677</v>
      </c>
      <c r="T196" s="34"/>
    </row>
    <row r="197">
      <c r="A197" s="370" t="s">
        <v>1743</v>
      </c>
      <c r="B197" s="284">
        <v>14421.0</v>
      </c>
      <c r="C197" s="284">
        <v>14421.0</v>
      </c>
      <c r="D197" s="59"/>
      <c r="H197" s="34" t="e">
        <v>#N/A</v>
      </c>
      <c r="I197" s="30"/>
      <c r="J197" s="30"/>
      <c r="K197" s="312" t="s">
        <v>7324</v>
      </c>
      <c r="L197" s="97">
        <v>7227.0</v>
      </c>
      <c r="Q197" s="98" t="s">
        <v>1743</v>
      </c>
      <c r="R197" s="98">
        <v>14421.0</v>
      </c>
      <c r="S197" s="375" t="s">
        <v>7677</v>
      </c>
      <c r="T197" s="34"/>
    </row>
    <row r="198">
      <c r="A198" s="377" t="s">
        <v>1662</v>
      </c>
      <c r="B198" s="378"/>
      <c r="C198" s="284">
        <v>8486.0</v>
      </c>
      <c r="H198" s="30">
        <v>1.0</v>
      </c>
      <c r="I198" s="30"/>
      <c r="J198" s="30"/>
      <c r="K198" s="312" t="s">
        <v>7325</v>
      </c>
      <c r="L198" s="97">
        <v>7227.0</v>
      </c>
      <c r="Q198" s="379" t="s">
        <v>1662</v>
      </c>
      <c r="R198" s="380">
        <v>8486.0</v>
      </c>
      <c r="S198" s="30"/>
      <c r="T198" s="30"/>
    </row>
    <row r="199">
      <c r="A199" s="377" t="s">
        <v>1663</v>
      </c>
      <c r="B199" s="378"/>
      <c r="C199" s="284">
        <v>8486.0</v>
      </c>
      <c r="D199" s="59"/>
      <c r="H199" s="34" t="e">
        <v>#N/A</v>
      </c>
      <c r="I199" s="30"/>
      <c r="J199" s="30"/>
      <c r="K199" s="312" t="s">
        <v>7326</v>
      </c>
      <c r="L199" s="97">
        <v>7227.0</v>
      </c>
      <c r="Q199" s="381" t="s">
        <v>1663</v>
      </c>
      <c r="R199" s="382">
        <v>8486.0</v>
      </c>
      <c r="S199" s="34"/>
      <c r="T199" s="34"/>
    </row>
    <row r="200">
      <c r="A200" s="377" t="s">
        <v>3756</v>
      </c>
      <c r="B200" s="378"/>
      <c r="C200" s="284">
        <v>8486.0</v>
      </c>
      <c r="D200" s="59"/>
      <c r="H200" s="34" t="e">
        <v>#N/A</v>
      </c>
      <c r="I200" s="30"/>
      <c r="J200" s="30"/>
      <c r="K200" s="312" t="s">
        <v>7327</v>
      </c>
      <c r="L200" s="97">
        <v>189.0</v>
      </c>
      <c r="Q200" s="383" t="s">
        <v>3756</v>
      </c>
      <c r="R200" s="382">
        <v>8486.0</v>
      </c>
      <c r="S200" s="34"/>
      <c r="T200" s="34"/>
    </row>
    <row r="201">
      <c r="A201" s="377" t="s">
        <v>3757</v>
      </c>
      <c r="B201" s="378"/>
      <c r="C201" s="284">
        <v>8486.0</v>
      </c>
      <c r="D201" s="59"/>
      <c r="H201" s="34" t="e">
        <v>#N/A</v>
      </c>
      <c r="I201" s="30"/>
      <c r="J201" s="30"/>
      <c r="K201" s="312" t="s">
        <v>7328</v>
      </c>
      <c r="L201" s="97">
        <v>7142.0</v>
      </c>
      <c r="Q201" s="381" t="s">
        <v>3757</v>
      </c>
      <c r="R201" s="382">
        <v>8486.0</v>
      </c>
      <c r="S201" s="34"/>
      <c r="T201" s="34"/>
    </row>
    <row r="202">
      <c r="A202" s="379" t="s">
        <v>1672</v>
      </c>
      <c r="B202" s="380">
        <v>13895.0</v>
      </c>
      <c r="C202" s="11" t="s">
        <v>207</v>
      </c>
    </row>
    <row r="203">
      <c r="A203" s="384" t="s">
        <v>1673</v>
      </c>
      <c r="B203" s="104"/>
      <c r="C203" s="11" t="s">
        <v>207</v>
      </c>
    </row>
    <row r="204">
      <c r="A204" s="384" t="s">
        <v>1674</v>
      </c>
      <c r="B204" s="104"/>
      <c r="C204" s="11" t="s">
        <v>207</v>
      </c>
    </row>
    <row r="205">
      <c r="A205" s="384" t="s">
        <v>1675</v>
      </c>
      <c r="B205" s="380">
        <v>13988.0</v>
      </c>
      <c r="C205" s="11" t="s">
        <v>207</v>
      </c>
    </row>
    <row r="206">
      <c r="A206" s="384" t="s">
        <v>1716</v>
      </c>
      <c r="B206" s="104"/>
      <c r="C206" s="11" t="s">
        <v>207</v>
      </c>
    </row>
    <row r="207">
      <c r="A207" s="379" t="s">
        <v>3936</v>
      </c>
      <c r="B207" s="380">
        <v>7416.0</v>
      </c>
      <c r="C207" s="11" t="s">
        <v>207</v>
      </c>
    </row>
    <row r="208">
      <c r="A208" s="384" t="s">
        <v>3937</v>
      </c>
      <c r="B208" s="104"/>
      <c r="C208" s="11" t="s">
        <v>207</v>
      </c>
    </row>
    <row r="209">
      <c r="A209" s="384" t="s">
        <v>3938</v>
      </c>
      <c r="B209" s="104"/>
      <c r="C209" s="11" t="s">
        <v>207</v>
      </c>
    </row>
    <row r="210">
      <c r="A210" s="384" t="s">
        <v>3759</v>
      </c>
      <c r="B210" s="104"/>
      <c r="C210" s="11" t="s">
        <v>207</v>
      </c>
    </row>
    <row r="211">
      <c r="A211" s="384" t="s">
        <v>3760</v>
      </c>
      <c r="B211" s="104"/>
      <c r="C211" s="11" t="s">
        <v>207</v>
      </c>
    </row>
    <row r="212">
      <c r="A212" s="7"/>
      <c r="B212" s="104"/>
    </row>
    <row r="213">
      <c r="A213" s="7"/>
      <c r="B213" s="104"/>
    </row>
  </sheetData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92" t="s">
        <v>44</v>
      </c>
      <c r="B1" s="385"/>
      <c r="C1" s="385" t="s">
        <v>1</v>
      </c>
      <c r="E1" s="11" t="str">
        <f>"Empty codes:"&amp; COUNTBLANK(C2:C93)</f>
        <v>Empty codes:21</v>
      </c>
    </row>
    <row r="2">
      <c r="A2" s="33" t="s">
        <v>7678</v>
      </c>
      <c r="B2" s="192"/>
      <c r="C2" s="11">
        <v>2345.0</v>
      </c>
    </row>
    <row r="3">
      <c r="A3" s="33" t="s">
        <v>7679</v>
      </c>
      <c r="B3" s="192"/>
      <c r="C3" s="11">
        <v>2345.0</v>
      </c>
    </row>
    <row r="4">
      <c r="A4" s="33" t="s">
        <v>7680</v>
      </c>
      <c r="B4" s="192"/>
      <c r="C4" s="11">
        <v>6675.0</v>
      </c>
    </row>
    <row r="5">
      <c r="A5" s="33" t="s">
        <v>7681</v>
      </c>
      <c r="B5" s="223"/>
    </row>
    <row r="6">
      <c r="A6" s="33" t="s">
        <v>7682</v>
      </c>
      <c r="B6" s="192"/>
      <c r="C6" s="11">
        <v>6671.0</v>
      </c>
    </row>
    <row r="7">
      <c r="A7" s="33" t="s">
        <v>7683</v>
      </c>
      <c r="B7" s="192"/>
      <c r="C7" s="11">
        <v>7100.0</v>
      </c>
    </row>
    <row r="8">
      <c r="A8" s="33" t="s">
        <v>7684</v>
      </c>
      <c r="B8" s="192"/>
      <c r="C8" s="11">
        <v>6875.0</v>
      </c>
    </row>
    <row r="9">
      <c r="A9" s="33" t="s">
        <v>7685</v>
      </c>
      <c r="B9" s="192"/>
      <c r="C9" s="11">
        <v>6875.0</v>
      </c>
    </row>
    <row r="10">
      <c r="A10" s="33" t="s">
        <v>7686</v>
      </c>
      <c r="B10" s="192"/>
      <c r="C10" s="11">
        <v>6675.0</v>
      </c>
    </row>
    <row r="11">
      <c r="A11" s="33" t="s">
        <v>7687</v>
      </c>
      <c r="B11" s="192"/>
      <c r="C11" s="11">
        <v>7010.0</v>
      </c>
    </row>
    <row r="12">
      <c r="A12" s="33" t="s">
        <v>7688</v>
      </c>
      <c r="B12" s="192"/>
      <c r="C12" s="11">
        <v>7010.0</v>
      </c>
    </row>
    <row r="13">
      <c r="A13" s="33" t="s">
        <v>7689</v>
      </c>
      <c r="B13" s="223"/>
    </row>
    <row r="14">
      <c r="A14" s="33" t="s">
        <v>7690</v>
      </c>
      <c r="B14" s="223"/>
    </row>
    <row r="15">
      <c r="A15" s="33" t="s">
        <v>7691</v>
      </c>
      <c r="B15" s="192"/>
      <c r="C15" s="11">
        <v>2345.0</v>
      </c>
    </row>
    <row r="16">
      <c r="A16" s="33" t="s">
        <v>7692</v>
      </c>
      <c r="B16" s="223"/>
    </row>
    <row r="17">
      <c r="A17" s="33" t="s">
        <v>7693</v>
      </c>
      <c r="B17" s="192"/>
      <c r="C17" s="11">
        <v>7137.0</v>
      </c>
    </row>
    <row r="18">
      <c r="A18" s="33" t="s">
        <v>7694</v>
      </c>
      <c r="B18" s="192"/>
      <c r="C18" s="11">
        <v>2345.0</v>
      </c>
    </row>
    <row r="19">
      <c r="A19" s="33" t="s">
        <v>7695</v>
      </c>
      <c r="B19" s="192"/>
      <c r="C19" s="11">
        <v>4193.0</v>
      </c>
    </row>
    <row r="20">
      <c r="A20" s="33" t="s">
        <v>7696</v>
      </c>
      <c r="B20" s="192"/>
      <c r="C20" s="11">
        <v>6728.0</v>
      </c>
      <c r="D20" s="11">
        <v>6671.0</v>
      </c>
    </row>
    <row r="21">
      <c r="A21" s="33" t="s">
        <v>7697</v>
      </c>
      <c r="B21" s="223"/>
    </row>
    <row r="22">
      <c r="A22" s="33" t="s">
        <v>7698</v>
      </c>
      <c r="B22" s="192"/>
      <c r="C22" s="11">
        <v>7847.0</v>
      </c>
    </row>
    <row r="23">
      <c r="A23" s="33" t="s">
        <v>7699</v>
      </c>
      <c r="B23" s="192"/>
      <c r="C23" s="11">
        <v>7033.0</v>
      </c>
    </row>
    <row r="24">
      <c r="A24" s="33" t="s">
        <v>7700</v>
      </c>
      <c r="B24" s="192"/>
      <c r="C24" s="11">
        <v>6772.0</v>
      </c>
    </row>
    <row r="25">
      <c r="A25" s="33" t="s">
        <v>7701</v>
      </c>
      <c r="B25" s="192"/>
      <c r="C25" s="11">
        <v>6133.0</v>
      </c>
    </row>
    <row r="26">
      <c r="A26" s="33" t="s">
        <v>7702</v>
      </c>
      <c r="B26" s="192"/>
      <c r="C26" s="11">
        <v>6133.0</v>
      </c>
    </row>
    <row r="27">
      <c r="A27" s="33" t="s">
        <v>7703</v>
      </c>
      <c r="B27" s="223"/>
    </row>
    <row r="28">
      <c r="A28" s="33" t="s">
        <v>7704</v>
      </c>
      <c r="B28" s="192"/>
      <c r="C28" s="11">
        <v>189.0</v>
      </c>
    </row>
    <row r="29">
      <c r="A29" s="33" t="s">
        <v>7705</v>
      </c>
      <c r="B29" s="192"/>
      <c r="C29" s="11">
        <v>189.0</v>
      </c>
    </row>
    <row r="30">
      <c r="A30" s="33" t="s">
        <v>7706</v>
      </c>
      <c r="B30" s="192"/>
      <c r="C30" s="11">
        <v>189.0</v>
      </c>
    </row>
    <row r="31">
      <c r="A31" s="33" t="s">
        <v>7707</v>
      </c>
      <c r="B31" s="223"/>
    </row>
    <row r="32">
      <c r="A32" s="33" t="s">
        <v>7708</v>
      </c>
      <c r="B32" s="192"/>
      <c r="C32" s="11">
        <v>6143.0</v>
      </c>
    </row>
    <row r="33">
      <c r="A33" s="33" t="s">
        <v>7709</v>
      </c>
      <c r="B33" s="192"/>
      <c r="C33" s="11">
        <v>5458.0</v>
      </c>
    </row>
    <row r="34">
      <c r="A34" s="33" t="s">
        <v>7710</v>
      </c>
      <c r="B34" s="192"/>
      <c r="C34" s="11">
        <v>5458.0</v>
      </c>
    </row>
    <row r="35">
      <c r="A35" s="33" t="s">
        <v>7711</v>
      </c>
      <c r="B35" s="192"/>
      <c r="C35" s="11">
        <v>7010.0</v>
      </c>
    </row>
    <row r="36">
      <c r="A36" s="33" t="s">
        <v>7712</v>
      </c>
      <c r="B36" s="192"/>
      <c r="C36" s="11">
        <v>6732.0</v>
      </c>
    </row>
    <row r="37">
      <c r="A37" s="33" t="s">
        <v>7713</v>
      </c>
      <c r="B37" s="192"/>
      <c r="C37" s="11">
        <v>6732.0</v>
      </c>
    </row>
    <row r="38">
      <c r="A38" s="33" t="s">
        <v>7714</v>
      </c>
      <c r="B38" s="223"/>
    </row>
    <row r="39">
      <c r="A39" s="33" t="s">
        <v>7715</v>
      </c>
      <c r="B39" s="192"/>
      <c r="C39" s="11">
        <v>3616.0</v>
      </c>
    </row>
    <row r="40">
      <c r="A40" s="33" t="s">
        <v>7716</v>
      </c>
      <c r="B40" s="192"/>
      <c r="C40" s="11">
        <v>6924.0</v>
      </c>
    </row>
    <row r="41">
      <c r="A41" s="33" t="s">
        <v>7717</v>
      </c>
      <c r="B41" s="192"/>
      <c r="C41" s="11">
        <v>6887.0</v>
      </c>
    </row>
    <row r="42">
      <c r="A42" s="33" t="s">
        <v>7718</v>
      </c>
      <c r="B42" s="192"/>
      <c r="C42" s="11">
        <v>3142.0</v>
      </c>
    </row>
    <row r="43">
      <c r="A43" s="33" t="s">
        <v>7719</v>
      </c>
      <c r="B43" s="223"/>
    </row>
    <row r="44">
      <c r="A44" s="33" t="s">
        <v>7720</v>
      </c>
      <c r="B44" s="223"/>
    </row>
    <row r="45">
      <c r="A45" s="33" t="s">
        <v>7721</v>
      </c>
      <c r="B45" s="192"/>
      <c r="C45" s="11">
        <v>7157.0</v>
      </c>
    </row>
    <row r="46">
      <c r="A46" s="33" t="s">
        <v>7722</v>
      </c>
      <c r="B46" s="192"/>
      <c r="C46" s="11">
        <v>6726.0</v>
      </c>
    </row>
    <row r="47">
      <c r="A47" s="33" t="s">
        <v>7723</v>
      </c>
      <c r="B47" s="192"/>
      <c r="C47" s="11">
        <v>6726.0</v>
      </c>
    </row>
    <row r="48">
      <c r="A48" s="33" t="s">
        <v>7724</v>
      </c>
      <c r="B48" s="223"/>
    </row>
    <row r="49">
      <c r="A49" s="33" t="s">
        <v>7725</v>
      </c>
      <c r="B49" s="192"/>
      <c r="C49" s="11">
        <v>6671.0</v>
      </c>
    </row>
    <row r="50">
      <c r="A50" s="33" t="s">
        <v>7726</v>
      </c>
      <c r="B50" s="192"/>
      <c r="C50" s="11">
        <v>5458.0</v>
      </c>
    </row>
    <row r="51">
      <c r="A51" s="33" t="s">
        <v>7727</v>
      </c>
      <c r="B51" s="192"/>
      <c r="C51" s="11">
        <v>2345.0</v>
      </c>
    </row>
    <row r="52">
      <c r="A52" s="33" t="s">
        <v>7728</v>
      </c>
      <c r="B52" s="192"/>
      <c r="C52" s="11">
        <v>2348.0</v>
      </c>
    </row>
    <row r="53">
      <c r="A53" s="33" t="s">
        <v>7729</v>
      </c>
      <c r="B53" s="192"/>
      <c r="C53" s="11">
        <v>2345.0</v>
      </c>
    </row>
    <row r="54">
      <c r="A54" s="33" t="s">
        <v>7730</v>
      </c>
      <c r="B54" s="192"/>
      <c r="C54" s="11">
        <v>2345.0</v>
      </c>
    </row>
    <row r="55">
      <c r="A55" s="33" t="s">
        <v>7731</v>
      </c>
      <c r="B55" s="192"/>
      <c r="C55" s="11">
        <v>6829.0</v>
      </c>
    </row>
    <row r="56">
      <c r="A56" s="33" t="s">
        <v>7732</v>
      </c>
      <c r="B56" s="223"/>
    </row>
    <row r="57">
      <c r="A57" s="33" t="s">
        <v>7733</v>
      </c>
      <c r="B57" s="223"/>
    </row>
    <row r="58">
      <c r="A58" s="33" t="s">
        <v>7734</v>
      </c>
      <c r="B58" s="223"/>
    </row>
    <row r="59">
      <c r="A59" s="33" t="s">
        <v>7735</v>
      </c>
      <c r="B59" s="192"/>
      <c r="C59" s="11">
        <v>6132.0</v>
      </c>
    </row>
    <row r="60">
      <c r="A60" s="33" t="s">
        <v>7736</v>
      </c>
      <c r="B60" s="192"/>
      <c r="C60" s="11">
        <v>5458.0</v>
      </c>
    </row>
    <row r="61">
      <c r="A61" s="33" t="s">
        <v>7737</v>
      </c>
      <c r="B61" s="223"/>
    </row>
    <row r="62">
      <c r="A62" s="33" t="s">
        <v>7738</v>
      </c>
      <c r="B62" s="192"/>
      <c r="C62" s="11">
        <v>7083.0</v>
      </c>
    </row>
    <row r="63">
      <c r="A63" s="33" t="s">
        <v>7739</v>
      </c>
      <c r="B63" s="192"/>
      <c r="C63" s="11">
        <v>7031.0</v>
      </c>
    </row>
    <row r="64">
      <c r="A64" s="33" t="s">
        <v>7740</v>
      </c>
      <c r="B64" s="223"/>
    </row>
    <row r="65">
      <c r="A65" s="33" t="s">
        <v>7741</v>
      </c>
      <c r="B65" s="192"/>
      <c r="C65" s="11">
        <v>7104.0</v>
      </c>
    </row>
    <row r="66">
      <c r="A66" s="33" t="s">
        <v>7742</v>
      </c>
      <c r="B66" s="223"/>
    </row>
    <row r="67">
      <c r="A67" s="33" t="s">
        <v>7743</v>
      </c>
      <c r="B67" s="192"/>
      <c r="C67" s="11">
        <v>6728.0</v>
      </c>
    </row>
    <row r="68">
      <c r="A68" s="33" t="s">
        <v>7744</v>
      </c>
      <c r="B68" s="223"/>
    </row>
    <row r="69">
      <c r="A69" s="33" t="s">
        <v>7745</v>
      </c>
      <c r="B69" s="223"/>
    </row>
    <row r="70">
      <c r="A70" s="33" t="s">
        <v>7746</v>
      </c>
      <c r="B70" s="192"/>
      <c r="C70" s="11">
        <v>6109.0</v>
      </c>
    </row>
    <row r="71">
      <c r="A71" s="33" t="s">
        <v>7747</v>
      </c>
      <c r="B71" s="192"/>
      <c r="C71" s="11">
        <v>7083.0</v>
      </c>
    </row>
    <row r="72">
      <c r="A72" s="33" t="s">
        <v>7748</v>
      </c>
      <c r="B72" s="192"/>
      <c r="C72" s="11">
        <v>7083.0</v>
      </c>
    </row>
    <row r="73">
      <c r="A73" s="33" t="s">
        <v>7749</v>
      </c>
      <c r="B73" s="192"/>
      <c r="C73" s="11">
        <v>6924.0</v>
      </c>
    </row>
    <row r="74">
      <c r="A74" s="33" t="s">
        <v>7750</v>
      </c>
      <c r="B74" s="192"/>
      <c r="C74" s="11">
        <v>8491.0</v>
      </c>
    </row>
    <row r="75">
      <c r="A75" s="33" t="s">
        <v>7751</v>
      </c>
      <c r="B75" s="192"/>
      <c r="C75" s="11">
        <v>663.0</v>
      </c>
    </row>
    <row r="76">
      <c r="A76" s="33" t="s">
        <v>7752</v>
      </c>
      <c r="B76" s="192"/>
      <c r="C76" s="11">
        <v>7492.0</v>
      </c>
    </row>
    <row r="77">
      <c r="A77" s="33" t="s">
        <v>7753</v>
      </c>
      <c r="B77" s="192"/>
      <c r="C77" s="11">
        <v>7492.0</v>
      </c>
    </row>
    <row r="78">
      <c r="A78" s="33" t="s">
        <v>7754</v>
      </c>
      <c r="B78" s="192"/>
      <c r="C78" s="11">
        <v>7492.0</v>
      </c>
    </row>
    <row r="79">
      <c r="A79" s="33" t="s">
        <v>7755</v>
      </c>
      <c r="B79" s="192"/>
      <c r="C79" s="11">
        <v>7492.0</v>
      </c>
    </row>
    <row r="80">
      <c r="A80" s="33" t="s">
        <v>7756</v>
      </c>
      <c r="B80" s="192"/>
      <c r="C80" s="11">
        <v>7492.0</v>
      </c>
    </row>
    <row r="81">
      <c r="A81" s="33" t="s">
        <v>7757</v>
      </c>
      <c r="B81" s="192"/>
      <c r="C81" s="11">
        <v>7492.0</v>
      </c>
    </row>
    <row r="82">
      <c r="A82" s="33" t="s">
        <v>7758</v>
      </c>
      <c r="B82" s="192"/>
      <c r="C82" s="11">
        <v>7492.0</v>
      </c>
    </row>
    <row r="83">
      <c r="A83" s="33" t="s">
        <v>7759</v>
      </c>
      <c r="B83" s="192"/>
      <c r="C83" s="11">
        <v>7492.0</v>
      </c>
    </row>
    <row r="84">
      <c r="A84" s="33" t="s">
        <v>7760</v>
      </c>
      <c r="B84" s="192"/>
      <c r="C84" s="11">
        <v>7083.0</v>
      </c>
    </row>
    <row r="85">
      <c r="A85" s="33" t="s">
        <v>7761</v>
      </c>
      <c r="B85" s="192"/>
      <c r="C85" s="11">
        <v>7142.0</v>
      </c>
    </row>
    <row r="86">
      <c r="A86" s="33" t="s">
        <v>7762</v>
      </c>
      <c r="B86" s="192"/>
      <c r="C86" s="11">
        <v>7492.0</v>
      </c>
    </row>
    <row r="87">
      <c r="A87" s="33" t="s">
        <v>7763</v>
      </c>
      <c r="B87" s="192"/>
      <c r="C87" s="11">
        <v>7492.0</v>
      </c>
    </row>
    <row r="88">
      <c r="A88" s="33" t="s">
        <v>7764</v>
      </c>
      <c r="B88" s="223"/>
    </row>
    <row r="89">
      <c r="A89" s="33" t="s">
        <v>7765</v>
      </c>
      <c r="B89" s="192"/>
      <c r="C89" s="11">
        <v>8199.0</v>
      </c>
    </row>
    <row r="90">
      <c r="A90" s="33" t="s">
        <v>7766</v>
      </c>
      <c r="B90" s="192"/>
      <c r="C90" s="11">
        <v>8199.0</v>
      </c>
    </row>
    <row r="91">
      <c r="A91" s="33" t="s">
        <v>7767</v>
      </c>
      <c r="B91" s="192"/>
      <c r="C91" s="11">
        <v>7492.0</v>
      </c>
    </row>
    <row r="92">
      <c r="A92" s="33" t="s">
        <v>7768</v>
      </c>
      <c r="B92" s="192"/>
      <c r="C92" s="11">
        <v>7492.0</v>
      </c>
    </row>
    <row r="93">
      <c r="A93" s="33" t="s">
        <v>7769</v>
      </c>
      <c r="B93" s="223"/>
    </row>
    <row r="94">
      <c r="B94" s="223"/>
    </row>
    <row r="95">
      <c r="B95" s="223"/>
    </row>
    <row r="96">
      <c r="B96" s="223"/>
    </row>
    <row r="97">
      <c r="B97" s="223"/>
    </row>
    <row r="98">
      <c r="B98" s="223"/>
    </row>
    <row r="99">
      <c r="B99" s="223"/>
    </row>
    <row r="100">
      <c r="B100" s="223"/>
    </row>
    <row r="101">
      <c r="B101" s="223"/>
    </row>
    <row r="102">
      <c r="B102" s="223"/>
    </row>
    <row r="103">
      <c r="B103" s="223"/>
    </row>
    <row r="104">
      <c r="B104" s="223"/>
    </row>
    <row r="105">
      <c r="B105" s="223"/>
    </row>
    <row r="106">
      <c r="B106" s="223"/>
    </row>
    <row r="107">
      <c r="B107" s="223"/>
    </row>
    <row r="108">
      <c r="B108" s="223"/>
    </row>
    <row r="109">
      <c r="B109" s="223"/>
    </row>
    <row r="110">
      <c r="B110" s="223"/>
    </row>
    <row r="111">
      <c r="B111" s="223"/>
    </row>
    <row r="112">
      <c r="B112" s="223"/>
    </row>
    <row r="113">
      <c r="B113" s="223"/>
    </row>
    <row r="114">
      <c r="B114" s="223"/>
    </row>
    <row r="115">
      <c r="B115" s="223"/>
    </row>
    <row r="116">
      <c r="B116" s="223"/>
    </row>
    <row r="117">
      <c r="B117" s="223"/>
    </row>
    <row r="118">
      <c r="B118" s="223"/>
    </row>
    <row r="119">
      <c r="B119" s="223"/>
    </row>
    <row r="120">
      <c r="B120" s="223"/>
    </row>
    <row r="121">
      <c r="B121" s="223"/>
    </row>
    <row r="122">
      <c r="B122" s="223"/>
    </row>
    <row r="123">
      <c r="B123" s="223"/>
    </row>
    <row r="124">
      <c r="B124" s="223"/>
    </row>
    <row r="125">
      <c r="B125" s="223"/>
    </row>
    <row r="126">
      <c r="B126" s="223"/>
    </row>
    <row r="127">
      <c r="B127" s="223"/>
    </row>
    <row r="128">
      <c r="B128" s="223"/>
    </row>
    <row r="129">
      <c r="B129" s="223"/>
    </row>
    <row r="130">
      <c r="B130" s="223"/>
    </row>
    <row r="131">
      <c r="B131" s="223"/>
    </row>
    <row r="132">
      <c r="B132" s="223"/>
    </row>
    <row r="133">
      <c r="B133" s="223"/>
    </row>
    <row r="134">
      <c r="B134" s="223"/>
    </row>
    <row r="135">
      <c r="B135" s="223"/>
    </row>
    <row r="136">
      <c r="B136" s="223"/>
    </row>
    <row r="137">
      <c r="B137" s="223"/>
    </row>
    <row r="138">
      <c r="B138" s="223"/>
    </row>
    <row r="139">
      <c r="B139" s="223"/>
    </row>
    <row r="140">
      <c r="B140" s="223"/>
    </row>
    <row r="141">
      <c r="B141" s="223"/>
    </row>
    <row r="142">
      <c r="B142" s="223"/>
    </row>
    <row r="143">
      <c r="B143" s="223"/>
    </row>
    <row r="144">
      <c r="B144" s="223"/>
    </row>
    <row r="145">
      <c r="B145" s="223"/>
    </row>
    <row r="146">
      <c r="B146" s="223"/>
    </row>
    <row r="147">
      <c r="B147" s="223"/>
    </row>
    <row r="148">
      <c r="B148" s="223"/>
    </row>
    <row r="149">
      <c r="B149" s="223"/>
    </row>
    <row r="150">
      <c r="B150" s="223"/>
    </row>
    <row r="151">
      <c r="B151" s="223"/>
    </row>
    <row r="152">
      <c r="B152" s="223"/>
    </row>
    <row r="153">
      <c r="B153" s="223"/>
    </row>
    <row r="154">
      <c r="B154" s="223"/>
    </row>
    <row r="155">
      <c r="B155" s="223"/>
    </row>
    <row r="156">
      <c r="B156" s="223"/>
    </row>
    <row r="157">
      <c r="B157" s="223"/>
    </row>
    <row r="158">
      <c r="B158" s="223"/>
    </row>
    <row r="159">
      <c r="B159" s="223"/>
    </row>
    <row r="160">
      <c r="B160" s="223"/>
    </row>
    <row r="161">
      <c r="B161" s="223"/>
    </row>
    <row r="162">
      <c r="B162" s="223"/>
    </row>
    <row r="163">
      <c r="B163" s="223"/>
    </row>
    <row r="164">
      <c r="B164" s="223"/>
    </row>
    <row r="165">
      <c r="B165" s="223"/>
    </row>
    <row r="166">
      <c r="B166" s="223"/>
    </row>
    <row r="167">
      <c r="B167" s="223"/>
    </row>
    <row r="168">
      <c r="B168" s="223"/>
    </row>
    <row r="169">
      <c r="B169" s="223"/>
    </row>
    <row r="170">
      <c r="B170" s="223"/>
    </row>
    <row r="171">
      <c r="B171" s="223"/>
    </row>
    <row r="172">
      <c r="B172" s="223"/>
    </row>
    <row r="173">
      <c r="B173" s="223"/>
    </row>
    <row r="174">
      <c r="B174" s="223"/>
    </row>
    <row r="175">
      <c r="B175" s="223"/>
    </row>
    <row r="176">
      <c r="B176" s="223"/>
    </row>
    <row r="177">
      <c r="B177" s="223"/>
    </row>
    <row r="178">
      <c r="B178" s="223"/>
    </row>
    <row r="179">
      <c r="B179" s="223"/>
    </row>
    <row r="180">
      <c r="B180" s="223"/>
    </row>
    <row r="181">
      <c r="B181" s="223"/>
    </row>
    <row r="182">
      <c r="B182" s="223"/>
    </row>
    <row r="183">
      <c r="B183" s="223"/>
    </row>
    <row r="184">
      <c r="B184" s="223"/>
    </row>
    <row r="185">
      <c r="B185" s="223"/>
    </row>
    <row r="186">
      <c r="B186" s="223"/>
    </row>
    <row r="187">
      <c r="B187" s="223"/>
    </row>
    <row r="188">
      <c r="B188" s="223"/>
    </row>
    <row r="189">
      <c r="B189" s="223"/>
    </row>
    <row r="190">
      <c r="B190" s="223"/>
    </row>
    <row r="191">
      <c r="B191" s="223"/>
    </row>
    <row r="192">
      <c r="B192" s="223"/>
    </row>
    <row r="193">
      <c r="B193" s="223"/>
    </row>
    <row r="194">
      <c r="B194" s="223"/>
    </row>
    <row r="195">
      <c r="B195" s="223"/>
    </row>
    <row r="196">
      <c r="B196" s="223"/>
    </row>
    <row r="197">
      <c r="B197" s="223"/>
    </row>
    <row r="198">
      <c r="B198" s="223"/>
    </row>
    <row r="199">
      <c r="B199" s="223"/>
    </row>
    <row r="200">
      <c r="B200" s="223"/>
    </row>
    <row r="201">
      <c r="B201" s="223"/>
    </row>
    <row r="202">
      <c r="B202" s="223"/>
    </row>
    <row r="203">
      <c r="B203" s="223"/>
    </row>
    <row r="204">
      <c r="B204" s="223"/>
    </row>
    <row r="205">
      <c r="B205" s="223"/>
    </row>
    <row r="206">
      <c r="B206" s="223"/>
    </row>
    <row r="207">
      <c r="B207" s="223"/>
    </row>
    <row r="208">
      <c r="B208" s="223"/>
    </row>
    <row r="209">
      <c r="B209" s="223"/>
    </row>
    <row r="210">
      <c r="B210" s="223"/>
    </row>
    <row r="211">
      <c r="B211" s="223"/>
    </row>
    <row r="212">
      <c r="B212" s="223"/>
    </row>
    <row r="213">
      <c r="B213" s="223"/>
    </row>
    <row r="214">
      <c r="B214" s="223"/>
    </row>
    <row r="215">
      <c r="B215" s="223"/>
    </row>
    <row r="216">
      <c r="B216" s="223"/>
    </row>
    <row r="217">
      <c r="B217" s="223"/>
    </row>
    <row r="218">
      <c r="B218" s="223"/>
    </row>
    <row r="219">
      <c r="B219" s="223"/>
    </row>
    <row r="220">
      <c r="B220" s="223"/>
    </row>
    <row r="221">
      <c r="B221" s="223"/>
    </row>
    <row r="222">
      <c r="B222" s="223"/>
    </row>
    <row r="223">
      <c r="B223" s="223"/>
    </row>
    <row r="224">
      <c r="B224" s="223"/>
    </row>
    <row r="225">
      <c r="B225" s="223"/>
    </row>
    <row r="226">
      <c r="B226" s="223"/>
    </row>
    <row r="227">
      <c r="B227" s="223"/>
    </row>
    <row r="228">
      <c r="B228" s="223"/>
    </row>
    <row r="229">
      <c r="B229" s="223"/>
    </row>
    <row r="230">
      <c r="B230" s="223"/>
    </row>
    <row r="231">
      <c r="B231" s="223"/>
    </row>
    <row r="232">
      <c r="B232" s="223"/>
    </row>
    <row r="233">
      <c r="B233" s="223"/>
    </row>
    <row r="234">
      <c r="B234" s="223"/>
    </row>
    <row r="235">
      <c r="B235" s="223"/>
    </row>
    <row r="236">
      <c r="B236" s="223"/>
    </row>
    <row r="237">
      <c r="B237" s="223"/>
    </row>
    <row r="238">
      <c r="B238" s="223"/>
    </row>
    <row r="239">
      <c r="B239" s="223"/>
    </row>
    <row r="240">
      <c r="B240" s="223"/>
    </row>
    <row r="241">
      <c r="B241" s="223"/>
    </row>
    <row r="242">
      <c r="B242" s="223"/>
    </row>
    <row r="243">
      <c r="B243" s="223"/>
    </row>
    <row r="244">
      <c r="B244" s="223"/>
    </row>
    <row r="245">
      <c r="B245" s="223"/>
    </row>
    <row r="246">
      <c r="B246" s="223"/>
    </row>
    <row r="247">
      <c r="B247" s="223"/>
    </row>
    <row r="248">
      <c r="B248" s="223"/>
    </row>
    <row r="249">
      <c r="B249" s="223"/>
    </row>
    <row r="250">
      <c r="B250" s="223"/>
    </row>
    <row r="251">
      <c r="B251" s="223"/>
    </row>
    <row r="252">
      <c r="B252" s="223"/>
    </row>
    <row r="253">
      <c r="B253" s="223"/>
    </row>
    <row r="254">
      <c r="B254" s="223"/>
    </row>
    <row r="255">
      <c r="B255" s="223"/>
    </row>
    <row r="256">
      <c r="B256" s="223"/>
    </row>
    <row r="257">
      <c r="B257" s="223"/>
    </row>
    <row r="258">
      <c r="B258" s="223"/>
    </row>
    <row r="259">
      <c r="B259" s="223"/>
    </row>
    <row r="260">
      <c r="B260" s="223"/>
    </row>
    <row r="261">
      <c r="B261" s="223"/>
    </row>
    <row r="262">
      <c r="B262" s="223"/>
    </row>
    <row r="263">
      <c r="B263" s="223"/>
    </row>
    <row r="264">
      <c r="B264" s="223"/>
    </row>
    <row r="265">
      <c r="B265" s="223"/>
    </row>
    <row r="266">
      <c r="B266" s="223"/>
    </row>
    <row r="267">
      <c r="B267" s="223"/>
    </row>
    <row r="268">
      <c r="B268" s="223"/>
    </row>
    <row r="269">
      <c r="B269" s="223"/>
    </row>
    <row r="270">
      <c r="B270" s="223"/>
    </row>
    <row r="271">
      <c r="B271" s="223"/>
    </row>
    <row r="272">
      <c r="B272" s="223"/>
    </row>
    <row r="273">
      <c r="B273" s="223"/>
    </row>
    <row r="274">
      <c r="B274" s="223"/>
    </row>
    <row r="275">
      <c r="B275" s="223"/>
    </row>
    <row r="276">
      <c r="B276" s="223"/>
    </row>
    <row r="277">
      <c r="B277" s="223"/>
    </row>
    <row r="278">
      <c r="B278" s="223"/>
    </row>
    <row r="279">
      <c r="B279" s="223"/>
    </row>
    <row r="280">
      <c r="B280" s="223"/>
    </row>
    <row r="281">
      <c r="B281" s="223"/>
    </row>
    <row r="282">
      <c r="B282" s="223"/>
    </row>
    <row r="283">
      <c r="B283" s="223"/>
    </row>
    <row r="284">
      <c r="B284" s="223"/>
    </row>
    <row r="285">
      <c r="B285" s="223"/>
    </row>
    <row r="286">
      <c r="B286" s="223"/>
    </row>
    <row r="287">
      <c r="B287" s="223"/>
    </row>
    <row r="288">
      <c r="B288" s="223"/>
    </row>
    <row r="289">
      <c r="B289" s="223"/>
    </row>
    <row r="290">
      <c r="B290" s="223"/>
    </row>
    <row r="291">
      <c r="B291" s="223"/>
    </row>
    <row r="292">
      <c r="B292" s="223"/>
    </row>
    <row r="293">
      <c r="B293" s="223"/>
    </row>
    <row r="294">
      <c r="B294" s="223"/>
    </row>
    <row r="295">
      <c r="B295" s="223"/>
    </row>
    <row r="296">
      <c r="B296" s="223"/>
    </row>
    <row r="297">
      <c r="B297" s="223"/>
    </row>
    <row r="298">
      <c r="B298" s="223"/>
    </row>
    <row r="299">
      <c r="B299" s="223"/>
    </row>
    <row r="300">
      <c r="B300" s="223"/>
    </row>
    <row r="301">
      <c r="B301" s="223"/>
    </row>
    <row r="302">
      <c r="B302" s="223"/>
    </row>
    <row r="303">
      <c r="B303" s="223"/>
    </row>
    <row r="304">
      <c r="B304" s="223"/>
    </row>
    <row r="305">
      <c r="B305" s="223"/>
    </row>
    <row r="306">
      <c r="B306" s="223"/>
    </row>
    <row r="307">
      <c r="B307" s="223"/>
    </row>
    <row r="308">
      <c r="B308" s="223"/>
    </row>
    <row r="309">
      <c r="B309" s="223"/>
    </row>
    <row r="310">
      <c r="B310" s="223"/>
    </row>
    <row r="311">
      <c r="B311" s="223"/>
    </row>
    <row r="312">
      <c r="B312" s="223"/>
    </row>
    <row r="313">
      <c r="B313" s="223"/>
    </row>
    <row r="314">
      <c r="B314" s="223"/>
    </row>
    <row r="315">
      <c r="B315" s="223"/>
    </row>
    <row r="316">
      <c r="B316" s="223"/>
    </row>
    <row r="317">
      <c r="B317" s="223"/>
    </row>
    <row r="318">
      <c r="B318" s="223"/>
    </row>
    <row r="319">
      <c r="B319" s="223"/>
    </row>
    <row r="320">
      <c r="B320" s="223"/>
    </row>
    <row r="321">
      <c r="B321" s="223"/>
    </row>
    <row r="322">
      <c r="B322" s="223"/>
    </row>
    <row r="323">
      <c r="B323" s="223"/>
    </row>
    <row r="324">
      <c r="B324" s="223"/>
    </row>
    <row r="325">
      <c r="B325" s="223"/>
    </row>
    <row r="326">
      <c r="B326" s="223"/>
    </row>
    <row r="327">
      <c r="B327" s="223"/>
    </row>
    <row r="328">
      <c r="B328" s="223"/>
    </row>
    <row r="329">
      <c r="B329" s="223"/>
    </row>
    <row r="330">
      <c r="B330" s="223"/>
    </row>
    <row r="331">
      <c r="B331" s="223"/>
    </row>
    <row r="332">
      <c r="B332" s="223"/>
    </row>
    <row r="333">
      <c r="B333" s="223"/>
    </row>
    <row r="334">
      <c r="B334" s="223"/>
    </row>
    <row r="335">
      <c r="B335" s="223"/>
    </row>
    <row r="336">
      <c r="B336" s="223"/>
    </row>
    <row r="337">
      <c r="B337" s="223"/>
    </row>
    <row r="338">
      <c r="B338" s="223"/>
    </row>
    <row r="339">
      <c r="B339" s="223"/>
    </row>
    <row r="340">
      <c r="B340" s="223"/>
    </row>
    <row r="341">
      <c r="B341" s="223"/>
    </row>
    <row r="342">
      <c r="B342" s="223"/>
    </row>
    <row r="343">
      <c r="B343" s="223"/>
    </row>
    <row r="344">
      <c r="B344" s="223"/>
    </row>
    <row r="345">
      <c r="B345" s="223"/>
    </row>
    <row r="346">
      <c r="B346" s="223"/>
    </row>
    <row r="347">
      <c r="B347" s="223"/>
    </row>
    <row r="348">
      <c r="B348" s="223"/>
    </row>
    <row r="349">
      <c r="B349" s="223"/>
    </row>
    <row r="350">
      <c r="B350" s="223"/>
    </row>
    <row r="351">
      <c r="B351" s="223"/>
    </row>
    <row r="352">
      <c r="B352" s="223"/>
    </row>
    <row r="353">
      <c r="B353" s="223"/>
    </row>
    <row r="354">
      <c r="B354" s="223"/>
    </row>
    <row r="355">
      <c r="B355" s="223"/>
    </row>
    <row r="356">
      <c r="B356" s="223"/>
    </row>
    <row r="357">
      <c r="B357" s="223"/>
    </row>
    <row r="358">
      <c r="B358" s="223"/>
    </row>
    <row r="359">
      <c r="B359" s="223"/>
    </row>
    <row r="360">
      <c r="B360" s="223"/>
    </row>
    <row r="361">
      <c r="B361" s="223"/>
    </row>
    <row r="362">
      <c r="B362" s="223"/>
    </row>
    <row r="363">
      <c r="B363" s="223"/>
    </row>
    <row r="364">
      <c r="B364" s="223"/>
    </row>
    <row r="365">
      <c r="B365" s="223"/>
    </row>
    <row r="366">
      <c r="B366" s="223"/>
    </row>
    <row r="367">
      <c r="B367" s="223"/>
    </row>
    <row r="368">
      <c r="B368" s="223"/>
    </row>
    <row r="369">
      <c r="B369" s="223"/>
    </row>
    <row r="370">
      <c r="B370" s="223"/>
    </row>
    <row r="371">
      <c r="B371" s="223"/>
    </row>
    <row r="372">
      <c r="B372" s="223"/>
    </row>
    <row r="373">
      <c r="B373" s="223"/>
    </row>
    <row r="374">
      <c r="B374" s="223"/>
    </row>
    <row r="375">
      <c r="B375" s="223"/>
    </row>
    <row r="376">
      <c r="B376" s="223"/>
    </row>
    <row r="377">
      <c r="B377" s="223"/>
    </row>
    <row r="378">
      <c r="B378" s="223"/>
    </row>
    <row r="379">
      <c r="B379" s="223"/>
    </row>
    <row r="380">
      <c r="B380" s="223"/>
    </row>
    <row r="381">
      <c r="B381" s="223"/>
    </row>
    <row r="382">
      <c r="B382" s="223"/>
    </row>
    <row r="383">
      <c r="B383" s="223"/>
    </row>
    <row r="384">
      <c r="B384" s="223"/>
    </row>
    <row r="385">
      <c r="B385" s="223"/>
    </row>
    <row r="386">
      <c r="B386" s="223"/>
    </row>
    <row r="387">
      <c r="B387" s="223"/>
    </row>
    <row r="388">
      <c r="B388" s="223"/>
    </row>
    <row r="389">
      <c r="B389" s="223"/>
    </row>
    <row r="390">
      <c r="B390" s="223"/>
    </row>
    <row r="391">
      <c r="B391" s="223"/>
    </row>
    <row r="392">
      <c r="B392" s="223"/>
    </row>
    <row r="393">
      <c r="B393" s="223"/>
    </row>
    <row r="394">
      <c r="B394" s="223"/>
    </row>
    <row r="395">
      <c r="B395" s="223"/>
    </row>
    <row r="396">
      <c r="B396" s="223"/>
    </row>
    <row r="397">
      <c r="B397" s="223"/>
    </row>
    <row r="398">
      <c r="B398" s="223"/>
    </row>
    <row r="399">
      <c r="B399" s="223"/>
    </row>
    <row r="400">
      <c r="B400" s="223"/>
    </row>
    <row r="401">
      <c r="B401" s="223"/>
    </row>
    <row r="402">
      <c r="B402" s="223"/>
    </row>
    <row r="403">
      <c r="B403" s="223"/>
    </row>
    <row r="404">
      <c r="B404" s="223"/>
    </row>
    <row r="405">
      <c r="B405" s="223"/>
    </row>
    <row r="406">
      <c r="B406" s="223"/>
    </row>
    <row r="407">
      <c r="B407" s="223"/>
    </row>
    <row r="408">
      <c r="B408" s="223"/>
    </row>
    <row r="409">
      <c r="B409" s="223"/>
    </row>
    <row r="410">
      <c r="B410" s="223"/>
    </row>
    <row r="411">
      <c r="B411" s="223"/>
    </row>
    <row r="412">
      <c r="B412" s="223"/>
    </row>
    <row r="413">
      <c r="B413" s="223"/>
    </row>
    <row r="414">
      <c r="B414" s="223"/>
    </row>
    <row r="415">
      <c r="B415" s="223"/>
    </row>
    <row r="416">
      <c r="B416" s="223"/>
    </row>
    <row r="417">
      <c r="B417" s="223"/>
    </row>
    <row r="418">
      <c r="B418" s="223"/>
    </row>
    <row r="419">
      <c r="B419" s="223"/>
    </row>
    <row r="420">
      <c r="B420" s="223"/>
    </row>
    <row r="421">
      <c r="B421" s="223"/>
    </row>
    <row r="422">
      <c r="B422" s="223"/>
    </row>
    <row r="423">
      <c r="B423" s="223"/>
    </row>
    <row r="424">
      <c r="B424" s="223"/>
    </row>
    <row r="425">
      <c r="B425" s="223"/>
    </row>
    <row r="426">
      <c r="B426" s="223"/>
    </row>
    <row r="427">
      <c r="B427" s="223"/>
    </row>
    <row r="428">
      <c r="B428" s="223"/>
    </row>
    <row r="429">
      <c r="B429" s="223"/>
    </row>
    <row r="430">
      <c r="B430" s="223"/>
    </row>
    <row r="431">
      <c r="B431" s="223"/>
    </row>
    <row r="432">
      <c r="B432" s="223"/>
    </row>
    <row r="433">
      <c r="B433" s="223"/>
    </row>
    <row r="434">
      <c r="B434" s="223"/>
    </row>
    <row r="435">
      <c r="B435" s="223"/>
    </row>
    <row r="436">
      <c r="B436" s="223"/>
    </row>
    <row r="437">
      <c r="B437" s="223"/>
    </row>
    <row r="438">
      <c r="B438" s="223"/>
    </row>
    <row r="439">
      <c r="B439" s="223"/>
    </row>
    <row r="440">
      <c r="B440" s="223"/>
    </row>
    <row r="441">
      <c r="B441" s="223"/>
    </row>
    <row r="442">
      <c r="B442" s="223"/>
    </row>
    <row r="443">
      <c r="B443" s="223"/>
    </row>
    <row r="444">
      <c r="B444" s="223"/>
    </row>
    <row r="445">
      <c r="B445" s="223"/>
    </row>
    <row r="446">
      <c r="B446" s="223"/>
    </row>
    <row r="447">
      <c r="B447" s="223"/>
    </row>
    <row r="448">
      <c r="B448" s="223"/>
    </row>
    <row r="449">
      <c r="B449" s="223"/>
    </row>
    <row r="450">
      <c r="B450" s="223"/>
    </row>
    <row r="451">
      <c r="B451" s="223"/>
    </row>
    <row r="452">
      <c r="B452" s="223"/>
    </row>
    <row r="453">
      <c r="B453" s="223"/>
    </row>
    <row r="454">
      <c r="B454" s="223"/>
    </row>
    <row r="455">
      <c r="B455" s="223"/>
    </row>
    <row r="456">
      <c r="B456" s="223"/>
    </row>
    <row r="457">
      <c r="B457" s="223"/>
    </row>
    <row r="458">
      <c r="B458" s="223"/>
    </row>
    <row r="459">
      <c r="B459" s="223"/>
    </row>
    <row r="460">
      <c r="B460" s="223"/>
    </row>
    <row r="461">
      <c r="B461" s="223"/>
    </row>
    <row r="462">
      <c r="B462" s="223"/>
    </row>
    <row r="463">
      <c r="B463" s="223"/>
    </row>
    <row r="464">
      <c r="B464" s="223"/>
    </row>
    <row r="465">
      <c r="B465" s="223"/>
    </row>
    <row r="466">
      <c r="B466" s="223"/>
    </row>
    <row r="467">
      <c r="B467" s="223"/>
    </row>
    <row r="468">
      <c r="B468" s="223"/>
    </row>
    <row r="469">
      <c r="B469" s="223"/>
    </row>
    <row r="470">
      <c r="B470" s="223"/>
    </row>
    <row r="471">
      <c r="B471" s="223"/>
    </row>
    <row r="472">
      <c r="B472" s="223"/>
    </row>
    <row r="473">
      <c r="B473" s="223"/>
    </row>
    <row r="474">
      <c r="B474" s="223"/>
    </row>
    <row r="475">
      <c r="B475" s="223"/>
    </row>
    <row r="476">
      <c r="B476" s="223"/>
    </row>
    <row r="477">
      <c r="B477" s="223"/>
    </row>
    <row r="478">
      <c r="B478" s="223"/>
    </row>
    <row r="479">
      <c r="B479" s="223"/>
    </row>
    <row r="480">
      <c r="B480" s="223"/>
    </row>
    <row r="481">
      <c r="B481" s="223"/>
    </row>
    <row r="482">
      <c r="B482" s="223"/>
    </row>
    <row r="483">
      <c r="B483" s="223"/>
    </row>
    <row r="484">
      <c r="B484" s="223"/>
    </row>
    <row r="485">
      <c r="B485" s="223"/>
    </row>
    <row r="486">
      <c r="B486" s="223"/>
    </row>
    <row r="487">
      <c r="B487" s="223"/>
    </row>
    <row r="488">
      <c r="B488" s="223"/>
    </row>
    <row r="489">
      <c r="B489" s="223"/>
    </row>
    <row r="490">
      <c r="B490" s="223"/>
    </row>
    <row r="491">
      <c r="B491" s="223"/>
    </row>
    <row r="492">
      <c r="B492" s="223"/>
    </row>
    <row r="493">
      <c r="B493" s="223"/>
    </row>
    <row r="494">
      <c r="B494" s="223"/>
    </row>
    <row r="495">
      <c r="B495" s="223"/>
    </row>
    <row r="496">
      <c r="B496" s="223"/>
    </row>
    <row r="497">
      <c r="B497" s="223"/>
    </row>
    <row r="498">
      <c r="B498" s="223"/>
    </row>
    <row r="499">
      <c r="B499" s="223"/>
    </row>
    <row r="500">
      <c r="B500" s="223"/>
    </row>
    <row r="501">
      <c r="B501" s="223"/>
    </row>
    <row r="502">
      <c r="B502" s="223"/>
    </row>
    <row r="503">
      <c r="B503" s="223"/>
    </row>
    <row r="504">
      <c r="B504" s="223"/>
    </row>
    <row r="505">
      <c r="B505" s="223"/>
    </row>
    <row r="506">
      <c r="B506" s="223"/>
    </row>
    <row r="507">
      <c r="B507" s="223"/>
    </row>
    <row r="508">
      <c r="B508" s="223"/>
    </row>
    <row r="509">
      <c r="B509" s="223"/>
    </row>
    <row r="510">
      <c r="B510" s="223"/>
    </row>
    <row r="511">
      <c r="B511" s="223"/>
    </row>
    <row r="512">
      <c r="B512" s="223"/>
    </row>
    <row r="513">
      <c r="B513" s="223"/>
    </row>
    <row r="514">
      <c r="B514" s="223"/>
    </row>
    <row r="515">
      <c r="B515" s="223"/>
    </row>
    <row r="516">
      <c r="B516" s="223"/>
    </row>
    <row r="517">
      <c r="B517" s="223"/>
    </row>
    <row r="518">
      <c r="B518" s="223"/>
    </row>
    <row r="519">
      <c r="B519" s="223"/>
    </row>
    <row r="520">
      <c r="B520" s="223"/>
    </row>
    <row r="521">
      <c r="B521" s="223"/>
    </row>
    <row r="522">
      <c r="B522" s="223"/>
    </row>
    <row r="523">
      <c r="B523" s="223"/>
    </row>
    <row r="524">
      <c r="B524" s="223"/>
    </row>
    <row r="525">
      <c r="B525" s="223"/>
    </row>
    <row r="526">
      <c r="B526" s="223"/>
    </row>
    <row r="527">
      <c r="B527" s="223"/>
    </row>
    <row r="528">
      <c r="B528" s="223"/>
    </row>
    <row r="529">
      <c r="B529" s="223"/>
    </row>
    <row r="530">
      <c r="B530" s="223"/>
    </row>
    <row r="531">
      <c r="B531" s="223"/>
    </row>
    <row r="532">
      <c r="B532" s="223"/>
    </row>
    <row r="533">
      <c r="B533" s="223"/>
    </row>
    <row r="534">
      <c r="B534" s="223"/>
    </row>
    <row r="535">
      <c r="B535" s="223"/>
    </row>
    <row r="536">
      <c r="B536" s="223"/>
    </row>
    <row r="537">
      <c r="B537" s="223"/>
    </row>
    <row r="538">
      <c r="B538" s="223"/>
    </row>
    <row r="539">
      <c r="B539" s="223"/>
    </row>
    <row r="540">
      <c r="B540" s="223"/>
    </row>
    <row r="541">
      <c r="B541" s="223"/>
    </row>
    <row r="542">
      <c r="B542" s="223"/>
    </row>
    <row r="543">
      <c r="B543" s="223"/>
    </row>
    <row r="544">
      <c r="B544" s="223"/>
    </row>
    <row r="545">
      <c r="B545" s="223"/>
    </row>
    <row r="546">
      <c r="B546" s="223"/>
    </row>
    <row r="547">
      <c r="B547" s="223"/>
    </row>
    <row r="548">
      <c r="B548" s="223"/>
    </row>
    <row r="549">
      <c r="B549" s="223"/>
    </row>
    <row r="550">
      <c r="B550" s="223"/>
    </row>
    <row r="551">
      <c r="B551" s="223"/>
    </row>
    <row r="552">
      <c r="B552" s="223"/>
    </row>
    <row r="553">
      <c r="B553" s="223"/>
    </row>
    <row r="554">
      <c r="B554" s="223"/>
    </row>
    <row r="555">
      <c r="B555" s="223"/>
    </row>
    <row r="556">
      <c r="B556" s="223"/>
    </row>
    <row r="557">
      <c r="B557" s="223"/>
    </row>
    <row r="558">
      <c r="B558" s="223"/>
    </row>
    <row r="559">
      <c r="B559" s="223"/>
    </row>
    <row r="560">
      <c r="B560" s="223"/>
    </row>
    <row r="561">
      <c r="B561" s="223"/>
    </row>
    <row r="562">
      <c r="B562" s="223"/>
    </row>
    <row r="563">
      <c r="B563" s="223"/>
    </row>
    <row r="564">
      <c r="B564" s="223"/>
    </row>
    <row r="565">
      <c r="B565" s="223"/>
    </row>
    <row r="566">
      <c r="B566" s="223"/>
    </row>
    <row r="567">
      <c r="B567" s="223"/>
    </row>
    <row r="568">
      <c r="B568" s="223"/>
    </row>
    <row r="569">
      <c r="B569" s="223"/>
    </row>
    <row r="570">
      <c r="B570" s="223"/>
    </row>
    <row r="571">
      <c r="B571" s="223"/>
    </row>
    <row r="572">
      <c r="B572" s="223"/>
    </row>
    <row r="573">
      <c r="B573" s="223"/>
    </row>
    <row r="574">
      <c r="B574" s="223"/>
    </row>
    <row r="575">
      <c r="B575" s="223"/>
    </row>
    <row r="576">
      <c r="B576" s="223"/>
    </row>
    <row r="577">
      <c r="B577" s="223"/>
    </row>
    <row r="578">
      <c r="B578" s="223"/>
    </row>
    <row r="579">
      <c r="B579" s="223"/>
    </row>
    <row r="580">
      <c r="B580" s="223"/>
    </row>
    <row r="581">
      <c r="B581" s="223"/>
    </row>
    <row r="582">
      <c r="B582" s="223"/>
    </row>
    <row r="583">
      <c r="B583" s="223"/>
    </row>
    <row r="584">
      <c r="B584" s="223"/>
    </row>
    <row r="585">
      <c r="B585" s="223"/>
    </row>
    <row r="586">
      <c r="B586" s="223"/>
    </row>
    <row r="587">
      <c r="B587" s="223"/>
    </row>
    <row r="588">
      <c r="B588" s="223"/>
    </row>
    <row r="589">
      <c r="B589" s="223"/>
    </row>
    <row r="590">
      <c r="B590" s="223"/>
    </row>
    <row r="591">
      <c r="B591" s="223"/>
    </row>
    <row r="592">
      <c r="B592" s="223"/>
    </row>
    <row r="593">
      <c r="B593" s="223"/>
    </row>
    <row r="594">
      <c r="B594" s="223"/>
    </row>
    <row r="595">
      <c r="B595" s="223"/>
    </row>
    <row r="596">
      <c r="B596" s="223"/>
    </row>
    <row r="597">
      <c r="B597" s="223"/>
    </row>
    <row r="598">
      <c r="B598" s="223"/>
    </row>
    <row r="599">
      <c r="B599" s="223"/>
    </row>
    <row r="600">
      <c r="B600" s="223"/>
    </row>
    <row r="601">
      <c r="B601" s="223"/>
    </row>
    <row r="602">
      <c r="B602" s="223"/>
    </row>
    <row r="603">
      <c r="B603" s="223"/>
    </row>
    <row r="604">
      <c r="B604" s="223"/>
    </row>
    <row r="605">
      <c r="B605" s="223"/>
    </row>
    <row r="606">
      <c r="B606" s="223"/>
    </row>
    <row r="607">
      <c r="B607" s="223"/>
    </row>
    <row r="608">
      <c r="B608" s="223"/>
    </row>
    <row r="609">
      <c r="B609" s="223"/>
    </row>
    <row r="610">
      <c r="B610" s="223"/>
    </row>
    <row r="611">
      <c r="B611" s="223"/>
    </row>
    <row r="612">
      <c r="B612" s="223"/>
    </row>
    <row r="613">
      <c r="B613" s="223"/>
    </row>
    <row r="614">
      <c r="B614" s="223"/>
    </row>
    <row r="615">
      <c r="B615" s="223"/>
    </row>
    <row r="616">
      <c r="B616" s="223"/>
    </row>
    <row r="617">
      <c r="B617" s="223"/>
    </row>
    <row r="618">
      <c r="B618" s="223"/>
    </row>
    <row r="619">
      <c r="B619" s="223"/>
    </row>
    <row r="620">
      <c r="B620" s="223"/>
    </row>
    <row r="621">
      <c r="B621" s="223"/>
    </row>
    <row r="622">
      <c r="B622" s="223"/>
    </row>
    <row r="623">
      <c r="B623" s="223"/>
    </row>
    <row r="624">
      <c r="B624" s="223"/>
    </row>
    <row r="625">
      <c r="B625" s="223"/>
    </row>
    <row r="626">
      <c r="B626" s="223"/>
    </row>
    <row r="627">
      <c r="B627" s="223"/>
    </row>
    <row r="628">
      <c r="B628" s="223"/>
    </row>
    <row r="629">
      <c r="B629" s="223"/>
    </row>
    <row r="630">
      <c r="B630" s="223"/>
    </row>
    <row r="631">
      <c r="B631" s="223"/>
    </row>
    <row r="632">
      <c r="B632" s="223"/>
    </row>
    <row r="633">
      <c r="B633" s="223"/>
    </row>
    <row r="634">
      <c r="B634" s="223"/>
    </row>
    <row r="635">
      <c r="B635" s="223"/>
    </row>
    <row r="636">
      <c r="B636" s="223"/>
    </row>
    <row r="637">
      <c r="B637" s="223"/>
    </row>
    <row r="638">
      <c r="B638" s="223"/>
    </row>
    <row r="639">
      <c r="B639" s="223"/>
    </row>
    <row r="640">
      <c r="B640" s="223"/>
    </row>
    <row r="641">
      <c r="B641" s="223"/>
    </row>
    <row r="642">
      <c r="B642" s="223"/>
    </row>
    <row r="643">
      <c r="B643" s="223"/>
    </row>
    <row r="644">
      <c r="B644" s="223"/>
    </row>
    <row r="645">
      <c r="B645" s="223"/>
    </row>
    <row r="646">
      <c r="B646" s="223"/>
    </row>
    <row r="647">
      <c r="B647" s="223"/>
    </row>
    <row r="648">
      <c r="B648" s="223"/>
    </row>
    <row r="649">
      <c r="B649" s="223"/>
    </row>
    <row r="650">
      <c r="B650" s="223"/>
    </row>
    <row r="651">
      <c r="B651" s="223"/>
    </row>
    <row r="652">
      <c r="B652" s="223"/>
    </row>
    <row r="653">
      <c r="B653" s="223"/>
    </row>
    <row r="654">
      <c r="B654" s="223"/>
    </row>
    <row r="655">
      <c r="B655" s="223"/>
    </row>
    <row r="656">
      <c r="B656" s="223"/>
    </row>
    <row r="657">
      <c r="B657" s="223"/>
    </row>
    <row r="658">
      <c r="B658" s="223"/>
    </row>
    <row r="659">
      <c r="B659" s="223"/>
    </row>
    <row r="660">
      <c r="B660" s="223"/>
    </row>
    <row r="661">
      <c r="B661" s="223"/>
    </row>
    <row r="662">
      <c r="B662" s="223"/>
    </row>
    <row r="663">
      <c r="B663" s="223"/>
    </row>
    <row r="664">
      <c r="B664" s="223"/>
    </row>
    <row r="665">
      <c r="B665" s="223"/>
    </row>
    <row r="666">
      <c r="B666" s="223"/>
    </row>
    <row r="667">
      <c r="B667" s="223"/>
    </row>
    <row r="668">
      <c r="B668" s="223"/>
    </row>
    <row r="669">
      <c r="B669" s="223"/>
    </row>
    <row r="670">
      <c r="B670" s="223"/>
    </row>
    <row r="671">
      <c r="B671" s="223"/>
    </row>
    <row r="672">
      <c r="B672" s="223"/>
    </row>
    <row r="673">
      <c r="B673" s="223"/>
    </row>
    <row r="674">
      <c r="B674" s="223"/>
    </row>
    <row r="675">
      <c r="B675" s="223"/>
    </row>
    <row r="676">
      <c r="B676" s="223"/>
    </row>
    <row r="677">
      <c r="B677" s="223"/>
    </row>
    <row r="678">
      <c r="B678" s="223"/>
    </row>
    <row r="679">
      <c r="B679" s="223"/>
    </row>
    <row r="680">
      <c r="B680" s="223"/>
    </row>
    <row r="681">
      <c r="B681" s="223"/>
    </row>
    <row r="682">
      <c r="B682" s="223"/>
    </row>
    <row r="683">
      <c r="B683" s="223"/>
    </row>
    <row r="684">
      <c r="B684" s="223"/>
    </row>
    <row r="685">
      <c r="B685" s="223"/>
    </row>
    <row r="686">
      <c r="B686" s="223"/>
    </row>
    <row r="687">
      <c r="B687" s="223"/>
    </row>
    <row r="688">
      <c r="B688" s="223"/>
    </row>
    <row r="689">
      <c r="B689" s="223"/>
    </row>
    <row r="690">
      <c r="B690" s="223"/>
    </row>
    <row r="691">
      <c r="B691" s="223"/>
    </row>
    <row r="692">
      <c r="B692" s="223"/>
    </row>
    <row r="693">
      <c r="B693" s="223"/>
    </row>
    <row r="694">
      <c r="B694" s="223"/>
    </row>
    <row r="695">
      <c r="B695" s="223"/>
    </row>
    <row r="696">
      <c r="B696" s="223"/>
    </row>
    <row r="697">
      <c r="B697" s="223"/>
    </row>
    <row r="698">
      <c r="B698" s="223"/>
    </row>
    <row r="699">
      <c r="B699" s="223"/>
    </row>
    <row r="700">
      <c r="B700" s="223"/>
    </row>
    <row r="701">
      <c r="B701" s="223"/>
    </row>
    <row r="702">
      <c r="B702" s="223"/>
    </row>
    <row r="703">
      <c r="B703" s="223"/>
    </row>
    <row r="704">
      <c r="B704" s="223"/>
    </row>
    <row r="705">
      <c r="B705" s="223"/>
    </row>
    <row r="706">
      <c r="B706" s="223"/>
    </row>
    <row r="707">
      <c r="B707" s="223"/>
    </row>
    <row r="708">
      <c r="B708" s="223"/>
    </row>
    <row r="709">
      <c r="B709" s="223"/>
    </row>
    <row r="710">
      <c r="B710" s="223"/>
    </row>
    <row r="711">
      <c r="B711" s="223"/>
    </row>
    <row r="712">
      <c r="B712" s="223"/>
    </row>
    <row r="713">
      <c r="B713" s="223"/>
    </row>
    <row r="714">
      <c r="B714" s="223"/>
    </row>
    <row r="715">
      <c r="B715" s="223"/>
    </row>
    <row r="716">
      <c r="B716" s="223"/>
    </row>
    <row r="717">
      <c r="B717" s="223"/>
    </row>
    <row r="718">
      <c r="B718" s="223"/>
    </row>
    <row r="719">
      <c r="B719" s="223"/>
    </row>
    <row r="720">
      <c r="B720" s="223"/>
    </row>
    <row r="721">
      <c r="B721" s="223"/>
    </row>
    <row r="722">
      <c r="B722" s="223"/>
    </row>
    <row r="723">
      <c r="B723" s="223"/>
    </row>
    <row r="724">
      <c r="B724" s="223"/>
    </row>
    <row r="725">
      <c r="B725" s="223"/>
    </row>
    <row r="726">
      <c r="B726" s="223"/>
    </row>
    <row r="727">
      <c r="B727" s="223"/>
    </row>
    <row r="728">
      <c r="B728" s="223"/>
    </row>
    <row r="729">
      <c r="B729" s="223"/>
    </row>
    <row r="730">
      <c r="B730" s="223"/>
    </row>
    <row r="731">
      <c r="B731" s="223"/>
    </row>
    <row r="732">
      <c r="B732" s="223"/>
    </row>
    <row r="733">
      <c r="B733" s="223"/>
    </row>
    <row r="734">
      <c r="B734" s="223"/>
    </row>
    <row r="735">
      <c r="B735" s="223"/>
    </row>
    <row r="736">
      <c r="B736" s="223"/>
    </row>
    <row r="737">
      <c r="B737" s="223"/>
    </row>
    <row r="738">
      <c r="B738" s="223"/>
    </row>
    <row r="739">
      <c r="B739" s="223"/>
    </row>
    <row r="740">
      <c r="B740" s="223"/>
    </row>
    <row r="741">
      <c r="B741" s="223"/>
    </row>
    <row r="742">
      <c r="B742" s="223"/>
    </row>
    <row r="743">
      <c r="B743" s="223"/>
    </row>
    <row r="744">
      <c r="B744" s="223"/>
    </row>
    <row r="745">
      <c r="B745" s="223"/>
    </row>
    <row r="746">
      <c r="B746" s="223"/>
    </row>
    <row r="747">
      <c r="B747" s="223"/>
    </row>
    <row r="748">
      <c r="B748" s="223"/>
    </row>
    <row r="749">
      <c r="B749" s="223"/>
    </row>
    <row r="750">
      <c r="B750" s="223"/>
    </row>
    <row r="751">
      <c r="B751" s="223"/>
    </row>
    <row r="752">
      <c r="B752" s="223"/>
    </row>
    <row r="753">
      <c r="B753" s="223"/>
    </row>
    <row r="754">
      <c r="B754" s="223"/>
    </row>
    <row r="755">
      <c r="B755" s="223"/>
    </row>
    <row r="756">
      <c r="B756" s="223"/>
    </row>
    <row r="757">
      <c r="B757" s="223"/>
    </row>
    <row r="758">
      <c r="B758" s="223"/>
    </row>
    <row r="759">
      <c r="B759" s="223"/>
    </row>
    <row r="760">
      <c r="B760" s="223"/>
    </row>
    <row r="761">
      <c r="B761" s="223"/>
    </row>
    <row r="762">
      <c r="B762" s="223"/>
    </row>
    <row r="763">
      <c r="B763" s="223"/>
    </row>
    <row r="764">
      <c r="B764" s="223"/>
    </row>
    <row r="765">
      <c r="B765" s="223"/>
    </row>
    <row r="766">
      <c r="B766" s="223"/>
    </row>
    <row r="767">
      <c r="B767" s="223"/>
    </row>
    <row r="768">
      <c r="B768" s="223"/>
    </row>
    <row r="769">
      <c r="B769" s="223"/>
    </row>
    <row r="770">
      <c r="B770" s="223"/>
    </row>
    <row r="771">
      <c r="B771" s="223"/>
    </row>
    <row r="772">
      <c r="B772" s="223"/>
    </row>
    <row r="773">
      <c r="B773" s="223"/>
    </row>
    <row r="774">
      <c r="B774" s="223"/>
    </row>
    <row r="775">
      <c r="B775" s="223"/>
    </row>
    <row r="776">
      <c r="B776" s="223"/>
    </row>
    <row r="777">
      <c r="B777" s="223"/>
    </row>
    <row r="778">
      <c r="B778" s="223"/>
    </row>
    <row r="779">
      <c r="B779" s="223"/>
    </row>
    <row r="780">
      <c r="B780" s="223"/>
    </row>
    <row r="781">
      <c r="B781" s="223"/>
    </row>
    <row r="782">
      <c r="B782" s="223"/>
    </row>
    <row r="783">
      <c r="B783" s="223"/>
    </row>
    <row r="784">
      <c r="B784" s="223"/>
    </row>
    <row r="785">
      <c r="B785" s="223"/>
    </row>
    <row r="786">
      <c r="B786" s="223"/>
    </row>
    <row r="787">
      <c r="B787" s="223"/>
    </row>
    <row r="788">
      <c r="B788" s="223"/>
    </row>
    <row r="789">
      <c r="B789" s="223"/>
    </row>
    <row r="790">
      <c r="B790" s="223"/>
    </row>
    <row r="791">
      <c r="B791" s="223"/>
    </row>
    <row r="792">
      <c r="B792" s="223"/>
    </row>
    <row r="793">
      <c r="B793" s="223"/>
    </row>
    <row r="794">
      <c r="B794" s="223"/>
    </row>
    <row r="795">
      <c r="B795" s="223"/>
    </row>
    <row r="796">
      <c r="B796" s="223"/>
    </row>
    <row r="797">
      <c r="B797" s="223"/>
    </row>
    <row r="798">
      <c r="B798" s="223"/>
    </row>
    <row r="799">
      <c r="B799" s="223"/>
    </row>
    <row r="800">
      <c r="B800" s="223"/>
    </row>
    <row r="801">
      <c r="B801" s="223"/>
    </row>
    <row r="802">
      <c r="B802" s="223"/>
    </row>
    <row r="803">
      <c r="B803" s="223"/>
    </row>
    <row r="804">
      <c r="B804" s="223"/>
    </row>
    <row r="805">
      <c r="B805" s="223"/>
    </row>
    <row r="806">
      <c r="B806" s="223"/>
    </row>
    <row r="807">
      <c r="B807" s="223"/>
    </row>
    <row r="808">
      <c r="B808" s="223"/>
    </row>
    <row r="809">
      <c r="B809" s="223"/>
    </row>
    <row r="810">
      <c r="B810" s="223"/>
    </row>
    <row r="811">
      <c r="B811" s="223"/>
    </row>
    <row r="812">
      <c r="B812" s="223"/>
    </row>
    <row r="813">
      <c r="B813" s="223"/>
    </row>
    <row r="814">
      <c r="B814" s="223"/>
    </row>
    <row r="815">
      <c r="B815" s="223"/>
    </row>
    <row r="816">
      <c r="B816" s="223"/>
    </row>
    <row r="817">
      <c r="B817" s="223"/>
    </row>
    <row r="818">
      <c r="B818" s="223"/>
    </row>
    <row r="819">
      <c r="B819" s="223"/>
    </row>
    <row r="820">
      <c r="B820" s="223"/>
    </row>
    <row r="821">
      <c r="B821" s="223"/>
    </row>
    <row r="822">
      <c r="B822" s="223"/>
    </row>
    <row r="823">
      <c r="B823" s="223"/>
    </row>
    <row r="824">
      <c r="B824" s="223"/>
    </row>
    <row r="825">
      <c r="B825" s="223"/>
    </row>
    <row r="826">
      <c r="B826" s="223"/>
    </row>
    <row r="827">
      <c r="B827" s="223"/>
    </row>
    <row r="828">
      <c r="B828" s="223"/>
    </row>
    <row r="829">
      <c r="B829" s="223"/>
    </row>
    <row r="830">
      <c r="B830" s="223"/>
    </row>
    <row r="831">
      <c r="B831" s="223"/>
    </row>
    <row r="832">
      <c r="B832" s="223"/>
    </row>
    <row r="833">
      <c r="B833" s="223"/>
    </row>
    <row r="834">
      <c r="B834" s="223"/>
    </row>
    <row r="835">
      <c r="B835" s="223"/>
    </row>
    <row r="836">
      <c r="B836" s="223"/>
    </row>
    <row r="837">
      <c r="B837" s="223"/>
    </row>
    <row r="838">
      <c r="B838" s="223"/>
    </row>
    <row r="839">
      <c r="B839" s="223"/>
    </row>
    <row r="840">
      <c r="B840" s="223"/>
    </row>
    <row r="841">
      <c r="B841" s="223"/>
    </row>
    <row r="842">
      <c r="B842" s="223"/>
    </row>
    <row r="843">
      <c r="B843" s="223"/>
    </row>
    <row r="844">
      <c r="B844" s="223"/>
    </row>
    <row r="845">
      <c r="B845" s="223"/>
    </row>
    <row r="846">
      <c r="B846" s="223"/>
    </row>
    <row r="847">
      <c r="B847" s="223"/>
    </row>
    <row r="848">
      <c r="B848" s="223"/>
    </row>
    <row r="849">
      <c r="B849" s="223"/>
    </row>
    <row r="850">
      <c r="B850" s="223"/>
    </row>
    <row r="851">
      <c r="B851" s="223"/>
    </row>
    <row r="852">
      <c r="B852" s="223"/>
    </row>
    <row r="853">
      <c r="B853" s="223"/>
    </row>
    <row r="854">
      <c r="B854" s="223"/>
    </row>
    <row r="855">
      <c r="B855" s="223"/>
    </row>
    <row r="856">
      <c r="B856" s="223"/>
    </row>
    <row r="857">
      <c r="B857" s="223"/>
    </row>
    <row r="858">
      <c r="B858" s="223"/>
    </row>
    <row r="859">
      <c r="B859" s="223"/>
    </row>
    <row r="860">
      <c r="B860" s="223"/>
    </row>
    <row r="861">
      <c r="B861" s="223"/>
    </row>
    <row r="862">
      <c r="B862" s="223"/>
    </row>
    <row r="863">
      <c r="B863" s="223"/>
    </row>
    <row r="864">
      <c r="B864" s="223"/>
    </row>
    <row r="865">
      <c r="B865" s="223"/>
    </row>
    <row r="866">
      <c r="B866" s="223"/>
    </row>
    <row r="867">
      <c r="B867" s="223"/>
    </row>
    <row r="868">
      <c r="B868" s="223"/>
    </row>
    <row r="869">
      <c r="B869" s="223"/>
    </row>
    <row r="870">
      <c r="B870" s="223"/>
    </row>
    <row r="871">
      <c r="B871" s="223"/>
    </row>
    <row r="872">
      <c r="B872" s="223"/>
    </row>
    <row r="873">
      <c r="B873" s="223"/>
    </row>
    <row r="874">
      <c r="B874" s="223"/>
    </row>
    <row r="875">
      <c r="B875" s="223"/>
    </row>
    <row r="876">
      <c r="B876" s="223"/>
    </row>
    <row r="877">
      <c r="B877" s="223"/>
    </row>
    <row r="878">
      <c r="B878" s="223"/>
    </row>
    <row r="879">
      <c r="B879" s="223"/>
    </row>
    <row r="880">
      <c r="B880" s="223"/>
    </row>
    <row r="881">
      <c r="B881" s="223"/>
    </row>
    <row r="882">
      <c r="B882" s="223"/>
    </row>
    <row r="883">
      <c r="B883" s="223"/>
    </row>
    <row r="884">
      <c r="B884" s="223"/>
    </row>
    <row r="885">
      <c r="B885" s="223"/>
    </row>
    <row r="886">
      <c r="B886" s="223"/>
    </row>
    <row r="887">
      <c r="B887" s="223"/>
    </row>
    <row r="888">
      <c r="B888" s="223"/>
    </row>
    <row r="889">
      <c r="B889" s="223"/>
    </row>
    <row r="890">
      <c r="B890" s="223"/>
    </row>
    <row r="891">
      <c r="B891" s="223"/>
    </row>
    <row r="892">
      <c r="B892" s="223"/>
    </row>
    <row r="893">
      <c r="B893" s="223"/>
    </row>
    <row r="894">
      <c r="B894" s="223"/>
    </row>
    <row r="895">
      <c r="B895" s="223"/>
    </row>
    <row r="896">
      <c r="B896" s="223"/>
    </row>
    <row r="897">
      <c r="B897" s="223"/>
    </row>
    <row r="898">
      <c r="B898" s="223"/>
    </row>
    <row r="899">
      <c r="B899" s="223"/>
    </row>
    <row r="900">
      <c r="B900" s="223"/>
    </row>
    <row r="901">
      <c r="B901" s="223"/>
    </row>
    <row r="902">
      <c r="B902" s="223"/>
    </row>
    <row r="903">
      <c r="B903" s="223"/>
    </row>
    <row r="904">
      <c r="B904" s="223"/>
    </row>
    <row r="905">
      <c r="B905" s="223"/>
    </row>
    <row r="906">
      <c r="B906" s="223"/>
    </row>
    <row r="907">
      <c r="B907" s="223"/>
    </row>
    <row r="908">
      <c r="B908" s="223"/>
    </row>
    <row r="909">
      <c r="B909" s="223"/>
    </row>
    <row r="910">
      <c r="B910" s="223"/>
    </row>
    <row r="911">
      <c r="B911" s="223"/>
    </row>
    <row r="912">
      <c r="B912" s="223"/>
    </row>
    <row r="913">
      <c r="B913" s="223"/>
    </row>
    <row r="914">
      <c r="B914" s="223"/>
    </row>
    <row r="915">
      <c r="B915" s="223"/>
    </row>
    <row r="916">
      <c r="B916" s="223"/>
    </row>
    <row r="917">
      <c r="B917" s="223"/>
    </row>
    <row r="918">
      <c r="B918" s="223"/>
    </row>
    <row r="919">
      <c r="B919" s="223"/>
    </row>
    <row r="920">
      <c r="B920" s="223"/>
    </row>
    <row r="921">
      <c r="B921" s="223"/>
    </row>
    <row r="922">
      <c r="B922" s="223"/>
    </row>
    <row r="923">
      <c r="B923" s="223"/>
    </row>
    <row r="924">
      <c r="B924" s="223"/>
    </row>
    <row r="925">
      <c r="B925" s="223"/>
    </row>
    <row r="926">
      <c r="B926" s="223"/>
    </row>
    <row r="927">
      <c r="B927" s="223"/>
    </row>
    <row r="928">
      <c r="B928" s="223"/>
    </row>
    <row r="929">
      <c r="B929" s="223"/>
    </row>
    <row r="930">
      <c r="B930" s="223"/>
    </row>
    <row r="931">
      <c r="B931" s="223"/>
    </row>
    <row r="932">
      <c r="B932" s="223"/>
    </row>
    <row r="933">
      <c r="B933" s="223"/>
    </row>
    <row r="934">
      <c r="B934" s="223"/>
    </row>
    <row r="935">
      <c r="B935" s="223"/>
    </row>
    <row r="936">
      <c r="B936" s="223"/>
    </row>
    <row r="937">
      <c r="B937" s="223"/>
    </row>
    <row r="938">
      <c r="B938" s="223"/>
    </row>
    <row r="939">
      <c r="B939" s="223"/>
    </row>
    <row r="940">
      <c r="B940" s="223"/>
    </row>
    <row r="941">
      <c r="B941" s="223"/>
    </row>
    <row r="942">
      <c r="B942" s="223"/>
    </row>
    <row r="943">
      <c r="B943" s="223"/>
    </row>
    <row r="944">
      <c r="B944" s="223"/>
    </row>
    <row r="945">
      <c r="B945" s="223"/>
    </row>
    <row r="946">
      <c r="B946" s="223"/>
    </row>
    <row r="947">
      <c r="B947" s="223"/>
    </row>
    <row r="948">
      <c r="B948" s="223"/>
    </row>
    <row r="949">
      <c r="B949" s="223"/>
    </row>
    <row r="950">
      <c r="B950" s="223"/>
    </row>
    <row r="951">
      <c r="B951" s="223"/>
    </row>
    <row r="952">
      <c r="B952" s="223"/>
    </row>
    <row r="953">
      <c r="B953" s="223"/>
    </row>
    <row r="954">
      <c r="B954" s="223"/>
    </row>
    <row r="955">
      <c r="B955" s="223"/>
    </row>
    <row r="956">
      <c r="B956" s="223"/>
    </row>
    <row r="957">
      <c r="B957" s="223"/>
    </row>
    <row r="958">
      <c r="B958" s="223"/>
    </row>
    <row r="959">
      <c r="B959" s="223"/>
    </row>
    <row r="960">
      <c r="B960" s="223"/>
    </row>
    <row r="961">
      <c r="B961" s="223"/>
    </row>
    <row r="962">
      <c r="B962" s="223"/>
    </row>
    <row r="963">
      <c r="B963" s="223"/>
    </row>
    <row r="964">
      <c r="B964" s="223"/>
    </row>
    <row r="965">
      <c r="B965" s="223"/>
    </row>
    <row r="966">
      <c r="B966" s="223"/>
    </row>
    <row r="967">
      <c r="B967" s="223"/>
    </row>
    <row r="968">
      <c r="B968" s="223"/>
    </row>
    <row r="969">
      <c r="B969" s="223"/>
    </row>
    <row r="970">
      <c r="B970" s="223"/>
    </row>
    <row r="971">
      <c r="B971" s="223"/>
    </row>
    <row r="972">
      <c r="B972" s="223"/>
    </row>
    <row r="973">
      <c r="B973" s="223"/>
    </row>
    <row r="974">
      <c r="B974" s="223"/>
    </row>
    <row r="975">
      <c r="B975" s="223"/>
    </row>
    <row r="976">
      <c r="B976" s="223"/>
    </row>
    <row r="977">
      <c r="B977" s="223"/>
    </row>
    <row r="978">
      <c r="B978" s="223"/>
    </row>
    <row r="979">
      <c r="B979" s="223"/>
    </row>
    <row r="980">
      <c r="B980" s="223"/>
    </row>
    <row r="981">
      <c r="B981" s="223"/>
    </row>
    <row r="982">
      <c r="B982" s="223"/>
    </row>
    <row r="983">
      <c r="B983" s="223"/>
    </row>
    <row r="984">
      <c r="B984" s="223"/>
    </row>
    <row r="985">
      <c r="B985" s="223"/>
    </row>
    <row r="986">
      <c r="B986" s="223"/>
    </row>
    <row r="987">
      <c r="B987" s="223"/>
    </row>
    <row r="988">
      <c r="B988" s="223"/>
    </row>
    <row r="989">
      <c r="B989" s="223"/>
    </row>
    <row r="990">
      <c r="B990" s="223"/>
    </row>
    <row r="991">
      <c r="B991" s="223"/>
    </row>
    <row r="992">
      <c r="B992" s="223"/>
    </row>
    <row r="993">
      <c r="B993" s="223"/>
    </row>
  </sheetData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20.5"/>
    <col customWidth="1" min="5" max="6" width="26.13"/>
    <col hidden="1" min="10" max="15" width="12.63"/>
    <col customWidth="1" hidden="1" min="16" max="17" width="13.25"/>
    <col hidden="1" min="18" max="26" width="12.63"/>
  </cols>
  <sheetData>
    <row r="1">
      <c r="A1" s="386" t="s">
        <v>44</v>
      </c>
      <c r="B1" s="386" t="s">
        <v>1</v>
      </c>
      <c r="J1" s="387" t="s">
        <v>1654</v>
      </c>
      <c r="K1" s="387" t="s">
        <v>1</v>
      </c>
      <c r="L1" s="248" t="s">
        <v>3706</v>
      </c>
      <c r="M1" s="114" t="s">
        <v>3707</v>
      </c>
      <c r="N1" s="388" t="s">
        <v>3708</v>
      </c>
      <c r="O1" s="389">
        <v>93.0</v>
      </c>
      <c r="Q1" s="11" t="s">
        <v>252</v>
      </c>
    </row>
    <row r="2">
      <c r="A2" s="390" t="s">
        <v>7770</v>
      </c>
      <c r="J2" s="391" t="s">
        <v>7770</v>
      </c>
      <c r="K2" s="392"/>
      <c r="L2" s="245">
        <v>67227.0</v>
      </c>
      <c r="N2" s="393" t="s">
        <v>2008</v>
      </c>
      <c r="O2" s="388">
        <v>17.0</v>
      </c>
    </row>
    <row r="3">
      <c r="A3" s="390" t="s">
        <v>7771</v>
      </c>
      <c r="B3" s="11">
        <v>3404.0</v>
      </c>
      <c r="I3" s="174"/>
      <c r="J3" s="391" t="s">
        <v>7771</v>
      </c>
      <c r="K3" s="392"/>
      <c r="L3" s="245">
        <v>6729.0</v>
      </c>
      <c r="N3" s="393" t="s">
        <v>3709</v>
      </c>
      <c r="O3" s="388">
        <v>0.0</v>
      </c>
      <c r="P3" s="18">
        <v>1.0</v>
      </c>
    </row>
    <row r="4">
      <c r="A4" s="390" t="s">
        <v>7772</v>
      </c>
      <c r="B4" s="11">
        <v>3307.0</v>
      </c>
      <c r="I4" s="174"/>
      <c r="J4" s="394" t="s">
        <v>7772</v>
      </c>
      <c r="K4" s="175">
        <v>14337.0</v>
      </c>
      <c r="L4" s="245">
        <v>181.0</v>
      </c>
      <c r="M4" s="59"/>
      <c r="N4" s="393" t="s">
        <v>3710</v>
      </c>
      <c r="O4" s="395">
        <v>14.0</v>
      </c>
      <c r="P4" s="36" t="e">
        <v>#N/A</v>
      </c>
      <c r="Q4" s="98">
        <v>2345.0</v>
      </c>
    </row>
    <row r="5">
      <c r="A5" s="390" t="s">
        <v>7773</v>
      </c>
      <c r="B5" s="11">
        <v>14672.0</v>
      </c>
      <c r="I5" s="174"/>
      <c r="J5" s="391" t="s">
        <v>7773</v>
      </c>
      <c r="K5" s="392"/>
      <c r="L5" s="245">
        <v>6675.0</v>
      </c>
      <c r="N5" s="393" t="s">
        <v>3711</v>
      </c>
      <c r="O5" s="396">
        <v>62.0</v>
      </c>
      <c r="P5" s="18">
        <v>1.0</v>
      </c>
    </row>
    <row r="6">
      <c r="A6" s="390" t="s">
        <v>7774</v>
      </c>
      <c r="B6" s="11">
        <v>14025.0</v>
      </c>
      <c r="I6" s="174"/>
      <c r="J6" s="391" t="s">
        <v>7774</v>
      </c>
      <c r="K6" s="392"/>
      <c r="L6" s="245">
        <v>6729.0</v>
      </c>
      <c r="N6" s="393" t="s">
        <v>3712</v>
      </c>
      <c r="O6" s="397"/>
      <c r="P6" s="36" t="e">
        <v>#N/A</v>
      </c>
      <c r="Q6" s="36"/>
    </row>
    <row r="7">
      <c r="A7" s="390" t="s">
        <v>7775</v>
      </c>
      <c r="B7" s="16">
        <v>10069.0</v>
      </c>
      <c r="I7" s="174"/>
      <c r="J7" s="391" t="s">
        <v>7775</v>
      </c>
      <c r="K7" s="392">
        <v>3307.0</v>
      </c>
      <c r="L7" s="245">
        <v>2345.0</v>
      </c>
      <c r="P7" s="36" t="e">
        <v>#N/A</v>
      </c>
      <c r="Q7" s="36"/>
    </row>
    <row r="8">
      <c r="A8" s="390" t="s">
        <v>7776</v>
      </c>
      <c r="B8" s="11">
        <v>14646.0</v>
      </c>
      <c r="I8" s="174"/>
      <c r="J8" s="391" t="s">
        <v>7776</v>
      </c>
      <c r="K8" s="392">
        <v>8244.0</v>
      </c>
      <c r="L8" s="245">
        <v>67227.0</v>
      </c>
      <c r="P8" s="36" t="e">
        <v>#N/A</v>
      </c>
      <c r="Q8" s="98">
        <v>6903.0</v>
      </c>
    </row>
    <row r="9">
      <c r="A9" s="390" t="s">
        <v>7777</v>
      </c>
      <c r="B9" s="11">
        <v>6669.0</v>
      </c>
      <c r="I9" s="174"/>
      <c r="J9" s="391" t="s">
        <v>7777</v>
      </c>
      <c r="K9" s="392"/>
      <c r="L9" s="245">
        <v>67227.0</v>
      </c>
      <c r="M9" s="59"/>
      <c r="P9" s="36" t="e">
        <v>#N/A</v>
      </c>
      <c r="Q9" s="98">
        <v>6669.0</v>
      </c>
    </row>
    <row r="10">
      <c r="A10" s="390" t="s">
        <v>7778</v>
      </c>
      <c r="B10" s="11">
        <v>6903.0</v>
      </c>
      <c r="I10" s="174"/>
      <c r="J10" s="391" t="s">
        <v>7778</v>
      </c>
      <c r="K10" s="392">
        <v>6779.0</v>
      </c>
      <c r="L10" s="245">
        <v>2345.0</v>
      </c>
      <c r="P10" s="36" t="e">
        <v>#N/A</v>
      </c>
      <c r="Q10" s="36"/>
    </row>
    <row r="11">
      <c r="A11" s="390" t="s">
        <v>7779</v>
      </c>
      <c r="B11" s="11">
        <v>6767.0</v>
      </c>
      <c r="I11" s="174"/>
      <c r="J11" s="394" t="s">
        <v>7779</v>
      </c>
      <c r="K11" s="398">
        <v>189.0</v>
      </c>
      <c r="L11" s="245">
        <v>10.0</v>
      </c>
      <c r="P11" s="36" t="e">
        <v>#N/A</v>
      </c>
      <c r="Q11" s="36"/>
    </row>
    <row r="12">
      <c r="A12" s="390" t="s">
        <v>7780</v>
      </c>
      <c r="I12" s="174"/>
      <c r="J12" s="391" t="s">
        <v>7780</v>
      </c>
      <c r="K12" s="392"/>
      <c r="L12" s="245">
        <v>189.0</v>
      </c>
      <c r="P12" s="18">
        <v>1.0</v>
      </c>
    </row>
    <row r="13">
      <c r="A13" s="390" t="s">
        <v>7781</v>
      </c>
      <c r="B13" s="11">
        <v>6132.0</v>
      </c>
      <c r="I13" s="174"/>
      <c r="J13" s="391" t="s">
        <v>7781</v>
      </c>
      <c r="K13" s="392"/>
      <c r="L13" s="245">
        <v>189.0</v>
      </c>
      <c r="P13" s="36" t="e">
        <v>#N/A</v>
      </c>
      <c r="Q13" s="36"/>
    </row>
    <row r="14">
      <c r="A14" s="390" t="s">
        <v>7782</v>
      </c>
      <c r="I14" s="174"/>
      <c r="J14" s="391" t="s">
        <v>7782</v>
      </c>
      <c r="K14" s="392"/>
      <c r="L14" s="245">
        <v>67227.0</v>
      </c>
      <c r="P14" s="18">
        <v>1.0</v>
      </c>
      <c r="Q14" s="399">
        <v>4193.0</v>
      </c>
    </row>
    <row r="15">
      <c r="A15" s="390" t="s">
        <v>7783</v>
      </c>
      <c r="B15" s="11">
        <v>6726.0</v>
      </c>
      <c r="I15" s="174"/>
      <c r="J15" s="391" t="s">
        <v>7783</v>
      </c>
      <c r="K15" s="392"/>
      <c r="L15" s="245">
        <v>7104.0</v>
      </c>
      <c r="P15" s="36" t="e">
        <v>#N/A</v>
      </c>
      <c r="Q15" s="36"/>
    </row>
    <row r="16">
      <c r="A16" s="390" t="s">
        <v>7784</v>
      </c>
      <c r="B16" s="11">
        <v>6726.0</v>
      </c>
      <c r="I16" s="174"/>
      <c r="J16" s="394" t="s">
        <v>7784</v>
      </c>
      <c r="K16" s="398">
        <v>7033.0</v>
      </c>
      <c r="L16" s="245">
        <v>1.0</v>
      </c>
      <c r="M16" s="59"/>
      <c r="P16" s="36" t="e">
        <v>#N/A</v>
      </c>
      <c r="Q16" s="36"/>
    </row>
    <row r="17">
      <c r="A17" s="390" t="s">
        <v>7785</v>
      </c>
      <c r="B17" s="11">
        <v>6726.0</v>
      </c>
      <c r="I17" s="174"/>
      <c r="J17" s="391" t="s">
        <v>7785</v>
      </c>
      <c r="K17" s="392"/>
      <c r="L17" s="245">
        <v>6772.0</v>
      </c>
      <c r="P17" s="36" t="e">
        <v>#N/A</v>
      </c>
      <c r="Q17" s="36"/>
    </row>
    <row r="18">
      <c r="A18" s="390" t="s">
        <v>7786</v>
      </c>
      <c r="I18" s="174"/>
      <c r="J18" s="391" t="s">
        <v>7786</v>
      </c>
      <c r="K18" s="392"/>
      <c r="L18" s="245">
        <v>5458.0</v>
      </c>
      <c r="P18" s="36" t="e">
        <v>#N/A</v>
      </c>
      <c r="Q18" s="36"/>
    </row>
    <row r="19">
      <c r="A19" s="390" t="s">
        <v>7787</v>
      </c>
      <c r="I19" s="174"/>
      <c r="J19" s="391" t="s">
        <v>7787</v>
      </c>
      <c r="K19" s="392"/>
      <c r="L19" s="245">
        <v>5458.0</v>
      </c>
      <c r="P19" s="36" t="e">
        <v>#N/A</v>
      </c>
      <c r="Q19" s="36"/>
    </row>
    <row r="20">
      <c r="A20" s="390" t="s">
        <v>7788</v>
      </c>
      <c r="B20" s="11">
        <v>6728.0</v>
      </c>
      <c r="I20" s="174"/>
      <c r="J20" s="391" t="s">
        <v>7788</v>
      </c>
      <c r="K20" s="392"/>
      <c r="L20" s="245">
        <v>767.0</v>
      </c>
      <c r="P20" s="36" t="e">
        <v>#N/A</v>
      </c>
      <c r="Q20" s="98">
        <v>5458.0</v>
      </c>
    </row>
    <row r="21">
      <c r="A21" s="390" t="s">
        <v>7789</v>
      </c>
      <c r="I21" s="174"/>
      <c r="J21" s="394" t="s">
        <v>7789</v>
      </c>
      <c r="K21" s="398">
        <v>7142.0</v>
      </c>
      <c r="L21" s="245">
        <v>1.0</v>
      </c>
      <c r="M21" s="59"/>
      <c r="P21" s="36" t="e">
        <v>#N/A</v>
      </c>
      <c r="Q21" s="36"/>
    </row>
    <row r="22">
      <c r="A22" s="390" t="s">
        <v>7790</v>
      </c>
      <c r="I22" s="174"/>
      <c r="J22" s="391" t="s">
        <v>7790</v>
      </c>
      <c r="K22" s="392"/>
      <c r="L22" s="245">
        <v>13829.0</v>
      </c>
      <c r="P22" s="18">
        <v>1.0</v>
      </c>
      <c r="Q22" s="11">
        <v>7010.0</v>
      </c>
    </row>
    <row r="23">
      <c r="A23" s="390" t="s">
        <v>7791</v>
      </c>
      <c r="I23" s="174"/>
      <c r="J23" s="394" t="s">
        <v>7791</v>
      </c>
      <c r="K23" s="398">
        <v>6873.0</v>
      </c>
      <c r="L23" s="245">
        <v>1.0</v>
      </c>
      <c r="P23" s="36" t="e">
        <v>#N/A</v>
      </c>
      <c r="Q23" s="36"/>
    </row>
    <row r="24">
      <c r="A24" s="390" t="s">
        <v>7792</v>
      </c>
      <c r="I24" s="174"/>
      <c r="J24" s="394" t="s">
        <v>7792</v>
      </c>
      <c r="K24" s="398">
        <v>2345.0</v>
      </c>
      <c r="L24" s="245">
        <v>103.0</v>
      </c>
      <c r="P24" s="36" t="e">
        <v>#N/A</v>
      </c>
      <c r="Q24" s="36"/>
    </row>
    <row r="25">
      <c r="A25" s="390" t="s">
        <v>7793</v>
      </c>
      <c r="B25" s="11">
        <v>14638.0</v>
      </c>
      <c r="I25" s="174"/>
      <c r="J25" s="391" t="s">
        <v>7793</v>
      </c>
      <c r="K25" s="392"/>
      <c r="L25" s="245">
        <v>14065.0</v>
      </c>
      <c r="P25" s="18">
        <v>1.0</v>
      </c>
    </row>
    <row r="26">
      <c r="A26" s="390" t="s">
        <v>7794</v>
      </c>
      <c r="I26" s="174"/>
      <c r="J26" s="391" t="s">
        <v>7794</v>
      </c>
      <c r="K26" s="392"/>
      <c r="L26" s="245">
        <v>6995.0</v>
      </c>
      <c r="P26" s="36" t="e">
        <v>#N/A</v>
      </c>
      <c r="Q26" s="36"/>
    </row>
    <row r="27">
      <c r="A27" s="390" t="s">
        <v>7795</v>
      </c>
      <c r="B27" s="11">
        <v>3142.0</v>
      </c>
      <c r="I27" s="174"/>
      <c r="J27" s="394" t="s">
        <v>7795</v>
      </c>
      <c r="K27" s="398">
        <v>3142.0</v>
      </c>
      <c r="L27" s="245">
        <v>11.0</v>
      </c>
      <c r="P27" s="36" t="e">
        <v>#N/A</v>
      </c>
      <c r="Q27" s="36"/>
    </row>
    <row r="28">
      <c r="A28" s="390" t="s">
        <v>7796</v>
      </c>
      <c r="I28" s="174"/>
      <c r="J28" s="394" t="s">
        <v>7796</v>
      </c>
      <c r="K28" s="398">
        <v>8486.0</v>
      </c>
      <c r="L28" s="245">
        <v>18.0</v>
      </c>
      <c r="P28" s="18">
        <v>1.0</v>
      </c>
    </row>
    <row r="29">
      <c r="A29" s="390" t="s">
        <v>7797</v>
      </c>
      <c r="I29" s="174"/>
      <c r="J29" s="394" t="s">
        <v>7797</v>
      </c>
      <c r="K29" s="398">
        <v>3607.0</v>
      </c>
      <c r="L29" s="245">
        <v>21.0</v>
      </c>
      <c r="P29" s="18">
        <v>1.0</v>
      </c>
    </row>
    <row r="30">
      <c r="A30" s="390" t="s">
        <v>7798</v>
      </c>
      <c r="I30" s="174"/>
      <c r="J30" s="394" t="s">
        <v>7798</v>
      </c>
      <c r="K30" s="398">
        <v>3607.0</v>
      </c>
      <c r="L30" s="245">
        <v>25.0</v>
      </c>
      <c r="P30" s="18">
        <v>1.0</v>
      </c>
    </row>
    <row r="31">
      <c r="A31" s="390" t="s">
        <v>7799</v>
      </c>
      <c r="I31" s="174"/>
      <c r="J31" s="391" t="s">
        <v>7799</v>
      </c>
      <c r="K31" s="392"/>
      <c r="L31" s="245">
        <v>6671.0</v>
      </c>
      <c r="P31" s="18">
        <v>1.0</v>
      </c>
    </row>
    <row r="32">
      <c r="A32" s="390" t="s">
        <v>7800</v>
      </c>
      <c r="I32" s="174"/>
      <c r="J32" s="391" t="s">
        <v>7800</v>
      </c>
      <c r="K32" s="392"/>
      <c r="L32" s="245">
        <v>67227.0</v>
      </c>
      <c r="P32" s="36" t="e">
        <v>#N/A</v>
      </c>
      <c r="Q32" s="36"/>
    </row>
    <row r="33">
      <c r="A33" s="390" t="s">
        <v>7801</v>
      </c>
      <c r="I33" s="174"/>
      <c r="J33" s="394" t="s">
        <v>7801</v>
      </c>
      <c r="K33" s="398">
        <v>3607.0</v>
      </c>
      <c r="L33" s="245">
        <v>95.0</v>
      </c>
      <c r="P33" s="36" t="e">
        <v>#N/A</v>
      </c>
      <c r="Q33" s="36"/>
    </row>
    <row r="34">
      <c r="A34" s="390" t="s">
        <v>7802</v>
      </c>
      <c r="I34" s="174"/>
      <c r="J34" s="391" t="s">
        <v>7802</v>
      </c>
      <c r="K34" s="11">
        <v>6924.0</v>
      </c>
      <c r="L34" s="392">
        <v>986.0</v>
      </c>
      <c r="P34" s="18">
        <v>1.0</v>
      </c>
    </row>
    <row r="35">
      <c r="A35" s="390" t="s">
        <v>7803</v>
      </c>
      <c r="B35" s="11">
        <v>6772.0</v>
      </c>
      <c r="I35" s="174"/>
      <c r="J35" s="394" t="s">
        <v>7803</v>
      </c>
      <c r="K35" s="398">
        <v>986.0</v>
      </c>
      <c r="L35" s="245">
        <v>65.0</v>
      </c>
      <c r="P35" s="36" t="e">
        <v>#N/A</v>
      </c>
      <c r="Q35" s="36"/>
    </row>
    <row r="36">
      <c r="A36" s="390" t="s">
        <v>7804</v>
      </c>
      <c r="J36" s="391" t="s">
        <v>7804</v>
      </c>
      <c r="K36" s="392"/>
      <c r="L36" s="245">
        <v>986.0</v>
      </c>
      <c r="P36" s="18">
        <v>1.0</v>
      </c>
    </row>
    <row r="37">
      <c r="A37" s="390" t="s">
        <v>7805</v>
      </c>
      <c r="J37" s="391" t="s">
        <v>7805</v>
      </c>
      <c r="K37" s="392"/>
      <c r="L37" s="245">
        <v>986.0</v>
      </c>
      <c r="P37" s="36" t="e">
        <v>#N/A</v>
      </c>
      <c r="Q37" s="36"/>
    </row>
    <row r="38">
      <c r="A38" s="390" t="s">
        <v>7806</v>
      </c>
      <c r="J38" s="391" t="s">
        <v>7806</v>
      </c>
      <c r="K38" s="392"/>
      <c r="L38" s="245">
        <v>986.0</v>
      </c>
      <c r="P38" s="36" t="e">
        <v>#N/A</v>
      </c>
      <c r="Q38" s="36"/>
    </row>
    <row r="39">
      <c r="A39" s="390" t="s">
        <v>7807</v>
      </c>
      <c r="J39" s="394" t="s">
        <v>7807</v>
      </c>
      <c r="K39" s="398">
        <v>986.0</v>
      </c>
      <c r="L39" s="245">
        <v>31.0</v>
      </c>
      <c r="M39" s="59"/>
      <c r="P39" s="36" t="e">
        <v>#N/A</v>
      </c>
      <c r="Q39" s="36"/>
    </row>
    <row r="40">
      <c r="A40" s="390" t="s">
        <v>7808</v>
      </c>
      <c r="J40" s="391" t="s">
        <v>7808</v>
      </c>
      <c r="K40" s="392"/>
      <c r="L40" s="245">
        <v>986.0</v>
      </c>
      <c r="P40" s="18">
        <v>1.0</v>
      </c>
    </row>
    <row r="41">
      <c r="A41" s="390" t="s">
        <v>7809</v>
      </c>
      <c r="J41" s="394" t="s">
        <v>7809</v>
      </c>
      <c r="K41" s="398">
        <v>12941.0</v>
      </c>
      <c r="L41" s="245">
        <v>38.0</v>
      </c>
      <c r="P41" s="36" t="e">
        <v>#N/A</v>
      </c>
      <c r="Q41" s="36"/>
    </row>
    <row r="42">
      <c r="A42" s="390" t="s">
        <v>7810</v>
      </c>
      <c r="J42" s="394" t="s">
        <v>7810</v>
      </c>
      <c r="K42" s="398">
        <v>12941.0</v>
      </c>
      <c r="L42" s="245">
        <v>12.0</v>
      </c>
      <c r="P42" s="18">
        <v>1.0</v>
      </c>
    </row>
    <row r="43">
      <c r="A43" s="390" t="s">
        <v>7811</v>
      </c>
      <c r="J43" s="394" t="s">
        <v>7811</v>
      </c>
      <c r="K43" s="398">
        <v>12941.0</v>
      </c>
      <c r="L43" s="245">
        <v>11.0</v>
      </c>
      <c r="M43" s="11" t="s">
        <v>7812</v>
      </c>
      <c r="N43" s="11"/>
      <c r="O43" s="11"/>
      <c r="P43" s="18">
        <v>1.0</v>
      </c>
    </row>
    <row r="44">
      <c r="A44" s="390" t="s">
        <v>7813</v>
      </c>
      <c r="J44" s="391" t="s">
        <v>7813</v>
      </c>
      <c r="K44" s="392"/>
      <c r="L44" s="245">
        <v>12941.0</v>
      </c>
      <c r="N44" s="11"/>
      <c r="O44" s="11"/>
      <c r="P44" s="18">
        <v>1.0</v>
      </c>
    </row>
    <row r="45">
      <c r="A45" s="390" t="s">
        <v>7814</v>
      </c>
      <c r="J45" s="391" t="s">
        <v>7814</v>
      </c>
      <c r="K45" s="392"/>
      <c r="L45" s="245">
        <v>12941.0</v>
      </c>
      <c r="N45" s="11"/>
      <c r="O45" s="11"/>
      <c r="P45" s="36" t="e">
        <v>#N/A</v>
      </c>
      <c r="Q45" s="36"/>
    </row>
    <row r="46">
      <c r="A46" s="390" t="s">
        <v>7815</v>
      </c>
      <c r="J46" s="391" t="s">
        <v>7815</v>
      </c>
      <c r="K46" s="392"/>
      <c r="L46" s="245">
        <v>6272.0</v>
      </c>
      <c r="P46" s="36" t="e">
        <v>#N/A</v>
      </c>
      <c r="Q46" s="36"/>
    </row>
    <row r="47">
      <c r="A47" s="390" t="s">
        <v>7816</v>
      </c>
      <c r="J47" s="394" t="s">
        <v>7816</v>
      </c>
      <c r="K47" s="398">
        <v>6947.0</v>
      </c>
      <c r="L47" s="245">
        <v>8.0</v>
      </c>
      <c r="P47" s="36" t="e">
        <v>#N/A</v>
      </c>
      <c r="Q47" s="36"/>
    </row>
    <row r="48">
      <c r="A48" s="390" t="s">
        <v>7817</v>
      </c>
      <c r="J48" s="391" t="s">
        <v>7817</v>
      </c>
      <c r="K48" s="392"/>
      <c r="L48" s="245">
        <v>8486.0</v>
      </c>
      <c r="P48" s="18">
        <v>1.0</v>
      </c>
    </row>
    <row r="49">
      <c r="A49" s="390" t="s">
        <v>7818</v>
      </c>
      <c r="J49" s="391" t="s">
        <v>7818</v>
      </c>
      <c r="K49" s="392"/>
      <c r="L49" s="245">
        <v>7031.0</v>
      </c>
      <c r="P49" s="36" t="e">
        <v>#N/A</v>
      </c>
      <c r="Q49" s="36"/>
    </row>
    <row r="50">
      <c r="A50" s="390" t="s">
        <v>7819</v>
      </c>
      <c r="J50" s="394" t="s">
        <v>7819</v>
      </c>
      <c r="K50" s="398">
        <v>986.0</v>
      </c>
      <c r="L50" s="245">
        <v>2.0</v>
      </c>
      <c r="P50" s="36" t="e">
        <v>#N/A</v>
      </c>
      <c r="Q50" s="36"/>
    </row>
    <row r="51">
      <c r="A51" s="390" t="s">
        <v>7820</v>
      </c>
      <c r="J51" s="391" t="s">
        <v>7820</v>
      </c>
      <c r="K51" s="392"/>
      <c r="L51" s="245">
        <v>986.0</v>
      </c>
      <c r="P51" s="18">
        <v>1.0</v>
      </c>
    </row>
    <row r="52">
      <c r="A52" s="390" t="s">
        <v>7821</v>
      </c>
      <c r="J52" s="391" t="s">
        <v>7821</v>
      </c>
      <c r="K52" s="392"/>
      <c r="L52" s="245">
        <v>9746.0</v>
      </c>
      <c r="P52" s="36" t="e">
        <v>#N/A</v>
      </c>
      <c r="Q52" s="36"/>
    </row>
    <row r="53">
      <c r="A53" s="390" t="s">
        <v>7822</v>
      </c>
      <c r="B53" s="11">
        <v>6675.0</v>
      </c>
      <c r="J53" s="394" t="s">
        <v>7822</v>
      </c>
      <c r="K53" s="398">
        <v>986.0</v>
      </c>
      <c r="L53" s="245">
        <v>5.0</v>
      </c>
      <c r="P53" s="36" t="e">
        <v>#N/A</v>
      </c>
      <c r="Q53" s="36"/>
    </row>
    <row r="54">
      <c r="A54" s="390" t="s">
        <v>7823</v>
      </c>
      <c r="J54" s="394" t="s">
        <v>7823</v>
      </c>
      <c r="K54" s="398">
        <v>663.0</v>
      </c>
      <c r="L54" s="245">
        <v>2.0</v>
      </c>
      <c r="M54" s="59"/>
      <c r="P54" s="18">
        <v>1.0</v>
      </c>
    </row>
    <row r="55">
      <c r="A55" s="390" t="s">
        <v>7824</v>
      </c>
      <c r="J55" s="391" t="s">
        <v>7824</v>
      </c>
      <c r="K55" s="392"/>
      <c r="L55" s="245">
        <v>663.0</v>
      </c>
      <c r="P55" s="18">
        <v>1.0</v>
      </c>
    </row>
    <row r="56">
      <c r="A56" s="390" t="s">
        <v>7825</v>
      </c>
      <c r="J56" s="391" t="s">
        <v>7825</v>
      </c>
      <c r="K56" s="392"/>
      <c r="L56" s="245">
        <v>12941.0</v>
      </c>
      <c r="P56" s="18">
        <v>1.0</v>
      </c>
    </row>
    <row r="57">
      <c r="A57" s="390" t="s">
        <v>7826</v>
      </c>
      <c r="J57" s="391" t="s">
        <v>7826</v>
      </c>
      <c r="K57" s="392"/>
      <c r="L57" s="245">
        <v>12941.0</v>
      </c>
      <c r="P57" s="36" t="e">
        <v>#N/A</v>
      </c>
      <c r="Q57" s="36"/>
    </row>
    <row r="58">
      <c r="A58" s="390" t="s">
        <v>7827</v>
      </c>
      <c r="J58" s="391" t="s">
        <v>7827</v>
      </c>
      <c r="K58" s="392"/>
      <c r="L58" s="245">
        <v>12941.0</v>
      </c>
      <c r="P58" s="36" t="e">
        <v>#N/A</v>
      </c>
      <c r="Q58" s="36"/>
    </row>
    <row r="59">
      <c r="A59" s="390" t="s">
        <v>7828</v>
      </c>
      <c r="J59" s="391" t="s">
        <v>7828</v>
      </c>
      <c r="K59" s="392"/>
      <c r="L59" s="245">
        <v>6924.0</v>
      </c>
      <c r="P59" s="36" t="e">
        <v>#N/A</v>
      </c>
      <c r="Q59" s="36"/>
    </row>
    <row r="60">
      <c r="A60" s="390" t="s">
        <v>7829</v>
      </c>
      <c r="J60" s="391" t="s">
        <v>7829</v>
      </c>
      <c r="K60" s="392"/>
      <c r="L60" s="245">
        <v>3607.0</v>
      </c>
      <c r="P60" s="36" t="e">
        <v>#N/A</v>
      </c>
      <c r="Q60" s="36"/>
    </row>
    <row r="61">
      <c r="A61" s="390" t="s">
        <v>7830</v>
      </c>
      <c r="J61" s="391" t="s">
        <v>7830</v>
      </c>
      <c r="K61" s="392"/>
      <c r="L61" s="245">
        <v>67227.0</v>
      </c>
      <c r="P61" s="36" t="e">
        <v>#N/A</v>
      </c>
      <c r="Q61" s="98">
        <v>7083.0</v>
      </c>
    </row>
    <row r="62">
      <c r="A62" s="390" t="s">
        <v>7831</v>
      </c>
      <c r="J62" s="394" t="s">
        <v>7831</v>
      </c>
      <c r="K62" s="398">
        <v>3607.0</v>
      </c>
      <c r="L62" s="245">
        <v>32.0</v>
      </c>
      <c r="P62" s="36" t="e">
        <v>#N/A</v>
      </c>
      <c r="Q62" s="36"/>
    </row>
    <row r="63">
      <c r="A63" s="390" t="s">
        <v>7832</v>
      </c>
      <c r="J63" s="391" t="s">
        <v>7832</v>
      </c>
      <c r="K63" s="392"/>
      <c r="L63" s="245">
        <v>3607.0</v>
      </c>
      <c r="M63" s="59"/>
      <c r="P63" s="18">
        <v>1.0</v>
      </c>
    </row>
    <row r="64">
      <c r="A64" s="390" t="s">
        <v>7833</v>
      </c>
      <c r="J64" s="394" t="s">
        <v>7833</v>
      </c>
      <c r="K64" s="398">
        <v>7157.0</v>
      </c>
      <c r="L64" s="245">
        <v>1.0</v>
      </c>
      <c r="P64" s="36" t="e">
        <v>#N/A</v>
      </c>
      <c r="Q64" s="36"/>
    </row>
    <row r="65">
      <c r="A65" s="390" t="s">
        <v>7834</v>
      </c>
      <c r="J65" s="391" t="s">
        <v>7834</v>
      </c>
      <c r="K65" s="392"/>
      <c r="L65" s="245">
        <v>6875.0</v>
      </c>
      <c r="P65" s="18">
        <v>1.0</v>
      </c>
    </row>
    <row r="66">
      <c r="A66" s="390" t="s">
        <v>7835</v>
      </c>
      <c r="B66" s="11">
        <v>6732.0</v>
      </c>
      <c r="J66" s="394" t="s">
        <v>7835</v>
      </c>
      <c r="K66" s="398">
        <v>7100.0</v>
      </c>
      <c r="L66" s="245">
        <v>2.0</v>
      </c>
      <c r="P66" s="36" t="e">
        <v>#N/A</v>
      </c>
      <c r="Q66" s="36"/>
    </row>
    <row r="67">
      <c r="A67" s="390" t="s">
        <v>7836</v>
      </c>
      <c r="B67" s="11">
        <v>6732.0</v>
      </c>
      <c r="J67" s="391" t="s">
        <v>7836</v>
      </c>
      <c r="K67" s="11">
        <v>14480.0</v>
      </c>
      <c r="L67" s="245">
        <v>6675.0</v>
      </c>
      <c r="P67" s="18">
        <v>1.0</v>
      </c>
    </row>
    <row r="68">
      <c r="A68" s="390" t="s">
        <v>7837</v>
      </c>
      <c r="B68" s="11">
        <v>6732.0</v>
      </c>
      <c r="J68" s="391" t="s">
        <v>7837</v>
      </c>
      <c r="K68" s="392"/>
      <c r="L68" s="245">
        <v>2345.0</v>
      </c>
      <c r="P68" s="36" t="e">
        <v>#N/A</v>
      </c>
      <c r="Q68" s="36"/>
    </row>
    <row r="69">
      <c r="A69" s="390" t="s">
        <v>7838</v>
      </c>
      <c r="J69" s="394" t="s">
        <v>7838</v>
      </c>
      <c r="K69" s="398">
        <v>2345.0</v>
      </c>
      <c r="L69" s="245">
        <v>49.0</v>
      </c>
      <c r="M69" s="59"/>
      <c r="P69" s="36" t="e">
        <v>#N/A</v>
      </c>
      <c r="Q69" s="36"/>
    </row>
    <row r="70">
      <c r="A70" s="390" t="s">
        <v>7839</v>
      </c>
      <c r="J70" s="391" t="s">
        <v>7839</v>
      </c>
      <c r="K70" s="392"/>
      <c r="L70" s="245">
        <v>8199.0</v>
      </c>
      <c r="P70" s="18">
        <v>1.0</v>
      </c>
    </row>
    <row r="71">
      <c r="A71" s="390" t="s">
        <v>7840</v>
      </c>
      <c r="J71" s="391" t="s">
        <v>7840</v>
      </c>
      <c r="K71" s="392"/>
      <c r="L71" s="245">
        <v>8199.0</v>
      </c>
      <c r="P71" s="18">
        <v>1.0</v>
      </c>
    </row>
    <row r="72">
      <c r="A72" s="390" t="s">
        <v>7841</v>
      </c>
      <c r="J72" s="391" t="s">
        <v>7841</v>
      </c>
      <c r="K72" s="400"/>
      <c r="L72" s="245">
        <v>2345.0</v>
      </c>
      <c r="P72" s="36" t="e">
        <v>#N/A</v>
      </c>
      <c r="Q72" s="36"/>
    </row>
    <row r="73">
      <c r="A73" s="390" t="s">
        <v>7842</v>
      </c>
      <c r="J73" s="391" t="s">
        <v>7842</v>
      </c>
      <c r="K73" s="400"/>
      <c r="L73" s="245">
        <v>9307.0</v>
      </c>
      <c r="P73" s="36" t="e">
        <v>#N/A</v>
      </c>
      <c r="Q73" s="36"/>
    </row>
    <row r="74">
      <c r="A74" s="390" t="s">
        <v>7843</v>
      </c>
      <c r="B74" s="11">
        <v>14659.0</v>
      </c>
      <c r="J74" s="391" t="s">
        <v>7843</v>
      </c>
      <c r="K74" s="392"/>
      <c r="L74" s="245">
        <v>3607.0</v>
      </c>
      <c r="P74" s="36" t="e">
        <v>#N/A</v>
      </c>
      <c r="Q74" s="36"/>
    </row>
    <row r="75">
      <c r="A75" s="401" t="s">
        <v>7844</v>
      </c>
      <c r="B75" s="11">
        <v>14624.0</v>
      </c>
      <c r="J75" s="391" t="s">
        <v>7844</v>
      </c>
      <c r="K75" s="400"/>
      <c r="L75" s="245">
        <v>12609.0</v>
      </c>
      <c r="P75" s="36" t="e">
        <v>#N/A</v>
      </c>
      <c r="Q75" s="36"/>
    </row>
    <row r="76">
      <c r="A76" s="390" t="s">
        <v>7845</v>
      </c>
      <c r="J76" s="394" t="s">
        <v>7845</v>
      </c>
      <c r="K76" s="402">
        <v>9701.0</v>
      </c>
      <c r="L76" s="245">
        <v>2.0</v>
      </c>
      <c r="P76" s="36" t="e">
        <v>#N/A</v>
      </c>
      <c r="Q76" s="36"/>
    </row>
    <row r="77">
      <c r="A77" s="390" t="s">
        <v>7846</v>
      </c>
      <c r="J77" s="391" t="s">
        <v>7846</v>
      </c>
      <c r="K77" s="392"/>
      <c r="L77" s="245">
        <v>14292.0</v>
      </c>
      <c r="P77" s="18">
        <v>1.0</v>
      </c>
    </row>
    <row r="78">
      <c r="A78" s="390" t="s">
        <v>7847</v>
      </c>
      <c r="J78" s="394" t="s">
        <v>7847</v>
      </c>
      <c r="K78" s="402">
        <v>14482.0</v>
      </c>
      <c r="L78" s="245">
        <v>1.0</v>
      </c>
      <c r="P78" s="36" t="e">
        <v>#N/A</v>
      </c>
      <c r="Q78" s="36"/>
    </row>
    <row r="79">
      <c r="A79" s="390" t="s">
        <v>7848</v>
      </c>
      <c r="B79" s="11">
        <v>2345.0</v>
      </c>
      <c r="J79" s="391" t="s">
        <v>7848</v>
      </c>
      <c r="K79" s="392"/>
      <c r="L79" s="245">
        <v>3607.0</v>
      </c>
      <c r="P79" s="36" t="e">
        <v>#N/A</v>
      </c>
      <c r="Q79" s="36"/>
    </row>
    <row r="80">
      <c r="A80" s="390" t="s">
        <v>7849</v>
      </c>
      <c r="J80" s="394" t="s">
        <v>7849</v>
      </c>
      <c r="K80" s="398">
        <v>14292.0</v>
      </c>
      <c r="L80" s="245">
        <v>14.0</v>
      </c>
      <c r="P80" s="36" t="e">
        <v>#N/A</v>
      </c>
      <c r="Q80" s="36"/>
    </row>
    <row r="81">
      <c r="A81" s="390" t="s">
        <v>7850</v>
      </c>
      <c r="J81" s="391" t="s">
        <v>7850</v>
      </c>
      <c r="K81" s="392"/>
      <c r="L81" s="245">
        <v>67227.0</v>
      </c>
      <c r="P81" s="18">
        <v>1.0</v>
      </c>
      <c r="Q81" s="403">
        <v>5389.0</v>
      </c>
    </row>
    <row r="82">
      <c r="A82" s="390" t="s">
        <v>7851</v>
      </c>
      <c r="B82" s="11">
        <v>6675.0</v>
      </c>
      <c r="J82" s="391" t="s">
        <v>7851</v>
      </c>
      <c r="K82" s="97">
        <v>6697.0</v>
      </c>
      <c r="L82" s="392">
        <v>283.0</v>
      </c>
      <c r="P82" s="36" t="e">
        <v>#N/A</v>
      </c>
      <c r="Q82" s="36"/>
    </row>
    <row r="83">
      <c r="A83" s="390" t="s">
        <v>7852</v>
      </c>
      <c r="J83" s="391" t="s">
        <v>7852</v>
      </c>
      <c r="K83" s="392">
        <v>12550.0</v>
      </c>
      <c r="L83" s="245">
        <v>12550.0</v>
      </c>
      <c r="P83" s="36" t="e">
        <v>#N/A</v>
      </c>
      <c r="Q83" s="36"/>
    </row>
    <row r="84">
      <c r="A84" s="390" t="s">
        <v>7853</v>
      </c>
      <c r="J84" s="394" t="s">
        <v>7853</v>
      </c>
      <c r="K84" s="398">
        <v>6924.0</v>
      </c>
      <c r="L84" s="245">
        <v>1.0</v>
      </c>
      <c r="P84" s="36" t="e">
        <v>#N/A</v>
      </c>
      <c r="Q84" s="36"/>
    </row>
    <row r="85">
      <c r="A85" s="390" t="s">
        <v>7854</v>
      </c>
      <c r="J85" s="391" t="s">
        <v>7854</v>
      </c>
      <c r="K85" s="392"/>
      <c r="L85" s="245">
        <v>6727.0</v>
      </c>
      <c r="P85" s="18">
        <v>1.0</v>
      </c>
      <c r="Q85" s="399">
        <v>6924.0</v>
      </c>
    </row>
    <row r="86">
      <c r="A86" s="390" t="s">
        <v>7855</v>
      </c>
      <c r="B86" s="11">
        <v>2345.0</v>
      </c>
      <c r="J86" s="391" t="s">
        <v>7855</v>
      </c>
      <c r="K86" s="392"/>
      <c r="L86" s="245">
        <v>6675.0</v>
      </c>
      <c r="P86" s="36" t="e">
        <v>#N/A</v>
      </c>
      <c r="Q86" s="36"/>
    </row>
    <row r="87">
      <c r="A87" s="390" t="s">
        <v>7856</v>
      </c>
      <c r="B87" s="11">
        <v>2345.0</v>
      </c>
      <c r="J87" s="394" t="s">
        <v>7856</v>
      </c>
      <c r="K87" s="398">
        <v>2345.0</v>
      </c>
      <c r="L87" s="245">
        <v>27.0</v>
      </c>
      <c r="M87" s="59"/>
      <c r="P87" s="36" t="e">
        <v>#N/A</v>
      </c>
      <c r="Q87" s="36"/>
    </row>
    <row r="88">
      <c r="A88" s="390" t="s">
        <v>7857</v>
      </c>
      <c r="J88" s="394" t="s">
        <v>7857</v>
      </c>
      <c r="K88" s="398">
        <v>6936.0</v>
      </c>
      <c r="L88" s="245">
        <v>1.0</v>
      </c>
      <c r="P88" s="18">
        <v>1.0</v>
      </c>
    </row>
    <row r="89">
      <c r="A89" s="390" t="s">
        <v>7858</v>
      </c>
      <c r="J89" s="391" t="s">
        <v>7858</v>
      </c>
      <c r="K89" s="392"/>
      <c r="L89" s="245">
        <v>6728.0</v>
      </c>
      <c r="P89" s="18">
        <v>1.0</v>
      </c>
    </row>
    <row r="90">
      <c r="A90" s="390" t="s">
        <v>7859</v>
      </c>
      <c r="J90" s="391" t="s">
        <v>7859</v>
      </c>
      <c r="K90" s="392"/>
      <c r="L90" s="245">
        <v>6675.0</v>
      </c>
      <c r="P90" s="36" t="e">
        <v>#N/A</v>
      </c>
      <c r="Q90" s="36"/>
    </row>
    <row r="91">
      <c r="A91" s="390" t="s">
        <v>7860</v>
      </c>
      <c r="J91" s="391" t="s">
        <v>7860</v>
      </c>
      <c r="K91" s="392"/>
      <c r="L91" s="245">
        <v>6675.0</v>
      </c>
      <c r="P91" s="36" t="e">
        <v>#N/A</v>
      </c>
      <c r="Q91" s="36"/>
    </row>
    <row r="92">
      <c r="A92" s="390" t="s">
        <v>7861</v>
      </c>
      <c r="J92" s="391" t="s">
        <v>7861</v>
      </c>
      <c r="K92" s="392"/>
      <c r="L92" s="245">
        <v>6829.0</v>
      </c>
      <c r="P92" s="36" t="e">
        <v>#N/A</v>
      </c>
      <c r="Q92" s="36"/>
    </row>
    <row r="93">
      <c r="A93" s="390" t="s">
        <v>7862</v>
      </c>
      <c r="J93" s="391" t="s">
        <v>7862</v>
      </c>
      <c r="K93" s="392"/>
      <c r="L93" s="245">
        <v>2345.0</v>
      </c>
      <c r="P93" s="36" t="e">
        <v>#N/A</v>
      </c>
      <c r="Q93" s="36"/>
    </row>
    <row r="94">
      <c r="A94" s="390" t="s">
        <v>7863</v>
      </c>
      <c r="J94" s="394" t="s">
        <v>7863</v>
      </c>
      <c r="K94" s="398">
        <v>6829.0</v>
      </c>
      <c r="L94" s="245">
        <v>1.0</v>
      </c>
      <c r="P94" s="36" t="e">
        <v>#N/A</v>
      </c>
      <c r="Q94" s="36"/>
    </row>
    <row r="95">
      <c r="A95" s="390" t="s">
        <v>7864</v>
      </c>
      <c r="J95" s="404" t="s">
        <v>7864</v>
      </c>
      <c r="K95" s="405">
        <v>13895.0</v>
      </c>
      <c r="L95" s="11" t="s">
        <v>207</v>
      </c>
      <c r="P95" s="18">
        <v>1.0</v>
      </c>
    </row>
    <row r="96">
      <c r="A96" s="401" t="s">
        <v>5645</v>
      </c>
      <c r="B96" s="11">
        <v>14679.0</v>
      </c>
      <c r="J96" s="404" t="s">
        <v>5645</v>
      </c>
      <c r="K96" s="7">
        <v>13811.0</v>
      </c>
      <c r="L96" s="11" t="s">
        <v>207</v>
      </c>
    </row>
    <row r="97">
      <c r="A97" s="390" t="s">
        <v>7865</v>
      </c>
      <c r="J97" s="404" t="s">
        <v>7865</v>
      </c>
      <c r="K97" s="7">
        <v>12277.0</v>
      </c>
      <c r="L97" s="11" t="s">
        <v>207</v>
      </c>
    </row>
    <row r="98">
      <c r="A98" s="390" t="s">
        <v>7866</v>
      </c>
      <c r="B98" s="11">
        <v>14540.0</v>
      </c>
      <c r="J98" s="404" t="s">
        <v>7866</v>
      </c>
      <c r="K98" s="7">
        <v>13956.0</v>
      </c>
      <c r="L98" s="11" t="s">
        <v>207</v>
      </c>
    </row>
    <row r="99">
      <c r="A99" s="390" t="s">
        <v>7867</v>
      </c>
      <c r="J99" s="404" t="s">
        <v>7867</v>
      </c>
      <c r="K99" s="7">
        <v>7416.0</v>
      </c>
      <c r="L99" s="11" t="s">
        <v>207</v>
      </c>
    </row>
    <row r="100">
      <c r="A100" s="390" t="s">
        <v>7868</v>
      </c>
      <c r="B100" s="11">
        <v>6668.0</v>
      </c>
      <c r="J100" s="404" t="s">
        <v>7868</v>
      </c>
      <c r="K100" s="66">
        <v>13987.0</v>
      </c>
      <c r="L100" s="11" t="s">
        <v>207</v>
      </c>
    </row>
    <row r="101">
      <c r="A101" s="390" t="s">
        <v>7869</v>
      </c>
      <c r="B101" s="11">
        <v>6668.0</v>
      </c>
      <c r="J101" s="404" t="s">
        <v>7869</v>
      </c>
      <c r="K101" s="7">
        <v>14031.0</v>
      </c>
      <c r="L101" s="11" t="s">
        <v>207</v>
      </c>
    </row>
  </sheetData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20.5"/>
    <col customWidth="1" min="5" max="5" width="26.13"/>
    <col hidden="1" min="12" max="13" width="12.63"/>
    <col customWidth="1" hidden="1" min="14" max="15" width="13.25"/>
    <col hidden="1" min="16" max="24" width="12.63"/>
  </cols>
  <sheetData>
    <row r="1">
      <c r="A1" s="387" t="s">
        <v>1654</v>
      </c>
      <c r="B1" s="406" t="s">
        <v>1</v>
      </c>
      <c r="C1" s="57"/>
      <c r="D1" s="55"/>
      <c r="E1" s="348"/>
      <c r="F1" s="349"/>
      <c r="G1" s="45"/>
      <c r="H1" s="45"/>
      <c r="I1" s="45"/>
      <c r="J1" s="45"/>
      <c r="K1" s="45"/>
      <c r="L1" s="407" t="s">
        <v>1654</v>
      </c>
      <c r="M1" s="408" t="s">
        <v>1</v>
      </c>
      <c r="O1" s="11" t="s">
        <v>252</v>
      </c>
    </row>
    <row r="2">
      <c r="A2" s="409" t="s">
        <v>7870</v>
      </c>
      <c r="B2" s="410">
        <v>6706.0</v>
      </c>
      <c r="C2" s="136"/>
      <c r="D2" s="45"/>
      <c r="E2" s="411"/>
      <c r="F2" s="348"/>
      <c r="G2" s="45"/>
      <c r="H2" s="45"/>
      <c r="I2" s="45"/>
      <c r="J2" s="45"/>
      <c r="K2" s="45"/>
      <c r="L2" s="412" t="s">
        <v>7770</v>
      </c>
      <c r="M2" s="399">
        <v>67227.0</v>
      </c>
    </row>
    <row r="3">
      <c r="A3" s="409" t="s">
        <v>7871</v>
      </c>
      <c r="B3" s="410">
        <v>6728.0</v>
      </c>
      <c r="C3" s="136"/>
      <c r="D3" s="45"/>
      <c r="E3" s="411"/>
      <c r="F3" s="348"/>
      <c r="G3" s="275"/>
      <c r="H3" s="270"/>
      <c r="I3" s="45"/>
      <c r="J3" s="45"/>
      <c r="K3" s="45"/>
      <c r="L3" s="412" t="s">
        <v>7771</v>
      </c>
      <c r="M3" s="399">
        <v>6729.0</v>
      </c>
      <c r="N3" s="18">
        <v>1.0</v>
      </c>
    </row>
    <row r="4">
      <c r="A4" s="409" t="s">
        <v>7872</v>
      </c>
      <c r="B4" s="25">
        <v>3607.0</v>
      </c>
      <c r="C4" s="136"/>
      <c r="D4" s="274"/>
      <c r="E4" s="411"/>
      <c r="F4" s="321"/>
      <c r="G4" s="275"/>
      <c r="H4" s="270"/>
      <c r="I4" s="45"/>
      <c r="J4" s="45"/>
      <c r="K4" s="45"/>
      <c r="L4" s="413" t="s">
        <v>7772</v>
      </c>
      <c r="M4" s="35">
        <v>14337.0</v>
      </c>
      <c r="N4" s="36" t="e">
        <v>#N/A</v>
      </c>
      <c r="O4" s="98">
        <v>2345.0</v>
      </c>
    </row>
    <row r="5">
      <c r="A5" s="409" t="s">
        <v>7873</v>
      </c>
      <c r="B5" s="410">
        <v>6774.0</v>
      </c>
      <c r="C5" s="136"/>
      <c r="D5" s="45"/>
      <c r="E5" s="411"/>
      <c r="F5" s="321"/>
      <c r="G5" s="275"/>
      <c r="H5" s="270"/>
      <c r="I5" s="45"/>
      <c r="J5" s="45"/>
      <c r="K5" s="45"/>
      <c r="L5" s="412" t="s">
        <v>7773</v>
      </c>
      <c r="M5" s="399">
        <v>6675.0</v>
      </c>
      <c r="N5" s="18">
        <v>1.0</v>
      </c>
    </row>
    <row r="6">
      <c r="A6" s="409" t="s">
        <v>7874</v>
      </c>
      <c r="B6" s="410">
        <v>6675.0</v>
      </c>
      <c r="C6" s="136"/>
      <c r="D6" s="45"/>
      <c r="E6" s="411"/>
      <c r="F6" s="414"/>
      <c r="G6" s="275"/>
      <c r="H6" s="270"/>
      <c r="I6" s="45"/>
      <c r="J6" s="45"/>
      <c r="K6" s="45"/>
      <c r="L6" s="413" t="s">
        <v>7774</v>
      </c>
      <c r="M6" s="98">
        <v>6729.0</v>
      </c>
      <c r="N6" s="36" t="e">
        <v>#N/A</v>
      </c>
      <c r="O6" s="36"/>
    </row>
    <row r="7">
      <c r="A7" s="409" t="s">
        <v>7875</v>
      </c>
      <c r="B7" s="410">
        <v>6811.0</v>
      </c>
      <c r="C7" s="136"/>
      <c r="D7" s="45"/>
      <c r="E7" s="45"/>
      <c r="F7" s="45"/>
      <c r="G7" s="275"/>
      <c r="H7" s="270"/>
      <c r="I7" s="45"/>
      <c r="J7" s="45"/>
      <c r="K7" s="45"/>
      <c r="L7" s="413" t="s">
        <v>7775</v>
      </c>
      <c r="M7" s="98">
        <v>2345.0</v>
      </c>
      <c r="N7" s="36" t="e">
        <v>#N/A</v>
      </c>
      <c r="O7" s="36"/>
    </row>
    <row r="8">
      <c r="A8" s="409" t="s">
        <v>7876</v>
      </c>
      <c r="B8" s="410">
        <v>6132.0</v>
      </c>
      <c r="C8" s="136"/>
      <c r="D8" s="45"/>
      <c r="E8" s="45"/>
      <c r="F8" s="45"/>
      <c r="G8" s="275"/>
      <c r="H8" s="270"/>
      <c r="I8" s="45"/>
      <c r="J8" s="45"/>
      <c r="K8" s="45"/>
      <c r="L8" s="413" t="s">
        <v>7776</v>
      </c>
      <c r="M8" s="98">
        <v>67227.0</v>
      </c>
      <c r="N8" s="36" t="e">
        <v>#N/A</v>
      </c>
      <c r="O8" s="98">
        <v>6903.0</v>
      </c>
    </row>
    <row r="9">
      <c r="A9" s="409" t="s">
        <v>7877</v>
      </c>
      <c r="B9" s="410">
        <v>7033.0</v>
      </c>
      <c r="C9" s="136"/>
      <c r="D9" s="274"/>
      <c r="E9" s="45"/>
      <c r="F9" s="45"/>
      <c r="G9" s="275"/>
      <c r="H9" s="270"/>
      <c r="I9" s="45"/>
      <c r="J9" s="45"/>
      <c r="K9" s="45"/>
      <c r="L9" s="413" t="s">
        <v>7777</v>
      </c>
      <c r="M9" s="98">
        <v>67227.0</v>
      </c>
      <c r="N9" s="36" t="e">
        <v>#N/A</v>
      </c>
      <c r="O9" s="98">
        <v>6669.0</v>
      </c>
    </row>
    <row r="10">
      <c r="A10" s="409" t="s">
        <v>7878</v>
      </c>
      <c r="B10" s="410">
        <v>6829.0</v>
      </c>
      <c r="C10" s="136"/>
      <c r="D10" s="45"/>
      <c r="E10" s="45"/>
      <c r="F10" s="45"/>
      <c r="G10" s="275"/>
      <c r="H10" s="270"/>
      <c r="I10" s="45"/>
      <c r="J10" s="45"/>
      <c r="K10" s="45"/>
      <c r="L10" s="413" t="s">
        <v>7778</v>
      </c>
      <c r="M10" s="98">
        <v>2345.0</v>
      </c>
      <c r="N10" s="36" t="e">
        <v>#N/A</v>
      </c>
      <c r="O10" s="36"/>
    </row>
    <row r="11">
      <c r="A11" s="409" t="s">
        <v>7879</v>
      </c>
      <c r="B11" s="410">
        <v>189.0</v>
      </c>
      <c r="C11" s="136"/>
      <c r="D11" s="45"/>
      <c r="E11" s="45"/>
      <c r="F11" s="45"/>
      <c r="G11" s="275"/>
      <c r="H11" s="270"/>
      <c r="I11" s="45"/>
      <c r="J11" s="45"/>
      <c r="K11" s="45"/>
      <c r="L11" s="413" t="s">
        <v>7779</v>
      </c>
      <c r="M11" s="98">
        <v>189.0</v>
      </c>
      <c r="N11" s="36" t="e">
        <v>#N/A</v>
      </c>
      <c r="O11" s="36"/>
    </row>
    <row r="12">
      <c r="A12" s="409" t="s">
        <v>7880</v>
      </c>
      <c r="B12" s="410">
        <v>189.0</v>
      </c>
      <c r="C12" s="136"/>
      <c r="D12" s="45"/>
      <c r="E12" s="45"/>
      <c r="F12" s="45"/>
      <c r="G12" s="275"/>
      <c r="H12" s="270"/>
      <c r="I12" s="45"/>
      <c r="J12" s="45"/>
      <c r="K12" s="45"/>
      <c r="L12" s="412" t="s">
        <v>7780</v>
      </c>
      <c r="M12" s="399">
        <v>189.0</v>
      </c>
      <c r="N12" s="18">
        <v>1.0</v>
      </c>
    </row>
    <row r="13">
      <c r="A13" s="409" t="s">
        <v>7881</v>
      </c>
      <c r="B13" s="410">
        <v>189.0</v>
      </c>
      <c r="C13" s="136"/>
      <c r="D13" s="45"/>
      <c r="E13" s="45"/>
      <c r="F13" s="45"/>
      <c r="G13" s="275"/>
      <c r="H13" s="270"/>
      <c r="I13" s="45"/>
      <c r="J13" s="45"/>
      <c r="K13" s="45"/>
      <c r="L13" s="413" t="s">
        <v>7781</v>
      </c>
      <c r="M13" s="98">
        <v>189.0</v>
      </c>
      <c r="N13" s="36" t="e">
        <v>#N/A</v>
      </c>
      <c r="O13" s="36"/>
    </row>
    <row r="14">
      <c r="A14" s="409" t="s">
        <v>7882</v>
      </c>
      <c r="B14" s="410">
        <v>7031.0</v>
      </c>
      <c r="C14" s="136"/>
      <c r="D14" s="45"/>
      <c r="E14" s="45"/>
      <c r="F14" s="45"/>
      <c r="G14" s="275"/>
      <c r="H14" s="270"/>
      <c r="I14" s="45"/>
      <c r="J14" s="45"/>
      <c r="K14" s="45"/>
      <c r="L14" s="412" t="s">
        <v>7782</v>
      </c>
      <c r="M14" s="399">
        <v>67227.0</v>
      </c>
      <c r="N14" s="18">
        <v>1.0</v>
      </c>
      <c r="O14" s="399">
        <v>4193.0</v>
      </c>
    </row>
    <row r="15">
      <c r="A15" s="409" t="s">
        <v>7883</v>
      </c>
      <c r="B15" s="410">
        <v>6924.0</v>
      </c>
      <c r="C15" s="136"/>
      <c r="D15" s="45"/>
      <c r="E15" s="45"/>
      <c r="F15" s="45"/>
      <c r="G15" s="275"/>
      <c r="H15" s="270"/>
      <c r="I15" s="45"/>
      <c r="J15" s="45"/>
      <c r="K15" s="45"/>
      <c r="L15" s="413" t="s">
        <v>7783</v>
      </c>
      <c r="M15" s="98">
        <v>7104.0</v>
      </c>
      <c r="N15" s="36" t="e">
        <v>#N/A</v>
      </c>
      <c r="O15" s="36"/>
    </row>
    <row r="16">
      <c r="A16" s="409" t="s">
        <v>7884</v>
      </c>
      <c r="B16" s="410">
        <v>6924.0</v>
      </c>
      <c r="C16" s="136"/>
      <c r="D16" s="274"/>
      <c r="E16" s="45"/>
      <c r="F16" s="45"/>
      <c r="G16" s="275"/>
      <c r="H16" s="270"/>
      <c r="I16" s="45"/>
      <c r="J16" s="45"/>
      <c r="K16" s="45"/>
      <c r="L16" s="413" t="s">
        <v>7784</v>
      </c>
      <c r="M16" s="98">
        <v>7033.0</v>
      </c>
      <c r="N16" s="36" t="e">
        <v>#N/A</v>
      </c>
      <c r="O16" s="36"/>
    </row>
    <row r="17">
      <c r="A17" s="409" t="s">
        <v>7885</v>
      </c>
      <c r="B17" s="410">
        <v>7083.0</v>
      </c>
      <c r="C17" s="136"/>
      <c r="D17" s="45"/>
      <c r="E17" s="45"/>
      <c r="F17" s="45"/>
      <c r="G17" s="275"/>
      <c r="H17" s="270"/>
      <c r="I17" s="45"/>
      <c r="J17" s="45"/>
      <c r="K17" s="45"/>
      <c r="L17" s="413" t="s">
        <v>7785</v>
      </c>
      <c r="M17" s="98">
        <v>6772.0</v>
      </c>
      <c r="N17" s="36" t="e">
        <v>#N/A</v>
      </c>
      <c r="O17" s="36"/>
    </row>
    <row r="18">
      <c r="A18" s="409" t="s">
        <v>7886</v>
      </c>
      <c r="B18" s="410">
        <v>7083.0</v>
      </c>
      <c r="C18" s="136"/>
      <c r="D18" s="45"/>
      <c r="E18" s="45"/>
      <c r="F18" s="45"/>
      <c r="G18" s="275"/>
      <c r="H18" s="270"/>
      <c r="I18" s="45"/>
      <c r="J18" s="45"/>
      <c r="K18" s="45"/>
      <c r="L18" s="413" t="s">
        <v>7786</v>
      </c>
      <c r="M18" s="98">
        <v>5458.0</v>
      </c>
      <c r="N18" s="36" t="e">
        <v>#N/A</v>
      </c>
      <c r="O18" s="36"/>
    </row>
    <row r="19">
      <c r="A19" s="409" t="s">
        <v>7887</v>
      </c>
      <c r="B19" s="410">
        <v>8199.0</v>
      </c>
      <c r="C19" s="136"/>
      <c r="D19" s="45"/>
      <c r="E19" s="45"/>
      <c r="F19" s="45"/>
      <c r="G19" s="275"/>
      <c r="H19" s="270"/>
      <c r="I19" s="45"/>
      <c r="J19" s="45"/>
      <c r="K19" s="45"/>
      <c r="L19" s="413" t="s">
        <v>7787</v>
      </c>
      <c r="M19" s="98">
        <v>5458.0</v>
      </c>
      <c r="N19" s="36" t="e">
        <v>#N/A</v>
      </c>
      <c r="O19" s="36"/>
    </row>
    <row r="20">
      <c r="A20" s="409" t="s">
        <v>7888</v>
      </c>
      <c r="B20" s="410">
        <v>9307.0</v>
      </c>
      <c r="C20" s="136"/>
      <c r="D20" s="45"/>
      <c r="E20" s="45"/>
      <c r="F20" s="45"/>
      <c r="G20" s="275"/>
      <c r="H20" s="270"/>
      <c r="I20" s="45"/>
      <c r="J20" s="45"/>
      <c r="K20" s="45"/>
      <c r="L20" s="413" t="s">
        <v>7788</v>
      </c>
      <c r="M20" s="98">
        <v>767.0</v>
      </c>
      <c r="N20" s="36" t="e">
        <v>#N/A</v>
      </c>
      <c r="O20" s="98">
        <v>5458.0</v>
      </c>
    </row>
    <row r="21">
      <c r="A21" s="409" t="s">
        <v>7889</v>
      </c>
      <c r="B21" s="410">
        <v>2345.0</v>
      </c>
      <c r="C21" s="136"/>
      <c r="D21" s="274"/>
      <c r="E21" s="45"/>
      <c r="F21" s="45"/>
      <c r="G21" s="275"/>
      <c r="H21" s="270"/>
      <c r="I21" s="45"/>
      <c r="J21" s="45"/>
      <c r="K21" s="45"/>
      <c r="L21" s="413" t="s">
        <v>7789</v>
      </c>
      <c r="M21" s="98">
        <v>7142.0</v>
      </c>
      <c r="N21" s="36" t="e">
        <v>#N/A</v>
      </c>
      <c r="O21" s="36"/>
    </row>
    <row r="22">
      <c r="A22" s="409" t="s">
        <v>7890</v>
      </c>
      <c r="B22" s="410">
        <v>14298.0</v>
      </c>
      <c r="C22" s="136"/>
      <c r="D22" s="45"/>
      <c r="E22" s="45"/>
      <c r="F22" s="45"/>
      <c r="G22" s="275"/>
      <c r="H22" s="270"/>
      <c r="I22" s="45"/>
      <c r="J22" s="45"/>
      <c r="K22" s="45"/>
      <c r="L22" s="412" t="s">
        <v>7790</v>
      </c>
      <c r="M22" s="399">
        <v>13829.0</v>
      </c>
      <c r="N22" s="18">
        <v>1.0</v>
      </c>
      <c r="O22" s="11">
        <v>7010.0</v>
      </c>
    </row>
    <row r="23">
      <c r="A23" s="409" t="s">
        <v>7891</v>
      </c>
      <c r="B23" s="410">
        <v>14465.0</v>
      </c>
      <c r="C23" s="136"/>
      <c r="D23" s="45"/>
      <c r="E23" s="45"/>
      <c r="F23" s="45"/>
      <c r="G23" s="275"/>
      <c r="H23" s="270"/>
      <c r="I23" s="45"/>
      <c r="J23" s="45"/>
      <c r="K23" s="45"/>
      <c r="L23" s="413" t="s">
        <v>7791</v>
      </c>
      <c r="M23" s="98">
        <v>6873.0</v>
      </c>
      <c r="N23" s="36" t="e">
        <v>#N/A</v>
      </c>
      <c r="O23" s="36"/>
    </row>
    <row r="24">
      <c r="A24" s="409" t="s">
        <v>7892</v>
      </c>
      <c r="B24" s="410">
        <v>12932.0</v>
      </c>
      <c r="C24" s="136"/>
      <c r="D24" s="45"/>
      <c r="E24" s="45"/>
      <c r="F24" s="45"/>
      <c r="G24" s="275"/>
      <c r="H24" s="270"/>
      <c r="I24" s="45"/>
      <c r="J24" s="45"/>
      <c r="K24" s="45"/>
      <c r="L24" s="413" t="s">
        <v>7792</v>
      </c>
      <c r="M24" s="98">
        <v>2345.0</v>
      </c>
      <c r="N24" s="36" t="e">
        <v>#N/A</v>
      </c>
      <c r="O24" s="36"/>
    </row>
    <row r="25">
      <c r="A25" s="409" t="s">
        <v>7893</v>
      </c>
      <c r="B25" s="410">
        <v>6669.0</v>
      </c>
      <c r="C25" s="136"/>
      <c r="D25" s="45"/>
      <c r="E25" s="45"/>
      <c r="F25" s="45"/>
      <c r="G25" s="275"/>
      <c r="H25" s="270"/>
      <c r="I25" s="45"/>
      <c r="J25" s="45"/>
      <c r="K25" s="45"/>
      <c r="L25" s="412" t="s">
        <v>7793</v>
      </c>
      <c r="M25" s="399">
        <v>14065.0</v>
      </c>
      <c r="N25" s="18">
        <v>1.0</v>
      </c>
    </row>
    <row r="26">
      <c r="A26" s="409" t="s">
        <v>7894</v>
      </c>
      <c r="B26" s="410">
        <v>14505.0</v>
      </c>
      <c r="C26" s="136"/>
      <c r="D26" s="45"/>
      <c r="E26" s="45"/>
      <c r="F26" s="45"/>
      <c r="G26" s="275"/>
      <c r="H26" s="270"/>
      <c r="I26" s="45"/>
      <c r="J26" s="45"/>
      <c r="K26" s="45"/>
      <c r="L26" s="413" t="s">
        <v>7794</v>
      </c>
      <c r="M26" s="98">
        <v>6995.0</v>
      </c>
      <c r="N26" s="36" t="e">
        <v>#N/A</v>
      </c>
      <c r="O26" s="36"/>
    </row>
    <row r="27">
      <c r="A27" s="409" t="s">
        <v>7895</v>
      </c>
      <c r="B27" s="410">
        <v>6875.0</v>
      </c>
      <c r="C27" s="136"/>
      <c r="D27" s="45"/>
      <c r="E27" s="45"/>
      <c r="F27" s="45"/>
      <c r="G27" s="275"/>
      <c r="H27" s="270"/>
      <c r="I27" s="45"/>
      <c r="J27" s="45"/>
      <c r="K27" s="45"/>
      <c r="L27" s="413" t="s">
        <v>7795</v>
      </c>
      <c r="M27" s="98">
        <v>3142.0</v>
      </c>
      <c r="N27" s="36" t="e">
        <v>#N/A</v>
      </c>
      <c r="O27" s="36"/>
    </row>
    <row r="28">
      <c r="A28" s="409" t="s">
        <v>7896</v>
      </c>
      <c r="B28" s="410">
        <v>2345.0</v>
      </c>
      <c r="C28" s="136"/>
      <c r="D28" s="45"/>
      <c r="E28" s="45"/>
      <c r="F28" s="45"/>
      <c r="G28" s="275"/>
      <c r="H28" s="270"/>
      <c r="I28" s="45"/>
      <c r="J28" s="45"/>
      <c r="K28" s="45"/>
      <c r="L28" s="412" t="s">
        <v>7796</v>
      </c>
      <c r="M28" s="399">
        <v>8486.0</v>
      </c>
      <c r="N28" s="18">
        <v>1.0</v>
      </c>
    </row>
    <row r="29">
      <c r="A29" s="409" t="s">
        <v>7897</v>
      </c>
      <c r="B29" s="410">
        <v>6831.0</v>
      </c>
      <c r="C29" s="136"/>
      <c r="D29" s="45"/>
      <c r="E29" s="45"/>
      <c r="F29" s="45"/>
      <c r="G29" s="275"/>
      <c r="H29" s="270"/>
      <c r="I29" s="45"/>
      <c r="J29" s="45"/>
      <c r="K29" s="45"/>
      <c r="L29" s="412" t="s">
        <v>7797</v>
      </c>
      <c r="M29" s="399">
        <v>3607.0</v>
      </c>
      <c r="N29" s="18">
        <v>1.0</v>
      </c>
    </row>
    <row r="30">
      <c r="A30" s="409" t="s">
        <v>7898</v>
      </c>
      <c r="B30" s="410">
        <v>5389.0</v>
      </c>
      <c r="C30" s="136"/>
      <c r="D30" s="45"/>
      <c r="E30" s="45"/>
      <c r="F30" s="45"/>
      <c r="G30" s="275"/>
      <c r="H30" s="270"/>
      <c r="I30" s="45"/>
      <c r="J30" s="45"/>
      <c r="K30" s="45"/>
      <c r="L30" s="412" t="s">
        <v>7798</v>
      </c>
      <c r="M30" s="399">
        <v>3607.0</v>
      </c>
      <c r="N30" s="18">
        <v>1.0</v>
      </c>
    </row>
    <row r="31">
      <c r="A31" s="409" t="s">
        <v>7899</v>
      </c>
      <c r="B31" s="410">
        <v>663.0</v>
      </c>
      <c r="C31" s="136"/>
      <c r="D31" s="45"/>
      <c r="E31" s="45"/>
      <c r="F31" s="45"/>
      <c r="G31" s="275"/>
      <c r="H31" s="270"/>
      <c r="I31" s="45"/>
      <c r="J31" s="45"/>
      <c r="K31" s="45"/>
      <c r="L31" s="412" t="s">
        <v>7799</v>
      </c>
      <c r="M31" s="399">
        <v>6671.0</v>
      </c>
      <c r="N31" s="18">
        <v>1.0</v>
      </c>
    </row>
    <row r="32">
      <c r="A32" s="409" t="s">
        <v>7900</v>
      </c>
      <c r="B32" s="410">
        <v>7157.0</v>
      </c>
      <c r="C32" s="136"/>
      <c r="D32" s="45"/>
      <c r="E32" s="45"/>
      <c r="F32" s="45"/>
      <c r="G32" s="275"/>
      <c r="H32" s="270"/>
      <c r="I32" s="45"/>
      <c r="J32" s="45"/>
      <c r="K32" s="45"/>
      <c r="L32" s="413" t="s">
        <v>7800</v>
      </c>
      <c r="M32" s="98">
        <v>67227.0</v>
      </c>
      <c r="N32" s="36" t="e">
        <v>#N/A</v>
      </c>
      <c r="O32" s="36"/>
    </row>
    <row r="33">
      <c r="A33" s="409" t="s">
        <v>7901</v>
      </c>
      <c r="B33" s="410">
        <v>7100.0</v>
      </c>
      <c r="C33" s="136"/>
      <c r="D33" s="45"/>
      <c r="E33" s="45"/>
      <c r="F33" s="45"/>
      <c r="G33" s="275"/>
      <c r="H33" s="270"/>
      <c r="I33" s="45"/>
      <c r="J33" s="45"/>
      <c r="K33" s="45"/>
      <c r="L33" s="413" t="s">
        <v>7801</v>
      </c>
      <c r="M33" s="98">
        <v>3607.0</v>
      </c>
      <c r="N33" s="36" t="e">
        <v>#N/A</v>
      </c>
      <c r="O33" s="36"/>
    </row>
    <row r="34">
      <c r="A34" s="409" t="s">
        <v>7902</v>
      </c>
      <c r="B34" s="37">
        <v>5125.0</v>
      </c>
      <c r="C34" s="25"/>
      <c r="D34" s="45"/>
      <c r="E34" s="45"/>
      <c r="F34" s="45"/>
      <c r="G34" s="275"/>
      <c r="H34" s="270"/>
      <c r="I34" s="45"/>
      <c r="J34" s="45"/>
      <c r="K34" s="45"/>
      <c r="L34" s="412" t="s">
        <v>7802</v>
      </c>
      <c r="M34" s="399">
        <v>986.0</v>
      </c>
      <c r="N34" s="18">
        <v>1.0</v>
      </c>
    </row>
    <row r="35">
      <c r="A35" s="409" t="s">
        <v>7903</v>
      </c>
      <c r="B35" s="410">
        <v>6811.0</v>
      </c>
      <c r="C35" s="136"/>
      <c r="D35" s="45"/>
      <c r="E35" s="45"/>
      <c r="F35" s="45"/>
      <c r="G35" s="275"/>
      <c r="H35" s="270"/>
      <c r="I35" s="45"/>
      <c r="J35" s="45"/>
      <c r="K35" s="45"/>
      <c r="L35" s="413" t="s">
        <v>7803</v>
      </c>
      <c r="M35" s="98">
        <v>986.0</v>
      </c>
      <c r="N35" s="36" t="e">
        <v>#N/A</v>
      </c>
      <c r="O35" s="36"/>
    </row>
    <row r="36">
      <c r="A36" s="409" t="s">
        <v>7904</v>
      </c>
      <c r="B36" s="410">
        <v>6924.0</v>
      </c>
      <c r="C36" s="136"/>
      <c r="D36" s="45"/>
      <c r="E36" s="45"/>
      <c r="F36" s="45"/>
      <c r="G36" s="45"/>
      <c r="H36" s="45"/>
      <c r="I36" s="45"/>
      <c r="J36" s="45"/>
      <c r="K36" s="45"/>
      <c r="L36" s="412" t="s">
        <v>7804</v>
      </c>
      <c r="M36" s="399">
        <v>986.0</v>
      </c>
      <c r="N36" s="18">
        <v>1.0</v>
      </c>
    </row>
    <row r="37">
      <c r="A37" s="415" t="s">
        <v>7905</v>
      </c>
      <c r="B37" s="416">
        <v>6668.0</v>
      </c>
      <c r="C37" s="136"/>
      <c r="D37" s="45"/>
      <c r="E37" s="45"/>
      <c r="F37" s="45"/>
      <c r="G37" s="45"/>
      <c r="H37" s="45"/>
      <c r="I37" s="45"/>
      <c r="J37" s="45"/>
      <c r="K37" s="45"/>
      <c r="L37" s="413" t="s">
        <v>7805</v>
      </c>
      <c r="M37" s="98">
        <v>986.0</v>
      </c>
      <c r="N37" s="36" t="e">
        <v>#N/A</v>
      </c>
      <c r="O37" s="36"/>
    </row>
    <row r="38">
      <c r="A38" s="415" t="s">
        <v>7906</v>
      </c>
      <c r="B38" s="65"/>
      <c r="C38" s="136" t="s">
        <v>207</v>
      </c>
      <c r="D38" s="45"/>
      <c r="E38" s="45"/>
      <c r="F38" s="45"/>
      <c r="G38" s="45"/>
      <c r="H38" s="45"/>
      <c r="I38" s="45"/>
      <c r="J38" s="45"/>
      <c r="K38" s="45"/>
      <c r="L38" s="413" t="s">
        <v>7806</v>
      </c>
      <c r="M38" s="98">
        <v>986.0</v>
      </c>
      <c r="N38" s="36" t="e">
        <v>#N/A</v>
      </c>
      <c r="O38" s="36"/>
    </row>
    <row r="39">
      <c r="A39" s="415" t="s">
        <v>7907</v>
      </c>
      <c r="B39" s="65"/>
      <c r="C39" s="136" t="s">
        <v>207</v>
      </c>
      <c r="D39" s="274"/>
      <c r="E39" s="45"/>
      <c r="F39" s="45"/>
      <c r="G39" s="45"/>
      <c r="H39" s="45"/>
      <c r="I39" s="45"/>
      <c r="J39" s="45"/>
      <c r="K39" s="45"/>
      <c r="L39" s="413" t="s">
        <v>7807</v>
      </c>
      <c r="M39" s="98">
        <v>986.0</v>
      </c>
      <c r="N39" s="36" t="e">
        <v>#N/A</v>
      </c>
      <c r="O39" s="36"/>
    </row>
    <row r="40">
      <c r="A40" s="415" t="s">
        <v>7908</v>
      </c>
      <c r="B40" s="65"/>
      <c r="C40" s="136" t="s">
        <v>207</v>
      </c>
      <c r="D40" s="45"/>
      <c r="E40" s="45"/>
      <c r="F40" s="45"/>
      <c r="G40" s="45"/>
      <c r="H40" s="45"/>
      <c r="I40" s="45"/>
      <c r="J40" s="45"/>
      <c r="K40" s="45"/>
      <c r="L40" s="412" t="s">
        <v>7808</v>
      </c>
      <c r="M40" s="399">
        <v>986.0</v>
      </c>
      <c r="N40" s="18">
        <v>1.0</v>
      </c>
    </row>
    <row r="41">
      <c r="A41" s="415" t="s">
        <v>7909</v>
      </c>
      <c r="B41" s="65"/>
      <c r="C41" s="136" t="s">
        <v>207</v>
      </c>
      <c r="D41" s="45"/>
      <c r="E41" s="45"/>
      <c r="F41" s="45"/>
      <c r="G41" s="45"/>
      <c r="H41" s="45"/>
      <c r="I41" s="45"/>
      <c r="J41" s="45"/>
      <c r="K41" s="45"/>
      <c r="L41" s="413" t="s">
        <v>7809</v>
      </c>
      <c r="M41" s="98">
        <v>12941.0</v>
      </c>
      <c r="N41" s="36" t="e">
        <v>#N/A</v>
      </c>
      <c r="O41" s="36"/>
    </row>
  </sheetData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20.5"/>
    <col customWidth="1" min="5" max="5" width="26.13"/>
  </cols>
  <sheetData>
    <row r="1">
      <c r="A1" s="56" t="s">
        <v>44</v>
      </c>
      <c r="B1" s="56" t="s">
        <v>1</v>
      </c>
      <c r="C1" s="57" t="s">
        <v>294</v>
      </c>
      <c r="D1" s="55" t="s">
        <v>248</v>
      </c>
      <c r="E1" s="321" t="s">
        <v>249</v>
      </c>
      <c r="F1" s="321" t="s">
        <v>250</v>
      </c>
      <c r="G1" s="45"/>
    </row>
    <row r="2">
      <c r="A2" s="417" t="s">
        <v>5575</v>
      </c>
      <c r="B2" s="25"/>
      <c r="C2" s="62">
        <v>0.1</v>
      </c>
      <c r="D2" s="63">
        <v>0.75</v>
      </c>
      <c r="E2" s="63">
        <v>0.75</v>
      </c>
      <c r="F2" s="229" t="s">
        <v>1656</v>
      </c>
      <c r="G2" s="270"/>
    </row>
    <row r="3">
      <c r="A3" s="417" t="s">
        <v>5586</v>
      </c>
      <c r="B3" s="25">
        <v>3307.0</v>
      </c>
      <c r="C3" s="62">
        <v>0.1</v>
      </c>
      <c r="D3" s="63">
        <v>0.75</v>
      </c>
      <c r="E3" s="63">
        <v>0.75</v>
      </c>
      <c r="F3" s="229" t="s">
        <v>1656</v>
      </c>
      <c r="G3" s="270"/>
    </row>
    <row r="4">
      <c r="A4" s="417" t="s">
        <v>7910</v>
      </c>
      <c r="B4" s="25">
        <v>6779.0</v>
      </c>
      <c r="C4" s="62">
        <v>0.1</v>
      </c>
      <c r="D4" s="63">
        <v>0.75</v>
      </c>
      <c r="E4" s="63">
        <v>0.75</v>
      </c>
      <c r="F4" s="229" t="s">
        <v>1656</v>
      </c>
      <c r="G4" s="270"/>
    </row>
    <row r="5">
      <c r="A5" s="417" t="s">
        <v>5570</v>
      </c>
      <c r="B5" s="25">
        <v>6675.0</v>
      </c>
      <c r="C5" s="62">
        <v>0.1</v>
      </c>
      <c r="D5" s="63">
        <v>0.75</v>
      </c>
      <c r="E5" s="63">
        <v>0.75</v>
      </c>
      <c r="F5" s="229" t="s">
        <v>1656</v>
      </c>
      <c r="G5" s="270"/>
    </row>
    <row r="6">
      <c r="A6" s="417" t="s">
        <v>7911</v>
      </c>
      <c r="B6" s="25">
        <v>14516.0</v>
      </c>
      <c r="C6" s="62">
        <v>0.1</v>
      </c>
      <c r="D6" s="63">
        <v>0.75</v>
      </c>
      <c r="E6" s="63">
        <v>0.75</v>
      </c>
      <c r="F6" s="229" t="s">
        <v>1656</v>
      </c>
      <c r="G6" s="270"/>
    </row>
    <row r="7">
      <c r="A7" s="417" t="s">
        <v>7912</v>
      </c>
      <c r="B7" s="25"/>
      <c r="C7" s="62">
        <v>0.1</v>
      </c>
      <c r="D7" s="63">
        <v>0.75</v>
      </c>
      <c r="E7" s="63">
        <v>0.75</v>
      </c>
      <c r="F7" s="229" t="s">
        <v>1656</v>
      </c>
      <c r="G7" s="270"/>
    </row>
    <row r="8">
      <c r="A8" s="417" t="s">
        <v>7913</v>
      </c>
      <c r="B8" s="25">
        <v>7142.0</v>
      </c>
      <c r="C8" s="62">
        <v>0.1</v>
      </c>
      <c r="D8" s="63">
        <v>0.75</v>
      </c>
      <c r="E8" s="63">
        <v>0.75</v>
      </c>
      <c r="F8" s="229" t="s">
        <v>1656</v>
      </c>
      <c r="G8" s="270"/>
    </row>
    <row r="9">
      <c r="A9" s="417" t="s">
        <v>7914</v>
      </c>
      <c r="B9" s="25">
        <v>12553.0</v>
      </c>
      <c r="C9" s="62">
        <v>0.1</v>
      </c>
      <c r="D9" s="63">
        <v>0.75</v>
      </c>
      <c r="E9" s="63">
        <v>0.75</v>
      </c>
      <c r="F9" s="229" t="s">
        <v>1656</v>
      </c>
      <c r="G9" s="39"/>
    </row>
    <row r="10">
      <c r="A10" s="417" t="s">
        <v>7915</v>
      </c>
      <c r="B10" s="25">
        <v>189.0</v>
      </c>
      <c r="C10" s="62">
        <v>0.1</v>
      </c>
      <c r="D10" s="63">
        <v>0.75</v>
      </c>
      <c r="E10" s="63">
        <v>0.75</v>
      </c>
      <c r="F10" s="229" t="s">
        <v>1656</v>
      </c>
      <c r="G10" s="39"/>
    </row>
    <row r="11">
      <c r="A11" s="417" t="s">
        <v>7916</v>
      </c>
      <c r="B11" s="25">
        <v>10141.0</v>
      </c>
      <c r="C11" s="62">
        <v>0.1</v>
      </c>
      <c r="D11" s="63">
        <v>0.75</v>
      </c>
      <c r="E11" s="63">
        <v>0.75</v>
      </c>
      <c r="F11" s="229" t="s">
        <v>1656</v>
      </c>
      <c r="G11" s="39"/>
    </row>
    <row r="12">
      <c r="A12" s="417" t="s">
        <v>7917</v>
      </c>
      <c r="B12" s="25">
        <v>7747.0</v>
      </c>
      <c r="C12" s="62">
        <v>0.1</v>
      </c>
      <c r="D12" s="63">
        <v>0.75</v>
      </c>
      <c r="E12" s="63">
        <v>0.75</v>
      </c>
      <c r="F12" s="229" t="s">
        <v>1656</v>
      </c>
      <c r="G12" s="39"/>
    </row>
    <row r="13">
      <c r="A13" s="417" t="s">
        <v>5559</v>
      </c>
      <c r="B13" s="37">
        <v>14480.0</v>
      </c>
      <c r="C13" s="62">
        <v>0.1</v>
      </c>
      <c r="D13" s="63">
        <v>0.75</v>
      </c>
      <c r="E13" s="63">
        <v>0.75</v>
      </c>
      <c r="F13" s="229" t="s">
        <v>1656</v>
      </c>
      <c r="G13" s="39"/>
    </row>
    <row r="14">
      <c r="A14" s="417" t="s">
        <v>5565</v>
      </c>
      <c r="B14" s="25">
        <v>6903.0</v>
      </c>
      <c r="C14" s="62">
        <v>0.1</v>
      </c>
      <c r="D14" s="63">
        <v>0.75</v>
      </c>
      <c r="E14" s="63">
        <v>0.75</v>
      </c>
      <c r="F14" s="229" t="s">
        <v>1656</v>
      </c>
      <c r="G14" s="39"/>
    </row>
    <row r="15">
      <c r="A15" s="417" t="s">
        <v>7918</v>
      </c>
      <c r="B15" s="25">
        <v>14659.0</v>
      </c>
      <c r="C15" s="62">
        <v>0.1</v>
      </c>
      <c r="D15" s="63">
        <v>0.75</v>
      </c>
      <c r="E15" s="63">
        <v>0.75</v>
      </c>
      <c r="F15" s="229" t="s">
        <v>1656</v>
      </c>
      <c r="G15" s="39"/>
    </row>
    <row r="16">
      <c r="A16" s="417" t="s">
        <v>1781</v>
      </c>
      <c r="B16" s="25">
        <v>6668.0</v>
      </c>
      <c r="C16" s="62">
        <v>0.1</v>
      </c>
      <c r="D16" s="63">
        <v>0.75</v>
      </c>
      <c r="E16" s="63">
        <v>0.75</v>
      </c>
      <c r="F16" s="229" t="s">
        <v>1656</v>
      </c>
      <c r="G16" s="39"/>
    </row>
    <row r="17">
      <c r="A17" s="417" t="s">
        <v>7919</v>
      </c>
      <c r="B17" s="25"/>
      <c r="C17" s="62">
        <v>0.1</v>
      </c>
      <c r="D17" s="63">
        <v>0.75</v>
      </c>
      <c r="E17" s="63">
        <v>0.75</v>
      </c>
      <c r="F17" s="229" t="s">
        <v>1656</v>
      </c>
      <c r="G17" s="39"/>
    </row>
    <row r="18">
      <c r="A18" s="417" t="s">
        <v>7920</v>
      </c>
      <c r="B18" s="25"/>
      <c r="C18" s="62">
        <v>0.1</v>
      </c>
      <c r="D18" s="63">
        <v>0.75</v>
      </c>
      <c r="E18" s="63">
        <v>0.75</v>
      </c>
      <c r="F18" s="229" t="s">
        <v>1656</v>
      </c>
      <c r="G18" s="39"/>
    </row>
    <row r="19">
      <c r="A19" s="417" t="s">
        <v>5572</v>
      </c>
      <c r="B19" s="25">
        <v>6668.0</v>
      </c>
      <c r="C19" s="62">
        <v>0.1</v>
      </c>
      <c r="D19" s="63">
        <v>0.75</v>
      </c>
      <c r="E19" s="63">
        <v>0.75</v>
      </c>
      <c r="F19" s="229" t="s">
        <v>1656</v>
      </c>
    </row>
    <row r="20">
      <c r="A20" s="417" t="s">
        <v>7921</v>
      </c>
      <c r="B20" s="25">
        <v>11708.0</v>
      </c>
      <c r="C20" s="62">
        <v>0.1</v>
      </c>
      <c r="D20" s="63">
        <v>0.75</v>
      </c>
      <c r="E20" s="63">
        <v>0.75</v>
      </c>
      <c r="F20" s="229" t="s">
        <v>1656</v>
      </c>
    </row>
    <row r="21">
      <c r="A21" s="417" t="s">
        <v>7922</v>
      </c>
      <c r="B21" s="25"/>
      <c r="C21" s="62">
        <v>0.1</v>
      </c>
      <c r="D21" s="63">
        <v>0.75</v>
      </c>
      <c r="E21" s="63">
        <v>0.75</v>
      </c>
      <c r="F21" s="229" t="s">
        <v>1656</v>
      </c>
    </row>
    <row r="22">
      <c r="A22" s="417" t="s">
        <v>5579</v>
      </c>
      <c r="B22" s="25">
        <v>14575.0</v>
      </c>
      <c r="C22" s="62">
        <v>0.1</v>
      </c>
      <c r="D22" s="74">
        <v>0.85</v>
      </c>
      <c r="E22" s="74">
        <v>0.85</v>
      </c>
      <c r="F22" s="229" t="s">
        <v>1656</v>
      </c>
    </row>
    <row r="23">
      <c r="A23" s="417" t="s">
        <v>7923</v>
      </c>
      <c r="B23" s="25">
        <v>6924.0</v>
      </c>
      <c r="C23" s="62">
        <v>0.1</v>
      </c>
      <c r="D23" s="63">
        <v>0.75</v>
      </c>
      <c r="E23" s="63">
        <v>0.75</v>
      </c>
      <c r="F23" s="229" t="s">
        <v>1656</v>
      </c>
    </row>
    <row r="24">
      <c r="A24" s="417" t="s">
        <v>5552</v>
      </c>
      <c r="B24" s="25"/>
      <c r="C24" s="62">
        <v>0.1</v>
      </c>
      <c r="D24" s="63">
        <v>0.75</v>
      </c>
      <c r="E24" s="63">
        <v>0.75</v>
      </c>
      <c r="F24" s="229" t="s">
        <v>1656</v>
      </c>
    </row>
    <row r="25">
      <c r="A25" s="417" t="s">
        <v>7924</v>
      </c>
      <c r="B25" s="25">
        <v>14646.0</v>
      </c>
      <c r="C25" s="62">
        <v>0.1</v>
      </c>
      <c r="D25" s="63">
        <v>0.75</v>
      </c>
      <c r="E25" s="63">
        <v>0.75</v>
      </c>
      <c r="F25" s="229" t="s">
        <v>1656</v>
      </c>
    </row>
    <row r="26">
      <c r="A26" s="417" t="s">
        <v>7925</v>
      </c>
      <c r="B26" s="25">
        <v>12932.0</v>
      </c>
      <c r="C26" s="62">
        <v>0.1</v>
      </c>
      <c r="D26" s="63">
        <v>0.75</v>
      </c>
      <c r="E26" s="63">
        <v>0.75</v>
      </c>
      <c r="F26" s="229" t="s">
        <v>1656</v>
      </c>
    </row>
    <row r="27">
      <c r="A27" s="417" t="s">
        <v>7926</v>
      </c>
      <c r="B27" s="25">
        <v>6675.0</v>
      </c>
      <c r="C27" s="62">
        <v>0.1</v>
      </c>
      <c r="D27" s="63">
        <v>0.75</v>
      </c>
      <c r="E27" s="63">
        <v>0.75</v>
      </c>
      <c r="F27" s="229" t="s">
        <v>1656</v>
      </c>
    </row>
    <row r="28">
      <c r="A28" s="417" t="s">
        <v>7927</v>
      </c>
      <c r="B28" s="25">
        <v>6802.0</v>
      </c>
      <c r="C28" s="62">
        <v>0.1</v>
      </c>
      <c r="D28" s="63">
        <v>0.75</v>
      </c>
      <c r="E28" s="63">
        <v>0.75</v>
      </c>
      <c r="F28" s="229" t="s">
        <v>1656</v>
      </c>
    </row>
    <row r="29">
      <c r="A29" s="417" t="s">
        <v>7928</v>
      </c>
      <c r="B29" s="25"/>
      <c r="C29" s="62">
        <v>0.1</v>
      </c>
      <c r="D29" s="63">
        <v>0.75</v>
      </c>
      <c r="E29" s="63">
        <v>0.75</v>
      </c>
      <c r="F29" s="229" t="s">
        <v>1656</v>
      </c>
    </row>
    <row r="30">
      <c r="A30" s="417" t="s">
        <v>1774</v>
      </c>
      <c r="B30" s="25">
        <v>6729.0</v>
      </c>
      <c r="C30" s="62">
        <v>0.1</v>
      </c>
      <c r="D30" s="74">
        <v>0.78</v>
      </c>
      <c r="E30" s="74">
        <v>0.78</v>
      </c>
      <c r="F30" s="229" t="s">
        <v>1656</v>
      </c>
    </row>
    <row r="31">
      <c r="A31" s="417" t="s">
        <v>5546</v>
      </c>
      <c r="B31" s="25">
        <v>6675.0</v>
      </c>
      <c r="C31" s="62">
        <v>0.1</v>
      </c>
      <c r="D31" s="63">
        <v>0.75</v>
      </c>
      <c r="E31" s="63">
        <v>0.75</v>
      </c>
      <c r="F31" s="229" t="s">
        <v>1656</v>
      </c>
    </row>
    <row r="32">
      <c r="A32" s="417" t="s">
        <v>7929</v>
      </c>
      <c r="B32" s="25"/>
      <c r="C32" s="62">
        <v>0.1</v>
      </c>
      <c r="D32" s="63">
        <v>0.75</v>
      </c>
      <c r="E32" s="63">
        <v>0.75</v>
      </c>
      <c r="F32" s="229" t="s">
        <v>1656</v>
      </c>
    </row>
    <row r="33">
      <c r="A33" s="417" t="s">
        <v>7930</v>
      </c>
      <c r="B33" s="25"/>
      <c r="C33" s="62">
        <v>0.1</v>
      </c>
      <c r="D33" s="63">
        <v>0.75</v>
      </c>
      <c r="E33" s="63">
        <v>0.75</v>
      </c>
      <c r="F33" s="229" t="s">
        <v>1656</v>
      </c>
    </row>
    <row r="34">
      <c r="A34" s="417" t="s">
        <v>7931</v>
      </c>
      <c r="B34" s="25"/>
      <c r="C34" s="62">
        <v>0.1</v>
      </c>
      <c r="D34" s="63">
        <v>0.75</v>
      </c>
      <c r="E34" s="63">
        <v>0.75</v>
      </c>
      <c r="F34" s="229" t="s">
        <v>1656</v>
      </c>
    </row>
    <row r="35">
      <c r="A35" s="417" t="s">
        <v>7932</v>
      </c>
      <c r="B35" s="25">
        <v>7033.0</v>
      </c>
      <c r="C35" s="62">
        <v>0.1</v>
      </c>
      <c r="D35" s="63">
        <v>0.75</v>
      </c>
      <c r="E35" s="63">
        <v>0.75</v>
      </c>
      <c r="F35" s="229" t="s">
        <v>1656</v>
      </c>
    </row>
    <row r="36">
      <c r="A36" s="417" t="s">
        <v>7933</v>
      </c>
      <c r="B36" s="25"/>
      <c r="C36" s="62">
        <v>0.1</v>
      </c>
      <c r="D36" s="63">
        <v>0.75</v>
      </c>
      <c r="E36" s="63">
        <v>0.75</v>
      </c>
      <c r="F36" s="229" t="s">
        <v>1656</v>
      </c>
    </row>
    <row r="37">
      <c r="A37" s="417" t="s">
        <v>7934</v>
      </c>
      <c r="B37" s="25"/>
      <c r="C37" s="62">
        <v>0.1</v>
      </c>
      <c r="D37" s="63">
        <v>0.75</v>
      </c>
      <c r="E37" s="63">
        <v>0.75</v>
      </c>
      <c r="F37" s="229" t="s">
        <v>1656</v>
      </c>
    </row>
    <row r="38">
      <c r="A38" s="417" t="s">
        <v>7935</v>
      </c>
      <c r="B38" s="25"/>
      <c r="C38" s="62">
        <v>0.1</v>
      </c>
      <c r="D38" s="63">
        <v>0.75</v>
      </c>
      <c r="E38" s="63">
        <v>0.75</v>
      </c>
      <c r="F38" s="229" t="s">
        <v>1656</v>
      </c>
    </row>
    <row r="39">
      <c r="A39" s="417" t="s">
        <v>5590</v>
      </c>
      <c r="B39" s="25">
        <v>6675.0</v>
      </c>
      <c r="C39" s="62">
        <v>0.1</v>
      </c>
      <c r="D39" s="63">
        <v>0.75</v>
      </c>
      <c r="E39" s="63">
        <v>0.75</v>
      </c>
      <c r="F39" s="229" t="s">
        <v>1656</v>
      </c>
    </row>
    <row r="40">
      <c r="A40" s="417" t="s">
        <v>7936</v>
      </c>
      <c r="B40" s="25">
        <v>3404.0</v>
      </c>
      <c r="C40" s="62">
        <v>0.1</v>
      </c>
      <c r="D40" s="63">
        <v>0.75</v>
      </c>
      <c r="E40" s="63">
        <v>0.75</v>
      </c>
      <c r="F40" s="229" t="s">
        <v>1656</v>
      </c>
    </row>
    <row r="41">
      <c r="A41" s="417" t="s">
        <v>7937</v>
      </c>
      <c r="B41" s="25"/>
      <c r="C41" s="62">
        <v>0.1</v>
      </c>
      <c r="D41" s="63">
        <v>0.75</v>
      </c>
      <c r="E41" s="63">
        <v>0.75</v>
      </c>
      <c r="F41" s="229" t="s">
        <v>1656</v>
      </c>
    </row>
    <row r="42">
      <c r="A42" s="417" t="s">
        <v>7938</v>
      </c>
      <c r="B42" s="25">
        <v>6675.0</v>
      </c>
      <c r="C42" s="62">
        <v>0.1</v>
      </c>
      <c r="D42" s="63">
        <v>0.75</v>
      </c>
      <c r="E42" s="63">
        <v>0.75</v>
      </c>
      <c r="F42" s="229" t="s">
        <v>1656</v>
      </c>
    </row>
    <row r="43">
      <c r="A43" s="417" t="s">
        <v>5589</v>
      </c>
      <c r="B43" s="25">
        <v>5458.0</v>
      </c>
      <c r="C43" s="62">
        <v>0.1</v>
      </c>
      <c r="D43" s="63">
        <v>0.75</v>
      </c>
      <c r="E43" s="63">
        <v>0.75</v>
      </c>
      <c r="F43" s="229" t="s">
        <v>1656</v>
      </c>
    </row>
    <row r="44">
      <c r="A44" s="417" t="s">
        <v>7939</v>
      </c>
      <c r="B44" s="78"/>
      <c r="C44" s="62">
        <v>0.1</v>
      </c>
      <c r="D44" s="63">
        <v>0.75</v>
      </c>
      <c r="E44" s="63">
        <v>0.75</v>
      </c>
      <c r="F44" s="229" t="s">
        <v>1656</v>
      </c>
    </row>
    <row r="45">
      <c r="A45" s="417" t="s">
        <v>5576</v>
      </c>
      <c r="B45" s="25">
        <v>7031.0</v>
      </c>
      <c r="C45" s="62">
        <v>0.1</v>
      </c>
      <c r="D45" s="63">
        <v>0.75</v>
      </c>
      <c r="E45" s="63">
        <v>0.75</v>
      </c>
      <c r="F45" s="229" t="s">
        <v>1656</v>
      </c>
    </row>
    <row r="46">
      <c r="A46" s="417" t="s">
        <v>7940</v>
      </c>
      <c r="B46" s="25"/>
      <c r="C46" s="62">
        <v>0.1</v>
      </c>
      <c r="D46" s="63">
        <v>0.75</v>
      </c>
      <c r="E46" s="63">
        <v>0.75</v>
      </c>
      <c r="F46" s="229" t="s">
        <v>1656</v>
      </c>
    </row>
    <row r="47">
      <c r="A47" s="417" t="s">
        <v>7941</v>
      </c>
      <c r="B47" s="25">
        <v>14465.0</v>
      </c>
      <c r="C47" s="62">
        <v>0.1</v>
      </c>
      <c r="D47" s="74">
        <v>0.9</v>
      </c>
      <c r="E47" s="74">
        <v>0.9</v>
      </c>
      <c r="F47" s="229" t="s">
        <v>1656</v>
      </c>
    </row>
    <row r="48">
      <c r="A48" s="417" t="s">
        <v>7942</v>
      </c>
      <c r="B48" s="25">
        <v>6722.0</v>
      </c>
      <c r="C48" s="62">
        <v>0.1</v>
      </c>
      <c r="D48" s="63">
        <v>0.75</v>
      </c>
      <c r="E48" s="63">
        <v>0.75</v>
      </c>
      <c r="F48" s="229" t="s">
        <v>1656</v>
      </c>
    </row>
    <row r="49">
      <c r="A49" s="417" t="s">
        <v>7943</v>
      </c>
      <c r="B49" s="25"/>
      <c r="C49" s="62">
        <v>0.1</v>
      </c>
      <c r="D49" s="63">
        <v>0.75</v>
      </c>
      <c r="E49" s="63">
        <v>0.75</v>
      </c>
      <c r="F49" s="229" t="s">
        <v>1656</v>
      </c>
    </row>
    <row r="50">
      <c r="A50" s="417" t="s">
        <v>7944</v>
      </c>
      <c r="B50" s="25">
        <v>7157.0</v>
      </c>
      <c r="C50" s="62">
        <v>0.1</v>
      </c>
      <c r="D50" s="63">
        <v>0.75</v>
      </c>
      <c r="E50" s="63">
        <v>0.75</v>
      </c>
      <c r="F50" s="229" t="s">
        <v>1656</v>
      </c>
    </row>
    <row r="51">
      <c r="A51" s="417" t="s">
        <v>7945</v>
      </c>
      <c r="B51" s="25">
        <v>3607.0</v>
      </c>
      <c r="C51" s="62">
        <v>0.1</v>
      </c>
      <c r="D51" s="63">
        <v>0.75</v>
      </c>
      <c r="E51" s="63">
        <v>0.75</v>
      </c>
      <c r="F51" s="229" t="s">
        <v>1656</v>
      </c>
    </row>
    <row r="52">
      <c r="A52" s="417" t="s">
        <v>7946</v>
      </c>
      <c r="B52" s="25">
        <v>3607.0</v>
      </c>
      <c r="C52" s="62">
        <v>0.1</v>
      </c>
      <c r="D52" s="63">
        <v>0.75</v>
      </c>
      <c r="E52" s="63">
        <v>0.75</v>
      </c>
      <c r="F52" s="229" t="s">
        <v>1656</v>
      </c>
    </row>
    <row r="53">
      <c r="A53" s="417" t="s">
        <v>7947</v>
      </c>
      <c r="B53" s="25">
        <v>3607.0</v>
      </c>
      <c r="C53" s="62">
        <v>0.1</v>
      </c>
      <c r="D53" s="63">
        <v>0.75</v>
      </c>
      <c r="E53" s="63">
        <v>0.75</v>
      </c>
      <c r="F53" s="229" t="s">
        <v>1656</v>
      </c>
    </row>
    <row r="54">
      <c r="A54" s="417" t="s">
        <v>7948</v>
      </c>
      <c r="B54" s="25">
        <v>3607.0</v>
      </c>
      <c r="C54" s="62">
        <v>0.1</v>
      </c>
      <c r="D54" s="63">
        <v>0.75</v>
      </c>
      <c r="E54" s="63">
        <v>0.75</v>
      </c>
      <c r="F54" s="229" t="s">
        <v>1656</v>
      </c>
    </row>
    <row r="55">
      <c r="A55" s="417" t="s">
        <v>7949</v>
      </c>
      <c r="B55" s="25">
        <v>3607.0</v>
      </c>
      <c r="C55" s="62">
        <v>0.1</v>
      </c>
      <c r="D55" s="63">
        <v>0.75</v>
      </c>
      <c r="E55" s="63">
        <v>0.75</v>
      </c>
      <c r="F55" s="229" t="s">
        <v>1656</v>
      </c>
    </row>
    <row r="56">
      <c r="A56" s="417" t="s">
        <v>7950</v>
      </c>
      <c r="B56" s="25">
        <v>3607.0</v>
      </c>
      <c r="C56" s="62">
        <v>0.1</v>
      </c>
      <c r="D56" s="63">
        <v>0.75</v>
      </c>
      <c r="E56" s="63">
        <v>0.75</v>
      </c>
      <c r="F56" s="229" t="s">
        <v>1656</v>
      </c>
    </row>
    <row r="57">
      <c r="A57" s="417" t="s">
        <v>7951</v>
      </c>
      <c r="B57" s="25"/>
      <c r="C57" s="62">
        <v>0.1</v>
      </c>
      <c r="D57" s="63">
        <v>0.75</v>
      </c>
      <c r="E57" s="63">
        <v>0.75</v>
      </c>
      <c r="F57" s="229" t="s">
        <v>1656</v>
      </c>
    </row>
    <row r="58">
      <c r="A58" s="417" t="s">
        <v>6186</v>
      </c>
      <c r="B58" s="78"/>
      <c r="C58" s="62">
        <v>0.1</v>
      </c>
      <c r="D58" s="63">
        <v>0.75</v>
      </c>
      <c r="E58" s="63">
        <v>0.75</v>
      </c>
      <c r="F58" s="229" t="s">
        <v>1656</v>
      </c>
    </row>
    <row r="59">
      <c r="A59" s="417" t="s">
        <v>7952</v>
      </c>
      <c r="B59" s="25">
        <v>3607.0</v>
      </c>
      <c r="C59" s="62">
        <v>0.1</v>
      </c>
      <c r="D59" s="63">
        <v>0.75</v>
      </c>
      <c r="E59" s="63">
        <v>0.75</v>
      </c>
      <c r="F59" s="229" t="s">
        <v>1656</v>
      </c>
    </row>
    <row r="60">
      <c r="A60" s="417" t="s">
        <v>7953</v>
      </c>
      <c r="B60" s="25">
        <v>3607.0</v>
      </c>
      <c r="C60" s="62">
        <v>0.1</v>
      </c>
      <c r="D60" s="63">
        <v>0.75</v>
      </c>
      <c r="E60" s="63">
        <v>0.75</v>
      </c>
      <c r="F60" s="229" t="s">
        <v>1656</v>
      </c>
    </row>
    <row r="61">
      <c r="A61" s="417" t="s">
        <v>7954</v>
      </c>
      <c r="B61" s="25">
        <v>3607.0</v>
      </c>
      <c r="C61" s="62">
        <v>0.1</v>
      </c>
      <c r="D61" s="63">
        <v>0.75</v>
      </c>
      <c r="E61" s="63">
        <v>0.75</v>
      </c>
      <c r="F61" s="229" t="s">
        <v>1656</v>
      </c>
    </row>
    <row r="62">
      <c r="A62" s="417" t="s">
        <v>7955</v>
      </c>
      <c r="B62" s="25">
        <v>3607.0</v>
      </c>
      <c r="C62" s="62">
        <v>0.1</v>
      </c>
      <c r="D62" s="63">
        <v>0.75</v>
      </c>
      <c r="E62" s="63">
        <v>0.75</v>
      </c>
      <c r="F62" s="229" t="s">
        <v>1656</v>
      </c>
    </row>
    <row r="63">
      <c r="A63" s="417" t="s">
        <v>7956</v>
      </c>
      <c r="B63" s="25">
        <v>11049.0</v>
      </c>
      <c r="C63" s="62">
        <v>0.1</v>
      </c>
      <c r="D63" s="63">
        <v>0.75</v>
      </c>
      <c r="E63" s="63">
        <v>0.75</v>
      </c>
      <c r="F63" s="229" t="s">
        <v>1656</v>
      </c>
    </row>
    <row r="64">
      <c r="A64" s="57" t="s">
        <v>7957</v>
      </c>
      <c r="B64" s="25">
        <v>14298.0</v>
      </c>
      <c r="C64" s="62">
        <v>0.1</v>
      </c>
      <c r="D64" s="63">
        <v>0.75</v>
      </c>
      <c r="E64" s="63">
        <v>0.75</v>
      </c>
      <c r="F64" s="229" t="s">
        <v>1656</v>
      </c>
    </row>
    <row r="65">
      <c r="A65" s="417" t="s">
        <v>7958</v>
      </c>
      <c r="B65" s="25">
        <v>13858.0</v>
      </c>
      <c r="C65" s="62">
        <v>0.1</v>
      </c>
      <c r="D65" s="63">
        <v>0.75</v>
      </c>
      <c r="E65" s="63">
        <v>0.75</v>
      </c>
      <c r="F65" s="229" t="s">
        <v>1656</v>
      </c>
    </row>
    <row r="66">
      <c r="A66" s="417" t="s">
        <v>7959</v>
      </c>
      <c r="B66" s="25"/>
      <c r="C66" s="62">
        <v>0.1</v>
      </c>
      <c r="D66" s="63">
        <v>0.75</v>
      </c>
      <c r="E66" s="63">
        <v>0.75</v>
      </c>
      <c r="F66" s="229" t="s">
        <v>1656</v>
      </c>
    </row>
    <row r="67">
      <c r="A67" s="417" t="s">
        <v>7960</v>
      </c>
      <c r="B67" s="25">
        <v>11049.0</v>
      </c>
      <c r="C67" s="62">
        <v>0.1</v>
      </c>
      <c r="D67" s="63">
        <v>0.75</v>
      </c>
      <c r="E67" s="63">
        <v>0.75</v>
      </c>
      <c r="F67" s="229" t="s">
        <v>1656</v>
      </c>
    </row>
    <row r="68">
      <c r="A68" s="417" t="s">
        <v>7961</v>
      </c>
      <c r="B68" s="25">
        <v>11049.0</v>
      </c>
      <c r="C68" s="62">
        <v>0.1</v>
      </c>
      <c r="D68" s="63">
        <v>0.75</v>
      </c>
      <c r="E68" s="63">
        <v>0.75</v>
      </c>
      <c r="F68" s="229" t="s">
        <v>1656</v>
      </c>
    </row>
    <row r="69">
      <c r="A69" s="417" t="s">
        <v>5578</v>
      </c>
      <c r="B69" s="25">
        <v>7100.0</v>
      </c>
      <c r="C69" s="62">
        <v>0.1</v>
      </c>
      <c r="D69" s="63">
        <v>0.75</v>
      </c>
      <c r="E69" s="63">
        <v>0.75</v>
      </c>
      <c r="F69" s="229" t="s">
        <v>1656</v>
      </c>
    </row>
    <row r="70">
      <c r="A70" s="417" t="s">
        <v>7962</v>
      </c>
      <c r="B70" s="25">
        <v>11049.0</v>
      </c>
      <c r="C70" s="62">
        <v>0.1</v>
      </c>
      <c r="D70" s="63">
        <v>0.75</v>
      </c>
      <c r="E70" s="63">
        <v>0.75</v>
      </c>
      <c r="F70" s="229" t="s">
        <v>1656</v>
      </c>
    </row>
    <row r="71">
      <c r="A71" s="417" t="s">
        <v>7963</v>
      </c>
      <c r="B71" s="25"/>
      <c r="C71" s="62">
        <v>0.1</v>
      </c>
      <c r="D71" s="63">
        <v>0.75</v>
      </c>
      <c r="E71" s="63">
        <v>0.75</v>
      </c>
      <c r="F71" s="229" t="s">
        <v>1656</v>
      </c>
    </row>
    <row r="72">
      <c r="A72" s="417" t="s">
        <v>7964</v>
      </c>
      <c r="B72" s="25">
        <v>315.0</v>
      </c>
      <c r="C72" s="62">
        <v>0.1</v>
      </c>
      <c r="D72" s="63">
        <v>0.75</v>
      </c>
      <c r="E72" s="63">
        <v>0.75</v>
      </c>
      <c r="F72" s="229" t="s">
        <v>1656</v>
      </c>
    </row>
    <row r="73">
      <c r="A73" s="417" t="s">
        <v>7965</v>
      </c>
      <c r="B73" s="25"/>
      <c r="C73" s="62">
        <v>0.1</v>
      </c>
      <c r="D73" s="63">
        <v>0.75</v>
      </c>
      <c r="E73" s="63">
        <v>0.75</v>
      </c>
      <c r="F73" s="229" t="s">
        <v>1656</v>
      </c>
    </row>
    <row r="74">
      <c r="A74" s="417" t="s">
        <v>7966</v>
      </c>
      <c r="B74" s="25"/>
      <c r="C74" s="62">
        <v>0.1</v>
      </c>
      <c r="D74" s="63">
        <v>0.75</v>
      </c>
      <c r="E74" s="63">
        <v>0.75</v>
      </c>
      <c r="F74" s="229" t="s">
        <v>1656</v>
      </c>
    </row>
    <row r="75">
      <c r="A75" s="417" t="s">
        <v>7967</v>
      </c>
      <c r="B75" s="25">
        <v>9307.0</v>
      </c>
      <c r="C75" s="62">
        <v>0.1</v>
      </c>
      <c r="D75" s="63">
        <v>0.75</v>
      </c>
      <c r="E75" s="63">
        <v>0.75</v>
      </c>
      <c r="F75" s="229" t="s">
        <v>1656</v>
      </c>
    </row>
    <row r="76">
      <c r="A76" s="417" t="s">
        <v>7968</v>
      </c>
      <c r="B76" s="25"/>
      <c r="C76" s="62">
        <v>0.1</v>
      </c>
      <c r="D76" s="63">
        <v>0.75</v>
      </c>
      <c r="E76" s="63">
        <v>0.75</v>
      </c>
      <c r="F76" s="229" t="s">
        <v>1656</v>
      </c>
    </row>
    <row r="77">
      <c r="A77" s="417" t="s">
        <v>7969</v>
      </c>
      <c r="B77" s="25"/>
      <c r="C77" s="62">
        <v>0.1</v>
      </c>
      <c r="D77" s="63">
        <v>0.75</v>
      </c>
      <c r="E77" s="63">
        <v>0.75</v>
      </c>
      <c r="F77" s="229" t="s">
        <v>1656</v>
      </c>
    </row>
    <row r="78">
      <c r="A78" s="417" t="s">
        <v>7970</v>
      </c>
      <c r="B78" s="25">
        <v>11049.0</v>
      </c>
      <c r="C78" s="62">
        <v>0.1</v>
      </c>
      <c r="D78" s="63">
        <v>0.75</v>
      </c>
      <c r="E78" s="63">
        <v>0.75</v>
      </c>
      <c r="F78" s="229" t="s">
        <v>1656</v>
      </c>
    </row>
    <row r="79">
      <c r="A79" s="417" t="s">
        <v>7971</v>
      </c>
      <c r="B79" s="25"/>
      <c r="C79" s="62">
        <v>0.1</v>
      </c>
      <c r="D79" s="63">
        <v>0.75</v>
      </c>
      <c r="E79" s="63">
        <v>0.75</v>
      </c>
      <c r="F79" s="229" t="s">
        <v>1656</v>
      </c>
    </row>
    <row r="80">
      <c r="A80" s="417" t="s">
        <v>7972</v>
      </c>
      <c r="B80" s="25">
        <v>7137.0</v>
      </c>
      <c r="C80" s="62">
        <v>0.1</v>
      </c>
      <c r="D80" s="63">
        <v>0.75</v>
      </c>
      <c r="E80" s="63">
        <v>0.75</v>
      </c>
      <c r="F80" s="229" t="s">
        <v>1656</v>
      </c>
    </row>
    <row r="81">
      <c r="A81" s="417" t="s">
        <v>7973</v>
      </c>
      <c r="B81" s="25">
        <v>11049.0</v>
      </c>
      <c r="C81" s="62">
        <v>0.1</v>
      </c>
      <c r="D81" s="63">
        <v>0.75</v>
      </c>
      <c r="E81" s="63">
        <v>0.75</v>
      </c>
      <c r="F81" s="229" t="s">
        <v>1656</v>
      </c>
    </row>
    <row r="82">
      <c r="A82" s="417" t="s">
        <v>7974</v>
      </c>
      <c r="B82" s="25"/>
      <c r="C82" s="62">
        <v>0.1</v>
      </c>
      <c r="D82" s="63">
        <v>0.75</v>
      </c>
      <c r="E82" s="63">
        <v>0.75</v>
      </c>
      <c r="F82" s="229" t="s">
        <v>1656</v>
      </c>
    </row>
    <row r="83">
      <c r="A83" s="417" t="s">
        <v>7975</v>
      </c>
      <c r="B83" s="25"/>
      <c r="C83" s="62">
        <v>0.1</v>
      </c>
      <c r="D83" s="63">
        <v>0.75</v>
      </c>
      <c r="E83" s="63">
        <v>0.75</v>
      </c>
      <c r="F83" s="229" t="s">
        <v>1656</v>
      </c>
    </row>
    <row r="84">
      <c r="A84" s="417" t="s">
        <v>7976</v>
      </c>
      <c r="B84" s="25">
        <v>11049.0</v>
      </c>
      <c r="C84" s="62">
        <v>0.1</v>
      </c>
      <c r="D84" s="63">
        <v>0.75</v>
      </c>
      <c r="E84" s="63">
        <v>0.75</v>
      </c>
      <c r="F84" s="229" t="s">
        <v>1656</v>
      </c>
    </row>
    <row r="85">
      <c r="A85" s="417" t="s">
        <v>7977</v>
      </c>
      <c r="B85" s="25"/>
      <c r="C85" s="62">
        <v>0.1</v>
      </c>
      <c r="D85" s="63">
        <v>0.75</v>
      </c>
      <c r="E85" s="63">
        <v>0.75</v>
      </c>
      <c r="F85" s="229" t="s">
        <v>1656</v>
      </c>
    </row>
    <row r="86">
      <c r="A86" s="57" t="s">
        <v>7978</v>
      </c>
      <c r="B86" s="25">
        <v>14752.0</v>
      </c>
      <c r="C86" s="62">
        <v>0.1</v>
      </c>
      <c r="D86" s="63">
        <v>0.75</v>
      </c>
      <c r="E86" s="63">
        <v>0.75</v>
      </c>
      <c r="F86" s="229" t="s">
        <v>1656</v>
      </c>
    </row>
    <row r="87">
      <c r="A87" s="417" t="s">
        <v>5548</v>
      </c>
      <c r="B87" s="25">
        <v>14482.0</v>
      </c>
      <c r="C87" s="62">
        <v>0.1</v>
      </c>
      <c r="D87" s="63">
        <v>0.75</v>
      </c>
      <c r="E87" s="63">
        <v>0.75</v>
      </c>
      <c r="F87" s="229" t="s">
        <v>1656</v>
      </c>
    </row>
    <row r="88">
      <c r="A88" s="417" t="s">
        <v>7979</v>
      </c>
      <c r="B88" s="25"/>
      <c r="C88" s="62">
        <v>0.1</v>
      </c>
      <c r="D88" s="63">
        <v>0.75</v>
      </c>
      <c r="E88" s="63">
        <v>0.75</v>
      </c>
      <c r="F88" s="229" t="s">
        <v>1656</v>
      </c>
    </row>
    <row r="89">
      <c r="A89" s="417" t="s">
        <v>7980</v>
      </c>
      <c r="B89" s="25"/>
      <c r="C89" s="62">
        <v>0.1</v>
      </c>
      <c r="D89" s="63">
        <v>0.75</v>
      </c>
      <c r="E89" s="63">
        <v>0.75</v>
      </c>
      <c r="F89" s="229" t="s">
        <v>1656</v>
      </c>
    </row>
    <row r="90">
      <c r="A90" s="417" t="s">
        <v>5558</v>
      </c>
      <c r="B90" s="25">
        <v>5421.0</v>
      </c>
      <c r="C90" s="62">
        <v>0.1</v>
      </c>
      <c r="D90" s="63">
        <v>0.75</v>
      </c>
      <c r="E90" s="63">
        <v>0.75</v>
      </c>
      <c r="F90" s="229" t="s">
        <v>1656</v>
      </c>
    </row>
    <row r="91">
      <c r="A91" s="417" t="s">
        <v>7981</v>
      </c>
      <c r="B91" s="25">
        <v>5421.0</v>
      </c>
      <c r="C91" s="62">
        <v>0.1</v>
      </c>
      <c r="D91" s="63">
        <v>0.75</v>
      </c>
      <c r="E91" s="63">
        <v>0.75</v>
      </c>
      <c r="F91" s="229" t="s">
        <v>1656</v>
      </c>
    </row>
    <row r="92">
      <c r="A92" s="417" t="s">
        <v>7982</v>
      </c>
      <c r="B92" s="25"/>
      <c r="C92" s="62">
        <v>0.1</v>
      </c>
      <c r="D92" s="63">
        <v>0.75</v>
      </c>
      <c r="E92" s="63">
        <v>0.75</v>
      </c>
      <c r="F92" s="229" t="s">
        <v>1656</v>
      </c>
    </row>
    <row r="93">
      <c r="A93" s="417" t="s">
        <v>7983</v>
      </c>
      <c r="B93" s="25">
        <v>7023.0</v>
      </c>
      <c r="C93" s="62">
        <v>0.1</v>
      </c>
      <c r="D93" s="63">
        <v>0.75</v>
      </c>
      <c r="E93" s="63">
        <v>0.75</v>
      </c>
      <c r="F93" s="229" t="s">
        <v>1656</v>
      </c>
    </row>
    <row r="94">
      <c r="A94" s="418" t="s">
        <v>1779</v>
      </c>
      <c r="B94" s="188">
        <v>10368.0</v>
      </c>
      <c r="C94" s="62">
        <v>0.1</v>
      </c>
      <c r="D94" s="63">
        <v>0.75</v>
      </c>
      <c r="E94" s="63">
        <v>0.75</v>
      </c>
      <c r="F94" s="229" t="s">
        <v>1656</v>
      </c>
      <c r="G94" s="175" t="s">
        <v>207</v>
      </c>
    </row>
    <row r="95">
      <c r="A95" s="418" t="s">
        <v>7984</v>
      </c>
      <c r="B95" s="186">
        <v>9030.0</v>
      </c>
      <c r="C95" s="62">
        <v>0.1</v>
      </c>
      <c r="D95" s="63">
        <v>0.75</v>
      </c>
      <c r="E95" s="63">
        <v>0.75</v>
      </c>
      <c r="F95" s="229" t="s">
        <v>1656</v>
      </c>
      <c r="G95" s="175" t="s">
        <v>207</v>
      </c>
    </row>
    <row r="96">
      <c r="A96" s="418" t="s">
        <v>7985</v>
      </c>
      <c r="B96" s="72">
        <v>10861.0</v>
      </c>
      <c r="C96" s="62">
        <v>0.1</v>
      </c>
      <c r="D96" s="63">
        <v>0.75</v>
      </c>
      <c r="E96" s="63">
        <v>0.75</v>
      </c>
      <c r="F96" s="229" t="s">
        <v>1656</v>
      </c>
      <c r="G96" s="175" t="s">
        <v>207</v>
      </c>
    </row>
    <row r="97">
      <c r="A97" s="418" t="s">
        <v>7986</v>
      </c>
      <c r="B97" s="419">
        <v>14185.0</v>
      </c>
      <c r="C97" s="62">
        <v>0.1</v>
      </c>
      <c r="D97" s="63">
        <v>0.75</v>
      </c>
      <c r="E97" s="63">
        <v>0.75</v>
      </c>
      <c r="F97" s="229" t="s">
        <v>1656</v>
      </c>
      <c r="G97" s="175" t="s">
        <v>207</v>
      </c>
    </row>
    <row r="98">
      <c r="A98" s="418" t="s">
        <v>7987</v>
      </c>
      <c r="B98" s="72">
        <v>9716.0</v>
      </c>
      <c r="C98" s="62">
        <v>0.1</v>
      </c>
      <c r="D98" s="63">
        <v>0.75</v>
      </c>
      <c r="E98" s="63">
        <v>0.75</v>
      </c>
      <c r="F98" s="229" t="s">
        <v>1656</v>
      </c>
      <c r="G98" s="175" t="s">
        <v>207</v>
      </c>
    </row>
    <row r="99">
      <c r="A99" s="418" t="s">
        <v>7988</v>
      </c>
      <c r="B99" s="186">
        <v>9030.0</v>
      </c>
      <c r="C99" s="62">
        <v>0.1</v>
      </c>
      <c r="D99" s="63">
        <v>0.75</v>
      </c>
      <c r="E99" s="63">
        <v>0.75</v>
      </c>
      <c r="F99" s="229" t="s">
        <v>1656</v>
      </c>
      <c r="G99" s="175" t="s">
        <v>207</v>
      </c>
    </row>
    <row r="100">
      <c r="A100" s="418" t="s">
        <v>1759</v>
      </c>
      <c r="B100" s="188">
        <v>12277.0</v>
      </c>
      <c r="C100" s="62">
        <v>0.1</v>
      </c>
      <c r="D100" s="63">
        <v>0.75</v>
      </c>
      <c r="E100" s="63">
        <v>0.75</v>
      </c>
      <c r="F100" s="229" t="s">
        <v>1656</v>
      </c>
      <c r="G100" s="175" t="s">
        <v>207</v>
      </c>
    </row>
    <row r="101">
      <c r="A101" s="418" t="s">
        <v>7989</v>
      </c>
      <c r="B101" s="72">
        <v>7416.0</v>
      </c>
      <c r="C101" s="62">
        <v>0.1</v>
      </c>
      <c r="D101" s="63">
        <v>0.75</v>
      </c>
      <c r="E101" s="63">
        <v>0.75</v>
      </c>
      <c r="F101" s="229" t="s">
        <v>1656</v>
      </c>
      <c r="G101" s="175" t="s">
        <v>207</v>
      </c>
    </row>
    <row r="102">
      <c r="A102" s="25" t="s">
        <v>220</v>
      </c>
      <c r="B102" s="25">
        <v>14663.0</v>
      </c>
      <c r="C102" s="62">
        <v>0.1</v>
      </c>
      <c r="D102" s="63">
        <v>0.75</v>
      </c>
      <c r="E102" s="63">
        <v>0.75</v>
      </c>
      <c r="F102" s="229" t="s">
        <v>1656</v>
      </c>
    </row>
    <row r="103">
      <c r="A103" s="25" t="s">
        <v>1729</v>
      </c>
      <c r="B103" s="25">
        <v>14727.0</v>
      </c>
      <c r="C103" s="62">
        <v>0.1</v>
      </c>
      <c r="D103" s="63">
        <v>0.75</v>
      </c>
      <c r="E103" s="63">
        <v>0.75</v>
      </c>
      <c r="F103" s="229" t="s">
        <v>1656</v>
      </c>
    </row>
    <row r="104">
      <c r="A104" s="78"/>
      <c r="B104" s="78"/>
      <c r="C104" s="231"/>
    </row>
    <row r="105">
      <c r="A105" s="78"/>
      <c r="B105" s="78"/>
      <c r="C105" s="231"/>
    </row>
    <row r="106">
      <c r="A106" s="78"/>
      <c r="B106" s="78"/>
      <c r="C106" s="231"/>
    </row>
    <row r="107">
      <c r="A107" s="78"/>
      <c r="B107" s="78"/>
      <c r="C107" s="231"/>
    </row>
    <row r="108">
      <c r="A108" s="78"/>
      <c r="B108" s="78"/>
      <c r="C108" s="231"/>
    </row>
    <row r="109">
      <c r="A109" s="78"/>
      <c r="B109" s="78"/>
      <c r="C109" s="231"/>
    </row>
    <row r="110">
      <c r="A110" s="78"/>
      <c r="B110" s="78"/>
      <c r="C110" s="231"/>
    </row>
    <row r="111">
      <c r="A111" s="78"/>
      <c r="B111" s="78"/>
      <c r="C111" s="231"/>
    </row>
    <row r="112">
      <c r="A112" s="78"/>
      <c r="B112" s="78"/>
      <c r="C112" s="231"/>
    </row>
    <row r="113">
      <c r="A113" s="78"/>
      <c r="B113" s="78"/>
      <c r="C113" s="231"/>
    </row>
    <row r="114">
      <c r="A114" s="78"/>
      <c r="B114" s="78"/>
      <c r="C114" s="231"/>
    </row>
    <row r="115">
      <c r="A115" s="78"/>
      <c r="B115" s="78"/>
      <c r="C115" s="231"/>
    </row>
    <row r="116">
      <c r="A116" s="78"/>
      <c r="B116" s="78"/>
      <c r="C116" s="231"/>
    </row>
    <row r="117">
      <c r="A117" s="78"/>
      <c r="B117" s="78"/>
      <c r="C117" s="231"/>
    </row>
    <row r="118">
      <c r="A118" s="78"/>
      <c r="B118" s="78"/>
      <c r="C118" s="231"/>
    </row>
    <row r="119">
      <c r="A119" s="78"/>
      <c r="B119" s="78"/>
      <c r="C119" s="231"/>
    </row>
    <row r="120">
      <c r="A120" s="78"/>
      <c r="B120" s="78"/>
      <c r="C120" s="231"/>
    </row>
    <row r="121">
      <c r="A121" s="78"/>
      <c r="B121" s="78"/>
      <c r="C121" s="231"/>
    </row>
    <row r="122">
      <c r="A122" s="78"/>
      <c r="B122" s="78"/>
      <c r="C122" s="231"/>
    </row>
    <row r="123">
      <c r="A123" s="78"/>
      <c r="B123" s="78"/>
      <c r="C123" s="231"/>
    </row>
    <row r="124">
      <c r="A124" s="78"/>
      <c r="B124" s="78"/>
      <c r="C124" s="231"/>
    </row>
    <row r="125">
      <c r="A125" s="78"/>
      <c r="B125" s="78"/>
      <c r="C125" s="231"/>
    </row>
    <row r="126">
      <c r="A126" s="78"/>
      <c r="B126" s="78"/>
      <c r="C126" s="231"/>
    </row>
    <row r="127">
      <c r="A127" s="78"/>
      <c r="B127" s="78"/>
      <c r="C127" s="231"/>
    </row>
    <row r="128">
      <c r="A128" s="78"/>
      <c r="B128" s="78"/>
      <c r="C128" s="231"/>
    </row>
    <row r="129">
      <c r="A129" s="78"/>
      <c r="B129" s="78"/>
      <c r="C129" s="231"/>
    </row>
    <row r="130">
      <c r="A130" s="78"/>
      <c r="B130" s="78"/>
      <c r="C130" s="231"/>
    </row>
    <row r="131">
      <c r="A131" s="78"/>
      <c r="B131" s="78"/>
      <c r="C131" s="231"/>
    </row>
    <row r="132">
      <c r="A132" s="78"/>
      <c r="B132" s="78"/>
      <c r="C132" s="231"/>
    </row>
    <row r="133">
      <c r="A133" s="78"/>
      <c r="B133" s="78"/>
      <c r="C133" s="231"/>
    </row>
    <row r="134">
      <c r="A134" s="78"/>
      <c r="B134" s="78"/>
      <c r="C134" s="231"/>
    </row>
    <row r="135">
      <c r="A135" s="78"/>
      <c r="B135" s="78"/>
      <c r="C135" s="231"/>
    </row>
    <row r="136">
      <c r="A136" s="78"/>
      <c r="B136" s="78"/>
      <c r="C136" s="231"/>
    </row>
    <row r="137">
      <c r="A137" s="78"/>
      <c r="B137" s="78"/>
      <c r="C137" s="231"/>
    </row>
    <row r="138">
      <c r="A138" s="78"/>
      <c r="B138" s="78"/>
      <c r="C138" s="231"/>
    </row>
    <row r="139">
      <c r="A139" s="78"/>
      <c r="B139" s="78"/>
      <c r="C139" s="231"/>
    </row>
    <row r="140">
      <c r="A140" s="78"/>
      <c r="B140" s="78"/>
      <c r="C140" s="231"/>
    </row>
    <row r="141">
      <c r="A141" s="78"/>
      <c r="B141" s="78"/>
      <c r="C141" s="231"/>
    </row>
    <row r="142">
      <c r="A142" s="78"/>
      <c r="B142" s="78"/>
      <c r="C142" s="231"/>
    </row>
    <row r="143">
      <c r="A143" s="78"/>
      <c r="B143" s="78"/>
      <c r="C143" s="231"/>
    </row>
    <row r="144">
      <c r="A144" s="78"/>
      <c r="B144" s="78"/>
      <c r="C144" s="231"/>
    </row>
    <row r="145">
      <c r="A145" s="78"/>
      <c r="B145" s="78"/>
      <c r="C145" s="231"/>
    </row>
    <row r="146">
      <c r="A146" s="78"/>
      <c r="B146" s="78"/>
      <c r="C146" s="231"/>
    </row>
    <row r="147">
      <c r="A147" s="78"/>
      <c r="B147" s="78"/>
      <c r="C147" s="231"/>
    </row>
    <row r="148">
      <c r="A148" s="78"/>
      <c r="B148" s="78"/>
      <c r="C148" s="231"/>
    </row>
    <row r="149">
      <c r="A149" s="78"/>
      <c r="B149" s="78"/>
      <c r="C149" s="231"/>
    </row>
    <row r="150">
      <c r="A150" s="78"/>
      <c r="B150" s="78"/>
      <c r="C150" s="231"/>
    </row>
    <row r="151">
      <c r="A151" s="78"/>
      <c r="B151" s="78"/>
      <c r="C151" s="231"/>
    </row>
    <row r="152">
      <c r="A152" s="78"/>
      <c r="B152" s="78"/>
      <c r="C152" s="231"/>
    </row>
    <row r="153">
      <c r="A153" s="78"/>
      <c r="B153" s="78"/>
      <c r="C153" s="231"/>
    </row>
    <row r="154">
      <c r="A154" s="78"/>
      <c r="B154" s="78"/>
      <c r="C154" s="231"/>
    </row>
    <row r="155">
      <c r="A155" s="78"/>
      <c r="B155" s="78"/>
      <c r="C155" s="231"/>
    </row>
    <row r="156">
      <c r="A156" s="78"/>
      <c r="B156" s="78"/>
      <c r="C156" s="231"/>
    </row>
    <row r="157">
      <c r="A157" s="78"/>
      <c r="B157" s="78"/>
      <c r="C157" s="231"/>
    </row>
    <row r="158">
      <c r="A158" s="78"/>
      <c r="B158" s="78"/>
      <c r="C158" s="231"/>
    </row>
    <row r="159">
      <c r="A159" s="78"/>
      <c r="B159" s="78"/>
      <c r="C159" s="231"/>
    </row>
    <row r="160">
      <c r="A160" s="78"/>
      <c r="B160" s="78"/>
      <c r="C160" s="231"/>
    </row>
    <row r="161">
      <c r="A161" s="78"/>
      <c r="B161" s="78"/>
      <c r="C161" s="231"/>
    </row>
    <row r="162">
      <c r="A162" s="78"/>
      <c r="B162" s="78"/>
      <c r="C162" s="231"/>
    </row>
    <row r="163">
      <c r="A163" s="78"/>
      <c r="B163" s="78"/>
      <c r="C163" s="231"/>
    </row>
    <row r="164">
      <c r="A164" s="78"/>
      <c r="B164" s="78"/>
      <c r="C164" s="231"/>
    </row>
    <row r="165">
      <c r="A165" s="78"/>
      <c r="B165" s="78"/>
      <c r="C165" s="231"/>
    </row>
    <row r="166">
      <c r="A166" s="78"/>
      <c r="B166" s="78"/>
      <c r="C166" s="231"/>
    </row>
    <row r="167">
      <c r="A167" s="78"/>
      <c r="B167" s="78"/>
      <c r="C167" s="231"/>
    </row>
    <row r="168">
      <c r="A168" s="78"/>
      <c r="B168" s="78"/>
      <c r="C168" s="231"/>
    </row>
    <row r="169">
      <c r="A169" s="78"/>
      <c r="B169" s="78"/>
      <c r="C169" s="231"/>
    </row>
    <row r="170">
      <c r="A170" s="78"/>
      <c r="B170" s="78"/>
      <c r="C170" s="231"/>
    </row>
    <row r="171">
      <c r="A171" s="78"/>
      <c r="B171" s="78"/>
      <c r="C171" s="231"/>
    </row>
    <row r="172">
      <c r="A172" s="78"/>
      <c r="B172" s="78"/>
      <c r="C172" s="231"/>
    </row>
    <row r="173">
      <c r="A173" s="78"/>
      <c r="B173" s="78"/>
      <c r="C173" s="231"/>
    </row>
    <row r="174">
      <c r="A174" s="78"/>
      <c r="B174" s="78"/>
      <c r="C174" s="231"/>
    </row>
    <row r="175">
      <c r="A175" s="78"/>
      <c r="B175" s="78"/>
      <c r="C175" s="231"/>
    </row>
    <row r="176">
      <c r="A176" s="78"/>
      <c r="B176" s="78"/>
      <c r="C176" s="231"/>
    </row>
    <row r="177">
      <c r="A177" s="78"/>
      <c r="B177" s="78"/>
      <c r="C177" s="231"/>
    </row>
    <row r="178">
      <c r="A178" s="78"/>
      <c r="B178" s="78"/>
      <c r="C178" s="231"/>
    </row>
    <row r="179">
      <c r="A179" s="78"/>
      <c r="B179" s="78"/>
      <c r="C179" s="231"/>
    </row>
    <row r="180">
      <c r="A180" s="78"/>
      <c r="B180" s="78"/>
      <c r="C180" s="231"/>
    </row>
    <row r="181">
      <c r="A181" s="78"/>
      <c r="B181" s="78"/>
      <c r="C181" s="231"/>
    </row>
    <row r="182">
      <c r="A182" s="78"/>
      <c r="B182" s="78"/>
      <c r="C182" s="231"/>
    </row>
    <row r="183">
      <c r="A183" s="78"/>
      <c r="B183" s="78"/>
      <c r="C183" s="231"/>
    </row>
    <row r="184">
      <c r="A184" s="78"/>
      <c r="B184" s="78"/>
      <c r="C184" s="231"/>
    </row>
    <row r="185">
      <c r="A185" s="78"/>
      <c r="B185" s="78"/>
      <c r="C185" s="231"/>
    </row>
    <row r="186">
      <c r="A186" s="78"/>
      <c r="B186" s="78"/>
      <c r="C186" s="231"/>
    </row>
    <row r="187">
      <c r="A187" s="78"/>
      <c r="B187" s="78"/>
      <c r="C187" s="231"/>
    </row>
    <row r="188">
      <c r="A188" s="78"/>
      <c r="B188" s="78"/>
      <c r="C188" s="231"/>
    </row>
    <row r="189">
      <c r="A189" s="78"/>
      <c r="B189" s="78"/>
      <c r="C189" s="231"/>
    </row>
    <row r="190">
      <c r="A190" s="78"/>
      <c r="B190" s="78"/>
      <c r="C190" s="231"/>
    </row>
    <row r="191">
      <c r="A191" s="78"/>
      <c r="B191" s="78"/>
      <c r="C191" s="231"/>
    </row>
    <row r="192">
      <c r="A192" s="78"/>
      <c r="B192" s="78"/>
      <c r="C192" s="231"/>
    </row>
    <row r="193">
      <c r="A193" s="78"/>
      <c r="B193" s="78"/>
      <c r="C193" s="231"/>
    </row>
    <row r="194">
      <c r="A194" s="78"/>
      <c r="B194" s="78"/>
      <c r="C194" s="231"/>
    </row>
    <row r="195">
      <c r="A195" s="78"/>
      <c r="B195" s="78"/>
      <c r="C195" s="231"/>
    </row>
    <row r="196">
      <c r="A196" s="78"/>
      <c r="B196" s="78"/>
      <c r="C196" s="231"/>
    </row>
    <row r="197">
      <c r="A197" s="78"/>
      <c r="B197" s="78"/>
      <c r="C197" s="231"/>
    </row>
    <row r="198">
      <c r="A198" s="78"/>
      <c r="B198" s="78"/>
      <c r="C198" s="231"/>
    </row>
    <row r="199">
      <c r="A199" s="78"/>
      <c r="B199" s="78"/>
      <c r="C199" s="231"/>
    </row>
    <row r="200">
      <c r="A200" s="78"/>
      <c r="B200" s="78"/>
      <c r="C200" s="231"/>
    </row>
    <row r="201">
      <c r="A201" s="78"/>
      <c r="B201" s="78"/>
      <c r="C201" s="231"/>
    </row>
    <row r="202">
      <c r="A202" s="78"/>
      <c r="B202" s="78"/>
      <c r="C202" s="231"/>
    </row>
    <row r="203">
      <c r="A203" s="78"/>
      <c r="B203" s="78"/>
      <c r="C203" s="231"/>
    </row>
    <row r="204">
      <c r="A204" s="78"/>
      <c r="B204" s="78"/>
      <c r="C204" s="231"/>
    </row>
    <row r="205">
      <c r="A205" s="78"/>
      <c r="B205" s="78"/>
      <c r="C205" s="231"/>
    </row>
    <row r="206">
      <c r="A206" s="78"/>
      <c r="B206" s="78"/>
      <c r="C206" s="231"/>
    </row>
    <row r="207">
      <c r="A207" s="78"/>
      <c r="B207" s="78"/>
      <c r="C207" s="231"/>
    </row>
    <row r="208">
      <c r="A208" s="78"/>
      <c r="B208" s="78"/>
      <c r="C208" s="231"/>
    </row>
    <row r="209">
      <c r="A209" s="78"/>
      <c r="B209" s="78"/>
      <c r="C209" s="231"/>
    </row>
    <row r="210">
      <c r="A210" s="78"/>
      <c r="B210" s="78"/>
      <c r="C210" s="231"/>
    </row>
    <row r="211">
      <c r="A211" s="78"/>
      <c r="B211" s="78"/>
      <c r="C211" s="231"/>
    </row>
    <row r="212">
      <c r="A212" s="78"/>
      <c r="B212" s="78"/>
      <c r="C212" s="231"/>
    </row>
    <row r="213">
      <c r="A213" s="78"/>
      <c r="B213" s="78"/>
      <c r="C213" s="231"/>
    </row>
    <row r="214">
      <c r="A214" s="78"/>
      <c r="B214" s="78"/>
      <c r="C214" s="231"/>
    </row>
    <row r="215">
      <c r="A215" s="78"/>
      <c r="B215" s="78"/>
      <c r="C215" s="231"/>
    </row>
    <row r="216">
      <c r="A216" s="78"/>
      <c r="B216" s="78"/>
      <c r="C216" s="231"/>
    </row>
    <row r="217">
      <c r="A217" s="78"/>
      <c r="B217" s="78"/>
      <c r="C217" s="231"/>
    </row>
    <row r="218">
      <c r="A218" s="78"/>
      <c r="B218" s="78"/>
      <c r="C218" s="231"/>
    </row>
    <row r="219">
      <c r="A219" s="78"/>
      <c r="B219" s="78"/>
      <c r="C219" s="231"/>
    </row>
    <row r="220">
      <c r="A220" s="78"/>
      <c r="B220" s="78"/>
      <c r="C220" s="231"/>
    </row>
    <row r="221">
      <c r="A221" s="78"/>
      <c r="B221" s="78"/>
      <c r="C221" s="231"/>
    </row>
    <row r="222">
      <c r="A222" s="78"/>
      <c r="B222" s="78"/>
      <c r="C222" s="231"/>
    </row>
    <row r="223">
      <c r="A223" s="78"/>
      <c r="B223" s="78"/>
      <c r="C223" s="231"/>
    </row>
    <row r="224">
      <c r="A224" s="78"/>
      <c r="B224" s="78"/>
      <c r="C224" s="231"/>
    </row>
    <row r="225">
      <c r="A225" s="78"/>
      <c r="B225" s="78"/>
      <c r="C225" s="231"/>
    </row>
    <row r="226">
      <c r="A226" s="78"/>
      <c r="B226" s="78"/>
      <c r="C226" s="231"/>
    </row>
    <row r="227">
      <c r="A227" s="78"/>
      <c r="B227" s="78"/>
      <c r="C227" s="231"/>
    </row>
    <row r="228">
      <c r="A228" s="78"/>
      <c r="B228" s="78"/>
      <c r="C228" s="231"/>
    </row>
    <row r="229">
      <c r="A229" s="78"/>
      <c r="B229" s="78"/>
      <c r="C229" s="231"/>
    </row>
    <row r="230">
      <c r="A230" s="78"/>
      <c r="B230" s="78"/>
      <c r="C230" s="231"/>
    </row>
    <row r="231">
      <c r="A231" s="78"/>
      <c r="B231" s="78"/>
      <c r="C231" s="231"/>
    </row>
    <row r="232">
      <c r="A232" s="78"/>
      <c r="B232" s="78"/>
      <c r="C232" s="231"/>
    </row>
    <row r="233">
      <c r="A233" s="78"/>
      <c r="B233" s="78"/>
      <c r="C233" s="231"/>
    </row>
    <row r="234">
      <c r="A234" s="78"/>
      <c r="B234" s="78"/>
      <c r="C234" s="231"/>
    </row>
    <row r="235">
      <c r="A235" s="78"/>
      <c r="B235" s="78"/>
      <c r="C235" s="231"/>
    </row>
    <row r="236">
      <c r="A236" s="78"/>
      <c r="B236" s="78"/>
      <c r="C236" s="231"/>
    </row>
    <row r="237">
      <c r="A237" s="78"/>
      <c r="B237" s="78"/>
      <c r="C237" s="231"/>
    </row>
    <row r="238">
      <c r="A238" s="78"/>
      <c r="B238" s="78"/>
      <c r="C238" s="231"/>
    </row>
    <row r="239">
      <c r="A239" s="78"/>
      <c r="B239" s="78"/>
      <c r="C239" s="231"/>
    </row>
    <row r="240">
      <c r="A240" s="78"/>
      <c r="B240" s="78"/>
      <c r="C240" s="231"/>
    </row>
    <row r="241">
      <c r="A241" s="78"/>
      <c r="B241" s="78"/>
      <c r="C241" s="231"/>
    </row>
    <row r="242">
      <c r="A242" s="78"/>
      <c r="B242" s="78"/>
      <c r="C242" s="231"/>
    </row>
    <row r="243">
      <c r="A243" s="78"/>
      <c r="B243" s="78"/>
      <c r="C243" s="231"/>
    </row>
    <row r="244">
      <c r="A244" s="78"/>
      <c r="B244" s="78"/>
      <c r="C244" s="231"/>
    </row>
    <row r="245">
      <c r="A245" s="78"/>
      <c r="B245" s="78"/>
      <c r="C245" s="231"/>
    </row>
    <row r="246">
      <c r="A246" s="78"/>
      <c r="B246" s="78"/>
      <c r="C246" s="231"/>
    </row>
    <row r="247">
      <c r="A247" s="78"/>
      <c r="B247" s="78"/>
      <c r="C247" s="231"/>
    </row>
    <row r="248">
      <c r="A248" s="78"/>
      <c r="B248" s="78"/>
      <c r="C248" s="231"/>
    </row>
    <row r="249">
      <c r="A249" s="78"/>
      <c r="B249" s="78"/>
      <c r="C249" s="231"/>
    </row>
    <row r="250">
      <c r="A250" s="78"/>
      <c r="B250" s="78"/>
      <c r="C250" s="231"/>
    </row>
    <row r="251">
      <c r="A251" s="78"/>
      <c r="B251" s="78"/>
      <c r="C251" s="231"/>
    </row>
    <row r="252">
      <c r="A252" s="78"/>
      <c r="B252" s="78"/>
      <c r="C252" s="231"/>
    </row>
    <row r="253">
      <c r="A253" s="78"/>
      <c r="B253" s="78"/>
      <c r="C253" s="231"/>
    </row>
    <row r="254">
      <c r="A254" s="78"/>
      <c r="B254" s="78"/>
      <c r="C254" s="231"/>
    </row>
    <row r="255">
      <c r="A255" s="78"/>
      <c r="B255" s="78"/>
      <c r="C255" s="231"/>
    </row>
    <row r="256">
      <c r="A256" s="78"/>
      <c r="B256" s="78"/>
      <c r="C256" s="231"/>
    </row>
    <row r="257">
      <c r="A257" s="78"/>
      <c r="B257" s="78"/>
      <c r="C257" s="231"/>
    </row>
    <row r="258">
      <c r="A258" s="78"/>
      <c r="B258" s="78"/>
      <c r="C258" s="231"/>
    </row>
    <row r="259">
      <c r="A259" s="78"/>
      <c r="B259" s="78"/>
      <c r="C259" s="231"/>
    </row>
    <row r="260">
      <c r="A260" s="78"/>
      <c r="B260" s="78"/>
      <c r="C260" s="231"/>
    </row>
    <row r="261">
      <c r="A261" s="78"/>
      <c r="B261" s="78"/>
      <c r="C261" s="231"/>
    </row>
    <row r="262">
      <c r="A262" s="78"/>
      <c r="B262" s="78"/>
      <c r="C262" s="231"/>
    </row>
    <row r="263">
      <c r="A263" s="78"/>
      <c r="B263" s="78"/>
      <c r="C263" s="231"/>
    </row>
    <row r="264">
      <c r="A264" s="78"/>
      <c r="B264" s="78"/>
      <c r="C264" s="231"/>
    </row>
    <row r="265">
      <c r="A265" s="78"/>
      <c r="B265" s="78"/>
      <c r="C265" s="231"/>
    </row>
    <row r="266">
      <c r="A266" s="78"/>
      <c r="B266" s="78"/>
      <c r="C266" s="231"/>
    </row>
    <row r="267">
      <c r="A267" s="78"/>
      <c r="B267" s="78"/>
      <c r="C267" s="231"/>
    </row>
    <row r="268">
      <c r="A268" s="78"/>
      <c r="B268" s="78"/>
      <c r="C268" s="231"/>
    </row>
    <row r="269">
      <c r="A269" s="78"/>
      <c r="B269" s="78"/>
      <c r="C269" s="231"/>
    </row>
    <row r="270">
      <c r="A270" s="78"/>
      <c r="B270" s="78"/>
      <c r="C270" s="231"/>
    </row>
    <row r="271">
      <c r="A271" s="78"/>
      <c r="B271" s="78"/>
      <c r="C271" s="231"/>
    </row>
    <row r="272">
      <c r="A272" s="78"/>
      <c r="B272" s="78"/>
      <c r="C272" s="231"/>
    </row>
    <row r="273">
      <c r="A273" s="78"/>
      <c r="B273" s="78"/>
      <c r="C273" s="231"/>
    </row>
    <row r="274">
      <c r="A274" s="78"/>
      <c r="B274" s="78"/>
      <c r="C274" s="231"/>
    </row>
    <row r="275">
      <c r="A275" s="78"/>
      <c r="B275" s="78"/>
      <c r="C275" s="231"/>
    </row>
    <row r="276">
      <c r="A276" s="78"/>
      <c r="B276" s="78"/>
      <c r="C276" s="231"/>
    </row>
    <row r="277">
      <c r="A277" s="78"/>
      <c r="B277" s="78"/>
      <c r="C277" s="231"/>
    </row>
    <row r="278">
      <c r="A278" s="78"/>
      <c r="B278" s="78"/>
      <c r="C278" s="231"/>
    </row>
    <row r="279">
      <c r="A279" s="78"/>
      <c r="B279" s="78"/>
      <c r="C279" s="231"/>
    </row>
    <row r="280">
      <c r="A280" s="78"/>
      <c r="B280" s="78"/>
      <c r="C280" s="231"/>
    </row>
    <row r="281">
      <c r="A281" s="78"/>
      <c r="B281" s="78"/>
      <c r="C281" s="231"/>
    </row>
    <row r="282">
      <c r="A282" s="78"/>
      <c r="B282" s="78"/>
      <c r="C282" s="231"/>
    </row>
    <row r="283">
      <c r="A283" s="78"/>
      <c r="B283" s="78"/>
      <c r="C283" s="231"/>
    </row>
    <row r="284">
      <c r="A284" s="78"/>
      <c r="B284" s="78"/>
      <c r="C284" s="231"/>
    </row>
    <row r="285">
      <c r="A285" s="78"/>
      <c r="B285" s="78"/>
      <c r="C285" s="231"/>
    </row>
    <row r="286">
      <c r="A286" s="78"/>
      <c r="B286" s="78"/>
      <c r="C286" s="231"/>
    </row>
    <row r="287">
      <c r="A287" s="78"/>
      <c r="B287" s="78"/>
      <c r="C287" s="231"/>
    </row>
    <row r="288">
      <c r="A288" s="78"/>
      <c r="B288" s="78"/>
      <c r="C288" s="231"/>
    </row>
    <row r="289">
      <c r="A289" s="78"/>
      <c r="B289" s="78"/>
      <c r="C289" s="231"/>
    </row>
    <row r="290">
      <c r="A290" s="78"/>
      <c r="B290" s="78"/>
      <c r="C290" s="231"/>
    </row>
    <row r="291">
      <c r="A291" s="78"/>
      <c r="B291" s="78"/>
      <c r="C291" s="231"/>
    </row>
    <row r="292">
      <c r="A292" s="78"/>
      <c r="B292" s="78"/>
      <c r="C292" s="231"/>
    </row>
    <row r="293">
      <c r="A293" s="78"/>
      <c r="B293" s="78"/>
      <c r="C293" s="231"/>
    </row>
    <row r="294">
      <c r="A294" s="78"/>
      <c r="B294" s="78"/>
      <c r="C294" s="231"/>
    </row>
    <row r="295">
      <c r="A295" s="78"/>
      <c r="B295" s="78"/>
      <c r="C295" s="231"/>
    </row>
    <row r="296">
      <c r="A296" s="78"/>
      <c r="B296" s="78"/>
      <c r="C296" s="231"/>
    </row>
    <row r="297">
      <c r="A297" s="78"/>
      <c r="B297" s="78"/>
      <c r="C297" s="231"/>
    </row>
    <row r="298">
      <c r="A298" s="78"/>
      <c r="B298" s="78"/>
      <c r="C298" s="231"/>
    </row>
    <row r="299">
      <c r="A299" s="78"/>
      <c r="B299" s="78"/>
      <c r="C299" s="231"/>
    </row>
    <row r="300">
      <c r="A300" s="78"/>
      <c r="B300" s="78"/>
      <c r="C300" s="231"/>
    </row>
    <row r="301">
      <c r="A301" s="78"/>
      <c r="B301" s="78"/>
      <c r="C301" s="231"/>
    </row>
    <row r="302">
      <c r="A302" s="78"/>
      <c r="B302" s="78"/>
      <c r="C302" s="231"/>
    </row>
    <row r="303">
      <c r="A303" s="78"/>
      <c r="B303" s="78"/>
      <c r="C303" s="231"/>
    </row>
    <row r="304">
      <c r="A304" s="78"/>
      <c r="B304" s="78"/>
      <c r="C304" s="231"/>
    </row>
    <row r="305">
      <c r="A305" s="78"/>
      <c r="B305" s="78"/>
      <c r="C305" s="231"/>
    </row>
    <row r="306">
      <c r="A306" s="78"/>
      <c r="B306" s="78"/>
      <c r="C306" s="231"/>
    </row>
    <row r="307">
      <c r="A307" s="78"/>
      <c r="B307" s="78"/>
      <c r="C307" s="231"/>
    </row>
    <row r="308">
      <c r="A308" s="78"/>
      <c r="B308" s="78"/>
      <c r="C308" s="231"/>
    </row>
    <row r="309">
      <c r="A309" s="78"/>
      <c r="B309" s="78"/>
      <c r="C309" s="231"/>
    </row>
    <row r="310">
      <c r="A310" s="78"/>
      <c r="B310" s="78"/>
      <c r="C310" s="231"/>
    </row>
    <row r="311">
      <c r="A311" s="78"/>
      <c r="B311" s="78"/>
      <c r="C311" s="231"/>
    </row>
    <row r="312">
      <c r="A312" s="78"/>
      <c r="B312" s="78"/>
      <c r="C312" s="231"/>
    </row>
    <row r="313">
      <c r="A313" s="78"/>
      <c r="B313" s="78"/>
      <c r="C313" s="231"/>
    </row>
    <row r="314">
      <c r="A314" s="78"/>
      <c r="B314" s="78"/>
      <c r="C314" s="231"/>
    </row>
    <row r="315">
      <c r="A315" s="78"/>
      <c r="B315" s="78"/>
      <c r="C315" s="231"/>
    </row>
    <row r="316">
      <c r="A316" s="78"/>
      <c r="B316" s="78"/>
      <c r="C316" s="231"/>
    </row>
    <row r="317">
      <c r="A317" s="78"/>
      <c r="B317" s="78"/>
      <c r="C317" s="231"/>
    </row>
    <row r="318">
      <c r="A318" s="78"/>
      <c r="B318" s="78"/>
      <c r="C318" s="231"/>
    </row>
    <row r="319">
      <c r="A319" s="78"/>
      <c r="B319" s="78"/>
      <c r="C319" s="231"/>
    </row>
    <row r="320">
      <c r="A320" s="78"/>
      <c r="B320" s="78"/>
      <c r="C320" s="231"/>
    </row>
    <row r="321">
      <c r="A321" s="78"/>
      <c r="B321" s="78"/>
      <c r="C321" s="231"/>
    </row>
    <row r="322">
      <c r="A322" s="78"/>
      <c r="B322" s="78"/>
      <c r="C322" s="231"/>
    </row>
    <row r="323">
      <c r="A323" s="78"/>
      <c r="B323" s="78"/>
      <c r="C323" s="231"/>
    </row>
    <row r="324">
      <c r="A324" s="78"/>
      <c r="B324" s="78"/>
      <c r="C324" s="231"/>
    </row>
    <row r="325">
      <c r="A325" s="78"/>
      <c r="B325" s="78"/>
      <c r="C325" s="231"/>
    </row>
    <row r="326">
      <c r="A326" s="78"/>
      <c r="B326" s="78"/>
      <c r="C326" s="231"/>
    </row>
    <row r="327">
      <c r="A327" s="78"/>
      <c r="B327" s="78"/>
      <c r="C327" s="231"/>
    </row>
    <row r="328">
      <c r="A328" s="78"/>
      <c r="B328" s="78"/>
      <c r="C328" s="231"/>
    </row>
    <row r="329">
      <c r="A329" s="78"/>
      <c r="B329" s="78"/>
      <c r="C329" s="231"/>
    </row>
    <row r="330">
      <c r="A330" s="78"/>
      <c r="B330" s="78"/>
      <c r="C330" s="231"/>
    </row>
    <row r="331">
      <c r="A331" s="78"/>
      <c r="B331" s="78"/>
      <c r="C331" s="231"/>
    </row>
    <row r="332">
      <c r="A332" s="78"/>
      <c r="B332" s="78"/>
      <c r="C332" s="231"/>
    </row>
    <row r="333">
      <c r="A333" s="78"/>
      <c r="B333" s="78"/>
      <c r="C333" s="231"/>
    </row>
    <row r="334">
      <c r="A334" s="78"/>
      <c r="B334" s="78"/>
      <c r="C334" s="231"/>
    </row>
    <row r="335">
      <c r="A335" s="78"/>
      <c r="B335" s="78"/>
      <c r="C335" s="231"/>
    </row>
    <row r="336">
      <c r="A336" s="78"/>
      <c r="B336" s="78"/>
      <c r="C336" s="231"/>
    </row>
    <row r="337">
      <c r="A337" s="78"/>
      <c r="B337" s="78"/>
      <c r="C337" s="231"/>
    </row>
    <row r="338">
      <c r="A338" s="78"/>
      <c r="B338" s="78"/>
      <c r="C338" s="231"/>
    </row>
    <row r="339">
      <c r="A339" s="78"/>
      <c r="B339" s="78"/>
      <c r="C339" s="231"/>
    </row>
    <row r="340">
      <c r="A340" s="78"/>
      <c r="B340" s="78"/>
      <c r="C340" s="231"/>
    </row>
    <row r="341">
      <c r="A341" s="78"/>
      <c r="B341" s="78"/>
      <c r="C341" s="231"/>
    </row>
    <row r="342">
      <c r="A342" s="78"/>
      <c r="B342" s="78"/>
      <c r="C342" s="231"/>
    </row>
    <row r="343">
      <c r="A343" s="78"/>
      <c r="B343" s="78"/>
      <c r="C343" s="231"/>
    </row>
    <row r="344">
      <c r="A344" s="78"/>
      <c r="B344" s="78"/>
      <c r="C344" s="231"/>
    </row>
    <row r="345">
      <c r="A345" s="78"/>
      <c r="B345" s="78"/>
      <c r="C345" s="231"/>
    </row>
    <row r="346">
      <c r="A346" s="78"/>
      <c r="B346" s="78"/>
      <c r="C346" s="231"/>
    </row>
    <row r="347">
      <c r="A347" s="78"/>
      <c r="B347" s="78"/>
      <c r="C347" s="231"/>
    </row>
    <row r="348">
      <c r="A348" s="78"/>
      <c r="B348" s="78"/>
      <c r="C348" s="231"/>
    </row>
    <row r="349">
      <c r="A349" s="78"/>
      <c r="B349" s="78"/>
      <c r="C349" s="231"/>
    </row>
    <row r="350">
      <c r="A350" s="78"/>
      <c r="B350" s="78"/>
      <c r="C350" s="231"/>
    </row>
    <row r="351">
      <c r="A351" s="78"/>
      <c r="B351" s="78"/>
      <c r="C351" s="231"/>
    </row>
    <row r="352">
      <c r="A352" s="78"/>
      <c r="B352" s="78"/>
      <c r="C352" s="231"/>
    </row>
    <row r="353">
      <c r="A353" s="78"/>
      <c r="B353" s="78"/>
      <c r="C353" s="231"/>
    </row>
    <row r="354">
      <c r="A354" s="78"/>
      <c r="B354" s="78"/>
      <c r="C354" s="231"/>
    </row>
    <row r="355">
      <c r="A355" s="78"/>
      <c r="B355" s="78"/>
      <c r="C355" s="231"/>
    </row>
    <row r="356">
      <c r="A356" s="78"/>
      <c r="B356" s="78"/>
      <c r="C356" s="231"/>
    </row>
    <row r="357">
      <c r="A357" s="78"/>
      <c r="B357" s="78"/>
      <c r="C357" s="231"/>
    </row>
    <row r="358">
      <c r="A358" s="78"/>
      <c r="B358" s="78"/>
      <c r="C358" s="231"/>
    </row>
    <row r="359">
      <c r="A359" s="78"/>
      <c r="B359" s="78"/>
      <c r="C359" s="231"/>
    </row>
    <row r="360">
      <c r="A360" s="78"/>
      <c r="B360" s="78"/>
      <c r="C360" s="231"/>
    </row>
    <row r="361">
      <c r="A361" s="78"/>
      <c r="B361" s="78"/>
      <c r="C361" s="231"/>
    </row>
    <row r="362">
      <c r="A362" s="78"/>
      <c r="B362" s="78"/>
      <c r="C362" s="231"/>
    </row>
    <row r="363">
      <c r="A363" s="78"/>
      <c r="B363" s="78"/>
      <c r="C363" s="231"/>
    </row>
    <row r="364">
      <c r="A364" s="78"/>
      <c r="B364" s="78"/>
      <c r="C364" s="231"/>
    </row>
    <row r="365">
      <c r="A365" s="78"/>
      <c r="B365" s="78"/>
      <c r="C365" s="231"/>
    </row>
    <row r="366">
      <c r="A366" s="78"/>
      <c r="B366" s="78"/>
      <c r="C366" s="231"/>
    </row>
    <row r="367">
      <c r="A367" s="78"/>
      <c r="B367" s="78"/>
      <c r="C367" s="231"/>
    </row>
    <row r="368">
      <c r="A368" s="78"/>
      <c r="B368" s="78"/>
      <c r="C368" s="231"/>
    </row>
    <row r="369">
      <c r="A369" s="78"/>
      <c r="B369" s="78"/>
      <c r="C369" s="231"/>
    </row>
    <row r="370">
      <c r="A370" s="78"/>
      <c r="B370" s="78"/>
      <c r="C370" s="231"/>
    </row>
    <row r="371">
      <c r="A371" s="78"/>
      <c r="B371" s="78"/>
      <c r="C371" s="231"/>
    </row>
    <row r="372">
      <c r="A372" s="78"/>
      <c r="B372" s="78"/>
      <c r="C372" s="231"/>
    </row>
    <row r="373">
      <c r="A373" s="78"/>
      <c r="B373" s="78"/>
      <c r="C373" s="231"/>
    </row>
    <row r="374">
      <c r="A374" s="78"/>
      <c r="B374" s="78"/>
      <c r="C374" s="231"/>
    </row>
    <row r="375">
      <c r="A375" s="78"/>
      <c r="B375" s="78"/>
      <c r="C375" s="231"/>
    </row>
    <row r="376">
      <c r="A376" s="78"/>
      <c r="B376" s="78"/>
      <c r="C376" s="231"/>
    </row>
    <row r="377">
      <c r="A377" s="78"/>
      <c r="B377" s="78"/>
      <c r="C377" s="231"/>
    </row>
    <row r="378">
      <c r="A378" s="78"/>
      <c r="B378" s="78"/>
      <c r="C378" s="231"/>
    </row>
    <row r="379">
      <c r="A379" s="78"/>
      <c r="B379" s="78"/>
      <c r="C379" s="231"/>
    </row>
    <row r="380">
      <c r="A380" s="78"/>
      <c r="B380" s="78"/>
      <c r="C380" s="231"/>
    </row>
    <row r="381">
      <c r="A381" s="78"/>
      <c r="B381" s="78"/>
      <c r="C381" s="231"/>
    </row>
    <row r="382">
      <c r="A382" s="78"/>
      <c r="B382" s="78"/>
      <c r="C382" s="231"/>
    </row>
    <row r="383">
      <c r="A383" s="78"/>
      <c r="B383" s="78"/>
      <c r="C383" s="231"/>
    </row>
    <row r="384">
      <c r="A384" s="78"/>
      <c r="B384" s="78"/>
      <c r="C384" s="231"/>
    </row>
    <row r="385">
      <c r="A385" s="78"/>
      <c r="B385" s="78"/>
      <c r="C385" s="231"/>
    </row>
    <row r="386">
      <c r="A386" s="78"/>
      <c r="B386" s="78"/>
      <c r="C386" s="231"/>
    </row>
    <row r="387">
      <c r="A387" s="78"/>
      <c r="B387" s="78"/>
      <c r="C387" s="231"/>
    </row>
    <row r="388">
      <c r="A388" s="78"/>
      <c r="B388" s="78"/>
      <c r="C388" s="231"/>
    </row>
    <row r="389">
      <c r="A389" s="78"/>
      <c r="B389" s="78"/>
      <c r="C389" s="231"/>
    </row>
    <row r="390">
      <c r="A390" s="78"/>
      <c r="B390" s="78"/>
      <c r="C390" s="231"/>
    </row>
    <row r="391">
      <c r="A391" s="78"/>
      <c r="B391" s="78"/>
      <c r="C391" s="231"/>
    </row>
    <row r="392">
      <c r="A392" s="78"/>
      <c r="B392" s="78"/>
      <c r="C392" s="231"/>
    </row>
    <row r="393">
      <c r="A393" s="78"/>
      <c r="B393" s="78"/>
      <c r="C393" s="231"/>
    </row>
    <row r="394">
      <c r="A394" s="78"/>
      <c r="B394" s="78"/>
      <c r="C394" s="231"/>
    </row>
    <row r="395">
      <c r="A395" s="78"/>
      <c r="B395" s="78"/>
      <c r="C395" s="231"/>
    </row>
    <row r="396">
      <c r="A396" s="78"/>
      <c r="B396" s="78"/>
      <c r="C396" s="231"/>
    </row>
    <row r="397">
      <c r="A397" s="78"/>
      <c r="B397" s="78"/>
      <c r="C397" s="231"/>
    </row>
    <row r="398">
      <c r="A398" s="78"/>
      <c r="B398" s="78"/>
      <c r="C398" s="231"/>
    </row>
    <row r="399">
      <c r="A399" s="78"/>
      <c r="B399" s="78"/>
      <c r="C399" s="231"/>
    </row>
    <row r="400">
      <c r="A400" s="78"/>
      <c r="B400" s="78"/>
      <c r="C400" s="231"/>
    </row>
    <row r="401">
      <c r="A401" s="78"/>
      <c r="B401" s="78"/>
      <c r="C401" s="231"/>
    </row>
    <row r="402">
      <c r="A402" s="78"/>
      <c r="B402" s="78"/>
      <c r="C402" s="231"/>
    </row>
    <row r="403">
      <c r="A403" s="78"/>
      <c r="B403" s="78"/>
      <c r="C403" s="231"/>
    </row>
    <row r="404">
      <c r="A404" s="78"/>
      <c r="B404" s="78"/>
      <c r="C404" s="231"/>
    </row>
    <row r="405">
      <c r="A405" s="78"/>
      <c r="B405" s="78"/>
      <c r="C405" s="231"/>
    </row>
    <row r="406">
      <c r="A406" s="78"/>
      <c r="B406" s="78"/>
      <c r="C406" s="231"/>
    </row>
    <row r="407">
      <c r="A407" s="78"/>
      <c r="B407" s="78"/>
      <c r="C407" s="231"/>
    </row>
    <row r="408">
      <c r="A408" s="78"/>
      <c r="B408" s="78"/>
      <c r="C408" s="231"/>
    </row>
    <row r="409">
      <c r="A409" s="78"/>
      <c r="B409" s="78"/>
      <c r="C409" s="231"/>
    </row>
    <row r="410">
      <c r="A410" s="78"/>
      <c r="B410" s="78"/>
      <c r="C410" s="231"/>
    </row>
    <row r="411">
      <c r="A411" s="78"/>
      <c r="B411" s="78"/>
      <c r="C411" s="231"/>
    </row>
    <row r="412">
      <c r="A412" s="78"/>
      <c r="B412" s="78"/>
      <c r="C412" s="231"/>
    </row>
    <row r="413">
      <c r="A413" s="78"/>
      <c r="B413" s="78"/>
      <c r="C413" s="231"/>
    </row>
    <row r="414">
      <c r="A414" s="78"/>
      <c r="B414" s="78"/>
      <c r="C414" s="231"/>
    </row>
    <row r="415">
      <c r="A415" s="78"/>
      <c r="B415" s="78"/>
      <c r="C415" s="231"/>
    </row>
    <row r="416">
      <c r="A416" s="78"/>
      <c r="B416" s="78"/>
      <c r="C416" s="231"/>
    </row>
    <row r="417">
      <c r="A417" s="78"/>
      <c r="B417" s="78"/>
      <c r="C417" s="231"/>
    </row>
    <row r="418">
      <c r="A418" s="78"/>
      <c r="B418" s="78"/>
      <c r="C418" s="231"/>
    </row>
    <row r="419">
      <c r="A419" s="78"/>
      <c r="B419" s="78"/>
      <c r="C419" s="231"/>
    </row>
    <row r="420">
      <c r="A420" s="78"/>
      <c r="B420" s="78"/>
      <c r="C420" s="231"/>
    </row>
    <row r="421">
      <c r="A421" s="78"/>
      <c r="B421" s="78"/>
      <c r="C421" s="231"/>
    </row>
    <row r="422">
      <c r="A422" s="78"/>
      <c r="B422" s="78"/>
      <c r="C422" s="231"/>
    </row>
    <row r="423">
      <c r="A423" s="78"/>
      <c r="B423" s="78"/>
      <c r="C423" s="231"/>
    </row>
    <row r="424">
      <c r="A424" s="78"/>
      <c r="B424" s="78"/>
      <c r="C424" s="231"/>
    </row>
    <row r="425">
      <c r="A425" s="78"/>
      <c r="B425" s="78"/>
      <c r="C425" s="231"/>
    </row>
    <row r="426">
      <c r="A426" s="78"/>
      <c r="B426" s="78"/>
      <c r="C426" s="231"/>
    </row>
    <row r="427">
      <c r="A427" s="78"/>
      <c r="B427" s="78"/>
      <c r="C427" s="231"/>
    </row>
    <row r="428">
      <c r="A428" s="78"/>
      <c r="B428" s="78"/>
      <c r="C428" s="231"/>
    </row>
    <row r="429">
      <c r="A429" s="78"/>
      <c r="B429" s="78"/>
      <c r="C429" s="231"/>
    </row>
    <row r="430">
      <c r="A430" s="78"/>
      <c r="B430" s="78"/>
      <c r="C430" s="231"/>
    </row>
    <row r="431">
      <c r="A431" s="78"/>
      <c r="B431" s="78"/>
      <c r="C431" s="231"/>
    </row>
    <row r="432">
      <c r="A432" s="78"/>
      <c r="B432" s="78"/>
      <c r="C432" s="231"/>
    </row>
    <row r="433">
      <c r="A433" s="78"/>
      <c r="B433" s="78"/>
      <c r="C433" s="231"/>
    </row>
    <row r="434">
      <c r="A434" s="78"/>
      <c r="B434" s="78"/>
      <c r="C434" s="231"/>
    </row>
    <row r="435">
      <c r="A435" s="78"/>
      <c r="B435" s="78"/>
      <c r="C435" s="231"/>
    </row>
    <row r="436">
      <c r="A436" s="78"/>
      <c r="B436" s="78"/>
      <c r="C436" s="231"/>
    </row>
    <row r="437">
      <c r="A437" s="78"/>
      <c r="B437" s="78"/>
      <c r="C437" s="231"/>
    </row>
    <row r="438">
      <c r="A438" s="78"/>
      <c r="B438" s="78"/>
      <c r="C438" s="231"/>
    </row>
    <row r="439">
      <c r="A439" s="78"/>
      <c r="B439" s="78"/>
      <c r="C439" s="231"/>
    </row>
    <row r="440">
      <c r="A440" s="78"/>
      <c r="B440" s="78"/>
      <c r="C440" s="231"/>
    </row>
    <row r="441">
      <c r="A441" s="78"/>
      <c r="B441" s="78"/>
      <c r="C441" s="231"/>
    </row>
    <row r="442">
      <c r="A442" s="78"/>
      <c r="B442" s="78"/>
      <c r="C442" s="231"/>
    </row>
    <row r="443">
      <c r="A443" s="78"/>
      <c r="B443" s="78"/>
      <c r="C443" s="231"/>
    </row>
    <row r="444">
      <c r="A444" s="78"/>
      <c r="B444" s="78"/>
      <c r="C444" s="231"/>
    </row>
    <row r="445">
      <c r="A445" s="78"/>
      <c r="B445" s="78"/>
      <c r="C445" s="231"/>
    </row>
    <row r="446">
      <c r="A446" s="78"/>
      <c r="B446" s="78"/>
      <c r="C446" s="231"/>
    </row>
    <row r="447">
      <c r="A447" s="78"/>
      <c r="B447" s="78"/>
      <c r="C447" s="231"/>
    </row>
    <row r="448">
      <c r="A448" s="78"/>
      <c r="B448" s="78"/>
      <c r="C448" s="231"/>
    </row>
    <row r="449">
      <c r="A449" s="78"/>
      <c r="B449" s="78"/>
      <c r="C449" s="231"/>
    </row>
    <row r="450">
      <c r="A450" s="78"/>
      <c r="B450" s="78"/>
      <c r="C450" s="231"/>
    </row>
    <row r="451">
      <c r="A451" s="78"/>
      <c r="B451" s="78"/>
      <c r="C451" s="231"/>
    </row>
    <row r="452">
      <c r="A452" s="78"/>
      <c r="B452" s="78"/>
      <c r="C452" s="231"/>
    </row>
    <row r="453">
      <c r="A453" s="78"/>
      <c r="B453" s="78"/>
      <c r="C453" s="231"/>
    </row>
    <row r="454">
      <c r="A454" s="78"/>
      <c r="B454" s="78"/>
      <c r="C454" s="231"/>
    </row>
    <row r="455">
      <c r="A455" s="78"/>
      <c r="B455" s="78"/>
      <c r="C455" s="231"/>
    </row>
    <row r="456">
      <c r="A456" s="78"/>
      <c r="B456" s="78"/>
      <c r="C456" s="231"/>
    </row>
    <row r="457">
      <c r="A457" s="78"/>
      <c r="B457" s="78"/>
      <c r="C457" s="231"/>
    </row>
    <row r="458">
      <c r="A458" s="78"/>
      <c r="B458" s="78"/>
      <c r="C458" s="231"/>
    </row>
    <row r="459">
      <c r="A459" s="78"/>
      <c r="B459" s="78"/>
      <c r="C459" s="231"/>
    </row>
    <row r="460">
      <c r="A460" s="78"/>
      <c r="B460" s="78"/>
      <c r="C460" s="231"/>
    </row>
    <row r="461">
      <c r="A461" s="78"/>
      <c r="B461" s="78"/>
      <c r="C461" s="231"/>
    </row>
    <row r="462">
      <c r="A462" s="78"/>
      <c r="B462" s="78"/>
      <c r="C462" s="231"/>
    </row>
    <row r="463">
      <c r="A463" s="78"/>
      <c r="B463" s="78"/>
      <c r="C463" s="231"/>
    </row>
    <row r="464">
      <c r="A464" s="78"/>
      <c r="B464" s="78"/>
      <c r="C464" s="231"/>
    </row>
    <row r="465">
      <c r="A465" s="78"/>
      <c r="B465" s="78"/>
      <c r="C465" s="231"/>
    </row>
    <row r="466">
      <c r="A466" s="78"/>
      <c r="B466" s="78"/>
      <c r="C466" s="231"/>
    </row>
    <row r="467">
      <c r="A467" s="78"/>
      <c r="B467" s="78"/>
      <c r="C467" s="231"/>
    </row>
    <row r="468">
      <c r="A468" s="78"/>
      <c r="B468" s="78"/>
      <c r="C468" s="231"/>
    </row>
    <row r="469">
      <c r="A469" s="78"/>
      <c r="B469" s="78"/>
      <c r="C469" s="231"/>
    </row>
    <row r="470">
      <c r="A470" s="78"/>
      <c r="B470" s="78"/>
      <c r="C470" s="231"/>
    </row>
    <row r="471">
      <c r="A471" s="78"/>
      <c r="B471" s="78"/>
      <c r="C471" s="231"/>
    </row>
    <row r="472">
      <c r="A472" s="78"/>
      <c r="B472" s="78"/>
      <c r="C472" s="231"/>
    </row>
    <row r="473">
      <c r="A473" s="78"/>
      <c r="B473" s="78"/>
      <c r="C473" s="231"/>
    </row>
    <row r="474">
      <c r="A474" s="78"/>
      <c r="B474" s="78"/>
      <c r="C474" s="231"/>
    </row>
    <row r="475">
      <c r="A475" s="78"/>
      <c r="B475" s="78"/>
      <c r="C475" s="231"/>
    </row>
    <row r="476">
      <c r="A476" s="78"/>
      <c r="B476" s="78"/>
      <c r="C476" s="231"/>
    </row>
    <row r="477">
      <c r="A477" s="78"/>
      <c r="B477" s="78"/>
      <c r="C477" s="231"/>
    </row>
    <row r="478">
      <c r="A478" s="78"/>
      <c r="B478" s="78"/>
      <c r="C478" s="231"/>
    </row>
    <row r="479">
      <c r="A479" s="78"/>
      <c r="B479" s="78"/>
      <c r="C479" s="231"/>
    </row>
    <row r="480">
      <c r="A480" s="78"/>
      <c r="B480" s="78"/>
      <c r="C480" s="231"/>
    </row>
    <row r="481">
      <c r="A481" s="78"/>
      <c r="B481" s="78"/>
      <c r="C481" s="231"/>
    </row>
    <row r="482">
      <c r="A482" s="78"/>
      <c r="B482" s="78"/>
      <c r="C482" s="231"/>
    </row>
    <row r="483">
      <c r="A483" s="78"/>
      <c r="B483" s="78"/>
      <c r="C483" s="231"/>
    </row>
    <row r="484">
      <c r="A484" s="78"/>
      <c r="B484" s="78"/>
      <c r="C484" s="231"/>
    </row>
    <row r="485">
      <c r="A485" s="78"/>
      <c r="B485" s="78"/>
      <c r="C485" s="231"/>
    </row>
    <row r="486">
      <c r="A486" s="78"/>
      <c r="B486" s="78"/>
      <c r="C486" s="231"/>
    </row>
    <row r="487">
      <c r="A487" s="78"/>
      <c r="B487" s="78"/>
      <c r="C487" s="231"/>
    </row>
    <row r="488">
      <c r="A488" s="78"/>
      <c r="B488" s="78"/>
      <c r="C488" s="231"/>
    </row>
    <row r="489">
      <c r="A489" s="78"/>
      <c r="B489" s="78"/>
      <c r="C489" s="231"/>
    </row>
    <row r="490">
      <c r="A490" s="78"/>
      <c r="B490" s="78"/>
      <c r="C490" s="231"/>
    </row>
    <row r="491">
      <c r="A491" s="78"/>
      <c r="B491" s="78"/>
      <c r="C491" s="231"/>
    </row>
    <row r="492">
      <c r="A492" s="78"/>
      <c r="B492" s="78"/>
      <c r="C492" s="231"/>
    </row>
    <row r="493">
      <c r="A493" s="78"/>
      <c r="B493" s="78"/>
      <c r="C493" s="231"/>
    </row>
    <row r="494">
      <c r="A494" s="78"/>
      <c r="B494" s="78"/>
      <c r="C494" s="231"/>
    </row>
    <row r="495">
      <c r="A495" s="78"/>
      <c r="B495" s="78"/>
      <c r="C495" s="231"/>
    </row>
    <row r="496">
      <c r="A496" s="78"/>
      <c r="B496" s="78"/>
      <c r="C496" s="231"/>
    </row>
    <row r="497">
      <c r="A497" s="78"/>
      <c r="B497" s="78"/>
      <c r="C497" s="231"/>
    </row>
    <row r="498">
      <c r="A498" s="78"/>
      <c r="B498" s="78"/>
      <c r="C498" s="231"/>
    </row>
    <row r="499">
      <c r="A499" s="78"/>
      <c r="B499" s="78"/>
      <c r="C499" s="231"/>
    </row>
    <row r="500">
      <c r="A500" s="78"/>
      <c r="B500" s="78"/>
      <c r="C500" s="231"/>
    </row>
    <row r="501">
      <c r="A501" s="78"/>
      <c r="B501" s="78"/>
      <c r="C501" s="231"/>
    </row>
    <row r="502">
      <c r="A502" s="78"/>
      <c r="B502" s="78"/>
      <c r="C502" s="231"/>
    </row>
    <row r="503">
      <c r="A503" s="78"/>
      <c r="B503" s="78"/>
      <c r="C503" s="231"/>
    </row>
    <row r="504">
      <c r="A504" s="78"/>
      <c r="B504" s="78"/>
      <c r="C504" s="231"/>
    </row>
    <row r="505">
      <c r="A505" s="78"/>
      <c r="B505" s="78"/>
      <c r="C505" s="231"/>
    </row>
    <row r="506">
      <c r="A506" s="78"/>
      <c r="B506" s="78"/>
      <c r="C506" s="231"/>
    </row>
    <row r="507">
      <c r="A507" s="78"/>
      <c r="B507" s="78"/>
      <c r="C507" s="231"/>
    </row>
    <row r="508">
      <c r="A508" s="78"/>
      <c r="B508" s="78"/>
      <c r="C508" s="231"/>
    </row>
    <row r="509">
      <c r="A509" s="78"/>
      <c r="B509" s="78"/>
      <c r="C509" s="231"/>
    </row>
    <row r="510">
      <c r="A510" s="78"/>
      <c r="B510" s="78"/>
      <c r="C510" s="231"/>
    </row>
    <row r="511">
      <c r="A511" s="78"/>
      <c r="B511" s="78"/>
      <c r="C511" s="231"/>
    </row>
    <row r="512">
      <c r="A512" s="78"/>
      <c r="B512" s="78"/>
      <c r="C512" s="231"/>
    </row>
    <row r="513">
      <c r="A513" s="78"/>
      <c r="B513" s="78"/>
      <c r="C513" s="231"/>
    </row>
    <row r="514">
      <c r="A514" s="78"/>
      <c r="B514" s="78"/>
      <c r="C514" s="231"/>
    </row>
    <row r="515">
      <c r="A515" s="78"/>
      <c r="B515" s="78"/>
      <c r="C515" s="231"/>
    </row>
    <row r="516">
      <c r="A516" s="78"/>
      <c r="B516" s="78"/>
      <c r="C516" s="231"/>
    </row>
    <row r="517">
      <c r="A517" s="78"/>
      <c r="B517" s="78"/>
      <c r="C517" s="231"/>
    </row>
    <row r="518">
      <c r="A518" s="78"/>
      <c r="B518" s="78"/>
      <c r="C518" s="231"/>
    </row>
    <row r="519">
      <c r="A519" s="78"/>
      <c r="B519" s="78"/>
      <c r="C519" s="231"/>
    </row>
    <row r="520">
      <c r="A520" s="78"/>
      <c r="B520" s="78"/>
      <c r="C520" s="231"/>
    </row>
    <row r="521">
      <c r="A521" s="78"/>
      <c r="B521" s="78"/>
      <c r="C521" s="231"/>
    </row>
    <row r="522">
      <c r="A522" s="78"/>
      <c r="B522" s="78"/>
      <c r="C522" s="231"/>
    </row>
    <row r="523">
      <c r="A523" s="78"/>
      <c r="B523" s="78"/>
      <c r="C523" s="231"/>
    </row>
    <row r="524">
      <c r="A524" s="78"/>
      <c r="B524" s="78"/>
      <c r="C524" s="231"/>
    </row>
    <row r="525">
      <c r="A525" s="78"/>
      <c r="B525" s="78"/>
      <c r="C525" s="231"/>
    </row>
    <row r="526">
      <c r="A526" s="78"/>
      <c r="B526" s="78"/>
      <c r="C526" s="231"/>
    </row>
    <row r="527">
      <c r="A527" s="78"/>
      <c r="B527" s="78"/>
      <c r="C527" s="231"/>
    </row>
    <row r="528">
      <c r="A528" s="78"/>
      <c r="B528" s="78"/>
      <c r="C528" s="231"/>
    </row>
    <row r="529">
      <c r="A529" s="78"/>
      <c r="B529" s="78"/>
      <c r="C529" s="231"/>
    </row>
    <row r="530">
      <c r="A530" s="78"/>
      <c r="B530" s="78"/>
      <c r="C530" s="231"/>
    </row>
    <row r="531">
      <c r="A531" s="78"/>
      <c r="B531" s="78"/>
      <c r="C531" s="231"/>
    </row>
    <row r="532">
      <c r="A532" s="78"/>
      <c r="B532" s="78"/>
      <c r="C532" s="231"/>
    </row>
    <row r="533">
      <c r="A533" s="78"/>
      <c r="B533" s="78"/>
      <c r="C533" s="231"/>
    </row>
    <row r="534">
      <c r="A534" s="78"/>
      <c r="B534" s="78"/>
      <c r="C534" s="231"/>
    </row>
    <row r="535">
      <c r="A535" s="78"/>
      <c r="B535" s="78"/>
      <c r="C535" s="231"/>
    </row>
    <row r="536">
      <c r="A536" s="78"/>
      <c r="B536" s="78"/>
      <c r="C536" s="231"/>
    </row>
    <row r="537">
      <c r="A537" s="78"/>
      <c r="B537" s="78"/>
      <c r="C537" s="231"/>
    </row>
    <row r="538">
      <c r="A538" s="78"/>
      <c r="B538" s="78"/>
      <c r="C538" s="231"/>
    </row>
    <row r="539">
      <c r="A539" s="78"/>
      <c r="B539" s="78"/>
      <c r="C539" s="231"/>
    </row>
    <row r="540">
      <c r="A540" s="78"/>
      <c r="B540" s="78"/>
      <c r="C540" s="231"/>
    </row>
    <row r="541">
      <c r="A541" s="78"/>
      <c r="B541" s="78"/>
      <c r="C541" s="231"/>
    </row>
    <row r="542">
      <c r="A542" s="78"/>
      <c r="B542" s="78"/>
      <c r="C542" s="231"/>
    </row>
    <row r="543">
      <c r="A543" s="78"/>
      <c r="B543" s="78"/>
      <c r="C543" s="231"/>
    </row>
    <row r="544">
      <c r="A544" s="78"/>
      <c r="B544" s="78"/>
      <c r="C544" s="231"/>
    </row>
    <row r="545">
      <c r="A545" s="78"/>
      <c r="B545" s="78"/>
      <c r="C545" s="231"/>
    </row>
    <row r="546">
      <c r="A546" s="78"/>
      <c r="B546" s="78"/>
      <c r="C546" s="231"/>
    </row>
    <row r="547">
      <c r="A547" s="78"/>
      <c r="B547" s="78"/>
      <c r="C547" s="231"/>
    </row>
    <row r="548">
      <c r="A548" s="78"/>
      <c r="B548" s="78"/>
      <c r="C548" s="231"/>
    </row>
    <row r="549">
      <c r="A549" s="78"/>
      <c r="B549" s="78"/>
      <c r="C549" s="231"/>
    </row>
    <row r="550">
      <c r="A550" s="78"/>
      <c r="B550" s="78"/>
      <c r="C550" s="231"/>
    </row>
    <row r="551">
      <c r="A551" s="78"/>
      <c r="B551" s="78"/>
      <c r="C551" s="231"/>
    </row>
    <row r="552">
      <c r="A552" s="78"/>
      <c r="B552" s="78"/>
      <c r="C552" s="231"/>
    </row>
    <row r="553">
      <c r="A553" s="78"/>
      <c r="B553" s="78"/>
      <c r="C553" s="231"/>
    </row>
    <row r="554">
      <c r="A554" s="78"/>
      <c r="B554" s="78"/>
      <c r="C554" s="231"/>
    </row>
    <row r="555">
      <c r="A555" s="78"/>
      <c r="B555" s="78"/>
      <c r="C555" s="231"/>
    </row>
    <row r="556">
      <c r="A556" s="78"/>
      <c r="B556" s="78"/>
      <c r="C556" s="231"/>
    </row>
    <row r="557">
      <c r="A557" s="78"/>
      <c r="B557" s="78"/>
      <c r="C557" s="231"/>
    </row>
    <row r="558">
      <c r="A558" s="78"/>
      <c r="B558" s="78"/>
      <c r="C558" s="231"/>
    </row>
    <row r="559">
      <c r="A559" s="78"/>
      <c r="B559" s="78"/>
      <c r="C559" s="231"/>
    </row>
    <row r="560">
      <c r="A560" s="78"/>
      <c r="B560" s="78"/>
      <c r="C560" s="231"/>
    </row>
    <row r="561">
      <c r="A561" s="78"/>
      <c r="B561" s="78"/>
      <c r="C561" s="231"/>
    </row>
    <row r="562">
      <c r="A562" s="78"/>
      <c r="B562" s="78"/>
      <c r="C562" s="231"/>
    </row>
    <row r="563">
      <c r="A563" s="78"/>
      <c r="B563" s="78"/>
      <c r="C563" s="231"/>
    </row>
    <row r="564">
      <c r="A564" s="78"/>
      <c r="B564" s="78"/>
      <c r="C564" s="231"/>
    </row>
    <row r="565">
      <c r="A565" s="78"/>
      <c r="B565" s="78"/>
      <c r="C565" s="231"/>
    </row>
    <row r="566">
      <c r="A566" s="78"/>
      <c r="B566" s="78"/>
      <c r="C566" s="231"/>
    </row>
    <row r="567">
      <c r="A567" s="78"/>
      <c r="B567" s="78"/>
      <c r="C567" s="231"/>
    </row>
    <row r="568">
      <c r="A568" s="78"/>
      <c r="B568" s="78"/>
      <c r="C568" s="231"/>
    </row>
    <row r="569">
      <c r="A569" s="78"/>
      <c r="B569" s="78"/>
      <c r="C569" s="231"/>
    </row>
    <row r="570">
      <c r="A570" s="78"/>
      <c r="B570" s="78"/>
      <c r="C570" s="231"/>
    </row>
    <row r="571">
      <c r="A571" s="78"/>
      <c r="B571" s="78"/>
      <c r="C571" s="231"/>
    </row>
    <row r="572">
      <c r="A572" s="78"/>
      <c r="B572" s="78"/>
      <c r="C572" s="231"/>
    </row>
    <row r="573">
      <c r="A573" s="78"/>
      <c r="B573" s="78"/>
      <c r="C573" s="231"/>
    </row>
    <row r="574">
      <c r="A574" s="78"/>
      <c r="B574" s="78"/>
      <c r="C574" s="231"/>
    </row>
    <row r="575">
      <c r="A575" s="78"/>
      <c r="B575" s="78"/>
      <c r="C575" s="231"/>
    </row>
    <row r="576">
      <c r="A576" s="78"/>
      <c r="B576" s="78"/>
      <c r="C576" s="231"/>
    </row>
    <row r="577">
      <c r="A577" s="78"/>
      <c r="B577" s="78"/>
      <c r="C577" s="231"/>
    </row>
    <row r="578">
      <c r="A578" s="78"/>
      <c r="B578" s="78"/>
      <c r="C578" s="231"/>
    </row>
    <row r="579">
      <c r="A579" s="78"/>
      <c r="B579" s="78"/>
      <c r="C579" s="231"/>
    </row>
    <row r="580">
      <c r="A580" s="78"/>
      <c r="B580" s="78"/>
      <c r="C580" s="231"/>
    </row>
    <row r="581">
      <c r="A581" s="78"/>
      <c r="B581" s="78"/>
      <c r="C581" s="231"/>
    </row>
    <row r="582">
      <c r="A582" s="78"/>
      <c r="B582" s="78"/>
      <c r="C582" s="231"/>
    </row>
    <row r="583">
      <c r="A583" s="78"/>
      <c r="B583" s="78"/>
      <c r="C583" s="231"/>
    </row>
    <row r="584">
      <c r="A584" s="78"/>
      <c r="B584" s="78"/>
      <c r="C584" s="231"/>
    </row>
    <row r="585">
      <c r="A585" s="78"/>
      <c r="B585" s="78"/>
      <c r="C585" s="231"/>
    </row>
    <row r="586">
      <c r="A586" s="78"/>
      <c r="B586" s="78"/>
      <c r="C586" s="231"/>
    </row>
    <row r="587">
      <c r="A587" s="78"/>
      <c r="B587" s="78"/>
      <c r="C587" s="231"/>
    </row>
    <row r="588">
      <c r="A588" s="78"/>
      <c r="B588" s="78"/>
      <c r="C588" s="231"/>
    </row>
    <row r="589">
      <c r="A589" s="78"/>
      <c r="B589" s="78"/>
      <c r="C589" s="231"/>
    </row>
    <row r="590">
      <c r="A590" s="78"/>
      <c r="B590" s="78"/>
      <c r="C590" s="231"/>
    </row>
    <row r="591">
      <c r="A591" s="78"/>
      <c r="B591" s="78"/>
      <c r="C591" s="231"/>
    </row>
    <row r="592">
      <c r="A592" s="78"/>
      <c r="B592" s="78"/>
      <c r="C592" s="231"/>
    </row>
    <row r="593">
      <c r="A593" s="78"/>
      <c r="B593" s="78"/>
      <c r="C593" s="231"/>
    </row>
    <row r="594">
      <c r="A594" s="78"/>
      <c r="B594" s="78"/>
      <c r="C594" s="231"/>
    </row>
    <row r="595">
      <c r="A595" s="78"/>
      <c r="B595" s="78"/>
      <c r="C595" s="231"/>
    </row>
    <row r="596">
      <c r="A596" s="78"/>
      <c r="B596" s="78"/>
      <c r="C596" s="231"/>
    </row>
    <row r="597">
      <c r="A597" s="78"/>
      <c r="B597" s="78"/>
      <c r="C597" s="231"/>
    </row>
    <row r="598">
      <c r="A598" s="78"/>
      <c r="B598" s="78"/>
      <c r="C598" s="231"/>
    </row>
    <row r="599">
      <c r="A599" s="78"/>
      <c r="B599" s="78"/>
      <c r="C599" s="231"/>
    </row>
    <row r="600">
      <c r="A600" s="78"/>
      <c r="B600" s="78"/>
      <c r="C600" s="231"/>
    </row>
    <row r="601">
      <c r="A601" s="78"/>
      <c r="B601" s="78"/>
      <c r="C601" s="231"/>
    </row>
    <row r="602">
      <c r="A602" s="78"/>
      <c r="B602" s="78"/>
      <c r="C602" s="231"/>
    </row>
    <row r="603">
      <c r="A603" s="78"/>
      <c r="B603" s="78"/>
      <c r="C603" s="231"/>
    </row>
    <row r="604">
      <c r="A604" s="78"/>
      <c r="B604" s="78"/>
      <c r="C604" s="231"/>
    </row>
    <row r="605">
      <c r="A605" s="78"/>
      <c r="B605" s="78"/>
      <c r="C605" s="231"/>
    </row>
    <row r="606">
      <c r="A606" s="78"/>
      <c r="B606" s="78"/>
      <c r="C606" s="231"/>
    </row>
    <row r="607">
      <c r="A607" s="78"/>
      <c r="B607" s="78"/>
      <c r="C607" s="231"/>
    </row>
    <row r="608">
      <c r="A608" s="78"/>
      <c r="B608" s="78"/>
      <c r="C608" s="231"/>
    </row>
    <row r="609">
      <c r="A609" s="78"/>
      <c r="B609" s="78"/>
      <c r="C609" s="231"/>
    </row>
    <row r="610">
      <c r="A610" s="78"/>
      <c r="B610" s="78"/>
      <c r="C610" s="231"/>
    </row>
    <row r="611">
      <c r="A611" s="78"/>
      <c r="B611" s="78"/>
      <c r="C611" s="231"/>
    </row>
    <row r="612">
      <c r="A612" s="78"/>
      <c r="B612" s="78"/>
      <c r="C612" s="231"/>
    </row>
    <row r="613">
      <c r="A613" s="78"/>
      <c r="B613" s="78"/>
      <c r="C613" s="231"/>
    </row>
    <row r="614">
      <c r="A614" s="78"/>
      <c r="B614" s="78"/>
      <c r="C614" s="231"/>
    </row>
    <row r="615">
      <c r="A615" s="78"/>
      <c r="B615" s="78"/>
      <c r="C615" s="231"/>
    </row>
    <row r="616">
      <c r="A616" s="78"/>
      <c r="B616" s="78"/>
      <c r="C616" s="231"/>
    </row>
    <row r="617">
      <c r="A617" s="78"/>
      <c r="B617" s="78"/>
      <c r="C617" s="231"/>
    </row>
    <row r="618">
      <c r="A618" s="78"/>
      <c r="B618" s="78"/>
      <c r="C618" s="231"/>
    </row>
    <row r="619">
      <c r="A619" s="78"/>
      <c r="B619" s="78"/>
      <c r="C619" s="231"/>
    </row>
    <row r="620">
      <c r="A620" s="78"/>
      <c r="B620" s="78"/>
      <c r="C620" s="231"/>
    </row>
    <row r="621">
      <c r="A621" s="78"/>
      <c r="B621" s="78"/>
      <c r="C621" s="231"/>
    </row>
    <row r="622">
      <c r="A622" s="78"/>
      <c r="B622" s="78"/>
      <c r="C622" s="231"/>
    </row>
    <row r="623">
      <c r="A623" s="78"/>
      <c r="B623" s="78"/>
      <c r="C623" s="231"/>
    </row>
    <row r="624">
      <c r="A624" s="78"/>
      <c r="B624" s="78"/>
      <c r="C624" s="231"/>
    </row>
    <row r="625">
      <c r="A625" s="78"/>
      <c r="B625" s="78"/>
      <c r="C625" s="231"/>
    </row>
    <row r="626">
      <c r="A626" s="78"/>
      <c r="B626" s="78"/>
      <c r="C626" s="231"/>
    </row>
    <row r="627">
      <c r="A627" s="78"/>
      <c r="B627" s="78"/>
      <c r="C627" s="231"/>
    </row>
    <row r="628">
      <c r="A628" s="78"/>
      <c r="B628" s="78"/>
      <c r="C628" s="231"/>
    </row>
    <row r="629">
      <c r="A629" s="78"/>
      <c r="B629" s="78"/>
      <c r="C629" s="231"/>
    </row>
    <row r="630">
      <c r="A630" s="78"/>
      <c r="B630" s="78"/>
      <c r="C630" s="231"/>
    </row>
    <row r="631">
      <c r="A631" s="78"/>
      <c r="B631" s="78"/>
      <c r="C631" s="231"/>
    </row>
    <row r="632">
      <c r="A632" s="78"/>
      <c r="B632" s="78"/>
      <c r="C632" s="231"/>
    </row>
    <row r="633">
      <c r="A633" s="78"/>
      <c r="B633" s="78"/>
      <c r="C633" s="231"/>
    </row>
    <row r="634">
      <c r="A634" s="78"/>
      <c r="B634" s="78"/>
      <c r="C634" s="231"/>
    </row>
    <row r="635">
      <c r="A635" s="78"/>
      <c r="B635" s="78"/>
      <c r="C635" s="231"/>
    </row>
    <row r="636">
      <c r="A636" s="78"/>
      <c r="B636" s="78"/>
      <c r="C636" s="231"/>
    </row>
    <row r="637">
      <c r="A637" s="78"/>
      <c r="B637" s="78"/>
      <c r="C637" s="231"/>
    </row>
    <row r="638">
      <c r="A638" s="78"/>
      <c r="B638" s="78"/>
      <c r="C638" s="231"/>
    </row>
    <row r="639">
      <c r="A639" s="78"/>
      <c r="B639" s="78"/>
      <c r="C639" s="231"/>
    </row>
    <row r="640">
      <c r="A640" s="78"/>
      <c r="B640" s="78"/>
      <c r="C640" s="231"/>
    </row>
    <row r="641">
      <c r="A641" s="78"/>
      <c r="B641" s="78"/>
      <c r="C641" s="231"/>
    </row>
    <row r="642">
      <c r="A642" s="78"/>
      <c r="B642" s="78"/>
      <c r="C642" s="231"/>
    </row>
    <row r="643">
      <c r="A643" s="78"/>
      <c r="B643" s="78"/>
      <c r="C643" s="231"/>
    </row>
    <row r="644">
      <c r="A644" s="78"/>
      <c r="B644" s="78"/>
      <c r="C644" s="231"/>
    </row>
    <row r="645">
      <c r="A645" s="78"/>
      <c r="B645" s="78"/>
      <c r="C645" s="231"/>
    </row>
    <row r="646">
      <c r="A646" s="78"/>
      <c r="B646" s="78"/>
      <c r="C646" s="231"/>
    </row>
    <row r="647">
      <c r="A647" s="78"/>
      <c r="B647" s="78"/>
      <c r="C647" s="231"/>
    </row>
    <row r="648">
      <c r="A648" s="78"/>
      <c r="B648" s="78"/>
      <c r="C648" s="231"/>
    </row>
    <row r="649">
      <c r="A649" s="78"/>
      <c r="B649" s="78"/>
      <c r="C649" s="231"/>
    </row>
    <row r="650">
      <c r="A650" s="78"/>
      <c r="B650" s="78"/>
      <c r="C650" s="231"/>
    </row>
    <row r="651">
      <c r="A651" s="78"/>
      <c r="B651" s="78"/>
      <c r="C651" s="231"/>
    </row>
    <row r="652">
      <c r="A652" s="78"/>
      <c r="B652" s="78"/>
      <c r="C652" s="231"/>
    </row>
    <row r="653">
      <c r="A653" s="78"/>
      <c r="B653" s="78"/>
      <c r="C653" s="231"/>
    </row>
    <row r="654">
      <c r="A654" s="78"/>
      <c r="B654" s="78"/>
      <c r="C654" s="231"/>
    </row>
    <row r="655">
      <c r="A655" s="78"/>
      <c r="B655" s="78"/>
      <c r="C655" s="231"/>
    </row>
    <row r="656">
      <c r="A656" s="78"/>
      <c r="B656" s="78"/>
      <c r="C656" s="231"/>
    </row>
    <row r="657">
      <c r="A657" s="78"/>
      <c r="B657" s="78"/>
      <c r="C657" s="231"/>
    </row>
    <row r="658">
      <c r="A658" s="78"/>
      <c r="B658" s="78"/>
      <c r="C658" s="231"/>
    </row>
    <row r="659">
      <c r="A659" s="78"/>
      <c r="B659" s="78"/>
      <c r="C659" s="231"/>
    </row>
    <row r="660">
      <c r="A660" s="78"/>
      <c r="B660" s="78"/>
      <c r="C660" s="231"/>
    </row>
    <row r="661">
      <c r="A661" s="78"/>
      <c r="B661" s="78"/>
      <c r="C661" s="231"/>
    </row>
    <row r="662">
      <c r="A662" s="78"/>
      <c r="B662" s="78"/>
      <c r="C662" s="231"/>
    </row>
    <row r="663">
      <c r="A663" s="78"/>
      <c r="B663" s="78"/>
      <c r="C663" s="231"/>
    </row>
    <row r="664">
      <c r="A664" s="78"/>
      <c r="B664" s="78"/>
      <c r="C664" s="231"/>
    </row>
    <row r="665">
      <c r="A665" s="78"/>
      <c r="B665" s="78"/>
      <c r="C665" s="231"/>
    </row>
    <row r="666">
      <c r="A666" s="78"/>
      <c r="B666" s="78"/>
      <c r="C666" s="231"/>
    </row>
    <row r="667">
      <c r="A667" s="78"/>
      <c r="B667" s="78"/>
      <c r="C667" s="231"/>
    </row>
    <row r="668">
      <c r="A668" s="78"/>
      <c r="B668" s="78"/>
      <c r="C668" s="231"/>
    </row>
    <row r="669">
      <c r="A669" s="78"/>
      <c r="B669" s="78"/>
      <c r="C669" s="231"/>
    </row>
    <row r="670">
      <c r="A670" s="78"/>
      <c r="B670" s="78"/>
      <c r="C670" s="231"/>
    </row>
    <row r="671">
      <c r="A671" s="78"/>
      <c r="B671" s="78"/>
      <c r="C671" s="231"/>
    </row>
    <row r="672">
      <c r="A672" s="78"/>
      <c r="B672" s="78"/>
      <c r="C672" s="231"/>
    </row>
    <row r="673">
      <c r="A673" s="78"/>
      <c r="B673" s="78"/>
      <c r="C673" s="231"/>
    </row>
    <row r="674">
      <c r="A674" s="78"/>
      <c r="B674" s="78"/>
      <c r="C674" s="231"/>
    </row>
    <row r="675">
      <c r="A675" s="78"/>
      <c r="B675" s="78"/>
      <c r="C675" s="231"/>
    </row>
    <row r="676">
      <c r="A676" s="78"/>
      <c r="B676" s="78"/>
      <c r="C676" s="231"/>
    </row>
    <row r="677">
      <c r="A677" s="78"/>
      <c r="B677" s="78"/>
      <c r="C677" s="231"/>
    </row>
    <row r="678">
      <c r="A678" s="78"/>
      <c r="B678" s="78"/>
      <c r="C678" s="231"/>
    </row>
    <row r="679">
      <c r="A679" s="78"/>
      <c r="B679" s="78"/>
      <c r="C679" s="231"/>
    </row>
    <row r="680">
      <c r="A680" s="78"/>
      <c r="B680" s="78"/>
      <c r="C680" s="231"/>
    </row>
    <row r="681">
      <c r="A681" s="78"/>
      <c r="B681" s="78"/>
      <c r="C681" s="231"/>
    </row>
    <row r="682">
      <c r="A682" s="78"/>
      <c r="B682" s="78"/>
      <c r="C682" s="231"/>
    </row>
    <row r="683">
      <c r="A683" s="78"/>
      <c r="B683" s="78"/>
      <c r="C683" s="231"/>
    </row>
    <row r="684">
      <c r="A684" s="78"/>
      <c r="B684" s="78"/>
      <c r="C684" s="231"/>
    </row>
    <row r="685">
      <c r="A685" s="78"/>
      <c r="B685" s="78"/>
      <c r="C685" s="231"/>
    </row>
    <row r="686">
      <c r="A686" s="78"/>
      <c r="B686" s="78"/>
      <c r="C686" s="231"/>
    </row>
    <row r="687">
      <c r="A687" s="78"/>
      <c r="B687" s="78"/>
      <c r="C687" s="231"/>
    </row>
    <row r="688">
      <c r="A688" s="78"/>
      <c r="B688" s="78"/>
      <c r="C688" s="231"/>
    </row>
    <row r="689">
      <c r="A689" s="78"/>
      <c r="B689" s="78"/>
      <c r="C689" s="231"/>
    </row>
    <row r="690">
      <c r="A690" s="78"/>
      <c r="B690" s="78"/>
      <c r="C690" s="231"/>
    </row>
    <row r="691">
      <c r="A691" s="78"/>
      <c r="B691" s="78"/>
      <c r="C691" s="231"/>
    </row>
    <row r="692">
      <c r="A692" s="78"/>
      <c r="B692" s="78"/>
      <c r="C692" s="231"/>
    </row>
    <row r="693">
      <c r="A693" s="78"/>
      <c r="B693" s="78"/>
      <c r="C693" s="231"/>
    </row>
    <row r="694">
      <c r="A694" s="78"/>
      <c r="B694" s="78"/>
      <c r="C694" s="231"/>
    </row>
    <row r="695">
      <c r="A695" s="78"/>
      <c r="B695" s="78"/>
      <c r="C695" s="231"/>
    </row>
    <row r="696">
      <c r="A696" s="78"/>
      <c r="B696" s="78"/>
      <c r="C696" s="231"/>
    </row>
    <row r="697">
      <c r="A697" s="78"/>
      <c r="B697" s="78"/>
      <c r="C697" s="231"/>
    </row>
    <row r="698">
      <c r="A698" s="78"/>
      <c r="B698" s="78"/>
      <c r="C698" s="231"/>
    </row>
    <row r="699">
      <c r="A699" s="78"/>
      <c r="B699" s="78"/>
      <c r="C699" s="231"/>
    </row>
    <row r="700">
      <c r="A700" s="78"/>
      <c r="B700" s="78"/>
      <c r="C700" s="231"/>
    </row>
    <row r="701">
      <c r="A701" s="78"/>
      <c r="B701" s="78"/>
      <c r="C701" s="231"/>
    </row>
    <row r="702">
      <c r="A702" s="78"/>
      <c r="B702" s="78"/>
      <c r="C702" s="231"/>
    </row>
    <row r="703">
      <c r="A703" s="78"/>
      <c r="B703" s="78"/>
      <c r="C703" s="231"/>
    </row>
    <row r="704">
      <c r="A704" s="78"/>
      <c r="B704" s="78"/>
      <c r="C704" s="231"/>
    </row>
    <row r="705">
      <c r="A705" s="78"/>
      <c r="B705" s="78"/>
      <c r="C705" s="231"/>
    </row>
    <row r="706">
      <c r="A706" s="78"/>
      <c r="B706" s="78"/>
      <c r="C706" s="231"/>
    </row>
    <row r="707">
      <c r="A707" s="78"/>
      <c r="B707" s="78"/>
      <c r="C707" s="231"/>
    </row>
    <row r="708">
      <c r="A708" s="78"/>
      <c r="B708" s="78"/>
      <c r="C708" s="231"/>
    </row>
    <row r="709">
      <c r="A709" s="78"/>
      <c r="B709" s="78"/>
      <c r="C709" s="231"/>
    </row>
    <row r="710">
      <c r="A710" s="78"/>
      <c r="B710" s="78"/>
      <c r="C710" s="231"/>
    </row>
    <row r="711">
      <c r="A711" s="78"/>
      <c r="B711" s="78"/>
      <c r="C711" s="231"/>
    </row>
    <row r="712">
      <c r="A712" s="78"/>
      <c r="B712" s="78"/>
      <c r="C712" s="231"/>
    </row>
    <row r="713">
      <c r="A713" s="78"/>
      <c r="B713" s="78"/>
      <c r="C713" s="231"/>
    </row>
    <row r="714">
      <c r="A714" s="78"/>
      <c r="B714" s="78"/>
      <c r="C714" s="231"/>
    </row>
    <row r="715">
      <c r="A715" s="78"/>
      <c r="B715" s="78"/>
      <c r="C715" s="231"/>
    </row>
    <row r="716">
      <c r="A716" s="78"/>
      <c r="B716" s="78"/>
      <c r="C716" s="231"/>
    </row>
    <row r="717">
      <c r="A717" s="78"/>
      <c r="B717" s="78"/>
      <c r="C717" s="231"/>
    </row>
    <row r="718">
      <c r="A718" s="78"/>
      <c r="B718" s="78"/>
      <c r="C718" s="231"/>
    </row>
    <row r="719">
      <c r="A719" s="78"/>
      <c r="B719" s="78"/>
      <c r="C719" s="231"/>
    </row>
    <row r="720">
      <c r="A720" s="78"/>
      <c r="B720" s="78"/>
      <c r="C720" s="231"/>
    </row>
    <row r="721">
      <c r="A721" s="78"/>
      <c r="B721" s="78"/>
      <c r="C721" s="231"/>
    </row>
    <row r="722">
      <c r="A722" s="78"/>
      <c r="B722" s="78"/>
      <c r="C722" s="231"/>
    </row>
    <row r="723">
      <c r="A723" s="78"/>
      <c r="B723" s="78"/>
      <c r="C723" s="231"/>
    </row>
    <row r="724">
      <c r="A724" s="78"/>
      <c r="B724" s="78"/>
      <c r="C724" s="231"/>
    </row>
    <row r="725">
      <c r="A725" s="78"/>
      <c r="B725" s="78"/>
      <c r="C725" s="231"/>
    </row>
    <row r="726">
      <c r="A726" s="78"/>
      <c r="B726" s="78"/>
      <c r="C726" s="231"/>
    </row>
    <row r="727">
      <c r="A727" s="78"/>
      <c r="B727" s="78"/>
      <c r="C727" s="231"/>
    </row>
    <row r="728">
      <c r="A728" s="78"/>
      <c r="B728" s="78"/>
      <c r="C728" s="231"/>
    </row>
    <row r="729">
      <c r="A729" s="78"/>
      <c r="B729" s="78"/>
      <c r="C729" s="231"/>
    </row>
    <row r="730">
      <c r="A730" s="78"/>
      <c r="B730" s="78"/>
      <c r="C730" s="231"/>
    </row>
    <row r="731">
      <c r="A731" s="78"/>
      <c r="B731" s="78"/>
      <c r="C731" s="231"/>
    </row>
    <row r="732">
      <c r="A732" s="78"/>
      <c r="B732" s="78"/>
      <c r="C732" s="231"/>
    </row>
    <row r="733">
      <c r="A733" s="78"/>
      <c r="B733" s="78"/>
      <c r="C733" s="231"/>
    </row>
    <row r="734">
      <c r="A734" s="78"/>
      <c r="B734" s="78"/>
      <c r="C734" s="231"/>
    </row>
    <row r="735">
      <c r="A735" s="78"/>
      <c r="B735" s="78"/>
      <c r="C735" s="231"/>
    </row>
    <row r="736">
      <c r="A736" s="78"/>
      <c r="B736" s="78"/>
      <c r="C736" s="231"/>
    </row>
    <row r="737">
      <c r="A737" s="78"/>
      <c r="B737" s="78"/>
      <c r="C737" s="231"/>
    </row>
    <row r="738">
      <c r="A738" s="78"/>
      <c r="B738" s="78"/>
      <c r="C738" s="231"/>
    </row>
    <row r="739">
      <c r="A739" s="78"/>
      <c r="B739" s="78"/>
      <c r="C739" s="231"/>
    </row>
    <row r="740">
      <c r="A740" s="78"/>
      <c r="B740" s="78"/>
      <c r="C740" s="231"/>
    </row>
    <row r="741">
      <c r="A741" s="78"/>
      <c r="B741" s="78"/>
      <c r="C741" s="231"/>
    </row>
    <row r="742">
      <c r="A742" s="78"/>
      <c r="B742" s="78"/>
      <c r="C742" s="231"/>
    </row>
    <row r="743">
      <c r="A743" s="78"/>
      <c r="B743" s="78"/>
      <c r="C743" s="231"/>
    </row>
    <row r="744">
      <c r="A744" s="78"/>
      <c r="B744" s="78"/>
      <c r="C744" s="231"/>
    </row>
    <row r="745">
      <c r="A745" s="78"/>
      <c r="B745" s="78"/>
      <c r="C745" s="231"/>
    </row>
    <row r="746">
      <c r="A746" s="78"/>
      <c r="B746" s="78"/>
      <c r="C746" s="231"/>
    </row>
    <row r="747">
      <c r="A747" s="78"/>
      <c r="B747" s="78"/>
      <c r="C747" s="231"/>
    </row>
    <row r="748">
      <c r="A748" s="78"/>
      <c r="B748" s="78"/>
      <c r="C748" s="231"/>
    </row>
    <row r="749">
      <c r="A749" s="78"/>
      <c r="B749" s="78"/>
      <c r="C749" s="231"/>
    </row>
    <row r="750">
      <c r="A750" s="78"/>
      <c r="B750" s="78"/>
      <c r="C750" s="231"/>
    </row>
    <row r="751">
      <c r="A751" s="78"/>
      <c r="B751" s="78"/>
      <c r="C751" s="231"/>
    </row>
    <row r="752">
      <c r="A752" s="78"/>
      <c r="B752" s="78"/>
      <c r="C752" s="231"/>
    </row>
    <row r="753">
      <c r="A753" s="78"/>
      <c r="B753" s="78"/>
      <c r="C753" s="231"/>
    </row>
    <row r="754">
      <c r="A754" s="78"/>
      <c r="B754" s="78"/>
      <c r="C754" s="231"/>
    </row>
    <row r="755">
      <c r="A755" s="78"/>
      <c r="B755" s="78"/>
      <c r="C755" s="231"/>
    </row>
    <row r="756">
      <c r="A756" s="78"/>
      <c r="B756" s="78"/>
      <c r="C756" s="231"/>
    </row>
    <row r="757">
      <c r="A757" s="78"/>
      <c r="B757" s="78"/>
      <c r="C757" s="231"/>
    </row>
    <row r="758">
      <c r="A758" s="78"/>
      <c r="B758" s="78"/>
      <c r="C758" s="231"/>
    </row>
    <row r="759">
      <c r="A759" s="78"/>
      <c r="B759" s="78"/>
      <c r="C759" s="231"/>
    </row>
    <row r="760">
      <c r="A760" s="78"/>
      <c r="B760" s="78"/>
      <c r="C760" s="231"/>
    </row>
    <row r="761">
      <c r="A761" s="78"/>
      <c r="B761" s="78"/>
      <c r="C761" s="231"/>
    </row>
    <row r="762">
      <c r="A762" s="78"/>
      <c r="B762" s="78"/>
      <c r="C762" s="231"/>
    </row>
    <row r="763">
      <c r="A763" s="78"/>
      <c r="B763" s="78"/>
      <c r="C763" s="231"/>
    </row>
    <row r="764">
      <c r="A764" s="78"/>
      <c r="B764" s="78"/>
      <c r="C764" s="231"/>
    </row>
    <row r="765">
      <c r="A765" s="78"/>
      <c r="B765" s="78"/>
      <c r="C765" s="231"/>
    </row>
    <row r="766">
      <c r="A766" s="78"/>
      <c r="B766" s="78"/>
      <c r="C766" s="231"/>
    </row>
    <row r="767">
      <c r="A767" s="78"/>
      <c r="B767" s="78"/>
      <c r="C767" s="231"/>
    </row>
    <row r="768">
      <c r="A768" s="78"/>
      <c r="B768" s="78"/>
      <c r="C768" s="231"/>
    </row>
    <row r="769">
      <c r="A769" s="78"/>
      <c r="B769" s="78"/>
      <c r="C769" s="231"/>
    </row>
    <row r="770">
      <c r="A770" s="78"/>
      <c r="B770" s="78"/>
      <c r="C770" s="231"/>
    </row>
    <row r="771">
      <c r="A771" s="78"/>
      <c r="B771" s="78"/>
      <c r="C771" s="231"/>
    </row>
    <row r="772">
      <c r="A772" s="78"/>
      <c r="B772" s="78"/>
      <c r="C772" s="231"/>
    </row>
    <row r="773">
      <c r="A773" s="78"/>
      <c r="B773" s="78"/>
      <c r="C773" s="231"/>
    </row>
    <row r="774">
      <c r="A774" s="78"/>
      <c r="B774" s="78"/>
      <c r="C774" s="231"/>
    </row>
    <row r="775">
      <c r="A775" s="78"/>
      <c r="B775" s="78"/>
      <c r="C775" s="231"/>
    </row>
    <row r="776">
      <c r="A776" s="78"/>
      <c r="B776" s="78"/>
      <c r="C776" s="231"/>
    </row>
    <row r="777">
      <c r="A777" s="78"/>
      <c r="B777" s="78"/>
      <c r="C777" s="231"/>
    </row>
    <row r="778">
      <c r="A778" s="78"/>
      <c r="B778" s="78"/>
      <c r="C778" s="231"/>
    </row>
    <row r="779">
      <c r="A779" s="78"/>
      <c r="B779" s="78"/>
      <c r="C779" s="231"/>
    </row>
    <row r="780">
      <c r="A780" s="78"/>
      <c r="B780" s="78"/>
      <c r="C780" s="231"/>
    </row>
    <row r="781">
      <c r="A781" s="78"/>
      <c r="B781" s="78"/>
      <c r="C781" s="231"/>
    </row>
    <row r="782">
      <c r="A782" s="78"/>
      <c r="B782" s="78"/>
      <c r="C782" s="231"/>
    </row>
    <row r="783">
      <c r="A783" s="78"/>
      <c r="B783" s="78"/>
      <c r="C783" s="231"/>
    </row>
    <row r="784">
      <c r="A784" s="78"/>
      <c r="B784" s="78"/>
      <c r="C784" s="231"/>
    </row>
    <row r="785">
      <c r="A785" s="78"/>
      <c r="B785" s="78"/>
      <c r="C785" s="231"/>
    </row>
    <row r="786">
      <c r="A786" s="78"/>
      <c r="B786" s="78"/>
      <c r="C786" s="231"/>
    </row>
    <row r="787">
      <c r="A787" s="78"/>
      <c r="B787" s="78"/>
      <c r="C787" s="231"/>
    </row>
    <row r="788">
      <c r="A788" s="78"/>
      <c r="B788" s="78"/>
      <c r="C788" s="231"/>
    </row>
    <row r="789">
      <c r="A789" s="78"/>
      <c r="B789" s="78"/>
      <c r="C789" s="231"/>
    </row>
    <row r="790">
      <c r="A790" s="78"/>
      <c r="B790" s="78"/>
      <c r="C790" s="231"/>
    </row>
    <row r="791">
      <c r="A791" s="78"/>
      <c r="B791" s="78"/>
      <c r="C791" s="231"/>
    </row>
    <row r="792">
      <c r="A792" s="78"/>
      <c r="B792" s="78"/>
      <c r="C792" s="231"/>
    </row>
    <row r="793">
      <c r="A793" s="78"/>
      <c r="B793" s="78"/>
      <c r="C793" s="231"/>
    </row>
    <row r="794">
      <c r="A794" s="78"/>
      <c r="B794" s="78"/>
      <c r="C794" s="231"/>
    </row>
    <row r="795">
      <c r="A795" s="78"/>
      <c r="B795" s="78"/>
      <c r="C795" s="231"/>
    </row>
    <row r="796">
      <c r="A796" s="78"/>
      <c r="B796" s="78"/>
      <c r="C796" s="231"/>
    </row>
    <row r="797">
      <c r="A797" s="78"/>
      <c r="B797" s="78"/>
      <c r="C797" s="231"/>
    </row>
    <row r="798">
      <c r="A798" s="78"/>
      <c r="B798" s="78"/>
      <c r="C798" s="231"/>
    </row>
    <row r="799">
      <c r="A799" s="78"/>
      <c r="B799" s="78"/>
      <c r="C799" s="231"/>
    </row>
    <row r="800">
      <c r="A800" s="78"/>
      <c r="B800" s="78"/>
      <c r="C800" s="231"/>
    </row>
    <row r="801">
      <c r="A801" s="78"/>
      <c r="B801" s="78"/>
      <c r="C801" s="231"/>
    </row>
    <row r="802">
      <c r="A802" s="78"/>
      <c r="B802" s="78"/>
      <c r="C802" s="231"/>
    </row>
    <row r="803">
      <c r="A803" s="78"/>
      <c r="B803" s="78"/>
      <c r="C803" s="231"/>
    </row>
    <row r="804">
      <c r="A804" s="78"/>
      <c r="B804" s="78"/>
      <c r="C804" s="231"/>
    </row>
    <row r="805">
      <c r="A805" s="78"/>
      <c r="B805" s="78"/>
      <c r="C805" s="231"/>
    </row>
    <row r="806">
      <c r="A806" s="78"/>
      <c r="B806" s="78"/>
      <c r="C806" s="231"/>
    </row>
    <row r="807">
      <c r="A807" s="78"/>
      <c r="B807" s="78"/>
      <c r="C807" s="231"/>
    </row>
    <row r="808">
      <c r="A808" s="78"/>
      <c r="B808" s="78"/>
      <c r="C808" s="231"/>
    </row>
    <row r="809">
      <c r="A809" s="78"/>
      <c r="B809" s="78"/>
      <c r="C809" s="231"/>
    </row>
    <row r="810">
      <c r="A810" s="78"/>
      <c r="B810" s="78"/>
      <c r="C810" s="231"/>
    </row>
    <row r="811">
      <c r="A811" s="78"/>
      <c r="B811" s="78"/>
      <c r="C811" s="231"/>
    </row>
    <row r="812">
      <c r="A812" s="78"/>
      <c r="B812" s="78"/>
      <c r="C812" s="231"/>
    </row>
    <row r="813">
      <c r="A813" s="78"/>
      <c r="B813" s="78"/>
      <c r="C813" s="231"/>
    </row>
    <row r="814">
      <c r="A814" s="78"/>
      <c r="B814" s="78"/>
      <c r="C814" s="231"/>
    </row>
    <row r="815">
      <c r="A815" s="78"/>
      <c r="B815" s="78"/>
      <c r="C815" s="231"/>
    </row>
    <row r="816">
      <c r="A816" s="78"/>
      <c r="B816" s="78"/>
      <c r="C816" s="231"/>
    </row>
    <row r="817">
      <c r="A817" s="78"/>
      <c r="B817" s="78"/>
      <c r="C817" s="231"/>
    </row>
    <row r="818">
      <c r="A818" s="78"/>
      <c r="B818" s="78"/>
      <c r="C818" s="231"/>
    </row>
    <row r="819">
      <c r="A819" s="78"/>
      <c r="B819" s="78"/>
      <c r="C819" s="231"/>
    </row>
    <row r="820">
      <c r="A820" s="78"/>
      <c r="B820" s="78"/>
      <c r="C820" s="231"/>
    </row>
    <row r="821">
      <c r="A821" s="78"/>
      <c r="B821" s="78"/>
      <c r="C821" s="231"/>
    </row>
    <row r="822">
      <c r="A822" s="78"/>
      <c r="B822" s="78"/>
      <c r="C822" s="231"/>
    </row>
    <row r="823">
      <c r="A823" s="78"/>
      <c r="B823" s="78"/>
      <c r="C823" s="231"/>
    </row>
    <row r="824">
      <c r="A824" s="78"/>
      <c r="B824" s="78"/>
      <c r="C824" s="231"/>
    </row>
    <row r="825">
      <c r="A825" s="78"/>
      <c r="B825" s="78"/>
      <c r="C825" s="231"/>
    </row>
    <row r="826">
      <c r="A826" s="78"/>
      <c r="B826" s="78"/>
      <c r="C826" s="231"/>
    </row>
    <row r="827">
      <c r="A827" s="78"/>
      <c r="B827" s="78"/>
      <c r="C827" s="231"/>
    </row>
    <row r="828">
      <c r="A828" s="78"/>
      <c r="B828" s="78"/>
      <c r="C828" s="231"/>
    </row>
    <row r="829">
      <c r="A829" s="78"/>
      <c r="B829" s="78"/>
      <c r="C829" s="231"/>
    </row>
    <row r="830">
      <c r="A830" s="78"/>
      <c r="B830" s="78"/>
      <c r="C830" s="231"/>
    </row>
    <row r="831">
      <c r="A831" s="78"/>
      <c r="B831" s="78"/>
      <c r="C831" s="231"/>
    </row>
    <row r="832">
      <c r="A832" s="78"/>
      <c r="B832" s="78"/>
      <c r="C832" s="231"/>
    </row>
    <row r="833">
      <c r="A833" s="78"/>
      <c r="B833" s="78"/>
      <c r="C833" s="231"/>
    </row>
    <row r="834">
      <c r="A834" s="78"/>
      <c r="B834" s="78"/>
      <c r="C834" s="231"/>
    </row>
    <row r="835">
      <c r="A835" s="78"/>
      <c r="B835" s="78"/>
      <c r="C835" s="231"/>
    </row>
    <row r="836">
      <c r="A836" s="78"/>
      <c r="B836" s="78"/>
      <c r="C836" s="231"/>
    </row>
    <row r="837">
      <c r="A837" s="78"/>
      <c r="B837" s="78"/>
      <c r="C837" s="231"/>
    </row>
    <row r="838">
      <c r="A838" s="78"/>
      <c r="B838" s="78"/>
      <c r="C838" s="231"/>
    </row>
    <row r="839">
      <c r="A839" s="78"/>
      <c r="B839" s="78"/>
      <c r="C839" s="231"/>
    </row>
    <row r="840">
      <c r="A840" s="78"/>
      <c r="B840" s="78"/>
      <c r="C840" s="231"/>
    </row>
    <row r="841">
      <c r="A841" s="78"/>
      <c r="B841" s="78"/>
      <c r="C841" s="231"/>
    </row>
    <row r="842">
      <c r="A842" s="78"/>
      <c r="B842" s="78"/>
      <c r="C842" s="231"/>
    </row>
    <row r="843">
      <c r="A843" s="78"/>
      <c r="B843" s="78"/>
      <c r="C843" s="231"/>
    </row>
    <row r="844">
      <c r="A844" s="78"/>
      <c r="B844" s="78"/>
      <c r="C844" s="231"/>
    </row>
    <row r="845">
      <c r="A845" s="78"/>
      <c r="B845" s="78"/>
      <c r="C845" s="231"/>
    </row>
    <row r="846">
      <c r="A846" s="78"/>
      <c r="B846" s="78"/>
      <c r="C846" s="231"/>
    </row>
    <row r="847">
      <c r="A847" s="78"/>
      <c r="B847" s="78"/>
      <c r="C847" s="231"/>
    </row>
    <row r="848">
      <c r="A848" s="78"/>
      <c r="B848" s="78"/>
      <c r="C848" s="231"/>
    </row>
    <row r="849">
      <c r="A849" s="78"/>
      <c r="B849" s="78"/>
      <c r="C849" s="231"/>
    </row>
    <row r="850">
      <c r="A850" s="78"/>
      <c r="B850" s="78"/>
      <c r="C850" s="231"/>
    </row>
    <row r="851">
      <c r="A851" s="78"/>
      <c r="B851" s="78"/>
      <c r="C851" s="231"/>
    </row>
    <row r="852">
      <c r="A852" s="78"/>
      <c r="B852" s="78"/>
      <c r="C852" s="231"/>
    </row>
    <row r="853">
      <c r="A853" s="78"/>
      <c r="B853" s="78"/>
      <c r="C853" s="231"/>
    </row>
    <row r="854">
      <c r="A854" s="78"/>
      <c r="B854" s="78"/>
      <c r="C854" s="231"/>
    </row>
    <row r="855">
      <c r="A855" s="78"/>
      <c r="B855" s="78"/>
      <c r="C855" s="231"/>
    </row>
    <row r="856">
      <c r="A856" s="78"/>
      <c r="B856" s="78"/>
      <c r="C856" s="231"/>
    </row>
    <row r="857">
      <c r="A857" s="78"/>
      <c r="B857" s="78"/>
      <c r="C857" s="231"/>
    </row>
    <row r="858">
      <c r="A858" s="78"/>
      <c r="B858" s="78"/>
      <c r="C858" s="231"/>
    </row>
    <row r="859">
      <c r="A859" s="78"/>
      <c r="B859" s="78"/>
      <c r="C859" s="231"/>
    </row>
    <row r="860">
      <c r="A860" s="78"/>
      <c r="B860" s="78"/>
      <c r="C860" s="231"/>
    </row>
    <row r="861">
      <c r="A861" s="78"/>
      <c r="B861" s="78"/>
      <c r="C861" s="231"/>
    </row>
    <row r="862">
      <c r="A862" s="78"/>
      <c r="B862" s="78"/>
      <c r="C862" s="231"/>
    </row>
    <row r="863">
      <c r="A863" s="78"/>
      <c r="B863" s="78"/>
      <c r="C863" s="231"/>
    </row>
    <row r="864">
      <c r="A864" s="78"/>
      <c r="B864" s="78"/>
      <c r="C864" s="231"/>
    </row>
    <row r="865">
      <c r="A865" s="78"/>
      <c r="B865" s="78"/>
      <c r="C865" s="231"/>
    </row>
    <row r="866">
      <c r="A866" s="78"/>
      <c r="B866" s="78"/>
      <c r="C866" s="231"/>
    </row>
    <row r="867">
      <c r="A867" s="78"/>
      <c r="B867" s="78"/>
      <c r="C867" s="231"/>
    </row>
    <row r="868">
      <c r="A868" s="78"/>
      <c r="B868" s="78"/>
      <c r="C868" s="231"/>
    </row>
    <row r="869">
      <c r="A869" s="78"/>
      <c r="B869" s="78"/>
      <c r="C869" s="231"/>
    </row>
    <row r="870">
      <c r="A870" s="78"/>
      <c r="B870" s="78"/>
      <c r="C870" s="231"/>
    </row>
    <row r="871">
      <c r="A871" s="78"/>
      <c r="B871" s="78"/>
      <c r="C871" s="231"/>
    </row>
    <row r="872">
      <c r="A872" s="78"/>
      <c r="B872" s="78"/>
      <c r="C872" s="231"/>
    </row>
    <row r="873">
      <c r="A873" s="78"/>
      <c r="B873" s="78"/>
      <c r="C873" s="231"/>
    </row>
    <row r="874">
      <c r="A874" s="78"/>
      <c r="B874" s="78"/>
      <c r="C874" s="231"/>
    </row>
    <row r="875">
      <c r="A875" s="78"/>
      <c r="B875" s="78"/>
      <c r="C875" s="231"/>
    </row>
    <row r="876">
      <c r="A876" s="78"/>
      <c r="B876" s="78"/>
      <c r="C876" s="231"/>
    </row>
    <row r="877">
      <c r="A877" s="78"/>
      <c r="B877" s="78"/>
      <c r="C877" s="231"/>
    </row>
    <row r="878">
      <c r="A878" s="78"/>
      <c r="B878" s="78"/>
      <c r="C878" s="231"/>
    </row>
    <row r="879">
      <c r="A879" s="78"/>
      <c r="B879" s="78"/>
      <c r="C879" s="231"/>
    </row>
    <row r="880">
      <c r="A880" s="78"/>
      <c r="B880" s="78"/>
      <c r="C880" s="231"/>
    </row>
    <row r="881">
      <c r="A881" s="78"/>
      <c r="B881" s="78"/>
      <c r="C881" s="231"/>
    </row>
    <row r="882">
      <c r="A882" s="78"/>
      <c r="B882" s="78"/>
      <c r="C882" s="231"/>
    </row>
    <row r="883">
      <c r="A883" s="78"/>
      <c r="B883" s="78"/>
      <c r="C883" s="231"/>
    </row>
    <row r="884">
      <c r="A884" s="78"/>
      <c r="B884" s="78"/>
      <c r="C884" s="231"/>
    </row>
    <row r="885">
      <c r="A885" s="78"/>
      <c r="B885" s="78"/>
      <c r="C885" s="231"/>
    </row>
    <row r="886">
      <c r="A886" s="78"/>
      <c r="B886" s="78"/>
      <c r="C886" s="231"/>
    </row>
    <row r="887">
      <c r="A887" s="78"/>
      <c r="B887" s="78"/>
      <c r="C887" s="231"/>
    </row>
    <row r="888">
      <c r="A888" s="78"/>
      <c r="B888" s="78"/>
      <c r="C888" s="231"/>
    </row>
    <row r="889">
      <c r="A889" s="78"/>
      <c r="B889" s="78"/>
      <c r="C889" s="231"/>
    </row>
    <row r="890">
      <c r="A890" s="78"/>
      <c r="B890" s="78"/>
      <c r="C890" s="231"/>
    </row>
    <row r="891">
      <c r="A891" s="78"/>
      <c r="B891" s="78"/>
      <c r="C891" s="231"/>
    </row>
    <row r="892">
      <c r="A892" s="78"/>
      <c r="B892" s="78"/>
      <c r="C892" s="231"/>
    </row>
    <row r="893">
      <c r="A893" s="78"/>
      <c r="B893" s="78"/>
      <c r="C893" s="231"/>
    </row>
    <row r="894">
      <c r="A894" s="78"/>
      <c r="B894" s="78"/>
      <c r="C894" s="231"/>
    </row>
    <row r="895">
      <c r="A895" s="78"/>
      <c r="B895" s="78"/>
      <c r="C895" s="231"/>
    </row>
    <row r="896">
      <c r="A896" s="78"/>
      <c r="B896" s="78"/>
      <c r="C896" s="231"/>
    </row>
    <row r="897">
      <c r="A897" s="78"/>
      <c r="B897" s="78"/>
      <c r="C897" s="231"/>
    </row>
    <row r="898">
      <c r="A898" s="78"/>
      <c r="B898" s="78"/>
      <c r="C898" s="231"/>
    </row>
    <row r="899">
      <c r="A899" s="78"/>
      <c r="B899" s="78"/>
      <c r="C899" s="231"/>
    </row>
    <row r="900">
      <c r="A900" s="78"/>
      <c r="B900" s="78"/>
      <c r="C900" s="231"/>
    </row>
    <row r="901">
      <c r="A901" s="78"/>
      <c r="B901" s="78"/>
      <c r="C901" s="231"/>
    </row>
    <row r="902">
      <c r="A902" s="78"/>
      <c r="B902" s="78"/>
      <c r="C902" s="231"/>
    </row>
    <row r="903">
      <c r="A903" s="78"/>
      <c r="B903" s="78"/>
      <c r="C903" s="231"/>
    </row>
    <row r="904">
      <c r="A904" s="78"/>
      <c r="B904" s="78"/>
      <c r="C904" s="231"/>
    </row>
    <row r="905">
      <c r="A905" s="78"/>
      <c r="B905" s="78"/>
      <c r="C905" s="231"/>
    </row>
    <row r="906">
      <c r="A906" s="78"/>
      <c r="B906" s="78"/>
      <c r="C906" s="231"/>
    </row>
    <row r="907">
      <c r="A907" s="78"/>
      <c r="B907" s="78"/>
      <c r="C907" s="231"/>
    </row>
    <row r="908">
      <c r="A908" s="78"/>
      <c r="B908" s="78"/>
      <c r="C908" s="231"/>
    </row>
    <row r="909">
      <c r="A909" s="78"/>
      <c r="B909" s="78"/>
      <c r="C909" s="231"/>
    </row>
    <row r="910">
      <c r="A910" s="78"/>
      <c r="B910" s="78"/>
      <c r="C910" s="231"/>
    </row>
    <row r="911">
      <c r="A911" s="78"/>
      <c r="B911" s="78"/>
      <c r="C911" s="231"/>
    </row>
    <row r="912">
      <c r="A912" s="78"/>
      <c r="B912" s="78"/>
      <c r="C912" s="231"/>
    </row>
    <row r="913">
      <c r="A913" s="78"/>
      <c r="B913" s="78"/>
      <c r="C913" s="231"/>
    </row>
    <row r="914">
      <c r="A914" s="78"/>
      <c r="B914" s="78"/>
      <c r="C914" s="231"/>
    </row>
    <row r="915">
      <c r="A915" s="78"/>
      <c r="B915" s="78"/>
      <c r="C915" s="231"/>
    </row>
    <row r="916">
      <c r="A916" s="78"/>
      <c r="B916" s="78"/>
      <c r="C916" s="231"/>
    </row>
    <row r="917">
      <c r="A917" s="78"/>
      <c r="B917" s="78"/>
      <c r="C917" s="231"/>
    </row>
    <row r="918">
      <c r="A918" s="78"/>
      <c r="B918" s="78"/>
      <c r="C918" s="231"/>
    </row>
    <row r="919">
      <c r="A919" s="78"/>
      <c r="B919" s="78"/>
      <c r="C919" s="231"/>
    </row>
    <row r="920">
      <c r="A920" s="78"/>
      <c r="B920" s="78"/>
      <c r="C920" s="231"/>
    </row>
    <row r="921">
      <c r="A921" s="78"/>
      <c r="B921" s="78"/>
      <c r="C921" s="231"/>
    </row>
    <row r="922">
      <c r="A922" s="78"/>
      <c r="B922" s="78"/>
      <c r="C922" s="231"/>
    </row>
    <row r="923">
      <c r="A923" s="78"/>
      <c r="B923" s="78"/>
      <c r="C923" s="231"/>
    </row>
    <row r="924">
      <c r="A924" s="78"/>
      <c r="B924" s="78"/>
      <c r="C924" s="231"/>
    </row>
    <row r="925">
      <c r="A925" s="78"/>
      <c r="B925" s="78"/>
      <c r="C925" s="231"/>
    </row>
    <row r="926">
      <c r="A926" s="78"/>
      <c r="B926" s="78"/>
      <c r="C926" s="231"/>
    </row>
    <row r="927">
      <c r="A927" s="78"/>
      <c r="B927" s="78"/>
      <c r="C927" s="231"/>
    </row>
    <row r="928">
      <c r="A928" s="78"/>
      <c r="B928" s="78"/>
      <c r="C928" s="231"/>
    </row>
    <row r="929">
      <c r="A929" s="78"/>
      <c r="B929" s="78"/>
      <c r="C929" s="231"/>
    </row>
    <row r="930">
      <c r="A930" s="78"/>
      <c r="B930" s="78"/>
      <c r="C930" s="231"/>
    </row>
    <row r="931">
      <c r="A931" s="78"/>
      <c r="B931" s="78"/>
      <c r="C931" s="231"/>
    </row>
    <row r="932">
      <c r="A932" s="78"/>
      <c r="B932" s="78"/>
      <c r="C932" s="231"/>
    </row>
    <row r="933">
      <c r="A933" s="78"/>
      <c r="B933" s="78"/>
      <c r="C933" s="231"/>
    </row>
    <row r="934">
      <c r="A934" s="78"/>
      <c r="B934" s="78"/>
      <c r="C934" s="231"/>
    </row>
    <row r="935">
      <c r="A935" s="78"/>
      <c r="B935" s="78"/>
      <c r="C935" s="231"/>
    </row>
    <row r="936">
      <c r="A936" s="78"/>
      <c r="B936" s="78"/>
      <c r="C936" s="231"/>
    </row>
    <row r="937">
      <c r="A937" s="78"/>
      <c r="B937" s="78"/>
      <c r="C937" s="231"/>
    </row>
    <row r="938">
      <c r="A938" s="78"/>
      <c r="B938" s="78"/>
      <c r="C938" s="231"/>
    </row>
    <row r="939">
      <c r="A939" s="78"/>
      <c r="B939" s="78"/>
      <c r="C939" s="231"/>
    </row>
    <row r="940">
      <c r="A940" s="78"/>
      <c r="B940" s="78"/>
      <c r="C940" s="231"/>
    </row>
    <row r="941">
      <c r="A941" s="78"/>
      <c r="B941" s="78"/>
      <c r="C941" s="231"/>
    </row>
    <row r="942">
      <c r="A942" s="78"/>
      <c r="B942" s="78"/>
      <c r="C942" s="231"/>
    </row>
    <row r="943">
      <c r="A943" s="78"/>
      <c r="B943" s="78"/>
      <c r="C943" s="231"/>
    </row>
    <row r="944">
      <c r="A944" s="78"/>
      <c r="B944" s="78"/>
      <c r="C944" s="231"/>
    </row>
    <row r="945">
      <c r="A945" s="78"/>
      <c r="B945" s="78"/>
      <c r="C945" s="231"/>
    </row>
    <row r="946">
      <c r="A946" s="78"/>
      <c r="B946" s="78"/>
      <c r="C946" s="231"/>
    </row>
    <row r="947">
      <c r="A947" s="78"/>
      <c r="B947" s="78"/>
      <c r="C947" s="231"/>
    </row>
    <row r="948">
      <c r="A948" s="78"/>
      <c r="B948" s="78"/>
      <c r="C948" s="231"/>
    </row>
    <row r="949">
      <c r="A949" s="78"/>
      <c r="B949" s="78"/>
      <c r="C949" s="231"/>
    </row>
    <row r="950">
      <c r="A950" s="78"/>
      <c r="B950" s="78"/>
      <c r="C950" s="231"/>
    </row>
    <row r="951">
      <c r="A951" s="78"/>
      <c r="B951" s="78"/>
      <c r="C951" s="231"/>
    </row>
    <row r="952">
      <c r="A952" s="78"/>
      <c r="B952" s="78"/>
      <c r="C952" s="231"/>
    </row>
    <row r="953">
      <c r="A953" s="78"/>
      <c r="B953" s="78"/>
      <c r="C953" s="231"/>
    </row>
    <row r="954">
      <c r="A954" s="78"/>
      <c r="B954" s="78"/>
      <c r="C954" s="231"/>
    </row>
    <row r="955">
      <c r="A955" s="78"/>
      <c r="B955" s="78"/>
      <c r="C955" s="231"/>
    </row>
    <row r="956">
      <c r="A956" s="78"/>
      <c r="B956" s="78"/>
      <c r="C956" s="231"/>
    </row>
    <row r="957">
      <c r="A957" s="78"/>
      <c r="B957" s="78"/>
      <c r="C957" s="231"/>
    </row>
    <row r="958">
      <c r="A958" s="78"/>
      <c r="B958" s="78"/>
      <c r="C958" s="231"/>
    </row>
    <row r="959">
      <c r="A959" s="78"/>
      <c r="B959" s="78"/>
      <c r="C959" s="231"/>
    </row>
    <row r="960">
      <c r="A960" s="78"/>
      <c r="B960" s="78"/>
      <c r="C960" s="231"/>
    </row>
    <row r="961">
      <c r="A961" s="78"/>
      <c r="B961" s="78"/>
      <c r="C961" s="231"/>
    </row>
    <row r="962">
      <c r="A962" s="78"/>
      <c r="B962" s="78"/>
      <c r="C962" s="231"/>
    </row>
    <row r="963">
      <c r="A963" s="78"/>
      <c r="B963" s="78"/>
      <c r="C963" s="231"/>
    </row>
    <row r="964">
      <c r="A964" s="78"/>
      <c r="B964" s="78"/>
      <c r="C964" s="231"/>
    </row>
    <row r="965">
      <c r="A965" s="78"/>
      <c r="B965" s="78"/>
      <c r="C965" s="231"/>
    </row>
    <row r="966">
      <c r="A966" s="78"/>
      <c r="B966" s="78"/>
      <c r="C966" s="231"/>
    </row>
    <row r="967">
      <c r="A967" s="78"/>
      <c r="B967" s="78"/>
      <c r="C967" s="231"/>
    </row>
    <row r="968">
      <c r="A968" s="78"/>
      <c r="B968" s="78"/>
      <c r="C968" s="231"/>
    </row>
    <row r="969">
      <c r="A969" s="78"/>
      <c r="B969" s="78"/>
      <c r="C969" s="231"/>
    </row>
    <row r="970">
      <c r="A970" s="78"/>
      <c r="B970" s="78"/>
      <c r="C970" s="231"/>
    </row>
    <row r="971">
      <c r="A971" s="78"/>
      <c r="B971" s="78"/>
      <c r="C971" s="231"/>
    </row>
    <row r="972">
      <c r="A972" s="78"/>
      <c r="B972" s="78"/>
      <c r="C972" s="231"/>
    </row>
    <row r="973">
      <c r="A973" s="78"/>
      <c r="B973" s="78"/>
      <c r="C973" s="231"/>
    </row>
    <row r="974">
      <c r="A974" s="78"/>
      <c r="B974" s="78"/>
      <c r="C974" s="231"/>
    </row>
    <row r="975">
      <c r="A975" s="78"/>
      <c r="B975" s="78"/>
      <c r="C975" s="231"/>
    </row>
    <row r="976">
      <c r="A976" s="78"/>
      <c r="B976" s="78"/>
      <c r="C976" s="231"/>
    </row>
    <row r="977">
      <c r="A977" s="78"/>
      <c r="B977" s="78"/>
      <c r="C977" s="231"/>
    </row>
    <row r="978">
      <c r="A978" s="78"/>
      <c r="B978" s="78"/>
      <c r="C978" s="231"/>
    </row>
    <row r="979">
      <c r="A979" s="78"/>
      <c r="B979" s="78"/>
      <c r="C979" s="231"/>
    </row>
    <row r="980">
      <c r="A980" s="78"/>
      <c r="B980" s="78"/>
      <c r="C980" s="231"/>
    </row>
    <row r="981">
      <c r="A981" s="78"/>
      <c r="B981" s="78"/>
      <c r="C981" s="231"/>
    </row>
    <row r="982">
      <c r="A982" s="78"/>
      <c r="B982" s="78"/>
      <c r="C982" s="231"/>
    </row>
    <row r="983">
      <c r="A983" s="78"/>
      <c r="B983" s="78"/>
      <c r="C983" s="231"/>
    </row>
    <row r="984">
      <c r="A984" s="78"/>
      <c r="B984" s="78"/>
      <c r="C984" s="231"/>
    </row>
    <row r="985">
      <c r="A985" s="78"/>
      <c r="B985" s="78"/>
      <c r="C985" s="231"/>
    </row>
    <row r="986">
      <c r="A986" s="78"/>
      <c r="B986" s="78"/>
      <c r="C986" s="231"/>
    </row>
    <row r="987">
      <c r="A987" s="78"/>
      <c r="B987" s="78"/>
      <c r="C987" s="231"/>
    </row>
    <row r="988">
      <c r="A988" s="78"/>
      <c r="B988" s="78"/>
      <c r="C988" s="231"/>
    </row>
    <row r="989">
      <c r="A989" s="78"/>
      <c r="B989" s="78"/>
      <c r="C989" s="231"/>
    </row>
    <row r="990">
      <c r="A990" s="78"/>
      <c r="B990" s="78"/>
      <c r="C990" s="231"/>
    </row>
    <row r="991">
      <c r="A991" s="78"/>
      <c r="B991" s="78"/>
      <c r="C991" s="231"/>
    </row>
    <row r="992">
      <c r="A992" s="78"/>
      <c r="B992" s="78"/>
      <c r="C992" s="231"/>
    </row>
    <row r="993">
      <c r="A993" s="78"/>
      <c r="B993" s="78"/>
      <c r="C993" s="231"/>
    </row>
    <row r="994">
      <c r="A994" s="78"/>
      <c r="B994" s="78"/>
      <c r="C994" s="231"/>
    </row>
    <row r="995">
      <c r="A995" s="78"/>
      <c r="B995" s="78"/>
      <c r="C995" s="231"/>
    </row>
    <row r="996">
      <c r="A996" s="78"/>
      <c r="B996" s="78"/>
      <c r="C996" s="231"/>
    </row>
    <row r="997">
      <c r="A997" s="78"/>
      <c r="B997" s="78"/>
      <c r="C997" s="231"/>
    </row>
    <row r="998">
      <c r="A998" s="78"/>
      <c r="B998" s="78"/>
      <c r="C998" s="231"/>
    </row>
    <row r="999">
      <c r="A999" s="78"/>
      <c r="B999" s="78"/>
      <c r="C999" s="231"/>
    </row>
    <row r="1000">
      <c r="A1000" s="78"/>
      <c r="B1000" s="78"/>
      <c r="C1000" s="231"/>
    </row>
  </sheetData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20.5"/>
    <col customWidth="1" min="5" max="5" width="26.13"/>
    <col customWidth="1" min="6" max="6" width="17.38"/>
  </cols>
  <sheetData>
    <row r="1">
      <c r="A1" s="56" t="s">
        <v>44</v>
      </c>
      <c r="B1" s="56" t="s">
        <v>1</v>
      </c>
      <c r="C1" s="57" t="s">
        <v>294</v>
      </c>
      <c r="D1" s="55" t="s">
        <v>248</v>
      </c>
      <c r="E1" s="348" t="s">
        <v>249</v>
      </c>
      <c r="F1" s="349" t="s">
        <v>250</v>
      </c>
      <c r="G1" s="11"/>
    </row>
    <row r="2">
      <c r="A2" s="136" t="s">
        <v>7990</v>
      </c>
      <c r="B2" s="25">
        <v>6669.0</v>
      </c>
      <c r="C2" s="420">
        <v>0.05</v>
      </c>
      <c r="D2" s="179">
        <v>0.69</v>
      </c>
      <c r="E2" s="179">
        <v>0.69</v>
      </c>
      <c r="F2" s="229" t="s">
        <v>1656</v>
      </c>
      <c r="G2" s="11"/>
    </row>
    <row r="3">
      <c r="A3" s="136" t="s">
        <v>7991</v>
      </c>
      <c r="B3" s="25">
        <v>2345.0</v>
      </c>
      <c r="C3" s="420">
        <v>0.05</v>
      </c>
      <c r="D3" s="179">
        <v>0.9</v>
      </c>
      <c r="E3" s="179">
        <v>0.9</v>
      </c>
      <c r="F3" s="229" t="s">
        <v>1656</v>
      </c>
      <c r="G3" s="11"/>
    </row>
    <row r="4">
      <c r="A4" s="136" t="s">
        <v>7992</v>
      </c>
      <c r="B4" s="25">
        <v>986.0</v>
      </c>
      <c r="C4" s="420">
        <v>0.05</v>
      </c>
      <c r="D4" s="179">
        <v>0.81</v>
      </c>
      <c r="E4" s="179">
        <v>0.81</v>
      </c>
      <c r="F4" s="229" t="s">
        <v>1656</v>
      </c>
      <c r="G4" s="11"/>
    </row>
    <row r="5">
      <c r="A5" s="136" t="s">
        <v>7993</v>
      </c>
      <c r="B5" s="25">
        <v>986.0</v>
      </c>
      <c r="C5" s="420">
        <v>0.05</v>
      </c>
      <c r="D5" s="179">
        <v>0.81</v>
      </c>
      <c r="E5" s="179">
        <v>0.81</v>
      </c>
      <c r="F5" s="229" t="s">
        <v>1656</v>
      </c>
      <c r="G5" s="11"/>
    </row>
    <row r="6">
      <c r="A6" s="136" t="s">
        <v>7994</v>
      </c>
      <c r="B6" s="25">
        <v>986.0</v>
      </c>
      <c r="C6" s="420">
        <v>0.05</v>
      </c>
      <c r="D6" s="179">
        <v>0.81</v>
      </c>
      <c r="E6" s="179">
        <v>0.81</v>
      </c>
      <c r="F6" s="229" t="s">
        <v>1656</v>
      </c>
      <c r="G6" s="11"/>
    </row>
    <row r="7">
      <c r="A7" s="136" t="s">
        <v>7995</v>
      </c>
      <c r="B7" s="25">
        <v>986.0</v>
      </c>
      <c r="C7" s="420">
        <v>0.05</v>
      </c>
      <c r="D7" s="179">
        <v>0.81</v>
      </c>
      <c r="E7" s="179">
        <v>0.81</v>
      </c>
      <c r="F7" s="229" t="s">
        <v>1656</v>
      </c>
    </row>
    <row r="8">
      <c r="A8" s="136" t="s">
        <v>7996</v>
      </c>
      <c r="B8" s="25">
        <v>986.0</v>
      </c>
      <c r="C8" s="420">
        <v>0.05</v>
      </c>
      <c r="D8" s="179">
        <v>0.81</v>
      </c>
      <c r="E8" s="179">
        <v>0.81</v>
      </c>
      <c r="F8" s="229" t="s">
        <v>1656</v>
      </c>
    </row>
    <row r="9">
      <c r="A9" s="136" t="s">
        <v>7997</v>
      </c>
      <c r="B9" s="25">
        <v>986.0</v>
      </c>
      <c r="C9" s="420">
        <v>0.05</v>
      </c>
      <c r="D9" s="179">
        <v>0.81</v>
      </c>
      <c r="E9" s="179">
        <v>0.81</v>
      </c>
      <c r="F9" s="229" t="s">
        <v>1656</v>
      </c>
    </row>
    <row r="10">
      <c r="A10" s="136" t="s">
        <v>7998</v>
      </c>
      <c r="B10" s="25">
        <v>986.0</v>
      </c>
      <c r="C10" s="420">
        <v>0.05</v>
      </c>
      <c r="D10" s="179">
        <v>0.81</v>
      </c>
      <c r="E10" s="179">
        <v>0.81</v>
      </c>
      <c r="F10" s="229" t="s">
        <v>1656</v>
      </c>
    </row>
    <row r="11">
      <c r="A11" s="136" t="s">
        <v>7999</v>
      </c>
      <c r="B11" s="25">
        <v>986.0</v>
      </c>
      <c r="C11" s="420">
        <v>0.05</v>
      </c>
      <c r="D11" s="179">
        <v>0.81</v>
      </c>
      <c r="E11" s="179">
        <v>0.81</v>
      </c>
      <c r="F11" s="229" t="s">
        <v>1656</v>
      </c>
    </row>
    <row r="12">
      <c r="A12" s="136" t="s">
        <v>8000</v>
      </c>
      <c r="B12" s="25">
        <v>986.0</v>
      </c>
      <c r="C12" s="420">
        <v>0.05</v>
      </c>
      <c r="D12" s="179">
        <v>0.81</v>
      </c>
      <c r="E12" s="179">
        <v>0.81</v>
      </c>
      <c r="F12" s="229" t="s">
        <v>1656</v>
      </c>
    </row>
    <row r="13">
      <c r="A13" s="136" t="s">
        <v>8001</v>
      </c>
      <c r="B13" s="25">
        <v>986.0</v>
      </c>
      <c r="C13" s="420">
        <v>0.05</v>
      </c>
      <c r="D13" s="179">
        <v>0.81</v>
      </c>
      <c r="E13" s="179">
        <v>0.81</v>
      </c>
      <c r="F13" s="229" t="s">
        <v>1656</v>
      </c>
    </row>
    <row r="14">
      <c r="A14" s="136" t="s">
        <v>8002</v>
      </c>
      <c r="B14" s="25">
        <v>986.0</v>
      </c>
      <c r="C14" s="420">
        <v>0.05</v>
      </c>
      <c r="D14" s="179">
        <v>0.81</v>
      </c>
      <c r="E14" s="179">
        <v>0.81</v>
      </c>
      <c r="F14" s="229" t="s">
        <v>1656</v>
      </c>
    </row>
    <row r="15">
      <c r="A15" s="136" t="s">
        <v>8003</v>
      </c>
      <c r="B15" s="25">
        <v>986.0</v>
      </c>
      <c r="C15" s="420">
        <v>0.05</v>
      </c>
      <c r="D15" s="179">
        <v>0.81</v>
      </c>
      <c r="E15" s="179">
        <v>0.81</v>
      </c>
      <c r="F15" s="229" t="s">
        <v>1656</v>
      </c>
    </row>
    <row r="16">
      <c r="A16" s="136" t="s">
        <v>8004</v>
      </c>
      <c r="B16" s="25">
        <v>986.0</v>
      </c>
      <c r="C16" s="420">
        <v>0.05</v>
      </c>
      <c r="D16" s="179">
        <v>0.81</v>
      </c>
      <c r="E16" s="179">
        <v>0.81</v>
      </c>
      <c r="F16" s="229" t="s">
        <v>1656</v>
      </c>
    </row>
    <row r="17">
      <c r="A17" s="136" t="s">
        <v>8005</v>
      </c>
      <c r="B17" s="25">
        <v>986.0</v>
      </c>
      <c r="C17" s="420">
        <v>0.05</v>
      </c>
      <c r="D17" s="179">
        <v>0.81</v>
      </c>
      <c r="E17" s="179">
        <v>0.81</v>
      </c>
      <c r="F17" s="229" t="s">
        <v>1656</v>
      </c>
    </row>
    <row r="18">
      <c r="A18" s="136" t="s">
        <v>8006</v>
      </c>
      <c r="B18" s="25">
        <v>986.0</v>
      </c>
      <c r="C18" s="420">
        <v>0.05</v>
      </c>
      <c r="D18" s="179">
        <v>0.81</v>
      </c>
      <c r="E18" s="179">
        <v>0.81</v>
      </c>
      <c r="F18" s="229" t="s">
        <v>1656</v>
      </c>
    </row>
    <row r="19">
      <c r="A19" s="136" t="s">
        <v>8007</v>
      </c>
      <c r="B19" s="25">
        <v>3378.0</v>
      </c>
      <c r="C19" s="420">
        <v>0.05</v>
      </c>
      <c r="D19" s="179">
        <v>0.69</v>
      </c>
      <c r="E19" s="179">
        <v>0.69</v>
      </c>
      <c r="F19" s="229" t="s">
        <v>1656</v>
      </c>
    </row>
    <row r="20">
      <c r="A20" s="136" t="s">
        <v>8008</v>
      </c>
      <c r="B20" s="25">
        <v>6797.0</v>
      </c>
      <c r="C20" s="420">
        <v>0.05</v>
      </c>
      <c r="D20" s="179">
        <v>0.69</v>
      </c>
      <c r="E20" s="179">
        <v>0.69</v>
      </c>
      <c r="F20" s="229" t="s">
        <v>1656</v>
      </c>
    </row>
    <row r="21">
      <c r="A21" s="136" t="s">
        <v>8009</v>
      </c>
      <c r="B21" s="25">
        <v>6700.0</v>
      </c>
      <c r="C21" s="420">
        <v>0.05</v>
      </c>
      <c r="D21" s="179">
        <v>0.69</v>
      </c>
      <c r="E21" s="179">
        <v>0.69</v>
      </c>
      <c r="F21" s="229" t="s">
        <v>1656</v>
      </c>
    </row>
    <row r="22">
      <c r="A22" s="136" t="s">
        <v>8010</v>
      </c>
      <c r="B22" s="25">
        <v>6772.0</v>
      </c>
      <c r="C22" s="420">
        <v>0.05</v>
      </c>
      <c r="D22" s="179">
        <v>0.69</v>
      </c>
      <c r="E22" s="179">
        <v>0.69</v>
      </c>
      <c r="F22" s="229" t="s">
        <v>1656</v>
      </c>
    </row>
    <row r="23">
      <c r="A23" s="136" t="s">
        <v>8011</v>
      </c>
      <c r="B23" s="25">
        <v>6580.0</v>
      </c>
      <c r="C23" s="420">
        <v>0.05</v>
      </c>
      <c r="D23" s="179">
        <v>0.69</v>
      </c>
      <c r="E23" s="179">
        <v>0.69</v>
      </c>
      <c r="F23" s="229" t="s">
        <v>1656</v>
      </c>
    </row>
    <row r="24">
      <c r="A24" s="136" t="s">
        <v>8012</v>
      </c>
      <c r="B24" s="25">
        <v>6799.0</v>
      </c>
      <c r="C24" s="420">
        <v>0.05</v>
      </c>
      <c r="D24" s="179">
        <v>0.69</v>
      </c>
      <c r="E24" s="179">
        <v>0.69</v>
      </c>
      <c r="F24" s="229" t="s">
        <v>1656</v>
      </c>
    </row>
    <row r="25">
      <c r="A25" s="136" t="s">
        <v>8013</v>
      </c>
      <c r="B25" s="25">
        <v>2345.0</v>
      </c>
      <c r="C25" s="420">
        <v>0.05</v>
      </c>
      <c r="D25" s="179">
        <v>0.9</v>
      </c>
      <c r="E25" s="179">
        <v>0.9</v>
      </c>
      <c r="F25" s="229" t="s">
        <v>1656</v>
      </c>
    </row>
    <row r="26">
      <c r="A26" s="136" t="s">
        <v>8014</v>
      </c>
      <c r="B26" s="25">
        <v>4933.0</v>
      </c>
      <c r="C26" s="420">
        <v>0.05</v>
      </c>
      <c r="D26" s="179">
        <v>0.69</v>
      </c>
      <c r="E26" s="179">
        <v>0.69</v>
      </c>
      <c r="F26" s="229" t="s">
        <v>1656</v>
      </c>
    </row>
    <row r="27">
      <c r="A27" s="136" t="s">
        <v>8015</v>
      </c>
      <c r="B27" s="25">
        <v>4933.0</v>
      </c>
      <c r="C27" s="420">
        <v>0.05</v>
      </c>
      <c r="D27" s="179">
        <v>0.69</v>
      </c>
      <c r="E27" s="179">
        <v>0.69</v>
      </c>
      <c r="F27" s="229" t="s">
        <v>1656</v>
      </c>
    </row>
    <row r="28">
      <c r="A28" s="136" t="s">
        <v>8016</v>
      </c>
      <c r="B28" s="25">
        <v>4933.0</v>
      </c>
      <c r="C28" s="420">
        <v>0.05</v>
      </c>
      <c r="D28" s="179">
        <v>0.69</v>
      </c>
      <c r="E28" s="179">
        <v>0.69</v>
      </c>
      <c r="F28" s="229" t="s">
        <v>1656</v>
      </c>
    </row>
    <row r="29">
      <c r="A29" s="136" t="s">
        <v>8017</v>
      </c>
      <c r="B29" s="25">
        <v>4933.0</v>
      </c>
      <c r="C29" s="420">
        <v>0.05</v>
      </c>
      <c r="D29" s="179">
        <v>0.69</v>
      </c>
      <c r="E29" s="179">
        <v>0.69</v>
      </c>
      <c r="F29" s="229" t="s">
        <v>1656</v>
      </c>
    </row>
    <row r="30">
      <c r="A30" s="136" t="s">
        <v>8018</v>
      </c>
      <c r="B30" s="25">
        <v>4933.0</v>
      </c>
      <c r="C30" s="420">
        <v>0.05</v>
      </c>
      <c r="D30" s="179">
        <v>0.69</v>
      </c>
      <c r="E30" s="179">
        <v>0.69</v>
      </c>
      <c r="F30" s="229" t="s">
        <v>1656</v>
      </c>
    </row>
    <row r="31">
      <c r="A31" s="136" t="s">
        <v>8019</v>
      </c>
      <c r="B31" s="25">
        <v>4933.0</v>
      </c>
      <c r="C31" s="420">
        <v>0.05</v>
      </c>
      <c r="D31" s="179">
        <v>0.69</v>
      </c>
      <c r="E31" s="179">
        <v>0.69</v>
      </c>
      <c r="F31" s="229" t="s">
        <v>1656</v>
      </c>
    </row>
    <row r="32">
      <c r="A32" s="136" t="s">
        <v>8020</v>
      </c>
      <c r="B32" s="25">
        <v>4933.0</v>
      </c>
      <c r="C32" s="420">
        <v>0.05</v>
      </c>
      <c r="D32" s="179">
        <v>0.69</v>
      </c>
      <c r="E32" s="179">
        <v>0.69</v>
      </c>
      <c r="F32" s="229" t="s">
        <v>1656</v>
      </c>
    </row>
    <row r="33">
      <c r="A33" s="136" t="s">
        <v>8021</v>
      </c>
      <c r="B33" s="25">
        <v>4933.0</v>
      </c>
      <c r="C33" s="420">
        <v>0.05</v>
      </c>
      <c r="D33" s="179">
        <v>0.69</v>
      </c>
      <c r="E33" s="179">
        <v>0.69</v>
      </c>
      <c r="F33" s="229" t="s">
        <v>1656</v>
      </c>
    </row>
    <row r="34">
      <c r="A34" s="136" t="s">
        <v>8022</v>
      </c>
      <c r="B34" s="25">
        <v>4933.0</v>
      </c>
      <c r="C34" s="420">
        <v>0.05</v>
      </c>
      <c r="D34" s="179">
        <v>0.69</v>
      </c>
      <c r="E34" s="179">
        <v>0.69</v>
      </c>
      <c r="F34" s="229" t="s">
        <v>1656</v>
      </c>
    </row>
    <row r="35">
      <c r="A35" s="136" t="s">
        <v>8023</v>
      </c>
      <c r="B35" s="25">
        <v>4933.0</v>
      </c>
      <c r="C35" s="420">
        <v>0.05</v>
      </c>
      <c r="D35" s="179">
        <v>0.69</v>
      </c>
      <c r="E35" s="179">
        <v>0.69</v>
      </c>
      <c r="F35" s="229" t="s">
        <v>1656</v>
      </c>
    </row>
    <row r="36">
      <c r="A36" s="136" t="s">
        <v>8024</v>
      </c>
      <c r="B36" s="25">
        <v>6107.0</v>
      </c>
      <c r="C36" s="420">
        <v>0.05</v>
      </c>
      <c r="D36" s="179">
        <v>0.69</v>
      </c>
      <c r="E36" s="179">
        <v>0.69</v>
      </c>
      <c r="F36" s="229" t="s">
        <v>1656</v>
      </c>
    </row>
    <row r="37">
      <c r="A37" s="136" t="s">
        <v>8025</v>
      </c>
      <c r="B37" s="25">
        <v>2345.0</v>
      </c>
      <c r="C37" s="420">
        <v>0.05</v>
      </c>
      <c r="D37" s="179">
        <v>0.9</v>
      </c>
      <c r="E37" s="179">
        <v>0.9</v>
      </c>
      <c r="F37" s="229" t="s">
        <v>1656</v>
      </c>
    </row>
    <row r="38">
      <c r="A38" s="136" t="s">
        <v>8026</v>
      </c>
      <c r="B38" s="25">
        <v>5421.0</v>
      </c>
      <c r="C38" s="420">
        <v>0.05</v>
      </c>
      <c r="D38" s="179">
        <v>0.69</v>
      </c>
      <c r="E38" s="179">
        <v>0.69</v>
      </c>
      <c r="F38" s="229" t="s">
        <v>1656</v>
      </c>
    </row>
    <row r="39">
      <c r="A39" s="136" t="s">
        <v>8027</v>
      </c>
      <c r="B39" s="25">
        <v>5421.0</v>
      </c>
      <c r="C39" s="420">
        <v>0.05</v>
      </c>
      <c r="D39" s="179">
        <v>0.69</v>
      </c>
      <c r="E39" s="179">
        <v>0.69</v>
      </c>
      <c r="F39" s="229" t="s">
        <v>1656</v>
      </c>
    </row>
    <row r="40">
      <c r="A40" s="136" t="s">
        <v>8028</v>
      </c>
      <c r="B40" s="25">
        <v>5421.0</v>
      </c>
      <c r="C40" s="420">
        <v>0.05</v>
      </c>
      <c r="D40" s="179">
        <v>0.69</v>
      </c>
      <c r="E40" s="179">
        <v>0.69</v>
      </c>
      <c r="F40" s="229" t="s">
        <v>1656</v>
      </c>
    </row>
    <row r="41">
      <c r="A41" s="136" t="s">
        <v>8029</v>
      </c>
      <c r="B41" s="25">
        <v>5421.0</v>
      </c>
      <c r="C41" s="420">
        <v>0.05</v>
      </c>
      <c r="D41" s="179">
        <v>0.69</v>
      </c>
      <c r="E41" s="179">
        <v>0.69</v>
      </c>
      <c r="F41" s="229" t="s">
        <v>1656</v>
      </c>
    </row>
    <row r="42">
      <c r="A42" s="136" t="s">
        <v>8030</v>
      </c>
      <c r="B42" s="25">
        <v>5421.0</v>
      </c>
      <c r="C42" s="420">
        <v>0.05</v>
      </c>
      <c r="D42" s="179">
        <v>0.69</v>
      </c>
      <c r="E42" s="179">
        <v>0.69</v>
      </c>
      <c r="F42" s="229" t="s">
        <v>1656</v>
      </c>
    </row>
    <row r="43">
      <c r="A43" s="136" t="s">
        <v>8031</v>
      </c>
      <c r="B43" s="25">
        <v>5421.0</v>
      </c>
      <c r="C43" s="420">
        <v>0.05</v>
      </c>
      <c r="D43" s="179">
        <v>0.69</v>
      </c>
      <c r="E43" s="179">
        <v>0.69</v>
      </c>
      <c r="F43" s="229" t="s">
        <v>1656</v>
      </c>
    </row>
    <row r="44">
      <c r="A44" s="136" t="s">
        <v>8032</v>
      </c>
      <c r="B44" s="25">
        <v>5125.0</v>
      </c>
      <c r="C44" s="420">
        <v>0.05</v>
      </c>
      <c r="D44" s="179">
        <v>0.69</v>
      </c>
      <c r="E44" s="179">
        <v>0.69</v>
      </c>
      <c r="F44" s="229" t="s">
        <v>1656</v>
      </c>
    </row>
    <row r="45">
      <c r="A45" s="136" t="s">
        <v>8033</v>
      </c>
      <c r="B45" s="25">
        <v>2345.0</v>
      </c>
      <c r="C45" s="420">
        <v>0.05</v>
      </c>
      <c r="D45" s="179">
        <v>0.9</v>
      </c>
      <c r="E45" s="179">
        <v>0.9</v>
      </c>
      <c r="F45" s="229" t="s">
        <v>1656</v>
      </c>
    </row>
    <row r="46">
      <c r="A46" s="136" t="s">
        <v>8034</v>
      </c>
      <c r="B46" s="25">
        <v>2345.0</v>
      </c>
      <c r="C46" s="420">
        <v>0.05</v>
      </c>
      <c r="D46" s="179">
        <v>0.9</v>
      </c>
      <c r="E46" s="179">
        <v>0.9</v>
      </c>
      <c r="F46" s="229" t="s">
        <v>1656</v>
      </c>
    </row>
    <row r="47">
      <c r="A47" s="136" t="s">
        <v>8035</v>
      </c>
      <c r="B47" s="25">
        <v>2345.0</v>
      </c>
      <c r="C47" s="420">
        <v>0.05</v>
      </c>
      <c r="D47" s="179">
        <v>0.9</v>
      </c>
      <c r="E47" s="179">
        <v>0.9</v>
      </c>
      <c r="F47" s="229" t="s">
        <v>1656</v>
      </c>
    </row>
    <row r="48">
      <c r="A48" s="136" t="s">
        <v>8036</v>
      </c>
      <c r="B48" s="25">
        <v>283.0</v>
      </c>
      <c r="C48" s="420">
        <v>0.05</v>
      </c>
      <c r="D48" s="179">
        <v>0.69</v>
      </c>
      <c r="E48" s="179">
        <v>0.69</v>
      </c>
      <c r="F48" s="229" t="s">
        <v>1656</v>
      </c>
    </row>
    <row r="49">
      <c r="A49" s="136" t="s">
        <v>8037</v>
      </c>
      <c r="B49" s="25">
        <v>283.0</v>
      </c>
      <c r="C49" s="420">
        <v>0.05</v>
      </c>
      <c r="D49" s="179">
        <v>0.69</v>
      </c>
      <c r="E49" s="179">
        <v>0.69</v>
      </c>
      <c r="F49" s="229" t="s">
        <v>1656</v>
      </c>
    </row>
    <row r="50">
      <c r="A50" s="136" t="s">
        <v>8038</v>
      </c>
      <c r="B50" s="25">
        <v>283.0</v>
      </c>
      <c r="C50" s="420">
        <v>0.05</v>
      </c>
      <c r="D50" s="179">
        <v>0.69</v>
      </c>
      <c r="E50" s="179">
        <v>0.69</v>
      </c>
      <c r="F50" s="229" t="s">
        <v>1656</v>
      </c>
    </row>
    <row r="51">
      <c r="A51" s="136" t="s">
        <v>8039</v>
      </c>
      <c r="B51" s="25">
        <v>283.0</v>
      </c>
      <c r="C51" s="420">
        <v>0.05</v>
      </c>
      <c r="D51" s="179">
        <v>0.69</v>
      </c>
      <c r="E51" s="179">
        <v>0.69</v>
      </c>
      <c r="F51" s="229" t="s">
        <v>1656</v>
      </c>
    </row>
    <row r="52">
      <c r="A52" s="136" t="s">
        <v>8040</v>
      </c>
      <c r="B52" s="25">
        <v>283.0</v>
      </c>
      <c r="C52" s="420">
        <v>0.05</v>
      </c>
      <c r="D52" s="179">
        <v>0.69</v>
      </c>
      <c r="E52" s="179">
        <v>0.69</v>
      </c>
      <c r="F52" s="229" t="s">
        <v>1656</v>
      </c>
    </row>
    <row r="53">
      <c r="A53" s="136" t="s">
        <v>8041</v>
      </c>
      <c r="B53" s="25">
        <v>6107.0</v>
      </c>
      <c r="C53" s="420">
        <v>0.05</v>
      </c>
      <c r="D53" s="179">
        <v>0.69</v>
      </c>
      <c r="E53" s="179">
        <v>0.69</v>
      </c>
      <c r="F53" s="229" t="s">
        <v>1656</v>
      </c>
    </row>
    <row r="54">
      <c r="A54" s="136" t="s">
        <v>8042</v>
      </c>
      <c r="B54" s="25">
        <v>6107.0</v>
      </c>
      <c r="C54" s="420">
        <v>0.05</v>
      </c>
      <c r="D54" s="179">
        <v>0.69</v>
      </c>
      <c r="E54" s="179">
        <v>0.69</v>
      </c>
      <c r="F54" s="229" t="s">
        <v>1656</v>
      </c>
    </row>
    <row r="55">
      <c r="A55" s="136" t="s">
        <v>8043</v>
      </c>
      <c r="B55" s="25">
        <v>2345.0</v>
      </c>
      <c r="C55" s="420">
        <v>0.05</v>
      </c>
      <c r="D55" s="179">
        <v>0.9</v>
      </c>
      <c r="E55" s="179">
        <v>0.9</v>
      </c>
      <c r="F55" s="229" t="s">
        <v>1656</v>
      </c>
    </row>
    <row r="56">
      <c r="A56" s="136" t="s">
        <v>8044</v>
      </c>
      <c r="B56" s="25">
        <v>6141.0</v>
      </c>
      <c r="C56" s="420">
        <v>0.05</v>
      </c>
      <c r="D56" s="179">
        <v>0.69</v>
      </c>
      <c r="E56" s="179">
        <v>0.69</v>
      </c>
      <c r="F56" s="229" t="s">
        <v>1656</v>
      </c>
    </row>
    <row r="57">
      <c r="A57" s="136" t="s">
        <v>8045</v>
      </c>
      <c r="B57" s="25">
        <v>6141.0</v>
      </c>
      <c r="C57" s="420">
        <v>0.05</v>
      </c>
      <c r="D57" s="179">
        <v>0.69</v>
      </c>
      <c r="E57" s="179">
        <v>0.69</v>
      </c>
      <c r="F57" s="229" t="s">
        <v>1656</v>
      </c>
    </row>
    <row r="58">
      <c r="A58" s="136" t="s">
        <v>8046</v>
      </c>
      <c r="B58" s="25">
        <v>6141.0</v>
      </c>
      <c r="C58" s="420">
        <v>0.05</v>
      </c>
      <c r="D58" s="179">
        <v>0.69</v>
      </c>
      <c r="E58" s="179">
        <v>0.69</v>
      </c>
      <c r="F58" s="229" t="s">
        <v>1656</v>
      </c>
    </row>
    <row r="59">
      <c r="A59" s="136" t="s">
        <v>8047</v>
      </c>
      <c r="B59" s="25">
        <v>6141.0</v>
      </c>
      <c r="C59" s="420">
        <v>0.05</v>
      </c>
      <c r="D59" s="179">
        <v>0.69</v>
      </c>
      <c r="E59" s="179">
        <v>0.69</v>
      </c>
      <c r="F59" s="229" t="s">
        <v>1656</v>
      </c>
    </row>
    <row r="60">
      <c r="A60" s="136" t="s">
        <v>8048</v>
      </c>
      <c r="B60" s="25">
        <v>6141.0</v>
      </c>
      <c r="C60" s="420">
        <v>0.05</v>
      </c>
      <c r="D60" s="179">
        <v>0.69</v>
      </c>
      <c r="E60" s="179">
        <v>0.69</v>
      </c>
      <c r="F60" s="229" t="s">
        <v>1656</v>
      </c>
    </row>
    <row r="61">
      <c r="A61" s="136" t="s">
        <v>8049</v>
      </c>
      <c r="B61" s="25">
        <v>6675.0</v>
      </c>
      <c r="C61" s="420">
        <v>0.05</v>
      </c>
      <c r="D61" s="179">
        <v>0.69</v>
      </c>
      <c r="E61" s="179">
        <v>0.69</v>
      </c>
      <c r="F61" s="229" t="s">
        <v>1656</v>
      </c>
    </row>
    <row r="62">
      <c r="A62" s="136" t="s">
        <v>8050</v>
      </c>
      <c r="B62" s="25">
        <v>6671.0</v>
      </c>
      <c r="C62" s="420">
        <v>0.05</v>
      </c>
      <c r="D62" s="179">
        <v>0.69</v>
      </c>
      <c r="E62" s="179">
        <v>0.69</v>
      </c>
      <c r="F62" s="229" t="s">
        <v>1656</v>
      </c>
    </row>
    <row r="63">
      <c r="A63" s="136" t="s">
        <v>8051</v>
      </c>
      <c r="B63" s="25">
        <v>6678.0</v>
      </c>
      <c r="C63" s="420">
        <v>0.05</v>
      </c>
      <c r="D63" s="179">
        <v>0.69</v>
      </c>
      <c r="E63" s="179">
        <v>0.69</v>
      </c>
      <c r="F63" s="229" t="s">
        <v>1656</v>
      </c>
    </row>
    <row r="64">
      <c r="A64" s="136" t="s">
        <v>8052</v>
      </c>
      <c r="B64" s="25">
        <v>6823.0</v>
      </c>
      <c r="C64" s="420">
        <v>0.05</v>
      </c>
      <c r="D64" s="179">
        <v>0.69</v>
      </c>
      <c r="E64" s="179">
        <v>0.69</v>
      </c>
      <c r="F64" s="229" t="s">
        <v>1656</v>
      </c>
    </row>
    <row r="65">
      <c r="A65" s="136" t="s">
        <v>8053</v>
      </c>
      <c r="B65" s="25">
        <v>6463.0</v>
      </c>
      <c r="C65" s="420">
        <v>0.05</v>
      </c>
      <c r="D65" s="179">
        <v>0.69</v>
      </c>
      <c r="E65" s="179">
        <v>0.69</v>
      </c>
      <c r="F65" s="229" t="s">
        <v>1656</v>
      </c>
    </row>
    <row r="66">
      <c r="A66" s="136" t="s">
        <v>8054</v>
      </c>
      <c r="B66" s="25">
        <v>6463.0</v>
      </c>
      <c r="C66" s="420">
        <v>0.05</v>
      </c>
      <c r="D66" s="179">
        <v>0.69</v>
      </c>
      <c r="E66" s="179">
        <v>0.69</v>
      </c>
      <c r="F66" s="229" t="s">
        <v>1656</v>
      </c>
    </row>
    <row r="67">
      <c r="A67" s="136" t="s">
        <v>8055</v>
      </c>
      <c r="B67" s="25">
        <v>2095.0</v>
      </c>
      <c r="C67" s="420">
        <v>0.05</v>
      </c>
      <c r="D67" s="179">
        <v>0.69</v>
      </c>
      <c r="E67" s="179">
        <v>0.69</v>
      </c>
      <c r="F67" s="229" t="s">
        <v>1656</v>
      </c>
    </row>
    <row r="68">
      <c r="A68" s="136" t="s">
        <v>8056</v>
      </c>
      <c r="B68" s="25">
        <v>2095.0</v>
      </c>
      <c r="C68" s="420">
        <v>0.05</v>
      </c>
      <c r="D68" s="179">
        <v>0.69</v>
      </c>
      <c r="E68" s="179">
        <v>0.69</v>
      </c>
      <c r="F68" s="229" t="s">
        <v>1656</v>
      </c>
    </row>
    <row r="69">
      <c r="A69" s="136" t="s">
        <v>8057</v>
      </c>
      <c r="B69" s="25">
        <v>2095.0</v>
      </c>
      <c r="C69" s="420">
        <v>0.05</v>
      </c>
      <c r="D69" s="179">
        <v>0.69</v>
      </c>
      <c r="E69" s="179">
        <v>0.69</v>
      </c>
      <c r="F69" s="229" t="s">
        <v>1656</v>
      </c>
    </row>
    <row r="70">
      <c r="A70" s="136" t="s">
        <v>8058</v>
      </c>
      <c r="B70" s="25">
        <v>2095.0</v>
      </c>
      <c r="C70" s="420">
        <v>0.05</v>
      </c>
      <c r="D70" s="179">
        <v>0.69</v>
      </c>
      <c r="E70" s="179">
        <v>0.69</v>
      </c>
      <c r="F70" s="229" t="s">
        <v>1656</v>
      </c>
    </row>
    <row r="71">
      <c r="A71" s="136" t="s">
        <v>8059</v>
      </c>
      <c r="B71" s="25">
        <v>6107.0</v>
      </c>
      <c r="C71" s="420">
        <v>0.05</v>
      </c>
      <c r="D71" s="179">
        <v>0.69</v>
      </c>
      <c r="E71" s="179">
        <v>0.69</v>
      </c>
      <c r="F71" s="229" t="s">
        <v>1656</v>
      </c>
    </row>
    <row r="72">
      <c r="A72" s="136" t="s">
        <v>8060</v>
      </c>
      <c r="B72" s="25">
        <v>6629.0</v>
      </c>
      <c r="C72" s="420">
        <v>0.05</v>
      </c>
      <c r="D72" s="179">
        <v>0.69</v>
      </c>
      <c r="E72" s="179">
        <v>0.69</v>
      </c>
      <c r="F72" s="229" t="s">
        <v>1656</v>
      </c>
    </row>
    <row r="73">
      <c r="A73" s="136" t="s">
        <v>8061</v>
      </c>
      <c r="B73" s="25">
        <v>6751.0</v>
      </c>
      <c r="C73" s="420">
        <v>0.05</v>
      </c>
      <c r="D73" s="179">
        <v>0.69</v>
      </c>
      <c r="E73" s="179">
        <v>0.69</v>
      </c>
      <c r="F73" s="229" t="s">
        <v>1656</v>
      </c>
    </row>
    <row r="74">
      <c r="A74" s="136" t="s">
        <v>8062</v>
      </c>
      <c r="B74" s="25">
        <v>6109.0</v>
      </c>
      <c r="C74" s="420">
        <v>0.05</v>
      </c>
      <c r="D74" s="179">
        <v>0.69</v>
      </c>
      <c r="E74" s="179">
        <v>0.69</v>
      </c>
      <c r="F74" s="229" t="s">
        <v>1656</v>
      </c>
    </row>
    <row r="75">
      <c r="A75" s="136" t="s">
        <v>8063</v>
      </c>
      <c r="B75" s="25">
        <v>6109.0</v>
      </c>
      <c r="C75" s="420">
        <v>0.05</v>
      </c>
      <c r="D75" s="179">
        <v>0.69</v>
      </c>
      <c r="E75" s="179">
        <v>0.69</v>
      </c>
      <c r="F75" s="229" t="s">
        <v>1656</v>
      </c>
    </row>
    <row r="76">
      <c r="A76" s="136" t="s">
        <v>8064</v>
      </c>
      <c r="B76" s="25">
        <v>6736.0</v>
      </c>
      <c r="C76" s="420">
        <v>0.05</v>
      </c>
      <c r="D76" s="179">
        <v>0.69</v>
      </c>
      <c r="E76" s="179">
        <v>0.69</v>
      </c>
      <c r="F76" s="229" t="s">
        <v>1656</v>
      </c>
    </row>
    <row r="77">
      <c r="A77" s="136" t="s">
        <v>8065</v>
      </c>
      <c r="B77" s="25">
        <v>986.0</v>
      </c>
      <c r="C77" s="420">
        <v>0.05</v>
      </c>
      <c r="D77" s="179">
        <v>0.81</v>
      </c>
      <c r="E77" s="179">
        <v>0.81</v>
      </c>
      <c r="F77" s="229" t="s">
        <v>1656</v>
      </c>
    </row>
    <row r="78">
      <c r="A78" s="136" t="s">
        <v>8066</v>
      </c>
      <c r="B78" s="25">
        <v>986.0</v>
      </c>
      <c r="C78" s="420">
        <v>0.05</v>
      </c>
      <c r="D78" s="179">
        <v>0.81</v>
      </c>
      <c r="E78" s="179">
        <v>0.81</v>
      </c>
      <c r="F78" s="229" t="s">
        <v>1656</v>
      </c>
    </row>
    <row r="79">
      <c r="A79" s="136" t="s">
        <v>8067</v>
      </c>
      <c r="B79" s="25">
        <v>986.0</v>
      </c>
      <c r="C79" s="420">
        <v>0.05</v>
      </c>
      <c r="D79" s="179">
        <v>0.81</v>
      </c>
      <c r="E79" s="179">
        <v>0.81</v>
      </c>
      <c r="F79" s="229" t="s">
        <v>1656</v>
      </c>
    </row>
    <row r="80">
      <c r="A80" s="136" t="s">
        <v>8068</v>
      </c>
      <c r="B80" s="25">
        <v>986.0</v>
      </c>
      <c r="C80" s="420">
        <v>0.05</v>
      </c>
      <c r="D80" s="179">
        <v>0.81</v>
      </c>
      <c r="E80" s="179">
        <v>0.81</v>
      </c>
      <c r="F80" s="229" t="s">
        <v>1656</v>
      </c>
    </row>
    <row r="81">
      <c r="A81" s="136" t="s">
        <v>8069</v>
      </c>
      <c r="B81" s="25">
        <v>986.0</v>
      </c>
      <c r="C81" s="420">
        <v>0.05</v>
      </c>
      <c r="D81" s="179">
        <v>0.81</v>
      </c>
      <c r="E81" s="179">
        <v>0.81</v>
      </c>
      <c r="F81" s="229" t="s">
        <v>1656</v>
      </c>
    </row>
    <row r="82">
      <c r="A82" s="136" t="s">
        <v>8070</v>
      </c>
      <c r="B82" s="25">
        <v>986.0</v>
      </c>
      <c r="C82" s="420">
        <v>0.05</v>
      </c>
      <c r="D82" s="179">
        <v>0.81</v>
      </c>
      <c r="E82" s="179">
        <v>0.81</v>
      </c>
      <c r="F82" s="229" t="s">
        <v>1656</v>
      </c>
    </row>
    <row r="83">
      <c r="A83" s="136" t="s">
        <v>8071</v>
      </c>
      <c r="B83" s="25">
        <v>986.0</v>
      </c>
      <c r="C83" s="420">
        <v>0.05</v>
      </c>
      <c r="D83" s="179">
        <v>0.81</v>
      </c>
      <c r="E83" s="179">
        <v>0.81</v>
      </c>
      <c r="F83" s="229" t="s">
        <v>1656</v>
      </c>
    </row>
    <row r="84">
      <c r="A84" s="136" t="s">
        <v>8072</v>
      </c>
      <c r="B84" s="25">
        <v>986.0</v>
      </c>
      <c r="C84" s="420">
        <v>0.05</v>
      </c>
      <c r="D84" s="179">
        <v>0.81</v>
      </c>
      <c r="E84" s="179">
        <v>0.81</v>
      </c>
      <c r="F84" s="229" t="s">
        <v>1656</v>
      </c>
    </row>
    <row r="85">
      <c r="A85" s="136" t="s">
        <v>8073</v>
      </c>
      <c r="B85" s="25">
        <v>986.0</v>
      </c>
      <c r="C85" s="420">
        <v>0.05</v>
      </c>
      <c r="D85" s="179">
        <v>0.81</v>
      </c>
      <c r="E85" s="179">
        <v>0.81</v>
      </c>
      <c r="F85" s="229" t="s">
        <v>1656</v>
      </c>
    </row>
    <row r="86">
      <c r="A86" s="136" t="s">
        <v>8074</v>
      </c>
      <c r="B86" s="25">
        <v>986.0</v>
      </c>
      <c r="C86" s="420">
        <v>0.05</v>
      </c>
      <c r="D86" s="179">
        <v>0.81</v>
      </c>
      <c r="E86" s="179">
        <v>0.81</v>
      </c>
      <c r="F86" s="229" t="s">
        <v>1656</v>
      </c>
    </row>
    <row r="87">
      <c r="A87" s="136" t="s">
        <v>8075</v>
      </c>
      <c r="B87" s="25">
        <v>986.0</v>
      </c>
      <c r="C87" s="420">
        <v>0.05</v>
      </c>
      <c r="D87" s="179">
        <v>0.81</v>
      </c>
      <c r="E87" s="179">
        <v>0.81</v>
      </c>
      <c r="F87" s="229" t="s">
        <v>1656</v>
      </c>
    </row>
    <row r="88">
      <c r="A88" s="136" t="s">
        <v>8076</v>
      </c>
      <c r="B88" s="25">
        <v>986.0</v>
      </c>
      <c r="C88" s="420">
        <v>0.05</v>
      </c>
      <c r="D88" s="179">
        <v>0.81</v>
      </c>
      <c r="E88" s="179">
        <v>0.81</v>
      </c>
      <c r="F88" s="229" t="s">
        <v>1656</v>
      </c>
    </row>
    <row r="89">
      <c r="A89" s="136" t="s">
        <v>8077</v>
      </c>
      <c r="B89" s="25">
        <v>986.0</v>
      </c>
      <c r="C89" s="420">
        <v>0.05</v>
      </c>
      <c r="D89" s="179">
        <v>0.81</v>
      </c>
      <c r="E89" s="179">
        <v>0.81</v>
      </c>
      <c r="F89" s="229" t="s">
        <v>1656</v>
      </c>
    </row>
    <row r="90">
      <c r="A90" s="136" t="s">
        <v>8078</v>
      </c>
      <c r="B90" s="25">
        <v>986.0</v>
      </c>
      <c r="C90" s="420">
        <v>0.05</v>
      </c>
      <c r="D90" s="179">
        <v>0.81</v>
      </c>
      <c r="E90" s="179">
        <v>0.81</v>
      </c>
      <c r="F90" s="229" t="s">
        <v>1656</v>
      </c>
    </row>
    <row r="91">
      <c r="A91" s="136" t="s">
        <v>8079</v>
      </c>
      <c r="B91" s="25">
        <v>986.0</v>
      </c>
      <c r="C91" s="420">
        <v>0.05</v>
      </c>
      <c r="D91" s="179">
        <v>0.81</v>
      </c>
      <c r="E91" s="179">
        <v>0.81</v>
      </c>
      <c r="F91" s="229" t="s">
        <v>1656</v>
      </c>
    </row>
    <row r="92">
      <c r="A92" s="136" t="s">
        <v>8080</v>
      </c>
      <c r="B92" s="25">
        <v>2345.0</v>
      </c>
      <c r="C92" s="420">
        <v>0.05</v>
      </c>
      <c r="D92" s="179">
        <v>0.9</v>
      </c>
      <c r="E92" s="179">
        <v>0.9</v>
      </c>
      <c r="F92" s="229" t="s">
        <v>1656</v>
      </c>
    </row>
    <row r="93">
      <c r="A93" s="136" t="s">
        <v>8081</v>
      </c>
      <c r="B93" s="25">
        <v>2345.0</v>
      </c>
      <c r="C93" s="420">
        <v>0.05</v>
      </c>
      <c r="D93" s="179">
        <v>0.9</v>
      </c>
      <c r="E93" s="179">
        <v>0.9</v>
      </c>
      <c r="F93" s="229" t="s">
        <v>1656</v>
      </c>
    </row>
    <row r="94">
      <c r="A94" s="136" t="s">
        <v>8082</v>
      </c>
      <c r="B94" s="25">
        <v>2345.0</v>
      </c>
      <c r="C94" s="420">
        <v>0.05</v>
      </c>
      <c r="D94" s="179">
        <v>0.9</v>
      </c>
      <c r="E94" s="179">
        <v>0.9</v>
      </c>
      <c r="F94" s="229" t="s">
        <v>1656</v>
      </c>
    </row>
    <row r="95">
      <c r="A95" s="136" t="s">
        <v>8083</v>
      </c>
      <c r="B95" s="25">
        <v>2345.0</v>
      </c>
      <c r="C95" s="420">
        <v>0.05</v>
      </c>
      <c r="D95" s="179">
        <v>0.9</v>
      </c>
      <c r="E95" s="179">
        <v>0.9</v>
      </c>
      <c r="F95" s="229" t="s">
        <v>1656</v>
      </c>
    </row>
    <row r="96">
      <c r="A96" s="136" t="s">
        <v>8084</v>
      </c>
      <c r="B96" s="25">
        <v>2345.0</v>
      </c>
      <c r="C96" s="420">
        <v>0.05</v>
      </c>
      <c r="D96" s="179">
        <v>0.9</v>
      </c>
      <c r="E96" s="179">
        <v>0.9</v>
      </c>
      <c r="F96" s="229" t="s">
        <v>1656</v>
      </c>
    </row>
    <row r="97">
      <c r="A97" s="136" t="s">
        <v>8085</v>
      </c>
      <c r="B97" s="25">
        <v>5389.0</v>
      </c>
      <c r="C97" s="420">
        <v>0.05</v>
      </c>
      <c r="D97" s="179">
        <v>0.69</v>
      </c>
      <c r="E97" s="179">
        <v>0.69</v>
      </c>
      <c r="F97" s="229" t="s">
        <v>1656</v>
      </c>
    </row>
    <row r="98">
      <c r="A98" s="136" t="s">
        <v>8086</v>
      </c>
      <c r="B98" s="25">
        <v>6803.0</v>
      </c>
      <c r="C98" s="420">
        <v>0.05</v>
      </c>
      <c r="D98" s="179">
        <v>0.69</v>
      </c>
      <c r="E98" s="179">
        <v>0.69</v>
      </c>
      <c r="F98" s="229" t="s">
        <v>1656</v>
      </c>
    </row>
    <row r="99">
      <c r="A99" s="136" t="s">
        <v>8087</v>
      </c>
      <c r="B99" s="25">
        <v>6772.0</v>
      </c>
      <c r="C99" s="420">
        <v>0.05</v>
      </c>
      <c r="D99" s="179">
        <v>0.69</v>
      </c>
      <c r="E99" s="179">
        <v>0.69</v>
      </c>
      <c r="F99" s="229" t="s">
        <v>1656</v>
      </c>
    </row>
    <row r="100">
      <c r="A100" s="136" t="s">
        <v>8088</v>
      </c>
      <c r="B100" s="25">
        <v>669.0</v>
      </c>
      <c r="C100" s="420">
        <v>0.05</v>
      </c>
      <c r="D100" s="179">
        <v>0.69</v>
      </c>
      <c r="E100" s="179">
        <v>0.69</v>
      </c>
      <c r="F100" s="229" t="s">
        <v>1656</v>
      </c>
    </row>
    <row r="101">
      <c r="A101" s="136" t="s">
        <v>8089</v>
      </c>
      <c r="B101" s="25">
        <v>669.0</v>
      </c>
      <c r="C101" s="420">
        <v>0.05</v>
      </c>
      <c r="D101" s="179">
        <v>0.69</v>
      </c>
      <c r="E101" s="179">
        <v>0.69</v>
      </c>
      <c r="F101" s="229" t="s">
        <v>1656</v>
      </c>
    </row>
    <row r="102">
      <c r="A102" s="136" t="s">
        <v>8090</v>
      </c>
      <c r="B102" s="25">
        <v>669.0</v>
      </c>
      <c r="C102" s="420">
        <v>0.05</v>
      </c>
      <c r="D102" s="179">
        <v>0.69</v>
      </c>
      <c r="E102" s="179">
        <v>0.69</v>
      </c>
      <c r="F102" s="229" t="s">
        <v>1656</v>
      </c>
    </row>
    <row r="103">
      <c r="A103" s="136" t="s">
        <v>8091</v>
      </c>
      <c r="B103" s="25">
        <v>669.0</v>
      </c>
      <c r="C103" s="420">
        <v>0.05</v>
      </c>
      <c r="D103" s="179">
        <v>0.69</v>
      </c>
      <c r="E103" s="179">
        <v>0.69</v>
      </c>
      <c r="F103" s="229" t="s">
        <v>1656</v>
      </c>
    </row>
    <row r="104">
      <c r="A104" s="136" t="s">
        <v>8092</v>
      </c>
      <c r="B104" s="25">
        <v>669.0</v>
      </c>
      <c r="C104" s="420">
        <v>0.05</v>
      </c>
      <c r="D104" s="179">
        <v>0.69</v>
      </c>
      <c r="E104" s="179">
        <v>0.69</v>
      </c>
      <c r="F104" s="229" t="s">
        <v>1656</v>
      </c>
    </row>
    <row r="105">
      <c r="A105" s="136" t="s">
        <v>8093</v>
      </c>
      <c r="B105" s="25">
        <v>6779.0</v>
      </c>
      <c r="C105" s="420">
        <v>0.05</v>
      </c>
      <c r="D105" s="179">
        <v>0.69</v>
      </c>
      <c r="E105" s="179">
        <v>0.69</v>
      </c>
      <c r="F105" s="229" t="s">
        <v>1656</v>
      </c>
    </row>
    <row r="106">
      <c r="A106" s="136" t="s">
        <v>8094</v>
      </c>
      <c r="B106" s="25">
        <v>6824.0</v>
      </c>
      <c r="C106" s="420">
        <v>0.05</v>
      </c>
      <c r="D106" s="179">
        <v>0.69</v>
      </c>
      <c r="E106" s="179">
        <v>0.69</v>
      </c>
      <c r="F106" s="229" t="s">
        <v>1656</v>
      </c>
    </row>
    <row r="107">
      <c r="A107" s="136" t="s">
        <v>8095</v>
      </c>
      <c r="B107" s="25">
        <v>6669.0</v>
      </c>
      <c r="C107" s="420">
        <v>0.05</v>
      </c>
      <c r="D107" s="179">
        <v>0.69</v>
      </c>
      <c r="E107" s="179">
        <v>0.69</v>
      </c>
      <c r="F107" s="229" t="s">
        <v>1656</v>
      </c>
    </row>
    <row r="108">
      <c r="A108" s="136" t="s">
        <v>8096</v>
      </c>
      <c r="B108" s="25">
        <v>189.0</v>
      </c>
      <c r="C108" s="420">
        <v>0.05</v>
      </c>
      <c r="D108" s="74">
        <v>0.8</v>
      </c>
      <c r="E108" s="74">
        <v>0.8</v>
      </c>
      <c r="F108" s="229" t="s">
        <v>1656</v>
      </c>
    </row>
    <row r="109">
      <c r="A109" s="136" t="s">
        <v>8097</v>
      </c>
      <c r="B109" s="25">
        <v>6771.0</v>
      </c>
      <c r="C109" s="420">
        <v>0.05</v>
      </c>
      <c r="D109" s="179">
        <v>0.69</v>
      </c>
      <c r="E109" s="179">
        <v>0.69</v>
      </c>
      <c r="F109" s="229" t="s">
        <v>1656</v>
      </c>
    </row>
    <row r="110">
      <c r="A110" s="136" t="s">
        <v>8098</v>
      </c>
      <c r="B110" s="25">
        <v>6890.0</v>
      </c>
      <c r="C110" s="420">
        <v>0.05</v>
      </c>
      <c r="D110" s="179">
        <v>0.69</v>
      </c>
      <c r="E110" s="179">
        <v>0.69</v>
      </c>
      <c r="F110" s="229" t="s">
        <v>1656</v>
      </c>
    </row>
    <row r="111">
      <c r="A111" s="136" t="s">
        <v>8099</v>
      </c>
      <c r="B111" s="25">
        <v>189.0</v>
      </c>
      <c r="C111" s="420">
        <v>0.05</v>
      </c>
      <c r="D111" s="74">
        <v>0.8</v>
      </c>
      <c r="E111" s="74">
        <v>0.8</v>
      </c>
      <c r="F111" s="229" t="s">
        <v>1656</v>
      </c>
    </row>
    <row r="112">
      <c r="A112" s="136" t="s">
        <v>8100</v>
      </c>
      <c r="B112" s="25">
        <v>189.0</v>
      </c>
      <c r="C112" s="420">
        <v>0.05</v>
      </c>
      <c r="D112" s="74">
        <v>0.8</v>
      </c>
      <c r="E112" s="74">
        <v>0.8</v>
      </c>
      <c r="F112" s="229" t="s">
        <v>1656</v>
      </c>
    </row>
    <row r="113">
      <c r="A113" s="136" t="s">
        <v>8101</v>
      </c>
      <c r="B113" s="25">
        <v>189.0</v>
      </c>
      <c r="C113" s="420">
        <v>0.05</v>
      </c>
      <c r="D113" s="74">
        <v>0.8</v>
      </c>
      <c r="E113" s="74">
        <v>0.8</v>
      </c>
      <c r="F113" s="229" t="s">
        <v>1656</v>
      </c>
    </row>
    <row r="114">
      <c r="A114" s="136" t="s">
        <v>8102</v>
      </c>
      <c r="B114" s="25">
        <v>6893.0</v>
      </c>
      <c r="C114" s="420">
        <v>0.05</v>
      </c>
      <c r="D114" s="179">
        <v>0.69</v>
      </c>
      <c r="E114" s="179">
        <v>0.69</v>
      </c>
      <c r="F114" s="229" t="s">
        <v>1656</v>
      </c>
    </row>
    <row r="115">
      <c r="A115" s="136" t="s">
        <v>8103</v>
      </c>
      <c r="B115" s="25">
        <v>6671.0</v>
      </c>
      <c r="C115" s="420">
        <v>0.05</v>
      </c>
      <c r="D115" s="179">
        <v>0.69</v>
      </c>
      <c r="E115" s="179">
        <v>0.69</v>
      </c>
      <c r="F115" s="229" t="s">
        <v>1656</v>
      </c>
    </row>
    <row r="116">
      <c r="A116" s="136" t="s">
        <v>8104</v>
      </c>
      <c r="B116" s="25">
        <v>6750.0</v>
      </c>
      <c r="C116" s="420">
        <v>0.05</v>
      </c>
      <c r="D116" s="179">
        <v>0.69</v>
      </c>
      <c r="E116" s="179">
        <v>0.69</v>
      </c>
      <c r="F116" s="229" t="s">
        <v>1656</v>
      </c>
    </row>
    <row r="117">
      <c r="A117" s="136" t="s">
        <v>8105</v>
      </c>
      <c r="B117" s="25">
        <v>6676.0</v>
      </c>
      <c r="C117" s="420">
        <v>0.05</v>
      </c>
      <c r="D117" s="179">
        <v>0.69</v>
      </c>
      <c r="E117" s="179">
        <v>0.69</v>
      </c>
      <c r="F117" s="229" t="s">
        <v>1656</v>
      </c>
    </row>
    <row r="118">
      <c r="A118" s="136" t="s">
        <v>8106</v>
      </c>
      <c r="B118" s="25">
        <v>6679.0</v>
      </c>
      <c r="C118" s="420">
        <v>0.05</v>
      </c>
      <c r="D118" s="179">
        <v>0.69</v>
      </c>
      <c r="E118" s="179">
        <v>0.69</v>
      </c>
      <c r="F118" s="229" t="s">
        <v>1656</v>
      </c>
    </row>
    <row r="119">
      <c r="A119" s="136" t="s">
        <v>8107</v>
      </c>
      <c r="B119" s="25">
        <v>6675.0</v>
      </c>
      <c r="C119" s="420">
        <v>0.05</v>
      </c>
      <c r="D119" s="179">
        <v>0.69</v>
      </c>
      <c r="E119" s="179">
        <v>0.69</v>
      </c>
      <c r="F119" s="229" t="s">
        <v>1656</v>
      </c>
    </row>
    <row r="120">
      <c r="A120" s="136" t="s">
        <v>8108</v>
      </c>
      <c r="B120" s="25">
        <v>669.0</v>
      </c>
      <c r="C120" s="420">
        <v>0.05</v>
      </c>
      <c r="D120" s="179">
        <v>0.69</v>
      </c>
      <c r="E120" s="179">
        <v>0.69</v>
      </c>
      <c r="F120" s="229" t="s">
        <v>1656</v>
      </c>
    </row>
    <row r="121">
      <c r="A121" s="136" t="s">
        <v>8109</v>
      </c>
      <c r="B121" s="25">
        <v>669.0</v>
      </c>
      <c r="C121" s="420">
        <v>0.05</v>
      </c>
      <c r="D121" s="179">
        <v>0.69</v>
      </c>
      <c r="E121" s="179">
        <v>0.69</v>
      </c>
      <c r="F121" s="229" t="s">
        <v>1656</v>
      </c>
    </row>
    <row r="122">
      <c r="A122" s="136" t="s">
        <v>8110</v>
      </c>
      <c r="B122" s="25">
        <v>669.0</v>
      </c>
      <c r="C122" s="420">
        <v>0.05</v>
      </c>
      <c r="D122" s="179">
        <v>0.69</v>
      </c>
      <c r="E122" s="179">
        <v>0.69</v>
      </c>
      <c r="F122" s="229" t="s">
        <v>1656</v>
      </c>
    </row>
    <row r="123">
      <c r="A123" s="136" t="s">
        <v>8111</v>
      </c>
      <c r="B123" s="25">
        <v>669.0</v>
      </c>
      <c r="C123" s="420">
        <v>0.05</v>
      </c>
      <c r="D123" s="179">
        <v>0.69</v>
      </c>
      <c r="E123" s="179">
        <v>0.69</v>
      </c>
      <c r="F123" s="229" t="s">
        <v>1656</v>
      </c>
    </row>
    <row r="124">
      <c r="A124" s="136" t="s">
        <v>8112</v>
      </c>
      <c r="B124" s="25">
        <v>669.0</v>
      </c>
      <c r="C124" s="420">
        <v>0.05</v>
      </c>
      <c r="D124" s="179">
        <v>0.69</v>
      </c>
      <c r="E124" s="179">
        <v>0.69</v>
      </c>
      <c r="F124" s="229" t="s">
        <v>1656</v>
      </c>
    </row>
    <row r="125">
      <c r="A125" s="136" t="s">
        <v>8113</v>
      </c>
      <c r="B125" s="25">
        <v>669.0</v>
      </c>
      <c r="C125" s="420">
        <v>0.05</v>
      </c>
      <c r="D125" s="179">
        <v>0.69</v>
      </c>
      <c r="E125" s="179">
        <v>0.69</v>
      </c>
      <c r="F125" s="229" t="s">
        <v>1656</v>
      </c>
    </row>
    <row r="126">
      <c r="A126" s="136" t="s">
        <v>8114</v>
      </c>
      <c r="B126" s="25">
        <v>669.0</v>
      </c>
      <c r="C126" s="420">
        <v>0.05</v>
      </c>
      <c r="D126" s="179">
        <v>0.69</v>
      </c>
      <c r="E126" s="179">
        <v>0.69</v>
      </c>
      <c r="F126" s="229" t="s">
        <v>1656</v>
      </c>
    </row>
    <row r="127">
      <c r="A127" s="136" t="s">
        <v>8115</v>
      </c>
      <c r="B127" s="25">
        <v>669.0</v>
      </c>
      <c r="C127" s="420">
        <v>0.05</v>
      </c>
      <c r="D127" s="179">
        <v>0.69</v>
      </c>
      <c r="E127" s="179">
        <v>0.69</v>
      </c>
      <c r="F127" s="229" t="s">
        <v>1656</v>
      </c>
    </row>
    <row r="128">
      <c r="A128" s="136" t="s">
        <v>8116</v>
      </c>
      <c r="B128" s="25">
        <v>669.0</v>
      </c>
      <c r="C128" s="420">
        <v>0.05</v>
      </c>
      <c r="D128" s="179">
        <v>0.69</v>
      </c>
      <c r="E128" s="179">
        <v>0.69</v>
      </c>
      <c r="F128" s="229" t="s">
        <v>1656</v>
      </c>
    </row>
    <row r="129">
      <c r="A129" s="136" t="s">
        <v>8117</v>
      </c>
      <c r="B129" s="25">
        <v>669.0</v>
      </c>
      <c r="C129" s="420">
        <v>0.05</v>
      </c>
      <c r="D129" s="179">
        <v>0.69</v>
      </c>
      <c r="E129" s="179">
        <v>0.69</v>
      </c>
      <c r="F129" s="229" t="s">
        <v>1656</v>
      </c>
    </row>
    <row r="130">
      <c r="A130" s="136" t="s">
        <v>8118</v>
      </c>
      <c r="B130" s="25">
        <v>669.0</v>
      </c>
      <c r="C130" s="420">
        <v>0.05</v>
      </c>
      <c r="D130" s="179">
        <v>0.69</v>
      </c>
      <c r="E130" s="179">
        <v>0.69</v>
      </c>
      <c r="F130" s="229" t="s">
        <v>1656</v>
      </c>
    </row>
    <row r="131">
      <c r="A131" s="136" t="s">
        <v>8119</v>
      </c>
      <c r="B131" s="25">
        <v>669.0</v>
      </c>
      <c r="C131" s="420">
        <v>0.05</v>
      </c>
      <c r="D131" s="179">
        <v>0.69</v>
      </c>
      <c r="E131" s="179">
        <v>0.69</v>
      </c>
      <c r="F131" s="229" t="s">
        <v>1656</v>
      </c>
    </row>
    <row r="132">
      <c r="A132" s="136" t="s">
        <v>8120</v>
      </c>
      <c r="B132" s="25">
        <v>669.0</v>
      </c>
      <c r="C132" s="420">
        <v>0.05</v>
      </c>
      <c r="D132" s="179">
        <v>0.69</v>
      </c>
      <c r="E132" s="179">
        <v>0.69</v>
      </c>
      <c r="F132" s="229" t="s">
        <v>1656</v>
      </c>
    </row>
    <row r="133">
      <c r="A133" s="136" t="s">
        <v>8121</v>
      </c>
      <c r="B133" s="25">
        <v>669.0</v>
      </c>
      <c r="C133" s="420">
        <v>0.05</v>
      </c>
      <c r="D133" s="179">
        <v>0.69</v>
      </c>
      <c r="E133" s="179">
        <v>0.69</v>
      </c>
      <c r="F133" s="229" t="s">
        <v>1656</v>
      </c>
    </row>
    <row r="134">
      <c r="A134" s="136" t="s">
        <v>8122</v>
      </c>
      <c r="B134" s="25">
        <v>6891.0</v>
      </c>
      <c r="C134" s="420">
        <v>0.05</v>
      </c>
      <c r="D134" s="179">
        <v>0.69</v>
      </c>
      <c r="E134" s="179">
        <v>0.69</v>
      </c>
      <c r="F134" s="229" t="s">
        <v>1656</v>
      </c>
    </row>
    <row r="135">
      <c r="A135" s="136" t="s">
        <v>8123</v>
      </c>
      <c r="B135" s="25">
        <v>669.0</v>
      </c>
      <c r="C135" s="420">
        <v>0.05</v>
      </c>
      <c r="D135" s="179">
        <v>0.69</v>
      </c>
      <c r="E135" s="179">
        <v>0.69</v>
      </c>
      <c r="F135" s="229" t="s">
        <v>1656</v>
      </c>
    </row>
    <row r="136">
      <c r="A136" s="136" t="s">
        <v>8124</v>
      </c>
      <c r="B136" s="25">
        <v>6718.0</v>
      </c>
      <c r="C136" s="420">
        <v>0.05</v>
      </c>
      <c r="D136" s="179">
        <v>0.69</v>
      </c>
      <c r="E136" s="179">
        <v>0.69</v>
      </c>
      <c r="F136" s="229" t="s">
        <v>1656</v>
      </c>
    </row>
    <row r="137">
      <c r="A137" s="136" t="s">
        <v>8125</v>
      </c>
      <c r="B137" s="25">
        <v>6718.0</v>
      </c>
      <c r="C137" s="420">
        <v>0.05</v>
      </c>
      <c r="D137" s="179">
        <v>0.69</v>
      </c>
      <c r="E137" s="179">
        <v>0.69</v>
      </c>
      <c r="F137" s="229" t="s">
        <v>1656</v>
      </c>
    </row>
    <row r="138">
      <c r="A138" s="136" t="s">
        <v>8126</v>
      </c>
      <c r="B138" s="25">
        <v>6718.0</v>
      </c>
      <c r="C138" s="420">
        <v>0.05</v>
      </c>
      <c r="D138" s="179">
        <v>0.69</v>
      </c>
      <c r="E138" s="179">
        <v>0.69</v>
      </c>
      <c r="F138" s="229" t="s">
        <v>1656</v>
      </c>
    </row>
    <row r="139">
      <c r="A139" s="136" t="s">
        <v>8127</v>
      </c>
      <c r="B139" s="25">
        <v>6718.0</v>
      </c>
      <c r="C139" s="420">
        <v>0.05</v>
      </c>
      <c r="D139" s="179">
        <v>0.69</v>
      </c>
      <c r="E139" s="179">
        <v>0.69</v>
      </c>
      <c r="F139" s="229" t="s">
        <v>1656</v>
      </c>
    </row>
    <row r="140">
      <c r="A140" s="136" t="s">
        <v>8128</v>
      </c>
      <c r="B140" s="25">
        <v>6718.0</v>
      </c>
      <c r="C140" s="420">
        <v>0.05</v>
      </c>
      <c r="D140" s="179">
        <v>0.69</v>
      </c>
      <c r="E140" s="179">
        <v>0.69</v>
      </c>
      <c r="F140" s="229" t="s">
        <v>1656</v>
      </c>
    </row>
    <row r="141">
      <c r="A141" s="136" t="s">
        <v>8129</v>
      </c>
      <c r="B141" s="25">
        <v>6732.0</v>
      </c>
      <c r="C141" s="420">
        <v>0.05</v>
      </c>
      <c r="D141" s="179">
        <v>0.69</v>
      </c>
      <c r="E141" s="179">
        <v>0.69</v>
      </c>
      <c r="F141" s="229" t="s">
        <v>1656</v>
      </c>
    </row>
    <row r="142">
      <c r="A142" s="136" t="s">
        <v>8130</v>
      </c>
      <c r="B142" s="25">
        <v>6732.0</v>
      </c>
      <c r="C142" s="420">
        <v>0.05</v>
      </c>
      <c r="D142" s="179">
        <v>0.69</v>
      </c>
      <c r="E142" s="179">
        <v>0.69</v>
      </c>
      <c r="F142" s="229" t="s">
        <v>1656</v>
      </c>
    </row>
    <row r="143">
      <c r="A143" s="136" t="s">
        <v>8131</v>
      </c>
      <c r="B143" s="25">
        <v>6732.0</v>
      </c>
      <c r="C143" s="420">
        <v>0.05</v>
      </c>
      <c r="D143" s="179">
        <v>0.69</v>
      </c>
      <c r="E143" s="179">
        <v>0.69</v>
      </c>
      <c r="F143" s="229" t="s">
        <v>1656</v>
      </c>
    </row>
    <row r="144">
      <c r="A144" s="136" t="s">
        <v>8132</v>
      </c>
      <c r="B144" s="25">
        <v>6732.0</v>
      </c>
      <c r="C144" s="420">
        <v>0.05</v>
      </c>
      <c r="D144" s="179">
        <v>0.69</v>
      </c>
      <c r="E144" s="179">
        <v>0.69</v>
      </c>
      <c r="F144" s="229" t="s">
        <v>1656</v>
      </c>
    </row>
    <row r="145">
      <c r="A145" s="136" t="s">
        <v>8133</v>
      </c>
      <c r="B145" s="25">
        <v>6732.0</v>
      </c>
      <c r="C145" s="420">
        <v>0.05</v>
      </c>
      <c r="D145" s="179">
        <v>0.69</v>
      </c>
      <c r="E145" s="179">
        <v>0.69</v>
      </c>
      <c r="F145" s="229" t="s">
        <v>1656</v>
      </c>
    </row>
    <row r="146">
      <c r="A146" s="136" t="s">
        <v>8134</v>
      </c>
      <c r="B146" s="25">
        <v>6732.0</v>
      </c>
      <c r="C146" s="420">
        <v>0.05</v>
      </c>
      <c r="D146" s="179">
        <v>0.69</v>
      </c>
      <c r="E146" s="179">
        <v>0.69</v>
      </c>
      <c r="F146" s="229" t="s">
        <v>1656</v>
      </c>
    </row>
    <row r="147">
      <c r="A147" s="136" t="s">
        <v>8135</v>
      </c>
      <c r="B147" s="25">
        <v>6772.0</v>
      </c>
      <c r="C147" s="420">
        <v>0.05</v>
      </c>
      <c r="D147" s="179">
        <v>0.69</v>
      </c>
      <c r="E147" s="179">
        <v>0.69</v>
      </c>
      <c r="F147" s="229" t="s">
        <v>1656</v>
      </c>
    </row>
    <row r="148">
      <c r="A148" s="136" t="s">
        <v>8136</v>
      </c>
      <c r="B148" s="25">
        <v>4933.0</v>
      </c>
      <c r="C148" s="420">
        <v>0.05</v>
      </c>
      <c r="D148" s="179">
        <v>0.69</v>
      </c>
      <c r="E148" s="179">
        <v>0.69</v>
      </c>
      <c r="F148" s="229" t="s">
        <v>1656</v>
      </c>
    </row>
    <row r="149">
      <c r="A149" s="136" t="s">
        <v>8137</v>
      </c>
      <c r="B149" s="25">
        <v>4933.0</v>
      </c>
      <c r="C149" s="420">
        <v>0.05</v>
      </c>
      <c r="D149" s="179">
        <v>0.69</v>
      </c>
      <c r="E149" s="179">
        <v>0.69</v>
      </c>
      <c r="F149" s="229" t="s">
        <v>1656</v>
      </c>
    </row>
    <row r="150">
      <c r="A150" s="136" t="s">
        <v>8138</v>
      </c>
      <c r="B150" s="25">
        <v>4933.0</v>
      </c>
      <c r="C150" s="420">
        <v>0.05</v>
      </c>
      <c r="D150" s="179">
        <v>0.69</v>
      </c>
      <c r="E150" s="179">
        <v>0.69</v>
      </c>
      <c r="F150" s="229" t="s">
        <v>1656</v>
      </c>
    </row>
    <row r="151">
      <c r="A151" s="136" t="s">
        <v>8139</v>
      </c>
      <c r="B151" s="25">
        <v>4933.0</v>
      </c>
      <c r="C151" s="420">
        <v>0.05</v>
      </c>
      <c r="D151" s="179">
        <v>0.69</v>
      </c>
      <c r="E151" s="179">
        <v>0.69</v>
      </c>
      <c r="F151" s="229" t="s">
        <v>1656</v>
      </c>
    </row>
    <row r="152">
      <c r="A152" s="136" t="s">
        <v>8140</v>
      </c>
      <c r="B152" s="25">
        <v>4933.0</v>
      </c>
      <c r="C152" s="420">
        <v>0.05</v>
      </c>
      <c r="D152" s="179">
        <v>0.69</v>
      </c>
      <c r="E152" s="179">
        <v>0.69</v>
      </c>
      <c r="F152" s="229" t="s">
        <v>1656</v>
      </c>
    </row>
    <row r="153">
      <c r="A153" s="136" t="s">
        <v>8141</v>
      </c>
      <c r="B153" s="25">
        <v>189.0</v>
      </c>
      <c r="C153" s="420">
        <v>0.05</v>
      </c>
      <c r="D153" s="74">
        <v>0.8</v>
      </c>
      <c r="E153" s="74">
        <v>0.8</v>
      </c>
      <c r="F153" s="229" t="s">
        <v>1656</v>
      </c>
    </row>
    <row r="154">
      <c r="A154" s="136" t="s">
        <v>8142</v>
      </c>
      <c r="B154" s="25">
        <v>5458.0</v>
      </c>
      <c r="C154" s="420">
        <v>0.05</v>
      </c>
      <c r="D154" s="179">
        <v>0.69</v>
      </c>
      <c r="E154" s="179">
        <v>0.69</v>
      </c>
      <c r="F154" s="229" t="s">
        <v>1656</v>
      </c>
    </row>
    <row r="155">
      <c r="A155" s="136" t="s">
        <v>8143</v>
      </c>
      <c r="B155" s="25">
        <v>189.0</v>
      </c>
      <c r="C155" s="420">
        <v>0.05</v>
      </c>
      <c r="D155" s="74">
        <v>0.8</v>
      </c>
      <c r="E155" s="74">
        <v>0.8</v>
      </c>
      <c r="F155" s="229" t="s">
        <v>1656</v>
      </c>
    </row>
    <row r="156">
      <c r="A156" s="136" t="s">
        <v>8144</v>
      </c>
      <c r="B156" s="25">
        <v>189.0</v>
      </c>
      <c r="C156" s="420">
        <v>0.05</v>
      </c>
      <c r="D156" s="74">
        <v>0.8</v>
      </c>
      <c r="E156" s="74">
        <v>0.8</v>
      </c>
      <c r="F156" s="229" t="s">
        <v>1656</v>
      </c>
    </row>
    <row r="157">
      <c r="A157" s="136" t="s">
        <v>8145</v>
      </c>
      <c r="B157" s="25">
        <v>6671.0</v>
      </c>
      <c r="C157" s="420">
        <v>0.05</v>
      </c>
      <c r="D157" s="179">
        <v>0.69</v>
      </c>
      <c r="E157" s="179">
        <v>0.69</v>
      </c>
      <c r="F157" s="229" t="s">
        <v>1656</v>
      </c>
    </row>
    <row r="158">
      <c r="A158" s="136" t="s">
        <v>8146</v>
      </c>
      <c r="B158" s="25">
        <v>6671.0</v>
      </c>
      <c r="C158" s="420">
        <v>0.05</v>
      </c>
      <c r="D158" s="179">
        <v>0.69</v>
      </c>
      <c r="E158" s="179">
        <v>0.69</v>
      </c>
      <c r="F158" s="229" t="s">
        <v>1656</v>
      </c>
    </row>
    <row r="159">
      <c r="A159" s="136" t="s">
        <v>8147</v>
      </c>
      <c r="B159" s="25">
        <v>5458.0</v>
      </c>
      <c r="C159" s="420">
        <v>0.05</v>
      </c>
      <c r="D159" s="179">
        <v>0.69</v>
      </c>
      <c r="E159" s="179">
        <v>0.69</v>
      </c>
      <c r="F159" s="229" t="s">
        <v>1656</v>
      </c>
    </row>
    <row r="160">
      <c r="A160" s="136" t="s">
        <v>8148</v>
      </c>
      <c r="B160" s="25">
        <v>4933.0</v>
      </c>
      <c r="C160" s="420">
        <v>0.05</v>
      </c>
      <c r="D160" s="179">
        <v>0.69</v>
      </c>
      <c r="E160" s="179">
        <v>0.69</v>
      </c>
      <c r="F160" s="229" t="s">
        <v>1656</v>
      </c>
    </row>
    <row r="161">
      <c r="A161" s="136" t="s">
        <v>8149</v>
      </c>
      <c r="B161" s="25">
        <v>4933.0</v>
      </c>
      <c r="C161" s="420">
        <v>0.05</v>
      </c>
      <c r="D161" s="179">
        <v>0.69</v>
      </c>
      <c r="E161" s="179">
        <v>0.69</v>
      </c>
      <c r="F161" s="229" t="s">
        <v>1656</v>
      </c>
    </row>
    <row r="162">
      <c r="A162" s="136" t="s">
        <v>8150</v>
      </c>
      <c r="B162" s="25">
        <v>4933.0</v>
      </c>
      <c r="C162" s="420">
        <v>0.05</v>
      </c>
      <c r="D162" s="179">
        <v>0.69</v>
      </c>
      <c r="E162" s="179">
        <v>0.69</v>
      </c>
      <c r="F162" s="229" t="s">
        <v>1656</v>
      </c>
    </row>
    <row r="163">
      <c r="A163" s="136" t="s">
        <v>8151</v>
      </c>
      <c r="B163" s="25">
        <v>4933.0</v>
      </c>
      <c r="C163" s="420">
        <v>0.05</v>
      </c>
      <c r="D163" s="179">
        <v>0.69</v>
      </c>
      <c r="E163" s="179">
        <v>0.69</v>
      </c>
      <c r="F163" s="229" t="s">
        <v>1656</v>
      </c>
    </row>
    <row r="164">
      <c r="A164" s="136" t="s">
        <v>8152</v>
      </c>
      <c r="B164" s="25">
        <v>4933.0</v>
      </c>
      <c r="C164" s="420">
        <v>0.05</v>
      </c>
      <c r="D164" s="179">
        <v>0.69</v>
      </c>
      <c r="E164" s="179">
        <v>0.69</v>
      </c>
      <c r="F164" s="229" t="s">
        <v>1656</v>
      </c>
    </row>
    <row r="165">
      <c r="A165" s="136" t="s">
        <v>8153</v>
      </c>
      <c r="B165" s="25">
        <v>986.0</v>
      </c>
      <c r="C165" s="420">
        <v>0.05</v>
      </c>
      <c r="D165" s="179">
        <v>0.81</v>
      </c>
      <c r="E165" s="179">
        <v>0.81</v>
      </c>
      <c r="F165" s="229" t="s">
        <v>1656</v>
      </c>
    </row>
    <row r="166">
      <c r="A166" s="136" t="s">
        <v>8154</v>
      </c>
      <c r="B166" s="25">
        <v>986.0</v>
      </c>
      <c r="C166" s="420">
        <v>0.05</v>
      </c>
      <c r="D166" s="179">
        <v>0.81</v>
      </c>
      <c r="E166" s="179">
        <v>0.81</v>
      </c>
      <c r="F166" s="229" t="s">
        <v>1656</v>
      </c>
    </row>
    <row r="167">
      <c r="A167" s="136" t="s">
        <v>8155</v>
      </c>
      <c r="B167" s="25">
        <v>986.0</v>
      </c>
      <c r="C167" s="420">
        <v>0.05</v>
      </c>
      <c r="D167" s="179">
        <v>0.81</v>
      </c>
      <c r="E167" s="179">
        <v>0.81</v>
      </c>
      <c r="F167" s="229" t="s">
        <v>1656</v>
      </c>
    </row>
    <row r="168">
      <c r="A168" s="136" t="s">
        <v>8156</v>
      </c>
      <c r="B168" s="25">
        <v>986.0</v>
      </c>
      <c r="C168" s="420">
        <v>0.05</v>
      </c>
      <c r="D168" s="179">
        <v>0.81</v>
      </c>
      <c r="E168" s="179">
        <v>0.81</v>
      </c>
      <c r="F168" s="229" t="s">
        <v>1656</v>
      </c>
    </row>
    <row r="169">
      <c r="A169" s="136" t="s">
        <v>8157</v>
      </c>
      <c r="B169" s="25">
        <v>986.0</v>
      </c>
      <c r="C169" s="420">
        <v>0.05</v>
      </c>
      <c r="D169" s="179">
        <v>0.81</v>
      </c>
      <c r="E169" s="179">
        <v>0.81</v>
      </c>
      <c r="F169" s="229" t="s">
        <v>1656</v>
      </c>
    </row>
    <row r="170">
      <c r="A170" s="136" t="s">
        <v>8158</v>
      </c>
      <c r="B170" s="25">
        <v>986.0</v>
      </c>
      <c r="C170" s="420">
        <v>0.05</v>
      </c>
      <c r="D170" s="179">
        <v>0.81</v>
      </c>
      <c r="E170" s="179">
        <v>0.81</v>
      </c>
      <c r="F170" s="229" t="s">
        <v>1656</v>
      </c>
    </row>
    <row r="171">
      <c r="A171" s="136" t="s">
        <v>8159</v>
      </c>
      <c r="B171" s="25">
        <v>986.0</v>
      </c>
      <c r="C171" s="420">
        <v>0.05</v>
      </c>
      <c r="D171" s="179">
        <v>0.81</v>
      </c>
      <c r="E171" s="179">
        <v>0.81</v>
      </c>
      <c r="F171" s="229" t="s">
        <v>1656</v>
      </c>
    </row>
    <row r="172">
      <c r="A172" s="136" t="s">
        <v>8160</v>
      </c>
      <c r="B172" s="25">
        <v>986.0</v>
      </c>
      <c r="C172" s="420">
        <v>0.05</v>
      </c>
      <c r="D172" s="179">
        <v>0.81</v>
      </c>
      <c r="E172" s="179">
        <v>0.81</v>
      </c>
      <c r="F172" s="229" t="s">
        <v>1656</v>
      </c>
    </row>
    <row r="173">
      <c r="A173" s="136" t="s">
        <v>8161</v>
      </c>
      <c r="B173" s="25">
        <v>986.0</v>
      </c>
      <c r="C173" s="420">
        <v>0.05</v>
      </c>
      <c r="D173" s="179">
        <v>0.81</v>
      </c>
      <c r="E173" s="179">
        <v>0.81</v>
      </c>
      <c r="F173" s="229" t="s">
        <v>1656</v>
      </c>
    </row>
    <row r="174">
      <c r="A174" s="136" t="s">
        <v>8162</v>
      </c>
      <c r="B174" s="25">
        <v>986.0</v>
      </c>
      <c r="C174" s="420">
        <v>0.05</v>
      </c>
      <c r="D174" s="179">
        <v>0.81</v>
      </c>
      <c r="E174" s="179">
        <v>0.81</v>
      </c>
      <c r="F174" s="229" t="s">
        <v>1656</v>
      </c>
    </row>
    <row r="175">
      <c r="A175" s="136" t="s">
        <v>8163</v>
      </c>
      <c r="B175" s="25">
        <v>986.0</v>
      </c>
      <c r="C175" s="420">
        <v>0.05</v>
      </c>
      <c r="D175" s="179">
        <v>0.81</v>
      </c>
      <c r="E175" s="179">
        <v>0.81</v>
      </c>
      <c r="F175" s="229" t="s">
        <v>1656</v>
      </c>
    </row>
    <row r="176">
      <c r="A176" s="136" t="s">
        <v>8164</v>
      </c>
      <c r="B176" s="25">
        <v>986.0</v>
      </c>
      <c r="C176" s="420">
        <v>0.05</v>
      </c>
      <c r="D176" s="179">
        <v>0.81</v>
      </c>
      <c r="E176" s="179">
        <v>0.81</v>
      </c>
      <c r="F176" s="229" t="s">
        <v>1656</v>
      </c>
    </row>
    <row r="177">
      <c r="A177" s="136" t="s">
        <v>8165</v>
      </c>
      <c r="B177" s="25">
        <v>986.0</v>
      </c>
      <c r="C177" s="420">
        <v>0.05</v>
      </c>
      <c r="D177" s="179">
        <v>0.81</v>
      </c>
      <c r="E177" s="179">
        <v>0.81</v>
      </c>
      <c r="F177" s="229" t="s">
        <v>1656</v>
      </c>
    </row>
    <row r="178">
      <c r="A178" s="136" t="s">
        <v>8166</v>
      </c>
      <c r="B178" s="25">
        <v>986.0</v>
      </c>
      <c r="C178" s="420">
        <v>0.05</v>
      </c>
      <c r="D178" s="179">
        <v>0.81</v>
      </c>
      <c r="E178" s="179">
        <v>0.81</v>
      </c>
      <c r="F178" s="229" t="s">
        <v>1656</v>
      </c>
    </row>
    <row r="179">
      <c r="A179" s="136" t="s">
        <v>8167</v>
      </c>
      <c r="B179" s="25">
        <v>6875.0</v>
      </c>
      <c r="C179" s="420">
        <v>0.05</v>
      </c>
      <c r="D179" s="179">
        <v>0.69</v>
      </c>
      <c r="E179" s="179">
        <v>0.69</v>
      </c>
      <c r="F179" s="229" t="s">
        <v>1656</v>
      </c>
    </row>
    <row r="180">
      <c r="A180" s="136" t="s">
        <v>8168</v>
      </c>
      <c r="B180" s="25">
        <v>6891.0</v>
      </c>
      <c r="C180" s="420">
        <v>0.05</v>
      </c>
      <c r="D180" s="179">
        <v>0.69</v>
      </c>
      <c r="E180" s="179">
        <v>0.69</v>
      </c>
      <c r="F180" s="229" t="s">
        <v>1656</v>
      </c>
    </row>
    <row r="181">
      <c r="A181" s="136" t="s">
        <v>8169</v>
      </c>
      <c r="B181" s="25">
        <v>6887.0</v>
      </c>
      <c r="C181" s="420">
        <v>0.05</v>
      </c>
      <c r="D181" s="179">
        <v>0.69</v>
      </c>
      <c r="E181" s="179">
        <v>0.69</v>
      </c>
      <c r="F181" s="229" t="s">
        <v>1656</v>
      </c>
    </row>
    <row r="182">
      <c r="A182" s="136" t="s">
        <v>8170</v>
      </c>
      <c r="B182" s="25">
        <v>6727.0</v>
      </c>
      <c r="C182" s="420">
        <v>0.05</v>
      </c>
      <c r="D182" s="179">
        <v>0.69</v>
      </c>
      <c r="E182" s="179">
        <v>0.69</v>
      </c>
      <c r="F182" s="229" t="s">
        <v>1656</v>
      </c>
    </row>
    <row r="183">
      <c r="A183" s="136" t="s">
        <v>8171</v>
      </c>
      <c r="B183" s="25">
        <v>6727.0</v>
      </c>
      <c r="C183" s="420">
        <v>0.05</v>
      </c>
      <c r="D183" s="179">
        <v>0.69</v>
      </c>
      <c r="E183" s="179">
        <v>0.69</v>
      </c>
      <c r="F183" s="229" t="s">
        <v>1656</v>
      </c>
    </row>
    <row r="184">
      <c r="A184" s="136" t="s">
        <v>8172</v>
      </c>
      <c r="B184" s="25">
        <v>6727.0</v>
      </c>
      <c r="C184" s="420">
        <v>0.05</v>
      </c>
      <c r="D184" s="179">
        <v>0.69</v>
      </c>
      <c r="E184" s="179">
        <v>0.69</v>
      </c>
      <c r="F184" s="229" t="s">
        <v>1656</v>
      </c>
    </row>
    <row r="185">
      <c r="A185" s="136" t="s">
        <v>8173</v>
      </c>
      <c r="B185" s="25">
        <v>6727.0</v>
      </c>
      <c r="C185" s="420">
        <v>0.05</v>
      </c>
      <c r="D185" s="179">
        <v>0.69</v>
      </c>
      <c r="E185" s="179">
        <v>0.69</v>
      </c>
      <c r="F185" s="229" t="s">
        <v>1656</v>
      </c>
    </row>
    <row r="186">
      <c r="A186" s="136" t="s">
        <v>8174</v>
      </c>
      <c r="B186" s="25">
        <v>6727.0</v>
      </c>
      <c r="C186" s="420">
        <v>0.05</v>
      </c>
      <c r="D186" s="179">
        <v>0.69</v>
      </c>
      <c r="E186" s="179">
        <v>0.69</v>
      </c>
      <c r="F186" s="229" t="s">
        <v>1656</v>
      </c>
    </row>
    <row r="187">
      <c r="A187" s="136" t="s">
        <v>8175</v>
      </c>
      <c r="B187" s="25">
        <v>6890.0</v>
      </c>
      <c r="C187" s="420">
        <v>0.05</v>
      </c>
      <c r="D187" s="179">
        <v>0.69</v>
      </c>
      <c r="E187" s="179">
        <v>0.69</v>
      </c>
      <c r="F187" s="229" t="s">
        <v>1656</v>
      </c>
    </row>
    <row r="188">
      <c r="A188" s="136" t="s">
        <v>8176</v>
      </c>
      <c r="B188" s="25">
        <v>986.0</v>
      </c>
      <c r="C188" s="420">
        <v>0.05</v>
      </c>
      <c r="D188" s="179">
        <v>0.81</v>
      </c>
      <c r="E188" s="179">
        <v>0.81</v>
      </c>
      <c r="F188" s="229" t="s">
        <v>1656</v>
      </c>
    </row>
    <row r="189">
      <c r="A189" s="136" t="s">
        <v>8177</v>
      </c>
      <c r="B189" s="25">
        <v>986.0</v>
      </c>
      <c r="C189" s="420">
        <v>0.05</v>
      </c>
      <c r="D189" s="179">
        <v>0.81</v>
      </c>
      <c r="E189" s="179">
        <v>0.81</v>
      </c>
      <c r="F189" s="229" t="s">
        <v>1656</v>
      </c>
    </row>
    <row r="190">
      <c r="A190" s="136" t="s">
        <v>8178</v>
      </c>
      <c r="B190" s="25">
        <v>986.0</v>
      </c>
      <c r="C190" s="420">
        <v>0.05</v>
      </c>
      <c r="D190" s="179">
        <v>0.81</v>
      </c>
      <c r="E190" s="179">
        <v>0.81</v>
      </c>
      <c r="F190" s="229" t="s">
        <v>1656</v>
      </c>
    </row>
    <row r="191">
      <c r="A191" s="136" t="s">
        <v>8179</v>
      </c>
      <c r="B191" s="25">
        <v>986.0</v>
      </c>
      <c r="C191" s="420">
        <v>0.05</v>
      </c>
      <c r="D191" s="179">
        <v>0.81</v>
      </c>
      <c r="E191" s="179">
        <v>0.81</v>
      </c>
      <c r="F191" s="229" t="s">
        <v>1656</v>
      </c>
    </row>
    <row r="192">
      <c r="A192" s="136" t="s">
        <v>8180</v>
      </c>
      <c r="B192" s="25">
        <v>986.0</v>
      </c>
      <c r="C192" s="420">
        <v>0.05</v>
      </c>
      <c r="D192" s="179">
        <v>0.81</v>
      </c>
      <c r="E192" s="179">
        <v>0.81</v>
      </c>
      <c r="F192" s="229" t="s">
        <v>1656</v>
      </c>
    </row>
    <row r="193">
      <c r="A193" s="136" t="s">
        <v>8181</v>
      </c>
      <c r="B193" s="25">
        <v>986.0</v>
      </c>
      <c r="C193" s="420">
        <v>0.05</v>
      </c>
      <c r="D193" s="179">
        <v>0.81</v>
      </c>
      <c r="E193" s="179">
        <v>0.81</v>
      </c>
      <c r="F193" s="229" t="s">
        <v>1656</v>
      </c>
    </row>
    <row r="194">
      <c r="A194" s="136" t="s">
        <v>8182</v>
      </c>
      <c r="B194" s="25">
        <v>986.0</v>
      </c>
      <c r="C194" s="420">
        <v>0.05</v>
      </c>
      <c r="D194" s="179">
        <v>0.81</v>
      </c>
      <c r="E194" s="179">
        <v>0.81</v>
      </c>
      <c r="F194" s="229" t="s">
        <v>1656</v>
      </c>
    </row>
    <row r="195">
      <c r="A195" s="136" t="s">
        <v>8183</v>
      </c>
      <c r="B195" s="25">
        <v>986.0</v>
      </c>
      <c r="C195" s="420">
        <v>0.05</v>
      </c>
      <c r="D195" s="179">
        <v>0.81</v>
      </c>
      <c r="E195" s="179">
        <v>0.81</v>
      </c>
      <c r="F195" s="229" t="s">
        <v>1656</v>
      </c>
    </row>
    <row r="196">
      <c r="A196" s="136" t="s">
        <v>8184</v>
      </c>
      <c r="B196" s="25">
        <v>986.0</v>
      </c>
      <c r="C196" s="420">
        <v>0.05</v>
      </c>
      <c r="D196" s="179">
        <v>0.81</v>
      </c>
      <c r="E196" s="179">
        <v>0.81</v>
      </c>
      <c r="F196" s="229" t="s">
        <v>1656</v>
      </c>
    </row>
    <row r="197">
      <c r="A197" s="136" t="s">
        <v>8185</v>
      </c>
      <c r="B197" s="25">
        <v>986.0</v>
      </c>
      <c r="C197" s="420">
        <v>0.05</v>
      </c>
      <c r="D197" s="179">
        <v>0.81</v>
      </c>
      <c r="E197" s="179">
        <v>0.81</v>
      </c>
      <c r="F197" s="229" t="s">
        <v>1656</v>
      </c>
    </row>
    <row r="198">
      <c r="A198" s="136" t="s">
        <v>8186</v>
      </c>
      <c r="B198" s="25">
        <v>6908.0</v>
      </c>
      <c r="C198" s="420">
        <v>0.05</v>
      </c>
      <c r="D198" s="179">
        <v>0.69</v>
      </c>
      <c r="E198" s="179">
        <v>0.69</v>
      </c>
      <c r="F198" s="229" t="s">
        <v>1656</v>
      </c>
    </row>
    <row r="199">
      <c r="A199" s="136" t="s">
        <v>8187</v>
      </c>
      <c r="B199" s="25">
        <v>3142.0</v>
      </c>
      <c r="C199" s="420">
        <v>0.05</v>
      </c>
      <c r="D199" s="179">
        <v>0.69</v>
      </c>
      <c r="E199" s="179">
        <v>0.69</v>
      </c>
      <c r="F199" s="229" t="s">
        <v>1656</v>
      </c>
    </row>
    <row r="200">
      <c r="A200" s="136" t="s">
        <v>8188</v>
      </c>
      <c r="B200" s="25">
        <v>6946.0</v>
      </c>
      <c r="C200" s="420">
        <v>0.05</v>
      </c>
      <c r="D200" s="179">
        <v>0.69</v>
      </c>
      <c r="E200" s="179">
        <v>0.69</v>
      </c>
      <c r="F200" s="229" t="s">
        <v>1656</v>
      </c>
    </row>
    <row r="201">
      <c r="A201" s="136" t="s">
        <v>8189</v>
      </c>
      <c r="B201" s="25">
        <v>6929.0</v>
      </c>
      <c r="C201" s="420">
        <v>0.05</v>
      </c>
      <c r="D201" s="179">
        <v>0.69</v>
      </c>
      <c r="E201" s="179">
        <v>0.69</v>
      </c>
      <c r="F201" s="229" t="s">
        <v>1656</v>
      </c>
    </row>
    <row r="202">
      <c r="A202" s="136" t="s">
        <v>8190</v>
      </c>
      <c r="B202" s="25">
        <v>6133.0</v>
      </c>
      <c r="C202" s="420">
        <v>0.05</v>
      </c>
      <c r="D202" s="179">
        <v>0.69</v>
      </c>
      <c r="E202" s="179">
        <v>0.69</v>
      </c>
      <c r="F202" s="229" t="s">
        <v>1656</v>
      </c>
    </row>
    <row r="203">
      <c r="A203" s="136" t="s">
        <v>8191</v>
      </c>
      <c r="B203" s="25">
        <v>6133.0</v>
      </c>
      <c r="C203" s="420">
        <v>0.05</v>
      </c>
      <c r="D203" s="179">
        <v>0.69</v>
      </c>
      <c r="E203" s="179">
        <v>0.69</v>
      </c>
      <c r="F203" s="229" t="s">
        <v>1656</v>
      </c>
    </row>
    <row r="204">
      <c r="A204" s="136" t="s">
        <v>8192</v>
      </c>
      <c r="B204" s="25">
        <v>6106.0</v>
      </c>
      <c r="C204" s="420">
        <v>0.05</v>
      </c>
      <c r="D204" s="179">
        <v>0.69</v>
      </c>
      <c r="E204" s="179">
        <v>0.69</v>
      </c>
      <c r="F204" s="229" t="s">
        <v>1656</v>
      </c>
    </row>
    <row r="205">
      <c r="A205" s="136" t="s">
        <v>8193</v>
      </c>
      <c r="B205" s="25">
        <v>930.0</v>
      </c>
      <c r="C205" s="420">
        <v>0.05</v>
      </c>
      <c r="D205" s="179">
        <v>0.69</v>
      </c>
      <c r="E205" s="179">
        <v>0.69</v>
      </c>
      <c r="F205" s="229" t="s">
        <v>1656</v>
      </c>
    </row>
    <row r="206">
      <c r="A206" s="136" t="s">
        <v>8194</v>
      </c>
      <c r="B206" s="25">
        <v>7003.0</v>
      </c>
      <c r="C206" s="420">
        <v>0.05</v>
      </c>
      <c r="D206" s="74">
        <v>0.8</v>
      </c>
      <c r="E206" s="74">
        <v>0.8</v>
      </c>
      <c r="F206" s="229" t="s">
        <v>1656</v>
      </c>
    </row>
    <row r="207">
      <c r="A207" s="136" t="s">
        <v>8195</v>
      </c>
      <c r="B207" s="25">
        <v>136.0</v>
      </c>
      <c r="C207" s="420">
        <v>0.05</v>
      </c>
      <c r="D207" s="179">
        <v>0.69</v>
      </c>
      <c r="E207" s="179">
        <v>0.69</v>
      </c>
      <c r="F207" s="229" t="s">
        <v>1656</v>
      </c>
    </row>
    <row r="208">
      <c r="A208" s="136" t="s">
        <v>8196</v>
      </c>
      <c r="B208" s="25">
        <v>6924.0</v>
      </c>
      <c r="C208" s="420">
        <v>0.05</v>
      </c>
      <c r="D208" s="179">
        <v>0.69</v>
      </c>
      <c r="E208" s="179">
        <v>0.69</v>
      </c>
      <c r="F208" s="229" t="s">
        <v>1656</v>
      </c>
    </row>
    <row r="209">
      <c r="A209" s="136" t="s">
        <v>8197</v>
      </c>
      <c r="B209" s="25">
        <v>6924.0</v>
      </c>
      <c r="C209" s="420">
        <v>0.05</v>
      </c>
      <c r="D209" s="179">
        <v>0.69</v>
      </c>
      <c r="E209" s="179">
        <v>0.69</v>
      </c>
      <c r="F209" s="229" t="s">
        <v>1656</v>
      </c>
    </row>
    <row r="210">
      <c r="A210" s="136" t="s">
        <v>8198</v>
      </c>
      <c r="B210" s="25">
        <v>7031.0</v>
      </c>
      <c r="C210" s="420">
        <v>0.05</v>
      </c>
      <c r="D210" s="179">
        <v>0.69</v>
      </c>
      <c r="E210" s="179">
        <v>0.69</v>
      </c>
      <c r="F210" s="229" t="s">
        <v>1656</v>
      </c>
    </row>
    <row r="211">
      <c r="A211" s="136" t="s">
        <v>8199</v>
      </c>
      <c r="B211" s="25">
        <v>189.0</v>
      </c>
      <c r="C211" s="420">
        <v>0.05</v>
      </c>
      <c r="D211" s="74">
        <v>0.8</v>
      </c>
      <c r="E211" s="74">
        <v>0.8</v>
      </c>
      <c r="F211" s="229" t="s">
        <v>1656</v>
      </c>
    </row>
    <row r="212">
      <c r="A212" s="136" t="s">
        <v>8200</v>
      </c>
      <c r="B212" s="25">
        <v>3307.0</v>
      </c>
      <c r="C212" s="420">
        <v>0.05</v>
      </c>
      <c r="D212" s="179">
        <v>0.69</v>
      </c>
      <c r="E212" s="179">
        <v>0.69</v>
      </c>
      <c r="F212" s="229" t="s">
        <v>1656</v>
      </c>
    </row>
    <row r="213">
      <c r="A213" s="136" t="s">
        <v>8201</v>
      </c>
      <c r="B213" s="25">
        <v>6947.0</v>
      </c>
      <c r="C213" s="420">
        <v>0.05</v>
      </c>
      <c r="D213" s="179">
        <v>0.69</v>
      </c>
      <c r="E213" s="179">
        <v>0.69</v>
      </c>
      <c r="F213" s="229" t="s">
        <v>1656</v>
      </c>
    </row>
    <row r="214">
      <c r="A214" s="136" t="s">
        <v>8202</v>
      </c>
      <c r="B214" s="25">
        <v>7098.0</v>
      </c>
      <c r="C214" s="420">
        <v>0.05</v>
      </c>
      <c r="D214" s="179">
        <v>0.69</v>
      </c>
      <c r="E214" s="179">
        <v>0.69</v>
      </c>
      <c r="F214" s="229" t="s">
        <v>1656</v>
      </c>
    </row>
    <row r="215">
      <c r="A215" s="136" t="s">
        <v>8203</v>
      </c>
      <c r="B215" s="25">
        <v>5458.0</v>
      </c>
      <c r="C215" s="420">
        <v>0.05</v>
      </c>
      <c r="D215" s="179">
        <v>0.69</v>
      </c>
      <c r="E215" s="179">
        <v>0.69</v>
      </c>
      <c r="F215" s="229" t="s">
        <v>1656</v>
      </c>
    </row>
    <row r="216">
      <c r="A216" s="136" t="s">
        <v>8204</v>
      </c>
      <c r="B216" s="25">
        <v>7098.0</v>
      </c>
      <c r="C216" s="420">
        <v>0.05</v>
      </c>
      <c r="D216" s="179">
        <v>0.69</v>
      </c>
      <c r="E216" s="179">
        <v>0.69</v>
      </c>
      <c r="F216" s="229" t="s">
        <v>1656</v>
      </c>
    </row>
    <row r="217">
      <c r="A217" s="136" t="s">
        <v>8205</v>
      </c>
      <c r="B217" s="25">
        <v>6770.0</v>
      </c>
      <c r="C217" s="420">
        <v>0.05</v>
      </c>
      <c r="D217" s="179">
        <v>0.69</v>
      </c>
      <c r="E217" s="179">
        <v>0.69</v>
      </c>
      <c r="F217" s="229" t="s">
        <v>1656</v>
      </c>
    </row>
    <row r="218">
      <c r="A218" s="136" t="s">
        <v>8206</v>
      </c>
      <c r="B218" s="25">
        <v>6770.0</v>
      </c>
      <c r="C218" s="420">
        <v>0.05</v>
      </c>
      <c r="D218" s="179">
        <v>0.69</v>
      </c>
      <c r="E218" s="179">
        <v>0.69</v>
      </c>
      <c r="F218" s="229" t="s">
        <v>1656</v>
      </c>
    </row>
    <row r="219">
      <c r="A219" s="136" t="s">
        <v>8207</v>
      </c>
      <c r="B219" s="25">
        <v>6770.0</v>
      </c>
      <c r="C219" s="420">
        <v>0.05</v>
      </c>
      <c r="D219" s="179">
        <v>0.69</v>
      </c>
      <c r="E219" s="179">
        <v>0.69</v>
      </c>
      <c r="F219" s="229" t="s">
        <v>1656</v>
      </c>
    </row>
    <row r="220">
      <c r="A220" s="136" t="s">
        <v>8208</v>
      </c>
      <c r="B220" s="25">
        <v>6770.0</v>
      </c>
      <c r="C220" s="420">
        <v>0.05</v>
      </c>
      <c r="D220" s="179">
        <v>0.69</v>
      </c>
      <c r="E220" s="179">
        <v>0.69</v>
      </c>
      <c r="F220" s="229" t="s">
        <v>1656</v>
      </c>
    </row>
    <row r="221">
      <c r="A221" s="136" t="s">
        <v>8209</v>
      </c>
      <c r="B221" s="25">
        <v>6770.0</v>
      </c>
      <c r="C221" s="420">
        <v>0.05</v>
      </c>
      <c r="D221" s="179">
        <v>0.69</v>
      </c>
      <c r="E221" s="179">
        <v>0.69</v>
      </c>
      <c r="F221" s="229" t="s">
        <v>1656</v>
      </c>
    </row>
    <row r="222">
      <c r="A222" s="136" t="s">
        <v>8210</v>
      </c>
      <c r="B222" s="25">
        <v>6770.0</v>
      </c>
      <c r="C222" s="420">
        <v>0.05</v>
      </c>
      <c r="D222" s="179">
        <v>0.69</v>
      </c>
      <c r="E222" s="179">
        <v>0.69</v>
      </c>
      <c r="F222" s="229" t="s">
        <v>1656</v>
      </c>
    </row>
    <row r="223">
      <c r="A223" s="136" t="s">
        <v>8211</v>
      </c>
      <c r="B223" s="25">
        <v>6557.0</v>
      </c>
      <c r="C223" s="420">
        <v>0.05</v>
      </c>
      <c r="D223" s="179">
        <v>0.69</v>
      </c>
      <c r="E223" s="179">
        <v>0.69</v>
      </c>
      <c r="F223" s="229" t="s">
        <v>1656</v>
      </c>
    </row>
    <row r="224">
      <c r="A224" s="136" t="s">
        <v>8212</v>
      </c>
      <c r="B224" s="25">
        <v>6557.0</v>
      </c>
      <c r="C224" s="420">
        <v>0.05</v>
      </c>
      <c r="D224" s="179">
        <v>0.69</v>
      </c>
      <c r="E224" s="179">
        <v>0.69</v>
      </c>
      <c r="F224" s="229" t="s">
        <v>1656</v>
      </c>
    </row>
    <row r="225">
      <c r="A225" s="136" t="s">
        <v>8213</v>
      </c>
      <c r="B225" s="25">
        <v>6557.0</v>
      </c>
      <c r="C225" s="420">
        <v>0.05</v>
      </c>
      <c r="D225" s="179">
        <v>0.69</v>
      </c>
      <c r="E225" s="179">
        <v>0.69</v>
      </c>
      <c r="F225" s="229" t="s">
        <v>1656</v>
      </c>
    </row>
    <row r="226">
      <c r="A226" s="136" t="s">
        <v>8214</v>
      </c>
      <c r="B226" s="25">
        <v>6998.0</v>
      </c>
      <c r="C226" s="420">
        <v>0.05</v>
      </c>
      <c r="D226" s="179">
        <v>0.69</v>
      </c>
      <c r="E226" s="179">
        <v>0.69</v>
      </c>
      <c r="F226" s="229" t="s">
        <v>1656</v>
      </c>
    </row>
    <row r="227">
      <c r="A227" s="136" t="s">
        <v>8215</v>
      </c>
      <c r="B227" s="25">
        <v>1360.0</v>
      </c>
      <c r="C227" s="420">
        <v>0.05</v>
      </c>
      <c r="D227" s="179">
        <v>0.69</v>
      </c>
      <c r="E227" s="179">
        <v>0.69</v>
      </c>
      <c r="F227" s="229" t="s">
        <v>1656</v>
      </c>
    </row>
    <row r="228">
      <c r="A228" s="136" t="s">
        <v>8216</v>
      </c>
      <c r="B228" s="25">
        <v>6887.0</v>
      </c>
      <c r="C228" s="420">
        <v>0.05</v>
      </c>
      <c r="D228" s="179">
        <v>0.69</v>
      </c>
      <c r="E228" s="179">
        <v>0.69</v>
      </c>
      <c r="F228" s="229" t="s">
        <v>1656</v>
      </c>
    </row>
    <row r="229">
      <c r="A229" s="136" t="s">
        <v>8217</v>
      </c>
      <c r="B229" s="25">
        <v>6727.0</v>
      </c>
      <c r="C229" s="420">
        <v>0.05</v>
      </c>
      <c r="D229" s="179">
        <v>0.69</v>
      </c>
      <c r="E229" s="179">
        <v>0.69</v>
      </c>
      <c r="F229" s="229" t="s">
        <v>1656</v>
      </c>
    </row>
    <row r="230">
      <c r="A230" s="136" t="s">
        <v>8218</v>
      </c>
      <c r="B230" s="25">
        <v>6727.0</v>
      </c>
      <c r="C230" s="420">
        <v>0.05</v>
      </c>
      <c r="D230" s="179">
        <v>0.69</v>
      </c>
      <c r="E230" s="179">
        <v>0.69</v>
      </c>
      <c r="F230" s="229" t="s">
        <v>1656</v>
      </c>
    </row>
    <row r="231">
      <c r="A231" s="136" t="s">
        <v>8219</v>
      </c>
      <c r="B231" s="25">
        <v>6727.0</v>
      </c>
      <c r="C231" s="420">
        <v>0.05</v>
      </c>
      <c r="D231" s="179">
        <v>0.69</v>
      </c>
      <c r="E231" s="179">
        <v>0.69</v>
      </c>
      <c r="F231" s="229" t="s">
        <v>1656</v>
      </c>
    </row>
    <row r="232">
      <c r="A232" s="136" t="s">
        <v>8220</v>
      </c>
      <c r="B232" s="25">
        <v>6727.0</v>
      </c>
      <c r="C232" s="420">
        <v>0.05</v>
      </c>
      <c r="D232" s="179">
        <v>0.69</v>
      </c>
      <c r="E232" s="179">
        <v>0.69</v>
      </c>
      <c r="F232" s="229" t="s">
        <v>1656</v>
      </c>
    </row>
    <row r="233">
      <c r="A233" s="136" t="s">
        <v>8221</v>
      </c>
      <c r="B233" s="25">
        <v>6727.0</v>
      </c>
      <c r="C233" s="420">
        <v>0.05</v>
      </c>
      <c r="D233" s="179">
        <v>0.69</v>
      </c>
      <c r="E233" s="179">
        <v>0.69</v>
      </c>
      <c r="F233" s="229" t="s">
        <v>1656</v>
      </c>
    </row>
    <row r="234">
      <c r="A234" s="136" t="s">
        <v>8222</v>
      </c>
      <c r="B234" s="25">
        <v>6671.0</v>
      </c>
      <c r="C234" s="420">
        <v>0.05</v>
      </c>
      <c r="D234" s="179">
        <v>0.69</v>
      </c>
      <c r="E234" s="179">
        <v>0.69</v>
      </c>
      <c r="F234" s="229" t="s">
        <v>1656</v>
      </c>
    </row>
    <row r="235">
      <c r="A235" s="136" t="s">
        <v>8223</v>
      </c>
      <c r="B235" s="25">
        <v>6557.0</v>
      </c>
      <c r="C235" s="420">
        <v>0.05</v>
      </c>
      <c r="D235" s="179">
        <v>0.69</v>
      </c>
      <c r="E235" s="179">
        <v>0.69</v>
      </c>
      <c r="F235" s="229" t="s">
        <v>1656</v>
      </c>
    </row>
    <row r="236">
      <c r="A236" s="136" t="s">
        <v>8224</v>
      </c>
      <c r="B236" s="25">
        <v>6671.0</v>
      </c>
      <c r="C236" s="420">
        <v>0.05</v>
      </c>
      <c r="D236" s="179">
        <v>0.69</v>
      </c>
      <c r="E236" s="179">
        <v>0.69</v>
      </c>
      <c r="F236" s="229" t="s">
        <v>1656</v>
      </c>
    </row>
    <row r="237">
      <c r="A237" s="136" t="s">
        <v>8225</v>
      </c>
      <c r="B237" s="25">
        <v>6671.0</v>
      </c>
      <c r="C237" s="420">
        <v>0.05</v>
      </c>
      <c r="D237" s="179">
        <v>0.69</v>
      </c>
      <c r="E237" s="179">
        <v>0.69</v>
      </c>
      <c r="F237" s="229" t="s">
        <v>1656</v>
      </c>
    </row>
    <row r="238">
      <c r="A238" s="136" t="s">
        <v>8226</v>
      </c>
      <c r="B238" s="25">
        <v>6671.0</v>
      </c>
      <c r="C238" s="420">
        <v>0.05</v>
      </c>
      <c r="D238" s="179">
        <v>0.69</v>
      </c>
      <c r="E238" s="179">
        <v>0.69</v>
      </c>
      <c r="F238" s="229" t="s">
        <v>1656</v>
      </c>
    </row>
    <row r="239">
      <c r="A239" s="136" t="s">
        <v>8227</v>
      </c>
      <c r="B239" s="25">
        <v>6671.0</v>
      </c>
      <c r="C239" s="420">
        <v>0.05</v>
      </c>
      <c r="D239" s="179">
        <v>0.69</v>
      </c>
      <c r="E239" s="179">
        <v>0.69</v>
      </c>
      <c r="F239" s="229" t="s">
        <v>1656</v>
      </c>
    </row>
    <row r="240">
      <c r="A240" s="136" t="s">
        <v>8228</v>
      </c>
      <c r="B240" s="25">
        <v>6671.0</v>
      </c>
      <c r="C240" s="420">
        <v>0.05</v>
      </c>
      <c r="D240" s="179">
        <v>0.69</v>
      </c>
      <c r="E240" s="179">
        <v>0.69</v>
      </c>
      <c r="F240" s="229" t="s">
        <v>1656</v>
      </c>
    </row>
    <row r="241">
      <c r="A241" s="136" t="s">
        <v>8229</v>
      </c>
      <c r="B241" s="25">
        <v>6671.0</v>
      </c>
      <c r="C241" s="420">
        <v>0.05</v>
      </c>
      <c r="D241" s="179">
        <v>0.69</v>
      </c>
      <c r="E241" s="179">
        <v>0.69</v>
      </c>
      <c r="F241" s="229" t="s">
        <v>1656</v>
      </c>
    </row>
    <row r="242">
      <c r="A242" s="136" t="s">
        <v>8230</v>
      </c>
      <c r="B242" s="25">
        <v>6671.0</v>
      </c>
      <c r="C242" s="420">
        <v>0.05</v>
      </c>
      <c r="D242" s="179">
        <v>0.69</v>
      </c>
      <c r="E242" s="179">
        <v>0.69</v>
      </c>
      <c r="F242" s="229" t="s">
        <v>1656</v>
      </c>
    </row>
    <row r="243">
      <c r="A243" s="136" t="s">
        <v>8231</v>
      </c>
      <c r="B243" s="25">
        <v>6671.0</v>
      </c>
      <c r="C243" s="420">
        <v>0.05</v>
      </c>
      <c r="D243" s="179">
        <v>0.69</v>
      </c>
      <c r="E243" s="179">
        <v>0.69</v>
      </c>
      <c r="F243" s="229" t="s">
        <v>1656</v>
      </c>
    </row>
    <row r="244">
      <c r="A244" s="136" t="s">
        <v>8232</v>
      </c>
      <c r="B244" s="25">
        <v>6671.0</v>
      </c>
      <c r="C244" s="420">
        <v>0.05</v>
      </c>
      <c r="D244" s="179">
        <v>0.69</v>
      </c>
      <c r="E244" s="179">
        <v>0.69</v>
      </c>
      <c r="F244" s="229" t="s">
        <v>1656</v>
      </c>
    </row>
    <row r="245">
      <c r="A245" s="136" t="s">
        <v>8233</v>
      </c>
      <c r="B245" s="25">
        <v>6827.0</v>
      </c>
      <c r="C245" s="420">
        <v>0.05</v>
      </c>
      <c r="D245" s="179">
        <v>0.69</v>
      </c>
      <c r="E245" s="179">
        <v>0.69</v>
      </c>
      <c r="F245" s="229" t="s">
        <v>1656</v>
      </c>
    </row>
    <row r="246">
      <c r="A246" s="136" t="s">
        <v>8234</v>
      </c>
      <c r="B246" s="25">
        <v>7008.0</v>
      </c>
      <c r="C246" s="420">
        <v>0.05</v>
      </c>
      <c r="D246" s="179">
        <v>0.69</v>
      </c>
      <c r="E246" s="179">
        <v>0.69</v>
      </c>
      <c r="F246" s="229" t="s">
        <v>1656</v>
      </c>
    </row>
    <row r="247">
      <c r="A247" s="136" t="s">
        <v>8235</v>
      </c>
      <c r="B247" s="25">
        <v>7008.0</v>
      </c>
      <c r="C247" s="420">
        <v>0.05</v>
      </c>
      <c r="D247" s="179">
        <v>0.69</v>
      </c>
      <c r="E247" s="179">
        <v>0.69</v>
      </c>
      <c r="F247" s="229" t="s">
        <v>1656</v>
      </c>
    </row>
    <row r="248">
      <c r="A248" s="136" t="s">
        <v>8236</v>
      </c>
      <c r="B248" s="25">
        <v>6893.0</v>
      </c>
      <c r="C248" s="420">
        <v>0.05</v>
      </c>
      <c r="D248" s="179">
        <v>0.69</v>
      </c>
      <c r="E248" s="179">
        <v>0.69</v>
      </c>
      <c r="F248" s="229" t="s">
        <v>1656</v>
      </c>
    </row>
    <row r="249">
      <c r="A249" s="136" t="s">
        <v>8237</v>
      </c>
      <c r="B249" s="25">
        <v>10141.0</v>
      </c>
      <c r="C249" s="420">
        <v>0.05</v>
      </c>
      <c r="D249" s="179">
        <v>0.69</v>
      </c>
      <c r="E249" s="179">
        <v>0.69</v>
      </c>
      <c r="F249" s="229" t="s">
        <v>1656</v>
      </c>
    </row>
    <row r="250">
      <c r="A250" s="136" t="s">
        <v>8238</v>
      </c>
      <c r="B250" s="25">
        <v>3689.0</v>
      </c>
      <c r="C250" s="420">
        <v>0.05</v>
      </c>
      <c r="D250" s="179">
        <v>0.69</v>
      </c>
      <c r="E250" s="179">
        <v>0.69</v>
      </c>
      <c r="F250" s="229" t="s">
        <v>1656</v>
      </c>
    </row>
    <row r="251">
      <c r="A251" s="136" t="s">
        <v>8239</v>
      </c>
      <c r="B251" s="421">
        <v>7847.0</v>
      </c>
      <c r="C251" s="420">
        <v>0.05</v>
      </c>
      <c r="D251" s="179">
        <v>0.69</v>
      </c>
      <c r="E251" s="179">
        <v>0.69</v>
      </c>
      <c r="F251" s="229" t="s">
        <v>1656</v>
      </c>
    </row>
    <row r="252">
      <c r="A252" s="136" t="s">
        <v>8240</v>
      </c>
      <c r="B252" s="25">
        <v>6995.0</v>
      </c>
      <c r="C252" s="420">
        <v>0.05</v>
      </c>
      <c r="D252" s="179">
        <v>0.69</v>
      </c>
      <c r="E252" s="179">
        <v>0.69</v>
      </c>
      <c r="F252" s="229" t="s">
        <v>1656</v>
      </c>
    </row>
    <row r="253">
      <c r="A253" s="136" t="s">
        <v>8241</v>
      </c>
      <c r="B253" s="25">
        <v>6924.0</v>
      </c>
      <c r="C253" s="420">
        <v>0.05</v>
      </c>
      <c r="D253" s="179">
        <v>0.69</v>
      </c>
      <c r="E253" s="179">
        <v>0.69</v>
      </c>
      <c r="F253" s="229" t="s">
        <v>1656</v>
      </c>
    </row>
    <row r="254">
      <c r="A254" s="136" t="s">
        <v>8242</v>
      </c>
      <c r="B254" s="25">
        <v>6965.0</v>
      </c>
      <c r="C254" s="420">
        <v>0.05</v>
      </c>
      <c r="D254" s="179">
        <v>0.69</v>
      </c>
      <c r="E254" s="179">
        <v>0.69</v>
      </c>
      <c r="F254" s="229" t="s">
        <v>1656</v>
      </c>
    </row>
    <row r="255">
      <c r="A255" s="136" t="s">
        <v>8243</v>
      </c>
      <c r="B255" s="25">
        <v>11708.0</v>
      </c>
      <c r="C255" s="420">
        <v>0.05</v>
      </c>
      <c r="D255" s="179">
        <v>0.69</v>
      </c>
      <c r="E255" s="179">
        <v>0.69</v>
      </c>
      <c r="F255" s="229" t="s">
        <v>1656</v>
      </c>
    </row>
    <row r="256">
      <c r="A256" s="136" t="s">
        <v>8244</v>
      </c>
      <c r="B256" s="252">
        <v>6697.0</v>
      </c>
      <c r="C256" s="420">
        <v>0.05</v>
      </c>
      <c r="D256" s="179">
        <v>0.69</v>
      </c>
      <c r="E256" s="179">
        <v>0.69</v>
      </c>
      <c r="F256" s="229" t="s">
        <v>1656</v>
      </c>
    </row>
    <row r="257">
      <c r="A257" s="136" t="s">
        <v>8245</v>
      </c>
      <c r="B257" s="25">
        <v>6669.0</v>
      </c>
      <c r="C257" s="420">
        <v>0.05</v>
      </c>
      <c r="D257" s="179">
        <v>0.69</v>
      </c>
      <c r="E257" s="179">
        <v>0.69</v>
      </c>
      <c r="F257" s="229" t="s">
        <v>1656</v>
      </c>
    </row>
    <row r="258">
      <c r="A258" s="136" t="s">
        <v>8246</v>
      </c>
      <c r="B258" s="25">
        <v>6903.0</v>
      </c>
      <c r="C258" s="420">
        <v>0.05</v>
      </c>
      <c r="D258" s="179">
        <v>0.69</v>
      </c>
      <c r="E258" s="179">
        <v>0.69</v>
      </c>
      <c r="F258" s="229" t="s">
        <v>1656</v>
      </c>
    </row>
    <row r="259">
      <c r="A259" s="136" t="s">
        <v>8247</v>
      </c>
      <c r="B259" s="25">
        <v>10856.0</v>
      </c>
      <c r="C259" s="420">
        <v>0.05</v>
      </c>
      <c r="D259" s="179">
        <v>0.69</v>
      </c>
      <c r="E259" s="179">
        <v>0.69</v>
      </c>
      <c r="F259" s="229" t="s">
        <v>1656</v>
      </c>
    </row>
    <row r="260">
      <c r="A260" s="136" t="s">
        <v>8248</v>
      </c>
      <c r="B260" s="25">
        <v>9746.0</v>
      </c>
      <c r="C260" s="420">
        <v>0.05</v>
      </c>
      <c r="D260" s="179">
        <v>0.69</v>
      </c>
      <c r="E260" s="179">
        <v>0.69</v>
      </c>
      <c r="F260" s="229" t="s">
        <v>1656</v>
      </c>
    </row>
    <row r="261">
      <c r="A261" s="136" t="s">
        <v>8249</v>
      </c>
      <c r="B261" s="25">
        <v>6660.0</v>
      </c>
      <c r="C261" s="420">
        <v>0.05</v>
      </c>
      <c r="D261" s="179">
        <v>0.69</v>
      </c>
      <c r="E261" s="179">
        <v>0.69</v>
      </c>
      <c r="F261" s="229" t="s">
        <v>1656</v>
      </c>
    </row>
    <row r="262">
      <c r="A262" s="136" t="s">
        <v>8250</v>
      </c>
      <c r="B262" s="25">
        <v>7129.0</v>
      </c>
      <c r="C262" s="420">
        <v>0.05</v>
      </c>
      <c r="D262" s="179">
        <v>0.69</v>
      </c>
      <c r="E262" s="179">
        <v>0.69</v>
      </c>
      <c r="F262" s="229" t="s">
        <v>1656</v>
      </c>
    </row>
    <row r="263">
      <c r="A263" s="136" t="s">
        <v>8251</v>
      </c>
      <c r="B263" s="25">
        <v>14337.0</v>
      </c>
      <c r="C263" s="420">
        <v>0.05</v>
      </c>
      <c r="D263" s="179">
        <v>0.69</v>
      </c>
      <c r="E263" s="179">
        <v>0.69</v>
      </c>
      <c r="F263" s="229" t="s">
        <v>1656</v>
      </c>
    </row>
    <row r="264">
      <c r="A264" s="136" t="s">
        <v>8252</v>
      </c>
      <c r="B264" s="25">
        <v>7055.0</v>
      </c>
      <c r="C264" s="420">
        <v>0.05</v>
      </c>
      <c r="D264" s="179">
        <v>0.69</v>
      </c>
      <c r="E264" s="179">
        <v>0.69</v>
      </c>
      <c r="F264" s="229" t="s">
        <v>1656</v>
      </c>
    </row>
    <row r="265">
      <c r="A265" s="136" t="s">
        <v>8253</v>
      </c>
      <c r="B265" s="25">
        <v>7137.0</v>
      </c>
      <c r="C265" s="420">
        <v>0.05</v>
      </c>
      <c r="D265" s="179">
        <v>0.69</v>
      </c>
      <c r="E265" s="179">
        <v>0.69</v>
      </c>
      <c r="F265" s="229" t="s">
        <v>1656</v>
      </c>
    </row>
    <row r="266">
      <c r="A266" s="136" t="s">
        <v>8254</v>
      </c>
      <c r="B266" s="25">
        <v>7113.0</v>
      </c>
      <c r="C266" s="420">
        <v>0.05</v>
      </c>
      <c r="D266" s="179">
        <v>0.69</v>
      </c>
      <c r="E266" s="179">
        <v>0.69</v>
      </c>
      <c r="F266" s="229" t="s">
        <v>1656</v>
      </c>
    </row>
    <row r="267">
      <c r="A267" s="136" t="s">
        <v>8255</v>
      </c>
      <c r="B267" s="25">
        <v>6143.0</v>
      </c>
      <c r="C267" s="420">
        <v>0.05</v>
      </c>
      <c r="D267" s="74">
        <v>0.8</v>
      </c>
      <c r="E267" s="74">
        <v>0.8</v>
      </c>
      <c r="F267" s="229" t="s">
        <v>1656</v>
      </c>
    </row>
    <row r="268">
      <c r="A268" s="136" t="s">
        <v>8256</v>
      </c>
      <c r="B268" s="25">
        <v>84.0</v>
      </c>
      <c r="C268" s="420">
        <v>0.05</v>
      </c>
      <c r="D268" s="179">
        <v>0.69</v>
      </c>
      <c r="E268" s="179">
        <v>0.69</v>
      </c>
      <c r="F268" s="229" t="s">
        <v>1656</v>
      </c>
    </row>
    <row r="269">
      <c r="A269" s="136" t="s">
        <v>8257</v>
      </c>
      <c r="B269" s="25">
        <v>14065.0</v>
      </c>
      <c r="C269" s="420">
        <v>0.05</v>
      </c>
      <c r="D269" s="179">
        <v>0.69</v>
      </c>
      <c r="E269" s="179">
        <v>0.69</v>
      </c>
      <c r="F269" s="229" t="s">
        <v>1656</v>
      </c>
    </row>
    <row r="270">
      <c r="A270" s="136" t="s">
        <v>8258</v>
      </c>
      <c r="B270" s="25">
        <v>11104.0</v>
      </c>
      <c r="C270" s="420">
        <v>0.05</v>
      </c>
      <c r="D270" s="179">
        <v>0.69</v>
      </c>
      <c r="E270" s="179">
        <v>0.69</v>
      </c>
      <c r="F270" s="229" t="s">
        <v>1656</v>
      </c>
    </row>
    <row r="271">
      <c r="A271" s="136" t="s">
        <v>8259</v>
      </c>
      <c r="B271" s="25">
        <v>6936.0</v>
      </c>
      <c r="C271" s="420">
        <v>0.05</v>
      </c>
      <c r="D271" s="179">
        <v>0.69</v>
      </c>
      <c r="E271" s="179">
        <v>0.69</v>
      </c>
      <c r="F271" s="229" t="s">
        <v>1656</v>
      </c>
    </row>
    <row r="272">
      <c r="A272" s="136" t="s">
        <v>8260</v>
      </c>
      <c r="B272" s="25">
        <v>6557.0</v>
      </c>
      <c r="C272" s="420">
        <v>0.05</v>
      </c>
      <c r="D272" s="179">
        <v>0.69</v>
      </c>
      <c r="E272" s="179">
        <v>0.69</v>
      </c>
      <c r="F272" s="229" t="s">
        <v>1656</v>
      </c>
    </row>
    <row r="273">
      <c r="A273" s="136" t="s">
        <v>8261</v>
      </c>
      <c r="B273" s="25">
        <v>6557.0</v>
      </c>
      <c r="C273" s="420">
        <v>0.05</v>
      </c>
      <c r="D273" s="179">
        <v>0.69</v>
      </c>
      <c r="E273" s="179">
        <v>0.69</v>
      </c>
      <c r="F273" s="229" t="s">
        <v>1656</v>
      </c>
    </row>
    <row r="274">
      <c r="A274" s="136" t="s">
        <v>8262</v>
      </c>
      <c r="B274" s="16">
        <v>14732.0</v>
      </c>
      <c r="C274" s="420">
        <v>0.05</v>
      </c>
      <c r="D274" s="179">
        <v>0.69</v>
      </c>
      <c r="E274" s="179">
        <v>0.69</v>
      </c>
      <c r="F274" s="229" t="s">
        <v>1656</v>
      </c>
    </row>
    <row r="275">
      <c r="A275" s="136" t="s">
        <v>8263</v>
      </c>
      <c r="B275" s="25">
        <v>7747.0</v>
      </c>
      <c r="C275" s="420">
        <v>0.05</v>
      </c>
      <c r="D275" s="179">
        <v>0.69</v>
      </c>
      <c r="E275" s="179">
        <v>0.69</v>
      </c>
      <c r="F275" s="229" t="s">
        <v>1656</v>
      </c>
    </row>
    <row r="276">
      <c r="A276" s="136" t="s">
        <v>8264</v>
      </c>
      <c r="B276" s="25">
        <v>6998.0</v>
      </c>
      <c r="C276" s="420">
        <v>0.05</v>
      </c>
      <c r="D276" s="179">
        <v>0.69</v>
      </c>
      <c r="E276" s="179">
        <v>0.69</v>
      </c>
      <c r="F276" s="229" t="s">
        <v>1656</v>
      </c>
    </row>
    <row r="277">
      <c r="A277" s="136" t="s">
        <v>8265</v>
      </c>
      <c r="B277" s="25">
        <v>1360.0</v>
      </c>
      <c r="C277" s="420">
        <v>0.05</v>
      </c>
      <c r="D277" s="179">
        <v>0.69</v>
      </c>
      <c r="E277" s="179">
        <v>0.69</v>
      </c>
      <c r="F277" s="229" t="s">
        <v>1656</v>
      </c>
    </row>
    <row r="278">
      <c r="A278" s="136" t="s">
        <v>8266</v>
      </c>
      <c r="B278" s="25">
        <v>7183.0</v>
      </c>
      <c r="C278" s="420">
        <v>0.05</v>
      </c>
      <c r="D278" s="179">
        <v>0.69</v>
      </c>
      <c r="E278" s="179">
        <v>0.69</v>
      </c>
      <c r="F278" s="229" t="s">
        <v>1656</v>
      </c>
    </row>
    <row r="279">
      <c r="A279" s="136" t="s">
        <v>8267</v>
      </c>
      <c r="B279" s="78"/>
      <c r="C279" s="420">
        <v>0.05</v>
      </c>
      <c r="D279" s="179">
        <v>0.69</v>
      </c>
      <c r="E279" s="179">
        <v>0.69</v>
      </c>
      <c r="F279" s="229" t="s">
        <v>1656</v>
      </c>
    </row>
    <row r="280">
      <c r="A280" s="136" t="s">
        <v>8268</v>
      </c>
      <c r="B280" s="25">
        <v>7186.0</v>
      </c>
      <c r="C280" s="420">
        <v>0.05</v>
      </c>
      <c r="D280" s="179">
        <v>0.69</v>
      </c>
      <c r="E280" s="179">
        <v>0.69</v>
      </c>
      <c r="F280" s="229" t="s">
        <v>1656</v>
      </c>
    </row>
    <row r="281">
      <c r="A281" s="136" t="s">
        <v>8269</v>
      </c>
      <c r="B281" s="25">
        <v>189.0</v>
      </c>
      <c r="C281" s="420">
        <v>0.05</v>
      </c>
      <c r="D281" s="74">
        <v>0.8</v>
      </c>
      <c r="E281" s="74">
        <v>0.8</v>
      </c>
      <c r="F281" s="229" t="s">
        <v>1656</v>
      </c>
    </row>
    <row r="282">
      <c r="A282" s="136" t="s">
        <v>8270</v>
      </c>
      <c r="B282" s="78"/>
      <c r="C282" s="420">
        <v>0.05</v>
      </c>
      <c r="D282" s="179">
        <v>0.69</v>
      </c>
      <c r="E282" s="179">
        <v>0.69</v>
      </c>
      <c r="F282" s="229" t="s">
        <v>1656</v>
      </c>
    </row>
    <row r="283">
      <c r="A283" s="136" t="s">
        <v>8271</v>
      </c>
      <c r="B283" s="37">
        <v>14480.0</v>
      </c>
      <c r="C283" s="420">
        <v>0.05</v>
      </c>
      <c r="D283" s="179">
        <v>0.69</v>
      </c>
      <c r="E283" s="179">
        <v>0.69</v>
      </c>
      <c r="F283" s="229" t="s">
        <v>1656</v>
      </c>
    </row>
    <row r="284">
      <c r="A284" s="136" t="s">
        <v>8272</v>
      </c>
      <c r="B284" s="25">
        <v>7747.0</v>
      </c>
      <c r="C284" s="420">
        <v>0.05</v>
      </c>
      <c r="D284" s="179">
        <v>0.69</v>
      </c>
      <c r="E284" s="179">
        <v>0.69</v>
      </c>
      <c r="F284" s="229" t="s">
        <v>1656</v>
      </c>
    </row>
    <row r="285">
      <c r="A285" s="136" t="s">
        <v>8273</v>
      </c>
      <c r="B285" s="78"/>
      <c r="C285" s="420">
        <v>0.05</v>
      </c>
      <c r="D285" s="179">
        <v>0.69</v>
      </c>
      <c r="E285" s="179">
        <v>0.69</v>
      </c>
      <c r="F285" s="229" t="s">
        <v>1656</v>
      </c>
    </row>
    <row r="286">
      <c r="A286" s="136" t="s">
        <v>8274</v>
      </c>
      <c r="B286" s="25">
        <v>14440.0</v>
      </c>
      <c r="C286" s="420">
        <v>0.05</v>
      </c>
      <c r="D286" s="179">
        <v>0.69</v>
      </c>
      <c r="E286" s="179">
        <v>0.69</v>
      </c>
      <c r="F286" s="229" t="s">
        <v>1656</v>
      </c>
    </row>
    <row r="287">
      <c r="A287" s="136" t="s">
        <v>8275</v>
      </c>
      <c r="B287" s="25">
        <v>6729.0</v>
      </c>
      <c r="C287" s="420">
        <v>0.05</v>
      </c>
      <c r="D287" s="74">
        <v>0.8</v>
      </c>
      <c r="E287" s="74">
        <v>0.8</v>
      </c>
      <c r="F287" s="229" t="s">
        <v>1656</v>
      </c>
    </row>
    <row r="288">
      <c r="A288" s="136" t="s">
        <v>8276</v>
      </c>
      <c r="B288" s="25">
        <v>189.0</v>
      </c>
      <c r="C288" s="420">
        <v>0.05</v>
      </c>
      <c r="D288" s="74">
        <v>0.8</v>
      </c>
      <c r="E288" s="74">
        <v>0.8</v>
      </c>
      <c r="F288" s="229" t="s">
        <v>1656</v>
      </c>
    </row>
    <row r="289">
      <c r="A289" s="136" t="s">
        <v>8277</v>
      </c>
      <c r="B289" s="25">
        <v>14646.0</v>
      </c>
      <c r="C289" s="420">
        <v>0.05</v>
      </c>
      <c r="D289" s="179">
        <v>0.69</v>
      </c>
      <c r="E289" s="179">
        <v>0.69</v>
      </c>
      <c r="F289" s="229" t="s">
        <v>1656</v>
      </c>
    </row>
    <row r="290">
      <c r="A290" s="136" t="s">
        <v>8278</v>
      </c>
      <c r="B290" s="25">
        <v>9307.0</v>
      </c>
      <c r="C290" s="420">
        <v>0.05</v>
      </c>
      <c r="D290" s="179">
        <v>0.69</v>
      </c>
      <c r="E290" s="179">
        <v>0.69</v>
      </c>
      <c r="F290" s="229" t="s">
        <v>1656</v>
      </c>
    </row>
    <row r="291">
      <c r="A291" s="136" t="s">
        <v>8279</v>
      </c>
      <c r="B291" s="25">
        <v>189.0</v>
      </c>
      <c r="C291" s="420">
        <v>0.05</v>
      </c>
      <c r="D291" s="74">
        <v>0.8</v>
      </c>
      <c r="E291" s="74">
        <v>0.8</v>
      </c>
      <c r="F291" s="229" t="s">
        <v>1656</v>
      </c>
    </row>
    <row r="292">
      <c r="A292" s="136" t="s">
        <v>8280</v>
      </c>
      <c r="B292" s="25">
        <v>12609.0</v>
      </c>
      <c r="C292" s="420">
        <v>0.05</v>
      </c>
      <c r="D292" s="179">
        <v>0.69</v>
      </c>
      <c r="E292" s="179">
        <v>0.69</v>
      </c>
      <c r="F292" s="229" t="s">
        <v>1656</v>
      </c>
    </row>
    <row r="293">
      <c r="A293" s="136" t="s">
        <v>8281</v>
      </c>
      <c r="B293" s="78"/>
      <c r="C293" s="420">
        <v>0.05</v>
      </c>
      <c r="D293" s="179">
        <v>0.69</v>
      </c>
      <c r="E293" s="179">
        <v>0.69</v>
      </c>
      <c r="F293" s="229" t="s">
        <v>1656</v>
      </c>
    </row>
    <row r="294">
      <c r="A294" s="136" t="s">
        <v>8282</v>
      </c>
      <c r="B294" s="25">
        <v>7229.0</v>
      </c>
      <c r="C294" s="420">
        <v>0.05</v>
      </c>
      <c r="D294" s="179">
        <v>0.69</v>
      </c>
      <c r="E294" s="179">
        <v>0.69</v>
      </c>
      <c r="F294" s="229" t="s">
        <v>1656</v>
      </c>
    </row>
    <row r="295">
      <c r="A295" s="136" t="s">
        <v>8283</v>
      </c>
      <c r="B295" s="78"/>
      <c r="C295" s="420">
        <v>0.05</v>
      </c>
      <c r="D295" s="179">
        <v>0.69</v>
      </c>
      <c r="E295" s="179">
        <v>0.69</v>
      </c>
      <c r="F295" s="229" t="s">
        <v>1656</v>
      </c>
    </row>
    <row r="296">
      <c r="A296" s="136" t="s">
        <v>8284</v>
      </c>
      <c r="B296" s="78"/>
      <c r="C296" s="420">
        <v>0.05</v>
      </c>
      <c r="D296" s="179">
        <v>0.69</v>
      </c>
      <c r="E296" s="179">
        <v>0.69</v>
      </c>
      <c r="F296" s="229" t="s">
        <v>1656</v>
      </c>
    </row>
    <row r="297">
      <c r="A297" s="136" t="s">
        <v>8285</v>
      </c>
      <c r="B297" s="25">
        <v>189.0</v>
      </c>
      <c r="C297" s="420">
        <v>0.05</v>
      </c>
      <c r="D297" s="74">
        <v>0.8</v>
      </c>
      <c r="E297" s="74">
        <v>0.8</v>
      </c>
      <c r="F297" s="229" t="s">
        <v>1656</v>
      </c>
    </row>
    <row r="298">
      <c r="A298" s="136" t="s">
        <v>8286</v>
      </c>
      <c r="B298" s="25">
        <v>6106.0</v>
      </c>
      <c r="C298" s="420">
        <v>0.05</v>
      </c>
      <c r="D298" s="179">
        <v>0.69</v>
      </c>
      <c r="E298" s="179">
        <v>0.69</v>
      </c>
      <c r="F298" s="229" t="s">
        <v>1656</v>
      </c>
    </row>
    <row r="299">
      <c r="A299" s="136" t="s">
        <v>8287</v>
      </c>
      <c r="B299" s="25">
        <v>189.0</v>
      </c>
      <c r="C299" s="420">
        <v>0.05</v>
      </c>
      <c r="D299" s="74">
        <v>0.8</v>
      </c>
      <c r="E299" s="74">
        <v>0.8</v>
      </c>
      <c r="F299" s="229" t="s">
        <v>1656</v>
      </c>
    </row>
    <row r="300">
      <c r="A300" s="136" t="s">
        <v>8288</v>
      </c>
      <c r="B300" s="25">
        <v>2507.0</v>
      </c>
      <c r="C300" s="420">
        <v>0.05</v>
      </c>
      <c r="D300" s="179">
        <v>0.69</v>
      </c>
      <c r="E300" s="179">
        <v>0.69</v>
      </c>
      <c r="F300" s="229" t="s">
        <v>1656</v>
      </c>
    </row>
    <row r="301">
      <c r="A301" s="136" t="s">
        <v>8289</v>
      </c>
      <c r="B301" s="78"/>
      <c r="C301" s="420">
        <v>0.05</v>
      </c>
      <c r="D301" s="179">
        <v>0.69</v>
      </c>
      <c r="E301" s="179">
        <v>0.69</v>
      </c>
      <c r="F301" s="229" t="s">
        <v>1656</v>
      </c>
    </row>
    <row r="302">
      <c r="A302" s="136" t="s">
        <v>8290</v>
      </c>
      <c r="B302" s="422"/>
      <c r="C302" s="420">
        <v>0.05</v>
      </c>
      <c r="D302" s="179">
        <v>0.69</v>
      </c>
      <c r="E302" s="179">
        <v>0.69</v>
      </c>
      <c r="F302" s="229" t="s">
        <v>1656</v>
      </c>
    </row>
    <row r="303">
      <c r="A303" s="136" t="s">
        <v>8291</v>
      </c>
      <c r="B303" s="25">
        <v>189.0</v>
      </c>
      <c r="C303" s="420">
        <v>0.05</v>
      </c>
      <c r="D303" s="74">
        <v>0.8</v>
      </c>
      <c r="E303" s="74">
        <v>0.8</v>
      </c>
      <c r="F303" s="229" t="s">
        <v>1656</v>
      </c>
    </row>
    <row r="304">
      <c r="A304" s="136" t="s">
        <v>8292</v>
      </c>
      <c r="B304" s="25">
        <v>8486.0</v>
      </c>
      <c r="C304" s="420">
        <v>0.05</v>
      </c>
      <c r="D304" s="74">
        <v>0.8</v>
      </c>
      <c r="E304" s="74">
        <v>0.8</v>
      </c>
      <c r="F304" s="229" t="s">
        <v>1656</v>
      </c>
    </row>
    <row r="305">
      <c r="A305" s="136" t="s">
        <v>8293</v>
      </c>
      <c r="B305" s="25">
        <v>189.0</v>
      </c>
      <c r="C305" s="420">
        <v>0.05</v>
      </c>
      <c r="D305" s="74">
        <v>0.8</v>
      </c>
      <c r="E305" s="74">
        <v>0.8</v>
      </c>
      <c r="F305" s="229" t="s">
        <v>1656</v>
      </c>
    </row>
    <row r="306">
      <c r="A306" s="136" t="s">
        <v>8294</v>
      </c>
      <c r="B306" s="25">
        <v>189.0</v>
      </c>
      <c r="C306" s="420">
        <v>0.05</v>
      </c>
      <c r="D306" s="74">
        <v>0.8</v>
      </c>
      <c r="E306" s="74">
        <v>0.8</v>
      </c>
      <c r="F306" s="229" t="s">
        <v>1656</v>
      </c>
    </row>
    <row r="307">
      <c r="A307" s="136" t="s">
        <v>8295</v>
      </c>
      <c r="B307" s="78"/>
      <c r="C307" s="420">
        <v>0.05</v>
      </c>
      <c r="D307" s="179">
        <v>0.69</v>
      </c>
      <c r="E307" s="179">
        <v>0.69</v>
      </c>
      <c r="F307" s="229" t="s">
        <v>1656</v>
      </c>
    </row>
    <row r="308">
      <c r="A308" s="136" t="s">
        <v>8296</v>
      </c>
      <c r="B308" s="25">
        <v>6785.0</v>
      </c>
      <c r="C308" s="420">
        <v>0.05</v>
      </c>
      <c r="D308" s="179">
        <v>0.69</v>
      </c>
      <c r="E308" s="179">
        <v>0.69</v>
      </c>
      <c r="F308" s="229" t="s">
        <v>1656</v>
      </c>
    </row>
    <row r="309">
      <c r="A309" s="136" t="s">
        <v>8297</v>
      </c>
      <c r="B309" s="78"/>
      <c r="C309" s="420">
        <v>0.05</v>
      </c>
      <c r="D309" s="179">
        <v>0.69</v>
      </c>
      <c r="E309" s="179">
        <v>0.69</v>
      </c>
      <c r="F309" s="229" t="s">
        <v>1656</v>
      </c>
    </row>
    <row r="310">
      <c r="A310" s="136" t="s">
        <v>8298</v>
      </c>
      <c r="B310" s="25">
        <v>6557.0</v>
      </c>
      <c r="C310" s="420">
        <v>0.05</v>
      </c>
      <c r="D310" s="179">
        <v>0.69</v>
      </c>
      <c r="E310" s="179">
        <v>0.69</v>
      </c>
      <c r="F310" s="229" t="s">
        <v>1656</v>
      </c>
    </row>
    <row r="311">
      <c r="A311" s="136" t="s">
        <v>8299</v>
      </c>
      <c r="B311" s="78"/>
      <c r="C311" s="420">
        <v>0.05</v>
      </c>
      <c r="D311" s="179">
        <v>0.69</v>
      </c>
      <c r="E311" s="179">
        <v>0.69</v>
      </c>
      <c r="F311" s="229" t="s">
        <v>1656</v>
      </c>
    </row>
    <row r="312">
      <c r="A312" s="136" t="s">
        <v>8300</v>
      </c>
      <c r="B312" s="25">
        <v>6779.0</v>
      </c>
      <c r="C312" s="420">
        <v>0.05</v>
      </c>
      <c r="D312" s="179">
        <v>0.69</v>
      </c>
      <c r="E312" s="179">
        <v>0.69</v>
      </c>
      <c r="F312" s="229" t="s">
        <v>1656</v>
      </c>
    </row>
    <row r="313">
      <c r="A313" s="136" t="s">
        <v>8301</v>
      </c>
      <c r="B313" s="25">
        <v>6557.0</v>
      </c>
      <c r="C313" s="420">
        <v>0.05</v>
      </c>
      <c r="D313" s="179">
        <v>0.69</v>
      </c>
      <c r="E313" s="179">
        <v>0.69</v>
      </c>
      <c r="F313" s="229" t="s">
        <v>1656</v>
      </c>
    </row>
    <row r="314">
      <c r="A314" s="136" t="s">
        <v>8302</v>
      </c>
      <c r="B314" s="25">
        <v>12553.0</v>
      </c>
      <c r="C314" s="420">
        <v>0.05</v>
      </c>
      <c r="D314" s="179">
        <v>0.69</v>
      </c>
      <c r="E314" s="179">
        <v>0.69</v>
      </c>
      <c r="F314" s="229" t="s">
        <v>1656</v>
      </c>
    </row>
    <row r="315">
      <c r="A315" s="136" t="s">
        <v>8303</v>
      </c>
      <c r="B315" s="78"/>
      <c r="C315" s="420">
        <v>0.05</v>
      </c>
      <c r="D315" s="179">
        <v>0.69</v>
      </c>
      <c r="E315" s="179">
        <v>0.69</v>
      </c>
      <c r="F315" s="229" t="s">
        <v>1656</v>
      </c>
    </row>
    <row r="316">
      <c r="A316" s="136" t="s">
        <v>8304</v>
      </c>
      <c r="B316" s="25">
        <v>6675.0</v>
      </c>
      <c r="C316" s="420">
        <v>0.05</v>
      </c>
      <c r="D316" s="179">
        <v>0.69</v>
      </c>
      <c r="E316" s="179">
        <v>0.69</v>
      </c>
      <c r="F316" s="229" t="s">
        <v>1656</v>
      </c>
    </row>
    <row r="317">
      <c r="A317" s="136" t="s">
        <v>8305</v>
      </c>
      <c r="B317" s="78"/>
      <c r="C317" s="420">
        <v>0.05</v>
      </c>
      <c r="D317" s="179">
        <v>0.69</v>
      </c>
      <c r="E317" s="179">
        <v>0.69</v>
      </c>
      <c r="F317" s="229" t="s">
        <v>1656</v>
      </c>
    </row>
    <row r="318">
      <c r="A318" s="136" t="s">
        <v>8306</v>
      </c>
      <c r="B318" s="78"/>
      <c r="C318" s="420">
        <v>0.05</v>
      </c>
      <c r="D318" s="179">
        <v>0.69</v>
      </c>
      <c r="E318" s="179">
        <v>0.69</v>
      </c>
      <c r="F318" s="229" t="s">
        <v>1656</v>
      </c>
    </row>
    <row r="319">
      <c r="A319" s="136" t="s">
        <v>8307</v>
      </c>
      <c r="B319" s="25">
        <v>7132.0</v>
      </c>
      <c r="C319" s="420">
        <v>0.05</v>
      </c>
      <c r="D319" s="179">
        <v>0.69</v>
      </c>
      <c r="E319" s="179">
        <v>0.69</v>
      </c>
      <c r="F319" s="229" t="s">
        <v>1656</v>
      </c>
    </row>
    <row r="320">
      <c r="A320" s="136" t="s">
        <v>8308</v>
      </c>
      <c r="B320" s="78"/>
      <c r="C320" s="420">
        <v>0.05</v>
      </c>
      <c r="D320" s="179">
        <v>0.69</v>
      </c>
      <c r="E320" s="179">
        <v>0.69</v>
      </c>
      <c r="F320" s="229" t="s">
        <v>1656</v>
      </c>
    </row>
    <row r="321">
      <c r="A321" s="136" t="s">
        <v>8309</v>
      </c>
      <c r="B321" s="78"/>
      <c r="C321" s="420">
        <v>0.05</v>
      </c>
      <c r="D321" s="179">
        <v>0.69</v>
      </c>
      <c r="E321" s="179">
        <v>0.69</v>
      </c>
      <c r="F321" s="229" t="s">
        <v>1656</v>
      </c>
    </row>
    <row r="322">
      <c r="A322" s="136" t="s">
        <v>8310</v>
      </c>
      <c r="B322" s="25">
        <v>9701.0</v>
      </c>
      <c r="C322" s="420">
        <v>0.05</v>
      </c>
      <c r="D322" s="179">
        <v>0.69</v>
      </c>
      <c r="E322" s="179">
        <v>0.69</v>
      </c>
      <c r="F322" s="229" t="s">
        <v>1656</v>
      </c>
    </row>
    <row r="323">
      <c r="A323" s="136" t="s">
        <v>8311</v>
      </c>
      <c r="B323" s="78"/>
      <c r="C323" s="420">
        <v>0.05</v>
      </c>
      <c r="D323" s="179">
        <v>0.69</v>
      </c>
      <c r="E323" s="179">
        <v>0.69</v>
      </c>
      <c r="F323" s="229" t="s">
        <v>1656</v>
      </c>
    </row>
    <row r="324">
      <c r="A324" s="136" t="s">
        <v>8312</v>
      </c>
      <c r="B324" s="78"/>
      <c r="C324" s="420">
        <v>0.05</v>
      </c>
      <c r="D324" s="179">
        <v>0.69</v>
      </c>
      <c r="E324" s="179">
        <v>0.69</v>
      </c>
      <c r="F324" s="229" t="s">
        <v>1656</v>
      </c>
    </row>
    <row r="325">
      <c r="A325" s="136" t="s">
        <v>8313</v>
      </c>
      <c r="B325" s="25">
        <v>7186.0</v>
      </c>
      <c r="C325" s="420">
        <v>0.05</v>
      </c>
      <c r="D325" s="179">
        <v>0.69</v>
      </c>
      <c r="E325" s="179">
        <v>0.69</v>
      </c>
      <c r="F325" s="229" t="s">
        <v>1656</v>
      </c>
    </row>
    <row r="326">
      <c r="A326" s="136" t="s">
        <v>8314</v>
      </c>
      <c r="B326" s="78"/>
      <c r="C326" s="420">
        <v>0.05</v>
      </c>
      <c r="D326" s="179">
        <v>0.69</v>
      </c>
      <c r="E326" s="179">
        <v>0.69</v>
      </c>
      <c r="F326" s="229" t="s">
        <v>1656</v>
      </c>
    </row>
    <row r="327">
      <c r="A327" s="136" t="s">
        <v>8315</v>
      </c>
      <c r="B327" s="25">
        <v>13829.0</v>
      </c>
      <c r="C327" s="420">
        <v>0.05</v>
      </c>
      <c r="D327" s="179">
        <v>0.69</v>
      </c>
      <c r="E327" s="179">
        <v>0.69</v>
      </c>
      <c r="F327" s="229" t="s">
        <v>1656</v>
      </c>
    </row>
    <row r="328">
      <c r="A328" s="136" t="s">
        <v>8316</v>
      </c>
      <c r="B328" s="78"/>
      <c r="C328" s="420">
        <v>0.05</v>
      </c>
      <c r="D328" s="179">
        <v>0.69</v>
      </c>
      <c r="E328" s="179">
        <v>0.69</v>
      </c>
      <c r="F328" s="229" t="s">
        <v>1656</v>
      </c>
    </row>
    <row r="329">
      <c r="A329" s="136" t="s">
        <v>8317</v>
      </c>
      <c r="B329" s="78"/>
      <c r="C329" s="420">
        <v>0.05</v>
      </c>
      <c r="D329" s="179">
        <v>0.69</v>
      </c>
      <c r="E329" s="179">
        <v>0.69</v>
      </c>
      <c r="F329" s="229" t="s">
        <v>1656</v>
      </c>
    </row>
    <row r="330">
      <c r="A330" s="136" t="s">
        <v>8318</v>
      </c>
      <c r="B330" s="78"/>
      <c r="C330" s="420">
        <v>0.05</v>
      </c>
      <c r="D330" s="179">
        <v>0.69</v>
      </c>
      <c r="E330" s="179">
        <v>0.69</v>
      </c>
      <c r="F330" s="229" t="s">
        <v>1656</v>
      </c>
    </row>
    <row r="331">
      <c r="A331" s="136" t="s">
        <v>8319</v>
      </c>
      <c r="B331" s="25">
        <v>10393.0</v>
      </c>
      <c r="C331" s="420">
        <v>0.05</v>
      </c>
      <c r="D331" s="179">
        <v>0.69</v>
      </c>
      <c r="E331" s="179">
        <v>0.69</v>
      </c>
      <c r="F331" s="229" t="s">
        <v>1656</v>
      </c>
    </row>
    <row r="332">
      <c r="A332" s="136" t="s">
        <v>8320</v>
      </c>
      <c r="B332" s="25">
        <v>14580.0</v>
      </c>
      <c r="C332" s="420">
        <v>0.05</v>
      </c>
      <c r="D332" s="179">
        <v>0.69</v>
      </c>
      <c r="E332" s="179">
        <v>0.69</v>
      </c>
      <c r="F332" s="229" t="s">
        <v>1656</v>
      </c>
    </row>
    <row r="333">
      <c r="A333" s="136" t="s">
        <v>8321</v>
      </c>
      <c r="B333" s="78"/>
      <c r="C333" s="420">
        <v>0.05</v>
      </c>
      <c r="D333" s="179">
        <v>0.69</v>
      </c>
      <c r="E333" s="179">
        <v>0.69</v>
      </c>
      <c r="F333" s="229" t="s">
        <v>1656</v>
      </c>
    </row>
    <row r="334">
      <c r="A334" s="136" t="s">
        <v>8322</v>
      </c>
      <c r="B334" s="78"/>
      <c r="C334" s="420">
        <v>0.05</v>
      </c>
      <c r="D334" s="179">
        <v>0.69</v>
      </c>
      <c r="E334" s="179">
        <v>0.69</v>
      </c>
      <c r="F334" s="229" t="s">
        <v>1656</v>
      </c>
    </row>
    <row r="335">
      <c r="A335" s="136" t="s">
        <v>8323</v>
      </c>
      <c r="B335" s="78"/>
      <c r="C335" s="420">
        <v>0.05</v>
      </c>
      <c r="D335" s="179">
        <v>0.69</v>
      </c>
      <c r="E335" s="179">
        <v>0.69</v>
      </c>
      <c r="F335" s="229" t="s">
        <v>1656</v>
      </c>
    </row>
    <row r="336">
      <c r="A336" s="136" t="s">
        <v>8324</v>
      </c>
      <c r="B336" s="25">
        <v>14580.0</v>
      </c>
      <c r="C336" s="420">
        <v>0.05</v>
      </c>
      <c r="D336" s="179">
        <v>0.69</v>
      </c>
      <c r="E336" s="179">
        <v>0.69</v>
      </c>
      <c r="F336" s="229" t="s">
        <v>1656</v>
      </c>
    </row>
    <row r="337">
      <c r="A337" s="136" t="s">
        <v>8325</v>
      </c>
      <c r="B337" s="78"/>
      <c r="C337" s="420">
        <v>0.05</v>
      </c>
      <c r="D337" s="179">
        <v>0.69</v>
      </c>
      <c r="E337" s="179">
        <v>0.69</v>
      </c>
      <c r="F337" s="229" t="s">
        <v>1656</v>
      </c>
    </row>
    <row r="338">
      <c r="A338" s="136" t="s">
        <v>8326</v>
      </c>
      <c r="B338" s="78"/>
      <c r="C338" s="420">
        <v>0.05</v>
      </c>
      <c r="D338" s="179">
        <v>0.69</v>
      </c>
      <c r="E338" s="179">
        <v>0.69</v>
      </c>
      <c r="F338" s="229" t="s">
        <v>1656</v>
      </c>
    </row>
    <row r="339">
      <c r="A339" s="136" t="s">
        <v>8327</v>
      </c>
      <c r="B339" s="25">
        <v>6989.0</v>
      </c>
      <c r="C339" s="420">
        <v>0.05</v>
      </c>
      <c r="D339" s="179">
        <v>0.69</v>
      </c>
      <c r="E339" s="179">
        <v>0.69</v>
      </c>
      <c r="F339" s="229" t="s">
        <v>1656</v>
      </c>
    </row>
    <row r="340">
      <c r="A340" s="136" t="s">
        <v>8328</v>
      </c>
      <c r="B340" s="78"/>
      <c r="C340" s="420">
        <v>0.05</v>
      </c>
      <c r="D340" s="179">
        <v>0.69</v>
      </c>
      <c r="E340" s="179">
        <v>0.69</v>
      </c>
      <c r="F340" s="229" t="s">
        <v>1656</v>
      </c>
    </row>
    <row r="341">
      <c r="A341" s="136" t="s">
        <v>8329</v>
      </c>
      <c r="B341" s="25">
        <v>6728.0</v>
      </c>
      <c r="C341" s="420">
        <v>0.05</v>
      </c>
      <c r="D341" s="179">
        <v>0.69</v>
      </c>
      <c r="E341" s="179">
        <v>0.69</v>
      </c>
      <c r="F341" s="229" t="s">
        <v>1656</v>
      </c>
    </row>
    <row r="342">
      <c r="A342" s="136" t="s">
        <v>8330</v>
      </c>
      <c r="B342" s="78"/>
      <c r="C342" s="420">
        <v>0.05</v>
      </c>
      <c r="D342" s="179">
        <v>0.69</v>
      </c>
      <c r="E342" s="179">
        <v>0.69</v>
      </c>
      <c r="F342" s="229" t="s">
        <v>1656</v>
      </c>
    </row>
    <row r="343">
      <c r="A343" s="136" t="s">
        <v>8331</v>
      </c>
      <c r="B343" s="78"/>
      <c r="C343" s="420">
        <v>0.05</v>
      </c>
      <c r="D343" s="179">
        <v>0.69</v>
      </c>
      <c r="E343" s="179">
        <v>0.69</v>
      </c>
      <c r="F343" s="229" t="s">
        <v>1656</v>
      </c>
    </row>
    <row r="344">
      <c r="A344" s="136" t="s">
        <v>8332</v>
      </c>
      <c r="B344" s="78"/>
      <c r="C344" s="420">
        <v>0.05</v>
      </c>
      <c r="D344" s="179">
        <v>0.69</v>
      </c>
      <c r="E344" s="179">
        <v>0.69</v>
      </c>
      <c r="F344" s="229" t="s">
        <v>1656</v>
      </c>
    </row>
    <row r="345">
      <c r="A345" s="136" t="s">
        <v>8333</v>
      </c>
      <c r="B345" s="25">
        <v>663.0</v>
      </c>
      <c r="C345" s="420">
        <v>0.05</v>
      </c>
      <c r="D345" s="179">
        <v>0.69</v>
      </c>
      <c r="E345" s="179">
        <v>0.69</v>
      </c>
      <c r="F345" s="229" t="s">
        <v>1656</v>
      </c>
    </row>
    <row r="346">
      <c r="A346" s="136" t="s">
        <v>8334</v>
      </c>
      <c r="B346" s="78"/>
      <c r="C346" s="420">
        <v>0.05</v>
      </c>
      <c r="D346" s="179">
        <v>0.69</v>
      </c>
      <c r="E346" s="179">
        <v>0.69</v>
      </c>
      <c r="F346" s="229" t="s">
        <v>1656</v>
      </c>
    </row>
    <row r="347">
      <c r="A347" s="136" t="s">
        <v>8335</v>
      </c>
      <c r="B347" s="78"/>
      <c r="C347" s="420">
        <v>0.05</v>
      </c>
      <c r="D347" s="179">
        <v>0.69</v>
      </c>
      <c r="E347" s="179">
        <v>0.69</v>
      </c>
      <c r="F347" s="229" t="s">
        <v>1656</v>
      </c>
    </row>
    <row r="348">
      <c r="A348" s="136" t="s">
        <v>8336</v>
      </c>
      <c r="B348" s="78"/>
      <c r="C348" s="420">
        <v>0.05</v>
      </c>
      <c r="D348" s="179">
        <v>0.69</v>
      </c>
      <c r="E348" s="179">
        <v>0.69</v>
      </c>
      <c r="F348" s="229" t="s">
        <v>1656</v>
      </c>
    </row>
    <row r="349">
      <c r="A349" s="136" t="s">
        <v>8337</v>
      </c>
      <c r="B349" s="25">
        <v>315.0</v>
      </c>
      <c r="C349" s="420">
        <v>0.05</v>
      </c>
      <c r="D349" s="179">
        <v>0.69</v>
      </c>
      <c r="E349" s="179">
        <v>0.69</v>
      </c>
      <c r="F349" s="229" t="s">
        <v>1656</v>
      </c>
    </row>
    <row r="350">
      <c r="A350" s="136" t="s">
        <v>8338</v>
      </c>
      <c r="B350" s="78"/>
      <c r="C350" s="420">
        <v>0.05</v>
      </c>
      <c r="D350" s="179">
        <v>0.69</v>
      </c>
      <c r="E350" s="179">
        <v>0.69</v>
      </c>
      <c r="F350" s="229" t="s">
        <v>1656</v>
      </c>
    </row>
    <row r="351">
      <c r="A351" s="136" t="s">
        <v>8339</v>
      </c>
      <c r="B351" s="78"/>
      <c r="C351" s="420">
        <v>0.05</v>
      </c>
      <c r="D351" s="179">
        <v>0.69</v>
      </c>
      <c r="E351" s="179">
        <v>0.69</v>
      </c>
      <c r="F351" s="229" t="s">
        <v>1656</v>
      </c>
    </row>
    <row r="352">
      <c r="A352" s="136" t="s">
        <v>8340</v>
      </c>
      <c r="B352" s="78"/>
      <c r="C352" s="420">
        <v>0.05</v>
      </c>
      <c r="D352" s="179">
        <v>0.69</v>
      </c>
      <c r="E352" s="179">
        <v>0.69</v>
      </c>
      <c r="F352" s="229" t="s">
        <v>1656</v>
      </c>
    </row>
    <row r="353">
      <c r="A353" s="136" t="s">
        <v>8341</v>
      </c>
      <c r="B353" s="25">
        <v>6143.0</v>
      </c>
      <c r="C353" s="420">
        <v>0.05</v>
      </c>
      <c r="D353" s="74">
        <v>0.8</v>
      </c>
      <c r="E353" s="74">
        <v>0.8</v>
      </c>
      <c r="F353" s="229" t="s">
        <v>1656</v>
      </c>
    </row>
    <row r="354">
      <c r="A354" s="136" t="s">
        <v>8342</v>
      </c>
      <c r="B354" s="78"/>
      <c r="C354" s="420">
        <v>0.05</v>
      </c>
      <c r="D354" s="179">
        <v>0.69</v>
      </c>
      <c r="E354" s="179">
        <v>0.69</v>
      </c>
      <c r="F354" s="229" t="s">
        <v>1656</v>
      </c>
    </row>
    <row r="355">
      <c r="A355" s="136" t="s">
        <v>8343</v>
      </c>
      <c r="B355" s="78"/>
      <c r="C355" s="420">
        <v>0.05</v>
      </c>
      <c r="D355" s="179">
        <v>0.69</v>
      </c>
      <c r="E355" s="179">
        <v>0.69</v>
      </c>
      <c r="F355" s="229" t="s">
        <v>1656</v>
      </c>
    </row>
    <row r="356">
      <c r="A356" s="136" t="s">
        <v>8344</v>
      </c>
      <c r="B356" s="78"/>
      <c r="C356" s="420">
        <v>0.05</v>
      </c>
      <c r="D356" s="179">
        <v>0.69</v>
      </c>
      <c r="E356" s="179">
        <v>0.69</v>
      </c>
      <c r="F356" s="229" t="s">
        <v>1656</v>
      </c>
    </row>
    <row r="357">
      <c r="A357" s="136" t="s">
        <v>8345</v>
      </c>
      <c r="B357" s="25">
        <v>7092.0</v>
      </c>
      <c r="C357" s="420">
        <v>0.05</v>
      </c>
      <c r="D357" s="179">
        <v>0.69</v>
      </c>
      <c r="E357" s="179">
        <v>0.69</v>
      </c>
      <c r="F357" s="229" t="s">
        <v>1656</v>
      </c>
    </row>
    <row r="358">
      <c r="A358" s="136" t="s">
        <v>8346</v>
      </c>
      <c r="B358" s="78"/>
      <c r="C358" s="420">
        <v>0.05</v>
      </c>
      <c r="D358" s="179">
        <v>0.69</v>
      </c>
      <c r="E358" s="179">
        <v>0.69</v>
      </c>
      <c r="F358" s="229" t="s">
        <v>1656</v>
      </c>
    </row>
    <row r="359">
      <c r="A359" s="136" t="s">
        <v>8347</v>
      </c>
      <c r="B359" s="25">
        <v>12078.0</v>
      </c>
      <c r="C359" s="420">
        <v>0.05</v>
      </c>
      <c r="D359" s="179">
        <v>0.69</v>
      </c>
      <c r="E359" s="179">
        <v>0.69</v>
      </c>
      <c r="F359" s="229" t="s">
        <v>1656</v>
      </c>
    </row>
    <row r="360">
      <c r="A360" s="136" t="s">
        <v>8348</v>
      </c>
      <c r="B360" s="25">
        <v>6668.0</v>
      </c>
      <c r="C360" s="420">
        <v>0.05</v>
      </c>
      <c r="D360" s="179">
        <v>0.69</v>
      </c>
      <c r="E360" s="179">
        <v>0.69</v>
      </c>
      <c r="F360" s="229" t="s">
        <v>1656</v>
      </c>
    </row>
    <row r="361">
      <c r="A361" s="136" t="s">
        <v>8349</v>
      </c>
      <c r="B361" s="78"/>
      <c r="C361" s="420">
        <v>0.05</v>
      </c>
      <c r="D361" s="179">
        <v>0.69</v>
      </c>
      <c r="E361" s="179">
        <v>0.69</v>
      </c>
      <c r="F361" s="229" t="s">
        <v>1656</v>
      </c>
    </row>
    <row r="362">
      <c r="A362" s="136" t="s">
        <v>8350</v>
      </c>
      <c r="B362" s="78"/>
      <c r="C362" s="420">
        <v>0.05</v>
      </c>
      <c r="D362" s="179">
        <v>0.69</v>
      </c>
      <c r="E362" s="179">
        <v>0.69</v>
      </c>
      <c r="F362" s="229" t="s">
        <v>1656</v>
      </c>
    </row>
    <row r="363">
      <c r="A363" s="136" t="s">
        <v>8351</v>
      </c>
      <c r="B363" s="25">
        <v>6668.0</v>
      </c>
      <c r="C363" s="420">
        <v>0.05</v>
      </c>
      <c r="D363" s="179">
        <v>0.69</v>
      </c>
      <c r="E363" s="179">
        <v>0.69</v>
      </c>
      <c r="F363" s="229" t="s">
        <v>1656</v>
      </c>
    </row>
    <row r="364">
      <c r="A364" s="136" t="s">
        <v>8352</v>
      </c>
      <c r="B364" s="25">
        <v>7040.0</v>
      </c>
      <c r="C364" s="420">
        <v>0.05</v>
      </c>
      <c r="D364" s="179">
        <v>0.69</v>
      </c>
      <c r="E364" s="179">
        <v>0.69</v>
      </c>
      <c r="F364" s="229" t="s">
        <v>1656</v>
      </c>
    </row>
    <row r="365">
      <c r="A365" s="136" t="s">
        <v>8353</v>
      </c>
      <c r="B365" s="78"/>
      <c r="C365" s="420">
        <v>0.05</v>
      </c>
      <c r="D365" s="179">
        <v>0.69</v>
      </c>
      <c r="E365" s="179">
        <v>0.69</v>
      </c>
      <c r="F365" s="229" t="s">
        <v>1656</v>
      </c>
    </row>
    <row r="366">
      <c r="A366" s="136" t="s">
        <v>8354</v>
      </c>
      <c r="B366" s="25">
        <v>6107.0</v>
      </c>
      <c r="C366" s="420">
        <v>0.05</v>
      </c>
      <c r="D366" s="179">
        <v>0.69</v>
      </c>
      <c r="E366" s="179">
        <v>0.69</v>
      </c>
      <c r="F366" s="229" t="s">
        <v>1656</v>
      </c>
    </row>
    <row r="367">
      <c r="A367" s="136" t="s">
        <v>8355</v>
      </c>
      <c r="B367" s="78"/>
      <c r="C367" s="420">
        <v>0.05</v>
      </c>
      <c r="D367" s="179">
        <v>0.69</v>
      </c>
      <c r="E367" s="179">
        <v>0.69</v>
      </c>
      <c r="F367" s="229" t="s">
        <v>1656</v>
      </c>
    </row>
    <row r="368">
      <c r="A368" s="136" t="s">
        <v>8356</v>
      </c>
      <c r="B368" s="78"/>
      <c r="C368" s="420">
        <v>0.05</v>
      </c>
      <c r="D368" s="179">
        <v>0.69</v>
      </c>
      <c r="E368" s="179">
        <v>0.69</v>
      </c>
      <c r="F368" s="229" t="s">
        <v>1656</v>
      </c>
    </row>
    <row r="369">
      <c r="A369" s="136" t="s">
        <v>8357</v>
      </c>
      <c r="B369" s="25">
        <v>13951.0</v>
      </c>
      <c r="C369" s="420">
        <v>0.05</v>
      </c>
      <c r="D369" s="179">
        <v>0.69</v>
      </c>
      <c r="E369" s="179">
        <v>0.69</v>
      </c>
      <c r="F369" s="229" t="s">
        <v>1656</v>
      </c>
    </row>
    <row r="370">
      <c r="A370" s="136" t="s">
        <v>8358</v>
      </c>
      <c r="B370" s="25">
        <v>14055.0</v>
      </c>
      <c r="C370" s="420">
        <v>0.05</v>
      </c>
      <c r="D370" s="179">
        <v>0.69</v>
      </c>
      <c r="E370" s="179">
        <v>0.69</v>
      </c>
      <c r="F370" s="229" t="s">
        <v>1656</v>
      </c>
    </row>
    <row r="371">
      <c r="A371" s="136" t="s">
        <v>8359</v>
      </c>
      <c r="B371" s="78"/>
      <c r="C371" s="420">
        <v>0.05</v>
      </c>
      <c r="D371" s="179">
        <v>0.69</v>
      </c>
      <c r="E371" s="179">
        <v>0.69</v>
      </c>
      <c r="F371" s="229" t="s">
        <v>1656</v>
      </c>
    </row>
    <row r="372">
      <c r="A372" s="136" t="s">
        <v>8360</v>
      </c>
      <c r="B372" s="78"/>
      <c r="C372" s="420">
        <v>0.05</v>
      </c>
      <c r="D372" s="179">
        <v>0.69</v>
      </c>
      <c r="E372" s="179">
        <v>0.69</v>
      </c>
      <c r="F372" s="229" t="s">
        <v>1656</v>
      </c>
    </row>
    <row r="373">
      <c r="A373" s="136" t="s">
        <v>8361</v>
      </c>
      <c r="B373" s="78"/>
      <c r="C373" s="420">
        <v>0.05</v>
      </c>
      <c r="D373" s="179">
        <v>0.69</v>
      </c>
      <c r="E373" s="179">
        <v>0.69</v>
      </c>
      <c r="F373" s="229" t="s">
        <v>1656</v>
      </c>
    </row>
    <row r="374">
      <c r="A374" s="136" t="s">
        <v>8362</v>
      </c>
      <c r="B374" s="78"/>
      <c r="C374" s="420">
        <v>0.05</v>
      </c>
      <c r="D374" s="179">
        <v>0.69</v>
      </c>
      <c r="E374" s="179">
        <v>0.69</v>
      </c>
      <c r="F374" s="229" t="s">
        <v>1656</v>
      </c>
    </row>
    <row r="375">
      <c r="A375" s="136" t="s">
        <v>8363</v>
      </c>
      <c r="B375" s="25">
        <v>14659.0</v>
      </c>
      <c r="C375" s="420">
        <v>0.05</v>
      </c>
      <c r="D375" s="179">
        <v>0.69</v>
      </c>
      <c r="E375" s="179">
        <v>0.69</v>
      </c>
      <c r="F375" s="229" t="s">
        <v>1656</v>
      </c>
    </row>
    <row r="376">
      <c r="A376" s="136" t="s">
        <v>8364</v>
      </c>
      <c r="B376" s="78"/>
      <c r="C376" s="420">
        <v>0.05</v>
      </c>
      <c r="D376" s="179">
        <v>0.69</v>
      </c>
      <c r="E376" s="179">
        <v>0.69</v>
      </c>
      <c r="F376" s="229" t="s">
        <v>1656</v>
      </c>
    </row>
    <row r="377">
      <c r="A377" s="136" t="s">
        <v>8365</v>
      </c>
      <c r="B377" s="78"/>
      <c r="C377" s="420">
        <v>0.05</v>
      </c>
      <c r="D377" s="179">
        <v>0.69</v>
      </c>
      <c r="E377" s="179">
        <v>0.69</v>
      </c>
      <c r="F377" s="229" t="s">
        <v>1656</v>
      </c>
    </row>
    <row r="378">
      <c r="A378" s="136" t="s">
        <v>8366</v>
      </c>
      <c r="B378" s="78"/>
      <c r="C378" s="420">
        <v>0.05</v>
      </c>
      <c r="D378" s="179">
        <v>0.69</v>
      </c>
      <c r="E378" s="179">
        <v>0.69</v>
      </c>
      <c r="F378" s="229" t="s">
        <v>1656</v>
      </c>
    </row>
    <row r="379">
      <c r="A379" s="136" t="s">
        <v>8367</v>
      </c>
      <c r="B379" s="25">
        <v>10923.0</v>
      </c>
      <c r="C379" s="420">
        <v>0.05</v>
      </c>
      <c r="D379" s="179">
        <v>0.69</v>
      </c>
      <c r="E379" s="179">
        <v>0.69</v>
      </c>
      <c r="F379" s="229" t="s">
        <v>1656</v>
      </c>
    </row>
    <row r="380">
      <c r="A380" s="136" t="s">
        <v>8368</v>
      </c>
      <c r="B380" s="78"/>
      <c r="C380" s="420">
        <v>0.05</v>
      </c>
      <c r="D380" s="179">
        <v>0.69</v>
      </c>
      <c r="E380" s="179">
        <v>0.69</v>
      </c>
      <c r="F380" s="229" t="s">
        <v>1656</v>
      </c>
    </row>
    <row r="381">
      <c r="A381" s="136" t="s">
        <v>8369</v>
      </c>
      <c r="B381" s="78"/>
      <c r="C381" s="420">
        <v>0.05</v>
      </c>
      <c r="D381" s="179">
        <v>0.69</v>
      </c>
      <c r="E381" s="179">
        <v>0.69</v>
      </c>
      <c r="F381" s="229" t="s">
        <v>1656</v>
      </c>
    </row>
    <row r="382">
      <c r="A382" s="136" t="s">
        <v>8370</v>
      </c>
      <c r="B382" s="78"/>
      <c r="C382" s="420">
        <v>0.05</v>
      </c>
      <c r="D382" s="179">
        <v>0.69</v>
      </c>
      <c r="E382" s="179">
        <v>0.69</v>
      </c>
      <c r="F382" s="229" t="s">
        <v>1656</v>
      </c>
    </row>
    <row r="383">
      <c r="A383" s="136" t="s">
        <v>8371</v>
      </c>
      <c r="B383" s="78"/>
      <c r="C383" s="420">
        <v>0.05</v>
      </c>
      <c r="D383" s="179">
        <v>0.69</v>
      </c>
      <c r="E383" s="179">
        <v>0.69</v>
      </c>
      <c r="F383" s="229" t="s">
        <v>1656</v>
      </c>
    </row>
    <row r="384">
      <c r="A384" s="136" t="s">
        <v>8372</v>
      </c>
      <c r="B384" s="25">
        <v>14575.0</v>
      </c>
      <c r="C384" s="420">
        <v>0.05</v>
      </c>
      <c r="D384" s="74">
        <v>0.85</v>
      </c>
      <c r="E384" s="74">
        <v>0.85</v>
      </c>
      <c r="F384" s="229" t="s">
        <v>1656</v>
      </c>
    </row>
    <row r="385">
      <c r="A385" s="136" t="s">
        <v>8373</v>
      </c>
      <c r="B385" s="25">
        <v>11601.0</v>
      </c>
      <c r="C385" s="420">
        <v>0.05</v>
      </c>
      <c r="D385" s="179">
        <v>0.69</v>
      </c>
      <c r="E385" s="179">
        <v>0.69</v>
      </c>
      <c r="F385" s="229" t="s">
        <v>1656</v>
      </c>
    </row>
    <row r="386">
      <c r="A386" s="136" t="s">
        <v>8374</v>
      </c>
      <c r="B386" s="25">
        <v>189.0</v>
      </c>
      <c r="C386" s="420">
        <v>0.05</v>
      </c>
      <c r="D386" s="74">
        <v>0.8</v>
      </c>
      <c r="E386" s="74">
        <v>0.8</v>
      </c>
      <c r="F386" s="229" t="s">
        <v>1656</v>
      </c>
    </row>
    <row r="387">
      <c r="A387" s="136" t="s">
        <v>8375</v>
      </c>
      <c r="B387" s="78"/>
      <c r="C387" s="420">
        <v>0.05</v>
      </c>
      <c r="D387" s="179">
        <v>0.69</v>
      </c>
      <c r="E387" s="179">
        <v>0.69</v>
      </c>
      <c r="F387" s="229" t="s">
        <v>1656</v>
      </c>
    </row>
    <row r="388">
      <c r="A388" s="136" t="s">
        <v>8376</v>
      </c>
      <c r="B388" s="25">
        <v>11875.0</v>
      </c>
      <c r="C388" s="420">
        <v>0.05</v>
      </c>
      <c r="D388" s="179">
        <v>0.69</v>
      </c>
      <c r="E388" s="179">
        <v>0.69</v>
      </c>
      <c r="F388" s="229" t="s">
        <v>1656</v>
      </c>
    </row>
    <row r="389">
      <c r="A389" s="136" t="s">
        <v>8377</v>
      </c>
      <c r="B389" s="78"/>
      <c r="C389" s="420">
        <v>0.05</v>
      </c>
      <c r="D389" s="179">
        <v>0.69</v>
      </c>
      <c r="E389" s="179">
        <v>0.69</v>
      </c>
      <c r="F389" s="229" t="s">
        <v>1656</v>
      </c>
    </row>
    <row r="390">
      <c r="A390" s="136" t="s">
        <v>8378</v>
      </c>
      <c r="B390" s="78"/>
      <c r="C390" s="420">
        <v>0.05</v>
      </c>
      <c r="D390" s="179">
        <v>0.69</v>
      </c>
      <c r="E390" s="179">
        <v>0.69</v>
      </c>
      <c r="F390" s="229" t="s">
        <v>1656</v>
      </c>
    </row>
    <row r="391">
      <c r="A391" s="136" t="s">
        <v>8379</v>
      </c>
      <c r="B391" s="78"/>
      <c r="C391" s="420">
        <v>0.05</v>
      </c>
      <c r="D391" s="179">
        <v>0.69</v>
      </c>
      <c r="E391" s="179">
        <v>0.69</v>
      </c>
      <c r="F391" s="229" t="s">
        <v>1656</v>
      </c>
    </row>
    <row r="392">
      <c r="A392" s="136" t="s">
        <v>8380</v>
      </c>
      <c r="B392" s="78"/>
      <c r="C392" s="420">
        <v>0.05</v>
      </c>
      <c r="D392" s="179">
        <v>0.69</v>
      </c>
      <c r="E392" s="179">
        <v>0.69</v>
      </c>
      <c r="F392" s="229" t="s">
        <v>1656</v>
      </c>
    </row>
    <row r="393">
      <c r="A393" s="136" t="s">
        <v>8381</v>
      </c>
      <c r="B393" s="25">
        <v>189.0</v>
      </c>
      <c r="C393" s="420">
        <v>0.05</v>
      </c>
      <c r="D393" s="74">
        <v>0.8</v>
      </c>
      <c r="E393" s="74">
        <v>0.8</v>
      </c>
      <c r="F393" s="229" t="s">
        <v>1656</v>
      </c>
    </row>
    <row r="394">
      <c r="A394" s="136" t="s">
        <v>8382</v>
      </c>
      <c r="B394" s="78"/>
      <c r="C394" s="420">
        <v>0.05</v>
      </c>
      <c r="D394" s="179">
        <v>0.69</v>
      </c>
      <c r="E394" s="179">
        <v>0.69</v>
      </c>
      <c r="F394" s="229" t="s">
        <v>1656</v>
      </c>
    </row>
    <row r="395">
      <c r="A395" s="136" t="s">
        <v>8383</v>
      </c>
      <c r="B395" s="78"/>
      <c r="C395" s="420">
        <v>0.05</v>
      </c>
      <c r="D395" s="179">
        <v>0.69</v>
      </c>
      <c r="E395" s="179">
        <v>0.69</v>
      </c>
      <c r="F395" s="229" t="s">
        <v>1656</v>
      </c>
    </row>
    <row r="396">
      <c r="A396" s="136" t="s">
        <v>8384</v>
      </c>
      <c r="B396" s="78"/>
      <c r="C396" s="420">
        <v>0.05</v>
      </c>
      <c r="D396" s="179">
        <v>0.69</v>
      </c>
      <c r="E396" s="179">
        <v>0.69</v>
      </c>
      <c r="F396" s="229" t="s">
        <v>1656</v>
      </c>
    </row>
    <row r="397">
      <c r="A397" s="136" t="s">
        <v>8385</v>
      </c>
      <c r="B397" s="25">
        <v>12301.0</v>
      </c>
      <c r="C397" s="420">
        <v>0.05</v>
      </c>
      <c r="D397" s="179">
        <v>0.69</v>
      </c>
      <c r="E397" s="179">
        <v>0.69</v>
      </c>
      <c r="F397" s="229" t="s">
        <v>1656</v>
      </c>
    </row>
    <row r="398">
      <c r="A398" s="136" t="s">
        <v>8386</v>
      </c>
      <c r="B398" s="78"/>
      <c r="C398" s="420">
        <v>0.05</v>
      </c>
      <c r="D398" s="179">
        <v>0.69</v>
      </c>
      <c r="E398" s="179">
        <v>0.69</v>
      </c>
      <c r="F398" s="229" t="s">
        <v>1656</v>
      </c>
    </row>
    <row r="399">
      <c r="A399" s="136" t="s">
        <v>8387</v>
      </c>
      <c r="B399" s="25">
        <v>189.0</v>
      </c>
      <c r="C399" s="420">
        <v>0.05</v>
      </c>
      <c r="D399" s="74">
        <v>0.8</v>
      </c>
      <c r="E399" s="74">
        <v>0.8</v>
      </c>
      <c r="F399" s="229" t="s">
        <v>1656</v>
      </c>
    </row>
    <row r="400">
      <c r="A400" s="136" t="s">
        <v>8388</v>
      </c>
      <c r="B400" s="78"/>
      <c r="C400" s="420">
        <v>0.05</v>
      </c>
      <c r="D400" s="179">
        <v>0.69</v>
      </c>
      <c r="E400" s="179">
        <v>0.69</v>
      </c>
      <c r="F400" s="229" t="s">
        <v>1656</v>
      </c>
    </row>
    <row r="401">
      <c r="A401" s="136" t="s">
        <v>8389</v>
      </c>
      <c r="B401" s="78"/>
      <c r="C401" s="420">
        <v>0.05</v>
      </c>
      <c r="D401" s="179">
        <v>0.69</v>
      </c>
      <c r="E401" s="179">
        <v>0.69</v>
      </c>
      <c r="F401" s="229" t="s">
        <v>1656</v>
      </c>
    </row>
    <row r="402">
      <c r="A402" s="136" t="s">
        <v>8390</v>
      </c>
      <c r="B402" s="78"/>
      <c r="C402" s="420">
        <v>0.05</v>
      </c>
      <c r="D402" s="179">
        <v>0.69</v>
      </c>
      <c r="E402" s="179">
        <v>0.69</v>
      </c>
      <c r="F402" s="229" t="s">
        <v>1656</v>
      </c>
    </row>
    <row r="403">
      <c r="A403" s="136" t="s">
        <v>8391</v>
      </c>
      <c r="B403" s="78"/>
      <c r="C403" s="420">
        <v>0.05</v>
      </c>
      <c r="D403" s="179">
        <v>0.69</v>
      </c>
      <c r="E403" s="179">
        <v>0.69</v>
      </c>
      <c r="F403" s="229" t="s">
        <v>1656</v>
      </c>
    </row>
    <row r="404">
      <c r="A404" s="136" t="s">
        <v>8392</v>
      </c>
      <c r="B404" s="78"/>
      <c r="C404" s="420">
        <v>0.05</v>
      </c>
      <c r="D404" s="179">
        <v>0.69</v>
      </c>
      <c r="E404" s="179">
        <v>0.69</v>
      </c>
      <c r="F404" s="229" t="s">
        <v>1656</v>
      </c>
    </row>
    <row r="405">
      <c r="A405" s="136" t="s">
        <v>8393</v>
      </c>
      <c r="B405" s="78"/>
      <c r="C405" s="420">
        <v>0.05</v>
      </c>
      <c r="D405" s="179">
        <v>0.69</v>
      </c>
      <c r="E405" s="179">
        <v>0.69</v>
      </c>
      <c r="F405" s="229" t="s">
        <v>1656</v>
      </c>
    </row>
    <row r="406">
      <c r="A406" s="136" t="s">
        <v>8394</v>
      </c>
      <c r="B406" s="78"/>
      <c r="C406" s="420">
        <v>0.05</v>
      </c>
      <c r="D406" s="179">
        <v>0.69</v>
      </c>
      <c r="E406" s="179">
        <v>0.69</v>
      </c>
      <c r="F406" s="229" t="s">
        <v>1656</v>
      </c>
    </row>
    <row r="407">
      <c r="A407" s="136" t="s">
        <v>8395</v>
      </c>
      <c r="B407" s="78"/>
      <c r="C407" s="420">
        <v>0.05</v>
      </c>
      <c r="D407" s="179">
        <v>0.69</v>
      </c>
      <c r="E407" s="179">
        <v>0.69</v>
      </c>
      <c r="F407" s="229" t="s">
        <v>1656</v>
      </c>
    </row>
    <row r="408">
      <c r="A408" s="136" t="s">
        <v>8396</v>
      </c>
      <c r="B408" s="25">
        <v>189.0</v>
      </c>
      <c r="C408" s="420">
        <v>0.05</v>
      </c>
      <c r="D408" s="74">
        <v>0.8</v>
      </c>
      <c r="E408" s="74">
        <v>0.8</v>
      </c>
      <c r="F408" s="229" t="s">
        <v>1656</v>
      </c>
    </row>
    <row r="409">
      <c r="A409" s="136" t="s">
        <v>8397</v>
      </c>
      <c r="B409" s="25">
        <v>189.0</v>
      </c>
      <c r="C409" s="420">
        <v>0.05</v>
      </c>
      <c r="D409" s="74">
        <v>0.8</v>
      </c>
      <c r="E409" s="74">
        <v>0.8</v>
      </c>
      <c r="F409" s="229" t="s">
        <v>1656</v>
      </c>
    </row>
    <row r="410">
      <c r="A410" s="136" t="s">
        <v>8398</v>
      </c>
      <c r="B410" s="25">
        <v>189.0</v>
      </c>
      <c r="C410" s="420">
        <v>0.05</v>
      </c>
      <c r="D410" s="74">
        <v>0.8</v>
      </c>
      <c r="E410" s="74">
        <v>0.8</v>
      </c>
      <c r="F410" s="229" t="s">
        <v>1656</v>
      </c>
    </row>
    <row r="411">
      <c r="A411" s="136" t="s">
        <v>8399</v>
      </c>
      <c r="B411" s="25">
        <v>189.0</v>
      </c>
      <c r="C411" s="420">
        <v>0.05</v>
      </c>
      <c r="D411" s="74">
        <v>0.8</v>
      </c>
      <c r="E411" s="74">
        <v>0.8</v>
      </c>
      <c r="F411" s="229" t="s">
        <v>1656</v>
      </c>
    </row>
    <row r="412">
      <c r="A412" s="136" t="s">
        <v>8400</v>
      </c>
      <c r="B412" s="78"/>
      <c r="C412" s="420">
        <v>0.05</v>
      </c>
      <c r="D412" s="179">
        <v>0.69</v>
      </c>
      <c r="E412" s="179">
        <v>0.69</v>
      </c>
      <c r="F412" s="229" t="s">
        <v>1656</v>
      </c>
    </row>
    <row r="413">
      <c r="A413" s="136" t="s">
        <v>8401</v>
      </c>
      <c r="B413" s="25">
        <v>14663.0</v>
      </c>
      <c r="C413" s="420">
        <v>0.05</v>
      </c>
      <c r="D413" s="179">
        <v>0.69</v>
      </c>
      <c r="E413" s="179">
        <v>0.69</v>
      </c>
      <c r="F413" s="229" t="s">
        <v>1656</v>
      </c>
    </row>
    <row r="414">
      <c r="A414" s="136" t="s">
        <v>8402</v>
      </c>
      <c r="B414" s="78"/>
      <c r="C414" s="420">
        <v>0.05</v>
      </c>
      <c r="D414" s="179">
        <v>0.69</v>
      </c>
      <c r="E414" s="179">
        <v>0.69</v>
      </c>
      <c r="F414" s="229" t="s">
        <v>1656</v>
      </c>
    </row>
    <row r="415">
      <c r="A415" s="136" t="s">
        <v>8403</v>
      </c>
      <c r="B415" s="25">
        <v>189.0</v>
      </c>
      <c r="C415" s="420">
        <v>0.05</v>
      </c>
      <c r="D415" s="74">
        <v>0.8</v>
      </c>
      <c r="E415" s="74">
        <v>0.8</v>
      </c>
      <c r="F415" s="229" t="s">
        <v>1656</v>
      </c>
    </row>
    <row r="416">
      <c r="A416" s="136" t="s">
        <v>8404</v>
      </c>
      <c r="B416" s="78"/>
      <c r="C416" s="420">
        <v>0.05</v>
      </c>
      <c r="D416" s="179">
        <v>0.69</v>
      </c>
      <c r="E416" s="179">
        <v>0.69</v>
      </c>
      <c r="F416" s="229" t="s">
        <v>1656</v>
      </c>
    </row>
    <row r="417">
      <c r="A417" s="136" t="s">
        <v>8405</v>
      </c>
      <c r="B417" s="78"/>
      <c r="C417" s="420">
        <v>0.05</v>
      </c>
      <c r="D417" s="179">
        <v>0.69</v>
      </c>
      <c r="E417" s="179">
        <v>0.69</v>
      </c>
      <c r="F417" s="229" t="s">
        <v>1656</v>
      </c>
    </row>
    <row r="418">
      <c r="A418" s="136" t="s">
        <v>8406</v>
      </c>
      <c r="B418" s="78"/>
      <c r="C418" s="420">
        <v>0.05</v>
      </c>
      <c r="D418" s="179">
        <v>0.69</v>
      </c>
      <c r="E418" s="179">
        <v>0.69</v>
      </c>
      <c r="F418" s="229" t="s">
        <v>1656</v>
      </c>
    </row>
    <row r="419">
      <c r="A419" s="136" t="s">
        <v>8407</v>
      </c>
      <c r="B419" s="78"/>
      <c r="C419" s="420">
        <v>0.05</v>
      </c>
      <c r="D419" s="179">
        <v>0.69</v>
      </c>
      <c r="E419" s="179">
        <v>0.69</v>
      </c>
      <c r="F419" s="229" t="s">
        <v>1656</v>
      </c>
    </row>
    <row r="420">
      <c r="A420" s="136" t="s">
        <v>8408</v>
      </c>
      <c r="B420" s="25">
        <v>189.0</v>
      </c>
      <c r="C420" s="420">
        <v>0.05</v>
      </c>
      <c r="D420" s="74">
        <v>0.8</v>
      </c>
      <c r="E420" s="74">
        <v>0.8</v>
      </c>
      <c r="F420" s="229" t="s">
        <v>1656</v>
      </c>
    </row>
    <row r="421">
      <c r="A421" s="136" t="s">
        <v>8409</v>
      </c>
      <c r="B421" s="250">
        <v>7023.0</v>
      </c>
      <c r="C421" s="420">
        <v>0.05</v>
      </c>
      <c r="D421" s="179">
        <v>0.69</v>
      </c>
      <c r="E421" s="179">
        <v>0.69</v>
      </c>
      <c r="F421" s="229" t="s">
        <v>1656</v>
      </c>
    </row>
    <row r="422">
      <c r="A422" s="136" t="s">
        <v>8410</v>
      </c>
      <c r="B422" s="25">
        <v>3404.0</v>
      </c>
      <c r="C422" s="420">
        <v>0.05</v>
      </c>
      <c r="D422" s="179">
        <v>0.69</v>
      </c>
      <c r="E422" s="179">
        <v>0.69</v>
      </c>
      <c r="F422" s="229" t="s">
        <v>1656</v>
      </c>
    </row>
    <row r="423">
      <c r="A423" s="136" t="s">
        <v>8411</v>
      </c>
      <c r="B423" s="78"/>
      <c r="C423" s="420">
        <v>0.05</v>
      </c>
      <c r="D423" s="179">
        <v>0.69</v>
      </c>
      <c r="E423" s="179">
        <v>0.69</v>
      </c>
      <c r="F423" s="229" t="s">
        <v>1656</v>
      </c>
    </row>
    <row r="424">
      <c r="A424" s="136" t="s">
        <v>8412</v>
      </c>
      <c r="B424" s="78"/>
      <c r="C424" s="420">
        <v>0.05</v>
      </c>
      <c r="D424" s="179">
        <v>0.69</v>
      </c>
      <c r="E424" s="179">
        <v>0.69</v>
      </c>
      <c r="F424" s="229" t="s">
        <v>1656</v>
      </c>
    </row>
    <row r="425">
      <c r="A425" s="136" t="s">
        <v>8413</v>
      </c>
      <c r="B425" s="78"/>
      <c r="C425" s="420">
        <v>0.05</v>
      </c>
      <c r="D425" s="179">
        <v>0.69</v>
      </c>
      <c r="E425" s="179">
        <v>0.69</v>
      </c>
      <c r="F425" s="229" t="s">
        <v>1656</v>
      </c>
    </row>
    <row r="426">
      <c r="A426" s="136" t="s">
        <v>8414</v>
      </c>
      <c r="B426" s="78"/>
      <c r="C426" s="420">
        <v>0.05</v>
      </c>
      <c r="D426" s="179">
        <v>0.69</v>
      </c>
      <c r="E426" s="179">
        <v>0.69</v>
      </c>
      <c r="F426" s="229" t="s">
        <v>1656</v>
      </c>
    </row>
    <row r="427">
      <c r="A427" s="136" t="s">
        <v>8415</v>
      </c>
      <c r="B427" s="78"/>
      <c r="C427" s="420">
        <v>0.05</v>
      </c>
      <c r="D427" s="179">
        <v>0.69</v>
      </c>
      <c r="E427" s="179">
        <v>0.69</v>
      </c>
      <c r="F427" s="229" t="s">
        <v>1656</v>
      </c>
    </row>
    <row r="428">
      <c r="A428" s="136" t="s">
        <v>8416</v>
      </c>
      <c r="B428" s="78"/>
      <c r="C428" s="420">
        <v>0.05</v>
      </c>
      <c r="D428" s="179">
        <v>0.69</v>
      </c>
      <c r="E428" s="179">
        <v>0.69</v>
      </c>
      <c r="F428" s="229" t="s">
        <v>1656</v>
      </c>
    </row>
    <row r="429">
      <c r="A429" s="136" t="s">
        <v>8417</v>
      </c>
      <c r="B429" s="25">
        <v>189.0</v>
      </c>
      <c r="C429" s="420">
        <v>0.05</v>
      </c>
      <c r="D429" s="74">
        <v>0.8</v>
      </c>
      <c r="E429" s="74">
        <v>0.8</v>
      </c>
      <c r="F429" s="229" t="s">
        <v>1656</v>
      </c>
    </row>
    <row r="430">
      <c r="A430" s="136" t="s">
        <v>8418</v>
      </c>
      <c r="B430" s="78"/>
      <c r="C430" s="420">
        <v>0.05</v>
      </c>
      <c r="D430" s="179">
        <v>0.69</v>
      </c>
      <c r="E430" s="179">
        <v>0.69</v>
      </c>
      <c r="F430" s="229" t="s">
        <v>1656</v>
      </c>
    </row>
    <row r="431">
      <c r="A431" s="136" t="s">
        <v>8419</v>
      </c>
      <c r="B431" s="25">
        <v>189.0</v>
      </c>
      <c r="C431" s="420">
        <v>0.05</v>
      </c>
      <c r="D431" s="74">
        <v>0.8</v>
      </c>
      <c r="E431" s="74">
        <v>0.8</v>
      </c>
      <c r="F431" s="229" t="s">
        <v>1656</v>
      </c>
    </row>
    <row r="432">
      <c r="A432" s="136" t="s">
        <v>8420</v>
      </c>
      <c r="B432" s="78"/>
      <c r="C432" s="420">
        <v>0.05</v>
      </c>
      <c r="D432" s="179">
        <v>0.69</v>
      </c>
      <c r="E432" s="179">
        <v>0.69</v>
      </c>
      <c r="F432" s="229" t="s">
        <v>1656</v>
      </c>
    </row>
    <row r="433">
      <c r="A433" s="136" t="s">
        <v>8421</v>
      </c>
      <c r="B433" s="78"/>
      <c r="C433" s="420">
        <v>0.05</v>
      </c>
      <c r="D433" s="179">
        <v>0.69</v>
      </c>
      <c r="E433" s="179">
        <v>0.69</v>
      </c>
      <c r="F433" s="229" t="s">
        <v>1656</v>
      </c>
    </row>
    <row r="434">
      <c r="A434" s="136" t="s">
        <v>8422</v>
      </c>
      <c r="B434" s="78"/>
      <c r="C434" s="420">
        <v>0.05</v>
      </c>
      <c r="D434" s="179">
        <v>0.69</v>
      </c>
      <c r="E434" s="179">
        <v>0.69</v>
      </c>
      <c r="F434" s="229" t="s">
        <v>1656</v>
      </c>
    </row>
    <row r="435">
      <c r="A435" s="136" t="s">
        <v>8423</v>
      </c>
      <c r="B435" s="78"/>
      <c r="C435" s="420">
        <v>0.05</v>
      </c>
      <c r="D435" s="179">
        <v>0.69</v>
      </c>
      <c r="E435" s="179">
        <v>0.69</v>
      </c>
      <c r="F435" s="229" t="s">
        <v>1656</v>
      </c>
    </row>
    <row r="436">
      <c r="A436" s="136" t="s">
        <v>8424</v>
      </c>
      <c r="B436" s="25">
        <v>6728.0</v>
      </c>
      <c r="C436" s="420">
        <v>0.05</v>
      </c>
      <c r="D436" s="179">
        <v>0.69</v>
      </c>
      <c r="E436" s="179">
        <v>0.69</v>
      </c>
      <c r="F436" s="229" t="s">
        <v>1656</v>
      </c>
    </row>
    <row r="437">
      <c r="A437" s="136" t="s">
        <v>8425</v>
      </c>
      <c r="B437" s="78"/>
      <c r="C437" s="420">
        <v>0.05</v>
      </c>
      <c r="D437" s="179">
        <v>0.69</v>
      </c>
      <c r="E437" s="179">
        <v>0.69</v>
      </c>
      <c r="F437" s="229" t="s">
        <v>1656</v>
      </c>
    </row>
    <row r="438">
      <c r="A438" s="136" t="s">
        <v>8426</v>
      </c>
      <c r="B438" s="78"/>
      <c r="C438" s="420">
        <v>0.05</v>
      </c>
      <c r="D438" s="179">
        <v>0.69</v>
      </c>
      <c r="E438" s="179">
        <v>0.69</v>
      </c>
      <c r="F438" s="229" t="s">
        <v>1656</v>
      </c>
    </row>
    <row r="439">
      <c r="A439" s="136" t="s">
        <v>8427</v>
      </c>
      <c r="B439" s="78"/>
      <c r="C439" s="420">
        <v>0.05</v>
      </c>
      <c r="D439" s="179">
        <v>0.69</v>
      </c>
      <c r="E439" s="179">
        <v>0.69</v>
      </c>
      <c r="F439" s="229" t="s">
        <v>1656</v>
      </c>
    </row>
    <row r="440">
      <c r="A440" s="136" t="s">
        <v>8428</v>
      </c>
      <c r="B440" s="78"/>
      <c r="C440" s="420">
        <v>0.05</v>
      </c>
      <c r="D440" s="179">
        <v>0.69</v>
      </c>
      <c r="E440" s="179">
        <v>0.69</v>
      </c>
      <c r="F440" s="229" t="s">
        <v>1656</v>
      </c>
    </row>
    <row r="441">
      <c r="A441" s="136" t="s">
        <v>8429</v>
      </c>
      <c r="B441" s="78"/>
      <c r="C441" s="420">
        <v>0.05</v>
      </c>
      <c r="D441" s="179">
        <v>0.69</v>
      </c>
      <c r="E441" s="179">
        <v>0.69</v>
      </c>
      <c r="F441" s="229" t="s">
        <v>1656</v>
      </c>
    </row>
    <row r="442">
      <c r="A442" s="136" t="s">
        <v>8430</v>
      </c>
      <c r="B442" s="78"/>
      <c r="C442" s="420">
        <v>0.05</v>
      </c>
      <c r="D442" s="179">
        <v>0.69</v>
      </c>
      <c r="E442" s="179">
        <v>0.69</v>
      </c>
      <c r="F442" s="229" t="s">
        <v>1656</v>
      </c>
    </row>
    <row r="443">
      <c r="A443" s="136" t="s">
        <v>8431</v>
      </c>
      <c r="B443" s="78"/>
      <c r="C443" s="420">
        <v>0.05</v>
      </c>
      <c r="D443" s="179">
        <v>0.69</v>
      </c>
      <c r="E443" s="179">
        <v>0.69</v>
      </c>
      <c r="F443" s="229" t="s">
        <v>1656</v>
      </c>
    </row>
    <row r="444">
      <c r="A444" s="136" t="s">
        <v>8432</v>
      </c>
      <c r="B444" s="78"/>
      <c r="C444" s="420">
        <v>0.05</v>
      </c>
      <c r="D444" s="179">
        <v>0.69</v>
      </c>
      <c r="E444" s="179">
        <v>0.69</v>
      </c>
      <c r="F444" s="229" t="s">
        <v>1656</v>
      </c>
    </row>
    <row r="445">
      <c r="A445" s="136" t="s">
        <v>8433</v>
      </c>
      <c r="B445" s="78"/>
      <c r="C445" s="420">
        <v>0.05</v>
      </c>
      <c r="D445" s="179">
        <v>0.69</v>
      </c>
      <c r="E445" s="179">
        <v>0.69</v>
      </c>
      <c r="F445" s="229" t="s">
        <v>1656</v>
      </c>
    </row>
    <row r="446">
      <c r="A446" s="136" t="s">
        <v>8434</v>
      </c>
      <c r="B446" s="78"/>
      <c r="C446" s="420">
        <v>0.05</v>
      </c>
      <c r="D446" s="179">
        <v>0.69</v>
      </c>
      <c r="E446" s="179">
        <v>0.69</v>
      </c>
      <c r="F446" s="229" t="s">
        <v>1656</v>
      </c>
    </row>
    <row r="447">
      <c r="A447" s="136" t="s">
        <v>8435</v>
      </c>
      <c r="B447" s="78"/>
      <c r="C447" s="420">
        <v>0.05</v>
      </c>
      <c r="D447" s="179">
        <v>0.69</v>
      </c>
      <c r="E447" s="179">
        <v>0.69</v>
      </c>
      <c r="F447" s="229" t="s">
        <v>1656</v>
      </c>
    </row>
    <row r="448">
      <c r="A448" s="136" t="s">
        <v>8436</v>
      </c>
      <c r="B448" s="78"/>
      <c r="C448" s="420">
        <v>0.05</v>
      </c>
      <c r="D448" s="179">
        <v>0.69</v>
      </c>
      <c r="E448" s="179">
        <v>0.69</v>
      </c>
      <c r="F448" s="229" t="s">
        <v>1656</v>
      </c>
    </row>
    <row r="449">
      <c r="A449" s="136" t="s">
        <v>8437</v>
      </c>
      <c r="B449" s="78"/>
      <c r="C449" s="420">
        <v>0.05</v>
      </c>
      <c r="D449" s="179">
        <v>0.69</v>
      </c>
      <c r="E449" s="179">
        <v>0.69</v>
      </c>
      <c r="F449" s="229" t="s">
        <v>1656</v>
      </c>
    </row>
    <row r="450">
      <c r="A450" s="136" t="s">
        <v>8438</v>
      </c>
      <c r="B450" s="25">
        <v>7414.0</v>
      </c>
      <c r="C450" s="420">
        <v>0.05</v>
      </c>
      <c r="D450" s="179">
        <v>0.69</v>
      </c>
      <c r="E450" s="179">
        <v>0.69</v>
      </c>
      <c r="F450" s="229" t="s">
        <v>1656</v>
      </c>
    </row>
    <row r="451">
      <c r="A451" s="136" t="s">
        <v>8439</v>
      </c>
      <c r="B451" s="25">
        <v>11049.0</v>
      </c>
      <c r="C451" s="420">
        <v>0.05</v>
      </c>
      <c r="D451" s="179">
        <v>0.69</v>
      </c>
      <c r="E451" s="179">
        <v>0.69</v>
      </c>
      <c r="F451" s="229" t="s">
        <v>1656</v>
      </c>
    </row>
    <row r="452">
      <c r="A452" s="136" t="s">
        <v>8440</v>
      </c>
      <c r="B452" s="25">
        <v>11049.0</v>
      </c>
      <c r="C452" s="420">
        <v>0.05</v>
      </c>
      <c r="D452" s="179">
        <v>0.69</v>
      </c>
      <c r="E452" s="179">
        <v>0.69</v>
      </c>
      <c r="F452" s="229" t="s">
        <v>1656</v>
      </c>
    </row>
    <row r="453">
      <c r="A453" s="136" t="s">
        <v>8441</v>
      </c>
      <c r="B453" s="25">
        <v>11049.0</v>
      </c>
      <c r="C453" s="420">
        <v>0.05</v>
      </c>
      <c r="D453" s="179">
        <v>0.69</v>
      </c>
      <c r="E453" s="179">
        <v>0.69</v>
      </c>
      <c r="F453" s="229" t="s">
        <v>1656</v>
      </c>
    </row>
    <row r="454">
      <c r="A454" s="136" t="s">
        <v>8442</v>
      </c>
      <c r="B454" s="25">
        <v>11049.0</v>
      </c>
      <c r="C454" s="420">
        <v>0.05</v>
      </c>
      <c r="D454" s="179">
        <v>0.69</v>
      </c>
      <c r="E454" s="179">
        <v>0.69</v>
      </c>
      <c r="F454" s="229" t="s">
        <v>1656</v>
      </c>
    </row>
    <row r="455">
      <c r="A455" s="136" t="s">
        <v>8443</v>
      </c>
      <c r="B455" s="25">
        <v>11049.0</v>
      </c>
      <c r="C455" s="420">
        <v>0.05</v>
      </c>
      <c r="D455" s="179">
        <v>0.69</v>
      </c>
      <c r="E455" s="179">
        <v>0.69</v>
      </c>
      <c r="F455" s="229" t="s">
        <v>1656</v>
      </c>
    </row>
    <row r="456">
      <c r="A456" s="136" t="s">
        <v>8444</v>
      </c>
      <c r="B456" s="25">
        <v>11049.0</v>
      </c>
      <c r="C456" s="420">
        <v>0.05</v>
      </c>
      <c r="D456" s="179">
        <v>0.69</v>
      </c>
      <c r="E456" s="179">
        <v>0.69</v>
      </c>
      <c r="F456" s="229" t="s">
        <v>1656</v>
      </c>
    </row>
    <row r="457">
      <c r="A457" s="136" t="s">
        <v>8445</v>
      </c>
      <c r="B457" s="25">
        <v>11049.0</v>
      </c>
      <c r="C457" s="420">
        <v>0.05</v>
      </c>
      <c r="D457" s="179">
        <v>0.69</v>
      </c>
      <c r="E457" s="179">
        <v>0.69</v>
      </c>
      <c r="F457" s="229" t="s">
        <v>1656</v>
      </c>
    </row>
    <row r="458">
      <c r="A458" s="136" t="s">
        <v>8446</v>
      </c>
      <c r="B458" s="25">
        <v>11049.0</v>
      </c>
      <c r="C458" s="420">
        <v>0.05</v>
      </c>
      <c r="D458" s="179">
        <v>0.69</v>
      </c>
      <c r="E458" s="179">
        <v>0.69</v>
      </c>
      <c r="F458" s="229" t="s">
        <v>1656</v>
      </c>
    </row>
    <row r="459">
      <c r="A459" s="136" t="s">
        <v>8447</v>
      </c>
      <c r="B459" s="25">
        <v>11049.0</v>
      </c>
      <c r="C459" s="420">
        <v>0.05</v>
      </c>
      <c r="D459" s="179">
        <v>0.69</v>
      </c>
      <c r="E459" s="179">
        <v>0.69</v>
      </c>
      <c r="F459" s="229" t="s">
        <v>1656</v>
      </c>
    </row>
    <row r="460">
      <c r="A460" s="136" t="s">
        <v>8448</v>
      </c>
      <c r="B460" s="25">
        <v>11049.0</v>
      </c>
      <c r="C460" s="420">
        <v>0.05</v>
      </c>
      <c r="D460" s="179">
        <v>0.69</v>
      </c>
      <c r="E460" s="179">
        <v>0.69</v>
      </c>
      <c r="F460" s="229" t="s">
        <v>1656</v>
      </c>
    </row>
    <row r="461">
      <c r="A461" s="136" t="s">
        <v>8449</v>
      </c>
      <c r="B461" s="25">
        <v>11049.0</v>
      </c>
      <c r="C461" s="420">
        <v>0.05</v>
      </c>
      <c r="D461" s="179">
        <v>0.69</v>
      </c>
      <c r="E461" s="179">
        <v>0.69</v>
      </c>
      <c r="F461" s="229" t="s">
        <v>1656</v>
      </c>
    </row>
    <row r="462">
      <c r="A462" s="136" t="s">
        <v>8450</v>
      </c>
      <c r="B462" s="25">
        <v>11049.0</v>
      </c>
      <c r="C462" s="420">
        <v>0.05</v>
      </c>
      <c r="D462" s="179">
        <v>0.69</v>
      </c>
      <c r="E462" s="179">
        <v>0.69</v>
      </c>
      <c r="F462" s="229" t="s">
        <v>1656</v>
      </c>
    </row>
    <row r="463">
      <c r="A463" s="136" t="s">
        <v>8451</v>
      </c>
      <c r="B463" s="25">
        <v>11049.0</v>
      </c>
      <c r="C463" s="420">
        <v>0.05</v>
      </c>
      <c r="D463" s="179">
        <v>0.69</v>
      </c>
      <c r="E463" s="179">
        <v>0.69</v>
      </c>
      <c r="F463" s="229" t="s">
        <v>1656</v>
      </c>
    </row>
    <row r="464">
      <c r="A464" s="136" t="s">
        <v>8452</v>
      </c>
      <c r="B464" s="25">
        <v>11049.0</v>
      </c>
      <c r="C464" s="420">
        <v>0.05</v>
      </c>
      <c r="D464" s="179">
        <v>0.69</v>
      </c>
      <c r="E464" s="179">
        <v>0.69</v>
      </c>
      <c r="F464" s="229" t="s">
        <v>1656</v>
      </c>
    </row>
    <row r="465">
      <c r="A465" s="136" t="s">
        <v>8453</v>
      </c>
      <c r="B465" s="25">
        <v>11049.0</v>
      </c>
      <c r="C465" s="420">
        <v>0.05</v>
      </c>
      <c r="D465" s="179">
        <v>0.69</v>
      </c>
      <c r="E465" s="179">
        <v>0.69</v>
      </c>
      <c r="F465" s="229" t="s">
        <v>1656</v>
      </c>
    </row>
    <row r="466">
      <c r="A466" s="136" t="s">
        <v>8454</v>
      </c>
      <c r="B466" s="25">
        <v>11049.0</v>
      </c>
      <c r="C466" s="420">
        <v>0.05</v>
      </c>
      <c r="D466" s="179">
        <v>0.69</v>
      </c>
      <c r="E466" s="179">
        <v>0.69</v>
      </c>
      <c r="F466" s="229" t="s">
        <v>1656</v>
      </c>
    </row>
    <row r="467">
      <c r="A467" s="136" t="s">
        <v>8455</v>
      </c>
      <c r="B467" s="25">
        <v>11049.0</v>
      </c>
      <c r="C467" s="420">
        <v>0.05</v>
      </c>
      <c r="D467" s="179">
        <v>0.69</v>
      </c>
      <c r="E467" s="179">
        <v>0.69</v>
      </c>
      <c r="F467" s="229" t="s">
        <v>1656</v>
      </c>
    </row>
    <row r="468">
      <c r="A468" s="136" t="s">
        <v>8456</v>
      </c>
      <c r="B468" s="25">
        <v>11049.0</v>
      </c>
      <c r="C468" s="420">
        <v>0.05</v>
      </c>
      <c r="D468" s="179">
        <v>0.69</v>
      </c>
      <c r="E468" s="179">
        <v>0.69</v>
      </c>
      <c r="F468" s="229" t="s">
        <v>1656</v>
      </c>
    </row>
    <row r="469">
      <c r="A469" s="136" t="s">
        <v>8457</v>
      </c>
      <c r="B469" s="25">
        <v>11049.0</v>
      </c>
      <c r="C469" s="420">
        <v>0.05</v>
      </c>
      <c r="D469" s="179">
        <v>0.69</v>
      </c>
      <c r="E469" s="179">
        <v>0.69</v>
      </c>
      <c r="F469" s="229" t="s">
        <v>1656</v>
      </c>
    </row>
    <row r="470">
      <c r="A470" s="136" t="s">
        <v>8458</v>
      </c>
      <c r="B470" s="25">
        <v>11049.0</v>
      </c>
      <c r="C470" s="420">
        <v>0.05</v>
      </c>
      <c r="D470" s="179">
        <v>0.69</v>
      </c>
      <c r="E470" s="179">
        <v>0.69</v>
      </c>
      <c r="F470" s="229" t="s">
        <v>1656</v>
      </c>
    </row>
    <row r="471">
      <c r="A471" s="136" t="s">
        <v>8459</v>
      </c>
      <c r="B471" s="25">
        <v>11049.0</v>
      </c>
      <c r="C471" s="420">
        <v>0.05</v>
      </c>
      <c r="D471" s="179">
        <v>0.69</v>
      </c>
      <c r="E471" s="179">
        <v>0.69</v>
      </c>
      <c r="F471" s="229" t="s">
        <v>1656</v>
      </c>
    </row>
    <row r="472">
      <c r="A472" s="136" t="s">
        <v>8460</v>
      </c>
      <c r="B472" s="25">
        <v>6924.0</v>
      </c>
      <c r="C472" s="420">
        <v>0.05</v>
      </c>
      <c r="D472" s="179">
        <v>0.69</v>
      </c>
      <c r="E472" s="179">
        <v>0.69</v>
      </c>
      <c r="F472" s="229" t="s">
        <v>1656</v>
      </c>
    </row>
    <row r="473">
      <c r="A473" s="136" t="s">
        <v>8461</v>
      </c>
      <c r="B473" s="25">
        <v>11049.0</v>
      </c>
      <c r="C473" s="420">
        <v>0.05</v>
      </c>
      <c r="D473" s="179">
        <v>0.69</v>
      </c>
      <c r="E473" s="179">
        <v>0.69</v>
      </c>
      <c r="F473" s="229" t="s">
        <v>1656</v>
      </c>
    </row>
    <row r="474">
      <c r="A474" s="136" t="s">
        <v>8462</v>
      </c>
      <c r="B474" s="25">
        <v>11049.0</v>
      </c>
      <c r="C474" s="420">
        <v>0.05</v>
      </c>
      <c r="D474" s="179">
        <v>0.69</v>
      </c>
      <c r="E474" s="179">
        <v>0.69</v>
      </c>
      <c r="F474" s="229" t="s">
        <v>1656</v>
      </c>
    </row>
    <row r="475">
      <c r="A475" s="136" t="s">
        <v>8463</v>
      </c>
      <c r="B475" s="25">
        <v>11049.0</v>
      </c>
      <c r="C475" s="420">
        <v>0.05</v>
      </c>
      <c r="D475" s="179">
        <v>0.69</v>
      </c>
      <c r="E475" s="179">
        <v>0.69</v>
      </c>
      <c r="F475" s="229" t="s">
        <v>1656</v>
      </c>
    </row>
    <row r="476">
      <c r="A476" s="136" t="s">
        <v>8464</v>
      </c>
      <c r="B476" s="25">
        <v>11049.0</v>
      </c>
      <c r="C476" s="420">
        <v>0.05</v>
      </c>
      <c r="D476" s="179">
        <v>0.69</v>
      </c>
      <c r="E476" s="179">
        <v>0.69</v>
      </c>
      <c r="F476" s="229" t="s">
        <v>1656</v>
      </c>
    </row>
    <row r="477">
      <c r="A477" s="136" t="s">
        <v>8465</v>
      </c>
      <c r="B477" s="25">
        <v>11049.0</v>
      </c>
      <c r="C477" s="420">
        <v>0.05</v>
      </c>
      <c r="D477" s="179">
        <v>0.69</v>
      </c>
      <c r="E477" s="179">
        <v>0.69</v>
      </c>
      <c r="F477" s="229" t="s">
        <v>1656</v>
      </c>
    </row>
    <row r="478">
      <c r="A478" s="136" t="s">
        <v>8466</v>
      </c>
      <c r="B478" s="25">
        <v>189.0</v>
      </c>
      <c r="C478" s="420">
        <v>0.05</v>
      </c>
      <c r="D478" s="74">
        <v>0.8</v>
      </c>
      <c r="E478" s="74">
        <v>0.8</v>
      </c>
      <c r="F478" s="229" t="s">
        <v>1656</v>
      </c>
    </row>
    <row r="479">
      <c r="A479" s="136" t="s">
        <v>8467</v>
      </c>
      <c r="B479" s="25">
        <v>11049.0</v>
      </c>
      <c r="C479" s="420">
        <v>0.05</v>
      </c>
      <c r="D479" s="179">
        <v>0.69</v>
      </c>
      <c r="E479" s="179">
        <v>0.69</v>
      </c>
      <c r="F479" s="229" t="s">
        <v>1656</v>
      </c>
    </row>
    <row r="480">
      <c r="A480" s="136" t="s">
        <v>8468</v>
      </c>
      <c r="B480" s="25">
        <v>11049.0</v>
      </c>
      <c r="C480" s="420">
        <v>0.05</v>
      </c>
      <c r="D480" s="179">
        <v>0.69</v>
      </c>
      <c r="E480" s="179">
        <v>0.69</v>
      </c>
      <c r="F480" s="229" t="s">
        <v>1656</v>
      </c>
    </row>
    <row r="481">
      <c r="A481" s="136" t="s">
        <v>8469</v>
      </c>
      <c r="B481" s="25">
        <v>11049.0</v>
      </c>
      <c r="C481" s="420">
        <v>0.05</v>
      </c>
      <c r="D481" s="179">
        <v>0.69</v>
      </c>
      <c r="E481" s="179">
        <v>0.69</v>
      </c>
      <c r="F481" s="229" t="s">
        <v>1656</v>
      </c>
    </row>
    <row r="482">
      <c r="A482" s="136" t="s">
        <v>8470</v>
      </c>
      <c r="B482" s="25">
        <v>11049.0</v>
      </c>
      <c r="C482" s="420">
        <v>0.05</v>
      </c>
      <c r="D482" s="179">
        <v>0.69</v>
      </c>
      <c r="E482" s="179">
        <v>0.69</v>
      </c>
      <c r="F482" s="229" t="s">
        <v>1656</v>
      </c>
    </row>
    <row r="483">
      <c r="A483" s="136" t="s">
        <v>8471</v>
      </c>
      <c r="B483" s="25"/>
      <c r="C483" s="420">
        <v>0.05</v>
      </c>
      <c r="D483" s="179">
        <v>0.69</v>
      </c>
      <c r="E483" s="179">
        <v>0.69</v>
      </c>
      <c r="F483" s="229" t="s">
        <v>1656</v>
      </c>
    </row>
    <row r="484">
      <c r="A484" s="136" t="s">
        <v>8472</v>
      </c>
      <c r="B484" s="78"/>
      <c r="C484" s="420">
        <v>0.05</v>
      </c>
      <c r="D484" s="179">
        <v>0.69</v>
      </c>
      <c r="E484" s="179">
        <v>0.69</v>
      </c>
      <c r="F484" s="229" t="s">
        <v>1656</v>
      </c>
    </row>
    <row r="485">
      <c r="A485" s="136" t="s">
        <v>8473</v>
      </c>
      <c r="B485" s="78"/>
      <c r="C485" s="420">
        <v>0.05</v>
      </c>
      <c r="D485" s="179">
        <v>0.69</v>
      </c>
      <c r="E485" s="179">
        <v>0.69</v>
      </c>
      <c r="F485" s="229" t="s">
        <v>1656</v>
      </c>
    </row>
    <row r="486">
      <c r="A486" s="136" t="s">
        <v>8474</v>
      </c>
      <c r="B486" s="25">
        <v>12932.0</v>
      </c>
      <c r="C486" s="420">
        <v>0.05</v>
      </c>
      <c r="D486" s="179">
        <v>0.69</v>
      </c>
      <c r="E486" s="179">
        <v>0.69</v>
      </c>
      <c r="F486" s="229" t="s">
        <v>1656</v>
      </c>
    </row>
    <row r="487">
      <c r="A487" s="136" t="s">
        <v>8475</v>
      </c>
      <c r="B487" s="78"/>
      <c r="C487" s="420">
        <v>0.05</v>
      </c>
      <c r="D487" s="179">
        <v>0.69</v>
      </c>
      <c r="E487" s="179">
        <v>0.69</v>
      </c>
      <c r="F487" s="229" t="s">
        <v>1656</v>
      </c>
    </row>
    <row r="488">
      <c r="A488" s="136" t="s">
        <v>8476</v>
      </c>
      <c r="B488" s="78"/>
      <c r="C488" s="420">
        <v>0.05</v>
      </c>
      <c r="D488" s="179">
        <v>0.69</v>
      </c>
      <c r="E488" s="179">
        <v>0.69</v>
      </c>
      <c r="F488" s="229" t="s">
        <v>1656</v>
      </c>
    </row>
    <row r="489">
      <c r="A489" s="136" t="s">
        <v>8477</v>
      </c>
      <c r="B489" s="25">
        <v>499.0</v>
      </c>
      <c r="C489" s="420">
        <v>0.05</v>
      </c>
      <c r="D489" s="179">
        <v>0.69</v>
      </c>
      <c r="E489" s="179">
        <v>0.69</v>
      </c>
      <c r="F489" s="229" t="s">
        <v>1656</v>
      </c>
    </row>
    <row r="490">
      <c r="A490" s="136" t="s">
        <v>8478</v>
      </c>
      <c r="B490" s="25">
        <v>14727.0</v>
      </c>
      <c r="C490" s="420">
        <v>0.05</v>
      </c>
      <c r="D490" s="179">
        <v>0.69</v>
      </c>
      <c r="E490" s="179">
        <v>0.69</v>
      </c>
      <c r="F490" s="229" t="s">
        <v>1656</v>
      </c>
    </row>
    <row r="491">
      <c r="A491" s="136" t="s">
        <v>8479</v>
      </c>
      <c r="B491" s="78"/>
      <c r="C491" s="420">
        <v>0.05</v>
      </c>
      <c r="D491" s="179">
        <v>0.69</v>
      </c>
      <c r="E491" s="179">
        <v>0.69</v>
      </c>
      <c r="F491" s="229" t="s">
        <v>1656</v>
      </c>
    </row>
    <row r="492">
      <c r="A492" s="136" t="s">
        <v>8480</v>
      </c>
      <c r="B492" s="78"/>
      <c r="C492" s="420">
        <v>0.05</v>
      </c>
      <c r="D492" s="179">
        <v>0.69</v>
      </c>
      <c r="E492" s="179">
        <v>0.69</v>
      </c>
      <c r="F492" s="229" t="s">
        <v>1656</v>
      </c>
    </row>
    <row r="493">
      <c r="A493" s="136" t="s">
        <v>8481</v>
      </c>
      <c r="B493" s="78"/>
      <c r="C493" s="420">
        <v>0.05</v>
      </c>
      <c r="D493" s="179">
        <v>0.69</v>
      </c>
      <c r="E493" s="179">
        <v>0.69</v>
      </c>
      <c r="F493" s="229" t="s">
        <v>1656</v>
      </c>
    </row>
    <row r="494">
      <c r="A494" s="136" t="s">
        <v>8482</v>
      </c>
      <c r="B494" s="78"/>
      <c r="C494" s="420">
        <v>0.05</v>
      </c>
      <c r="D494" s="179">
        <v>0.69</v>
      </c>
      <c r="E494" s="179">
        <v>0.69</v>
      </c>
      <c r="F494" s="229" t="s">
        <v>1656</v>
      </c>
    </row>
    <row r="495">
      <c r="A495" s="136" t="s">
        <v>8483</v>
      </c>
      <c r="B495" s="78"/>
      <c r="C495" s="420">
        <v>0.05</v>
      </c>
      <c r="D495" s="179">
        <v>0.69</v>
      </c>
      <c r="E495" s="179">
        <v>0.69</v>
      </c>
      <c r="F495" s="229" t="s">
        <v>1656</v>
      </c>
    </row>
    <row r="496">
      <c r="A496" s="136" t="s">
        <v>8484</v>
      </c>
      <c r="B496" s="25">
        <v>14298.0</v>
      </c>
      <c r="C496" s="420">
        <v>0.05</v>
      </c>
      <c r="D496" s="179">
        <v>0.69</v>
      </c>
      <c r="E496" s="179">
        <v>0.69</v>
      </c>
      <c r="F496" s="229" t="s">
        <v>1656</v>
      </c>
    </row>
    <row r="497">
      <c r="A497" s="136" t="s">
        <v>8485</v>
      </c>
      <c r="B497" s="78"/>
      <c r="C497" s="420">
        <v>0.05</v>
      </c>
      <c r="D497" s="179">
        <v>0.69</v>
      </c>
      <c r="E497" s="179">
        <v>0.69</v>
      </c>
      <c r="F497" s="229" t="s">
        <v>1656</v>
      </c>
    </row>
    <row r="498">
      <c r="A498" s="136" t="s">
        <v>8486</v>
      </c>
      <c r="B498" s="78"/>
      <c r="C498" s="420">
        <v>0.05</v>
      </c>
      <c r="D498" s="179">
        <v>0.69</v>
      </c>
      <c r="E498" s="179">
        <v>0.69</v>
      </c>
      <c r="F498" s="229" t="s">
        <v>1656</v>
      </c>
    </row>
    <row r="499">
      <c r="A499" s="136" t="s">
        <v>8487</v>
      </c>
      <c r="B499" s="78"/>
      <c r="C499" s="420">
        <v>0.05</v>
      </c>
      <c r="D499" s="179">
        <v>0.69</v>
      </c>
      <c r="E499" s="179">
        <v>0.69</v>
      </c>
      <c r="F499" s="229" t="s">
        <v>1656</v>
      </c>
    </row>
    <row r="500">
      <c r="A500" s="136" t="s">
        <v>8488</v>
      </c>
      <c r="B500" s="78"/>
      <c r="C500" s="420">
        <v>0.05</v>
      </c>
      <c r="D500" s="179">
        <v>0.69</v>
      </c>
      <c r="E500" s="179">
        <v>0.69</v>
      </c>
      <c r="F500" s="229" t="s">
        <v>1656</v>
      </c>
    </row>
    <row r="501">
      <c r="A501" s="136" t="s">
        <v>8489</v>
      </c>
      <c r="B501" s="78"/>
      <c r="C501" s="420">
        <v>0.05</v>
      </c>
      <c r="D501" s="179">
        <v>0.69</v>
      </c>
      <c r="E501" s="179">
        <v>0.69</v>
      </c>
      <c r="F501" s="229" t="s">
        <v>1656</v>
      </c>
    </row>
    <row r="502">
      <c r="A502" s="136" t="s">
        <v>8490</v>
      </c>
      <c r="B502" s="78"/>
      <c r="C502" s="420">
        <v>0.05</v>
      </c>
      <c r="D502" s="179">
        <v>0.69</v>
      </c>
      <c r="E502" s="179">
        <v>0.69</v>
      </c>
      <c r="F502" s="229" t="s">
        <v>1656</v>
      </c>
    </row>
    <row r="503">
      <c r="A503" s="136" t="s">
        <v>8491</v>
      </c>
      <c r="B503" s="78"/>
      <c r="C503" s="420">
        <v>0.05</v>
      </c>
      <c r="D503" s="179">
        <v>0.69</v>
      </c>
      <c r="E503" s="179">
        <v>0.69</v>
      </c>
      <c r="F503" s="229" t="s">
        <v>1656</v>
      </c>
    </row>
    <row r="504">
      <c r="A504" s="136" t="s">
        <v>8492</v>
      </c>
      <c r="B504" s="78"/>
      <c r="C504" s="420">
        <v>0.05</v>
      </c>
      <c r="D504" s="179">
        <v>0.69</v>
      </c>
      <c r="E504" s="179">
        <v>0.69</v>
      </c>
      <c r="F504" s="229" t="s">
        <v>1656</v>
      </c>
    </row>
    <row r="505">
      <c r="A505" s="136" t="s">
        <v>8493</v>
      </c>
      <c r="B505" s="78"/>
      <c r="C505" s="420">
        <v>0.05</v>
      </c>
      <c r="D505" s="179">
        <v>0.69</v>
      </c>
      <c r="E505" s="179">
        <v>0.69</v>
      </c>
      <c r="F505" s="229" t="s">
        <v>1656</v>
      </c>
    </row>
    <row r="506">
      <c r="A506" s="136" t="s">
        <v>8494</v>
      </c>
      <c r="B506" s="78"/>
      <c r="C506" s="420">
        <v>0.05</v>
      </c>
      <c r="D506" s="179">
        <v>0.69</v>
      </c>
      <c r="E506" s="179">
        <v>0.69</v>
      </c>
      <c r="F506" s="229" t="s">
        <v>1656</v>
      </c>
    </row>
    <row r="507">
      <c r="A507" s="136" t="s">
        <v>8495</v>
      </c>
      <c r="B507" s="78"/>
      <c r="C507" s="420">
        <v>0.05</v>
      </c>
      <c r="D507" s="179">
        <v>0.69</v>
      </c>
      <c r="E507" s="179">
        <v>0.69</v>
      </c>
      <c r="F507" s="229" t="s">
        <v>1656</v>
      </c>
    </row>
    <row r="508">
      <c r="A508" s="136" t="s">
        <v>8496</v>
      </c>
      <c r="B508" s="78"/>
      <c r="C508" s="420">
        <v>0.05</v>
      </c>
      <c r="D508" s="179">
        <v>0.69</v>
      </c>
      <c r="E508" s="179">
        <v>0.69</v>
      </c>
      <c r="F508" s="229" t="s">
        <v>1656</v>
      </c>
    </row>
    <row r="509">
      <c r="A509" s="136" t="s">
        <v>8497</v>
      </c>
      <c r="B509" s="78"/>
      <c r="C509" s="420">
        <v>0.05</v>
      </c>
      <c r="D509" s="179">
        <v>0.69</v>
      </c>
      <c r="E509" s="179">
        <v>0.69</v>
      </c>
      <c r="F509" s="229" t="s">
        <v>1656</v>
      </c>
    </row>
    <row r="510">
      <c r="A510" s="136" t="s">
        <v>8498</v>
      </c>
      <c r="B510" s="78"/>
      <c r="C510" s="420">
        <v>0.05</v>
      </c>
      <c r="D510" s="179">
        <v>0.69</v>
      </c>
      <c r="E510" s="179">
        <v>0.69</v>
      </c>
      <c r="F510" s="229" t="s">
        <v>1656</v>
      </c>
    </row>
    <row r="511">
      <c r="A511" s="136" t="s">
        <v>8499</v>
      </c>
      <c r="B511" s="78"/>
      <c r="C511" s="420">
        <v>0.05</v>
      </c>
      <c r="D511" s="179">
        <v>0.69</v>
      </c>
      <c r="E511" s="179">
        <v>0.69</v>
      </c>
      <c r="F511" s="229" t="s">
        <v>1656</v>
      </c>
    </row>
    <row r="512">
      <c r="A512" s="136" t="s">
        <v>8500</v>
      </c>
      <c r="B512" s="78"/>
      <c r="C512" s="420">
        <v>0.05</v>
      </c>
      <c r="D512" s="179">
        <v>0.69</v>
      </c>
      <c r="E512" s="179">
        <v>0.69</v>
      </c>
      <c r="F512" s="229" t="s">
        <v>1656</v>
      </c>
    </row>
    <row r="513">
      <c r="A513" s="136" t="s">
        <v>8501</v>
      </c>
      <c r="B513" s="78"/>
      <c r="C513" s="420">
        <v>0.05</v>
      </c>
      <c r="D513" s="179">
        <v>0.69</v>
      </c>
      <c r="E513" s="179">
        <v>0.69</v>
      </c>
      <c r="F513" s="229" t="s">
        <v>1656</v>
      </c>
    </row>
    <row r="514">
      <c r="A514" s="136" t="s">
        <v>8502</v>
      </c>
      <c r="B514" s="25">
        <v>9307.0</v>
      </c>
      <c r="C514" s="420">
        <v>0.05</v>
      </c>
      <c r="D514" s="179">
        <v>0.69</v>
      </c>
      <c r="E514" s="179">
        <v>0.69</v>
      </c>
      <c r="F514" s="229" t="s">
        <v>1656</v>
      </c>
    </row>
    <row r="515">
      <c r="A515" s="136" t="s">
        <v>8503</v>
      </c>
      <c r="B515" s="78"/>
      <c r="C515" s="420">
        <v>0.05</v>
      </c>
      <c r="D515" s="179">
        <v>0.69</v>
      </c>
      <c r="E515" s="179">
        <v>0.69</v>
      </c>
      <c r="F515" s="229" t="s">
        <v>1656</v>
      </c>
    </row>
    <row r="516">
      <c r="A516" s="136" t="s">
        <v>8504</v>
      </c>
      <c r="B516" s="78"/>
      <c r="C516" s="420">
        <v>0.05</v>
      </c>
      <c r="D516" s="179">
        <v>0.69</v>
      </c>
      <c r="E516" s="179">
        <v>0.69</v>
      </c>
      <c r="F516" s="229" t="s">
        <v>1656</v>
      </c>
    </row>
    <row r="517">
      <c r="A517" s="136" t="s">
        <v>8505</v>
      </c>
      <c r="B517" s="78"/>
      <c r="C517" s="420">
        <v>0.05</v>
      </c>
      <c r="D517" s="179">
        <v>0.69</v>
      </c>
      <c r="E517" s="179">
        <v>0.69</v>
      </c>
      <c r="F517" s="229" t="s">
        <v>1656</v>
      </c>
    </row>
    <row r="518">
      <c r="A518" s="136" t="s">
        <v>8506</v>
      </c>
      <c r="B518" s="78"/>
      <c r="C518" s="420">
        <v>0.05</v>
      </c>
      <c r="D518" s="179">
        <v>0.69</v>
      </c>
      <c r="E518" s="179">
        <v>0.69</v>
      </c>
      <c r="F518" s="229" t="s">
        <v>1656</v>
      </c>
    </row>
    <row r="519">
      <c r="A519" s="136" t="s">
        <v>8507</v>
      </c>
      <c r="B519" s="78"/>
      <c r="C519" s="420">
        <v>0.05</v>
      </c>
      <c r="D519" s="179">
        <v>0.69</v>
      </c>
      <c r="E519" s="179">
        <v>0.69</v>
      </c>
      <c r="F519" s="229" t="s">
        <v>1656</v>
      </c>
    </row>
    <row r="520">
      <c r="A520" s="136" t="s">
        <v>8508</v>
      </c>
      <c r="B520" s="78"/>
      <c r="C520" s="420">
        <v>0.05</v>
      </c>
      <c r="D520" s="179">
        <v>0.69</v>
      </c>
      <c r="E520" s="179">
        <v>0.69</v>
      </c>
      <c r="F520" s="229" t="s">
        <v>1656</v>
      </c>
    </row>
    <row r="521">
      <c r="A521" s="136" t="s">
        <v>8509</v>
      </c>
      <c r="B521" s="78"/>
      <c r="C521" s="420">
        <v>0.05</v>
      </c>
      <c r="D521" s="179">
        <v>0.69</v>
      </c>
      <c r="E521" s="179">
        <v>0.69</v>
      </c>
      <c r="F521" s="229" t="s">
        <v>1656</v>
      </c>
    </row>
    <row r="522">
      <c r="A522" s="136" t="s">
        <v>8510</v>
      </c>
      <c r="B522" s="78"/>
      <c r="C522" s="420">
        <v>0.05</v>
      </c>
      <c r="D522" s="179">
        <v>0.69</v>
      </c>
      <c r="E522" s="179">
        <v>0.69</v>
      </c>
      <c r="F522" s="229" t="s">
        <v>1656</v>
      </c>
    </row>
    <row r="523">
      <c r="A523" s="136" t="s">
        <v>8511</v>
      </c>
      <c r="B523" s="78"/>
      <c r="C523" s="420">
        <v>0.05</v>
      </c>
      <c r="D523" s="179">
        <v>0.69</v>
      </c>
      <c r="E523" s="179">
        <v>0.69</v>
      </c>
      <c r="F523" s="229" t="s">
        <v>1656</v>
      </c>
    </row>
    <row r="524">
      <c r="A524" s="136" t="s">
        <v>8512</v>
      </c>
      <c r="B524" s="78"/>
      <c r="C524" s="420">
        <v>0.05</v>
      </c>
      <c r="D524" s="179">
        <v>0.69</v>
      </c>
      <c r="E524" s="179">
        <v>0.69</v>
      </c>
      <c r="F524" s="229" t="s">
        <v>1656</v>
      </c>
    </row>
    <row r="525">
      <c r="A525" s="136" t="s">
        <v>8513</v>
      </c>
      <c r="B525" s="78"/>
      <c r="C525" s="420">
        <v>0.05</v>
      </c>
      <c r="D525" s="179">
        <v>0.69</v>
      </c>
      <c r="E525" s="179">
        <v>0.69</v>
      </c>
      <c r="F525" s="229" t="s">
        <v>1656</v>
      </c>
    </row>
    <row r="526">
      <c r="A526" s="136" t="s">
        <v>8514</v>
      </c>
      <c r="B526" s="78"/>
      <c r="C526" s="420">
        <v>0.05</v>
      </c>
      <c r="D526" s="179">
        <v>0.69</v>
      </c>
      <c r="E526" s="179">
        <v>0.69</v>
      </c>
      <c r="F526" s="229" t="s">
        <v>1656</v>
      </c>
    </row>
    <row r="527">
      <c r="A527" s="136" t="s">
        <v>8515</v>
      </c>
      <c r="B527" s="78"/>
      <c r="C527" s="420">
        <v>0.05</v>
      </c>
      <c r="D527" s="179">
        <v>0.69</v>
      </c>
      <c r="E527" s="179">
        <v>0.69</v>
      </c>
      <c r="F527" s="229" t="s">
        <v>1656</v>
      </c>
    </row>
    <row r="528">
      <c r="A528" s="136" t="s">
        <v>8516</v>
      </c>
      <c r="B528" s="78"/>
      <c r="C528" s="420">
        <v>0.05</v>
      </c>
      <c r="D528" s="179">
        <v>0.69</v>
      </c>
      <c r="E528" s="179">
        <v>0.69</v>
      </c>
      <c r="F528" s="229" t="s">
        <v>1656</v>
      </c>
    </row>
    <row r="529">
      <c r="A529" s="136" t="s">
        <v>8517</v>
      </c>
      <c r="B529" s="78"/>
      <c r="C529" s="420">
        <v>0.05</v>
      </c>
      <c r="D529" s="179">
        <v>0.69</v>
      </c>
      <c r="E529" s="179">
        <v>0.69</v>
      </c>
      <c r="F529" s="229" t="s">
        <v>1656</v>
      </c>
    </row>
    <row r="530">
      <c r="A530" s="136" t="s">
        <v>8518</v>
      </c>
      <c r="B530" s="25">
        <v>6706.0</v>
      </c>
      <c r="C530" s="420">
        <v>0.05</v>
      </c>
      <c r="D530" s="179">
        <v>0.69</v>
      </c>
      <c r="E530" s="179">
        <v>0.69</v>
      </c>
      <c r="F530" s="229" t="s">
        <v>1656</v>
      </c>
    </row>
    <row r="531">
      <c r="A531" s="136" t="s">
        <v>8519</v>
      </c>
      <c r="B531" s="25">
        <v>6706.0</v>
      </c>
      <c r="C531" s="420">
        <v>0.05</v>
      </c>
      <c r="D531" s="179">
        <v>0.69</v>
      </c>
      <c r="E531" s="179">
        <v>0.69</v>
      </c>
      <c r="F531" s="229" t="s">
        <v>1656</v>
      </c>
    </row>
    <row r="532">
      <c r="A532" s="136" t="s">
        <v>8520</v>
      </c>
      <c r="B532" s="78"/>
      <c r="C532" s="420">
        <v>0.05</v>
      </c>
      <c r="D532" s="179">
        <v>0.69</v>
      </c>
      <c r="E532" s="179">
        <v>0.69</v>
      </c>
      <c r="F532" s="229" t="s">
        <v>1656</v>
      </c>
    </row>
    <row r="533">
      <c r="A533" s="136" t="s">
        <v>8521</v>
      </c>
      <c r="B533" s="78"/>
      <c r="C533" s="420">
        <v>0.05</v>
      </c>
      <c r="D533" s="179">
        <v>0.69</v>
      </c>
      <c r="E533" s="179">
        <v>0.69</v>
      </c>
      <c r="F533" s="229" t="s">
        <v>1656</v>
      </c>
    </row>
    <row r="534">
      <c r="A534" s="136" t="s">
        <v>8522</v>
      </c>
      <c r="B534" s="78"/>
      <c r="C534" s="420">
        <v>0.05</v>
      </c>
      <c r="D534" s="179">
        <v>0.69</v>
      </c>
      <c r="E534" s="179">
        <v>0.69</v>
      </c>
      <c r="F534" s="229" t="s">
        <v>1656</v>
      </c>
    </row>
    <row r="535">
      <c r="A535" s="136" t="s">
        <v>8523</v>
      </c>
      <c r="B535" s="25">
        <v>14516.0</v>
      </c>
      <c r="C535" s="420">
        <v>0.05</v>
      </c>
      <c r="D535" s="179">
        <v>0.69</v>
      </c>
      <c r="E535" s="179">
        <v>0.69</v>
      </c>
      <c r="F535" s="229" t="s">
        <v>1656</v>
      </c>
    </row>
    <row r="536">
      <c r="A536" s="136" t="s">
        <v>8524</v>
      </c>
      <c r="B536" s="78"/>
      <c r="C536" s="420">
        <v>0.05</v>
      </c>
      <c r="D536" s="179">
        <v>0.69</v>
      </c>
      <c r="E536" s="179">
        <v>0.69</v>
      </c>
      <c r="F536" s="229" t="s">
        <v>1656</v>
      </c>
    </row>
    <row r="537">
      <c r="A537" s="136" t="s">
        <v>8525</v>
      </c>
      <c r="B537" s="78"/>
      <c r="C537" s="420">
        <v>0.05</v>
      </c>
      <c r="D537" s="179">
        <v>0.69</v>
      </c>
      <c r="E537" s="179">
        <v>0.69</v>
      </c>
      <c r="F537" s="229" t="s">
        <v>1656</v>
      </c>
    </row>
    <row r="538">
      <c r="A538" s="136" t="s">
        <v>8526</v>
      </c>
      <c r="B538" s="78"/>
      <c r="C538" s="420">
        <v>0.05</v>
      </c>
      <c r="D538" s="179">
        <v>0.69</v>
      </c>
      <c r="E538" s="179">
        <v>0.69</v>
      </c>
      <c r="F538" s="229" t="s">
        <v>1656</v>
      </c>
    </row>
    <row r="539">
      <c r="A539" s="136" t="s">
        <v>8527</v>
      </c>
      <c r="B539" s="78"/>
      <c r="C539" s="420">
        <v>0.05</v>
      </c>
      <c r="D539" s="179">
        <v>0.69</v>
      </c>
      <c r="E539" s="179">
        <v>0.69</v>
      </c>
      <c r="F539" s="229" t="s">
        <v>1656</v>
      </c>
    </row>
    <row r="540">
      <c r="A540" s="136" t="s">
        <v>8528</v>
      </c>
      <c r="B540" s="78"/>
      <c r="C540" s="420">
        <v>0.05</v>
      </c>
      <c r="D540" s="179">
        <v>0.69</v>
      </c>
      <c r="E540" s="179">
        <v>0.69</v>
      </c>
      <c r="F540" s="229" t="s">
        <v>1656</v>
      </c>
    </row>
    <row r="541">
      <c r="A541" s="136" t="s">
        <v>8529</v>
      </c>
      <c r="B541" s="78"/>
      <c r="C541" s="420">
        <v>0.05</v>
      </c>
      <c r="D541" s="179">
        <v>0.69</v>
      </c>
      <c r="E541" s="179">
        <v>0.69</v>
      </c>
      <c r="F541" s="229" t="s">
        <v>1656</v>
      </c>
    </row>
    <row r="542">
      <c r="A542" s="136" t="s">
        <v>8530</v>
      </c>
      <c r="B542" s="78"/>
      <c r="C542" s="420">
        <v>0.05</v>
      </c>
      <c r="D542" s="179">
        <v>0.69</v>
      </c>
      <c r="E542" s="179">
        <v>0.69</v>
      </c>
      <c r="F542" s="229" t="s">
        <v>1656</v>
      </c>
    </row>
    <row r="543">
      <c r="A543" s="136" t="s">
        <v>8531</v>
      </c>
      <c r="B543" s="78"/>
      <c r="C543" s="420">
        <v>0.05</v>
      </c>
      <c r="D543" s="179">
        <v>0.69</v>
      </c>
      <c r="E543" s="179">
        <v>0.69</v>
      </c>
      <c r="F543" s="229" t="s">
        <v>1656</v>
      </c>
    </row>
    <row r="544">
      <c r="A544" s="136" t="s">
        <v>8532</v>
      </c>
      <c r="B544" s="78"/>
      <c r="C544" s="420">
        <v>0.05</v>
      </c>
      <c r="D544" s="179">
        <v>0.69</v>
      </c>
      <c r="E544" s="179">
        <v>0.69</v>
      </c>
      <c r="F544" s="229" t="s">
        <v>1656</v>
      </c>
    </row>
    <row r="545">
      <c r="A545" s="136" t="s">
        <v>8533</v>
      </c>
      <c r="B545" s="78"/>
      <c r="C545" s="420">
        <v>0.05</v>
      </c>
      <c r="D545" s="179">
        <v>0.69</v>
      </c>
      <c r="E545" s="179">
        <v>0.69</v>
      </c>
      <c r="F545" s="229" t="s">
        <v>1656</v>
      </c>
    </row>
    <row r="546">
      <c r="A546" s="136" t="s">
        <v>8534</v>
      </c>
      <c r="B546" s="78"/>
      <c r="C546" s="420">
        <v>0.05</v>
      </c>
      <c r="D546" s="179">
        <v>0.69</v>
      </c>
      <c r="E546" s="179">
        <v>0.69</v>
      </c>
      <c r="F546" s="229" t="s">
        <v>1656</v>
      </c>
    </row>
    <row r="547">
      <c r="A547" s="136" t="s">
        <v>8535</v>
      </c>
      <c r="B547" s="78"/>
      <c r="C547" s="420">
        <v>0.05</v>
      </c>
      <c r="D547" s="179">
        <v>0.69</v>
      </c>
      <c r="E547" s="179">
        <v>0.69</v>
      </c>
      <c r="F547" s="229" t="s">
        <v>1656</v>
      </c>
    </row>
    <row r="548">
      <c r="A548" s="136" t="s">
        <v>8536</v>
      </c>
      <c r="B548" s="78"/>
      <c r="C548" s="420">
        <v>0.05</v>
      </c>
      <c r="D548" s="179">
        <v>0.69</v>
      </c>
      <c r="E548" s="179">
        <v>0.69</v>
      </c>
      <c r="F548" s="229" t="s">
        <v>1656</v>
      </c>
    </row>
    <row r="549">
      <c r="A549" s="136" t="s">
        <v>8537</v>
      </c>
      <c r="B549" s="78"/>
      <c r="C549" s="420">
        <v>0.05</v>
      </c>
      <c r="D549" s="179">
        <v>0.69</v>
      </c>
      <c r="E549" s="179">
        <v>0.69</v>
      </c>
      <c r="F549" s="229" t="s">
        <v>1656</v>
      </c>
    </row>
    <row r="550">
      <c r="A550" s="136" t="s">
        <v>8538</v>
      </c>
      <c r="B550" s="78"/>
      <c r="C550" s="420">
        <v>0.05</v>
      </c>
      <c r="D550" s="179">
        <v>0.69</v>
      </c>
      <c r="E550" s="179">
        <v>0.69</v>
      </c>
      <c r="F550" s="229" t="s">
        <v>1656</v>
      </c>
    </row>
    <row r="551">
      <c r="A551" s="136" t="s">
        <v>8539</v>
      </c>
      <c r="B551" s="78"/>
      <c r="C551" s="420">
        <v>0.05</v>
      </c>
      <c r="D551" s="179">
        <v>0.69</v>
      </c>
      <c r="E551" s="179">
        <v>0.69</v>
      </c>
      <c r="F551" s="229" t="s">
        <v>1656</v>
      </c>
    </row>
    <row r="552">
      <c r="A552" s="136" t="s">
        <v>8540</v>
      </c>
      <c r="B552" s="78"/>
      <c r="C552" s="420">
        <v>0.05</v>
      </c>
      <c r="D552" s="179">
        <v>0.69</v>
      </c>
      <c r="E552" s="179">
        <v>0.69</v>
      </c>
      <c r="F552" s="229" t="s">
        <v>1656</v>
      </c>
    </row>
    <row r="553">
      <c r="A553" s="136" t="s">
        <v>8541</v>
      </c>
      <c r="B553" s="78"/>
      <c r="C553" s="420">
        <v>0.05</v>
      </c>
      <c r="D553" s="179">
        <v>0.69</v>
      </c>
      <c r="E553" s="179">
        <v>0.69</v>
      </c>
      <c r="F553" s="229" t="s">
        <v>1656</v>
      </c>
    </row>
    <row r="554">
      <c r="A554" s="136" t="s">
        <v>8542</v>
      </c>
      <c r="B554" s="78"/>
      <c r="C554" s="420">
        <v>0.05</v>
      </c>
      <c r="D554" s="179">
        <v>0.69</v>
      </c>
      <c r="E554" s="179">
        <v>0.69</v>
      </c>
      <c r="F554" s="229" t="s">
        <v>1656</v>
      </c>
    </row>
    <row r="555">
      <c r="A555" s="136" t="s">
        <v>8543</v>
      </c>
      <c r="B555" s="78"/>
      <c r="C555" s="420">
        <v>0.05</v>
      </c>
      <c r="D555" s="179">
        <v>0.69</v>
      </c>
      <c r="E555" s="179">
        <v>0.69</v>
      </c>
      <c r="F555" s="229" t="s">
        <v>1656</v>
      </c>
    </row>
    <row r="556">
      <c r="A556" s="136" t="s">
        <v>8544</v>
      </c>
      <c r="B556" s="78"/>
      <c r="C556" s="420">
        <v>0.05</v>
      </c>
      <c r="D556" s="179">
        <v>0.69</v>
      </c>
      <c r="E556" s="179">
        <v>0.69</v>
      </c>
      <c r="F556" s="229" t="s">
        <v>1656</v>
      </c>
    </row>
    <row r="557">
      <c r="A557" s="136" t="s">
        <v>8545</v>
      </c>
      <c r="B557" s="78"/>
      <c r="C557" s="420">
        <v>0.05</v>
      </c>
      <c r="D557" s="179">
        <v>0.69</v>
      </c>
      <c r="E557" s="179">
        <v>0.69</v>
      </c>
      <c r="F557" s="229" t="s">
        <v>1656</v>
      </c>
    </row>
    <row r="558">
      <c r="A558" s="136" t="s">
        <v>8546</v>
      </c>
      <c r="B558" s="78"/>
      <c r="C558" s="420">
        <v>0.05</v>
      </c>
      <c r="D558" s="179">
        <v>0.69</v>
      </c>
      <c r="E558" s="179">
        <v>0.69</v>
      </c>
      <c r="F558" s="229" t="s">
        <v>1656</v>
      </c>
    </row>
    <row r="559">
      <c r="A559" s="136" t="s">
        <v>8547</v>
      </c>
      <c r="B559" s="78"/>
      <c r="C559" s="420">
        <v>0.05</v>
      </c>
      <c r="D559" s="179">
        <v>0.69</v>
      </c>
      <c r="E559" s="179">
        <v>0.69</v>
      </c>
      <c r="F559" s="229" t="s">
        <v>1656</v>
      </c>
    </row>
    <row r="560">
      <c r="A560" s="136" t="s">
        <v>8548</v>
      </c>
      <c r="B560" s="78"/>
      <c r="C560" s="420">
        <v>0.05</v>
      </c>
      <c r="D560" s="179">
        <v>0.69</v>
      </c>
      <c r="E560" s="179">
        <v>0.69</v>
      </c>
      <c r="F560" s="229" t="s">
        <v>1656</v>
      </c>
    </row>
    <row r="561">
      <c r="A561" s="136" t="s">
        <v>8549</v>
      </c>
      <c r="B561" s="78"/>
      <c r="C561" s="420">
        <v>0.05</v>
      </c>
      <c r="D561" s="179">
        <v>0.69</v>
      </c>
      <c r="E561" s="179">
        <v>0.69</v>
      </c>
      <c r="F561" s="229" t="s">
        <v>1656</v>
      </c>
    </row>
    <row r="562">
      <c r="A562" s="136" t="s">
        <v>8550</v>
      </c>
      <c r="B562" s="78"/>
      <c r="C562" s="420">
        <v>0.05</v>
      </c>
      <c r="D562" s="179">
        <v>0.69</v>
      </c>
      <c r="E562" s="179">
        <v>0.69</v>
      </c>
      <c r="F562" s="229" t="s">
        <v>1656</v>
      </c>
    </row>
    <row r="563">
      <c r="A563" s="136" t="s">
        <v>8551</v>
      </c>
      <c r="B563" s="78"/>
      <c r="C563" s="420">
        <v>0.05</v>
      </c>
      <c r="D563" s="179">
        <v>0.69</v>
      </c>
      <c r="E563" s="179">
        <v>0.69</v>
      </c>
      <c r="F563" s="229" t="s">
        <v>1656</v>
      </c>
    </row>
    <row r="564">
      <c r="A564" s="136" t="s">
        <v>8552</v>
      </c>
      <c r="B564" s="78"/>
      <c r="C564" s="420">
        <v>0.05</v>
      </c>
      <c r="D564" s="179">
        <v>0.69</v>
      </c>
      <c r="E564" s="179">
        <v>0.69</v>
      </c>
      <c r="F564" s="229" t="s">
        <v>1656</v>
      </c>
    </row>
    <row r="565">
      <c r="A565" s="136" t="s">
        <v>8553</v>
      </c>
      <c r="B565" s="78"/>
      <c r="C565" s="420">
        <v>0.05</v>
      </c>
      <c r="D565" s="179">
        <v>0.69</v>
      </c>
      <c r="E565" s="179">
        <v>0.69</v>
      </c>
      <c r="F565" s="229" t="s">
        <v>1656</v>
      </c>
    </row>
    <row r="566">
      <c r="A566" s="136" t="s">
        <v>8554</v>
      </c>
      <c r="B566" s="78"/>
      <c r="C566" s="420">
        <v>0.05</v>
      </c>
      <c r="D566" s="179">
        <v>0.69</v>
      </c>
      <c r="E566" s="179">
        <v>0.69</v>
      </c>
      <c r="F566" s="229" t="s">
        <v>1656</v>
      </c>
    </row>
    <row r="567">
      <c r="A567" s="136" t="s">
        <v>8555</v>
      </c>
      <c r="B567" s="25">
        <v>7040.0</v>
      </c>
      <c r="C567" s="420">
        <v>0.05</v>
      </c>
      <c r="D567" s="179">
        <v>0.69</v>
      </c>
      <c r="E567" s="179">
        <v>0.69</v>
      </c>
      <c r="F567" s="229" t="s">
        <v>1656</v>
      </c>
    </row>
    <row r="568">
      <c r="A568" s="136" t="s">
        <v>8556</v>
      </c>
      <c r="B568" s="78"/>
      <c r="C568" s="420">
        <v>0.05</v>
      </c>
      <c r="D568" s="179">
        <v>0.69</v>
      </c>
      <c r="E568" s="179">
        <v>0.69</v>
      </c>
      <c r="F568" s="229" t="s">
        <v>1656</v>
      </c>
    </row>
    <row r="569">
      <c r="A569" s="136" t="s">
        <v>8557</v>
      </c>
      <c r="B569" s="78"/>
      <c r="C569" s="420">
        <v>0.05</v>
      </c>
      <c r="D569" s="179">
        <v>0.69</v>
      </c>
      <c r="E569" s="179">
        <v>0.69</v>
      </c>
      <c r="F569" s="229" t="s">
        <v>1656</v>
      </c>
    </row>
    <row r="570">
      <c r="A570" s="136" t="s">
        <v>8558</v>
      </c>
      <c r="B570" s="78"/>
      <c r="C570" s="420">
        <v>0.05</v>
      </c>
      <c r="D570" s="179">
        <v>0.69</v>
      </c>
      <c r="E570" s="179">
        <v>0.69</v>
      </c>
      <c r="F570" s="229" t="s">
        <v>1656</v>
      </c>
    </row>
    <row r="571">
      <c r="A571" s="136" t="s">
        <v>8559</v>
      </c>
      <c r="B571" s="25">
        <v>13858.0</v>
      </c>
      <c r="C571" s="420">
        <v>0.05</v>
      </c>
      <c r="D571" s="179">
        <v>0.69</v>
      </c>
      <c r="E571" s="179">
        <v>0.69</v>
      </c>
      <c r="F571" s="229" t="s">
        <v>1656</v>
      </c>
    </row>
    <row r="572">
      <c r="A572" s="136" t="s">
        <v>8560</v>
      </c>
      <c r="B572" s="78"/>
      <c r="C572" s="420">
        <v>0.05</v>
      </c>
      <c r="D572" s="179">
        <v>0.69</v>
      </c>
      <c r="E572" s="179">
        <v>0.69</v>
      </c>
      <c r="F572" s="229" t="s">
        <v>1656</v>
      </c>
    </row>
    <row r="573">
      <c r="A573" s="136" t="s">
        <v>8561</v>
      </c>
      <c r="B573" s="78"/>
      <c r="C573" s="420">
        <v>0.05</v>
      </c>
      <c r="D573" s="179">
        <v>0.69</v>
      </c>
      <c r="E573" s="179">
        <v>0.69</v>
      </c>
      <c r="F573" s="229" t="s">
        <v>1656</v>
      </c>
    </row>
    <row r="574">
      <c r="A574" s="136" t="s">
        <v>8562</v>
      </c>
      <c r="B574" s="78"/>
      <c r="C574" s="420">
        <v>0.05</v>
      </c>
      <c r="D574" s="179">
        <v>0.69</v>
      </c>
      <c r="E574" s="179">
        <v>0.69</v>
      </c>
      <c r="F574" s="229" t="s">
        <v>1656</v>
      </c>
    </row>
    <row r="575">
      <c r="A575" s="136" t="s">
        <v>8563</v>
      </c>
      <c r="B575" s="78"/>
      <c r="C575" s="420">
        <v>0.05</v>
      </c>
      <c r="D575" s="179">
        <v>0.69</v>
      </c>
      <c r="E575" s="179">
        <v>0.69</v>
      </c>
      <c r="F575" s="229" t="s">
        <v>1656</v>
      </c>
    </row>
    <row r="576">
      <c r="A576" s="136" t="s">
        <v>8564</v>
      </c>
      <c r="B576" s="78"/>
      <c r="C576" s="420">
        <v>0.05</v>
      </c>
      <c r="D576" s="179">
        <v>0.69</v>
      </c>
      <c r="E576" s="179">
        <v>0.69</v>
      </c>
      <c r="F576" s="229" t="s">
        <v>1656</v>
      </c>
    </row>
    <row r="577">
      <c r="A577" s="136" t="s">
        <v>8565</v>
      </c>
      <c r="B577" s="78"/>
      <c r="C577" s="420">
        <v>0.05</v>
      </c>
      <c r="D577" s="179">
        <v>0.69</v>
      </c>
      <c r="E577" s="179">
        <v>0.69</v>
      </c>
      <c r="F577" s="229" t="s">
        <v>1656</v>
      </c>
    </row>
    <row r="578">
      <c r="A578" s="136" t="s">
        <v>8566</v>
      </c>
      <c r="B578" s="78"/>
      <c r="C578" s="420">
        <v>0.05</v>
      </c>
      <c r="D578" s="179">
        <v>0.69</v>
      </c>
      <c r="E578" s="179">
        <v>0.69</v>
      </c>
      <c r="F578" s="229" t="s">
        <v>1656</v>
      </c>
    </row>
    <row r="579">
      <c r="A579" s="136" t="s">
        <v>8567</v>
      </c>
      <c r="B579" s="78"/>
      <c r="C579" s="420">
        <v>0.05</v>
      </c>
      <c r="D579" s="179">
        <v>0.69</v>
      </c>
      <c r="E579" s="179">
        <v>0.69</v>
      </c>
      <c r="F579" s="229" t="s">
        <v>1656</v>
      </c>
    </row>
    <row r="580">
      <c r="A580" s="136" t="s">
        <v>8568</v>
      </c>
      <c r="B580" s="78"/>
      <c r="C580" s="420">
        <v>0.05</v>
      </c>
      <c r="D580" s="179">
        <v>0.69</v>
      </c>
      <c r="E580" s="179">
        <v>0.69</v>
      </c>
      <c r="F580" s="229" t="s">
        <v>1656</v>
      </c>
    </row>
    <row r="581">
      <c r="A581" s="136" t="s">
        <v>8569</v>
      </c>
      <c r="B581" s="78"/>
      <c r="C581" s="420">
        <v>0.05</v>
      </c>
      <c r="D581" s="179">
        <v>0.69</v>
      </c>
      <c r="E581" s="179">
        <v>0.69</v>
      </c>
      <c r="F581" s="229" t="s">
        <v>1656</v>
      </c>
    </row>
    <row r="582">
      <c r="A582" s="136" t="s">
        <v>8570</v>
      </c>
      <c r="B582" s="78"/>
      <c r="C582" s="420">
        <v>0.05</v>
      </c>
      <c r="D582" s="179">
        <v>0.69</v>
      </c>
      <c r="E582" s="179">
        <v>0.69</v>
      </c>
      <c r="F582" s="229" t="s">
        <v>1656</v>
      </c>
    </row>
    <row r="583">
      <c r="A583" s="136" t="s">
        <v>8571</v>
      </c>
      <c r="B583" s="78"/>
      <c r="C583" s="420">
        <v>0.05</v>
      </c>
      <c r="D583" s="179">
        <v>0.69</v>
      </c>
      <c r="E583" s="179">
        <v>0.69</v>
      </c>
      <c r="F583" s="229" t="s">
        <v>1656</v>
      </c>
    </row>
    <row r="584">
      <c r="A584" s="136" t="s">
        <v>8572</v>
      </c>
      <c r="B584" s="78"/>
      <c r="C584" s="420">
        <v>0.05</v>
      </c>
      <c r="D584" s="179">
        <v>0.69</v>
      </c>
      <c r="E584" s="179">
        <v>0.69</v>
      </c>
      <c r="F584" s="229" t="s">
        <v>1656</v>
      </c>
    </row>
    <row r="585">
      <c r="A585" s="136" t="s">
        <v>8573</v>
      </c>
      <c r="B585" s="25">
        <v>9307.0</v>
      </c>
      <c r="C585" s="420">
        <v>0.05</v>
      </c>
      <c r="D585" s="179">
        <v>0.69</v>
      </c>
      <c r="E585" s="179">
        <v>0.69</v>
      </c>
      <c r="F585" s="229" t="s">
        <v>1656</v>
      </c>
    </row>
    <row r="586">
      <c r="A586" s="136" t="s">
        <v>8574</v>
      </c>
      <c r="B586" s="78"/>
      <c r="C586" s="420">
        <v>0.05</v>
      </c>
      <c r="D586" s="179">
        <v>0.69</v>
      </c>
      <c r="E586" s="179">
        <v>0.69</v>
      </c>
      <c r="F586" s="229" t="s">
        <v>1656</v>
      </c>
    </row>
    <row r="587">
      <c r="A587" s="136" t="s">
        <v>8575</v>
      </c>
      <c r="B587" s="78"/>
      <c r="C587" s="420">
        <v>0.05</v>
      </c>
      <c r="D587" s="179">
        <v>0.69</v>
      </c>
      <c r="E587" s="179">
        <v>0.69</v>
      </c>
      <c r="F587" s="229" t="s">
        <v>1656</v>
      </c>
    </row>
    <row r="588">
      <c r="A588" s="136" t="s">
        <v>8576</v>
      </c>
      <c r="B588" s="78"/>
      <c r="C588" s="420">
        <v>0.05</v>
      </c>
      <c r="D588" s="179">
        <v>0.69</v>
      </c>
      <c r="E588" s="179">
        <v>0.69</v>
      </c>
      <c r="F588" s="229" t="s">
        <v>1656</v>
      </c>
    </row>
    <row r="589">
      <c r="A589" s="136" t="s">
        <v>8577</v>
      </c>
      <c r="B589" s="78"/>
      <c r="C589" s="420">
        <v>0.05</v>
      </c>
      <c r="D589" s="179">
        <v>0.69</v>
      </c>
      <c r="E589" s="179">
        <v>0.69</v>
      </c>
      <c r="F589" s="229" t="s">
        <v>1656</v>
      </c>
    </row>
    <row r="590">
      <c r="A590" s="136" t="s">
        <v>8578</v>
      </c>
      <c r="B590" s="78"/>
      <c r="C590" s="420">
        <v>0.05</v>
      </c>
      <c r="D590" s="179">
        <v>0.69</v>
      </c>
      <c r="E590" s="179">
        <v>0.69</v>
      </c>
      <c r="F590" s="229" t="s">
        <v>1656</v>
      </c>
    </row>
    <row r="591">
      <c r="A591" s="136" t="s">
        <v>8579</v>
      </c>
      <c r="B591" s="78"/>
      <c r="C591" s="420">
        <v>0.05</v>
      </c>
      <c r="D591" s="179">
        <v>0.69</v>
      </c>
      <c r="E591" s="179">
        <v>0.69</v>
      </c>
      <c r="F591" s="229" t="s">
        <v>1656</v>
      </c>
    </row>
    <row r="592">
      <c r="A592" s="136" t="s">
        <v>8580</v>
      </c>
      <c r="B592" s="78"/>
      <c r="C592" s="420">
        <v>0.05</v>
      </c>
      <c r="D592" s="179">
        <v>0.69</v>
      </c>
      <c r="E592" s="179">
        <v>0.69</v>
      </c>
      <c r="F592" s="229" t="s">
        <v>1656</v>
      </c>
    </row>
    <row r="593">
      <c r="A593" s="136" t="s">
        <v>8581</v>
      </c>
      <c r="B593" s="78"/>
      <c r="C593" s="420">
        <v>0.05</v>
      </c>
      <c r="D593" s="179">
        <v>0.69</v>
      </c>
      <c r="E593" s="179">
        <v>0.69</v>
      </c>
      <c r="F593" s="229" t="s">
        <v>1656</v>
      </c>
    </row>
    <row r="594">
      <c r="A594" s="136" t="s">
        <v>8582</v>
      </c>
      <c r="B594" s="78"/>
      <c r="C594" s="420">
        <v>0.05</v>
      </c>
      <c r="D594" s="179">
        <v>0.69</v>
      </c>
      <c r="E594" s="179">
        <v>0.69</v>
      </c>
      <c r="F594" s="229" t="s">
        <v>1656</v>
      </c>
    </row>
    <row r="595">
      <c r="A595" s="136" t="s">
        <v>8583</v>
      </c>
      <c r="B595" s="78"/>
      <c r="C595" s="420">
        <v>0.05</v>
      </c>
      <c r="D595" s="179">
        <v>0.69</v>
      </c>
      <c r="E595" s="179">
        <v>0.69</v>
      </c>
      <c r="F595" s="229" t="s">
        <v>1656</v>
      </c>
    </row>
    <row r="596">
      <c r="A596" s="136" t="s">
        <v>8584</v>
      </c>
      <c r="B596" s="25">
        <v>4514.0</v>
      </c>
      <c r="C596" s="420">
        <v>0.05</v>
      </c>
      <c r="D596" s="179">
        <v>0.69</v>
      </c>
      <c r="E596" s="179">
        <v>0.69</v>
      </c>
      <c r="F596" s="229" t="s">
        <v>1656</v>
      </c>
    </row>
    <row r="597">
      <c r="A597" s="136" t="s">
        <v>8585</v>
      </c>
      <c r="B597" s="78"/>
      <c r="C597" s="420">
        <v>0.05</v>
      </c>
      <c r="D597" s="179">
        <v>0.69</v>
      </c>
      <c r="E597" s="179">
        <v>0.69</v>
      </c>
      <c r="F597" s="229" t="s">
        <v>1656</v>
      </c>
    </row>
    <row r="598">
      <c r="A598" s="136" t="s">
        <v>8586</v>
      </c>
      <c r="B598" s="78"/>
      <c r="C598" s="420">
        <v>0.05</v>
      </c>
      <c r="D598" s="179">
        <v>0.69</v>
      </c>
      <c r="E598" s="179">
        <v>0.69</v>
      </c>
      <c r="F598" s="229" t="s">
        <v>1656</v>
      </c>
    </row>
    <row r="599">
      <c r="A599" s="136" t="s">
        <v>8587</v>
      </c>
      <c r="B599" s="78"/>
      <c r="C599" s="420">
        <v>0.05</v>
      </c>
      <c r="D599" s="179">
        <v>0.69</v>
      </c>
      <c r="E599" s="179">
        <v>0.69</v>
      </c>
      <c r="F599" s="229" t="s">
        <v>1656</v>
      </c>
    </row>
    <row r="600">
      <c r="A600" s="136" t="s">
        <v>8588</v>
      </c>
      <c r="B600" s="78"/>
      <c r="C600" s="420">
        <v>0.05</v>
      </c>
      <c r="D600" s="179">
        <v>0.69</v>
      </c>
      <c r="E600" s="179">
        <v>0.69</v>
      </c>
      <c r="F600" s="229" t="s">
        <v>1656</v>
      </c>
    </row>
    <row r="601">
      <c r="A601" s="136" t="s">
        <v>8589</v>
      </c>
      <c r="B601" s="78"/>
      <c r="C601" s="420">
        <v>0.05</v>
      </c>
      <c r="D601" s="179">
        <v>0.69</v>
      </c>
      <c r="E601" s="179">
        <v>0.69</v>
      </c>
      <c r="F601" s="229" t="s">
        <v>1656</v>
      </c>
    </row>
    <row r="602">
      <c r="A602" s="136" t="s">
        <v>8590</v>
      </c>
      <c r="B602" s="78"/>
      <c r="C602" s="420">
        <v>0.05</v>
      </c>
      <c r="D602" s="179">
        <v>0.69</v>
      </c>
      <c r="E602" s="179">
        <v>0.69</v>
      </c>
      <c r="F602" s="229" t="s">
        <v>1656</v>
      </c>
    </row>
    <row r="603">
      <c r="A603" s="136" t="s">
        <v>8591</v>
      </c>
      <c r="B603" s="25">
        <v>6873.0</v>
      </c>
      <c r="C603" s="420">
        <v>0.05</v>
      </c>
      <c r="D603" s="179">
        <v>0.69</v>
      </c>
      <c r="E603" s="179">
        <v>0.69</v>
      </c>
      <c r="F603" s="229" t="s">
        <v>1656</v>
      </c>
    </row>
    <row r="604">
      <c r="A604" s="136" t="s">
        <v>8592</v>
      </c>
      <c r="B604" s="78"/>
      <c r="C604" s="420">
        <v>0.05</v>
      </c>
      <c r="D604" s="179">
        <v>0.69</v>
      </c>
      <c r="E604" s="179">
        <v>0.69</v>
      </c>
      <c r="F604" s="229" t="s">
        <v>1656</v>
      </c>
    </row>
    <row r="605">
      <c r="A605" s="136" t="s">
        <v>8593</v>
      </c>
      <c r="B605" s="78"/>
      <c r="C605" s="420">
        <v>0.05</v>
      </c>
      <c r="D605" s="179">
        <v>0.69</v>
      </c>
      <c r="E605" s="179">
        <v>0.69</v>
      </c>
      <c r="F605" s="229" t="s">
        <v>1656</v>
      </c>
    </row>
    <row r="606">
      <c r="A606" s="136" t="s">
        <v>8594</v>
      </c>
      <c r="B606" s="78"/>
      <c r="C606" s="420">
        <v>0.05</v>
      </c>
      <c r="D606" s="179">
        <v>0.69</v>
      </c>
      <c r="E606" s="179">
        <v>0.69</v>
      </c>
      <c r="F606" s="229" t="s">
        <v>1656</v>
      </c>
    </row>
    <row r="607">
      <c r="A607" s="136" t="s">
        <v>8595</v>
      </c>
      <c r="B607" s="78"/>
      <c r="C607" s="420">
        <v>0.05</v>
      </c>
      <c r="D607" s="179">
        <v>0.69</v>
      </c>
      <c r="E607" s="179">
        <v>0.69</v>
      </c>
      <c r="F607" s="229" t="s">
        <v>1656</v>
      </c>
    </row>
    <row r="608">
      <c r="A608" s="136" t="s">
        <v>8596</v>
      </c>
      <c r="B608" s="78"/>
      <c r="C608" s="420">
        <v>0.05</v>
      </c>
      <c r="D608" s="179">
        <v>0.69</v>
      </c>
      <c r="E608" s="179">
        <v>0.69</v>
      </c>
      <c r="F608" s="229" t="s">
        <v>1656</v>
      </c>
    </row>
    <row r="609">
      <c r="A609" s="136" t="s">
        <v>8597</v>
      </c>
      <c r="B609" s="78"/>
      <c r="C609" s="420">
        <v>0.05</v>
      </c>
      <c r="D609" s="179">
        <v>0.69</v>
      </c>
      <c r="E609" s="179">
        <v>0.69</v>
      </c>
      <c r="F609" s="229" t="s">
        <v>1656</v>
      </c>
    </row>
    <row r="610">
      <c r="A610" s="136" t="s">
        <v>8598</v>
      </c>
      <c r="B610" s="78"/>
      <c r="C610" s="420">
        <v>0.05</v>
      </c>
      <c r="D610" s="179">
        <v>0.69</v>
      </c>
      <c r="E610" s="179">
        <v>0.69</v>
      </c>
      <c r="F610" s="229" t="s">
        <v>1656</v>
      </c>
    </row>
    <row r="611">
      <c r="A611" s="136" t="s">
        <v>8599</v>
      </c>
      <c r="B611" s="78"/>
      <c r="C611" s="420">
        <v>0.05</v>
      </c>
      <c r="D611" s="179">
        <v>0.69</v>
      </c>
      <c r="E611" s="179">
        <v>0.69</v>
      </c>
      <c r="F611" s="229" t="s">
        <v>1656</v>
      </c>
    </row>
    <row r="612">
      <c r="A612" s="136" t="s">
        <v>8600</v>
      </c>
      <c r="B612" s="78"/>
      <c r="C612" s="420">
        <v>0.05</v>
      </c>
      <c r="D612" s="179">
        <v>0.69</v>
      </c>
      <c r="E612" s="179">
        <v>0.69</v>
      </c>
      <c r="F612" s="229" t="s">
        <v>1656</v>
      </c>
    </row>
    <row r="613">
      <c r="A613" s="136" t="s">
        <v>8601</v>
      </c>
      <c r="B613" s="78"/>
      <c r="C613" s="420">
        <v>0.05</v>
      </c>
      <c r="D613" s="179">
        <v>0.69</v>
      </c>
      <c r="E613" s="179">
        <v>0.69</v>
      </c>
      <c r="F613" s="229" t="s">
        <v>1656</v>
      </c>
    </row>
    <row r="614">
      <c r="A614" s="136" t="s">
        <v>8602</v>
      </c>
      <c r="B614" s="78"/>
      <c r="C614" s="420">
        <v>0.05</v>
      </c>
      <c r="D614" s="179">
        <v>0.69</v>
      </c>
      <c r="E614" s="179">
        <v>0.69</v>
      </c>
      <c r="F614" s="229" t="s">
        <v>1656</v>
      </c>
    </row>
    <row r="615">
      <c r="A615" s="136" t="s">
        <v>8603</v>
      </c>
      <c r="B615" s="78"/>
      <c r="C615" s="420">
        <v>0.05</v>
      </c>
      <c r="D615" s="179">
        <v>0.69</v>
      </c>
      <c r="E615" s="179">
        <v>0.69</v>
      </c>
      <c r="F615" s="229" t="s">
        <v>1656</v>
      </c>
    </row>
    <row r="616">
      <c r="A616" s="136" t="s">
        <v>8604</v>
      </c>
      <c r="B616" s="78"/>
      <c r="C616" s="420">
        <v>0.05</v>
      </c>
      <c r="D616" s="179">
        <v>0.69</v>
      </c>
      <c r="E616" s="179">
        <v>0.69</v>
      </c>
      <c r="F616" s="229" t="s">
        <v>1656</v>
      </c>
    </row>
    <row r="617">
      <c r="A617" s="136" t="s">
        <v>8605</v>
      </c>
      <c r="B617" s="78"/>
      <c r="C617" s="420">
        <v>0.05</v>
      </c>
      <c r="D617" s="179">
        <v>0.69</v>
      </c>
      <c r="E617" s="179">
        <v>0.69</v>
      </c>
      <c r="F617" s="229" t="s">
        <v>1656</v>
      </c>
    </row>
    <row r="618">
      <c r="A618" s="136" t="s">
        <v>8606</v>
      </c>
      <c r="B618" s="78"/>
      <c r="C618" s="420">
        <v>0.05</v>
      </c>
      <c r="D618" s="179">
        <v>0.69</v>
      </c>
      <c r="E618" s="179">
        <v>0.69</v>
      </c>
      <c r="F618" s="229" t="s">
        <v>1656</v>
      </c>
    </row>
    <row r="619">
      <c r="A619" s="136" t="s">
        <v>8607</v>
      </c>
      <c r="B619" s="78"/>
      <c r="C619" s="420">
        <v>0.05</v>
      </c>
      <c r="D619" s="179">
        <v>0.69</v>
      </c>
      <c r="E619" s="179">
        <v>0.69</v>
      </c>
      <c r="F619" s="229" t="s">
        <v>1656</v>
      </c>
    </row>
    <row r="620">
      <c r="A620" s="136" t="s">
        <v>8608</v>
      </c>
      <c r="B620" s="78"/>
      <c r="C620" s="420">
        <v>0.05</v>
      </c>
      <c r="D620" s="179">
        <v>0.69</v>
      </c>
      <c r="E620" s="179">
        <v>0.69</v>
      </c>
      <c r="F620" s="229" t="s">
        <v>1656</v>
      </c>
    </row>
    <row r="621">
      <c r="A621" s="136" t="s">
        <v>8609</v>
      </c>
      <c r="B621" s="78"/>
      <c r="C621" s="420">
        <v>0.05</v>
      </c>
      <c r="D621" s="179">
        <v>0.69</v>
      </c>
      <c r="E621" s="179">
        <v>0.69</v>
      </c>
      <c r="F621" s="229" t="s">
        <v>1656</v>
      </c>
    </row>
    <row r="622">
      <c r="A622" s="136" t="s">
        <v>8610</v>
      </c>
      <c r="B622" s="78"/>
      <c r="C622" s="420">
        <v>0.05</v>
      </c>
      <c r="D622" s="179">
        <v>0.69</v>
      </c>
      <c r="E622" s="179">
        <v>0.69</v>
      </c>
      <c r="F622" s="229" t="s">
        <v>1656</v>
      </c>
    </row>
    <row r="623">
      <c r="A623" s="136" t="s">
        <v>8611</v>
      </c>
      <c r="B623" s="78"/>
      <c r="C623" s="420">
        <v>0.05</v>
      </c>
      <c r="D623" s="179">
        <v>0.69</v>
      </c>
      <c r="E623" s="179">
        <v>0.69</v>
      </c>
      <c r="F623" s="229" t="s">
        <v>1656</v>
      </c>
    </row>
    <row r="624">
      <c r="A624" s="136" t="s">
        <v>8612</v>
      </c>
      <c r="B624" s="78"/>
      <c r="C624" s="420">
        <v>0.05</v>
      </c>
      <c r="D624" s="179">
        <v>0.69</v>
      </c>
      <c r="E624" s="179">
        <v>0.69</v>
      </c>
      <c r="F624" s="229" t="s">
        <v>1656</v>
      </c>
    </row>
    <row r="625">
      <c r="A625" s="136" t="s">
        <v>8613</v>
      </c>
      <c r="B625" s="78"/>
      <c r="C625" s="420">
        <v>0.05</v>
      </c>
      <c r="D625" s="179">
        <v>0.69</v>
      </c>
      <c r="E625" s="179">
        <v>0.69</v>
      </c>
      <c r="F625" s="229" t="s">
        <v>1656</v>
      </c>
    </row>
    <row r="626">
      <c r="A626" s="136" t="s">
        <v>8614</v>
      </c>
      <c r="B626" s="78"/>
      <c r="C626" s="420">
        <v>0.05</v>
      </c>
      <c r="D626" s="179">
        <v>0.69</v>
      </c>
      <c r="E626" s="179">
        <v>0.69</v>
      </c>
      <c r="F626" s="229" t="s">
        <v>1656</v>
      </c>
    </row>
    <row r="627">
      <c r="A627" s="136" t="s">
        <v>8615</v>
      </c>
      <c r="B627" s="78"/>
      <c r="C627" s="420">
        <v>0.05</v>
      </c>
      <c r="D627" s="179">
        <v>0.69</v>
      </c>
      <c r="E627" s="179">
        <v>0.69</v>
      </c>
      <c r="F627" s="229" t="s">
        <v>1656</v>
      </c>
    </row>
    <row r="628">
      <c r="A628" s="136" t="s">
        <v>8616</v>
      </c>
      <c r="B628" s="78"/>
      <c r="C628" s="420">
        <v>0.05</v>
      </c>
      <c r="D628" s="179">
        <v>0.69</v>
      </c>
      <c r="E628" s="179">
        <v>0.69</v>
      </c>
      <c r="F628" s="229" t="s">
        <v>1656</v>
      </c>
    </row>
    <row r="629">
      <c r="A629" s="136" t="s">
        <v>8617</v>
      </c>
      <c r="B629" s="78"/>
      <c r="C629" s="420">
        <v>0.05</v>
      </c>
      <c r="D629" s="179">
        <v>0.69</v>
      </c>
      <c r="E629" s="179">
        <v>0.69</v>
      </c>
      <c r="F629" s="229" t="s">
        <v>1656</v>
      </c>
    </row>
    <row r="630">
      <c r="A630" s="136" t="s">
        <v>8618</v>
      </c>
      <c r="B630" s="78"/>
      <c r="C630" s="420">
        <v>0.05</v>
      </c>
      <c r="D630" s="179">
        <v>0.69</v>
      </c>
      <c r="E630" s="179">
        <v>0.69</v>
      </c>
      <c r="F630" s="229" t="s">
        <v>1656</v>
      </c>
    </row>
    <row r="631">
      <c r="A631" s="136" t="s">
        <v>8619</v>
      </c>
      <c r="B631" s="78"/>
      <c r="C631" s="420">
        <v>0.05</v>
      </c>
      <c r="D631" s="179">
        <v>0.69</v>
      </c>
      <c r="E631" s="179">
        <v>0.69</v>
      </c>
      <c r="F631" s="229" t="s">
        <v>1656</v>
      </c>
    </row>
    <row r="632">
      <c r="A632" s="136" t="s">
        <v>8620</v>
      </c>
      <c r="B632" s="78"/>
      <c r="C632" s="420">
        <v>0.05</v>
      </c>
      <c r="D632" s="179">
        <v>0.69</v>
      </c>
      <c r="E632" s="179">
        <v>0.69</v>
      </c>
      <c r="F632" s="229" t="s">
        <v>1656</v>
      </c>
    </row>
    <row r="633">
      <c r="A633" s="136" t="s">
        <v>8621</v>
      </c>
      <c r="B633" s="78"/>
      <c r="C633" s="420">
        <v>0.05</v>
      </c>
      <c r="D633" s="179">
        <v>0.69</v>
      </c>
      <c r="E633" s="179">
        <v>0.69</v>
      </c>
      <c r="F633" s="229" t="s">
        <v>1656</v>
      </c>
    </row>
    <row r="634">
      <c r="A634" s="136" t="s">
        <v>8622</v>
      </c>
      <c r="B634" s="78"/>
      <c r="C634" s="420">
        <v>0.05</v>
      </c>
      <c r="D634" s="179">
        <v>0.69</v>
      </c>
      <c r="E634" s="179">
        <v>0.69</v>
      </c>
      <c r="F634" s="229" t="s">
        <v>1656</v>
      </c>
    </row>
    <row r="635">
      <c r="A635" s="136" t="s">
        <v>8623</v>
      </c>
      <c r="B635" s="78"/>
      <c r="C635" s="420">
        <v>0.05</v>
      </c>
      <c r="D635" s="179">
        <v>0.69</v>
      </c>
      <c r="E635" s="179">
        <v>0.69</v>
      </c>
      <c r="F635" s="229" t="s">
        <v>1656</v>
      </c>
    </row>
    <row r="636">
      <c r="A636" s="136" t="s">
        <v>8624</v>
      </c>
      <c r="B636" s="78"/>
      <c r="C636" s="420">
        <v>0.05</v>
      </c>
      <c r="D636" s="179">
        <v>0.69</v>
      </c>
      <c r="E636" s="179">
        <v>0.69</v>
      </c>
      <c r="F636" s="229" t="s">
        <v>1656</v>
      </c>
    </row>
    <row r="637">
      <c r="A637" s="136" t="s">
        <v>8625</v>
      </c>
      <c r="B637" s="78"/>
      <c r="C637" s="420">
        <v>0.05</v>
      </c>
      <c r="D637" s="179">
        <v>0.69</v>
      </c>
      <c r="E637" s="179">
        <v>0.69</v>
      </c>
      <c r="F637" s="229" t="s">
        <v>1656</v>
      </c>
    </row>
    <row r="638">
      <c r="A638" s="136" t="s">
        <v>8626</v>
      </c>
      <c r="B638" s="78"/>
      <c r="C638" s="420">
        <v>0.05</v>
      </c>
      <c r="D638" s="179">
        <v>0.69</v>
      </c>
      <c r="E638" s="179">
        <v>0.69</v>
      </c>
      <c r="F638" s="229" t="s">
        <v>1656</v>
      </c>
    </row>
    <row r="639">
      <c r="A639" s="136" t="s">
        <v>8627</v>
      </c>
      <c r="B639" s="78"/>
      <c r="C639" s="420">
        <v>0.05</v>
      </c>
      <c r="D639" s="179">
        <v>0.69</v>
      </c>
      <c r="E639" s="179">
        <v>0.69</v>
      </c>
      <c r="F639" s="229" t="s">
        <v>1656</v>
      </c>
    </row>
    <row r="640">
      <c r="A640" s="136" t="s">
        <v>8628</v>
      </c>
      <c r="B640" s="78"/>
      <c r="C640" s="420">
        <v>0.05</v>
      </c>
      <c r="D640" s="179">
        <v>0.69</v>
      </c>
      <c r="E640" s="179">
        <v>0.69</v>
      </c>
      <c r="F640" s="229" t="s">
        <v>1656</v>
      </c>
    </row>
    <row r="641">
      <c r="A641" s="136" t="s">
        <v>8629</v>
      </c>
      <c r="B641" s="78"/>
      <c r="C641" s="420">
        <v>0.05</v>
      </c>
      <c r="D641" s="179">
        <v>0.69</v>
      </c>
      <c r="E641" s="179">
        <v>0.69</v>
      </c>
      <c r="F641" s="229" t="s">
        <v>1656</v>
      </c>
    </row>
    <row r="642">
      <c r="A642" s="136" t="s">
        <v>8630</v>
      </c>
      <c r="B642" s="78"/>
      <c r="C642" s="420">
        <v>0.05</v>
      </c>
      <c r="D642" s="179">
        <v>0.69</v>
      </c>
      <c r="E642" s="179">
        <v>0.69</v>
      </c>
      <c r="F642" s="229" t="s">
        <v>1656</v>
      </c>
    </row>
    <row r="643">
      <c r="A643" s="136" t="s">
        <v>8631</v>
      </c>
      <c r="B643" s="78"/>
      <c r="C643" s="420">
        <v>0.05</v>
      </c>
      <c r="D643" s="179">
        <v>0.69</v>
      </c>
      <c r="E643" s="179">
        <v>0.69</v>
      </c>
      <c r="F643" s="229" t="s">
        <v>1656</v>
      </c>
    </row>
    <row r="644">
      <c r="A644" s="136" t="s">
        <v>8632</v>
      </c>
      <c r="B644" s="78"/>
      <c r="C644" s="420">
        <v>0.05</v>
      </c>
      <c r="D644" s="179">
        <v>0.69</v>
      </c>
      <c r="E644" s="179">
        <v>0.69</v>
      </c>
      <c r="F644" s="229" t="s">
        <v>1656</v>
      </c>
    </row>
    <row r="645">
      <c r="A645" s="136" t="s">
        <v>8633</v>
      </c>
      <c r="B645" s="78"/>
      <c r="C645" s="420">
        <v>0.05</v>
      </c>
      <c r="D645" s="179">
        <v>0.69</v>
      </c>
      <c r="E645" s="179">
        <v>0.69</v>
      </c>
      <c r="F645" s="229" t="s">
        <v>1656</v>
      </c>
    </row>
    <row r="646">
      <c r="A646" s="136" t="s">
        <v>8634</v>
      </c>
      <c r="B646" s="78"/>
      <c r="C646" s="420">
        <v>0.05</v>
      </c>
      <c r="D646" s="179">
        <v>0.69</v>
      </c>
      <c r="E646" s="179">
        <v>0.69</v>
      </c>
      <c r="F646" s="229" t="s">
        <v>1656</v>
      </c>
    </row>
    <row r="647">
      <c r="A647" s="136" t="s">
        <v>8635</v>
      </c>
      <c r="B647" s="78"/>
      <c r="C647" s="420">
        <v>0.05</v>
      </c>
      <c r="D647" s="179">
        <v>0.69</v>
      </c>
      <c r="E647" s="179">
        <v>0.69</v>
      </c>
      <c r="F647" s="229" t="s">
        <v>1656</v>
      </c>
    </row>
    <row r="648">
      <c r="A648" s="136" t="s">
        <v>8636</v>
      </c>
      <c r="B648" s="78"/>
      <c r="C648" s="420">
        <v>0.05</v>
      </c>
      <c r="D648" s="179">
        <v>0.69</v>
      </c>
      <c r="E648" s="179">
        <v>0.69</v>
      </c>
      <c r="F648" s="229" t="s">
        <v>1656</v>
      </c>
    </row>
    <row r="649">
      <c r="A649" s="136" t="s">
        <v>8637</v>
      </c>
      <c r="B649" s="78"/>
      <c r="C649" s="420">
        <v>0.05</v>
      </c>
      <c r="D649" s="179">
        <v>0.69</v>
      </c>
      <c r="E649" s="179">
        <v>0.69</v>
      </c>
      <c r="F649" s="229" t="s">
        <v>1656</v>
      </c>
    </row>
    <row r="650">
      <c r="A650" s="136" t="s">
        <v>8638</v>
      </c>
      <c r="B650" s="78"/>
      <c r="C650" s="420">
        <v>0.05</v>
      </c>
      <c r="D650" s="179">
        <v>0.69</v>
      </c>
      <c r="E650" s="179">
        <v>0.69</v>
      </c>
      <c r="F650" s="229" t="s">
        <v>1656</v>
      </c>
    </row>
    <row r="651">
      <c r="A651" s="136" t="s">
        <v>8639</v>
      </c>
      <c r="B651" s="78"/>
      <c r="C651" s="420">
        <v>0.05</v>
      </c>
      <c r="D651" s="179">
        <v>0.69</v>
      </c>
      <c r="E651" s="179">
        <v>0.69</v>
      </c>
      <c r="F651" s="229" t="s">
        <v>1656</v>
      </c>
    </row>
    <row r="652">
      <c r="A652" s="136" t="s">
        <v>8640</v>
      </c>
      <c r="B652" s="78"/>
      <c r="C652" s="420">
        <v>0.05</v>
      </c>
      <c r="D652" s="179">
        <v>0.69</v>
      </c>
      <c r="E652" s="179">
        <v>0.69</v>
      </c>
      <c r="F652" s="229" t="s">
        <v>1656</v>
      </c>
    </row>
    <row r="653">
      <c r="A653" s="136" t="s">
        <v>8641</v>
      </c>
      <c r="B653" s="25">
        <v>663.0</v>
      </c>
      <c r="C653" s="420">
        <v>0.05</v>
      </c>
      <c r="D653" s="179">
        <v>0.69</v>
      </c>
      <c r="E653" s="179">
        <v>0.69</v>
      </c>
      <c r="F653" s="229" t="s">
        <v>1656</v>
      </c>
    </row>
    <row r="654">
      <c r="A654" s="136" t="s">
        <v>8642</v>
      </c>
      <c r="B654" s="78"/>
      <c r="C654" s="420">
        <v>0.05</v>
      </c>
      <c r="D654" s="179">
        <v>0.69</v>
      </c>
      <c r="E654" s="179">
        <v>0.69</v>
      </c>
      <c r="F654" s="229" t="s">
        <v>1656</v>
      </c>
    </row>
    <row r="655">
      <c r="A655" s="136" t="s">
        <v>8643</v>
      </c>
      <c r="B655" s="78"/>
      <c r="C655" s="420">
        <v>0.05</v>
      </c>
      <c r="D655" s="179">
        <v>0.69</v>
      </c>
      <c r="E655" s="179">
        <v>0.69</v>
      </c>
      <c r="F655" s="229" t="s">
        <v>1656</v>
      </c>
    </row>
    <row r="656">
      <c r="A656" s="136" t="s">
        <v>8644</v>
      </c>
      <c r="B656" s="78"/>
      <c r="C656" s="420">
        <v>0.05</v>
      </c>
      <c r="D656" s="179">
        <v>0.69</v>
      </c>
      <c r="E656" s="179">
        <v>0.69</v>
      </c>
      <c r="F656" s="229" t="s">
        <v>1656</v>
      </c>
    </row>
    <row r="657">
      <c r="A657" s="136" t="s">
        <v>8645</v>
      </c>
      <c r="B657" s="78"/>
      <c r="C657" s="420">
        <v>0.05</v>
      </c>
      <c r="D657" s="179">
        <v>0.69</v>
      </c>
      <c r="E657" s="179">
        <v>0.69</v>
      </c>
      <c r="F657" s="229" t="s">
        <v>1656</v>
      </c>
    </row>
    <row r="658">
      <c r="A658" s="136" t="s">
        <v>8646</v>
      </c>
      <c r="B658" s="78"/>
      <c r="C658" s="420">
        <v>0.05</v>
      </c>
      <c r="D658" s="179">
        <v>0.69</v>
      </c>
      <c r="E658" s="179">
        <v>0.69</v>
      </c>
      <c r="F658" s="229" t="s">
        <v>1656</v>
      </c>
    </row>
    <row r="659">
      <c r="A659" s="136" t="s">
        <v>8647</v>
      </c>
      <c r="B659" s="78"/>
      <c r="C659" s="420">
        <v>0.05</v>
      </c>
      <c r="D659" s="179">
        <v>0.69</v>
      </c>
      <c r="E659" s="179">
        <v>0.69</v>
      </c>
      <c r="F659" s="229" t="s">
        <v>1656</v>
      </c>
    </row>
    <row r="660">
      <c r="A660" s="136" t="s">
        <v>8648</v>
      </c>
      <c r="B660" s="78"/>
      <c r="C660" s="420">
        <v>0.05</v>
      </c>
      <c r="D660" s="179">
        <v>0.69</v>
      </c>
      <c r="E660" s="179">
        <v>0.69</v>
      </c>
      <c r="F660" s="229" t="s">
        <v>1656</v>
      </c>
    </row>
    <row r="661">
      <c r="A661" s="136" t="s">
        <v>8649</v>
      </c>
      <c r="B661" s="78"/>
      <c r="C661" s="420">
        <v>0.05</v>
      </c>
      <c r="D661" s="179">
        <v>0.69</v>
      </c>
      <c r="E661" s="179">
        <v>0.69</v>
      </c>
      <c r="F661" s="229" t="s">
        <v>1656</v>
      </c>
    </row>
    <row r="662">
      <c r="A662" s="136" t="s">
        <v>8650</v>
      </c>
      <c r="B662" s="78"/>
      <c r="C662" s="420">
        <v>0.05</v>
      </c>
      <c r="D662" s="179">
        <v>0.69</v>
      </c>
      <c r="E662" s="179">
        <v>0.69</v>
      </c>
      <c r="F662" s="229" t="s">
        <v>1656</v>
      </c>
    </row>
    <row r="663">
      <c r="A663" s="136" t="s">
        <v>8651</v>
      </c>
      <c r="B663" s="78"/>
      <c r="C663" s="420">
        <v>0.05</v>
      </c>
      <c r="D663" s="179">
        <v>0.69</v>
      </c>
      <c r="E663" s="179">
        <v>0.69</v>
      </c>
      <c r="F663" s="229" t="s">
        <v>1656</v>
      </c>
    </row>
    <row r="664">
      <c r="A664" s="136" t="s">
        <v>8652</v>
      </c>
      <c r="B664" s="78"/>
      <c r="C664" s="420">
        <v>0.05</v>
      </c>
      <c r="D664" s="179">
        <v>0.69</v>
      </c>
      <c r="E664" s="179">
        <v>0.69</v>
      </c>
      <c r="F664" s="229" t="s">
        <v>1656</v>
      </c>
    </row>
    <row r="665">
      <c r="A665" s="136" t="s">
        <v>8653</v>
      </c>
      <c r="B665" s="25">
        <v>271.0</v>
      </c>
      <c r="C665" s="420">
        <v>0.05</v>
      </c>
      <c r="D665" s="179">
        <v>0.69</v>
      </c>
      <c r="E665" s="179">
        <v>0.69</v>
      </c>
      <c r="F665" s="229" t="s">
        <v>1656</v>
      </c>
    </row>
    <row r="666">
      <c r="A666" s="136" t="s">
        <v>8654</v>
      </c>
      <c r="B666" s="25">
        <v>271.0</v>
      </c>
      <c r="C666" s="420">
        <v>0.05</v>
      </c>
      <c r="D666" s="179">
        <v>0.69</v>
      </c>
      <c r="E666" s="179">
        <v>0.69</v>
      </c>
      <c r="F666" s="229" t="s">
        <v>1656</v>
      </c>
    </row>
    <row r="667">
      <c r="A667" s="136" t="s">
        <v>8655</v>
      </c>
      <c r="B667" s="78"/>
      <c r="C667" s="420">
        <v>0.05</v>
      </c>
      <c r="D667" s="179">
        <v>0.69</v>
      </c>
      <c r="E667" s="179">
        <v>0.69</v>
      </c>
      <c r="F667" s="229" t="s">
        <v>1656</v>
      </c>
    </row>
    <row r="668">
      <c r="A668" s="136" t="s">
        <v>8656</v>
      </c>
      <c r="B668" s="78"/>
      <c r="C668" s="420">
        <v>0.05</v>
      </c>
      <c r="D668" s="179">
        <v>0.69</v>
      </c>
      <c r="E668" s="179">
        <v>0.69</v>
      </c>
      <c r="F668" s="229" t="s">
        <v>1656</v>
      </c>
    </row>
    <row r="669">
      <c r="A669" s="136" t="s">
        <v>8657</v>
      </c>
      <c r="B669" s="78"/>
      <c r="C669" s="420">
        <v>0.05</v>
      </c>
      <c r="D669" s="179">
        <v>0.69</v>
      </c>
      <c r="E669" s="179">
        <v>0.69</v>
      </c>
      <c r="F669" s="229" t="s">
        <v>1656</v>
      </c>
    </row>
    <row r="670">
      <c r="A670" s="136" t="s">
        <v>8658</v>
      </c>
      <c r="B670" s="78"/>
      <c r="C670" s="420">
        <v>0.05</v>
      </c>
      <c r="D670" s="179">
        <v>0.69</v>
      </c>
      <c r="E670" s="179">
        <v>0.69</v>
      </c>
      <c r="F670" s="229" t="s">
        <v>1656</v>
      </c>
    </row>
    <row r="671">
      <c r="A671" s="136" t="s">
        <v>8659</v>
      </c>
      <c r="B671" s="78"/>
      <c r="C671" s="420">
        <v>0.05</v>
      </c>
      <c r="D671" s="179">
        <v>0.69</v>
      </c>
      <c r="E671" s="179">
        <v>0.69</v>
      </c>
      <c r="F671" s="229" t="s">
        <v>1656</v>
      </c>
    </row>
    <row r="672">
      <c r="A672" s="136" t="s">
        <v>8660</v>
      </c>
      <c r="B672" s="78"/>
      <c r="C672" s="420">
        <v>0.05</v>
      </c>
      <c r="D672" s="179">
        <v>0.69</v>
      </c>
      <c r="E672" s="179">
        <v>0.69</v>
      </c>
      <c r="F672" s="229" t="s">
        <v>1656</v>
      </c>
    </row>
    <row r="673">
      <c r="A673" s="136" t="s">
        <v>8661</v>
      </c>
      <c r="B673" s="78"/>
      <c r="C673" s="420">
        <v>0.05</v>
      </c>
      <c r="D673" s="179">
        <v>0.69</v>
      </c>
      <c r="E673" s="179">
        <v>0.69</v>
      </c>
      <c r="F673" s="229" t="s">
        <v>1656</v>
      </c>
    </row>
    <row r="674">
      <c r="A674" s="136" t="s">
        <v>8662</v>
      </c>
      <c r="B674" s="78"/>
      <c r="C674" s="420">
        <v>0.05</v>
      </c>
      <c r="D674" s="179">
        <v>0.69</v>
      </c>
      <c r="E674" s="179">
        <v>0.69</v>
      </c>
      <c r="F674" s="229" t="s">
        <v>1656</v>
      </c>
    </row>
    <row r="675">
      <c r="A675" s="136" t="s">
        <v>8663</v>
      </c>
      <c r="B675" s="78"/>
      <c r="C675" s="420">
        <v>0.05</v>
      </c>
      <c r="D675" s="179">
        <v>0.69</v>
      </c>
      <c r="E675" s="179">
        <v>0.69</v>
      </c>
      <c r="F675" s="229" t="s">
        <v>1656</v>
      </c>
    </row>
    <row r="676">
      <c r="A676" s="136" t="s">
        <v>8664</v>
      </c>
      <c r="B676" s="78"/>
      <c r="C676" s="420">
        <v>0.05</v>
      </c>
      <c r="D676" s="179">
        <v>0.69</v>
      </c>
      <c r="E676" s="179">
        <v>0.69</v>
      </c>
      <c r="F676" s="229" t="s">
        <v>1656</v>
      </c>
    </row>
    <row r="677">
      <c r="A677" s="136" t="s">
        <v>8665</v>
      </c>
      <c r="B677" s="78"/>
      <c r="C677" s="420">
        <v>0.05</v>
      </c>
      <c r="D677" s="179">
        <v>0.69</v>
      </c>
      <c r="E677" s="179">
        <v>0.69</v>
      </c>
      <c r="F677" s="229" t="s">
        <v>1656</v>
      </c>
    </row>
    <row r="678">
      <c r="A678" s="136" t="s">
        <v>8666</v>
      </c>
      <c r="B678" s="78"/>
      <c r="C678" s="420">
        <v>0.05</v>
      </c>
      <c r="D678" s="179">
        <v>0.69</v>
      </c>
      <c r="E678" s="179">
        <v>0.69</v>
      </c>
      <c r="F678" s="229" t="s">
        <v>1656</v>
      </c>
    </row>
    <row r="679">
      <c r="A679" s="136" t="s">
        <v>8667</v>
      </c>
      <c r="B679" s="78"/>
      <c r="C679" s="420">
        <v>0.05</v>
      </c>
      <c r="D679" s="179">
        <v>0.69</v>
      </c>
      <c r="E679" s="179">
        <v>0.69</v>
      </c>
      <c r="F679" s="229" t="s">
        <v>1656</v>
      </c>
    </row>
    <row r="680">
      <c r="A680" s="136" t="s">
        <v>8668</v>
      </c>
      <c r="B680" s="78"/>
      <c r="C680" s="420">
        <v>0.05</v>
      </c>
      <c r="D680" s="179">
        <v>0.69</v>
      </c>
      <c r="E680" s="179">
        <v>0.69</v>
      </c>
      <c r="F680" s="229" t="s">
        <v>1656</v>
      </c>
    </row>
    <row r="681">
      <c r="A681" s="136" t="s">
        <v>8669</v>
      </c>
      <c r="B681" s="78"/>
      <c r="C681" s="420">
        <v>0.05</v>
      </c>
      <c r="D681" s="179">
        <v>0.69</v>
      </c>
      <c r="E681" s="179">
        <v>0.69</v>
      </c>
      <c r="F681" s="229" t="s">
        <v>1656</v>
      </c>
    </row>
    <row r="682">
      <c r="A682" s="136" t="s">
        <v>8670</v>
      </c>
      <c r="B682" s="78"/>
      <c r="C682" s="420">
        <v>0.05</v>
      </c>
      <c r="D682" s="179">
        <v>0.69</v>
      </c>
      <c r="E682" s="179">
        <v>0.69</v>
      </c>
      <c r="F682" s="229" t="s">
        <v>1656</v>
      </c>
    </row>
    <row r="683">
      <c r="A683" s="136" t="s">
        <v>8671</v>
      </c>
      <c r="B683" s="78"/>
      <c r="C683" s="420">
        <v>0.05</v>
      </c>
      <c r="D683" s="179">
        <v>0.69</v>
      </c>
      <c r="E683" s="179">
        <v>0.69</v>
      </c>
      <c r="F683" s="229" t="s">
        <v>1656</v>
      </c>
    </row>
    <row r="684">
      <c r="A684" s="136" t="s">
        <v>8672</v>
      </c>
      <c r="B684" s="78"/>
      <c r="C684" s="420">
        <v>0.05</v>
      </c>
      <c r="D684" s="179">
        <v>0.69</v>
      </c>
      <c r="E684" s="179">
        <v>0.69</v>
      </c>
      <c r="F684" s="229" t="s">
        <v>1656</v>
      </c>
    </row>
    <row r="685">
      <c r="A685" s="136" t="s">
        <v>8673</v>
      </c>
      <c r="B685" s="78"/>
      <c r="C685" s="420">
        <v>0.05</v>
      </c>
      <c r="D685" s="179">
        <v>0.69</v>
      </c>
      <c r="E685" s="179">
        <v>0.69</v>
      </c>
      <c r="F685" s="229" t="s">
        <v>1656</v>
      </c>
    </row>
    <row r="686">
      <c r="A686" s="136" t="s">
        <v>8674</v>
      </c>
      <c r="B686" s="25">
        <v>189.0</v>
      </c>
      <c r="C686" s="420">
        <v>0.05</v>
      </c>
      <c r="D686" s="74">
        <v>0.8</v>
      </c>
      <c r="E686" s="74">
        <v>0.8</v>
      </c>
      <c r="F686" s="229" t="s">
        <v>1656</v>
      </c>
    </row>
    <row r="687">
      <c r="A687" s="136" t="s">
        <v>8675</v>
      </c>
      <c r="B687" s="78"/>
      <c r="C687" s="420">
        <v>0.05</v>
      </c>
      <c r="D687" s="179">
        <v>0.69</v>
      </c>
      <c r="E687" s="179">
        <v>0.69</v>
      </c>
      <c r="F687" s="229" t="s">
        <v>1656</v>
      </c>
    </row>
    <row r="688">
      <c r="A688" s="136" t="s">
        <v>8676</v>
      </c>
      <c r="B688" s="78"/>
      <c r="C688" s="420">
        <v>0.05</v>
      </c>
      <c r="D688" s="179">
        <v>0.69</v>
      </c>
      <c r="E688" s="179">
        <v>0.69</v>
      </c>
      <c r="F688" s="229" t="s">
        <v>1656</v>
      </c>
    </row>
    <row r="689">
      <c r="A689" s="136" t="s">
        <v>8677</v>
      </c>
      <c r="B689" s="25">
        <v>189.0</v>
      </c>
      <c r="C689" s="420">
        <v>0.05</v>
      </c>
      <c r="D689" s="74">
        <v>0.8</v>
      </c>
      <c r="E689" s="74">
        <v>0.8</v>
      </c>
      <c r="F689" s="229" t="s">
        <v>1656</v>
      </c>
    </row>
    <row r="690">
      <c r="A690" s="136" t="s">
        <v>8678</v>
      </c>
      <c r="B690" s="78"/>
      <c r="C690" s="420">
        <v>0.05</v>
      </c>
      <c r="D690" s="179">
        <v>0.69</v>
      </c>
      <c r="E690" s="179">
        <v>0.69</v>
      </c>
      <c r="F690" s="229" t="s">
        <v>1656</v>
      </c>
    </row>
    <row r="691">
      <c r="A691" s="136" t="s">
        <v>8679</v>
      </c>
      <c r="B691" s="78"/>
      <c r="C691" s="420">
        <v>0.05</v>
      </c>
      <c r="D691" s="179">
        <v>0.69</v>
      </c>
      <c r="E691" s="179">
        <v>0.69</v>
      </c>
      <c r="F691" s="229" t="s">
        <v>1656</v>
      </c>
    </row>
    <row r="692">
      <c r="A692" s="136" t="s">
        <v>8680</v>
      </c>
      <c r="B692" s="78"/>
      <c r="C692" s="420">
        <v>0.05</v>
      </c>
      <c r="D692" s="179">
        <v>0.69</v>
      </c>
      <c r="E692" s="179">
        <v>0.69</v>
      </c>
      <c r="F692" s="229" t="s">
        <v>1656</v>
      </c>
    </row>
    <row r="693">
      <c r="A693" s="136" t="s">
        <v>8681</v>
      </c>
      <c r="B693" s="78"/>
      <c r="C693" s="420">
        <v>0.05</v>
      </c>
      <c r="D693" s="179">
        <v>0.69</v>
      </c>
      <c r="E693" s="179">
        <v>0.69</v>
      </c>
      <c r="F693" s="229" t="s">
        <v>1656</v>
      </c>
    </row>
    <row r="694">
      <c r="A694" s="136" t="s">
        <v>8682</v>
      </c>
      <c r="B694" s="78"/>
      <c r="C694" s="420">
        <v>0.05</v>
      </c>
      <c r="D694" s="179">
        <v>0.69</v>
      </c>
      <c r="E694" s="179">
        <v>0.69</v>
      </c>
      <c r="F694" s="229" t="s">
        <v>1656</v>
      </c>
    </row>
    <row r="695">
      <c r="A695" s="136" t="s">
        <v>8683</v>
      </c>
      <c r="B695" s="78"/>
      <c r="C695" s="420">
        <v>0.05</v>
      </c>
      <c r="D695" s="179">
        <v>0.69</v>
      </c>
      <c r="E695" s="179">
        <v>0.69</v>
      </c>
      <c r="F695" s="229" t="s">
        <v>1656</v>
      </c>
    </row>
    <row r="696">
      <c r="A696" s="136" t="s">
        <v>8684</v>
      </c>
      <c r="B696" s="78"/>
      <c r="C696" s="420">
        <v>0.05</v>
      </c>
      <c r="D696" s="179">
        <v>0.69</v>
      </c>
      <c r="E696" s="179">
        <v>0.69</v>
      </c>
      <c r="F696" s="229" t="s">
        <v>1656</v>
      </c>
    </row>
    <row r="697">
      <c r="A697" s="136" t="s">
        <v>8685</v>
      </c>
      <c r="B697" s="78"/>
      <c r="C697" s="420">
        <v>0.05</v>
      </c>
      <c r="D697" s="179">
        <v>0.69</v>
      </c>
      <c r="E697" s="179">
        <v>0.69</v>
      </c>
      <c r="F697" s="229" t="s">
        <v>1656</v>
      </c>
    </row>
    <row r="698">
      <c r="A698" s="136" t="s">
        <v>8686</v>
      </c>
      <c r="B698" s="25">
        <v>5458.0</v>
      </c>
      <c r="C698" s="420">
        <v>0.05</v>
      </c>
      <c r="D698" s="179">
        <v>0.69</v>
      </c>
      <c r="E698" s="179">
        <v>0.69</v>
      </c>
      <c r="F698" s="229" t="s">
        <v>1656</v>
      </c>
    </row>
    <row r="699">
      <c r="A699" s="136" t="s">
        <v>8687</v>
      </c>
      <c r="B699" s="78"/>
      <c r="C699" s="420">
        <v>0.05</v>
      </c>
      <c r="D699" s="179">
        <v>0.69</v>
      </c>
      <c r="E699" s="179">
        <v>0.69</v>
      </c>
      <c r="F699" s="229" t="s">
        <v>1656</v>
      </c>
    </row>
    <row r="700">
      <c r="A700" s="136" t="s">
        <v>8688</v>
      </c>
      <c r="B700" s="78"/>
      <c r="C700" s="420">
        <v>0.05</v>
      </c>
      <c r="D700" s="179">
        <v>0.69</v>
      </c>
      <c r="E700" s="179">
        <v>0.69</v>
      </c>
      <c r="F700" s="229" t="s">
        <v>1656</v>
      </c>
    </row>
    <row r="701">
      <c r="A701" s="136" t="s">
        <v>8689</v>
      </c>
      <c r="B701" s="78"/>
      <c r="C701" s="420">
        <v>0.05</v>
      </c>
      <c r="D701" s="179">
        <v>0.69</v>
      </c>
      <c r="E701" s="179">
        <v>0.69</v>
      </c>
      <c r="F701" s="229" t="s">
        <v>1656</v>
      </c>
    </row>
    <row r="702">
      <c r="A702" s="136" t="s">
        <v>8690</v>
      </c>
      <c r="B702" s="78"/>
      <c r="C702" s="420">
        <v>0.05</v>
      </c>
      <c r="D702" s="179">
        <v>0.69</v>
      </c>
      <c r="E702" s="179">
        <v>0.69</v>
      </c>
      <c r="F702" s="229" t="s">
        <v>1656</v>
      </c>
    </row>
    <row r="703">
      <c r="A703" s="136" t="s">
        <v>8691</v>
      </c>
      <c r="B703" s="78"/>
      <c r="C703" s="420">
        <v>0.05</v>
      </c>
      <c r="D703" s="179">
        <v>0.69</v>
      </c>
      <c r="E703" s="179">
        <v>0.69</v>
      </c>
      <c r="F703" s="229" t="s">
        <v>1656</v>
      </c>
    </row>
    <row r="704">
      <c r="A704" s="136" t="s">
        <v>8692</v>
      </c>
      <c r="B704" s="78"/>
      <c r="C704" s="420">
        <v>0.05</v>
      </c>
      <c r="D704" s="179">
        <v>0.69</v>
      </c>
      <c r="E704" s="179">
        <v>0.69</v>
      </c>
      <c r="F704" s="229" t="s">
        <v>1656</v>
      </c>
    </row>
    <row r="705">
      <c r="A705" s="136" t="s">
        <v>8693</v>
      </c>
      <c r="B705" s="78"/>
      <c r="C705" s="420">
        <v>0.05</v>
      </c>
      <c r="D705" s="179">
        <v>0.69</v>
      </c>
      <c r="E705" s="179">
        <v>0.69</v>
      </c>
      <c r="F705" s="229" t="s">
        <v>1656</v>
      </c>
    </row>
    <row r="706">
      <c r="A706" s="136" t="s">
        <v>8694</v>
      </c>
      <c r="B706" s="78"/>
      <c r="C706" s="420">
        <v>0.05</v>
      </c>
      <c r="D706" s="179">
        <v>0.69</v>
      </c>
      <c r="E706" s="179">
        <v>0.69</v>
      </c>
      <c r="F706" s="229" t="s">
        <v>1656</v>
      </c>
    </row>
    <row r="707">
      <c r="A707" s="136" t="s">
        <v>8695</v>
      </c>
      <c r="B707" s="78"/>
      <c r="C707" s="420">
        <v>0.05</v>
      </c>
      <c r="D707" s="179">
        <v>0.69</v>
      </c>
      <c r="E707" s="179">
        <v>0.69</v>
      </c>
      <c r="F707" s="229" t="s">
        <v>1656</v>
      </c>
    </row>
    <row r="708">
      <c r="A708" s="136" t="s">
        <v>8696</v>
      </c>
      <c r="B708" s="78"/>
      <c r="C708" s="420">
        <v>0.05</v>
      </c>
      <c r="D708" s="179">
        <v>0.69</v>
      </c>
      <c r="E708" s="179">
        <v>0.69</v>
      </c>
      <c r="F708" s="229" t="s">
        <v>1656</v>
      </c>
    </row>
    <row r="709">
      <c r="A709" s="136" t="s">
        <v>8697</v>
      </c>
      <c r="B709" s="78"/>
      <c r="C709" s="420">
        <v>0.05</v>
      </c>
      <c r="D709" s="179">
        <v>0.69</v>
      </c>
      <c r="E709" s="179">
        <v>0.69</v>
      </c>
      <c r="F709" s="229" t="s">
        <v>1656</v>
      </c>
    </row>
    <row r="710">
      <c r="A710" s="136" t="s">
        <v>8698</v>
      </c>
      <c r="B710" s="78"/>
      <c r="C710" s="420">
        <v>0.05</v>
      </c>
      <c r="D710" s="179">
        <v>0.69</v>
      </c>
      <c r="E710" s="179">
        <v>0.69</v>
      </c>
      <c r="F710" s="229" t="s">
        <v>1656</v>
      </c>
    </row>
    <row r="711">
      <c r="A711" s="136" t="s">
        <v>8699</v>
      </c>
      <c r="B711" s="78"/>
      <c r="C711" s="420">
        <v>0.05</v>
      </c>
      <c r="D711" s="179">
        <v>0.69</v>
      </c>
      <c r="E711" s="179">
        <v>0.69</v>
      </c>
      <c r="F711" s="229" t="s">
        <v>1656</v>
      </c>
    </row>
    <row r="712">
      <c r="A712" s="136" t="s">
        <v>8700</v>
      </c>
      <c r="B712" s="78"/>
      <c r="C712" s="420">
        <v>0.05</v>
      </c>
      <c r="D712" s="179">
        <v>0.69</v>
      </c>
      <c r="E712" s="179">
        <v>0.69</v>
      </c>
      <c r="F712" s="229" t="s">
        <v>1656</v>
      </c>
    </row>
    <row r="713">
      <c r="A713" s="136" t="s">
        <v>8701</v>
      </c>
      <c r="B713" s="78"/>
      <c r="C713" s="420">
        <v>0.05</v>
      </c>
      <c r="D713" s="179">
        <v>0.69</v>
      </c>
      <c r="E713" s="179">
        <v>0.69</v>
      </c>
      <c r="F713" s="229" t="s">
        <v>1656</v>
      </c>
    </row>
    <row r="714">
      <c r="A714" s="136" t="s">
        <v>8702</v>
      </c>
      <c r="B714" s="78"/>
      <c r="C714" s="420">
        <v>0.05</v>
      </c>
      <c r="D714" s="179">
        <v>0.69</v>
      </c>
      <c r="E714" s="179">
        <v>0.69</v>
      </c>
      <c r="F714" s="229" t="s">
        <v>1656</v>
      </c>
    </row>
    <row r="715">
      <c r="A715" s="136" t="s">
        <v>8703</v>
      </c>
      <c r="B715" s="78"/>
      <c r="C715" s="420">
        <v>0.05</v>
      </c>
      <c r="D715" s="179">
        <v>0.69</v>
      </c>
      <c r="E715" s="179">
        <v>0.69</v>
      </c>
      <c r="F715" s="229" t="s">
        <v>1656</v>
      </c>
    </row>
    <row r="716">
      <c r="A716" s="136" t="s">
        <v>8704</v>
      </c>
      <c r="B716" s="78"/>
      <c r="C716" s="420">
        <v>0.05</v>
      </c>
      <c r="D716" s="179">
        <v>0.69</v>
      </c>
      <c r="E716" s="179">
        <v>0.69</v>
      </c>
      <c r="F716" s="229" t="s">
        <v>1656</v>
      </c>
    </row>
    <row r="717">
      <c r="A717" s="136" t="s">
        <v>8705</v>
      </c>
      <c r="B717" s="78"/>
      <c r="C717" s="420">
        <v>0.05</v>
      </c>
      <c r="D717" s="179">
        <v>0.69</v>
      </c>
      <c r="E717" s="179">
        <v>0.69</v>
      </c>
      <c r="F717" s="229" t="s">
        <v>1656</v>
      </c>
    </row>
    <row r="718">
      <c r="A718" s="136" t="s">
        <v>8706</v>
      </c>
      <c r="B718" s="78"/>
      <c r="C718" s="420">
        <v>0.05</v>
      </c>
      <c r="D718" s="179">
        <v>0.69</v>
      </c>
      <c r="E718" s="179">
        <v>0.69</v>
      </c>
      <c r="F718" s="229" t="s">
        <v>1656</v>
      </c>
    </row>
    <row r="719">
      <c r="A719" s="136" t="s">
        <v>8707</v>
      </c>
      <c r="B719" s="78"/>
      <c r="C719" s="420">
        <v>0.05</v>
      </c>
      <c r="D719" s="179">
        <v>0.69</v>
      </c>
      <c r="E719" s="179">
        <v>0.69</v>
      </c>
      <c r="F719" s="229" t="s">
        <v>1656</v>
      </c>
    </row>
    <row r="720">
      <c r="A720" s="136" t="s">
        <v>8708</v>
      </c>
      <c r="B720" s="78"/>
      <c r="C720" s="420">
        <v>0.05</v>
      </c>
      <c r="D720" s="179">
        <v>0.69</v>
      </c>
      <c r="E720" s="179">
        <v>0.69</v>
      </c>
      <c r="F720" s="229" t="s">
        <v>1656</v>
      </c>
    </row>
    <row r="721">
      <c r="A721" s="136" t="s">
        <v>8709</v>
      </c>
      <c r="B721" s="78"/>
      <c r="C721" s="420">
        <v>0.05</v>
      </c>
      <c r="D721" s="179">
        <v>0.69</v>
      </c>
      <c r="E721" s="179">
        <v>0.69</v>
      </c>
      <c r="F721" s="229" t="s">
        <v>1656</v>
      </c>
    </row>
    <row r="722">
      <c r="A722" s="136" t="s">
        <v>8710</v>
      </c>
      <c r="B722" s="78"/>
      <c r="C722" s="420">
        <v>0.05</v>
      </c>
      <c r="D722" s="179">
        <v>0.69</v>
      </c>
      <c r="E722" s="179">
        <v>0.69</v>
      </c>
      <c r="F722" s="229" t="s">
        <v>1656</v>
      </c>
    </row>
    <row r="723">
      <c r="A723" s="136" t="s">
        <v>8711</v>
      </c>
      <c r="B723" s="25">
        <v>6675.0</v>
      </c>
      <c r="C723" s="420">
        <v>0.05</v>
      </c>
      <c r="D723" s="179">
        <v>0.69</v>
      </c>
      <c r="E723" s="179">
        <v>0.69</v>
      </c>
      <c r="F723" s="229" t="s">
        <v>1656</v>
      </c>
    </row>
    <row r="724">
      <c r="A724" s="136" t="s">
        <v>8712</v>
      </c>
      <c r="B724" s="78"/>
      <c r="C724" s="420">
        <v>0.05</v>
      </c>
      <c r="D724" s="179">
        <v>0.69</v>
      </c>
      <c r="E724" s="179">
        <v>0.69</v>
      </c>
      <c r="F724" s="229" t="s">
        <v>1656</v>
      </c>
    </row>
    <row r="725">
      <c r="A725" s="136" t="s">
        <v>8713</v>
      </c>
      <c r="B725" s="78"/>
      <c r="C725" s="420">
        <v>0.05</v>
      </c>
      <c r="D725" s="179">
        <v>0.69</v>
      </c>
      <c r="E725" s="179">
        <v>0.69</v>
      </c>
      <c r="F725" s="229" t="s">
        <v>1656</v>
      </c>
    </row>
    <row r="726">
      <c r="A726" s="136" t="s">
        <v>8714</v>
      </c>
      <c r="B726" s="78"/>
      <c r="C726" s="420">
        <v>0.05</v>
      </c>
      <c r="D726" s="179">
        <v>0.69</v>
      </c>
      <c r="E726" s="179">
        <v>0.69</v>
      </c>
      <c r="F726" s="229" t="s">
        <v>1656</v>
      </c>
    </row>
    <row r="727">
      <c r="A727" s="136" t="s">
        <v>8715</v>
      </c>
      <c r="B727" s="78"/>
      <c r="C727" s="420">
        <v>0.05</v>
      </c>
      <c r="D727" s="179">
        <v>0.69</v>
      </c>
      <c r="E727" s="179">
        <v>0.69</v>
      </c>
      <c r="F727" s="229" t="s">
        <v>1656</v>
      </c>
    </row>
    <row r="728">
      <c r="A728" s="136" t="s">
        <v>8716</v>
      </c>
      <c r="B728" s="78"/>
      <c r="C728" s="420">
        <v>0.05</v>
      </c>
      <c r="D728" s="179">
        <v>0.69</v>
      </c>
      <c r="E728" s="179">
        <v>0.69</v>
      </c>
      <c r="F728" s="229" t="s">
        <v>1656</v>
      </c>
    </row>
    <row r="729">
      <c r="A729" s="136" t="s">
        <v>8717</v>
      </c>
      <c r="B729" s="78"/>
      <c r="C729" s="420">
        <v>0.05</v>
      </c>
      <c r="D729" s="179">
        <v>0.69</v>
      </c>
      <c r="E729" s="179">
        <v>0.69</v>
      </c>
      <c r="F729" s="229" t="s">
        <v>1656</v>
      </c>
    </row>
    <row r="730">
      <c r="A730" s="136" t="s">
        <v>8718</v>
      </c>
      <c r="B730" s="78"/>
      <c r="C730" s="420">
        <v>0.05</v>
      </c>
      <c r="D730" s="179">
        <v>0.69</v>
      </c>
      <c r="E730" s="179">
        <v>0.69</v>
      </c>
      <c r="F730" s="229" t="s">
        <v>1656</v>
      </c>
    </row>
    <row r="731">
      <c r="A731" s="136" t="s">
        <v>8719</v>
      </c>
      <c r="B731" s="78"/>
      <c r="C731" s="420">
        <v>0.05</v>
      </c>
      <c r="D731" s="179">
        <v>0.69</v>
      </c>
      <c r="E731" s="179">
        <v>0.69</v>
      </c>
      <c r="F731" s="229" t="s">
        <v>1656</v>
      </c>
    </row>
    <row r="732">
      <c r="A732" s="136" t="s">
        <v>8720</v>
      </c>
      <c r="B732" s="78"/>
      <c r="C732" s="420">
        <v>0.05</v>
      </c>
      <c r="D732" s="179">
        <v>0.69</v>
      </c>
      <c r="E732" s="179">
        <v>0.69</v>
      </c>
      <c r="F732" s="229" t="s">
        <v>1656</v>
      </c>
    </row>
    <row r="733">
      <c r="A733" s="136" t="s">
        <v>8721</v>
      </c>
      <c r="B733" s="78"/>
      <c r="C733" s="420">
        <v>0.05</v>
      </c>
      <c r="D733" s="179">
        <v>0.69</v>
      </c>
      <c r="E733" s="179">
        <v>0.69</v>
      </c>
      <c r="F733" s="229" t="s">
        <v>1656</v>
      </c>
    </row>
    <row r="734">
      <c r="A734" s="136" t="s">
        <v>8722</v>
      </c>
      <c r="B734" s="78"/>
      <c r="C734" s="420">
        <v>0.05</v>
      </c>
      <c r="D734" s="179">
        <v>0.69</v>
      </c>
      <c r="E734" s="179">
        <v>0.69</v>
      </c>
      <c r="F734" s="229" t="s">
        <v>1656</v>
      </c>
    </row>
    <row r="735">
      <c r="A735" s="136" t="s">
        <v>8723</v>
      </c>
      <c r="B735" s="78"/>
      <c r="C735" s="420">
        <v>0.05</v>
      </c>
      <c r="D735" s="179">
        <v>0.69</v>
      </c>
      <c r="E735" s="179">
        <v>0.69</v>
      </c>
      <c r="F735" s="229" t="s">
        <v>1656</v>
      </c>
    </row>
    <row r="736">
      <c r="A736" s="136" t="s">
        <v>8724</v>
      </c>
      <c r="B736" s="78"/>
      <c r="C736" s="420">
        <v>0.05</v>
      </c>
      <c r="D736" s="179">
        <v>0.69</v>
      </c>
      <c r="E736" s="179">
        <v>0.69</v>
      </c>
      <c r="F736" s="229" t="s">
        <v>1656</v>
      </c>
    </row>
    <row r="737">
      <c r="A737" s="136" t="s">
        <v>8725</v>
      </c>
      <c r="B737" s="78"/>
      <c r="C737" s="420">
        <v>0.05</v>
      </c>
      <c r="D737" s="179">
        <v>0.69</v>
      </c>
      <c r="E737" s="179">
        <v>0.69</v>
      </c>
      <c r="F737" s="229" t="s">
        <v>1656</v>
      </c>
    </row>
    <row r="738">
      <c r="A738" s="136" t="s">
        <v>8726</v>
      </c>
      <c r="B738" s="78"/>
      <c r="C738" s="420">
        <v>0.05</v>
      </c>
      <c r="D738" s="179">
        <v>0.69</v>
      </c>
      <c r="E738" s="179">
        <v>0.69</v>
      </c>
      <c r="F738" s="229" t="s">
        <v>1656</v>
      </c>
    </row>
    <row r="739">
      <c r="A739" s="136" t="s">
        <v>8727</v>
      </c>
      <c r="B739" s="78"/>
      <c r="C739" s="420">
        <v>0.05</v>
      </c>
      <c r="D739" s="179">
        <v>0.69</v>
      </c>
      <c r="E739" s="179">
        <v>0.69</v>
      </c>
      <c r="F739" s="229" t="s">
        <v>1656</v>
      </c>
    </row>
    <row r="740">
      <c r="A740" s="136" t="s">
        <v>8728</v>
      </c>
      <c r="B740" s="78"/>
      <c r="C740" s="420">
        <v>0.05</v>
      </c>
      <c r="D740" s="179">
        <v>0.69</v>
      </c>
      <c r="E740" s="179">
        <v>0.69</v>
      </c>
      <c r="F740" s="229" t="s">
        <v>1656</v>
      </c>
    </row>
    <row r="741">
      <c r="A741" s="136" t="s">
        <v>8729</v>
      </c>
      <c r="B741" s="78"/>
      <c r="C741" s="420">
        <v>0.05</v>
      </c>
      <c r="D741" s="179">
        <v>0.69</v>
      </c>
      <c r="E741" s="179">
        <v>0.69</v>
      </c>
      <c r="F741" s="229" t="s">
        <v>1656</v>
      </c>
    </row>
    <row r="742">
      <c r="A742" s="136" t="s">
        <v>8730</v>
      </c>
      <c r="B742" s="78"/>
      <c r="C742" s="420">
        <v>0.05</v>
      </c>
      <c r="D742" s="179">
        <v>0.69</v>
      </c>
      <c r="E742" s="179">
        <v>0.69</v>
      </c>
      <c r="F742" s="229" t="s">
        <v>1656</v>
      </c>
    </row>
    <row r="743">
      <c r="A743" s="136" t="s">
        <v>8731</v>
      </c>
      <c r="B743" s="78"/>
      <c r="C743" s="420">
        <v>0.05</v>
      </c>
      <c r="D743" s="179">
        <v>0.69</v>
      </c>
      <c r="E743" s="179">
        <v>0.69</v>
      </c>
      <c r="F743" s="229" t="s">
        <v>1656</v>
      </c>
    </row>
    <row r="744">
      <c r="A744" s="136" t="s">
        <v>8732</v>
      </c>
      <c r="B744" s="78"/>
      <c r="C744" s="420">
        <v>0.05</v>
      </c>
      <c r="D744" s="179">
        <v>0.69</v>
      </c>
      <c r="E744" s="179">
        <v>0.69</v>
      </c>
      <c r="F744" s="229" t="s">
        <v>1656</v>
      </c>
    </row>
    <row r="745">
      <c r="A745" s="136" t="s">
        <v>8733</v>
      </c>
      <c r="B745" s="78"/>
      <c r="C745" s="420">
        <v>0.05</v>
      </c>
      <c r="D745" s="179">
        <v>0.69</v>
      </c>
      <c r="E745" s="179">
        <v>0.69</v>
      </c>
      <c r="F745" s="229" t="s">
        <v>1656</v>
      </c>
    </row>
    <row r="746">
      <c r="A746" s="136" t="s">
        <v>8734</v>
      </c>
      <c r="B746" s="78"/>
      <c r="C746" s="420">
        <v>0.05</v>
      </c>
      <c r="D746" s="179">
        <v>0.69</v>
      </c>
      <c r="E746" s="179">
        <v>0.69</v>
      </c>
      <c r="F746" s="229" t="s">
        <v>1656</v>
      </c>
    </row>
    <row r="747">
      <c r="A747" s="136" t="s">
        <v>8735</v>
      </c>
      <c r="B747" s="78"/>
      <c r="C747" s="420">
        <v>0.05</v>
      </c>
      <c r="D747" s="179">
        <v>0.69</v>
      </c>
      <c r="E747" s="179">
        <v>0.69</v>
      </c>
      <c r="F747" s="229" t="s">
        <v>1656</v>
      </c>
    </row>
    <row r="748">
      <c r="A748" s="136" t="s">
        <v>8736</v>
      </c>
      <c r="B748" s="78"/>
      <c r="C748" s="420">
        <v>0.05</v>
      </c>
      <c r="D748" s="179">
        <v>0.69</v>
      </c>
      <c r="E748" s="179">
        <v>0.69</v>
      </c>
      <c r="F748" s="229" t="s">
        <v>1656</v>
      </c>
    </row>
    <row r="749">
      <c r="A749" s="136" t="s">
        <v>8737</v>
      </c>
      <c r="B749" s="78"/>
      <c r="C749" s="420">
        <v>0.05</v>
      </c>
      <c r="D749" s="179">
        <v>0.69</v>
      </c>
      <c r="E749" s="179">
        <v>0.69</v>
      </c>
      <c r="F749" s="229" t="s">
        <v>1656</v>
      </c>
    </row>
    <row r="750">
      <c r="A750" s="136" t="s">
        <v>8738</v>
      </c>
      <c r="B750" s="78"/>
      <c r="C750" s="420">
        <v>0.05</v>
      </c>
      <c r="D750" s="179">
        <v>0.69</v>
      </c>
      <c r="E750" s="179">
        <v>0.69</v>
      </c>
      <c r="F750" s="229" t="s">
        <v>1656</v>
      </c>
    </row>
    <row r="751">
      <c r="A751" s="136" t="s">
        <v>8739</v>
      </c>
      <c r="B751" s="78"/>
      <c r="C751" s="420">
        <v>0.05</v>
      </c>
      <c r="D751" s="179">
        <v>0.69</v>
      </c>
      <c r="E751" s="179">
        <v>0.69</v>
      </c>
      <c r="F751" s="229" t="s">
        <v>1656</v>
      </c>
    </row>
    <row r="752">
      <c r="A752" s="136" t="s">
        <v>8740</v>
      </c>
      <c r="B752" s="78"/>
      <c r="C752" s="420">
        <v>0.05</v>
      </c>
      <c r="D752" s="179">
        <v>0.69</v>
      </c>
      <c r="E752" s="179">
        <v>0.69</v>
      </c>
      <c r="F752" s="229" t="s">
        <v>1656</v>
      </c>
    </row>
    <row r="753">
      <c r="A753" s="136" t="s">
        <v>8741</v>
      </c>
      <c r="B753" s="78"/>
      <c r="C753" s="420">
        <v>0.05</v>
      </c>
      <c r="D753" s="179">
        <v>0.69</v>
      </c>
      <c r="E753" s="179">
        <v>0.69</v>
      </c>
      <c r="F753" s="229" t="s">
        <v>1656</v>
      </c>
    </row>
    <row r="754">
      <c r="A754" s="136" t="s">
        <v>8742</v>
      </c>
      <c r="B754" s="78"/>
      <c r="C754" s="420">
        <v>0.05</v>
      </c>
      <c r="D754" s="179">
        <v>0.69</v>
      </c>
      <c r="E754" s="179">
        <v>0.69</v>
      </c>
      <c r="F754" s="229" t="s">
        <v>1656</v>
      </c>
    </row>
    <row r="755">
      <c r="A755" s="136" t="s">
        <v>8743</v>
      </c>
      <c r="B755" s="78"/>
      <c r="C755" s="420">
        <v>0.05</v>
      </c>
      <c r="D755" s="179">
        <v>0.69</v>
      </c>
      <c r="E755" s="179">
        <v>0.69</v>
      </c>
      <c r="F755" s="229" t="s">
        <v>1656</v>
      </c>
    </row>
    <row r="756">
      <c r="A756" s="136" t="s">
        <v>8744</v>
      </c>
      <c r="B756" s="78"/>
      <c r="C756" s="420">
        <v>0.05</v>
      </c>
      <c r="D756" s="179">
        <v>0.69</v>
      </c>
      <c r="E756" s="179">
        <v>0.69</v>
      </c>
      <c r="F756" s="229" t="s">
        <v>1656</v>
      </c>
    </row>
    <row r="757">
      <c r="A757" s="136" t="s">
        <v>8745</v>
      </c>
      <c r="B757" s="78"/>
      <c r="C757" s="420">
        <v>0.05</v>
      </c>
      <c r="D757" s="179">
        <v>0.69</v>
      </c>
      <c r="E757" s="179">
        <v>0.69</v>
      </c>
      <c r="F757" s="229" t="s">
        <v>1656</v>
      </c>
    </row>
    <row r="758">
      <c r="A758" s="136" t="s">
        <v>8746</v>
      </c>
      <c r="B758" s="78"/>
      <c r="C758" s="420">
        <v>0.05</v>
      </c>
      <c r="D758" s="179">
        <v>0.69</v>
      </c>
      <c r="E758" s="179">
        <v>0.69</v>
      </c>
      <c r="F758" s="229" t="s">
        <v>1656</v>
      </c>
    </row>
    <row r="759">
      <c r="A759" s="136" t="s">
        <v>8747</v>
      </c>
      <c r="B759" s="78"/>
      <c r="C759" s="420">
        <v>0.05</v>
      </c>
      <c r="D759" s="179">
        <v>0.69</v>
      </c>
      <c r="E759" s="179">
        <v>0.69</v>
      </c>
      <c r="F759" s="229" t="s">
        <v>1656</v>
      </c>
    </row>
    <row r="760">
      <c r="A760" s="136" t="s">
        <v>8748</v>
      </c>
      <c r="B760" s="78"/>
      <c r="C760" s="420">
        <v>0.05</v>
      </c>
      <c r="D760" s="179">
        <v>0.69</v>
      </c>
      <c r="E760" s="179">
        <v>0.69</v>
      </c>
      <c r="F760" s="229" t="s">
        <v>1656</v>
      </c>
    </row>
    <row r="761">
      <c r="A761" s="136" t="s">
        <v>8749</v>
      </c>
      <c r="B761" s="78"/>
      <c r="C761" s="420">
        <v>0.05</v>
      </c>
      <c r="D761" s="179">
        <v>0.69</v>
      </c>
      <c r="E761" s="179">
        <v>0.69</v>
      </c>
      <c r="F761" s="229" t="s">
        <v>1656</v>
      </c>
    </row>
    <row r="762">
      <c r="A762" s="136" t="s">
        <v>8750</v>
      </c>
      <c r="B762" s="25">
        <v>7003.0</v>
      </c>
      <c r="C762" s="420">
        <v>0.05</v>
      </c>
      <c r="D762" s="74">
        <v>0.8</v>
      </c>
      <c r="E762" s="74">
        <v>0.8</v>
      </c>
      <c r="F762" s="229" t="s">
        <v>1656</v>
      </c>
    </row>
    <row r="763">
      <c r="A763" s="136" t="s">
        <v>8751</v>
      </c>
      <c r="B763" s="78"/>
      <c r="C763" s="420">
        <v>0.05</v>
      </c>
      <c r="D763" s="179">
        <v>0.69</v>
      </c>
      <c r="E763" s="179">
        <v>0.69</v>
      </c>
      <c r="F763" s="229" t="s">
        <v>1656</v>
      </c>
    </row>
    <row r="764">
      <c r="A764" s="136" t="s">
        <v>8752</v>
      </c>
      <c r="B764" s="78"/>
      <c r="C764" s="420">
        <v>0.05</v>
      </c>
      <c r="D764" s="179">
        <v>0.69</v>
      </c>
      <c r="E764" s="179">
        <v>0.69</v>
      </c>
      <c r="F764" s="229" t="s">
        <v>1656</v>
      </c>
    </row>
    <row r="765">
      <c r="A765" s="136" t="s">
        <v>8753</v>
      </c>
      <c r="B765" s="78"/>
      <c r="C765" s="420">
        <v>0.05</v>
      </c>
      <c r="D765" s="179">
        <v>0.69</v>
      </c>
      <c r="E765" s="179">
        <v>0.69</v>
      </c>
      <c r="F765" s="229" t="s">
        <v>1656</v>
      </c>
    </row>
    <row r="766">
      <c r="A766" s="136" t="s">
        <v>8754</v>
      </c>
      <c r="B766" s="78"/>
      <c r="C766" s="420">
        <v>0.05</v>
      </c>
      <c r="D766" s="179">
        <v>0.69</v>
      </c>
      <c r="E766" s="179">
        <v>0.69</v>
      </c>
      <c r="F766" s="229" t="s">
        <v>1656</v>
      </c>
    </row>
    <row r="767">
      <c r="A767" s="136" t="s">
        <v>8755</v>
      </c>
      <c r="B767" s="78"/>
      <c r="C767" s="420">
        <v>0.05</v>
      </c>
      <c r="D767" s="179">
        <v>0.69</v>
      </c>
      <c r="E767" s="179">
        <v>0.69</v>
      </c>
      <c r="F767" s="229" t="s">
        <v>1656</v>
      </c>
    </row>
    <row r="768">
      <c r="A768" s="136" t="s">
        <v>8756</v>
      </c>
      <c r="B768" s="78"/>
      <c r="C768" s="420">
        <v>0.05</v>
      </c>
      <c r="D768" s="179">
        <v>0.69</v>
      </c>
      <c r="E768" s="179">
        <v>0.69</v>
      </c>
      <c r="F768" s="229" t="s">
        <v>1656</v>
      </c>
    </row>
    <row r="769">
      <c r="A769" s="136" t="s">
        <v>8757</v>
      </c>
      <c r="B769" s="78"/>
      <c r="C769" s="420">
        <v>0.05</v>
      </c>
      <c r="D769" s="179">
        <v>0.69</v>
      </c>
      <c r="E769" s="179">
        <v>0.69</v>
      </c>
      <c r="F769" s="229" t="s">
        <v>1656</v>
      </c>
    </row>
    <row r="770">
      <c r="A770" s="136" t="s">
        <v>8758</v>
      </c>
      <c r="B770" s="78"/>
      <c r="C770" s="420">
        <v>0.05</v>
      </c>
      <c r="D770" s="179">
        <v>0.69</v>
      </c>
      <c r="E770" s="179">
        <v>0.69</v>
      </c>
      <c r="F770" s="229" t="s">
        <v>1656</v>
      </c>
    </row>
    <row r="771">
      <c r="A771" s="136" t="s">
        <v>8759</v>
      </c>
      <c r="B771" s="78"/>
      <c r="C771" s="420">
        <v>0.05</v>
      </c>
      <c r="D771" s="179">
        <v>0.69</v>
      </c>
      <c r="E771" s="179">
        <v>0.69</v>
      </c>
      <c r="F771" s="229" t="s">
        <v>1656</v>
      </c>
    </row>
    <row r="772">
      <c r="A772" s="136" t="s">
        <v>8760</v>
      </c>
      <c r="B772" s="78"/>
      <c r="C772" s="420">
        <v>0.05</v>
      </c>
      <c r="D772" s="179">
        <v>0.69</v>
      </c>
      <c r="E772" s="179">
        <v>0.69</v>
      </c>
      <c r="F772" s="229" t="s">
        <v>1656</v>
      </c>
    </row>
    <row r="773">
      <c r="A773" s="136" t="s">
        <v>8761</v>
      </c>
      <c r="B773" s="78"/>
      <c r="C773" s="420">
        <v>0.05</v>
      </c>
      <c r="D773" s="179">
        <v>0.69</v>
      </c>
      <c r="E773" s="179">
        <v>0.69</v>
      </c>
      <c r="F773" s="229" t="s">
        <v>1656</v>
      </c>
    </row>
    <row r="774">
      <c r="A774" s="136" t="s">
        <v>8762</v>
      </c>
      <c r="B774" s="78"/>
      <c r="C774" s="420">
        <v>0.05</v>
      </c>
      <c r="D774" s="179">
        <v>0.69</v>
      </c>
      <c r="E774" s="179">
        <v>0.69</v>
      </c>
      <c r="F774" s="229" t="s">
        <v>1656</v>
      </c>
    </row>
    <row r="775">
      <c r="A775" s="136" t="s">
        <v>8763</v>
      </c>
      <c r="B775" s="78"/>
      <c r="C775" s="420">
        <v>0.05</v>
      </c>
      <c r="D775" s="179">
        <v>0.69</v>
      </c>
      <c r="E775" s="179">
        <v>0.69</v>
      </c>
      <c r="F775" s="229" t="s">
        <v>1656</v>
      </c>
    </row>
    <row r="776">
      <c r="A776" s="136" t="s">
        <v>8764</v>
      </c>
      <c r="B776" s="16">
        <v>14465.0</v>
      </c>
      <c r="C776" s="420">
        <v>0.05</v>
      </c>
      <c r="D776" s="179">
        <v>0.9</v>
      </c>
      <c r="E776" s="179">
        <v>0.9</v>
      </c>
      <c r="F776" s="229" t="s">
        <v>1656</v>
      </c>
    </row>
    <row r="777">
      <c r="A777" s="136" t="s">
        <v>8765</v>
      </c>
      <c r="B777" s="25">
        <v>6658.0</v>
      </c>
      <c r="C777" s="420">
        <v>0.05</v>
      </c>
      <c r="D777" s="74">
        <v>0.69</v>
      </c>
      <c r="E777" s="74">
        <v>0.69</v>
      </c>
      <c r="F777" s="229" t="s">
        <v>1656</v>
      </c>
    </row>
    <row r="778">
      <c r="A778" s="136" t="s">
        <v>8766</v>
      </c>
      <c r="B778" s="78"/>
      <c r="C778" s="420">
        <v>0.05</v>
      </c>
      <c r="D778" s="179">
        <v>0.69</v>
      </c>
      <c r="E778" s="179">
        <v>0.69</v>
      </c>
      <c r="F778" s="229" t="s">
        <v>1656</v>
      </c>
    </row>
    <row r="779">
      <c r="A779" s="136" t="s">
        <v>8767</v>
      </c>
      <c r="B779" s="78"/>
      <c r="C779" s="420">
        <v>0.05</v>
      </c>
      <c r="D779" s="179">
        <v>0.69</v>
      </c>
      <c r="E779" s="179">
        <v>0.69</v>
      </c>
      <c r="F779" s="229" t="s">
        <v>1656</v>
      </c>
    </row>
    <row r="780">
      <c r="A780" s="136" t="s">
        <v>8768</v>
      </c>
      <c r="B780" s="78"/>
      <c r="C780" s="420">
        <v>0.05</v>
      </c>
      <c r="D780" s="179">
        <v>0.69</v>
      </c>
      <c r="E780" s="179">
        <v>0.69</v>
      </c>
      <c r="F780" s="229" t="s">
        <v>1656</v>
      </c>
    </row>
    <row r="781">
      <c r="A781" s="136" t="s">
        <v>8769</v>
      </c>
      <c r="B781" s="78"/>
      <c r="C781" s="420">
        <v>0.05</v>
      </c>
      <c r="D781" s="179">
        <v>0.69</v>
      </c>
      <c r="E781" s="179">
        <v>0.69</v>
      </c>
      <c r="F781" s="229" t="s">
        <v>1656</v>
      </c>
    </row>
    <row r="782">
      <c r="A782" s="136" t="s">
        <v>8770</v>
      </c>
      <c r="B782" s="78"/>
      <c r="C782" s="420">
        <v>0.05</v>
      </c>
      <c r="D782" s="179">
        <v>0.69</v>
      </c>
      <c r="E782" s="179">
        <v>0.69</v>
      </c>
      <c r="F782" s="229" t="s">
        <v>1656</v>
      </c>
    </row>
    <row r="783">
      <c r="A783" s="136" t="s">
        <v>8771</v>
      </c>
      <c r="B783" s="78"/>
      <c r="C783" s="420">
        <v>0.05</v>
      </c>
      <c r="D783" s="179">
        <v>0.69</v>
      </c>
      <c r="E783" s="179">
        <v>0.69</v>
      </c>
      <c r="F783" s="229" t="s">
        <v>1656</v>
      </c>
    </row>
    <row r="784">
      <c r="A784" s="136" t="s">
        <v>8772</v>
      </c>
      <c r="B784" s="78"/>
      <c r="C784" s="420">
        <v>0.05</v>
      </c>
      <c r="D784" s="179">
        <v>0.69</v>
      </c>
      <c r="E784" s="179">
        <v>0.69</v>
      </c>
      <c r="F784" s="229" t="s">
        <v>1656</v>
      </c>
    </row>
    <row r="785">
      <c r="A785" s="136" t="s">
        <v>8773</v>
      </c>
      <c r="B785" s="78"/>
      <c r="C785" s="420">
        <v>0.05</v>
      </c>
      <c r="D785" s="179">
        <v>0.69</v>
      </c>
      <c r="E785" s="179">
        <v>0.69</v>
      </c>
      <c r="F785" s="229" t="s">
        <v>1656</v>
      </c>
    </row>
    <row r="786">
      <c r="A786" s="136" t="s">
        <v>8774</v>
      </c>
      <c r="B786" s="78"/>
      <c r="C786" s="420">
        <v>0.05</v>
      </c>
      <c r="D786" s="179">
        <v>0.69</v>
      </c>
      <c r="E786" s="179">
        <v>0.69</v>
      </c>
      <c r="F786" s="229" t="s">
        <v>1656</v>
      </c>
    </row>
    <row r="787">
      <c r="A787" s="136" t="s">
        <v>8775</v>
      </c>
      <c r="B787" s="78"/>
      <c r="C787" s="420">
        <v>0.05</v>
      </c>
      <c r="D787" s="179">
        <v>0.69</v>
      </c>
      <c r="E787" s="179">
        <v>0.69</v>
      </c>
      <c r="F787" s="229" t="s">
        <v>1656</v>
      </c>
    </row>
    <row r="788">
      <c r="A788" s="136" t="s">
        <v>8776</v>
      </c>
      <c r="B788" s="78"/>
      <c r="C788" s="420">
        <v>0.05</v>
      </c>
      <c r="D788" s="179">
        <v>0.69</v>
      </c>
      <c r="E788" s="179">
        <v>0.69</v>
      </c>
      <c r="F788" s="229" t="s">
        <v>1656</v>
      </c>
    </row>
    <row r="789">
      <c r="A789" s="136" t="s">
        <v>8777</v>
      </c>
      <c r="B789" s="78"/>
      <c r="C789" s="420">
        <v>0.05</v>
      </c>
      <c r="D789" s="179">
        <v>0.69</v>
      </c>
      <c r="E789" s="179">
        <v>0.69</v>
      </c>
      <c r="F789" s="229" t="s">
        <v>1656</v>
      </c>
    </row>
    <row r="790">
      <c r="A790" s="136" t="s">
        <v>8778</v>
      </c>
      <c r="B790" s="78"/>
      <c r="C790" s="420">
        <v>0.05</v>
      </c>
      <c r="D790" s="179">
        <v>0.69</v>
      </c>
      <c r="E790" s="179">
        <v>0.69</v>
      </c>
      <c r="F790" s="229" t="s">
        <v>1656</v>
      </c>
    </row>
    <row r="791">
      <c r="A791" s="136" t="s">
        <v>8779</v>
      </c>
      <c r="B791" s="78"/>
      <c r="C791" s="420">
        <v>0.05</v>
      </c>
      <c r="D791" s="179">
        <v>0.69</v>
      </c>
      <c r="E791" s="179">
        <v>0.69</v>
      </c>
      <c r="F791" s="229" t="s">
        <v>1656</v>
      </c>
    </row>
    <row r="792">
      <c r="A792" s="136" t="s">
        <v>8780</v>
      </c>
      <c r="B792" s="78"/>
      <c r="C792" s="420">
        <v>0.05</v>
      </c>
      <c r="D792" s="179">
        <v>0.69</v>
      </c>
      <c r="E792" s="179">
        <v>0.69</v>
      </c>
      <c r="F792" s="229" t="s">
        <v>1656</v>
      </c>
    </row>
    <row r="793">
      <c r="A793" s="136" t="s">
        <v>8781</v>
      </c>
      <c r="B793" s="78"/>
      <c r="C793" s="420">
        <v>0.05</v>
      </c>
      <c r="D793" s="179">
        <v>0.69</v>
      </c>
      <c r="E793" s="179">
        <v>0.69</v>
      </c>
      <c r="F793" s="229" t="s">
        <v>1656</v>
      </c>
    </row>
    <row r="794">
      <c r="A794" s="136" t="s">
        <v>8782</v>
      </c>
      <c r="B794" s="78"/>
      <c r="C794" s="420">
        <v>0.05</v>
      </c>
      <c r="D794" s="179">
        <v>0.69</v>
      </c>
      <c r="E794" s="179">
        <v>0.69</v>
      </c>
      <c r="F794" s="229" t="s">
        <v>1656</v>
      </c>
    </row>
    <row r="795">
      <c r="A795" s="136" t="s">
        <v>8783</v>
      </c>
      <c r="B795" s="78"/>
      <c r="C795" s="420">
        <v>0.05</v>
      </c>
      <c r="D795" s="179">
        <v>0.69</v>
      </c>
      <c r="E795" s="179">
        <v>0.69</v>
      </c>
      <c r="F795" s="229" t="s">
        <v>1656</v>
      </c>
    </row>
    <row r="796">
      <c r="A796" s="136" t="s">
        <v>8784</v>
      </c>
      <c r="B796" s="78"/>
      <c r="C796" s="420">
        <v>0.05</v>
      </c>
      <c r="D796" s="179">
        <v>0.69</v>
      </c>
      <c r="E796" s="179">
        <v>0.69</v>
      </c>
      <c r="F796" s="229" t="s">
        <v>1656</v>
      </c>
    </row>
    <row r="797">
      <c r="A797" s="136" t="s">
        <v>8785</v>
      </c>
      <c r="B797" s="78"/>
      <c r="C797" s="420">
        <v>0.05</v>
      </c>
      <c r="D797" s="179">
        <v>0.69</v>
      </c>
      <c r="E797" s="179">
        <v>0.69</v>
      </c>
      <c r="F797" s="229" t="s">
        <v>1656</v>
      </c>
    </row>
    <row r="798">
      <c r="A798" s="136" t="s">
        <v>8786</v>
      </c>
      <c r="B798" s="78"/>
      <c r="C798" s="420">
        <v>0.05</v>
      </c>
      <c r="D798" s="179">
        <v>0.69</v>
      </c>
      <c r="E798" s="179">
        <v>0.69</v>
      </c>
      <c r="F798" s="229" t="s">
        <v>1656</v>
      </c>
    </row>
    <row r="799">
      <c r="A799" s="136" t="s">
        <v>8787</v>
      </c>
      <c r="B799" s="78"/>
      <c r="C799" s="420">
        <v>0.05</v>
      </c>
      <c r="D799" s="179">
        <v>0.69</v>
      </c>
      <c r="E799" s="179">
        <v>0.69</v>
      </c>
      <c r="F799" s="229" t="s">
        <v>1656</v>
      </c>
    </row>
    <row r="800">
      <c r="A800" s="136" t="s">
        <v>8788</v>
      </c>
      <c r="B800" s="78"/>
      <c r="C800" s="420">
        <v>0.05</v>
      </c>
      <c r="D800" s="179">
        <v>0.69</v>
      </c>
      <c r="E800" s="179">
        <v>0.69</v>
      </c>
      <c r="F800" s="229" t="s">
        <v>1656</v>
      </c>
    </row>
    <row r="801">
      <c r="A801" s="136" t="s">
        <v>8789</v>
      </c>
      <c r="B801" s="78"/>
      <c r="C801" s="420">
        <v>0.05</v>
      </c>
      <c r="D801" s="179">
        <v>0.69</v>
      </c>
      <c r="E801" s="179">
        <v>0.69</v>
      </c>
      <c r="F801" s="229" t="s">
        <v>1656</v>
      </c>
    </row>
    <row r="802">
      <c r="A802" s="136" t="s">
        <v>8790</v>
      </c>
      <c r="B802" s="78"/>
      <c r="C802" s="420">
        <v>0.05</v>
      </c>
      <c r="D802" s="179">
        <v>0.69</v>
      </c>
      <c r="E802" s="179">
        <v>0.69</v>
      </c>
      <c r="F802" s="229" t="s">
        <v>1656</v>
      </c>
    </row>
    <row r="803">
      <c r="A803" s="136" t="s">
        <v>8791</v>
      </c>
      <c r="B803" s="78"/>
      <c r="C803" s="420">
        <v>0.05</v>
      </c>
      <c r="D803" s="179">
        <v>0.69</v>
      </c>
      <c r="E803" s="179">
        <v>0.69</v>
      </c>
      <c r="F803" s="229" t="s">
        <v>1656</v>
      </c>
    </row>
    <row r="804">
      <c r="A804" s="136" t="s">
        <v>8792</v>
      </c>
      <c r="B804" s="25">
        <v>6143.0</v>
      </c>
      <c r="C804" s="420">
        <v>0.05</v>
      </c>
      <c r="D804" s="74">
        <v>0.8</v>
      </c>
      <c r="E804" s="74">
        <v>0.8</v>
      </c>
      <c r="F804" s="229" t="s">
        <v>1656</v>
      </c>
    </row>
    <row r="805">
      <c r="A805" s="136" t="s">
        <v>8793</v>
      </c>
      <c r="B805" s="78"/>
      <c r="C805" s="420">
        <v>0.05</v>
      </c>
      <c r="D805" s="179">
        <v>0.69</v>
      </c>
      <c r="E805" s="179">
        <v>0.69</v>
      </c>
      <c r="F805" s="229" t="s">
        <v>1656</v>
      </c>
    </row>
    <row r="806">
      <c r="A806" s="136" t="s">
        <v>8794</v>
      </c>
      <c r="B806" s="78"/>
      <c r="C806" s="420">
        <v>0.05</v>
      </c>
      <c r="D806" s="179">
        <v>0.69</v>
      </c>
      <c r="E806" s="179">
        <v>0.69</v>
      </c>
      <c r="F806" s="229" t="s">
        <v>1656</v>
      </c>
    </row>
    <row r="807">
      <c r="A807" s="136" t="s">
        <v>8795</v>
      </c>
      <c r="B807" s="78"/>
      <c r="C807" s="420">
        <v>0.05</v>
      </c>
      <c r="D807" s="179">
        <v>0.69</v>
      </c>
      <c r="E807" s="179">
        <v>0.69</v>
      </c>
      <c r="F807" s="229" t="s">
        <v>1656</v>
      </c>
    </row>
    <row r="808">
      <c r="A808" s="136" t="s">
        <v>8796</v>
      </c>
      <c r="B808" s="78"/>
      <c r="C808" s="420">
        <v>0.05</v>
      </c>
      <c r="D808" s="179">
        <v>0.69</v>
      </c>
      <c r="E808" s="179">
        <v>0.69</v>
      </c>
      <c r="F808" s="229" t="s">
        <v>1656</v>
      </c>
    </row>
    <row r="809">
      <c r="A809" s="136" t="s">
        <v>8797</v>
      </c>
      <c r="B809" s="78"/>
      <c r="C809" s="420">
        <v>0.05</v>
      </c>
      <c r="D809" s="179">
        <v>0.69</v>
      </c>
      <c r="E809" s="179">
        <v>0.69</v>
      </c>
      <c r="F809" s="229" t="s">
        <v>1656</v>
      </c>
    </row>
    <row r="810">
      <c r="A810" s="136" t="s">
        <v>8798</v>
      </c>
      <c r="B810" s="78"/>
      <c r="C810" s="420">
        <v>0.05</v>
      </c>
      <c r="D810" s="179">
        <v>0.69</v>
      </c>
      <c r="E810" s="179">
        <v>0.69</v>
      </c>
      <c r="F810" s="229" t="s">
        <v>1656</v>
      </c>
    </row>
    <row r="811">
      <c r="A811" s="136" t="s">
        <v>8799</v>
      </c>
      <c r="B811" s="78"/>
      <c r="C811" s="420">
        <v>0.05</v>
      </c>
      <c r="D811" s="179">
        <v>0.69</v>
      </c>
      <c r="E811" s="179">
        <v>0.69</v>
      </c>
      <c r="F811" s="229" t="s">
        <v>1656</v>
      </c>
    </row>
    <row r="812">
      <c r="A812" s="136" t="s">
        <v>8800</v>
      </c>
      <c r="B812" s="78"/>
      <c r="C812" s="420">
        <v>0.05</v>
      </c>
      <c r="D812" s="179">
        <v>0.69</v>
      </c>
      <c r="E812" s="179">
        <v>0.69</v>
      </c>
      <c r="F812" s="229" t="s">
        <v>1656</v>
      </c>
    </row>
    <row r="813">
      <c r="A813" s="136" t="s">
        <v>8801</v>
      </c>
      <c r="B813" s="78"/>
      <c r="C813" s="420">
        <v>0.05</v>
      </c>
      <c r="D813" s="179">
        <v>0.69</v>
      </c>
      <c r="E813" s="179">
        <v>0.69</v>
      </c>
      <c r="F813" s="229" t="s">
        <v>1656</v>
      </c>
    </row>
    <row r="814">
      <c r="A814" s="136" t="s">
        <v>8802</v>
      </c>
      <c r="B814" s="78"/>
      <c r="C814" s="420">
        <v>0.05</v>
      </c>
      <c r="D814" s="179">
        <v>0.69</v>
      </c>
      <c r="E814" s="179">
        <v>0.69</v>
      </c>
      <c r="F814" s="229" t="s">
        <v>1656</v>
      </c>
    </row>
    <row r="815">
      <c r="A815" s="136" t="s">
        <v>8803</v>
      </c>
      <c r="B815" s="78"/>
      <c r="C815" s="420">
        <v>0.05</v>
      </c>
      <c r="D815" s="179">
        <v>0.69</v>
      </c>
      <c r="E815" s="179">
        <v>0.69</v>
      </c>
      <c r="F815" s="229" t="s">
        <v>1656</v>
      </c>
    </row>
    <row r="816">
      <c r="A816" s="136" t="s">
        <v>8804</v>
      </c>
      <c r="B816" s="78"/>
      <c r="C816" s="420">
        <v>0.05</v>
      </c>
      <c r="D816" s="179">
        <v>0.69</v>
      </c>
      <c r="E816" s="179">
        <v>0.69</v>
      </c>
      <c r="F816" s="229" t="s">
        <v>1656</v>
      </c>
    </row>
    <row r="817">
      <c r="A817" s="136" t="s">
        <v>8805</v>
      </c>
      <c r="B817" s="78"/>
      <c r="C817" s="420">
        <v>0.05</v>
      </c>
      <c r="D817" s="179">
        <v>0.69</v>
      </c>
      <c r="E817" s="179">
        <v>0.69</v>
      </c>
      <c r="F817" s="229" t="s">
        <v>1656</v>
      </c>
    </row>
    <row r="818">
      <c r="A818" s="136" t="s">
        <v>8806</v>
      </c>
      <c r="B818" s="78"/>
      <c r="C818" s="420">
        <v>0.05</v>
      </c>
      <c r="D818" s="179">
        <v>0.69</v>
      </c>
      <c r="E818" s="179">
        <v>0.69</v>
      </c>
      <c r="F818" s="229" t="s">
        <v>1656</v>
      </c>
    </row>
    <row r="819">
      <c r="A819" s="136" t="s">
        <v>8807</v>
      </c>
      <c r="B819" s="78"/>
      <c r="C819" s="420">
        <v>0.05</v>
      </c>
      <c r="D819" s="179">
        <v>0.69</v>
      </c>
      <c r="E819" s="179">
        <v>0.69</v>
      </c>
      <c r="F819" s="229" t="s">
        <v>1656</v>
      </c>
    </row>
    <row r="820">
      <c r="A820" s="136" t="s">
        <v>8808</v>
      </c>
      <c r="B820" s="78"/>
      <c r="C820" s="420">
        <v>0.05</v>
      </c>
      <c r="D820" s="179">
        <v>0.69</v>
      </c>
      <c r="E820" s="179">
        <v>0.69</v>
      </c>
      <c r="F820" s="229" t="s">
        <v>1656</v>
      </c>
    </row>
    <row r="821">
      <c r="A821" s="136" t="s">
        <v>8809</v>
      </c>
      <c r="B821" s="78"/>
      <c r="C821" s="420">
        <v>0.05</v>
      </c>
      <c r="D821" s="179">
        <v>0.69</v>
      </c>
      <c r="E821" s="179">
        <v>0.69</v>
      </c>
      <c r="F821" s="229" t="s">
        <v>1656</v>
      </c>
    </row>
    <row r="822">
      <c r="A822" s="136" t="s">
        <v>8810</v>
      </c>
      <c r="B822" s="78"/>
      <c r="C822" s="420">
        <v>0.05</v>
      </c>
      <c r="D822" s="179">
        <v>0.69</v>
      </c>
      <c r="E822" s="179">
        <v>0.69</v>
      </c>
      <c r="F822" s="229" t="s">
        <v>1656</v>
      </c>
    </row>
    <row r="823">
      <c r="A823" s="136" t="s">
        <v>8811</v>
      </c>
      <c r="B823" s="78"/>
      <c r="C823" s="420">
        <v>0.05</v>
      </c>
      <c r="D823" s="179">
        <v>0.69</v>
      </c>
      <c r="E823" s="179">
        <v>0.69</v>
      </c>
      <c r="F823" s="229" t="s">
        <v>1656</v>
      </c>
    </row>
    <row r="824">
      <c r="A824" s="136" t="s">
        <v>8812</v>
      </c>
      <c r="B824" s="78"/>
      <c r="C824" s="420">
        <v>0.05</v>
      </c>
      <c r="D824" s="179">
        <v>0.69</v>
      </c>
      <c r="E824" s="179">
        <v>0.69</v>
      </c>
      <c r="F824" s="229" t="s">
        <v>1656</v>
      </c>
    </row>
    <row r="825">
      <c r="A825" s="136" t="s">
        <v>8813</v>
      </c>
      <c r="B825" s="78"/>
      <c r="C825" s="420">
        <v>0.05</v>
      </c>
      <c r="D825" s="179">
        <v>0.69</v>
      </c>
      <c r="E825" s="179">
        <v>0.69</v>
      </c>
      <c r="F825" s="229" t="s">
        <v>1656</v>
      </c>
    </row>
    <row r="826">
      <c r="A826" s="136" t="s">
        <v>8814</v>
      </c>
      <c r="B826" s="78"/>
      <c r="C826" s="420">
        <v>0.05</v>
      </c>
      <c r="D826" s="179">
        <v>0.69</v>
      </c>
      <c r="E826" s="179">
        <v>0.69</v>
      </c>
      <c r="F826" s="229" t="s">
        <v>1656</v>
      </c>
    </row>
    <row r="827">
      <c r="A827" s="136" t="s">
        <v>8815</v>
      </c>
      <c r="B827" s="78"/>
      <c r="C827" s="420">
        <v>0.05</v>
      </c>
      <c r="D827" s="179">
        <v>0.69</v>
      </c>
      <c r="E827" s="179">
        <v>0.69</v>
      </c>
      <c r="F827" s="229" t="s">
        <v>1656</v>
      </c>
    </row>
    <row r="828">
      <c r="A828" s="136" t="s">
        <v>8816</v>
      </c>
      <c r="B828" s="78"/>
      <c r="C828" s="420">
        <v>0.05</v>
      </c>
      <c r="D828" s="179">
        <v>0.69</v>
      </c>
      <c r="E828" s="179">
        <v>0.69</v>
      </c>
      <c r="F828" s="229" t="s">
        <v>1656</v>
      </c>
    </row>
    <row r="829">
      <c r="A829" s="136" t="s">
        <v>8817</v>
      </c>
      <c r="B829" s="78"/>
      <c r="C829" s="420">
        <v>0.05</v>
      </c>
      <c r="D829" s="179">
        <v>0.69</v>
      </c>
      <c r="E829" s="179">
        <v>0.69</v>
      </c>
      <c r="F829" s="229" t="s">
        <v>1656</v>
      </c>
    </row>
    <row r="830">
      <c r="A830" s="136" t="s">
        <v>8818</v>
      </c>
      <c r="B830" s="78"/>
      <c r="C830" s="420">
        <v>0.05</v>
      </c>
      <c r="D830" s="179">
        <v>0.69</v>
      </c>
      <c r="E830" s="179">
        <v>0.69</v>
      </c>
      <c r="F830" s="229" t="s">
        <v>1656</v>
      </c>
    </row>
    <row r="831">
      <c r="A831" s="136" t="s">
        <v>8819</v>
      </c>
      <c r="B831" s="78"/>
      <c r="C831" s="420">
        <v>0.05</v>
      </c>
      <c r="D831" s="179">
        <v>0.69</v>
      </c>
      <c r="E831" s="179">
        <v>0.69</v>
      </c>
      <c r="F831" s="229" t="s">
        <v>1656</v>
      </c>
    </row>
    <row r="832">
      <c r="A832" s="136" t="s">
        <v>8820</v>
      </c>
      <c r="B832" s="78"/>
      <c r="C832" s="420">
        <v>0.05</v>
      </c>
      <c r="D832" s="179">
        <v>0.69</v>
      </c>
      <c r="E832" s="179">
        <v>0.69</v>
      </c>
      <c r="F832" s="229" t="s">
        <v>1656</v>
      </c>
    </row>
    <row r="833">
      <c r="A833" s="136" t="s">
        <v>8821</v>
      </c>
      <c r="B833" s="78"/>
      <c r="C833" s="420">
        <v>0.05</v>
      </c>
      <c r="D833" s="179">
        <v>0.69</v>
      </c>
      <c r="E833" s="179">
        <v>0.69</v>
      </c>
      <c r="F833" s="229" t="s">
        <v>1656</v>
      </c>
    </row>
    <row r="834">
      <c r="A834" s="136" t="s">
        <v>8822</v>
      </c>
      <c r="B834" s="78"/>
      <c r="C834" s="420">
        <v>0.05</v>
      </c>
      <c r="D834" s="179">
        <v>0.69</v>
      </c>
      <c r="E834" s="179">
        <v>0.69</v>
      </c>
      <c r="F834" s="229" t="s">
        <v>1656</v>
      </c>
    </row>
    <row r="835">
      <c r="A835" s="136" t="s">
        <v>8823</v>
      </c>
      <c r="B835" s="78"/>
      <c r="C835" s="420">
        <v>0.05</v>
      </c>
      <c r="D835" s="179">
        <v>0.69</v>
      </c>
      <c r="E835" s="179">
        <v>0.69</v>
      </c>
      <c r="F835" s="229" t="s">
        <v>1656</v>
      </c>
    </row>
    <row r="836">
      <c r="A836" s="136" t="s">
        <v>8824</v>
      </c>
      <c r="B836" s="78"/>
      <c r="C836" s="420">
        <v>0.05</v>
      </c>
      <c r="D836" s="179">
        <v>0.69</v>
      </c>
      <c r="E836" s="179">
        <v>0.69</v>
      </c>
      <c r="F836" s="229" t="s">
        <v>1656</v>
      </c>
    </row>
    <row r="837">
      <c r="A837" s="136" t="s">
        <v>8825</v>
      </c>
      <c r="B837" s="78"/>
      <c r="C837" s="420">
        <v>0.05</v>
      </c>
      <c r="D837" s="179">
        <v>0.69</v>
      </c>
      <c r="E837" s="179">
        <v>0.69</v>
      </c>
      <c r="F837" s="229" t="s">
        <v>1656</v>
      </c>
    </row>
    <row r="838">
      <c r="A838" s="136" t="s">
        <v>8826</v>
      </c>
      <c r="B838" s="78"/>
      <c r="C838" s="420">
        <v>0.05</v>
      </c>
      <c r="D838" s="179">
        <v>0.69</v>
      </c>
      <c r="E838" s="179">
        <v>0.69</v>
      </c>
      <c r="F838" s="229" t="s">
        <v>1656</v>
      </c>
    </row>
    <row r="839">
      <c r="A839" s="136" t="s">
        <v>8827</v>
      </c>
      <c r="B839" s="78"/>
      <c r="C839" s="420">
        <v>0.05</v>
      </c>
      <c r="D839" s="179">
        <v>0.69</v>
      </c>
      <c r="E839" s="179">
        <v>0.69</v>
      </c>
      <c r="F839" s="229" t="s">
        <v>1656</v>
      </c>
    </row>
    <row r="840">
      <c r="A840" s="136" t="s">
        <v>8828</v>
      </c>
      <c r="B840" s="78"/>
      <c r="C840" s="420">
        <v>0.05</v>
      </c>
      <c r="D840" s="179">
        <v>0.69</v>
      </c>
      <c r="E840" s="179">
        <v>0.69</v>
      </c>
      <c r="F840" s="229" t="s">
        <v>1656</v>
      </c>
    </row>
    <row r="841">
      <c r="A841" s="136" t="s">
        <v>8829</v>
      </c>
      <c r="B841" s="78"/>
      <c r="C841" s="420">
        <v>0.05</v>
      </c>
      <c r="D841" s="179">
        <v>0.69</v>
      </c>
      <c r="E841" s="179">
        <v>0.69</v>
      </c>
      <c r="F841" s="229" t="s">
        <v>1656</v>
      </c>
    </row>
    <row r="842">
      <c r="A842" s="136" t="s">
        <v>8830</v>
      </c>
      <c r="B842" s="78"/>
      <c r="C842" s="420">
        <v>0.05</v>
      </c>
      <c r="D842" s="179">
        <v>0.69</v>
      </c>
      <c r="E842" s="179">
        <v>0.69</v>
      </c>
      <c r="F842" s="229" t="s">
        <v>1656</v>
      </c>
    </row>
    <row r="843">
      <c r="A843" s="136" t="s">
        <v>8831</v>
      </c>
      <c r="B843" s="25">
        <v>6658.0</v>
      </c>
      <c r="C843" s="420">
        <v>0.05</v>
      </c>
      <c r="D843" s="74">
        <v>0.69</v>
      </c>
      <c r="E843" s="74">
        <v>0.69</v>
      </c>
      <c r="F843" s="229" t="s">
        <v>1656</v>
      </c>
    </row>
    <row r="844">
      <c r="A844" s="136" t="s">
        <v>8832</v>
      </c>
      <c r="B844" s="78"/>
      <c r="C844" s="420">
        <v>0.05</v>
      </c>
      <c r="D844" s="179">
        <v>0.69</v>
      </c>
      <c r="E844" s="179">
        <v>0.69</v>
      </c>
      <c r="F844" s="229" t="s">
        <v>1656</v>
      </c>
    </row>
    <row r="845">
      <c r="A845" s="136" t="s">
        <v>8833</v>
      </c>
      <c r="B845" s="78"/>
      <c r="C845" s="420">
        <v>0.05</v>
      </c>
      <c r="D845" s="179">
        <v>0.69</v>
      </c>
      <c r="E845" s="179">
        <v>0.69</v>
      </c>
      <c r="F845" s="229" t="s">
        <v>1656</v>
      </c>
    </row>
    <row r="846">
      <c r="A846" s="136" t="s">
        <v>8834</v>
      </c>
      <c r="B846" s="78"/>
      <c r="C846" s="420">
        <v>0.05</v>
      </c>
      <c r="D846" s="179">
        <v>0.69</v>
      </c>
      <c r="E846" s="179">
        <v>0.69</v>
      </c>
      <c r="F846" s="229" t="s">
        <v>1656</v>
      </c>
    </row>
    <row r="847">
      <c r="A847" s="136" t="s">
        <v>8835</v>
      </c>
      <c r="B847" s="78"/>
      <c r="C847" s="420">
        <v>0.05</v>
      </c>
      <c r="D847" s="179">
        <v>0.69</v>
      </c>
      <c r="E847" s="179">
        <v>0.69</v>
      </c>
      <c r="F847" s="229" t="s">
        <v>1656</v>
      </c>
    </row>
    <row r="848">
      <c r="A848" s="136" t="s">
        <v>8836</v>
      </c>
      <c r="B848" s="25">
        <v>663.0</v>
      </c>
      <c r="C848" s="420">
        <v>0.05</v>
      </c>
      <c r="D848" s="179">
        <v>0.69</v>
      </c>
      <c r="E848" s="179">
        <v>0.69</v>
      </c>
      <c r="F848" s="229" t="s">
        <v>1656</v>
      </c>
    </row>
    <row r="849">
      <c r="A849" s="136" t="s">
        <v>8837</v>
      </c>
      <c r="B849" s="78"/>
      <c r="C849" s="420">
        <v>0.05</v>
      </c>
      <c r="D849" s="179">
        <v>0.69</v>
      </c>
      <c r="E849" s="179">
        <v>0.69</v>
      </c>
      <c r="F849" s="229" t="s">
        <v>1656</v>
      </c>
    </row>
    <row r="850">
      <c r="A850" s="136" t="s">
        <v>8838</v>
      </c>
      <c r="B850" s="78"/>
      <c r="C850" s="420">
        <v>0.05</v>
      </c>
      <c r="D850" s="179">
        <v>0.69</v>
      </c>
      <c r="E850" s="179">
        <v>0.69</v>
      </c>
      <c r="F850" s="229" t="s">
        <v>1656</v>
      </c>
    </row>
    <row r="851">
      <c r="A851" s="136" t="s">
        <v>8839</v>
      </c>
      <c r="B851" s="78"/>
      <c r="C851" s="420">
        <v>0.05</v>
      </c>
      <c r="D851" s="179">
        <v>0.69</v>
      </c>
      <c r="E851" s="179">
        <v>0.69</v>
      </c>
      <c r="F851" s="229" t="s">
        <v>1656</v>
      </c>
    </row>
    <row r="852">
      <c r="A852" s="136" t="s">
        <v>8840</v>
      </c>
      <c r="B852" s="78"/>
      <c r="C852" s="420">
        <v>0.05</v>
      </c>
      <c r="D852" s="179">
        <v>0.69</v>
      </c>
      <c r="E852" s="179">
        <v>0.69</v>
      </c>
      <c r="F852" s="229" t="s">
        <v>1656</v>
      </c>
    </row>
    <row r="853">
      <c r="A853" s="136" t="s">
        <v>8841</v>
      </c>
      <c r="B853" s="78"/>
      <c r="C853" s="420">
        <v>0.05</v>
      </c>
      <c r="D853" s="179">
        <v>0.69</v>
      </c>
      <c r="E853" s="179">
        <v>0.69</v>
      </c>
      <c r="F853" s="229" t="s">
        <v>1656</v>
      </c>
    </row>
    <row r="854">
      <c r="A854" s="136" t="s">
        <v>8842</v>
      </c>
      <c r="B854" s="78"/>
      <c r="C854" s="420">
        <v>0.05</v>
      </c>
      <c r="D854" s="179">
        <v>0.69</v>
      </c>
      <c r="E854" s="179">
        <v>0.69</v>
      </c>
      <c r="F854" s="229" t="s">
        <v>1656</v>
      </c>
    </row>
    <row r="855">
      <c r="A855" s="136" t="s">
        <v>8843</v>
      </c>
      <c r="B855" s="78"/>
      <c r="C855" s="420">
        <v>0.05</v>
      </c>
      <c r="D855" s="179">
        <v>0.69</v>
      </c>
      <c r="E855" s="179">
        <v>0.69</v>
      </c>
      <c r="F855" s="229" t="s">
        <v>1656</v>
      </c>
    </row>
    <row r="856">
      <c r="A856" s="136" t="s">
        <v>8844</v>
      </c>
      <c r="B856" s="78"/>
      <c r="C856" s="420">
        <v>0.05</v>
      </c>
      <c r="D856" s="179">
        <v>0.69</v>
      </c>
      <c r="E856" s="179">
        <v>0.69</v>
      </c>
      <c r="F856" s="229" t="s">
        <v>1656</v>
      </c>
    </row>
    <row r="857">
      <c r="A857" s="136" t="s">
        <v>8845</v>
      </c>
      <c r="B857" s="78"/>
      <c r="C857" s="420">
        <v>0.05</v>
      </c>
      <c r="D857" s="179">
        <v>0.69</v>
      </c>
      <c r="E857" s="179">
        <v>0.69</v>
      </c>
      <c r="F857" s="229" t="s">
        <v>1656</v>
      </c>
    </row>
    <row r="858">
      <c r="A858" s="136" t="s">
        <v>8846</v>
      </c>
      <c r="B858" s="78"/>
      <c r="C858" s="420">
        <v>0.05</v>
      </c>
      <c r="D858" s="179">
        <v>0.69</v>
      </c>
      <c r="E858" s="179">
        <v>0.69</v>
      </c>
      <c r="F858" s="229" t="s">
        <v>1656</v>
      </c>
    </row>
    <row r="859">
      <c r="A859" s="136" t="s">
        <v>8847</v>
      </c>
      <c r="B859" s="78"/>
      <c r="C859" s="420">
        <v>0.05</v>
      </c>
      <c r="D859" s="179">
        <v>0.69</v>
      </c>
      <c r="E859" s="179">
        <v>0.69</v>
      </c>
      <c r="F859" s="229" t="s">
        <v>1656</v>
      </c>
    </row>
    <row r="860">
      <c r="A860" s="136" t="s">
        <v>8848</v>
      </c>
      <c r="B860" s="78"/>
      <c r="C860" s="420">
        <v>0.05</v>
      </c>
      <c r="D860" s="179">
        <v>0.69</v>
      </c>
      <c r="E860" s="179">
        <v>0.69</v>
      </c>
      <c r="F860" s="229" t="s">
        <v>1656</v>
      </c>
    </row>
    <row r="861">
      <c r="A861" s="136" t="s">
        <v>8849</v>
      </c>
      <c r="B861" s="78"/>
      <c r="C861" s="420">
        <v>0.05</v>
      </c>
      <c r="D861" s="179">
        <v>0.69</v>
      </c>
      <c r="E861" s="179">
        <v>0.69</v>
      </c>
      <c r="F861" s="229" t="s">
        <v>1656</v>
      </c>
    </row>
    <row r="862">
      <c r="A862" s="136" t="s">
        <v>8850</v>
      </c>
      <c r="B862" s="78"/>
      <c r="C862" s="420">
        <v>0.05</v>
      </c>
      <c r="D862" s="179">
        <v>0.69</v>
      </c>
      <c r="E862" s="179">
        <v>0.69</v>
      </c>
      <c r="F862" s="229" t="s">
        <v>1656</v>
      </c>
    </row>
    <row r="863">
      <c r="A863" s="136" t="s">
        <v>8851</v>
      </c>
      <c r="B863" s="78"/>
      <c r="C863" s="420">
        <v>0.05</v>
      </c>
      <c r="D863" s="179">
        <v>0.69</v>
      </c>
      <c r="E863" s="179">
        <v>0.69</v>
      </c>
      <c r="F863" s="229" t="s">
        <v>1656</v>
      </c>
    </row>
    <row r="864">
      <c r="A864" s="136" t="s">
        <v>8852</v>
      </c>
      <c r="B864" s="78"/>
      <c r="C864" s="420">
        <v>0.05</v>
      </c>
      <c r="D864" s="179">
        <v>0.69</v>
      </c>
      <c r="E864" s="179">
        <v>0.69</v>
      </c>
      <c r="F864" s="229" t="s">
        <v>1656</v>
      </c>
    </row>
    <row r="865">
      <c r="A865" s="136" t="s">
        <v>8853</v>
      </c>
      <c r="B865" s="25">
        <v>663.0</v>
      </c>
      <c r="C865" s="420">
        <v>0.05</v>
      </c>
      <c r="D865" s="179">
        <v>0.69</v>
      </c>
      <c r="E865" s="179">
        <v>0.69</v>
      </c>
      <c r="F865" s="229" t="s">
        <v>1656</v>
      </c>
    </row>
    <row r="866">
      <c r="A866" s="136" t="s">
        <v>8854</v>
      </c>
      <c r="B866" s="78"/>
      <c r="C866" s="420">
        <v>0.05</v>
      </c>
      <c r="D866" s="179">
        <v>0.69</v>
      </c>
      <c r="E866" s="179">
        <v>0.69</v>
      </c>
      <c r="F866" s="229" t="s">
        <v>1656</v>
      </c>
    </row>
    <row r="867">
      <c r="A867" s="136" t="s">
        <v>8855</v>
      </c>
      <c r="B867" s="78"/>
      <c r="C867" s="420">
        <v>0.05</v>
      </c>
      <c r="D867" s="179">
        <v>0.69</v>
      </c>
      <c r="E867" s="179">
        <v>0.69</v>
      </c>
      <c r="F867" s="229" t="s">
        <v>1656</v>
      </c>
    </row>
    <row r="868">
      <c r="A868" s="136" t="s">
        <v>8856</v>
      </c>
      <c r="B868" s="78"/>
      <c r="C868" s="420">
        <v>0.05</v>
      </c>
      <c r="D868" s="179">
        <v>0.69</v>
      </c>
      <c r="E868" s="179">
        <v>0.69</v>
      </c>
      <c r="F868" s="229" t="s">
        <v>1656</v>
      </c>
    </row>
    <row r="869">
      <c r="A869" s="136" t="s">
        <v>8857</v>
      </c>
      <c r="B869" s="78"/>
      <c r="C869" s="420">
        <v>0.05</v>
      </c>
      <c r="D869" s="179">
        <v>0.69</v>
      </c>
      <c r="E869" s="179">
        <v>0.69</v>
      </c>
      <c r="F869" s="229" t="s">
        <v>1656</v>
      </c>
    </row>
    <row r="870">
      <c r="A870" s="136" t="s">
        <v>8858</v>
      </c>
      <c r="B870" s="78"/>
      <c r="C870" s="420">
        <v>0.05</v>
      </c>
      <c r="D870" s="179">
        <v>0.69</v>
      </c>
      <c r="E870" s="179">
        <v>0.69</v>
      </c>
      <c r="F870" s="229" t="s">
        <v>1656</v>
      </c>
    </row>
    <row r="871">
      <c r="A871" s="136" t="s">
        <v>8859</v>
      </c>
      <c r="B871" s="78"/>
      <c r="C871" s="420">
        <v>0.05</v>
      </c>
      <c r="D871" s="179">
        <v>0.69</v>
      </c>
      <c r="E871" s="179">
        <v>0.69</v>
      </c>
      <c r="F871" s="229" t="s">
        <v>1656</v>
      </c>
    </row>
    <row r="872">
      <c r="A872" s="136" t="s">
        <v>8860</v>
      </c>
      <c r="B872" s="78"/>
      <c r="C872" s="420">
        <v>0.05</v>
      </c>
      <c r="D872" s="179">
        <v>0.69</v>
      </c>
      <c r="E872" s="179">
        <v>0.69</v>
      </c>
      <c r="F872" s="229" t="s">
        <v>1656</v>
      </c>
    </row>
    <row r="873">
      <c r="A873" s="136" t="s">
        <v>8861</v>
      </c>
      <c r="B873" s="78"/>
      <c r="C873" s="420">
        <v>0.05</v>
      </c>
      <c r="D873" s="179">
        <v>0.69</v>
      </c>
      <c r="E873" s="179">
        <v>0.69</v>
      </c>
      <c r="F873" s="229" t="s">
        <v>1656</v>
      </c>
    </row>
    <row r="874">
      <c r="A874" s="136" t="s">
        <v>8862</v>
      </c>
      <c r="B874" s="25">
        <v>6949.0</v>
      </c>
      <c r="C874" s="420">
        <v>0.05</v>
      </c>
      <c r="D874" s="179">
        <v>0.69</v>
      </c>
      <c r="E874" s="179">
        <v>0.69</v>
      </c>
      <c r="F874" s="229" t="s">
        <v>1656</v>
      </c>
    </row>
    <row r="875">
      <c r="A875" s="136" t="s">
        <v>8863</v>
      </c>
      <c r="B875" s="78"/>
      <c r="C875" s="420">
        <v>0.05</v>
      </c>
      <c r="D875" s="179">
        <v>0.69</v>
      </c>
      <c r="E875" s="179">
        <v>0.69</v>
      </c>
      <c r="F875" s="229" t="s">
        <v>1656</v>
      </c>
    </row>
    <row r="876">
      <c r="A876" s="136" t="s">
        <v>8864</v>
      </c>
      <c r="B876" s="78"/>
      <c r="C876" s="420">
        <v>0.05</v>
      </c>
      <c r="D876" s="179">
        <v>0.69</v>
      </c>
      <c r="E876" s="179">
        <v>0.69</v>
      </c>
      <c r="F876" s="229" t="s">
        <v>1656</v>
      </c>
    </row>
    <row r="877">
      <c r="A877" s="136" t="s">
        <v>8865</v>
      </c>
      <c r="B877" s="78"/>
      <c r="C877" s="420">
        <v>0.05</v>
      </c>
      <c r="D877" s="179">
        <v>0.69</v>
      </c>
      <c r="E877" s="179">
        <v>0.69</v>
      </c>
      <c r="F877" s="229" t="s">
        <v>1656</v>
      </c>
    </row>
    <row r="878">
      <c r="A878" s="136" t="s">
        <v>8866</v>
      </c>
      <c r="B878" s="78"/>
      <c r="C878" s="420">
        <v>0.05</v>
      </c>
      <c r="D878" s="179">
        <v>0.69</v>
      </c>
      <c r="E878" s="179">
        <v>0.69</v>
      </c>
      <c r="F878" s="229" t="s">
        <v>1656</v>
      </c>
    </row>
    <row r="879">
      <c r="A879" s="136" t="s">
        <v>8867</v>
      </c>
      <c r="B879" s="78"/>
      <c r="C879" s="420">
        <v>0.05</v>
      </c>
      <c r="D879" s="179">
        <v>0.69</v>
      </c>
      <c r="E879" s="179">
        <v>0.69</v>
      </c>
      <c r="F879" s="229" t="s">
        <v>1656</v>
      </c>
    </row>
    <row r="880">
      <c r="A880" s="136" t="s">
        <v>8868</v>
      </c>
      <c r="B880" s="78"/>
      <c r="C880" s="420">
        <v>0.05</v>
      </c>
      <c r="D880" s="179">
        <v>0.69</v>
      </c>
      <c r="E880" s="179">
        <v>0.69</v>
      </c>
      <c r="F880" s="229" t="s">
        <v>1656</v>
      </c>
    </row>
    <row r="881">
      <c r="A881" s="136" t="s">
        <v>8869</v>
      </c>
      <c r="B881" s="78"/>
      <c r="C881" s="420">
        <v>0.05</v>
      </c>
      <c r="D881" s="179">
        <v>0.69</v>
      </c>
      <c r="E881" s="179">
        <v>0.69</v>
      </c>
      <c r="F881" s="229" t="s">
        <v>1656</v>
      </c>
    </row>
    <row r="882">
      <c r="A882" s="136" t="s">
        <v>8870</v>
      </c>
      <c r="B882" s="78"/>
      <c r="C882" s="420">
        <v>0.05</v>
      </c>
      <c r="D882" s="179">
        <v>0.69</v>
      </c>
      <c r="E882" s="179">
        <v>0.69</v>
      </c>
      <c r="F882" s="229" t="s">
        <v>1656</v>
      </c>
    </row>
    <row r="883">
      <c r="A883" s="136" t="s">
        <v>8871</v>
      </c>
      <c r="B883" s="78"/>
      <c r="C883" s="420">
        <v>0.05</v>
      </c>
      <c r="D883" s="179">
        <v>0.69</v>
      </c>
      <c r="E883" s="179">
        <v>0.69</v>
      </c>
      <c r="F883" s="229" t="s">
        <v>1656</v>
      </c>
    </row>
    <row r="884">
      <c r="A884" s="136" t="s">
        <v>8872</v>
      </c>
      <c r="B884" s="78"/>
      <c r="C884" s="420">
        <v>0.05</v>
      </c>
      <c r="D884" s="179">
        <v>0.69</v>
      </c>
      <c r="E884" s="179">
        <v>0.69</v>
      </c>
      <c r="F884" s="229" t="s">
        <v>1656</v>
      </c>
    </row>
    <row r="885">
      <c r="A885" s="136" t="s">
        <v>8873</v>
      </c>
      <c r="B885" s="78"/>
      <c r="C885" s="420">
        <v>0.05</v>
      </c>
      <c r="D885" s="179">
        <v>0.69</v>
      </c>
      <c r="E885" s="179">
        <v>0.69</v>
      </c>
      <c r="F885" s="229" t="s">
        <v>1656</v>
      </c>
    </row>
    <row r="886">
      <c r="A886" s="136" t="s">
        <v>8874</v>
      </c>
      <c r="B886" s="78"/>
      <c r="C886" s="420">
        <v>0.05</v>
      </c>
      <c r="D886" s="179">
        <v>0.69</v>
      </c>
      <c r="E886" s="179">
        <v>0.69</v>
      </c>
      <c r="F886" s="229" t="s">
        <v>1656</v>
      </c>
    </row>
    <row r="887">
      <c r="A887" s="136" t="s">
        <v>8875</v>
      </c>
      <c r="B887" s="25">
        <v>986.0</v>
      </c>
      <c r="C887" s="420">
        <v>0.05</v>
      </c>
      <c r="D887" s="179">
        <v>0.81</v>
      </c>
      <c r="E887" s="179">
        <v>0.81</v>
      </c>
      <c r="F887" s="229" t="s">
        <v>1656</v>
      </c>
    </row>
    <row r="888">
      <c r="A888" s="136" t="s">
        <v>8876</v>
      </c>
      <c r="B888" s="78"/>
      <c r="C888" s="420">
        <v>0.05</v>
      </c>
      <c r="D888" s="179">
        <v>0.69</v>
      </c>
      <c r="E888" s="179">
        <v>0.69</v>
      </c>
      <c r="F888" s="229" t="s">
        <v>1656</v>
      </c>
    </row>
    <row r="889">
      <c r="A889" s="136" t="s">
        <v>8877</v>
      </c>
      <c r="B889" s="78"/>
      <c r="C889" s="420">
        <v>0.05</v>
      </c>
      <c r="D889" s="179">
        <v>0.69</v>
      </c>
      <c r="E889" s="179">
        <v>0.69</v>
      </c>
      <c r="F889" s="229" t="s">
        <v>1656</v>
      </c>
    </row>
    <row r="890">
      <c r="A890" s="136" t="s">
        <v>8878</v>
      </c>
      <c r="B890" s="78"/>
      <c r="C890" s="420">
        <v>0.05</v>
      </c>
      <c r="D890" s="179">
        <v>0.69</v>
      </c>
      <c r="E890" s="179">
        <v>0.69</v>
      </c>
      <c r="F890" s="229" t="s">
        <v>1656</v>
      </c>
    </row>
    <row r="891">
      <c r="A891" s="136" t="s">
        <v>8879</v>
      </c>
      <c r="B891" s="78"/>
      <c r="C891" s="420">
        <v>0.05</v>
      </c>
      <c r="D891" s="179">
        <v>0.69</v>
      </c>
      <c r="E891" s="179">
        <v>0.69</v>
      </c>
      <c r="F891" s="229" t="s">
        <v>1656</v>
      </c>
    </row>
    <row r="892">
      <c r="A892" s="136" t="s">
        <v>8880</v>
      </c>
      <c r="B892" s="78"/>
      <c r="C892" s="420">
        <v>0.05</v>
      </c>
      <c r="D892" s="179">
        <v>0.69</v>
      </c>
      <c r="E892" s="179">
        <v>0.69</v>
      </c>
      <c r="F892" s="229" t="s">
        <v>1656</v>
      </c>
    </row>
    <row r="893">
      <c r="A893" s="136" t="s">
        <v>8881</v>
      </c>
      <c r="B893" s="78"/>
      <c r="C893" s="420">
        <v>0.05</v>
      </c>
      <c r="D893" s="179">
        <v>0.69</v>
      </c>
      <c r="E893" s="179">
        <v>0.69</v>
      </c>
      <c r="F893" s="229" t="s">
        <v>1656</v>
      </c>
    </row>
    <row r="894">
      <c r="A894" s="136" t="s">
        <v>8882</v>
      </c>
      <c r="B894" s="78"/>
      <c r="C894" s="420">
        <v>0.05</v>
      </c>
      <c r="D894" s="179">
        <v>0.69</v>
      </c>
      <c r="E894" s="179">
        <v>0.69</v>
      </c>
      <c r="F894" s="229" t="s">
        <v>1656</v>
      </c>
    </row>
    <row r="895">
      <c r="A895" s="136" t="s">
        <v>8883</v>
      </c>
      <c r="B895" s="78"/>
      <c r="C895" s="420">
        <v>0.05</v>
      </c>
      <c r="D895" s="179">
        <v>0.69</v>
      </c>
      <c r="E895" s="179">
        <v>0.69</v>
      </c>
      <c r="F895" s="229" t="s">
        <v>1656</v>
      </c>
    </row>
    <row r="896">
      <c r="A896" s="136" t="s">
        <v>8884</v>
      </c>
      <c r="B896" s="78"/>
      <c r="C896" s="420">
        <v>0.05</v>
      </c>
      <c r="D896" s="179">
        <v>0.69</v>
      </c>
      <c r="E896" s="179">
        <v>0.69</v>
      </c>
      <c r="F896" s="229" t="s">
        <v>1656</v>
      </c>
    </row>
    <row r="897">
      <c r="A897" s="136" t="s">
        <v>8885</v>
      </c>
      <c r="B897" s="78"/>
      <c r="C897" s="420">
        <v>0.05</v>
      </c>
      <c r="D897" s="179">
        <v>0.69</v>
      </c>
      <c r="E897" s="179">
        <v>0.69</v>
      </c>
      <c r="F897" s="229" t="s">
        <v>1656</v>
      </c>
    </row>
    <row r="898">
      <c r="A898" s="136" t="s">
        <v>8886</v>
      </c>
      <c r="B898" s="78"/>
      <c r="C898" s="420">
        <v>0.05</v>
      </c>
      <c r="D898" s="179">
        <v>0.69</v>
      </c>
      <c r="E898" s="179">
        <v>0.69</v>
      </c>
      <c r="F898" s="229" t="s">
        <v>1656</v>
      </c>
    </row>
    <row r="899">
      <c r="A899" s="136" t="s">
        <v>8887</v>
      </c>
      <c r="B899" s="78"/>
      <c r="C899" s="420">
        <v>0.05</v>
      </c>
      <c r="D899" s="179">
        <v>0.69</v>
      </c>
      <c r="E899" s="179">
        <v>0.69</v>
      </c>
      <c r="F899" s="229" t="s">
        <v>1656</v>
      </c>
    </row>
    <row r="900">
      <c r="A900" s="136" t="s">
        <v>8888</v>
      </c>
      <c r="B900" s="78"/>
      <c r="C900" s="420">
        <v>0.05</v>
      </c>
      <c r="D900" s="179">
        <v>0.69</v>
      </c>
      <c r="E900" s="179">
        <v>0.69</v>
      </c>
      <c r="F900" s="229" t="s">
        <v>1656</v>
      </c>
    </row>
    <row r="901">
      <c r="A901" s="136" t="s">
        <v>8889</v>
      </c>
      <c r="B901" s="25">
        <v>6658.0</v>
      </c>
      <c r="C901" s="420">
        <v>0.05</v>
      </c>
      <c r="D901" s="74">
        <v>0.69</v>
      </c>
      <c r="E901" s="74">
        <v>0.69</v>
      </c>
      <c r="F901" s="229" t="s">
        <v>1656</v>
      </c>
    </row>
    <row r="902">
      <c r="A902" s="136" t="s">
        <v>8890</v>
      </c>
      <c r="B902" s="78"/>
      <c r="C902" s="420">
        <v>0.05</v>
      </c>
      <c r="D902" s="179">
        <v>0.69</v>
      </c>
      <c r="E902" s="179">
        <v>0.69</v>
      </c>
      <c r="F902" s="229" t="s">
        <v>1656</v>
      </c>
    </row>
    <row r="903">
      <c r="A903" s="136" t="s">
        <v>8891</v>
      </c>
      <c r="B903" s="78"/>
      <c r="C903" s="420">
        <v>0.05</v>
      </c>
      <c r="D903" s="179">
        <v>0.69</v>
      </c>
      <c r="E903" s="179">
        <v>0.69</v>
      </c>
      <c r="F903" s="229" t="s">
        <v>1656</v>
      </c>
    </row>
    <row r="904">
      <c r="A904" s="136" t="s">
        <v>8892</v>
      </c>
      <c r="B904" s="78"/>
      <c r="C904" s="420">
        <v>0.05</v>
      </c>
      <c r="D904" s="179">
        <v>0.69</v>
      </c>
      <c r="E904" s="179">
        <v>0.69</v>
      </c>
      <c r="F904" s="229" t="s">
        <v>1656</v>
      </c>
    </row>
    <row r="905">
      <c r="A905" s="136" t="s">
        <v>8893</v>
      </c>
      <c r="B905" s="78"/>
      <c r="C905" s="420">
        <v>0.05</v>
      </c>
      <c r="D905" s="179">
        <v>0.69</v>
      </c>
      <c r="E905" s="179">
        <v>0.69</v>
      </c>
      <c r="F905" s="229" t="s">
        <v>1656</v>
      </c>
    </row>
    <row r="906">
      <c r="A906" s="136" t="s">
        <v>8894</v>
      </c>
      <c r="B906" s="78"/>
      <c r="C906" s="420">
        <v>0.05</v>
      </c>
      <c r="D906" s="179">
        <v>0.69</v>
      </c>
      <c r="E906" s="179">
        <v>0.69</v>
      </c>
      <c r="F906" s="229" t="s">
        <v>1656</v>
      </c>
    </row>
    <row r="907">
      <c r="A907" s="136" t="s">
        <v>8895</v>
      </c>
      <c r="B907" s="78"/>
      <c r="C907" s="420">
        <v>0.05</v>
      </c>
      <c r="D907" s="179">
        <v>0.69</v>
      </c>
      <c r="E907" s="179">
        <v>0.69</v>
      </c>
      <c r="F907" s="229" t="s">
        <v>1656</v>
      </c>
    </row>
    <row r="908">
      <c r="A908" s="136" t="s">
        <v>8896</v>
      </c>
      <c r="B908" s="78"/>
      <c r="C908" s="420">
        <v>0.05</v>
      </c>
      <c r="D908" s="179">
        <v>0.69</v>
      </c>
      <c r="E908" s="179">
        <v>0.69</v>
      </c>
      <c r="F908" s="229" t="s">
        <v>1656</v>
      </c>
    </row>
    <row r="909">
      <c r="A909" s="136" t="s">
        <v>8897</v>
      </c>
      <c r="B909" s="78"/>
      <c r="C909" s="420">
        <v>0.05</v>
      </c>
      <c r="D909" s="179">
        <v>0.69</v>
      </c>
      <c r="E909" s="179">
        <v>0.69</v>
      </c>
      <c r="F909" s="229" t="s">
        <v>1656</v>
      </c>
    </row>
    <row r="910">
      <c r="A910" s="136" t="s">
        <v>8898</v>
      </c>
      <c r="B910" s="78"/>
      <c r="C910" s="420">
        <v>0.05</v>
      </c>
      <c r="D910" s="179">
        <v>0.69</v>
      </c>
      <c r="E910" s="179">
        <v>0.69</v>
      </c>
      <c r="F910" s="229" t="s">
        <v>1656</v>
      </c>
    </row>
    <row r="911">
      <c r="A911" s="136" t="s">
        <v>8899</v>
      </c>
      <c r="B911" s="25">
        <v>7010.0</v>
      </c>
      <c r="C911" s="420">
        <v>0.05</v>
      </c>
      <c r="D911" s="179">
        <v>0.69</v>
      </c>
      <c r="E911" s="179">
        <v>0.69</v>
      </c>
      <c r="F911" s="229" t="s">
        <v>1656</v>
      </c>
    </row>
    <row r="912">
      <c r="A912" s="136" t="s">
        <v>8900</v>
      </c>
      <c r="B912" s="78"/>
      <c r="C912" s="420">
        <v>0.05</v>
      </c>
      <c r="D912" s="179">
        <v>0.69</v>
      </c>
      <c r="E912" s="179">
        <v>0.69</v>
      </c>
      <c r="F912" s="229" t="s">
        <v>1656</v>
      </c>
    </row>
    <row r="913">
      <c r="A913" s="136" t="s">
        <v>8901</v>
      </c>
      <c r="B913" s="25">
        <v>7010.0</v>
      </c>
      <c r="C913" s="420">
        <v>0.05</v>
      </c>
      <c r="D913" s="179">
        <v>0.69</v>
      </c>
      <c r="E913" s="179">
        <v>0.69</v>
      </c>
      <c r="F913" s="229" t="s">
        <v>1656</v>
      </c>
    </row>
    <row r="914">
      <c r="A914" s="136" t="s">
        <v>8902</v>
      </c>
      <c r="B914" s="25">
        <v>7070.0</v>
      </c>
      <c r="C914" s="420">
        <v>0.05</v>
      </c>
      <c r="D914" s="179">
        <v>0.69</v>
      </c>
      <c r="E914" s="179">
        <v>0.69</v>
      </c>
      <c r="F914" s="229" t="s">
        <v>1656</v>
      </c>
    </row>
    <row r="915">
      <c r="A915" s="136" t="s">
        <v>8903</v>
      </c>
      <c r="B915" s="252">
        <v>7100.0</v>
      </c>
      <c r="C915" s="420">
        <v>0.05</v>
      </c>
      <c r="D915" s="179">
        <v>0.69</v>
      </c>
      <c r="E915" s="179">
        <v>0.69</v>
      </c>
      <c r="F915" s="229" t="s">
        <v>1656</v>
      </c>
    </row>
    <row r="916">
      <c r="A916" s="136" t="s">
        <v>8904</v>
      </c>
      <c r="B916" s="78"/>
      <c r="C916" s="420">
        <v>0.05</v>
      </c>
      <c r="D916" s="179">
        <v>0.69</v>
      </c>
      <c r="E916" s="179">
        <v>0.69</v>
      </c>
      <c r="F916" s="229" t="s">
        <v>1656</v>
      </c>
    </row>
    <row r="917">
      <c r="A917" s="136" t="s">
        <v>8905</v>
      </c>
      <c r="B917" s="78"/>
      <c r="C917" s="420">
        <v>0.05</v>
      </c>
      <c r="D917" s="179">
        <v>0.69</v>
      </c>
      <c r="E917" s="179">
        <v>0.69</v>
      </c>
      <c r="F917" s="229" t="s">
        <v>1656</v>
      </c>
    </row>
    <row r="918">
      <c r="A918" s="136" t="s">
        <v>8906</v>
      </c>
      <c r="B918" s="78"/>
      <c r="C918" s="420">
        <v>0.05</v>
      </c>
      <c r="D918" s="179">
        <v>0.69</v>
      </c>
      <c r="E918" s="179">
        <v>0.69</v>
      </c>
      <c r="F918" s="229" t="s">
        <v>1656</v>
      </c>
    </row>
    <row r="919">
      <c r="A919" s="136" t="s">
        <v>8907</v>
      </c>
      <c r="B919" s="252">
        <v>6780.0</v>
      </c>
      <c r="C919" s="420">
        <v>0.05</v>
      </c>
      <c r="D919" s="179">
        <v>0.69</v>
      </c>
      <c r="E919" s="179">
        <v>0.69</v>
      </c>
      <c r="F919" s="229" t="s">
        <v>1656</v>
      </c>
    </row>
    <row r="920">
      <c r="A920" s="136" t="s">
        <v>8908</v>
      </c>
      <c r="B920" s="78"/>
      <c r="C920" s="420">
        <v>0.05</v>
      </c>
      <c r="D920" s="179">
        <v>0.69</v>
      </c>
      <c r="E920" s="179">
        <v>0.69</v>
      </c>
      <c r="F920" s="229" t="s">
        <v>1656</v>
      </c>
    </row>
    <row r="921">
      <c r="A921" s="136" t="s">
        <v>8909</v>
      </c>
      <c r="B921" s="78"/>
      <c r="C921" s="420">
        <v>0.05</v>
      </c>
      <c r="D921" s="179">
        <v>0.69</v>
      </c>
      <c r="E921" s="179">
        <v>0.69</v>
      </c>
      <c r="F921" s="229" t="s">
        <v>1656</v>
      </c>
    </row>
    <row r="922">
      <c r="A922" s="136" t="s">
        <v>8910</v>
      </c>
      <c r="B922" s="78"/>
      <c r="C922" s="420">
        <v>0.05</v>
      </c>
      <c r="D922" s="179">
        <v>0.69</v>
      </c>
      <c r="E922" s="179">
        <v>0.69</v>
      </c>
      <c r="F922" s="229" t="s">
        <v>1656</v>
      </c>
    </row>
    <row r="923">
      <c r="A923" s="136" t="s">
        <v>8911</v>
      </c>
      <c r="B923" s="78">
        <f> 7137</f>
        <v>7137</v>
      </c>
      <c r="C923" s="420">
        <v>0.05</v>
      </c>
      <c r="D923" s="179">
        <v>0.69</v>
      </c>
      <c r="E923" s="179">
        <v>0.69</v>
      </c>
      <c r="F923" s="229" t="s">
        <v>1656</v>
      </c>
    </row>
    <row r="924">
      <c r="A924" s="136" t="s">
        <v>8912</v>
      </c>
      <c r="B924" s="78"/>
      <c r="C924" s="420">
        <v>0.05</v>
      </c>
      <c r="D924" s="179">
        <v>0.69</v>
      </c>
      <c r="E924" s="179">
        <v>0.69</v>
      </c>
      <c r="F924" s="229" t="s">
        <v>1656</v>
      </c>
    </row>
    <row r="925">
      <c r="A925" s="136" t="s">
        <v>8913</v>
      </c>
      <c r="B925" s="25">
        <v>7073.0</v>
      </c>
      <c r="C925" s="420">
        <v>0.05</v>
      </c>
      <c r="D925" s="179">
        <v>0.69</v>
      </c>
      <c r="E925" s="179">
        <v>0.69</v>
      </c>
      <c r="F925" s="229" t="s">
        <v>1656</v>
      </c>
    </row>
    <row r="926">
      <c r="A926" s="136" t="s">
        <v>8914</v>
      </c>
      <c r="B926" s="78"/>
      <c r="C926" s="420">
        <v>0.05</v>
      </c>
      <c r="D926" s="179">
        <v>0.69</v>
      </c>
      <c r="E926" s="179">
        <v>0.69</v>
      </c>
      <c r="F926" s="229" t="s">
        <v>1656</v>
      </c>
    </row>
    <row r="927">
      <c r="A927" s="136" t="s">
        <v>8915</v>
      </c>
      <c r="B927" s="78"/>
      <c r="C927" s="420">
        <v>0.05</v>
      </c>
      <c r="D927" s="179">
        <v>0.69</v>
      </c>
      <c r="E927" s="179">
        <v>0.69</v>
      </c>
      <c r="F927" s="229" t="s">
        <v>1656</v>
      </c>
    </row>
    <row r="928">
      <c r="A928" s="136" t="s">
        <v>8916</v>
      </c>
      <c r="B928" s="25">
        <v>14076.0</v>
      </c>
      <c r="C928" s="420">
        <v>0.05</v>
      </c>
      <c r="D928" s="179">
        <v>0.69</v>
      </c>
      <c r="E928" s="179">
        <v>0.69</v>
      </c>
      <c r="F928" s="229" t="s">
        <v>1656</v>
      </c>
    </row>
    <row r="929">
      <c r="A929" s="136" t="s">
        <v>8917</v>
      </c>
      <c r="B929" s="78"/>
      <c r="C929" s="420">
        <v>0.05</v>
      </c>
      <c r="D929" s="179">
        <v>0.69</v>
      </c>
      <c r="E929" s="179">
        <v>0.69</v>
      </c>
      <c r="F929" s="229" t="s">
        <v>1656</v>
      </c>
    </row>
    <row r="930">
      <c r="A930" s="136" t="s">
        <v>8918</v>
      </c>
      <c r="B930" s="78"/>
      <c r="C930" s="420">
        <v>0.05</v>
      </c>
      <c r="D930" s="179">
        <v>0.69</v>
      </c>
      <c r="E930" s="179">
        <v>0.69</v>
      </c>
      <c r="F930" s="229" t="s">
        <v>1656</v>
      </c>
    </row>
    <row r="931">
      <c r="A931" s="136" t="s">
        <v>8919</v>
      </c>
      <c r="B931" s="25">
        <v>8486.0</v>
      </c>
      <c r="C931" s="420">
        <v>0.05</v>
      </c>
      <c r="D931" s="74">
        <v>0.8</v>
      </c>
      <c r="E931" s="74">
        <v>0.8</v>
      </c>
      <c r="F931" s="229" t="s">
        <v>1656</v>
      </c>
    </row>
    <row r="932">
      <c r="A932" s="136" t="s">
        <v>8920</v>
      </c>
      <c r="B932" s="25">
        <v>7033.0</v>
      </c>
      <c r="C932" s="420">
        <v>0.05</v>
      </c>
      <c r="D932" s="179">
        <v>0.69</v>
      </c>
      <c r="E932" s="179">
        <v>0.69</v>
      </c>
      <c r="F932" s="229" t="s">
        <v>1656</v>
      </c>
    </row>
    <row r="933">
      <c r="A933" s="136" t="s">
        <v>8921</v>
      </c>
      <c r="B933" s="25">
        <v>6774.0</v>
      </c>
      <c r="C933" s="420">
        <v>0.05</v>
      </c>
      <c r="D933" s="179">
        <v>0.69</v>
      </c>
      <c r="E933" s="179">
        <v>0.69</v>
      </c>
      <c r="F933" s="229" t="s">
        <v>1656</v>
      </c>
    </row>
    <row r="934">
      <c r="A934" s="136" t="s">
        <v>8922</v>
      </c>
      <c r="B934" s="78"/>
      <c r="C934" s="420">
        <v>0.05</v>
      </c>
      <c r="D934" s="179">
        <v>0.69</v>
      </c>
      <c r="E934" s="179">
        <v>0.69</v>
      </c>
      <c r="F934" s="229" t="s">
        <v>1656</v>
      </c>
    </row>
    <row r="935">
      <c r="A935" s="136" t="s">
        <v>8923</v>
      </c>
      <c r="B935" s="25">
        <v>7083.0</v>
      </c>
      <c r="C935" s="420">
        <v>0.05</v>
      </c>
      <c r="D935" s="179">
        <v>0.69</v>
      </c>
      <c r="E935" s="179">
        <v>0.69</v>
      </c>
      <c r="F935" s="229" t="s">
        <v>1656</v>
      </c>
    </row>
    <row r="936">
      <c r="A936" s="136" t="s">
        <v>8924</v>
      </c>
      <c r="B936" s="25">
        <v>14267.0</v>
      </c>
      <c r="C936" s="420">
        <v>0.05</v>
      </c>
      <c r="D936" s="179">
        <v>0.69</v>
      </c>
      <c r="E936" s="179">
        <v>0.69</v>
      </c>
      <c r="F936" s="229" t="s">
        <v>1656</v>
      </c>
    </row>
    <row r="937">
      <c r="A937" s="136" t="s">
        <v>8925</v>
      </c>
      <c r="B937" s="25">
        <v>14267.0</v>
      </c>
      <c r="C937" s="420">
        <v>0.05</v>
      </c>
      <c r="D937" s="179">
        <v>0.69</v>
      </c>
      <c r="E937" s="179">
        <v>0.69</v>
      </c>
      <c r="F937" s="229" t="s">
        <v>1656</v>
      </c>
    </row>
    <row r="938">
      <c r="A938" s="136" t="s">
        <v>8926</v>
      </c>
      <c r="B938" s="25">
        <v>6530.0</v>
      </c>
      <c r="C938" s="420">
        <v>0.05</v>
      </c>
      <c r="D938" s="179">
        <v>0.69</v>
      </c>
      <c r="E938" s="179">
        <v>0.69</v>
      </c>
      <c r="F938" s="229" t="s">
        <v>1656</v>
      </c>
    </row>
    <row r="939">
      <c r="A939" s="136" t="s">
        <v>8927</v>
      </c>
      <c r="B939" s="25">
        <v>6530.0</v>
      </c>
      <c r="C939" s="420">
        <v>0.05</v>
      </c>
      <c r="D939" s="179">
        <v>0.69</v>
      </c>
      <c r="E939" s="179">
        <v>0.69</v>
      </c>
      <c r="F939" s="229" t="s">
        <v>1656</v>
      </c>
    </row>
    <row r="940">
      <c r="A940" s="136" t="s">
        <v>8928</v>
      </c>
      <c r="B940" s="25">
        <v>6530.0</v>
      </c>
      <c r="C940" s="420">
        <v>0.05</v>
      </c>
      <c r="D940" s="179">
        <v>0.69</v>
      </c>
      <c r="E940" s="179">
        <v>0.69</v>
      </c>
      <c r="F940" s="229" t="s">
        <v>1656</v>
      </c>
    </row>
    <row r="941">
      <c r="A941" s="136" t="s">
        <v>8929</v>
      </c>
      <c r="B941" s="25">
        <v>986.0</v>
      </c>
      <c r="C941" s="420">
        <v>0.05</v>
      </c>
      <c r="D941" s="179">
        <v>0.81</v>
      </c>
      <c r="E941" s="179">
        <v>0.81</v>
      </c>
      <c r="F941" s="229" t="s">
        <v>1656</v>
      </c>
    </row>
    <row r="942">
      <c r="A942" s="136" t="s">
        <v>8930</v>
      </c>
      <c r="B942" s="25">
        <v>986.0</v>
      </c>
      <c r="C942" s="420">
        <v>0.05</v>
      </c>
      <c r="D942" s="179">
        <v>0.81</v>
      </c>
      <c r="E942" s="179">
        <v>0.81</v>
      </c>
      <c r="F942" s="229" t="s">
        <v>1656</v>
      </c>
    </row>
    <row r="943">
      <c r="A943" s="136" t="s">
        <v>8931</v>
      </c>
      <c r="B943" s="25">
        <v>986.0</v>
      </c>
      <c r="C943" s="420">
        <v>0.05</v>
      </c>
      <c r="D943" s="179">
        <v>0.81</v>
      </c>
      <c r="E943" s="179">
        <v>0.81</v>
      </c>
      <c r="F943" s="229" t="s">
        <v>1656</v>
      </c>
    </row>
    <row r="944">
      <c r="A944" s="136" t="s">
        <v>8932</v>
      </c>
      <c r="B944" s="25">
        <v>7246.0</v>
      </c>
      <c r="C944" s="420">
        <v>0.05</v>
      </c>
      <c r="D944" s="179">
        <v>0.69</v>
      </c>
      <c r="E944" s="179">
        <v>0.69</v>
      </c>
      <c r="F944" s="229" t="s">
        <v>1656</v>
      </c>
    </row>
    <row r="945">
      <c r="A945" s="136" t="s">
        <v>8933</v>
      </c>
      <c r="B945" s="78"/>
      <c r="C945" s="420">
        <v>0.05</v>
      </c>
      <c r="D945" s="179">
        <v>0.69</v>
      </c>
      <c r="E945" s="179">
        <v>0.69</v>
      </c>
      <c r="F945" s="229" t="s">
        <v>1656</v>
      </c>
    </row>
    <row r="946">
      <c r="A946" s="136" t="s">
        <v>8934</v>
      </c>
      <c r="B946" s="25">
        <v>7158.0</v>
      </c>
      <c r="C946" s="420">
        <v>0.05</v>
      </c>
      <c r="D946" s="179">
        <v>0.69</v>
      </c>
      <c r="E946" s="179">
        <v>0.69</v>
      </c>
      <c r="F946" s="229" t="s">
        <v>1656</v>
      </c>
    </row>
    <row r="947">
      <c r="A947" s="136" t="s">
        <v>8935</v>
      </c>
      <c r="B947" s="25">
        <v>986.0</v>
      </c>
      <c r="C947" s="420">
        <v>0.05</v>
      </c>
      <c r="D947" s="179">
        <v>0.81</v>
      </c>
      <c r="E947" s="179">
        <v>0.81</v>
      </c>
      <c r="F947" s="229" t="s">
        <v>1656</v>
      </c>
    </row>
    <row r="948">
      <c r="A948" s="136" t="s">
        <v>8936</v>
      </c>
      <c r="B948" s="25">
        <v>986.0</v>
      </c>
      <c r="C948" s="420">
        <v>0.05</v>
      </c>
      <c r="D948" s="179">
        <v>0.81</v>
      </c>
      <c r="E948" s="179">
        <v>0.81</v>
      </c>
      <c r="F948" s="229" t="s">
        <v>1656</v>
      </c>
    </row>
    <row r="949">
      <c r="A949" s="136" t="s">
        <v>8937</v>
      </c>
      <c r="B949" s="25">
        <v>6928.0</v>
      </c>
      <c r="C949" s="420">
        <v>0.05</v>
      </c>
      <c r="D949" s="179">
        <v>0.69</v>
      </c>
      <c r="E949" s="179">
        <v>0.69</v>
      </c>
      <c r="F949" s="229" t="s">
        <v>1656</v>
      </c>
    </row>
    <row r="950">
      <c r="A950" s="136" t="s">
        <v>8938</v>
      </c>
      <c r="B950" s="25">
        <v>986.0</v>
      </c>
      <c r="C950" s="420">
        <v>0.05</v>
      </c>
      <c r="D950" s="179">
        <v>0.81</v>
      </c>
      <c r="E950" s="179">
        <v>0.81</v>
      </c>
      <c r="F950" s="229" t="s">
        <v>1656</v>
      </c>
    </row>
    <row r="951">
      <c r="A951" s="136" t="s">
        <v>8939</v>
      </c>
      <c r="B951" s="25">
        <v>986.0</v>
      </c>
      <c r="C951" s="420">
        <v>0.05</v>
      </c>
      <c r="D951" s="179">
        <v>0.81</v>
      </c>
      <c r="E951" s="179">
        <v>0.81</v>
      </c>
      <c r="F951" s="229" t="s">
        <v>1656</v>
      </c>
    </row>
    <row r="952">
      <c r="A952" s="136" t="s">
        <v>8940</v>
      </c>
      <c r="B952" s="25">
        <v>986.0</v>
      </c>
      <c r="C952" s="420">
        <v>0.05</v>
      </c>
      <c r="D952" s="179">
        <v>0.81</v>
      </c>
      <c r="E952" s="179">
        <v>0.81</v>
      </c>
      <c r="F952" s="229" t="s">
        <v>1656</v>
      </c>
    </row>
    <row r="953">
      <c r="A953" s="136" t="s">
        <v>8941</v>
      </c>
      <c r="B953" s="25">
        <v>986.0</v>
      </c>
      <c r="C953" s="420">
        <v>0.05</v>
      </c>
      <c r="D953" s="179">
        <v>0.81</v>
      </c>
      <c r="E953" s="179">
        <v>0.81</v>
      </c>
      <c r="F953" s="229" t="s">
        <v>1656</v>
      </c>
    </row>
    <row r="954">
      <c r="A954" s="136" t="s">
        <v>8942</v>
      </c>
      <c r="B954" s="25">
        <v>986.0</v>
      </c>
      <c r="C954" s="420">
        <v>0.05</v>
      </c>
      <c r="D954" s="179">
        <v>0.81</v>
      </c>
      <c r="E954" s="179">
        <v>0.81</v>
      </c>
      <c r="F954" s="229" t="s">
        <v>1656</v>
      </c>
    </row>
    <row r="955">
      <c r="A955" s="136" t="s">
        <v>8943</v>
      </c>
      <c r="B955" s="25">
        <v>986.0</v>
      </c>
      <c r="C955" s="420">
        <v>0.05</v>
      </c>
      <c r="D955" s="179">
        <v>0.81</v>
      </c>
      <c r="E955" s="179">
        <v>0.81</v>
      </c>
      <c r="F955" s="229" t="s">
        <v>1656</v>
      </c>
    </row>
    <row r="956">
      <c r="A956" s="136" t="s">
        <v>8944</v>
      </c>
      <c r="B956" s="25">
        <v>986.0</v>
      </c>
      <c r="C956" s="420">
        <v>0.05</v>
      </c>
      <c r="D956" s="179">
        <v>0.81</v>
      </c>
      <c r="E956" s="179">
        <v>0.81</v>
      </c>
      <c r="F956" s="229" t="s">
        <v>1656</v>
      </c>
    </row>
    <row r="957">
      <c r="A957" s="136" t="s">
        <v>8945</v>
      </c>
      <c r="B957" s="25">
        <v>986.0</v>
      </c>
      <c r="C957" s="420">
        <v>0.05</v>
      </c>
      <c r="D957" s="179">
        <v>0.81</v>
      </c>
      <c r="E957" s="179">
        <v>0.81</v>
      </c>
      <c r="F957" s="229" t="s">
        <v>1656</v>
      </c>
    </row>
    <row r="958">
      <c r="A958" s="136" t="s">
        <v>8946</v>
      </c>
      <c r="B958" s="25">
        <v>986.0</v>
      </c>
      <c r="C958" s="420">
        <v>0.05</v>
      </c>
      <c r="D958" s="179">
        <v>0.81</v>
      </c>
      <c r="E958" s="179">
        <v>0.81</v>
      </c>
      <c r="F958" s="229" t="s">
        <v>1656</v>
      </c>
    </row>
    <row r="959">
      <c r="A959" s="136" t="s">
        <v>8947</v>
      </c>
      <c r="B959" s="25">
        <v>5458.0</v>
      </c>
      <c r="C959" s="420">
        <v>0.05</v>
      </c>
      <c r="D959" s="179">
        <v>0.69</v>
      </c>
      <c r="E959" s="179">
        <v>0.69</v>
      </c>
      <c r="F959" s="229" t="s">
        <v>1656</v>
      </c>
    </row>
    <row r="960">
      <c r="A960" s="136" t="s">
        <v>8948</v>
      </c>
      <c r="B960" s="25">
        <v>136.0</v>
      </c>
      <c r="C960" s="420">
        <v>0.05</v>
      </c>
      <c r="D960" s="179">
        <v>0.69</v>
      </c>
      <c r="E960" s="179">
        <v>0.69</v>
      </c>
      <c r="F960" s="229" t="s">
        <v>1656</v>
      </c>
    </row>
    <row r="961">
      <c r="A961" s="136" t="s">
        <v>8949</v>
      </c>
      <c r="B961" s="78"/>
      <c r="C961" s="420">
        <v>0.05</v>
      </c>
      <c r="D961" s="179">
        <v>0.69</v>
      </c>
      <c r="E961" s="179">
        <v>0.69</v>
      </c>
      <c r="F961" s="229" t="s">
        <v>1656</v>
      </c>
    </row>
    <row r="962">
      <c r="A962" s="136" t="s">
        <v>8950</v>
      </c>
      <c r="B962" s="25">
        <v>6906.0</v>
      </c>
      <c r="C962" s="420">
        <v>0.05</v>
      </c>
      <c r="D962" s="179">
        <v>0.69</v>
      </c>
      <c r="E962" s="179">
        <v>0.69</v>
      </c>
      <c r="F962" s="229" t="s">
        <v>1656</v>
      </c>
    </row>
    <row r="963">
      <c r="A963" s="136" t="s">
        <v>8951</v>
      </c>
      <c r="B963" s="78"/>
      <c r="C963" s="420">
        <v>0.05</v>
      </c>
      <c r="D963" s="179">
        <v>0.69</v>
      </c>
      <c r="E963" s="179">
        <v>0.69</v>
      </c>
      <c r="F963" s="229" t="s">
        <v>1656</v>
      </c>
    </row>
    <row r="964">
      <c r="A964" s="136" t="s">
        <v>8952</v>
      </c>
      <c r="B964" s="25">
        <v>6132.0</v>
      </c>
      <c r="C964" s="420">
        <v>0.05</v>
      </c>
      <c r="D964" s="179">
        <v>0.69</v>
      </c>
      <c r="E964" s="179">
        <v>0.69</v>
      </c>
      <c r="F964" s="229" t="s">
        <v>1656</v>
      </c>
    </row>
    <row r="965">
      <c r="A965" s="136" t="s">
        <v>8953</v>
      </c>
      <c r="B965" s="25">
        <v>6733.0</v>
      </c>
      <c r="C965" s="420">
        <v>0.05</v>
      </c>
      <c r="D965" s="179">
        <v>0.69</v>
      </c>
      <c r="E965" s="179">
        <v>0.69</v>
      </c>
      <c r="F965" s="229" t="s">
        <v>1656</v>
      </c>
    </row>
    <row r="966">
      <c r="A966" s="136" t="s">
        <v>8954</v>
      </c>
      <c r="B966" s="25">
        <v>7054.0</v>
      </c>
      <c r="C966" s="420">
        <v>0.05</v>
      </c>
      <c r="D966" s="179">
        <v>0.69</v>
      </c>
      <c r="E966" s="179">
        <v>0.69</v>
      </c>
      <c r="F966" s="229" t="s">
        <v>1656</v>
      </c>
    </row>
    <row r="967">
      <c r="A967" s="136" t="s">
        <v>8955</v>
      </c>
      <c r="B967" s="25">
        <v>7051.0</v>
      </c>
      <c r="C967" s="420">
        <v>0.05</v>
      </c>
      <c r="D967" s="179">
        <v>0.69</v>
      </c>
      <c r="E967" s="179">
        <v>0.69</v>
      </c>
      <c r="F967" s="229" t="s">
        <v>1656</v>
      </c>
    </row>
    <row r="968">
      <c r="A968" s="136" t="s">
        <v>8956</v>
      </c>
      <c r="B968" s="78"/>
      <c r="C968" s="420">
        <v>0.05</v>
      </c>
      <c r="D968" s="179">
        <v>0.69</v>
      </c>
      <c r="E968" s="179">
        <v>0.69</v>
      </c>
      <c r="F968" s="229" t="s">
        <v>1656</v>
      </c>
    </row>
    <row r="969">
      <c r="A969" s="136" t="s">
        <v>8957</v>
      </c>
      <c r="B969" s="78"/>
      <c r="C969" s="420">
        <v>0.05</v>
      </c>
      <c r="D969" s="179">
        <v>0.69</v>
      </c>
      <c r="E969" s="179">
        <v>0.69</v>
      </c>
      <c r="F969" s="229" t="s">
        <v>1656</v>
      </c>
    </row>
    <row r="970">
      <c r="A970" s="136" t="s">
        <v>8958</v>
      </c>
      <c r="B970" s="252">
        <v>6802.0</v>
      </c>
      <c r="C970" s="420">
        <v>0.05</v>
      </c>
      <c r="D970" s="179">
        <v>0.69</v>
      </c>
      <c r="E970" s="179">
        <v>0.69</v>
      </c>
      <c r="F970" s="229" t="s">
        <v>1656</v>
      </c>
    </row>
    <row r="971">
      <c r="A971" s="136" t="s">
        <v>8959</v>
      </c>
      <c r="B971" s="78"/>
      <c r="C971" s="420">
        <v>0.05</v>
      </c>
      <c r="D971" s="179">
        <v>0.69</v>
      </c>
      <c r="E971" s="179">
        <v>0.69</v>
      </c>
      <c r="F971" s="229" t="s">
        <v>1656</v>
      </c>
    </row>
    <row r="972">
      <c r="A972" s="136" t="s">
        <v>8960</v>
      </c>
      <c r="B972" s="25">
        <v>6831.0</v>
      </c>
      <c r="C972" s="420">
        <v>0.05</v>
      </c>
      <c r="D972" s="179">
        <v>0.69</v>
      </c>
      <c r="E972" s="179">
        <v>0.69</v>
      </c>
      <c r="F972" s="229" t="s">
        <v>1656</v>
      </c>
    </row>
    <row r="973">
      <c r="A973" s="136" t="s">
        <v>8961</v>
      </c>
      <c r="B973" s="25">
        <v>6831.0</v>
      </c>
      <c r="C973" s="420">
        <v>0.05</v>
      </c>
      <c r="D973" s="179">
        <v>0.69</v>
      </c>
      <c r="E973" s="179">
        <v>0.69</v>
      </c>
      <c r="F973" s="229" t="s">
        <v>1656</v>
      </c>
    </row>
    <row r="974">
      <c r="A974" s="423" t="s">
        <v>8962</v>
      </c>
      <c r="B974" s="424">
        <v>8576.0</v>
      </c>
      <c r="C974" s="420">
        <v>0.05</v>
      </c>
      <c r="D974" s="179">
        <v>0.69</v>
      </c>
      <c r="E974" s="179">
        <v>0.69</v>
      </c>
      <c r="F974" s="229" t="s">
        <v>1656</v>
      </c>
      <c r="G974" s="37" t="s">
        <v>207</v>
      </c>
    </row>
    <row r="975">
      <c r="A975" s="423" t="s">
        <v>8963</v>
      </c>
      <c r="B975" s="424">
        <v>9602.0</v>
      </c>
      <c r="C975" s="420">
        <v>0.05</v>
      </c>
      <c r="D975" s="179">
        <v>0.69</v>
      </c>
      <c r="E975" s="179">
        <v>0.69</v>
      </c>
      <c r="F975" s="229" t="s">
        <v>1656</v>
      </c>
      <c r="G975" s="37" t="s">
        <v>207</v>
      </c>
    </row>
    <row r="976">
      <c r="A976" s="423" t="s">
        <v>8964</v>
      </c>
      <c r="B976" s="424">
        <v>8163.0</v>
      </c>
      <c r="C976" s="420">
        <v>0.05</v>
      </c>
      <c r="D976" s="179">
        <v>0.69</v>
      </c>
      <c r="E976" s="179">
        <v>0.69</v>
      </c>
      <c r="F976" s="229" t="s">
        <v>1656</v>
      </c>
      <c r="G976" s="37" t="s">
        <v>207</v>
      </c>
    </row>
    <row r="977">
      <c r="A977" s="423" t="s">
        <v>8965</v>
      </c>
      <c r="B977" s="424">
        <v>8537.0</v>
      </c>
      <c r="C977" s="420">
        <v>0.05</v>
      </c>
      <c r="D977" s="179">
        <v>0.69</v>
      </c>
      <c r="E977" s="179">
        <v>0.69</v>
      </c>
      <c r="F977" s="229" t="s">
        <v>1656</v>
      </c>
      <c r="G977" s="37" t="s">
        <v>207</v>
      </c>
    </row>
    <row r="978">
      <c r="A978" s="423" t="s">
        <v>8966</v>
      </c>
      <c r="B978" s="424">
        <v>7416.0</v>
      </c>
      <c r="C978" s="420">
        <v>0.05</v>
      </c>
      <c r="D978" s="179">
        <v>0.69</v>
      </c>
      <c r="E978" s="179">
        <v>0.69</v>
      </c>
      <c r="F978" s="229" t="s">
        <v>1656</v>
      </c>
      <c r="G978" s="37" t="s">
        <v>207</v>
      </c>
    </row>
    <row r="979">
      <c r="A979" s="423" t="s">
        <v>8967</v>
      </c>
      <c r="B979" s="424">
        <v>10253.0</v>
      </c>
      <c r="C979" s="420">
        <v>0.05</v>
      </c>
      <c r="D979" s="179">
        <v>0.69</v>
      </c>
      <c r="E979" s="179">
        <v>0.69</v>
      </c>
      <c r="F979" s="229" t="s">
        <v>1656</v>
      </c>
      <c r="G979" s="37" t="s">
        <v>207</v>
      </c>
    </row>
    <row r="980">
      <c r="A980" s="423" t="s">
        <v>8968</v>
      </c>
      <c r="B980" s="424">
        <v>8096.0</v>
      </c>
      <c r="C980" s="420">
        <v>0.05</v>
      </c>
      <c r="D980" s="179">
        <v>0.69</v>
      </c>
      <c r="E980" s="179">
        <v>0.69</v>
      </c>
      <c r="F980" s="229" t="s">
        <v>1656</v>
      </c>
      <c r="G980" s="37" t="s">
        <v>207</v>
      </c>
    </row>
    <row r="981">
      <c r="A981" s="423" t="s">
        <v>8969</v>
      </c>
      <c r="B981" s="424">
        <v>9768.0</v>
      </c>
      <c r="C981" s="420">
        <v>0.05</v>
      </c>
      <c r="D981" s="179">
        <v>0.69</v>
      </c>
      <c r="E981" s="179">
        <v>0.69</v>
      </c>
      <c r="F981" s="229" t="s">
        <v>1656</v>
      </c>
      <c r="G981" s="37" t="s">
        <v>207</v>
      </c>
    </row>
    <row r="982">
      <c r="A982" s="423" t="s">
        <v>8970</v>
      </c>
      <c r="B982" s="424">
        <v>7670.0</v>
      </c>
      <c r="C982" s="420">
        <v>0.05</v>
      </c>
      <c r="D982" s="179">
        <v>0.69</v>
      </c>
      <c r="E982" s="179">
        <v>0.69</v>
      </c>
      <c r="F982" s="229" t="s">
        <v>1656</v>
      </c>
      <c r="G982" s="37" t="s">
        <v>207</v>
      </c>
    </row>
    <row r="983">
      <c r="A983" s="423" t="s">
        <v>8971</v>
      </c>
      <c r="B983" s="424">
        <v>9030.0</v>
      </c>
      <c r="C983" s="420">
        <v>0.05</v>
      </c>
      <c r="D983" s="179">
        <v>0.69</v>
      </c>
      <c r="E983" s="179">
        <v>0.69</v>
      </c>
      <c r="F983" s="229" t="s">
        <v>1656</v>
      </c>
      <c r="G983" s="37" t="s">
        <v>207</v>
      </c>
    </row>
    <row r="984">
      <c r="A984" s="423" t="s">
        <v>8972</v>
      </c>
      <c r="B984" s="424">
        <v>8623.0</v>
      </c>
      <c r="C984" s="420">
        <v>0.05</v>
      </c>
      <c r="D984" s="74">
        <v>0.8</v>
      </c>
      <c r="E984" s="74">
        <v>0.8</v>
      </c>
      <c r="F984" s="229" t="s">
        <v>1656</v>
      </c>
      <c r="G984" s="37" t="s">
        <v>207</v>
      </c>
    </row>
    <row r="985">
      <c r="A985" s="423" t="s">
        <v>8973</v>
      </c>
      <c r="B985" s="424">
        <v>10368.0</v>
      </c>
      <c r="C985" s="420">
        <v>0.05</v>
      </c>
      <c r="D985" s="179">
        <v>0.69</v>
      </c>
      <c r="E985" s="179">
        <v>0.69</v>
      </c>
      <c r="F985" s="229" t="s">
        <v>1656</v>
      </c>
      <c r="G985" s="37" t="s">
        <v>207</v>
      </c>
    </row>
    <row r="986">
      <c r="A986" s="423" t="s">
        <v>8974</v>
      </c>
      <c r="B986" s="424">
        <v>11768.0</v>
      </c>
      <c r="C986" s="420">
        <v>0.05</v>
      </c>
      <c r="D986" s="179">
        <v>0.69</v>
      </c>
      <c r="E986" s="179">
        <v>0.69</v>
      </c>
      <c r="F986" s="229" t="s">
        <v>1656</v>
      </c>
      <c r="G986" s="37" t="s">
        <v>207</v>
      </c>
    </row>
    <row r="987">
      <c r="A987" s="423" t="s">
        <v>8975</v>
      </c>
      <c r="B987" s="424">
        <v>12324.0</v>
      </c>
      <c r="C987" s="420">
        <v>0.05</v>
      </c>
      <c r="D987" s="179">
        <v>0.69</v>
      </c>
      <c r="E987" s="179">
        <v>0.69</v>
      </c>
      <c r="F987" s="229" t="s">
        <v>1656</v>
      </c>
      <c r="G987" s="37" t="s">
        <v>207</v>
      </c>
    </row>
    <row r="988">
      <c r="A988" s="423" t="s">
        <v>8976</v>
      </c>
      <c r="B988" s="424">
        <v>12572.0</v>
      </c>
      <c r="C988" s="420">
        <v>0.05</v>
      </c>
      <c r="D988" s="179">
        <v>0.69</v>
      </c>
      <c r="E988" s="179">
        <v>0.69</v>
      </c>
      <c r="F988" s="229" t="s">
        <v>1656</v>
      </c>
      <c r="G988" s="37" t="s">
        <v>207</v>
      </c>
    </row>
    <row r="989">
      <c r="A989" s="423" t="s">
        <v>8977</v>
      </c>
      <c r="B989" s="424">
        <v>12575.0</v>
      </c>
      <c r="C989" s="420">
        <v>0.05</v>
      </c>
      <c r="D989" s="179">
        <v>0.69</v>
      </c>
      <c r="E989" s="179">
        <v>0.69</v>
      </c>
      <c r="F989" s="229" t="s">
        <v>1656</v>
      </c>
      <c r="G989" s="37" t="s">
        <v>207</v>
      </c>
    </row>
    <row r="990">
      <c r="A990" s="423" t="s">
        <v>8978</v>
      </c>
      <c r="B990" s="424">
        <v>14031.0</v>
      </c>
      <c r="C990" s="420">
        <v>0.05</v>
      </c>
      <c r="D990" s="179">
        <v>0.69</v>
      </c>
      <c r="E990" s="179">
        <v>0.69</v>
      </c>
      <c r="F990" s="229" t="s">
        <v>1656</v>
      </c>
      <c r="G990" s="37" t="s">
        <v>207</v>
      </c>
    </row>
    <row r="991">
      <c r="A991" s="423" t="s">
        <v>8979</v>
      </c>
      <c r="B991" s="424">
        <v>13811.0</v>
      </c>
      <c r="C991" s="420">
        <v>0.05</v>
      </c>
      <c r="D991" s="179">
        <v>0.69</v>
      </c>
      <c r="E991" s="179">
        <v>0.69</v>
      </c>
      <c r="F991" s="229" t="s">
        <v>1656</v>
      </c>
      <c r="G991" s="37" t="s">
        <v>207</v>
      </c>
    </row>
    <row r="992">
      <c r="A992" s="423" t="s">
        <v>8980</v>
      </c>
      <c r="B992" s="424">
        <v>9814.0</v>
      </c>
      <c r="C992" s="420">
        <v>0.05</v>
      </c>
      <c r="D992" s="179">
        <v>0.69</v>
      </c>
      <c r="E992" s="179">
        <v>0.69</v>
      </c>
      <c r="F992" s="229" t="s">
        <v>1656</v>
      </c>
      <c r="G992" s="37" t="s">
        <v>207</v>
      </c>
    </row>
    <row r="993">
      <c r="A993" s="423" t="s">
        <v>8981</v>
      </c>
      <c r="B993" s="424">
        <v>13904.0</v>
      </c>
      <c r="C993" s="420">
        <v>0.05</v>
      </c>
      <c r="D993" s="179">
        <v>0.69</v>
      </c>
      <c r="E993" s="179">
        <v>0.69</v>
      </c>
      <c r="F993" s="229" t="s">
        <v>1656</v>
      </c>
      <c r="G993" s="37" t="s">
        <v>207</v>
      </c>
    </row>
    <row r="994">
      <c r="A994" s="423" t="s">
        <v>8982</v>
      </c>
      <c r="B994" s="424">
        <v>12277.0</v>
      </c>
      <c r="C994" s="420">
        <v>0.05</v>
      </c>
      <c r="D994" s="179">
        <v>0.69</v>
      </c>
      <c r="E994" s="179">
        <v>0.69</v>
      </c>
      <c r="F994" s="229" t="s">
        <v>1656</v>
      </c>
      <c r="G994" s="37" t="s">
        <v>207</v>
      </c>
    </row>
    <row r="995">
      <c r="A995" s="423" t="s">
        <v>8983</v>
      </c>
      <c r="B995" s="424">
        <v>12259.0</v>
      </c>
      <c r="C995" s="420">
        <v>0.05</v>
      </c>
      <c r="D995" s="179">
        <v>0.69</v>
      </c>
      <c r="E995" s="179">
        <v>0.69</v>
      </c>
      <c r="F995" s="229" t="s">
        <v>1656</v>
      </c>
      <c r="G995" s="37" t="s">
        <v>207</v>
      </c>
    </row>
    <row r="996">
      <c r="A996" s="423" t="s">
        <v>8984</v>
      </c>
      <c r="B996" s="424">
        <v>12299.0</v>
      </c>
      <c r="C996" s="420">
        <v>0.05</v>
      </c>
      <c r="D996" s="179">
        <v>0.69</v>
      </c>
      <c r="E996" s="179">
        <v>0.69</v>
      </c>
      <c r="F996" s="229" t="s">
        <v>1656</v>
      </c>
      <c r="G996" s="37" t="s">
        <v>207</v>
      </c>
    </row>
    <row r="997">
      <c r="A997" s="423" t="s">
        <v>8985</v>
      </c>
      <c r="B997" s="424">
        <v>9030.0</v>
      </c>
      <c r="C997" s="420">
        <v>0.05</v>
      </c>
      <c r="D997" s="179">
        <v>0.69</v>
      </c>
      <c r="E997" s="179">
        <v>0.69</v>
      </c>
      <c r="F997" s="229" t="s">
        <v>1656</v>
      </c>
      <c r="G997" s="37" t="s">
        <v>207</v>
      </c>
    </row>
    <row r="998">
      <c r="A998" s="423" t="s">
        <v>8986</v>
      </c>
      <c r="B998" s="242">
        <v>14771.0</v>
      </c>
      <c r="C998" s="420">
        <v>0.05</v>
      </c>
      <c r="D998" s="179">
        <v>0.69</v>
      </c>
      <c r="E998" s="179">
        <v>0.69</v>
      </c>
      <c r="F998" s="229" t="s">
        <v>1656</v>
      </c>
      <c r="G998" s="37" t="s">
        <v>207</v>
      </c>
    </row>
    <row r="999">
      <c r="A999" s="423" t="s">
        <v>8987</v>
      </c>
      <c r="B999" s="425"/>
      <c r="C999" s="420">
        <v>0.05</v>
      </c>
      <c r="D999" s="179">
        <v>0.69</v>
      </c>
      <c r="E999" s="179">
        <v>0.69</v>
      </c>
      <c r="F999" s="229" t="s">
        <v>1656</v>
      </c>
      <c r="G999" s="37" t="s">
        <v>207</v>
      </c>
    </row>
    <row r="1000">
      <c r="A1000" s="423" t="s">
        <v>8988</v>
      </c>
      <c r="B1000" s="242">
        <v>14679.0</v>
      </c>
      <c r="C1000" s="420">
        <v>0.05</v>
      </c>
      <c r="D1000" s="179">
        <v>0.69</v>
      </c>
      <c r="E1000" s="179">
        <v>0.69</v>
      </c>
      <c r="F1000" s="229" t="s">
        <v>1656</v>
      </c>
      <c r="G1000" s="37" t="s">
        <v>207</v>
      </c>
    </row>
    <row r="1001">
      <c r="A1001" s="423" t="s">
        <v>8989</v>
      </c>
      <c r="B1001" s="424">
        <v>14474.0</v>
      </c>
      <c r="C1001" s="420">
        <v>0.05</v>
      </c>
      <c r="D1001" s="179">
        <v>0.69</v>
      </c>
      <c r="E1001" s="179">
        <v>0.69</v>
      </c>
      <c r="F1001" s="229" t="s">
        <v>1656</v>
      </c>
      <c r="G1001" s="37" t="s">
        <v>207</v>
      </c>
    </row>
    <row r="1002">
      <c r="A1002" s="245"/>
      <c r="B1002" s="175"/>
      <c r="C1002" s="231"/>
    </row>
    <row r="1003">
      <c r="A1003" s="245"/>
      <c r="B1003" s="175"/>
      <c r="C1003" s="231"/>
    </row>
    <row r="1004">
      <c r="A1004" s="245"/>
      <c r="B1004" s="175"/>
      <c r="C1004" s="231"/>
    </row>
    <row r="1005">
      <c r="A1005" s="245"/>
      <c r="B1005" s="175"/>
      <c r="C1005" s="231"/>
    </row>
    <row r="1006">
      <c r="A1006" s="245"/>
      <c r="B1006" s="175"/>
      <c r="C1006" s="231"/>
    </row>
    <row r="1007">
      <c r="A1007" s="245"/>
      <c r="B1007" s="175"/>
      <c r="C1007" s="231"/>
    </row>
    <row r="1008">
      <c r="A1008" s="245"/>
      <c r="B1008" s="175"/>
      <c r="C1008" s="231"/>
    </row>
    <row r="1009">
      <c r="A1009" s="245"/>
      <c r="B1009" s="175"/>
      <c r="C1009" s="231"/>
    </row>
    <row r="1010">
      <c r="A1010" s="245"/>
      <c r="B1010" s="175"/>
      <c r="C1010" s="231"/>
    </row>
    <row r="1011">
      <c r="A1011" s="245"/>
      <c r="B1011" s="175"/>
      <c r="C1011" s="231"/>
    </row>
    <row r="1012">
      <c r="A1012" s="245"/>
      <c r="B1012" s="175"/>
      <c r="C1012" s="231"/>
    </row>
    <row r="1013">
      <c r="A1013" s="245"/>
      <c r="B1013" s="175"/>
      <c r="C1013" s="231"/>
    </row>
    <row r="1014">
      <c r="A1014" s="245"/>
      <c r="B1014" s="175"/>
      <c r="C1014" s="231"/>
    </row>
    <row r="1015">
      <c r="A1015" s="245"/>
      <c r="B1015" s="175"/>
      <c r="C1015" s="231"/>
    </row>
    <row r="1016">
      <c r="A1016" s="245"/>
      <c r="B1016" s="175"/>
      <c r="C1016" s="231"/>
    </row>
    <row r="1017">
      <c r="A1017" s="245"/>
      <c r="B1017" s="175"/>
      <c r="C1017" s="231"/>
    </row>
    <row r="1018">
      <c r="A1018" s="245"/>
      <c r="B1018" s="175"/>
      <c r="C1018" s="231"/>
    </row>
    <row r="1019">
      <c r="A1019" s="245"/>
      <c r="B1019" s="175"/>
      <c r="C1019" s="231"/>
    </row>
    <row r="1020">
      <c r="A1020" s="245"/>
      <c r="B1020" s="175"/>
      <c r="C1020" s="231"/>
    </row>
    <row r="1021">
      <c r="A1021" s="245"/>
      <c r="B1021" s="175"/>
      <c r="C1021" s="231"/>
    </row>
    <row r="1022">
      <c r="A1022" s="245"/>
      <c r="B1022" s="175"/>
      <c r="C1022" s="231"/>
    </row>
    <row r="1023">
      <c r="A1023" s="245"/>
      <c r="B1023" s="175"/>
      <c r="C1023" s="231"/>
    </row>
    <row r="1024">
      <c r="A1024" s="245"/>
      <c r="B1024" s="175"/>
      <c r="C1024" s="231"/>
    </row>
    <row r="1025">
      <c r="A1025" s="245"/>
      <c r="B1025" s="175"/>
      <c r="C1025" s="231"/>
    </row>
    <row r="1026">
      <c r="A1026" s="245"/>
      <c r="B1026" s="175"/>
      <c r="C1026" s="231"/>
    </row>
    <row r="1027">
      <c r="A1027" s="245"/>
      <c r="B1027" s="175"/>
      <c r="C1027" s="231"/>
    </row>
    <row r="1028">
      <c r="A1028" s="245"/>
      <c r="B1028" s="175"/>
      <c r="C1028" s="231"/>
    </row>
    <row r="1029">
      <c r="A1029" s="245"/>
      <c r="B1029" s="175"/>
      <c r="C1029" s="231"/>
    </row>
    <row r="1030">
      <c r="A1030" s="245"/>
      <c r="B1030" s="175"/>
      <c r="C1030" s="231"/>
    </row>
    <row r="1031">
      <c r="A1031" s="245"/>
      <c r="B1031" s="175"/>
      <c r="C1031" s="231"/>
    </row>
    <row r="1032">
      <c r="A1032" s="245"/>
      <c r="B1032" s="175"/>
      <c r="C1032" s="231"/>
    </row>
    <row r="1033">
      <c r="A1033" s="245"/>
      <c r="B1033" s="175"/>
      <c r="C1033" s="231"/>
    </row>
    <row r="1034">
      <c r="A1034" s="245"/>
      <c r="B1034" s="175"/>
      <c r="C1034" s="231"/>
    </row>
    <row r="1035">
      <c r="A1035" s="245"/>
      <c r="B1035" s="175"/>
      <c r="C1035" s="231"/>
    </row>
    <row r="1036">
      <c r="A1036" s="245"/>
      <c r="B1036" s="175"/>
      <c r="C1036" s="231"/>
    </row>
    <row r="1037">
      <c r="A1037" s="245"/>
      <c r="B1037" s="175"/>
      <c r="C1037" s="231"/>
    </row>
    <row r="1038">
      <c r="A1038" s="245"/>
      <c r="B1038" s="175"/>
      <c r="C1038" s="231"/>
    </row>
    <row r="1039">
      <c r="A1039" s="245"/>
      <c r="B1039" s="175"/>
      <c r="C1039" s="231"/>
    </row>
    <row r="1040">
      <c r="A1040" s="245"/>
      <c r="B1040" s="175"/>
      <c r="C1040" s="231"/>
    </row>
    <row r="1041">
      <c r="A1041" s="245"/>
      <c r="B1041" s="175"/>
      <c r="C1041" s="231"/>
    </row>
    <row r="1042">
      <c r="A1042" s="245"/>
      <c r="B1042" s="175"/>
      <c r="C1042" s="231"/>
    </row>
    <row r="1043">
      <c r="A1043" s="245"/>
      <c r="B1043" s="175"/>
      <c r="C1043" s="231"/>
    </row>
    <row r="1044">
      <c r="A1044" s="245"/>
      <c r="B1044" s="175"/>
      <c r="C1044" s="231"/>
    </row>
    <row r="1045">
      <c r="A1045" s="245"/>
      <c r="B1045" s="175"/>
      <c r="C1045" s="231"/>
    </row>
    <row r="1046">
      <c r="A1046" s="245"/>
      <c r="B1046" s="175"/>
      <c r="C1046" s="231"/>
    </row>
    <row r="1047">
      <c r="A1047" s="245"/>
      <c r="B1047" s="175"/>
      <c r="C1047" s="231"/>
    </row>
    <row r="1048">
      <c r="A1048" s="245"/>
      <c r="B1048" s="175"/>
      <c r="C1048" s="231"/>
    </row>
    <row r="1049">
      <c r="A1049" s="245"/>
      <c r="B1049" s="175"/>
      <c r="C1049" s="231"/>
    </row>
    <row r="1050">
      <c r="A1050" s="245"/>
      <c r="B1050" s="175"/>
      <c r="C1050" s="231"/>
    </row>
    <row r="1051">
      <c r="A1051" s="245"/>
      <c r="B1051" s="175"/>
      <c r="C1051" s="231"/>
    </row>
    <row r="1052">
      <c r="A1052" s="245"/>
      <c r="B1052" s="175"/>
      <c r="C1052" s="231"/>
    </row>
    <row r="1053">
      <c r="A1053" s="245"/>
      <c r="B1053" s="175"/>
      <c r="C1053" s="231"/>
    </row>
    <row r="1054">
      <c r="A1054" s="245"/>
      <c r="B1054" s="175"/>
      <c r="C1054" s="231"/>
    </row>
    <row r="1055">
      <c r="A1055" s="245"/>
      <c r="B1055" s="175"/>
      <c r="C1055" s="231"/>
    </row>
    <row r="1056">
      <c r="A1056" s="245"/>
      <c r="B1056" s="175"/>
      <c r="C1056" s="231"/>
    </row>
    <row r="1057">
      <c r="A1057" s="245"/>
      <c r="B1057" s="175"/>
      <c r="C1057" s="231"/>
    </row>
    <row r="1058">
      <c r="A1058" s="245"/>
      <c r="B1058" s="175"/>
      <c r="C1058" s="231"/>
    </row>
    <row r="1059">
      <c r="A1059" s="245"/>
      <c r="B1059" s="175"/>
      <c r="C1059" s="231"/>
    </row>
    <row r="1060">
      <c r="A1060" s="245"/>
      <c r="B1060" s="175"/>
      <c r="C1060" s="231"/>
    </row>
    <row r="1061">
      <c r="A1061" s="245"/>
      <c r="B1061" s="175"/>
      <c r="C1061" s="231"/>
    </row>
    <row r="1062">
      <c r="A1062" s="245"/>
      <c r="B1062" s="175"/>
      <c r="C1062" s="231"/>
    </row>
    <row r="1063">
      <c r="A1063" s="245"/>
      <c r="B1063" s="175"/>
      <c r="C1063" s="231"/>
    </row>
    <row r="1064">
      <c r="A1064" s="245"/>
      <c r="B1064" s="175"/>
      <c r="C1064" s="231"/>
    </row>
    <row r="1065">
      <c r="A1065" s="245"/>
      <c r="B1065" s="175"/>
      <c r="C1065" s="231"/>
    </row>
    <row r="1066">
      <c r="A1066" s="245"/>
      <c r="B1066" s="175"/>
      <c r="C1066" s="231"/>
    </row>
    <row r="1067">
      <c r="A1067" s="245"/>
      <c r="B1067" s="175"/>
      <c r="C1067" s="231"/>
    </row>
    <row r="1068">
      <c r="A1068" s="245"/>
      <c r="B1068" s="175"/>
      <c r="C1068" s="231"/>
    </row>
    <row r="1069">
      <c r="A1069" s="245"/>
      <c r="B1069" s="175"/>
      <c r="C1069" s="231"/>
    </row>
    <row r="1070">
      <c r="A1070" s="245"/>
      <c r="B1070" s="175"/>
      <c r="C1070" s="231"/>
    </row>
    <row r="1071">
      <c r="A1071" s="245"/>
      <c r="B1071" s="175"/>
      <c r="C1071" s="231"/>
    </row>
    <row r="1072">
      <c r="A1072" s="245"/>
      <c r="B1072" s="175"/>
      <c r="C1072" s="231"/>
    </row>
    <row r="1073">
      <c r="A1073" s="245"/>
      <c r="B1073" s="175"/>
      <c r="C1073" s="231"/>
    </row>
    <row r="1074">
      <c r="A1074" s="245"/>
      <c r="B1074" s="175"/>
      <c r="C1074" s="231"/>
    </row>
    <row r="1075">
      <c r="A1075" s="245"/>
      <c r="B1075" s="175"/>
      <c r="C1075" s="231"/>
    </row>
    <row r="1076">
      <c r="A1076" s="245"/>
      <c r="B1076" s="175"/>
      <c r="C1076" s="231"/>
    </row>
    <row r="1077">
      <c r="A1077" s="245"/>
      <c r="B1077" s="175"/>
      <c r="C1077" s="231"/>
    </row>
    <row r="1078">
      <c r="A1078" s="245"/>
      <c r="B1078" s="175"/>
      <c r="C1078" s="231"/>
    </row>
    <row r="1079">
      <c r="A1079" s="245"/>
      <c r="B1079" s="175"/>
      <c r="C1079" s="231"/>
    </row>
    <row r="1080">
      <c r="A1080" s="245"/>
      <c r="B1080" s="175"/>
      <c r="C1080" s="231"/>
    </row>
    <row r="1081">
      <c r="A1081" s="245"/>
      <c r="B1081" s="175"/>
      <c r="C1081" s="231"/>
    </row>
    <row r="1082">
      <c r="A1082" s="245"/>
      <c r="B1082" s="175"/>
      <c r="C1082" s="231"/>
    </row>
    <row r="1083">
      <c r="A1083" s="245"/>
      <c r="B1083" s="175"/>
      <c r="C1083" s="231"/>
    </row>
    <row r="1084">
      <c r="A1084" s="245"/>
      <c r="B1084" s="175"/>
      <c r="C1084" s="231"/>
    </row>
    <row r="1085">
      <c r="A1085" s="245"/>
      <c r="B1085" s="175"/>
      <c r="C1085" s="231"/>
    </row>
    <row r="1086">
      <c r="A1086" s="245"/>
      <c r="B1086" s="175"/>
      <c r="C1086" s="231"/>
    </row>
    <row r="1087">
      <c r="A1087" s="245"/>
      <c r="B1087" s="175"/>
      <c r="C1087" s="231"/>
    </row>
    <row r="1088">
      <c r="A1088" s="245"/>
      <c r="B1088" s="175"/>
      <c r="C1088" s="231"/>
    </row>
    <row r="1089">
      <c r="A1089" s="245"/>
      <c r="B1089" s="175"/>
      <c r="C1089" s="231"/>
    </row>
    <row r="1090">
      <c r="A1090" s="245"/>
      <c r="B1090" s="175"/>
      <c r="C1090" s="231"/>
    </row>
    <row r="1091">
      <c r="A1091" s="245"/>
      <c r="B1091" s="175"/>
      <c r="C1091" s="231"/>
    </row>
    <row r="1092">
      <c r="A1092" s="245"/>
      <c r="B1092" s="175"/>
      <c r="C1092" s="231"/>
    </row>
    <row r="1093">
      <c r="A1093" s="245"/>
      <c r="B1093" s="175"/>
      <c r="C1093" s="231"/>
    </row>
    <row r="1094">
      <c r="A1094" s="245"/>
      <c r="B1094" s="175"/>
      <c r="C1094" s="231"/>
    </row>
    <row r="1095">
      <c r="A1095" s="245"/>
      <c r="B1095" s="175"/>
      <c r="C1095" s="231"/>
    </row>
    <row r="1096">
      <c r="A1096" s="245"/>
      <c r="B1096" s="175"/>
      <c r="C1096" s="231"/>
    </row>
    <row r="1097">
      <c r="A1097" s="245"/>
      <c r="B1097" s="175"/>
      <c r="C1097" s="231"/>
    </row>
    <row r="1098">
      <c r="A1098" s="245"/>
      <c r="B1098" s="175"/>
      <c r="C1098" s="231"/>
    </row>
    <row r="1099">
      <c r="A1099" s="245"/>
      <c r="B1099" s="175"/>
      <c r="C1099" s="231"/>
    </row>
    <row r="1100">
      <c r="A1100" s="245"/>
      <c r="B1100" s="175"/>
      <c r="C1100" s="231"/>
    </row>
    <row r="1101">
      <c r="A1101" s="245"/>
      <c r="B1101" s="175"/>
      <c r="C1101" s="231"/>
    </row>
    <row r="1102">
      <c r="A1102" s="245"/>
      <c r="B1102" s="175"/>
      <c r="C1102" s="231"/>
    </row>
    <row r="1103">
      <c r="A1103" s="245"/>
      <c r="B1103" s="175"/>
      <c r="C1103" s="231"/>
    </row>
    <row r="1104">
      <c r="A1104" s="245"/>
      <c r="B1104" s="175"/>
      <c r="C1104" s="231"/>
    </row>
    <row r="1105">
      <c r="A1105" s="245"/>
      <c r="B1105" s="175"/>
      <c r="C1105" s="231"/>
    </row>
    <row r="1106">
      <c r="A1106" s="245"/>
      <c r="B1106" s="175"/>
      <c r="C1106" s="231"/>
    </row>
    <row r="1107">
      <c r="A1107" s="245"/>
      <c r="B1107" s="175"/>
      <c r="C1107" s="231"/>
    </row>
    <row r="1108">
      <c r="A1108" s="245"/>
      <c r="B1108" s="175"/>
      <c r="C1108" s="231"/>
    </row>
    <row r="1109">
      <c r="A1109" s="245"/>
      <c r="B1109" s="175"/>
      <c r="C1109" s="231"/>
    </row>
    <row r="1110">
      <c r="A1110" s="245"/>
      <c r="B1110" s="175"/>
      <c r="C1110" s="231"/>
    </row>
    <row r="1111">
      <c r="A1111" s="245"/>
      <c r="B1111" s="175"/>
      <c r="C1111" s="231"/>
    </row>
    <row r="1112">
      <c r="A1112" s="245"/>
      <c r="B1112" s="175"/>
      <c r="C1112" s="231"/>
    </row>
    <row r="1113">
      <c r="A1113" s="245"/>
      <c r="B1113" s="175"/>
      <c r="C1113" s="231"/>
    </row>
    <row r="1114">
      <c r="A1114" s="245"/>
      <c r="B1114" s="175"/>
      <c r="C1114" s="231"/>
    </row>
    <row r="1115">
      <c r="A1115" s="245"/>
      <c r="B1115" s="175"/>
      <c r="C1115" s="231"/>
    </row>
    <row r="1116">
      <c r="A1116" s="245"/>
      <c r="B1116" s="175"/>
      <c r="C1116" s="231"/>
    </row>
    <row r="1117">
      <c r="A1117" s="245"/>
      <c r="B1117" s="175"/>
      <c r="C1117" s="231"/>
    </row>
    <row r="1118">
      <c r="A1118" s="245"/>
      <c r="B1118" s="175"/>
      <c r="C1118" s="231"/>
    </row>
    <row r="1119">
      <c r="A1119" s="245"/>
      <c r="B1119" s="175"/>
      <c r="C1119" s="231"/>
    </row>
    <row r="1120">
      <c r="A1120" s="245"/>
      <c r="B1120" s="175"/>
      <c r="C1120" s="231"/>
    </row>
    <row r="1121">
      <c r="A1121" s="245"/>
      <c r="B1121" s="175"/>
      <c r="C1121" s="231"/>
    </row>
    <row r="1122">
      <c r="A1122" s="245"/>
      <c r="B1122" s="175"/>
      <c r="C1122" s="231"/>
    </row>
    <row r="1123">
      <c r="A1123" s="245"/>
      <c r="B1123" s="175"/>
      <c r="C1123" s="231"/>
    </row>
    <row r="1124">
      <c r="A1124" s="245"/>
      <c r="B1124" s="175"/>
      <c r="C1124" s="231"/>
    </row>
    <row r="1125">
      <c r="A1125" s="245"/>
      <c r="B1125" s="175"/>
      <c r="C1125" s="231"/>
    </row>
    <row r="1126">
      <c r="A1126" s="245"/>
      <c r="B1126" s="175"/>
      <c r="C1126" s="231"/>
    </row>
    <row r="1127">
      <c r="A1127" s="245"/>
      <c r="B1127" s="175"/>
      <c r="C1127" s="231"/>
    </row>
    <row r="1128">
      <c r="A1128" s="245"/>
      <c r="B1128" s="175"/>
      <c r="C1128" s="231"/>
    </row>
    <row r="1129">
      <c r="A1129" s="245"/>
      <c r="B1129" s="175"/>
      <c r="C1129" s="231"/>
    </row>
    <row r="1130">
      <c r="A1130" s="245"/>
      <c r="B1130" s="175"/>
      <c r="C1130" s="231"/>
    </row>
    <row r="1131">
      <c r="A1131" s="245"/>
      <c r="B1131" s="175"/>
      <c r="C1131" s="231"/>
    </row>
    <row r="1132">
      <c r="A1132" s="245"/>
      <c r="B1132" s="175"/>
      <c r="C1132" s="231"/>
    </row>
    <row r="1133">
      <c r="A1133" s="245"/>
      <c r="B1133" s="175"/>
      <c r="C1133" s="231"/>
    </row>
    <row r="1134">
      <c r="A1134" s="245"/>
      <c r="B1134" s="175"/>
      <c r="C1134" s="231"/>
    </row>
    <row r="1135">
      <c r="A1135" s="245"/>
      <c r="B1135" s="175"/>
      <c r="C1135" s="231"/>
    </row>
    <row r="1136">
      <c r="A1136" s="245"/>
      <c r="B1136" s="175"/>
      <c r="C1136" s="231"/>
    </row>
    <row r="1137">
      <c r="A1137" s="245"/>
      <c r="B1137" s="175"/>
      <c r="C1137" s="231"/>
    </row>
    <row r="1138">
      <c r="A1138" s="245"/>
      <c r="B1138" s="175"/>
      <c r="C1138" s="231"/>
    </row>
    <row r="1139">
      <c r="A1139" s="245"/>
      <c r="B1139" s="175"/>
      <c r="C1139" s="231"/>
    </row>
    <row r="1140">
      <c r="A1140" s="245"/>
      <c r="B1140" s="175"/>
      <c r="C1140" s="231"/>
    </row>
    <row r="1141">
      <c r="A1141" s="245"/>
      <c r="B1141" s="175"/>
      <c r="C1141" s="231"/>
    </row>
    <row r="1142">
      <c r="A1142" s="245"/>
      <c r="B1142" s="175"/>
      <c r="C1142" s="231"/>
    </row>
    <row r="1143">
      <c r="A1143" s="245"/>
      <c r="B1143" s="175"/>
      <c r="C1143" s="231"/>
    </row>
    <row r="1144">
      <c r="A1144" s="245"/>
      <c r="B1144" s="175"/>
      <c r="C1144" s="231"/>
    </row>
    <row r="1145">
      <c r="A1145" s="245"/>
      <c r="B1145" s="175"/>
      <c r="C1145" s="231"/>
    </row>
    <row r="1146">
      <c r="A1146" s="245"/>
      <c r="B1146" s="175"/>
      <c r="C1146" s="231"/>
    </row>
    <row r="1147">
      <c r="A1147" s="245"/>
      <c r="B1147" s="175"/>
      <c r="C1147" s="231"/>
    </row>
    <row r="1148">
      <c r="A1148" s="245"/>
      <c r="B1148" s="175"/>
      <c r="C1148" s="231"/>
    </row>
    <row r="1149">
      <c r="A1149" s="245"/>
      <c r="B1149" s="175"/>
      <c r="C1149" s="231"/>
    </row>
    <row r="1150">
      <c r="A1150" s="245"/>
      <c r="B1150" s="175"/>
      <c r="C1150" s="231"/>
    </row>
    <row r="1151">
      <c r="A1151" s="245"/>
      <c r="B1151" s="175"/>
      <c r="C1151" s="231"/>
    </row>
    <row r="1152">
      <c r="A1152" s="245"/>
      <c r="B1152" s="175"/>
      <c r="C1152" s="231"/>
    </row>
    <row r="1153">
      <c r="A1153" s="245"/>
      <c r="B1153" s="175"/>
      <c r="C1153" s="231"/>
    </row>
    <row r="1154">
      <c r="A1154" s="245"/>
      <c r="B1154" s="175"/>
      <c r="C1154" s="231"/>
    </row>
    <row r="1155">
      <c r="A1155" s="245"/>
      <c r="B1155" s="175"/>
      <c r="C1155" s="231"/>
    </row>
    <row r="1156">
      <c r="A1156" s="245"/>
      <c r="B1156" s="175"/>
      <c r="C1156" s="231"/>
    </row>
    <row r="1157">
      <c r="A1157" s="245"/>
      <c r="B1157" s="175"/>
      <c r="C1157" s="231"/>
    </row>
    <row r="1158">
      <c r="A1158" s="245"/>
      <c r="B1158" s="175"/>
      <c r="C1158" s="231"/>
    </row>
    <row r="1159">
      <c r="A1159" s="245"/>
      <c r="B1159" s="175"/>
      <c r="C1159" s="231"/>
    </row>
    <row r="1160">
      <c r="A1160" s="245"/>
      <c r="B1160" s="175"/>
      <c r="C1160" s="231"/>
    </row>
    <row r="1161">
      <c r="A1161" s="245"/>
      <c r="B1161" s="175"/>
      <c r="C1161" s="231"/>
    </row>
    <row r="1162">
      <c r="A1162" s="245"/>
      <c r="B1162" s="175"/>
      <c r="C1162" s="231"/>
    </row>
    <row r="1163">
      <c r="A1163" s="245"/>
      <c r="B1163" s="175"/>
      <c r="C1163" s="231"/>
    </row>
    <row r="1164">
      <c r="A1164" s="245"/>
      <c r="B1164" s="175"/>
      <c r="C1164" s="231"/>
    </row>
    <row r="1165">
      <c r="A1165" s="245"/>
      <c r="B1165" s="175"/>
      <c r="C1165" s="231"/>
    </row>
    <row r="1166">
      <c r="A1166" s="245"/>
      <c r="B1166" s="175"/>
      <c r="C1166" s="231"/>
    </row>
    <row r="1167">
      <c r="A1167" s="245"/>
      <c r="B1167" s="175"/>
      <c r="C1167" s="231"/>
    </row>
    <row r="1168">
      <c r="A1168" s="245"/>
      <c r="B1168" s="175"/>
      <c r="C1168" s="231"/>
    </row>
    <row r="1169">
      <c r="A1169" s="245"/>
      <c r="B1169" s="175"/>
      <c r="C1169" s="231"/>
    </row>
    <row r="1170">
      <c r="A1170" s="245"/>
      <c r="B1170" s="175"/>
      <c r="C1170" s="231"/>
    </row>
    <row r="1171">
      <c r="A1171" s="245"/>
      <c r="B1171" s="175"/>
      <c r="C1171" s="231"/>
    </row>
    <row r="1172">
      <c r="A1172" s="245"/>
      <c r="B1172" s="175"/>
      <c r="C1172" s="231"/>
    </row>
    <row r="1173">
      <c r="A1173" s="245"/>
      <c r="B1173" s="175"/>
      <c r="C1173" s="231"/>
    </row>
    <row r="1174">
      <c r="A1174" s="245"/>
      <c r="B1174" s="175"/>
      <c r="C1174" s="231"/>
    </row>
    <row r="1175">
      <c r="A1175" s="245"/>
      <c r="B1175" s="175"/>
      <c r="C1175" s="231"/>
    </row>
    <row r="1176">
      <c r="A1176" s="245"/>
      <c r="B1176" s="175"/>
      <c r="C1176" s="231"/>
    </row>
    <row r="1177">
      <c r="A1177" s="245"/>
      <c r="B1177" s="175"/>
      <c r="C1177" s="231"/>
    </row>
    <row r="1178">
      <c r="A1178" s="245"/>
      <c r="B1178" s="175"/>
      <c r="C1178" s="231"/>
    </row>
    <row r="1179">
      <c r="A1179" s="245"/>
      <c r="B1179" s="175"/>
      <c r="C1179" s="231"/>
    </row>
    <row r="1180">
      <c r="A1180" s="245"/>
      <c r="B1180" s="175"/>
      <c r="C1180" s="231"/>
    </row>
    <row r="1181">
      <c r="A1181" s="245"/>
      <c r="B1181" s="175"/>
      <c r="C1181" s="231"/>
    </row>
    <row r="1182">
      <c r="A1182" s="245"/>
      <c r="B1182" s="175"/>
      <c r="C1182" s="231"/>
    </row>
    <row r="1183">
      <c r="A1183" s="245"/>
      <c r="B1183" s="175"/>
      <c r="C1183" s="231"/>
    </row>
    <row r="1184">
      <c r="A1184" s="245"/>
      <c r="B1184" s="175"/>
      <c r="C1184" s="231"/>
    </row>
    <row r="1185">
      <c r="A1185" s="245"/>
      <c r="B1185" s="175"/>
      <c r="C1185" s="231"/>
    </row>
    <row r="1186">
      <c r="A1186" s="245"/>
      <c r="B1186" s="175"/>
      <c r="C1186" s="231"/>
    </row>
    <row r="1187">
      <c r="A1187" s="245"/>
      <c r="B1187" s="175"/>
      <c r="C1187" s="231"/>
    </row>
    <row r="1188">
      <c r="A1188" s="245"/>
      <c r="B1188" s="175"/>
      <c r="C1188" s="231"/>
    </row>
    <row r="1189">
      <c r="A1189" s="245"/>
      <c r="B1189" s="175"/>
      <c r="C1189" s="231"/>
    </row>
    <row r="1190">
      <c r="A1190" s="245"/>
      <c r="B1190" s="175"/>
      <c r="C1190" s="231"/>
    </row>
    <row r="1191">
      <c r="A1191" s="245"/>
      <c r="B1191" s="175"/>
      <c r="C1191" s="231"/>
    </row>
    <row r="1192">
      <c r="A1192" s="245"/>
      <c r="B1192" s="175"/>
      <c r="C1192" s="231"/>
    </row>
    <row r="1193">
      <c r="A1193" s="245"/>
      <c r="B1193" s="175"/>
      <c r="C1193" s="231"/>
    </row>
    <row r="1194">
      <c r="A1194" s="245"/>
      <c r="B1194" s="175"/>
      <c r="C1194" s="231"/>
    </row>
    <row r="1195">
      <c r="A1195" s="245"/>
      <c r="B1195" s="175"/>
      <c r="C1195" s="231"/>
    </row>
    <row r="1196">
      <c r="A1196" s="245"/>
      <c r="B1196" s="175"/>
      <c r="C1196" s="231"/>
    </row>
    <row r="1197">
      <c r="A1197" s="245"/>
      <c r="B1197" s="175"/>
      <c r="C1197" s="231"/>
    </row>
    <row r="1198">
      <c r="A1198" s="245"/>
      <c r="B1198" s="175"/>
      <c r="C1198" s="231"/>
    </row>
    <row r="1199">
      <c r="A1199" s="245"/>
      <c r="B1199" s="175"/>
      <c r="C1199" s="231"/>
    </row>
    <row r="1200">
      <c r="A1200" s="245"/>
      <c r="B1200" s="175"/>
      <c r="C1200" s="231"/>
    </row>
    <row r="1201">
      <c r="A1201" s="245"/>
      <c r="B1201" s="175"/>
      <c r="C1201" s="231"/>
    </row>
    <row r="1202">
      <c r="A1202" s="245"/>
      <c r="B1202" s="175"/>
      <c r="C1202" s="231"/>
    </row>
    <row r="1203">
      <c r="A1203" s="245"/>
      <c r="B1203" s="175"/>
      <c r="C1203" s="231"/>
    </row>
    <row r="1204">
      <c r="A1204" s="245"/>
      <c r="B1204" s="175"/>
      <c r="C1204" s="231"/>
    </row>
    <row r="1205">
      <c r="A1205" s="245"/>
      <c r="B1205" s="175"/>
      <c r="C1205" s="231"/>
    </row>
    <row r="1206">
      <c r="A1206" s="245"/>
      <c r="B1206" s="175"/>
      <c r="C1206" s="231"/>
    </row>
    <row r="1207">
      <c r="A1207" s="245"/>
      <c r="B1207" s="175"/>
      <c r="C1207" s="231"/>
    </row>
    <row r="1208">
      <c r="A1208" s="245"/>
      <c r="B1208" s="175"/>
      <c r="C1208" s="231"/>
    </row>
    <row r="1209">
      <c r="A1209" s="245"/>
      <c r="B1209" s="175"/>
      <c r="C1209" s="231"/>
    </row>
    <row r="1210">
      <c r="A1210" s="245"/>
      <c r="B1210" s="175"/>
      <c r="C1210" s="231"/>
    </row>
    <row r="1211">
      <c r="A1211" s="245"/>
      <c r="B1211" s="175"/>
      <c r="C1211" s="231"/>
    </row>
    <row r="1212">
      <c r="A1212" s="245"/>
      <c r="B1212" s="175"/>
      <c r="C1212" s="231"/>
    </row>
    <row r="1213">
      <c r="A1213" s="245"/>
      <c r="B1213" s="175"/>
      <c r="C1213" s="231"/>
    </row>
    <row r="1214">
      <c r="A1214" s="245"/>
      <c r="B1214" s="175"/>
      <c r="C1214" s="231"/>
    </row>
    <row r="1215">
      <c r="A1215" s="245"/>
      <c r="B1215" s="175"/>
      <c r="C1215" s="231"/>
    </row>
    <row r="1216">
      <c r="A1216" s="245"/>
      <c r="B1216" s="175"/>
      <c r="C1216" s="231"/>
    </row>
    <row r="1217">
      <c r="A1217" s="245"/>
      <c r="B1217" s="175"/>
      <c r="C1217" s="231"/>
    </row>
    <row r="1218">
      <c r="A1218" s="245"/>
      <c r="B1218" s="175"/>
      <c r="C1218" s="231"/>
    </row>
    <row r="1219">
      <c r="A1219" s="245"/>
      <c r="B1219" s="175"/>
      <c r="C1219" s="231"/>
    </row>
    <row r="1220">
      <c r="A1220" s="245"/>
      <c r="B1220" s="175"/>
      <c r="C1220" s="231"/>
    </row>
    <row r="1221">
      <c r="A1221" s="245"/>
      <c r="B1221" s="175"/>
      <c r="C1221" s="231"/>
    </row>
    <row r="1222">
      <c r="A1222" s="245"/>
      <c r="B1222" s="175"/>
      <c r="C1222" s="231"/>
    </row>
    <row r="1223">
      <c r="A1223" s="245"/>
      <c r="B1223" s="175"/>
      <c r="C1223" s="231"/>
    </row>
    <row r="1224">
      <c r="A1224" s="245"/>
      <c r="B1224" s="175"/>
      <c r="C1224" s="231"/>
    </row>
    <row r="1225">
      <c r="A1225" s="245"/>
      <c r="B1225" s="175"/>
      <c r="C1225" s="231"/>
    </row>
    <row r="1226">
      <c r="A1226" s="245"/>
      <c r="B1226" s="175"/>
      <c r="C1226" s="231"/>
    </row>
    <row r="1227">
      <c r="A1227" s="245"/>
      <c r="B1227" s="175"/>
      <c r="C1227" s="231"/>
    </row>
    <row r="1228">
      <c r="A1228" s="245"/>
      <c r="B1228" s="175"/>
      <c r="C1228" s="231"/>
    </row>
    <row r="1229">
      <c r="A1229" s="245"/>
      <c r="B1229" s="175"/>
      <c r="C1229" s="231"/>
    </row>
    <row r="1230">
      <c r="A1230" s="245"/>
      <c r="B1230" s="175"/>
      <c r="C1230" s="231"/>
    </row>
    <row r="1231">
      <c r="A1231" s="245"/>
      <c r="B1231" s="175"/>
      <c r="C1231" s="231"/>
    </row>
    <row r="1232">
      <c r="A1232" s="245"/>
      <c r="B1232" s="175"/>
      <c r="C1232" s="231"/>
    </row>
    <row r="1233">
      <c r="A1233" s="245"/>
      <c r="B1233" s="175"/>
      <c r="C1233" s="231"/>
    </row>
    <row r="1234">
      <c r="A1234" s="245"/>
      <c r="B1234" s="175"/>
      <c r="C1234" s="231"/>
    </row>
    <row r="1235">
      <c r="A1235" s="245"/>
      <c r="B1235" s="231"/>
      <c r="C1235" s="231"/>
    </row>
    <row r="1236">
      <c r="A1236" s="245"/>
      <c r="B1236" s="231"/>
      <c r="C1236" s="231"/>
    </row>
    <row r="1237">
      <c r="A1237" s="245"/>
      <c r="B1237" s="231"/>
      <c r="C1237" s="231"/>
    </row>
    <row r="1238">
      <c r="A1238" s="245"/>
      <c r="B1238" s="231"/>
      <c r="C1238" s="231"/>
    </row>
    <row r="1239">
      <c r="A1239" s="245"/>
      <c r="B1239" s="231"/>
      <c r="C1239" s="231"/>
    </row>
    <row r="1240">
      <c r="A1240" s="245"/>
      <c r="B1240" s="231"/>
      <c r="C1240" s="231"/>
    </row>
    <row r="1241">
      <c r="A1241" s="245"/>
      <c r="B1241" s="231"/>
      <c r="C1241" s="231"/>
    </row>
    <row r="1242">
      <c r="A1242" s="245"/>
      <c r="B1242" s="231"/>
      <c r="C1242" s="231"/>
    </row>
    <row r="1243">
      <c r="A1243" s="245"/>
      <c r="B1243" s="231"/>
      <c r="C1243" s="231"/>
    </row>
    <row r="1244">
      <c r="A1244" s="245"/>
      <c r="B1244" s="231"/>
      <c r="C1244" s="231"/>
    </row>
    <row r="1245">
      <c r="A1245" s="245"/>
      <c r="B1245" s="231"/>
      <c r="C1245" s="231"/>
    </row>
    <row r="1246">
      <c r="A1246" s="245"/>
      <c r="B1246" s="231"/>
      <c r="C1246" s="231"/>
    </row>
    <row r="1247">
      <c r="A1247" s="245"/>
      <c r="B1247" s="231"/>
      <c r="C1247" s="231"/>
    </row>
    <row r="1248">
      <c r="A1248" s="245"/>
      <c r="B1248" s="231"/>
      <c r="C1248" s="231"/>
    </row>
    <row r="1249">
      <c r="A1249" s="245"/>
      <c r="B1249" s="231"/>
      <c r="C1249" s="231"/>
    </row>
    <row r="1250">
      <c r="A1250" s="245"/>
      <c r="B1250" s="231"/>
      <c r="C1250" s="231"/>
    </row>
    <row r="1251">
      <c r="A1251" s="245"/>
      <c r="B1251" s="231"/>
      <c r="C1251" s="231"/>
    </row>
    <row r="1252">
      <c r="A1252" s="245"/>
      <c r="B1252" s="231"/>
      <c r="C1252" s="231"/>
    </row>
    <row r="1253">
      <c r="A1253" s="245"/>
      <c r="B1253" s="231"/>
      <c r="C1253" s="231"/>
    </row>
    <row r="1254">
      <c r="A1254" s="245"/>
      <c r="B1254" s="231"/>
      <c r="C1254" s="231"/>
    </row>
    <row r="1255">
      <c r="A1255" s="245"/>
      <c r="B1255" s="231"/>
      <c r="C1255" s="231"/>
    </row>
    <row r="1256">
      <c r="A1256" s="245"/>
      <c r="B1256" s="231"/>
      <c r="C1256" s="231"/>
    </row>
    <row r="1257">
      <c r="A1257" s="245"/>
      <c r="B1257" s="231"/>
      <c r="C1257" s="231"/>
    </row>
    <row r="1258">
      <c r="A1258" s="245"/>
      <c r="B1258" s="231"/>
      <c r="C1258" s="231"/>
    </row>
    <row r="1259">
      <c r="A1259" s="245"/>
      <c r="B1259" s="231"/>
      <c r="C1259" s="231"/>
    </row>
    <row r="1260">
      <c r="A1260" s="245"/>
      <c r="B1260" s="231"/>
      <c r="C1260" s="231"/>
    </row>
    <row r="1261">
      <c r="A1261" s="245"/>
      <c r="B1261" s="231"/>
      <c r="C1261" s="231"/>
    </row>
    <row r="1262">
      <c r="A1262" s="245"/>
      <c r="B1262" s="231"/>
      <c r="C1262" s="231"/>
    </row>
    <row r="1263">
      <c r="A1263" s="245"/>
      <c r="B1263" s="231"/>
      <c r="C1263" s="231"/>
    </row>
    <row r="1264">
      <c r="A1264" s="245"/>
      <c r="B1264" s="231"/>
      <c r="C1264" s="231"/>
    </row>
    <row r="1265">
      <c r="A1265" s="245"/>
      <c r="B1265" s="231"/>
      <c r="C1265" s="231"/>
    </row>
    <row r="1266">
      <c r="A1266" s="245"/>
      <c r="B1266" s="231"/>
      <c r="C1266" s="231"/>
    </row>
    <row r="1267">
      <c r="A1267" s="245"/>
      <c r="B1267" s="231"/>
      <c r="C1267" s="231"/>
    </row>
    <row r="1268">
      <c r="A1268" s="245"/>
      <c r="B1268" s="231"/>
      <c r="C1268" s="231"/>
    </row>
    <row r="1269">
      <c r="A1269" s="245"/>
      <c r="B1269" s="231"/>
      <c r="C1269" s="231"/>
    </row>
    <row r="1270">
      <c r="A1270" s="245"/>
      <c r="B1270" s="231"/>
      <c r="C1270" s="231"/>
    </row>
    <row r="1271">
      <c r="A1271" s="245"/>
      <c r="B1271" s="231"/>
      <c r="C1271" s="231"/>
    </row>
    <row r="1272">
      <c r="A1272" s="245"/>
      <c r="B1272" s="231"/>
      <c r="C1272" s="231"/>
    </row>
    <row r="1273">
      <c r="A1273" s="245"/>
      <c r="B1273" s="231"/>
      <c r="C1273" s="231"/>
    </row>
    <row r="1274">
      <c r="A1274" s="245"/>
      <c r="B1274" s="231"/>
      <c r="C1274" s="231"/>
    </row>
    <row r="1275">
      <c r="A1275" s="245"/>
      <c r="B1275" s="231"/>
      <c r="C1275" s="231"/>
    </row>
    <row r="1276">
      <c r="A1276" s="245"/>
      <c r="B1276" s="231"/>
      <c r="C1276" s="231"/>
    </row>
    <row r="1277">
      <c r="A1277" s="245"/>
      <c r="B1277" s="231"/>
      <c r="C1277" s="231"/>
    </row>
    <row r="1278">
      <c r="A1278" s="245"/>
      <c r="B1278" s="231"/>
      <c r="C1278" s="231"/>
    </row>
    <row r="1279">
      <c r="A1279" s="245"/>
      <c r="B1279" s="231"/>
      <c r="C1279" s="231"/>
    </row>
    <row r="1280">
      <c r="A1280" s="245"/>
      <c r="B1280" s="231"/>
      <c r="C1280" s="231"/>
    </row>
    <row r="1281">
      <c r="A1281" s="245"/>
      <c r="B1281" s="231"/>
      <c r="C1281" s="231"/>
    </row>
    <row r="1282">
      <c r="A1282" s="245"/>
      <c r="B1282" s="231"/>
      <c r="C1282" s="231"/>
    </row>
    <row r="1283">
      <c r="A1283" s="245"/>
      <c r="B1283" s="231"/>
      <c r="C1283" s="231"/>
    </row>
    <row r="1284">
      <c r="A1284" s="245"/>
      <c r="B1284" s="231"/>
      <c r="C1284" s="231"/>
    </row>
    <row r="1285">
      <c r="A1285" s="245"/>
      <c r="B1285" s="231"/>
      <c r="C1285" s="231"/>
    </row>
    <row r="1286">
      <c r="A1286" s="245"/>
      <c r="B1286" s="231"/>
      <c r="C1286" s="231"/>
    </row>
    <row r="1287">
      <c r="A1287" s="245"/>
      <c r="B1287" s="231"/>
      <c r="C1287" s="231"/>
    </row>
    <row r="1288">
      <c r="A1288" s="245"/>
      <c r="B1288" s="231"/>
      <c r="C1288" s="231"/>
    </row>
    <row r="1289">
      <c r="A1289" s="245"/>
      <c r="B1289" s="231"/>
      <c r="C1289" s="231"/>
    </row>
    <row r="1290">
      <c r="A1290" s="245"/>
      <c r="B1290" s="231"/>
      <c r="C1290" s="231"/>
    </row>
    <row r="1291">
      <c r="A1291" s="245"/>
      <c r="B1291" s="231"/>
      <c r="C1291" s="231"/>
    </row>
    <row r="1292">
      <c r="A1292" s="245"/>
      <c r="B1292" s="231"/>
      <c r="C1292" s="231"/>
    </row>
    <row r="1293">
      <c r="A1293" s="245"/>
      <c r="B1293" s="231"/>
      <c r="C1293" s="231"/>
    </row>
    <row r="1294">
      <c r="A1294" s="245"/>
      <c r="B1294" s="231"/>
      <c r="C1294" s="231"/>
    </row>
    <row r="1295">
      <c r="A1295" s="245"/>
      <c r="B1295" s="231"/>
      <c r="C1295" s="231"/>
    </row>
    <row r="1296">
      <c r="A1296" s="245"/>
      <c r="B1296" s="231"/>
      <c r="C1296" s="231"/>
    </row>
    <row r="1297">
      <c r="A1297" s="245"/>
      <c r="B1297" s="231"/>
      <c r="C1297" s="231"/>
    </row>
    <row r="1298">
      <c r="A1298" s="245"/>
      <c r="B1298" s="231"/>
      <c r="C1298" s="231"/>
    </row>
    <row r="1299">
      <c r="A1299" s="245"/>
      <c r="B1299" s="231"/>
      <c r="C1299" s="231"/>
    </row>
    <row r="1300">
      <c r="A1300" s="245"/>
      <c r="B1300" s="231"/>
      <c r="C1300" s="231"/>
    </row>
    <row r="1301">
      <c r="A1301" s="245"/>
      <c r="B1301" s="231"/>
      <c r="C1301" s="231"/>
    </row>
    <row r="1302">
      <c r="A1302" s="245"/>
      <c r="B1302" s="231"/>
      <c r="C1302" s="231"/>
    </row>
    <row r="1303">
      <c r="A1303" s="245"/>
      <c r="B1303" s="231"/>
      <c r="C1303" s="231"/>
    </row>
    <row r="1304">
      <c r="A1304" s="245"/>
      <c r="B1304" s="231"/>
      <c r="C1304" s="231"/>
    </row>
    <row r="1305">
      <c r="A1305" s="245"/>
      <c r="B1305" s="231"/>
      <c r="C1305" s="231"/>
    </row>
    <row r="1306">
      <c r="A1306" s="245"/>
      <c r="B1306" s="231"/>
      <c r="C1306" s="231"/>
    </row>
    <row r="1307">
      <c r="A1307" s="245"/>
      <c r="B1307" s="231"/>
      <c r="C1307" s="231"/>
    </row>
    <row r="1308">
      <c r="A1308" s="245"/>
      <c r="B1308" s="231"/>
      <c r="C1308" s="231"/>
    </row>
    <row r="1309">
      <c r="A1309" s="245"/>
      <c r="B1309" s="231"/>
      <c r="C1309" s="231"/>
    </row>
    <row r="1310">
      <c r="A1310" s="245"/>
      <c r="B1310" s="231"/>
      <c r="C1310" s="231"/>
    </row>
    <row r="1311">
      <c r="A1311" s="245"/>
      <c r="B1311" s="231"/>
      <c r="C1311" s="231"/>
    </row>
    <row r="1312">
      <c r="A1312" s="245"/>
      <c r="B1312" s="231"/>
      <c r="C1312" s="231"/>
    </row>
    <row r="1313">
      <c r="A1313" s="245"/>
      <c r="B1313" s="231"/>
      <c r="C1313" s="231"/>
    </row>
    <row r="1314">
      <c r="A1314" s="245"/>
      <c r="B1314" s="231"/>
      <c r="C1314" s="231"/>
    </row>
    <row r="1315">
      <c r="A1315" s="245"/>
      <c r="B1315" s="231"/>
      <c r="C1315" s="231"/>
    </row>
    <row r="1316">
      <c r="A1316" s="245"/>
      <c r="B1316" s="231"/>
      <c r="C1316" s="231"/>
    </row>
    <row r="1317">
      <c r="A1317" s="245"/>
      <c r="B1317" s="231"/>
      <c r="C1317" s="231"/>
    </row>
    <row r="1318">
      <c r="A1318" s="245"/>
      <c r="B1318" s="231"/>
      <c r="C1318" s="231"/>
    </row>
    <row r="1319">
      <c r="A1319" s="245"/>
      <c r="B1319" s="231"/>
      <c r="C1319" s="231"/>
    </row>
    <row r="1320">
      <c r="A1320" s="245"/>
      <c r="B1320" s="231"/>
      <c r="C1320" s="231"/>
    </row>
    <row r="1321">
      <c r="A1321" s="245"/>
      <c r="B1321" s="231"/>
      <c r="C1321" s="231"/>
    </row>
    <row r="1322">
      <c r="A1322" s="245"/>
      <c r="B1322" s="231"/>
      <c r="C1322" s="231"/>
    </row>
    <row r="1323">
      <c r="A1323" s="245"/>
      <c r="B1323" s="231"/>
      <c r="C1323" s="231"/>
    </row>
    <row r="1324">
      <c r="A1324" s="245"/>
      <c r="B1324" s="231"/>
      <c r="C1324" s="231"/>
    </row>
    <row r="1325">
      <c r="A1325" s="245"/>
      <c r="B1325" s="231"/>
      <c r="C1325" s="231"/>
    </row>
    <row r="1326">
      <c r="A1326" s="245"/>
      <c r="B1326" s="231"/>
      <c r="C1326" s="231"/>
    </row>
    <row r="1327">
      <c r="A1327" s="245"/>
      <c r="B1327" s="231"/>
      <c r="C1327" s="231"/>
    </row>
    <row r="1328">
      <c r="A1328" s="245"/>
      <c r="B1328" s="231"/>
      <c r="C1328" s="231"/>
    </row>
    <row r="1329">
      <c r="A1329" s="245"/>
      <c r="B1329" s="231"/>
      <c r="C1329" s="231"/>
    </row>
    <row r="1330">
      <c r="A1330" s="245"/>
      <c r="B1330" s="231"/>
      <c r="C1330" s="231"/>
    </row>
    <row r="1331">
      <c r="A1331" s="245"/>
      <c r="B1331" s="231"/>
      <c r="C1331" s="231"/>
    </row>
    <row r="1332">
      <c r="A1332" s="245"/>
      <c r="B1332" s="231"/>
      <c r="C1332" s="231"/>
    </row>
    <row r="1333">
      <c r="A1333" s="245"/>
      <c r="B1333" s="231"/>
      <c r="C1333" s="231"/>
    </row>
    <row r="1334">
      <c r="A1334" s="245"/>
      <c r="B1334" s="231"/>
      <c r="C1334" s="231"/>
    </row>
    <row r="1335">
      <c r="A1335" s="245"/>
      <c r="B1335" s="231"/>
      <c r="C1335" s="231"/>
    </row>
    <row r="1336">
      <c r="A1336" s="245"/>
      <c r="B1336" s="231"/>
      <c r="C1336" s="231"/>
    </row>
    <row r="1337">
      <c r="A1337" s="245"/>
      <c r="B1337" s="231"/>
      <c r="C1337" s="231"/>
    </row>
    <row r="1338">
      <c r="A1338" s="245"/>
      <c r="B1338" s="231"/>
      <c r="C1338" s="231"/>
    </row>
    <row r="1339">
      <c r="A1339" s="245"/>
      <c r="B1339" s="231"/>
      <c r="C1339" s="231"/>
    </row>
    <row r="1340">
      <c r="A1340" s="245"/>
      <c r="B1340" s="231"/>
      <c r="C1340" s="231"/>
    </row>
    <row r="1341">
      <c r="A1341" s="245"/>
      <c r="B1341" s="231"/>
      <c r="C1341" s="231"/>
    </row>
    <row r="1342">
      <c r="A1342" s="245"/>
      <c r="B1342" s="231"/>
      <c r="C1342" s="231"/>
    </row>
    <row r="1343">
      <c r="A1343" s="245"/>
      <c r="B1343" s="231"/>
      <c r="C1343" s="231"/>
    </row>
    <row r="1344">
      <c r="A1344" s="245"/>
      <c r="B1344" s="231"/>
      <c r="C1344" s="231"/>
    </row>
    <row r="1345">
      <c r="A1345" s="245"/>
      <c r="B1345" s="231"/>
      <c r="C1345" s="231"/>
    </row>
    <row r="1346">
      <c r="A1346" s="245"/>
      <c r="B1346" s="231"/>
      <c r="C1346" s="231"/>
    </row>
    <row r="1347">
      <c r="A1347" s="245"/>
      <c r="B1347" s="231"/>
      <c r="C1347" s="231"/>
    </row>
    <row r="1348">
      <c r="A1348" s="245"/>
      <c r="B1348" s="231"/>
      <c r="C1348" s="231"/>
    </row>
    <row r="1349">
      <c r="A1349" s="245"/>
      <c r="B1349" s="231"/>
      <c r="C1349" s="231"/>
    </row>
    <row r="1350">
      <c r="A1350" s="245"/>
      <c r="B1350" s="231"/>
      <c r="C1350" s="231"/>
    </row>
    <row r="1351">
      <c r="A1351" s="245"/>
      <c r="B1351" s="231"/>
      <c r="C1351" s="231"/>
    </row>
    <row r="1352">
      <c r="A1352" s="245"/>
      <c r="B1352" s="231"/>
      <c r="C1352" s="231"/>
    </row>
    <row r="1353">
      <c r="A1353" s="245"/>
      <c r="B1353" s="231"/>
      <c r="C1353" s="231"/>
    </row>
    <row r="1354">
      <c r="A1354" s="245"/>
      <c r="B1354" s="231"/>
      <c r="C1354" s="231"/>
    </row>
    <row r="1355">
      <c r="A1355" s="245"/>
      <c r="B1355" s="231"/>
      <c r="C1355" s="231"/>
    </row>
    <row r="1356">
      <c r="A1356" s="245"/>
      <c r="B1356" s="231"/>
      <c r="C1356" s="231"/>
    </row>
    <row r="1357">
      <c r="A1357" s="245"/>
      <c r="B1357" s="231"/>
      <c r="C1357" s="231"/>
    </row>
    <row r="1358">
      <c r="A1358" s="245"/>
      <c r="B1358" s="231"/>
      <c r="C1358" s="231"/>
    </row>
    <row r="1359">
      <c r="A1359" s="245"/>
      <c r="B1359" s="231"/>
      <c r="C1359" s="231"/>
    </row>
    <row r="1360">
      <c r="A1360" s="245"/>
      <c r="B1360" s="231"/>
      <c r="C1360" s="231"/>
    </row>
    <row r="1361">
      <c r="A1361" s="245"/>
      <c r="B1361" s="231"/>
      <c r="C1361" s="231"/>
    </row>
    <row r="1362">
      <c r="A1362" s="245"/>
      <c r="B1362" s="231"/>
      <c r="C1362" s="231"/>
    </row>
    <row r="1363">
      <c r="A1363" s="245"/>
      <c r="B1363" s="231"/>
      <c r="C1363" s="231"/>
    </row>
    <row r="1364">
      <c r="A1364" s="245"/>
      <c r="B1364" s="231"/>
      <c r="C1364" s="231"/>
    </row>
    <row r="1365">
      <c r="A1365" s="245"/>
      <c r="B1365" s="231"/>
      <c r="C1365" s="231"/>
    </row>
    <row r="1366">
      <c r="A1366" s="245"/>
      <c r="B1366" s="231"/>
      <c r="C1366" s="231"/>
    </row>
    <row r="1367">
      <c r="A1367" s="245"/>
      <c r="B1367" s="231"/>
      <c r="C1367" s="231"/>
    </row>
    <row r="1368">
      <c r="A1368" s="245"/>
      <c r="B1368" s="231"/>
      <c r="C1368" s="231"/>
    </row>
    <row r="1369">
      <c r="A1369" s="245"/>
      <c r="B1369" s="231"/>
      <c r="C1369" s="231"/>
    </row>
    <row r="1370">
      <c r="A1370" s="245"/>
      <c r="B1370" s="231"/>
      <c r="C1370" s="231"/>
    </row>
    <row r="1371">
      <c r="A1371" s="245"/>
      <c r="B1371" s="231"/>
      <c r="C1371" s="231"/>
    </row>
    <row r="1372">
      <c r="A1372" s="245"/>
      <c r="B1372" s="231"/>
      <c r="C1372" s="231"/>
    </row>
    <row r="1373">
      <c r="A1373" s="245"/>
      <c r="B1373" s="231"/>
      <c r="C1373" s="231"/>
    </row>
    <row r="1374">
      <c r="A1374" s="245"/>
      <c r="B1374" s="231"/>
      <c r="C1374" s="231"/>
    </row>
    <row r="1375">
      <c r="A1375" s="245"/>
      <c r="B1375" s="231"/>
      <c r="C1375" s="231"/>
    </row>
    <row r="1376">
      <c r="A1376" s="245"/>
      <c r="B1376" s="231"/>
      <c r="C1376" s="231"/>
    </row>
    <row r="1377">
      <c r="A1377" s="245"/>
      <c r="B1377" s="231"/>
      <c r="C1377" s="231"/>
    </row>
    <row r="1378">
      <c r="A1378" s="245"/>
      <c r="B1378" s="231"/>
      <c r="C1378" s="231"/>
    </row>
    <row r="1379">
      <c r="A1379" s="245"/>
      <c r="B1379" s="231"/>
      <c r="C1379" s="231"/>
    </row>
    <row r="1380">
      <c r="A1380" s="245"/>
      <c r="B1380" s="231"/>
      <c r="C1380" s="231"/>
    </row>
    <row r="1381">
      <c r="A1381" s="245"/>
      <c r="B1381" s="231"/>
      <c r="C1381" s="231"/>
    </row>
    <row r="1382">
      <c r="A1382" s="245"/>
      <c r="B1382" s="231"/>
      <c r="C1382" s="231"/>
    </row>
    <row r="1383">
      <c r="A1383" s="245"/>
      <c r="B1383" s="231"/>
      <c r="C1383" s="231"/>
    </row>
    <row r="1384">
      <c r="A1384" s="245"/>
      <c r="B1384" s="231"/>
      <c r="C1384" s="231"/>
    </row>
    <row r="1385">
      <c r="A1385" s="245"/>
      <c r="B1385" s="231"/>
      <c r="C1385" s="231"/>
    </row>
    <row r="1386">
      <c r="A1386" s="245"/>
      <c r="B1386" s="231"/>
      <c r="C1386" s="231"/>
    </row>
    <row r="1387">
      <c r="A1387" s="245"/>
      <c r="B1387" s="231"/>
      <c r="C1387" s="231"/>
    </row>
    <row r="1388">
      <c r="A1388" s="245"/>
      <c r="B1388" s="231"/>
      <c r="C1388" s="231"/>
    </row>
    <row r="1389">
      <c r="A1389" s="245"/>
      <c r="B1389" s="231"/>
      <c r="C1389" s="231"/>
    </row>
    <row r="1390">
      <c r="A1390" s="245"/>
      <c r="B1390" s="231"/>
      <c r="C1390" s="231"/>
    </row>
    <row r="1391">
      <c r="A1391" s="245"/>
      <c r="B1391" s="231"/>
      <c r="C1391" s="231"/>
    </row>
    <row r="1392">
      <c r="A1392" s="245"/>
      <c r="B1392" s="231"/>
      <c r="C1392" s="231"/>
    </row>
    <row r="1393">
      <c r="A1393" s="245"/>
      <c r="B1393" s="231"/>
      <c r="C1393" s="231"/>
    </row>
    <row r="1394">
      <c r="A1394" s="245"/>
      <c r="B1394" s="231"/>
      <c r="C1394" s="231"/>
    </row>
    <row r="1395">
      <c r="A1395" s="245"/>
      <c r="B1395" s="231"/>
      <c r="C1395" s="231"/>
    </row>
    <row r="1396">
      <c r="A1396" s="245"/>
      <c r="B1396" s="231"/>
      <c r="C1396" s="231"/>
    </row>
    <row r="1397">
      <c r="A1397" s="245"/>
      <c r="B1397" s="231"/>
      <c r="C1397" s="231"/>
    </row>
    <row r="1398">
      <c r="A1398" s="245"/>
      <c r="B1398" s="231"/>
      <c r="C1398" s="231"/>
    </row>
    <row r="1399">
      <c r="A1399" s="245"/>
      <c r="B1399" s="231"/>
      <c r="C1399" s="231"/>
    </row>
    <row r="1400">
      <c r="A1400" s="245"/>
      <c r="B1400" s="231"/>
      <c r="C1400" s="231"/>
    </row>
    <row r="1401">
      <c r="A1401" s="245"/>
      <c r="B1401" s="231"/>
      <c r="C1401" s="231"/>
    </row>
    <row r="1402">
      <c r="A1402" s="245"/>
      <c r="B1402" s="231"/>
      <c r="C1402" s="231"/>
    </row>
    <row r="1403">
      <c r="A1403" s="245"/>
      <c r="B1403" s="231"/>
      <c r="C1403" s="231"/>
    </row>
    <row r="1404">
      <c r="A1404" s="245"/>
      <c r="B1404" s="231"/>
      <c r="C1404" s="231"/>
    </row>
    <row r="1405">
      <c r="A1405" s="245"/>
      <c r="B1405" s="231"/>
      <c r="C1405" s="231"/>
    </row>
    <row r="1406">
      <c r="A1406" s="245"/>
      <c r="B1406" s="231"/>
      <c r="C1406" s="231"/>
    </row>
    <row r="1407">
      <c r="A1407" s="245"/>
      <c r="B1407" s="231"/>
      <c r="C1407" s="231"/>
    </row>
    <row r="1408">
      <c r="A1408" s="245"/>
      <c r="B1408" s="231"/>
      <c r="C1408" s="231"/>
    </row>
    <row r="1409">
      <c r="A1409" s="245"/>
      <c r="B1409" s="231"/>
      <c r="C1409" s="231"/>
    </row>
    <row r="1410">
      <c r="A1410" s="245"/>
      <c r="B1410" s="231"/>
      <c r="C1410" s="231"/>
    </row>
    <row r="1411">
      <c r="A1411" s="245"/>
      <c r="B1411" s="231"/>
      <c r="C1411" s="231"/>
    </row>
    <row r="1412">
      <c r="A1412" s="245"/>
      <c r="B1412" s="231"/>
      <c r="C1412" s="231"/>
    </row>
    <row r="1413">
      <c r="A1413" s="245"/>
      <c r="B1413" s="231"/>
      <c r="C1413" s="231"/>
    </row>
    <row r="1414">
      <c r="A1414" s="245"/>
      <c r="B1414" s="231"/>
      <c r="C1414" s="231"/>
    </row>
    <row r="1415">
      <c r="A1415" s="245"/>
      <c r="B1415" s="231"/>
      <c r="C1415" s="231"/>
    </row>
    <row r="1416">
      <c r="A1416" s="245"/>
      <c r="B1416" s="231"/>
      <c r="C1416" s="231"/>
    </row>
    <row r="1417">
      <c r="A1417" s="245"/>
      <c r="B1417" s="231"/>
      <c r="C1417" s="231"/>
    </row>
    <row r="1418">
      <c r="A1418" s="245"/>
      <c r="B1418" s="231"/>
      <c r="C1418" s="231"/>
    </row>
    <row r="1419">
      <c r="A1419" s="245"/>
      <c r="B1419" s="231"/>
      <c r="C1419" s="231"/>
    </row>
    <row r="1420">
      <c r="A1420" s="245"/>
      <c r="B1420" s="231"/>
      <c r="C1420" s="231"/>
    </row>
    <row r="1421">
      <c r="A1421" s="245"/>
      <c r="B1421" s="231"/>
      <c r="C1421" s="231"/>
    </row>
    <row r="1422">
      <c r="A1422" s="245"/>
      <c r="B1422" s="231"/>
      <c r="C1422" s="231"/>
    </row>
    <row r="1423">
      <c r="A1423" s="245"/>
      <c r="B1423" s="231"/>
      <c r="C1423" s="231"/>
    </row>
    <row r="1424">
      <c r="A1424" s="245"/>
      <c r="B1424" s="231"/>
      <c r="C1424" s="231"/>
    </row>
    <row r="1425">
      <c r="A1425" s="245"/>
      <c r="B1425" s="231"/>
      <c r="C1425" s="231"/>
    </row>
    <row r="1426">
      <c r="A1426" s="245"/>
      <c r="B1426" s="231"/>
      <c r="C1426" s="231"/>
    </row>
    <row r="1427">
      <c r="A1427" s="245"/>
      <c r="B1427" s="231"/>
      <c r="C1427" s="231"/>
    </row>
    <row r="1428">
      <c r="A1428" s="245"/>
      <c r="B1428" s="231"/>
      <c r="C1428" s="231"/>
    </row>
    <row r="1429">
      <c r="A1429" s="245"/>
      <c r="B1429" s="231"/>
      <c r="C1429" s="231"/>
    </row>
    <row r="1430">
      <c r="A1430" s="245"/>
      <c r="B1430" s="231"/>
      <c r="C1430" s="231"/>
    </row>
    <row r="1431">
      <c r="A1431" s="245"/>
      <c r="B1431" s="231"/>
      <c r="C1431" s="231"/>
    </row>
    <row r="1432">
      <c r="A1432" s="245"/>
      <c r="B1432" s="231"/>
      <c r="C1432" s="231"/>
    </row>
    <row r="1433">
      <c r="A1433" s="245"/>
      <c r="B1433" s="231"/>
      <c r="C1433" s="231"/>
    </row>
    <row r="1434">
      <c r="A1434" s="245"/>
      <c r="B1434" s="231"/>
      <c r="C1434" s="231"/>
    </row>
    <row r="1435">
      <c r="A1435" s="245"/>
      <c r="B1435" s="231"/>
      <c r="C1435" s="231"/>
    </row>
    <row r="1436">
      <c r="A1436" s="245"/>
      <c r="B1436" s="231"/>
      <c r="C1436" s="231"/>
    </row>
    <row r="1437">
      <c r="A1437" s="245"/>
      <c r="B1437" s="231"/>
      <c r="C1437" s="231"/>
    </row>
    <row r="1438">
      <c r="A1438" s="245"/>
      <c r="B1438" s="231"/>
      <c r="C1438" s="231"/>
    </row>
    <row r="1439">
      <c r="A1439" s="245"/>
      <c r="B1439" s="231"/>
      <c r="C1439" s="231"/>
    </row>
    <row r="1440">
      <c r="A1440" s="245"/>
      <c r="B1440" s="231"/>
      <c r="C1440" s="231"/>
    </row>
    <row r="1441">
      <c r="A1441" s="245"/>
      <c r="B1441" s="231"/>
      <c r="C1441" s="231"/>
    </row>
    <row r="1442">
      <c r="A1442" s="245"/>
      <c r="B1442" s="231"/>
      <c r="C1442" s="231"/>
    </row>
    <row r="1443">
      <c r="A1443" s="245"/>
      <c r="B1443" s="231"/>
      <c r="C1443" s="231"/>
    </row>
    <row r="1444">
      <c r="A1444" s="245"/>
      <c r="B1444" s="231"/>
      <c r="C1444" s="231"/>
    </row>
    <row r="1445">
      <c r="A1445" s="245"/>
      <c r="B1445" s="231"/>
      <c r="C1445" s="231"/>
    </row>
    <row r="1446">
      <c r="A1446" s="245"/>
      <c r="B1446" s="231"/>
      <c r="C1446" s="231"/>
    </row>
    <row r="1447">
      <c r="A1447" s="245"/>
      <c r="B1447" s="231"/>
      <c r="C1447" s="231"/>
    </row>
    <row r="1448">
      <c r="A1448" s="245"/>
      <c r="B1448" s="231"/>
      <c r="C1448" s="231"/>
    </row>
    <row r="1449">
      <c r="A1449" s="245"/>
      <c r="B1449" s="231"/>
      <c r="C1449" s="231"/>
    </row>
    <row r="1450">
      <c r="A1450" s="245"/>
      <c r="B1450" s="231"/>
      <c r="C1450" s="231"/>
    </row>
    <row r="1451">
      <c r="A1451" s="245"/>
      <c r="B1451" s="231"/>
      <c r="C1451" s="231"/>
    </row>
    <row r="1452">
      <c r="A1452" s="245"/>
      <c r="B1452" s="231"/>
      <c r="C1452" s="231"/>
    </row>
    <row r="1453">
      <c r="A1453" s="245"/>
      <c r="B1453" s="231"/>
      <c r="C1453" s="231"/>
    </row>
    <row r="1454">
      <c r="A1454" s="245"/>
      <c r="B1454" s="231"/>
      <c r="C1454" s="231"/>
    </row>
    <row r="1455">
      <c r="A1455" s="245"/>
      <c r="B1455" s="231"/>
      <c r="C1455" s="231"/>
    </row>
    <row r="1456">
      <c r="A1456" s="245"/>
      <c r="B1456" s="231"/>
      <c r="C1456" s="231"/>
    </row>
    <row r="1457">
      <c r="A1457" s="245"/>
      <c r="B1457" s="231"/>
      <c r="C1457" s="231"/>
    </row>
    <row r="1458">
      <c r="A1458" s="245"/>
      <c r="B1458" s="231"/>
      <c r="C1458" s="231"/>
    </row>
    <row r="1459">
      <c r="A1459" s="245"/>
      <c r="B1459" s="231"/>
      <c r="C1459" s="231"/>
    </row>
    <row r="1460">
      <c r="A1460" s="245"/>
      <c r="B1460" s="231"/>
      <c r="C1460" s="231"/>
    </row>
    <row r="1461">
      <c r="A1461" s="245"/>
      <c r="B1461" s="231"/>
      <c r="C1461" s="231"/>
    </row>
    <row r="1462">
      <c r="A1462" s="245"/>
      <c r="B1462" s="231"/>
      <c r="C1462" s="231"/>
    </row>
    <row r="1463">
      <c r="A1463" s="245"/>
      <c r="B1463" s="231"/>
      <c r="C1463" s="231"/>
    </row>
    <row r="1464">
      <c r="A1464" s="245"/>
      <c r="B1464" s="231"/>
      <c r="C1464" s="231"/>
    </row>
    <row r="1465">
      <c r="A1465" s="245"/>
      <c r="B1465" s="231"/>
      <c r="C1465" s="231"/>
    </row>
    <row r="1466">
      <c r="A1466" s="245"/>
      <c r="B1466" s="231"/>
      <c r="C1466" s="231"/>
    </row>
    <row r="1467">
      <c r="A1467" s="245"/>
      <c r="B1467" s="231"/>
      <c r="C1467" s="231"/>
    </row>
    <row r="1468">
      <c r="A1468" s="245"/>
      <c r="B1468" s="231"/>
      <c r="C1468" s="231"/>
    </row>
    <row r="1469">
      <c r="A1469" s="245"/>
      <c r="B1469" s="231"/>
      <c r="C1469" s="231"/>
    </row>
    <row r="1470">
      <c r="A1470" s="245"/>
      <c r="B1470" s="231"/>
      <c r="C1470" s="231"/>
    </row>
    <row r="1471">
      <c r="A1471" s="245"/>
      <c r="B1471" s="231"/>
      <c r="C1471" s="231"/>
    </row>
    <row r="1472">
      <c r="A1472" s="245"/>
      <c r="B1472" s="231"/>
      <c r="C1472" s="231"/>
    </row>
    <row r="1473">
      <c r="A1473" s="245"/>
      <c r="B1473" s="231"/>
      <c r="C1473" s="231"/>
    </row>
    <row r="1474">
      <c r="A1474" s="245"/>
      <c r="B1474" s="231"/>
      <c r="C1474" s="231"/>
    </row>
    <row r="1475">
      <c r="A1475" s="245"/>
      <c r="B1475" s="231"/>
      <c r="C1475" s="231"/>
    </row>
    <row r="1476">
      <c r="A1476" s="245"/>
      <c r="B1476" s="231"/>
      <c r="C1476" s="231"/>
    </row>
    <row r="1477">
      <c r="A1477" s="245"/>
      <c r="B1477" s="231"/>
      <c r="C1477" s="231"/>
    </row>
    <row r="1478">
      <c r="A1478" s="245"/>
      <c r="B1478" s="231"/>
      <c r="C1478" s="231"/>
    </row>
    <row r="1479">
      <c r="A1479" s="245"/>
      <c r="B1479" s="231"/>
      <c r="C1479" s="231"/>
    </row>
    <row r="1480">
      <c r="A1480" s="245"/>
      <c r="B1480" s="231"/>
      <c r="C1480" s="231"/>
    </row>
    <row r="1481">
      <c r="A1481" s="245"/>
      <c r="B1481" s="231"/>
      <c r="C1481" s="231"/>
    </row>
    <row r="1482">
      <c r="A1482" s="245"/>
      <c r="B1482" s="231"/>
      <c r="C1482" s="231"/>
    </row>
    <row r="1483">
      <c r="A1483" s="245"/>
      <c r="B1483" s="231"/>
      <c r="C1483" s="231"/>
    </row>
    <row r="1484">
      <c r="A1484" s="245"/>
      <c r="B1484" s="231"/>
      <c r="C1484" s="231"/>
    </row>
    <row r="1485">
      <c r="A1485" s="245"/>
      <c r="B1485" s="231"/>
      <c r="C1485" s="231"/>
    </row>
    <row r="1486">
      <c r="A1486" s="245"/>
      <c r="B1486" s="231"/>
      <c r="C1486" s="231"/>
    </row>
    <row r="1487">
      <c r="A1487" s="245"/>
      <c r="B1487" s="231"/>
      <c r="C1487" s="231"/>
    </row>
    <row r="1488">
      <c r="A1488" s="245"/>
      <c r="B1488" s="231"/>
      <c r="C1488" s="231"/>
    </row>
    <row r="1489">
      <c r="A1489" s="245"/>
      <c r="B1489" s="231"/>
      <c r="C1489" s="231"/>
    </row>
    <row r="1490">
      <c r="A1490" s="245"/>
      <c r="B1490" s="231"/>
      <c r="C1490" s="231"/>
    </row>
    <row r="1491">
      <c r="A1491" s="245"/>
      <c r="B1491" s="231"/>
      <c r="C1491" s="231"/>
    </row>
    <row r="1492">
      <c r="A1492" s="245"/>
      <c r="B1492" s="231"/>
      <c r="C1492" s="231"/>
    </row>
    <row r="1493">
      <c r="A1493" s="245"/>
      <c r="B1493" s="231"/>
      <c r="C1493" s="231"/>
    </row>
    <row r="1494">
      <c r="A1494" s="245"/>
      <c r="B1494" s="231"/>
      <c r="C1494" s="231"/>
    </row>
    <row r="1495">
      <c r="A1495" s="245"/>
      <c r="B1495" s="231"/>
      <c r="C1495" s="231"/>
    </row>
    <row r="1496">
      <c r="A1496" s="245"/>
      <c r="B1496" s="231"/>
      <c r="C1496" s="231"/>
    </row>
    <row r="1497">
      <c r="A1497" s="245"/>
      <c r="B1497" s="231"/>
      <c r="C1497" s="231"/>
    </row>
    <row r="1498">
      <c r="A1498" s="245"/>
      <c r="B1498" s="231"/>
      <c r="C1498" s="231"/>
    </row>
    <row r="1499">
      <c r="A1499" s="245"/>
      <c r="B1499" s="231"/>
      <c r="C1499" s="231"/>
    </row>
    <row r="1500">
      <c r="A1500" s="245"/>
      <c r="B1500" s="231"/>
      <c r="C1500" s="231"/>
    </row>
    <row r="1501">
      <c r="A1501" s="245"/>
      <c r="B1501" s="231"/>
      <c r="C1501" s="231"/>
    </row>
    <row r="1502">
      <c r="A1502" s="245"/>
      <c r="B1502" s="231"/>
      <c r="C1502" s="231"/>
    </row>
    <row r="1503">
      <c r="A1503" s="245"/>
      <c r="B1503" s="231"/>
      <c r="C1503" s="231"/>
    </row>
    <row r="1504">
      <c r="A1504" s="245"/>
      <c r="B1504" s="231"/>
      <c r="C1504" s="231"/>
    </row>
    <row r="1505">
      <c r="A1505" s="245"/>
      <c r="B1505" s="231"/>
      <c r="C1505" s="231"/>
    </row>
    <row r="1506">
      <c r="A1506" s="245"/>
      <c r="B1506" s="231"/>
      <c r="C1506" s="231"/>
    </row>
    <row r="1507">
      <c r="A1507" s="245"/>
      <c r="B1507" s="231"/>
      <c r="C1507" s="231"/>
    </row>
    <row r="1508">
      <c r="A1508" s="245"/>
      <c r="B1508" s="231"/>
      <c r="C1508" s="231"/>
    </row>
    <row r="1509">
      <c r="A1509" s="245"/>
      <c r="B1509" s="231"/>
      <c r="C1509" s="231"/>
    </row>
    <row r="1510">
      <c r="A1510" s="245"/>
      <c r="B1510" s="231"/>
      <c r="C1510" s="231"/>
    </row>
    <row r="1511">
      <c r="A1511" s="245"/>
      <c r="B1511" s="231"/>
      <c r="C1511" s="231"/>
    </row>
    <row r="1512">
      <c r="A1512" s="245"/>
      <c r="B1512" s="231"/>
      <c r="C1512" s="231"/>
    </row>
    <row r="1513">
      <c r="A1513" s="245"/>
      <c r="B1513" s="231"/>
      <c r="C1513" s="231"/>
    </row>
    <row r="1514">
      <c r="A1514" s="245"/>
      <c r="B1514" s="231"/>
      <c r="C1514" s="231"/>
    </row>
    <row r="1515">
      <c r="A1515" s="245"/>
      <c r="B1515" s="231"/>
      <c r="C1515" s="231"/>
    </row>
    <row r="1516">
      <c r="A1516" s="245"/>
      <c r="B1516" s="231"/>
      <c r="C1516" s="231"/>
    </row>
    <row r="1517">
      <c r="A1517" s="245"/>
      <c r="B1517" s="231"/>
      <c r="C1517" s="231"/>
    </row>
    <row r="1518">
      <c r="A1518" s="245"/>
      <c r="B1518" s="231"/>
      <c r="C1518" s="231"/>
    </row>
    <row r="1519">
      <c r="A1519" s="245"/>
      <c r="B1519" s="231"/>
      <c r="C1519" s="231"/>
    </row>
    <row r="1520">
      <c r="A1520" s="245"/>
      <c r="B1520" s="231"/>
      <c r="C1520" s="231"/>
    </row>
    <row r="1521">
      <c r="A1521" s="245"/>
      <c r="B1521" s="231"/>
      <c r="C1521" s="231"/>
    </row>
    <row r="1522">
      <c r="A1522" s="245"/>
      <c r="B1522" s="231"/>
      <c r="C1522" s="231"/>
    </row>
    <row r="1523">
      <c r="A1523" s="245"/>
      <c r="B1523" s="231"/>
      <c r="C1523" s="231"/>
    </row>
    <row r="1524">
      <c r="A1524" s="245"/>
      <c r="B1524" s="231"/>
      <c r="C1524" s="231"/>
    </row>
    <row r="1525">
      <c r="A1525" s="245"/>
      <c r="B1525" s="231"/>
      <c r="C1525" s="231"/>
    </row>
    <row r="1526">
      <c r="A1526" s="245"/>
      <c r="B1526" s="231"/>
      <c r="C1526" s="231"/>
    </row>
    <row r="1527">
      <c r="A1527" s="245"/>
      <c r="B1527" s="231"/>
      <c r="C1527" s="231"/>
    </row>
    <row r="1528">
      <c r="A1528" s="245"/>
      <c r="B1528" s="231"/>
      <c r="C1528" s="231"/>
    </row>
    <row r="1529">
      <c r="A1529" s="245"/>
      <c r="B1529" s="231"/>
      <c r="C1529" s="231"/>
    </row>
    <row r="1530">
      <c r="A1530" s="245"/>
      <c r="B1530" s="231"/>
      <c r="C1530" s="231"/>
    </row>
    <row r="1531">
      <c r="A1531" s="245"/>
      <c r="B1531" s="231"/>
      <c r="C1531" s="231"/>
    </row>
    <row r="1532">
      <c r="A1532" s="245"/>
      <c r="B1532" s="231"/>
      <c r="C1532" s="231"/>
    </row>
    <row r="1533">
      <c r="A1533" s="245"/>
      <c r="B1533" s="231"/>
      <c r="C1533" s="231"/>
    </row>
    <row r="1534">
      <c r="A1534" s="245"/>
      <c r="B1534" s="231"/>
      <c r="C1534" s="231"/>
    </row>
    <row r="1535">
      <c r="A1535" s="245"/>
      <c r="B1535" s="231"/>
      <c r="C1535" s="231"/>
    </row>
    <row r="1536">
      <c r="A1536" s="245"/>
      <c r="B1536" s="231"/>
      <c r="C1536" s="231"/>
    </row>
    <row r="1537">
      <c r="A1537" s="245"/>
      <c r="B1537" s="231"/>
      <c r="C1537" s="231"/>
    </row>
    <row r="1538">
      <c r="A1538" s="245"/>
      <c r="B1538" s="231"/>
      <c r="C1538" s="231"/>
    </row>
    <row r="1539">
      <c r="A1539" s="245"/>
      <c r="B1539" s="231"/>
      <c r="C1539" s="231"/>
    </row>
    <row r="1540">
      <c r="A1540" s="245"/>
      <c r="B1540" s="231"/>
      <c r="C1540" s="231"/>
    </row>
    <row r="1541">
      <c r="A1541" s="245"/>
      <c r="B1541" s="231"/>
      <c r="C1541" s="231"/>
    </row>
    <row r="1542">
      <c r="A1542" s="245"/>
      <c r="B1542" s="231"/>
      <c r="C1542" s="231"/>
    </row>
    <row r="1543">
      <c r="A1543" s="245"/>
      <c r="B1543" s="231"/>
      <c r="C1543" s="231"/>
    </row>
    <row r="1544">
      <c r="A1544" s="245"/>
      <c r="B1544" s="231"/>
      <c r="C1544" s="231"/>
    </row>
    <row r="1545">
      <c r="A1545" s="245"/>
      <c r="B1545" s="231"/>
      <c r="C1545" s="231"/>
    </row>
    <row r="1546">
      <c r="A1546" s="245"/>
      <c r="B1546" s="231"/>
      <c r="C1546" s="231"/>
    </row>
    <row r="1547">
      <c r="A1547" s="245"/>
      <c r="B1547" s="231"/>
      <c r="C1547" s="231"/>
    </row>
    <row r="1548">
      <c r="A1548" s="245"/>
      <c r="B1548" s="231"/>
      <c r="C1548" s="231"/>
    </row>
    <row r="1549">
      <c r="A1549" s="245"/>
      <c r="B1549" s="231"/>
      <c r="C1549" s="231"/>
    </row>
    <row r="1550">
      <c r="A1550" s="245"/>
      <c r="B1550" s="231"/>
      <c r="C1550" s="231"/>
    </row>
    <row r="1551">
      <c r="A1551" s="245"/>
      <c r="B1551" s="231"/>
      <c r="C1551" s="231"/>
    </row>
    <row r="1552">
      <c r="A1552" s="245"/>
      <c r="B1552" s="231"/>
      <c r="C1552" s="231"/>
    </row>
    <row r="1553">
      <c r="A1553" s="245"/>
      <c r="B1553" s="231"/>
      <c r="C1553" s="231"/>
    </row>
    <row r="1554">
      <c r="A1554" s="245"/>
      <c r="B1554" s="231"/>
      <c r="C1554" s="231"/>
    </row>
    <row r="1555">
      <c r="A1555" s="245"/>
      <c r="B1555" s="231"/>
      <c r="C1555" s="231"/>
    </row>
    <row r="1556">
      <c r="A1556" s="245"/>
      <c r="B1556" s="231"/>
      <c r="C1556" s="231"/>
    </row>
    <row r="1557">
      <c r="A1557" s="245"/>
      <c r="B1557" s="231"/>
      <c r="C1557" s="231"/>
    </row>
    <row r="1558">
      <c r="A1558" s="245"/>
      <c r="B1558" s="231"/>
      <c r="C1558" s="231"/>
    </row>
    <row r="1559">
      <c r="A1559" s="245"/>
      <c r="B1559" s="231"/>
      <c r="C1559" s="231"/>
    </row>
    <row r="1560">
      <c r="A1560" s="245"/>
      <c r="B1560" s="231"/>
      <c r="C1560" s="231"/>
    </row>
    <row r="1561">
      <c r="A1561" s="245"/>
      <c r="B1561" s="231"/>
      <c r="C1561" s="231"/>
    </row>
    <row r="1562">
      <c r="A1562" s="245"/>
      <c r="B1562" s="231"/>
      <c r="C1562" s="231"/>
    </row>
    <row r="1563">
      <c r="A1563" s="245"/>
      <c r="B1563" s="231"/>
      <c r="C1563" s="231"/>
    </row>
    <row r="1564">
      <c r="A1564" s="245"/>
      <c r="B1564" s="231"/>
      <c r="C1564" s="231"/>
    </row>
    <row r="1565">
      <c r="A1565" s="245"/>
      <c r="B1565" s="231"/>
      <c r="C1565" s="231"/>
    </row>
    <row r="1566">
      <c r="A1566" s="245"/>
      <c r="B1566" s="231"/>
      <c r="C1566" s="231"/>
    </row>
    <row r="1567">
      <c r="A1567" s="245"/>
      <c r="B1567" s="231"/>
      <c r="C1567" s="231"/>
    </row>
    <row r="1568">
      <c r="A1568" s="245"/>
      <c r="B1568" s="231"/>
      <c r="C1568" s="231"/>
    </row>
    <row r="1569">
      <c r="A1569" s="245"/>
      <c r="B1569" s="231"/>
      <c r="C1569" s="231"/>
    </row>
    <row r="1570">
      <c r="A1570" s="245"/>
      <c r="B1570" s="231"/>
      <c r="C1570" s="231"/>
    </row>
    <row r="1571">
      <c r="A1571" s="245"/>
      <c r="B1571" s="231"/>
      <c r="C1571" s="231"/>
    </row>
    <row r="1572">
      <c r="A1572" s="245"/>
      <c r="B1572" s="231"/>
      <c r="C1572" s="231"/>
    </row>
    <row r="1573">
      <c r="A1573" s="245"/>
      <c r="B1573" s="231"/>
      <c r="C1573" s="231"/>
    </row>
    <row r="1574">
      <c r="A1574" s="245"/>
      <c r="B1574" s="231"/>
      <c r="C1574" s="231"/>
    </row>
    <row r="1575">
      <c r="A1575" s="245"/>
      <c r="B1575" s="231"/>
      <c r="C1575" s="231"/>
    </row>
    <row r="1576">
      <c r="A1576" s="245"/>
      <c r="B1576" s="231"/>
      <c r="C1576" s="231"/>
    </row>
    <row r="1577">
      <c r="A1577" s="245"/>
      <c r="B1577" s="231"/>
      <c r="C1577" s="231"/>
    </row>
    <row r="1578">
      <c r="A1578" s="245"/>
      <c r="B1578" s="231"/>
      <c r="C1578" s="231"/>
    </row>
    <row r="1579">
      <c r="A1579" s="245"/>
      <c r="B1579" s="231"/>
      <c r="C1579" s="231"/>
    </row>
    <row r="1580">
      <c r="A1580" s="245"/>
      <c r="B1580" s="231"/>
      <c r="C1580" s="231"/>
    </row>
    <row r="1581">
      <c r="A1581" s="245"/>
      <c r="B1581" s="231"/>
      <c r="C1581" s="231"/>
    </row>
    <row r="1582">
      <c r="A1582" s="245"/>
      <c r="B1582" s="231"/>
      <c r="C1582" s="231"/>
    </row>
    <row r="1583">
      <c r="A1583" s="245"/>
      <c r="B1583" s="231"/>
      <c r="C1583" s="231"/>
    </row>
    <row r="1584">
      <c r="A1584" s="245"/>
      <c r="B1584" s="231"/>
      <c r="C1584" s="231"/>
    </row>
    <row r="1585">
      <c r="A1585" s="245"/>
      <c r="B1585" s="231"/>
      <c r="C1585" s="231"/>
    </row>
    <row r="1586">
      <c r="A1586" s="245"/>
      <c r="B1586" s="231"/>
      <c r="C1586" s="231"/>
    </row>
    <row r="1587">
      <c r="A1587" s="245"/>
      <c r="B1587" s="231"/>
      <c r="C1587" s="231"/>
    </row>
    <row r="1588">
      <c r="A1588" s="245"/>
      <c r="B1588" s="231"/>
      <c r="C1588" s="231"/>
    </row>
    <row r="1589">
      <c r="A1589" s="245"/>
      <c r="B1589" s="231"/>
      <c r="C1589" s="231"/>
    </row>
    <row r="1590">
      <c r="A1590" s="245"/>
      <c r="B1590" s="231"/>
      <c r="C1590" s="231"/>
    </row>
    <row r="1591">
      <c r="A1591" s="245"/>
      <c r="B1591" s="231"/>
      <c r="C1591" s="231"/>
    </row>
    <row r="1592">
      <c r="A1592" s="245"/>
      <c r="B1592" s="231"/>
      <c r="C1592" s="231"/>
    </row>
    <row r="1593">
      <c r="A1593" s="245"/>
      <c r="B1593" s="231"/>
      <c r="C1593" s="231"/>
    </row>
    <row r="1594">
      <c r="A1594" s="245"/>
      <c r="B1594" s="231"/>
      <c r="C1594" s="231"/>
    </row>
    <row r="1595">
      <c r="A1595" s="245"/>
      <c r="B1595" s="231"/>
      <c r="C1595" s="231"/>
    </row>
    <row r="1596">
      <c r="A1596" s="245"/>
      <c r="B1596" s="231"/>
      <c r="C1596" s="231"/>
    </row>
    <row r="1597">
      <c r="A1597" s="245"/>
      <c r="B1597" s="231"/>
      <c r="C1597" s="231"/>
    </row>
    <row r="1598">
      <c r="A1598" s="245"/>
      <c r="B1598" s="231"/>
      <c r="C1598" s="231"/>
    </row>
    <row r="1599">
      <c r="A1599" s="245"/>
      <c r="B1599" s="231"/>
      <c r="C1599" s="231"/>
    </row>
    <row r="1600">
      <c r="A1600" s="245"/>
      <c r="B1600" s="231"/>
      <c r="C1600" s="231"/>
    </row>
    <row r="1601">
      <c r="A1601" s="245"/>
      <c r="B1601" s="231"/>
      <c r="C1601" s="231"/>
    </row>
    <row r="1602">
      <c r="A1602" s="245"/>
      <c r="B1602" s="231"/>
      <c r="C1602" s="231"/>
    </row>
    <row r="1603">
      <c r="A1603" s="245"/>
      <c r="B1603" s="231"/>
      <c r="C1603" s="231"/>
    </row>
    <row r="1604">
      <c r="A1604" s="245"/>
      <c r="B1604" s="231"/>
      <c r="C1604" s="231"/>
    </row>
    <row r="1605">
      <c r="A1605" s="245"/>
      <c r="B1605" s="231"/>
      <c r="C1605" s="231"/>
    </row>
    <row r="1606">
      <c r="A1606" s="245"/>
      <c r="B1606" s="231"/>
      <c r="C1606" s="231"/>
    </row>
    <row r="1607">
      <c r="A1607" s="245"/>
      <c r="B1607" s="231"/>
      <c r="C1607" s="231"/>
    </row>
    <row r="1608">
      <c r="A1608" s="245"/>
      <c r="B1608" s="231"/>
      <c r="C1608" s="231"/>
    </row>
    <row r="1609">
      <c r="A1609" s="245"/>
      <c r="B1609" s="231"/>
      <c r="C1609" s="231"/>
    </row>
    <row r="1610">
      <c r="A1610" s="245"/>
      <c r="B1610" s="231"/>
      <c r="C1610" s="231"/>
    </row>
    <row r="1611">
      <c r="A1611" s="245"/>
      <c r="B1611" s="231"/>
      <c r="C1611" s="231"/>
    </row>
    <row r="1612">
      <c r="A1612" s="245"/>
      <c r="B1612" s="231"/>
      <c r="C1612" s="231"/>
    </row>
    <row r="1613">
      <c r="A1613" s="245"/>
      <c r="B1613" s="231"/>
      <c r="C1613" s="231"/>
    </row>
    <row r="1614">
      <c r="A1614" s="245"/>
      <c r="B1614" s="231"/>
      <c r="C1614" s="231"/>
    </row>
    <row r="1615">
      <c r="A1615" s="245"/>
      <c r="B1615" s="231"/>
      <c r="C1615" s="231"/>
    </row>
    <row r="1616">
      <c r="A1616" s="245"/>
      <c r="B1616" s="231"/>
      <c r="C1616" s="231"/>
    </row>
    <row r="1617">
      <c r="A1617" s="245"/>
      <c r="B1617" s="231"/>
      <c r="C1617" s="231"/>
    </row>
    <row r="1618">
      <c r="A1618" s="245"/>
      <c r="B1618" s="231"/>
      <c r="C1618" s="231"/>
    </row>
    <row r="1619">
      <c r="A1619" s="245"/>
      <c r="B1619" s="231"/>
      <c r="C1619" s="231"/>
    </row>
    <row r="1620">
      <c r="A1620" s="245"/>
      <c r="B1620" s="231"/>
      <c r="C1620" s="231"/>
    </row>
    <row r="1621">
      <c r="A1621" s="245"/>
      <c r="B1621" s="231"/>
      <c r="C1621" s="231"/>
    </row>
    <row r="1622">
      <c r="A1622" s="245"/>
      <c r="B1622" s="231"/>
      <c r="C1622" s="231"/>
    </row>
    <row r="1623">
      <c r="A1623" s="245"/>
      <c r="B1623" s="231"/>
      <c r="C1623" s="231"/>
    </row>
    <row r="1624">
      <c r="A1624" s="245"/>
      <c r="B1624" s="231"/>
      <c r="C1624" s="231"/>
    </row>
    <row r="1625">
      <c r="A1625" s="245"/>
      <c r="B1625" s="231"/>
      <c r="C1625" s="231"/>
    </row>
    <row r="1626">
      <c r="A1626" s="245"/>
      <c r="B1626" s="231"/>
      <c r="C1626" s="231"/>
    </row>
    <row r="1627">
      <c r="A1627" s="245"/>
      <c r="B1627" s="231"/>
      <c r="C1627" s="231"/>
    </row>
    <row r="1628">
      <c r="A1628" s="245"/>
      <c r="B1628" s="231"/>
      <c r="C1628" s="231"/>
    </row>
    <row r="1629">
      <c r="A1629" s="245"/>
      <c r="B1629" s="231"/>
      <c r="C1629" s="231"/>
    </row>
    <row r="1630">
      <c r="A1630" s="245"/>
      <c r="B1630" s="231"/>
      <c r="C1630" s="231"/>
    </row>
    <row r="1631">
      <c r="A1631" s="245"/>
      <c r="B1631" s="231"/>
      <c r="C1631" s="231"/>
    </row>
    <row r="1632">
      <c r="A1632" s="245"/>
      <c r="B1632" s="231"/>
      <c r="C1632" s="231"/>
    </row>
    <row r="1633">
      <c r="A1633" s="245"/>
      <c r="B1633" s="231"/>
      <c r="C1633" s="231"/>
    </row>
    <row r="1634">
      <c r="A1634" s="245"/>
      <c r="B1634" s="231"/>
      <c r="C1634" s="231"/>
    </row>
    <row r="1635">
      <c r="A1635" s="245"/>
      <c r="B1635" s="231"/>
      <c r="C1635" s="231"/>
    </row>
    <row r="1636">
      <c r="A1636" s="245"/>
      <c r="B1636" s="231"/>
      <c r="C1636" s="231"/>
    </row>
    <row r="1637">
      <c r="A1637" s="245"/>
      <c r="B1637" s="231"/>
      <c r="C1637" s="231"/>
    </row>
    <row r="1638">
      <c r="A1638" s="245"/>
      <c r="B1638" s="231"/>
      <c r="C1638" s="231"/>
    </row>
    <row r="1639">
      <c r="A1639" s="245"/>
      <c r="B1639" s="231"/>
      <c r="C1639" s="231"/>
    </row>
    <row r="1640">
      <c r="A1640" s="245"/>
      <c r="B1640" s="231"/>
      <c r="C1640" s="231"/>
    </row>
    <row r="1641">
      <c r="A1641" s="245"/>
      <c r="B1641" s="231"/>
      <c r="C1641" s="231"/>
    </row>
    <row r="1642">
      <c r="A1642" s="245"/>
      <c r="B1642" s="231"/>
      <c r="C1642" s="231"/>
    </row>
    <row r="1643">
      <c r="A1643" s="245"/>
      <c r="B1643" s="231"/>
      <c r="C1643" s="231"/>
    </row>
    <row r="1644">
      <c r="A1644" s="245"/>
      <c r="B1644" s="231"/>
      <c r="C1644" s="231"/>
    </row>
    <row r="1645">
      <c r="A1645" s="245"/>
      <c r="B1645" s="231"/>
      <c r="C1645" s="231"/>
    </row>
    <row r="1646">
      <c r="A1646" s="245"/>
      <c r="B1646" s="231"/>
      <c r="C1646" s="231"/>
    </row>
    <row r="1647">
      <c r="A1647" s="245"/>
      <c r="B1647" s="231"/>
      <c r="C1647" s="231"/>
    </row>
    <row r="1648">
      <c r="A1648" s="245"/>
      <c r="B1648" s="231"/>
      <c r="C1648" s="231"/>
    </row>
    <row r="1649">
      <c r="A1649" s="245"/>
      <c r="B1649" s="231"/>
      <c r="C1649" s="231"/>
    </row>
    <row r="1650">
      <c r="A1650" s="245"/>
      <c r="B1650" s="231"/>
      <c r="C1650" s="231"/>
    </row>
    <row r="1651">
      <c r="A1651" s="245"/>
      <c r="B1651" s="231"/>
      <c r="C1651" s="231"/>
    </row>
    <row r="1652">
      <c r="A1652" s="245"/>
      <c r="B1652" s="231"/>
      <c r="C1652" s="231"/>
    </row>
    <row r="1653">
      <c r="A1653" s="245"/>
      <c r="B1653" s="231"/>
      <c r="C1653" s="231"/>
    </row>
    <row r="1654">
      <c r="A1654" s="245"/>
      <c r="B1654" s="231"/>
      <c r="C1654" s="231"/>
    </row>
    <row r="1655">
      <c r="A1655" s="245"/>
      <c r="B1655" s="231"/>
      <c r="C1655" s="231"/>
    </row>
    <row r="1656">
      <c r="A1656" s="245"/>
      <c r="B1656" s="231"/>
      <c r="C1656" s="231"/>
    </row>
    <row r="1657">
      <c r="A1657" s="245"/>
      <c r="B1657" s="231"/>
      <c r="C1657" s="231"/>
    </row>
    <row r="1658">
      <c r="A1658" s="245"/>
      <c r="B1658" s="231"/>
      <c r="C1658" s="231"/>
    </row>
    <row r="1659">
      <c r="A1659" s="245"/>
      <c r="B1659" s="231"/>
      <c r="C1659" s="231"/>
    </row>
    <row r="1660">
      <c r="A1660" s="245"/>
      <c r="B1660" s="231"/>
      <c r="C1660" s="231"/>
    </row>
    <row r="1661">
      <c r="A1661" s="245"/>
      <c r="B1661" s="231"/>
      <c r="C1661" s="231"/>
    </row>
    <row r="1662">
      <c r="A1662" s="245"/>
      <c r="B1662" s="231"/>
      <c r="C1662" s="231"/>
    </row>
    <row r="1663">
      <c r="A1663" s="245"/>
      <c r="B1663" s="231"/>
      <c r="C1663" s="231"/>
    </row>
    <row r="1664">
      <c r="A1664" s="245"/>
      <c r="B1664" s="231"/>
      <c r="C1664" s="231"/>
    </row>
    <row r="1665">
      <c r="A1665" s="245"/>
      <c r="B1665" s="231"/>
      <c r="C1665" s="231"/>
    </row>
    <row r="1666">
      <c r="A1666" s="245"/>
      <c r="B1666" s="231"/>
      <c r="C1666" s="231"/>
    </row>
    <row r="1667">
      <c r="A1667" s="245"/>
      <c r="B1667" s="231"/>
      <c r="C1667" s="231"/>
    </row>
    <row r="1668">
      <c r="A1668" s="245"/>
      <c r="B1668" s="231"/>
      <c r="C1668" s="231"/>
    </row>
    <row r="1669">
      <c r="A1669" s="245"/>
      <c r="B1669" s="231"/>
      <c r="C1669" s="231"/>
    </row>
    <row r="1670">
      <c r="A1670" s="245"/>
      <c r="B1670" s="231"/>
      <c r="C1670" s="231"/>
    </row>
    <row r="1671">
      <c r="A1671" s="245"/>
      <c r="B1671" s="231"/>
      <c r="C1671" s="231"/>
    </row>
    <row r="1672">
      <c r="A1672" s="245"/>
      <c r="B1672" s="231"/>
      <c r="C1672" s="231"/>
    </row>
    <row r="1673">
      <c r="A1673" s="245"/>
      <c r="B1673" s="231"/>
      <c r="C1673" s="231"/>
    </row>
    <row r="1674">
      <c r="A1674" s="245"/>
      <c r="B1674" s="231"/>
      <c r="C1674" s="231"/>
    </row>
    <row r="1675">
      <c r="A1675" s="245"/>
      <c r="B1675" s="231"/>
      <c r="C1675" s="231"/>
    </row>
    <row r="1676">
      <c r="A1676" s="245"/>
      <c r="B1676" s="231"/>
      <c r="C1676" s="231"/>
    </row>
    <row r="1677">
      <c r="A1677" s="245"/>
      <c r="B1677" s="231"/>
      <c r="C1677" s="231"/>
    </row>
    <row r="1678">
      <c r="A1678" s="245"/>
      <c r="B1678" s="231"/>
      <c r="C1678" s="231"/>
    </row>
    <row r="1679">
      <c r="A1679" s="245"/>
      <c r="B1679" s="231"/>
      <c r="C1679" s="231"/>
    </row>
    <row r="1680">
      <c r="A1680" s="245"/>
      <c r="B1680" s="231"/>
      <c r="C1680" s="231"/>
    </row>
    <row r="1681">
      <c r="A1681" s="245"/>
      <c r="B1681" s="231"/>
      <c r="C1681" s="231"/>
    </row>
    <row r="1682">
      <c r="A1682" s="245"/>
      <c r="B1682" s="231"/>
      <c r="C1682" s="231"/>
    </row>
    <row r="1683">
      <c r="A1683" s="245"/>
      <c r="B1683" s="231"/>
      <c r="C1683" s="231"/>
    </row>
    <row r="1684">
      <c r="A1684" s="245"/>
      <c r="B1684" s="231"/>
      <c r="C1684" s="231"/>
    </row>
    <row r="1685">
      <c r="A1685" s="245"/>
      <c r="B1685" s="231"/>
      <c r="C1685" s="231"/>
    </row>
    <row r="1686">
      <c r="A1686" s="245"/>
      <c r="B1686" s="231"/>
      <c r="C1686" s="231"/>
    </row>
    <row r="1687">
      <c r="A1687" s="245"/>
      <c r="B1687" s="231"/>
      <c r="C1687" s="231"/>
    </row>
    <row r="1688">
      <c r="A1688" s="245"/>
      <c r="B1688" s="231"/>
      <c r="C1688" s="231"/>
    </row>
    <row r="1689">
      <c r="A1689" s="245"/>
      <c r="B1689" s="231"/>
      <c r="C1689" s="231"/>
    </row>
    <row r="1690">
      <c r="A1690" s="245"/>
      <c r="B1690" s="231"/>
      <c r="C1690" s="231"/>
    </row>
    <row r="1691">
      <c r="A1691" s="245"/>
      <c r="B1691" s="231"/>
      <c r="C1691" s="231"/>
    </row>
    <row r="1692">
      <c r="A1692" s="245"/>
      <c r="B1692" s="231"/>
      <c r="C1692" s="231"/>
    </row>
    <row r="1693">
      <c r="A1693" s="245"/>
      <c r="B1693" s="231"/>
      <c r="C1693" s="231"/>
    </row>
    <row r="1694">
      <c r="A1694" s="245"/>
      <c r="B1694" s="231"/>
      <c r="C1694" s="231"/>
    </row>
    <row r="1695">
      <c r="A1695" s="245"/>
      <c r="B1695" s="231"/>
      <c r="C1695" s="231"/>
    </row>
    <row r="1696">
      <c r="A1696" s="245"/>
      <c r="B1696" s="231"/>
      <c r="C1696" s="231"/>
    </row>
    <row r="1697">
      <c r="A1697" s="245"/>
      <c r="B1697" s="231"/>
      <c r="C1697" s="231"/>
    </row>
    <row r="1698">
      <c r="A1698" s="245"/>
      <c r="B1698" s="231"/>
      <c r="C1698" s="231"/>
    </row>
    <row r="1699">
      <c r="A1699" s="245"/>
      <c r="B1699" s="231"/>
      <c r="C1699" s="231"/>
    </row>
    <row r="1700">
      <c r="A1700" s="245"/>
      <c r="B1700" s="231"/>
      <c r="C1700" s="231"/>
    </row>
    <row r="1701">
      <c r="A1701" s="245"/>
      <c r="B1701" s="231"/>
      <c r="C1701" s="231"/>
    </row>
    <row r="1702">
      <c r="A1702" s="245"/>
      <c r="B1702" s="231"/>
      <c r="C1702" s="231"/>
    </row>
    <row r="1703">
      <c r="A1703" s="245"/>
      <c r="B1703" s="231"/>
      <c r="C1703" s="231"/>
    </row>
    <row r="1704">
      <c r="A1704" s="245"/>
      <c r="B1704" s="231"/>
      <c r="C1704" s="231"/>
    </row>
    <row r="1705">
      <c r="A1705" s="245"/>
      <c r="B1705" s="231"/>
      <c r="C1705" s="231"/>
    </row>
    <row r="1706">
      <c r="A1706" s="245"/>
      <c r="B1706" s="231"/>
      <c r="C1706" s="231"/>
    </row>
    <row r="1707">
      <c r="A1707" s="245"/>
      <c r="B1707" s="231"/>
      <c r="C1707" s="231"/>
    </row>
    <row r="1708">
      <c r="A1708" s="245"/>
      <c r="B1708" s="231"/>
      <c r="C1708" s="231"/>
    </row>
    <row r="1709">
      <c r="A1709" s="245"/>
      <c r="B1709" s="231"/>
      <c r="C1709" s="231"/>
    </row>
    <row r="1710">
      <c r="A1710" s="245"/>
      <c r="B1710" s="231"/>
      <c r="C1710" s="231"/>
    </row>
    <row r="1711">
      <c r="A1711" s="245"/>
      <c r="B1711" s="231"/>
      <c r="C1711" s="231"/>
    </row>
    <row r="1712">
      <c r="A1712" s="245"/>
      <c r="B1712" s="231"/>
      <c r="C1712" s="231"/>
    </row>
    <row r="1713">
      <c r="A1713" s="245"/>
      <c r="B1713" s="231"/>
      <c r="C1713" s="231"/>
    </row>
    <row r="1714">
      <c r="A1714" s="245"/>
      <c r="B1714" s="231"/>
      <c r="C1714" s="231"/>
    </row>
    <row r="1715">
      <c r="A1715" s="245"/>
      <c r="B1715" s="231"/>
      <c r="C1715" s="231"/>
    </row>
    <row r="1716">
      <c r="A1716" s="245"/>
      <c r="B1716" s="231"/>
      <c r="C1716" s="231"/>
    </row>
    <row r="1717">
      <c r="A1717" s="245"/>
      <c r="B1717" s="231"/>
      <c r="C1717" s="231"/>
    </row>
    <row r="1718">
      <c r="A1718" s="245"/>
      <c r="B1718" s="231"/>
      <c r="C1718" s="231"/>
    </row>
    <row r="1719">
      <c r="A1719" s="245"/>
      <c r="B1719" s="231"/>
      <c r="C1719" s="231"/>
    </row>
    <row r="1720">
      <c r="A1720" s="245"/>
      <c r="B1720" s="231"/>
      <c r="C1720" s="231"/>
    </row>
    <row r="1721">
      <c r="A1721" s="245"/>
      <c r="B1721" s="231"/>
      <c r="C1721" s="231"/>
    </row>
    <row r="1722">
      <c r="A1722" s="245"/>
      <c r="B1722" s="231"/>
      <c r="C1722" s="231"/>
    </row>
    <row r="1723">
      <c r="A1723" s="245"/>
      <c r="B1723" s="231"/>
      <c r="C1723" s="231"/>
    </row>
    <row r="1724">
      <c r="A1724" s="245"/>
      <c r="B1724" s="231"/>
      <c r="C1724" s="231"/>
    </row>
    <row r="1725">
      <c r="A1725" s="245"/>
      <c r="B1725" s="231"/>
      <c r="C1725" s="231"/>
    </row>
    <row r="1726">
      <c r="A1726" s="245"/>
      <c r="B1726" s="231"/>
      <c r="C1726" s="231"/>
    </row>
    <row r="1727">
      <c r="A1727" s="245"/>
      <c r="B1727" s="231"/>
      <c r="C1727" s="231"/>
    </row>
    <row r="1728">
      <c r="A1728" s="245"/>
      <c r="B1728" s="231"/>
      <c r="C1728" s="231"/>
    </row>
    <row r="1729">
      <c r="A1729" s="245"/>
      <c r="B1729" s="231"/>
      <c r="C1729" s="231"/>
    </row>
    <row r="1730">
      <c r="A1730" s="245"/>
      <c r="B1730" s="231"/>
      <c r="C1730" s="231"/>
    </row>
    <row r="1731">
      <c r="A1731" s="245"/>
      <c r="B1731" s="231"/>
      <c r="C1731" s="231"/>
    </row>
    <row r="1732">
      <c r="A1732" s="245"/>
      <c r="B1732" s="231"/>
      <c r="C1732" s="231"/>
    </row>
    <row r="1733">
      <c r="A1733" s="245"/>
      <c r="B1733" s="231"/>
      <c r="C1733" s="231"/>
    </row>
    <row r="1734">
      <c r="A1734" s="245"/>
      <c r="B1734" s="231"/>
      <c r="C1734" s="231"/>
    </row>
    <row r="1735">
      <c r="A1735" s="245"/>
      <c r="B1735" s="231"/>
      <c r="C1735" s="231"/>
    </row>
    <row r="1736">
      <c r="A1736" s="245"/>
      <c r="B1736" s="231"/>
      <c r="C1736" s="231"/>
    </row>
    <row r="1737">
      <c r="A1737" s="245"/>
      <c r="B1737" s="231"/>
      <c r="C1737" s="231"/>
    </row>
    <row r="1738">
      <c r="A1738" s="245"/>
      <c r="B1738" s="231"/>
      <c r="C1738" s="231"/>
    </row>
    <row r="1739">
      <c r="A1739" s="245"/>
      <c r="B1739" s="231"/>
      <c r="C1739" s="231"/>
    </row>
    <row r="1740">
      <c r="A1740" s="245"/>
      <c r="B1740" s="231"/>
      <c r="C1740" s="231"/>
    </row>
    <row r="1741">
      <c r="A1741" s="245"/>
      <c r="B1741" s="231"/>
      <c r="C1741" s="231"/>
    </row>
    <row r="1742">
      <c r="A1742" s="245"/>
      <c r="B1742" s="231"/>
      <c r="C1742" s="231"/>
    </row>
    <row r="1743">
      <c r="A1743" s="245"/>
      <c r="B1743" s="231"/>
      <c r="C1743" s="231"/>
    </row>
    <row r="1744">
      <c r="A1744" s="245"/>
      <c r="B1744" s="231"/>
      <c r="C1744" s="231"/>
    </row>
    <row r="1745">
      <c r="A1745" s="245"/>
      <c r="B1745" s="231"/>
      <c r="C1745" s="231"/>
    </row>
    <row r="1746">
      <c r="A1746" s="245"/>
      <c r="B1746" s="231"/>
      <c r="C1746" s="231"/>
    </row>
    <row r="1747">
      <c r="A1747" s="245"/>
      <c r="B1747" s="231"/>
      <c r="C1747" s="231"/>
    </row>
    <row r="1748">
      <c r="A1748" s="245"/>
      <c r="B1748" s="231"/>
      <c r="C1748" s="231"/>
    </row>
    <row r="1749">
      <c r="A1749" s="245"/>
      <c r="B1749" s="231"/>
      <c r="C1749" s="231"/>
    </row>
    <row r="1750">
      <c r="A1750" s="245"/>
      <c r="B1750" s="231"/>
      <c r="C1750" s="231"/>
    </row>
    <row r="1751">
      <c r="A1751" s="245"/>
      <c r="B1751" s="231"/>
      <c r="C1751" s="231"/>
    </row>
    <row r="1752">
      <c r="A1752" s="245"/>
      <c r="B1752" s="231"/>
      <c r="C1752" s="231"/>
    </row>
    <row r="1753">
      <c r="A1753" s="245"/>
      <c r="B1753" s="231"/>
      <c r="C1753" s="231"/>
    </row>
    <row r="1754">
      <c r="A1754" s="245"/>
      <c r="B1754" s="231"/>
      <c r="C1754" s="231"/>
    </row>
    <row r="1755">
      <c r="A1755" s="245"/>
      <c r="B1755" s="231"/>
      <c r="C1755" s="231"/>
    </row>
    <row r="1756">
      <c r="A1756" s="245"/>
      <c r="B1756" s="231"/>
      <c r="C1756" s="231"/>
    </row>
    <row r="1757">
      <c r="A1757" s="245"/>
      <c r="B1757" s="231"/>
      <c r="C1757" s="231"/>
    </row>
    <row r="1758">
      <c r="A1758" s="245"/>
      <c r="B1758" s="231"/>
      <c r="C1758" s="231"/>
    </row>
    <row r="1759">
      <c r="A1759" s="245"/>
      <c r="B1759" s="231"/>
      <c r="C1759" s="231"/>
    </row>
    <row r="1760">
      <c r="A1760" s="245"/>
      <c r="B1760" s="231"/>
      <c r="C1760" s="231"/>
    </row>
    <row r="1761">
      <c r="A1761" s="245"/>
      <c r="B1761" s="231"/>
      <c r="C1761" s="231"/>
    </row>
    <row r="1762">
      <c r="A1762" s="245"/>
      <c r="B1762" s="231"/>
      <c r="C1762" s="231"/>
    </row>
    <row r="1763">
      <c r="A1763" s="245"/>
      <c r="B1763" s="231"/>
      <c r="C1763" s="231"/>
    </row>
    <row r="1764">
      <c r="A1764" s="245"/>
      <c r="B1764" s="231"/>
      <c r="C1764" s="231"/>
    </row>
    <row r="1765">
      <c r="A1765" s="245"/>
      <c r="B1765" s="231"/>
      <c r="C1765" s="231"/>
    </row>
    <row r="1766">
      <c r="A1766" s="245"/>
      <c r="B1766" s="231"/>
      <c r="C1766" s="231"/>
    </row>
    <row r="1767">
      <c r="A1767" s="245"/>
      <c r="B1767" s="231"/>
      <c r="C1767" s="231"/>
    </row>
    <row r="1768">
      <c r="A1768" s="245"/>
      <c r="B1768" s="231"/>
      <c r="C1768" s="231"/>
    </row>
    <row r="1769">
      <c r="A1769" s="245"/>
      <c r="B1769" s="231"/>
      <c r="C1769" s="231"/>
    </row>
    <row r="1770">
      <c r="A1770" s="245"/>
      <c r="B1770" s="231"/>
      <c r="C1770" s="231"/>
    </row>
    <row r="1771">
      <c r="A1771" s="245"/>
      <c r="B1771" s="231"/>
      <c r="C1771" s="231"/>
    </row>
    <row r="1772">
      <c r="A1772" s="245"/>
      <c r="B1772" s="231"/>
      <c r="C1772" s="231"/>
    </row>
    <row r="1773">
      <c r="A1773" s="245"/>
      <c r="B1773" s="231"/>
      <c r="C1773" s="231"/>
    </row>
    <row r="1774">
      <c r="A1774" s="245"/>
      <c r="B1774" s="231"/>
      <c r="C1774" s="231"/>
    </row>
    <row r="1775">
      <c r="A1775" s="245"/>
      <c r="B1775" s="231"/>
      <c r="C1775" s="231"/>
    </row>
    <row r="1776">
      <c r="A1776" s="245"/>
      <c r="B1776" s="231"/>
      <c r="C1776" s="231"/>
    </row>
    <row r="1777">
      <c r="A1777" s="245"/>
      <c r="B1777" s="231"/>
      <c r="C1777" s="231"/>
    </row>
    <row r="1778">
      <c r="A1778" s="245"/>
      <c r="B1778" s="231"/>
      <c r="C1778" s="231"/>
    </row>
    <row r="1779">
      <c r="A1779" s="245"/>
      <c r="B1779" s="231"/>
      <c r="C1779" s="231"/>
    </row>
    <row r="1780">
      <c r="A1780" s="245"/>
      <c r="B1780" s="231"/>
      <c r="C1780" s="231"/>
    </row>
    <row r="1781">
      <c r="A1781" s="245"/>
      <c r="B1781" s="231"/>
      <c r="C1781" s="231"/>
    </row>
    <row r="1782">
      <c r="A1782" s="245"/>
      <c r="B1782" s="231"/>
      <c r="C1782" s="231"/>
    </row>
    <row r="1783">
      <c r="A1783" s="245"/>
      <c r="B1783" s="231"/>
      <c r="C1783" s="231"/>
    </row>
    <row r="1784">
      <c r="A1784" s="245"/>
      <c r="B1784" s="231"/>
      <c r="C1784" s="231"/>
    </row>
    <row r="1785">
      <c r="A1785" s="245"/>
      <c r="B1785" s="231"/>
      <c r="C1785" s="231"/>
    </row>
    <row r="1786">
      <c r="A1786" s="245"/>
      <c r="B1786" s="231"/>
      <c r="C1786" s="231"/>
    </row>
    <row r="1787">
      <c r="A1787" s="245"/>
      <c r="B1787" s="231"/>
      <c r="C1787" s="231"/>
    </row>
    <row r="1788">
      <c r="A1788" s="245"/>
      <c r="B1788" s="231"/>
      <c r="C1788" s="231"/>
    </row>
    <row r="1789">
      <c r="A1789" s="245"/>
      <c r="B1789" s="231"/>
      <c r="C1789" s="231"/>
    </row>
    <row r="1790">
      <c r="A1790" s="245"/>
      <c r="B1790" s="231"/>
      <c r="C1790" s="231"/>
    </row>
    <row r="1791">
      <c r="A1791" s="245"/>
      <c r="B1791" s="231"/>
      <c r="C1791" s="231"/>
    </row>
    <row r="1792">
      <c r="A1792" s="245"/>
      <c r="B1792" s="231"/>
      <c r="C1792" s="231"/>
    </row>
    <row r="1793">
      <c r="A1793" s="245"/>
      <c r="B1793" s="231"/>
      <c r="C1793" s="231"/>
    </row>
    <row r="1794">
      <c r="A1794" s="245"/>
      <c r="B1794" s="231"/>
      <c r="C1794" s="231"/>
    </row>
    <row r="1795">
      <c r="A1795" s="245"/>
      <c r="B1795" s="231"/>
      <c r="C1795" s="231"/>
    </row>
    <row r="1796">
      <c r="A1796" s="245"/>
      <c r="B1796" s="231"/>
      <c r="C1796" s="231"/>
    </row>
    <row r="1797">
      <c r="A1797" s="245"/>
      <c r="B1797" s="231"/>
      <c r="C1797" s="231"/>
    </row>
    <row r="1798">
      <c r="A1798" s="245"/>
      <c r="B1798" s="231"/>
      <c r="C1798" s="231"/>
    </row>
    <row r="1799">
      <c r="A1799" s="245"/>
      <c r="B1799" s="231"/>
      <c r="C1799" s="231"/>
    </row>
    <row r="1800">
      <c r="A1800" s="245"/>
      <c r="B1800" s="231"/>
      <c r="C1800" s="231"/>
    </row>
    <row r="1801">
      <c r="A1801" s="245"/>
      <c r="B1801" s="231"/>
      <c r="C1801" s="231"/>
    </row>
    <row r="1802">
      <c r="A1802" s="245"/>
      <c r="B1802" s="231"/>
      <c r="C1802" s="231"/>
    </row>
    <row r="1803">
      <c r="A1803" s="245"/>
      <c r="B1803" s="231"/>
      <c r="C1803" s="231"/>
    </row>
    <row r="1804">
      <c r="A1804" s="245"/>
      <c r="B1804" s="231"/>
      <c r="C1804" s="231"/>
    </row>
    <row r="1805">
      <c r="A1805" s="245"/>
      <c r="B1805" s="231"/>
      <c r="C1805" s="231"/>
    </row>
    <row r="1806">
      <c r="A1806" s="245"/>
      <c r="B1806" s="231"/>
      <c r="C1806" s="231"/>
    </row>
    <row r="1807">
      <c r="A1807" s="245"/>
      <c r="B1807" s="231"/>
      <c r="C1807" s="231"/>
    </row>
    <row r="1808">
      <c r="A1808" s="245"/>
      <c r="B1808" s="231"/>
      <c r="C1808" s="231"/>
    </row>
    <row r="1809">
      <c r="A1809" s="245"/>
      <c r="B1809" s="231"/>
      <c r="C1809" s="231"/>
    </row>
    <row r="1810">
      <c r="A1810" s="245"/>
      <c r="B1810" s="231"/>
      <c r="C1810" s="231"/>
    </row>
    <row r="1811">
      <c r="A1811" s="245"/>
      <c r="B1811" s="231"/>
      <c r="C1811" s="231"/>
    </row>
    <row r="1812">
      <c r="A1812" s="245"/>
      <c r="B1812" s="231"/>
      <c r="C1812" s="231"/>
    </row>
    <row r="1813">
      <c r="A1813" s="245"/>
      <c r="B1813" s="231"/>
      <c r="C1813" s="231"/>
    </row>
    <row r="1814">
      <c r="A1814" s="245"/>
      <c r="B1814" s="231"/>
      <c r="C1814" s="231"/>
    </row>
    <row r="1815">
      <c r="A1815" s="245"/>
      <c r="B1815" s="231"/>
      <c r="C1815" s="231"/>
    </row>
    <row r="1816">
      <c r="A1816" s="245"/>
      <c r="B1816" s="231"/>
      <c r="C1816" s="231"/>
    </row>
    <row r="1817">
      <c r="A1817" s="245"/>
      <c r="B1817" s="231"/>
      <c r="C1817" s="231"/>
    </row>
    <row r="1818">
      <c r="A1818" s="245"/>
      <c r="B1818" s="231"/>
      <c r="C1818" s="231"/>
    </row>
    <row r="1819">
      <c r="A1819" s="245"/>
      <c r="B1819" s="231"/>
      <c r="C1819" s="231"/>
    </row>
    <row r="1820">
      <c r="A1820" s="245"/>
      <c r="B1820" s="231"/>
      <c r="C1820" s="231"/>
    </row>
    <row r="1821">
      <c r="A1821" s="245"/>
      <c r="B1821" s="231"/>
      <c r="C1821" s="231"/>
    </row>
    <row r="1822">
      <c r="A1822" s="245"/>
      <c r="B1822" s="231"/>
      <c r="C1822" s="231"/>
    </row>
    <row r="1823">
      <c r="A1823" s="245"/>
      <c r="B1823" s="231"/>
      <c r="C1823" s="231"/>
    </row>
    <row r="1824">
      <c r="A1824" s="245"/>
      <c r="B1824" s="231"/>
      <c r="C1824" s="231"/>
    </row>
    <row r="1825">
      <c r="A1825" s="245"/>
      <c r="B1825" s="231"/>
      <c r="C1825" s="231"/>
    </row>
    <row r="1826">
      <c r="A1826" s="245"/>
      <c r="B1826" s="231"/>
      <c r="C1826" s="231"/>
    </row>
    <row r="1827">
      <c r="A1827" s="245"/>
      <c r="B1827" s="231"/>
      <c r="C1827" s="231"/>
    </row>
    <row r="1828">
      <c r="A1828" s="245"/>
      <c r="B1828" s="231"/>
      <c r="C1828" s="231"/>
    </row>
    <row r="1829">
      <c r="A1829" s="245"/>
      <c r="B1829" s="231"/>
      <c r="C1829" s="231"/>
    </row>
    <row r="1830">
      <c r="A1830" s="245"/>
      <c r="B1830" s="231"/>
      <c r="C1830" s="231"/>
    </row>
    <row r="1831">
      <c r="A1831" s="245"/>
      <c r="B1831" s="231"/>
      <c r="C1831" s="231"/>
    </row>
    <row r="1832">
      <c r="A1832" s="245"/>
      <c r="B1832" s="231"/>
      <c r="C1832" s="231"/>
    </row>
    <row r="1833">
      <c r="A1833" s="245"/>
      <c r="B1833" s="231"/>
      <c r="C1833" s="231"/>
    </row>
    <row r="1834">
      <c r="A1834" s="245"/>
      <c r="B1834" s="231"/>
      <c r="C1834" s="231"/>
    </row>
    <row r="1835">
      <c r="A1835" s="245"/>
      <c r="B1835" s="231"/>
      <c r="C1835" s="231"/>
    </row>
    <row r="1836">
      <c r="A1836" s="245"/>
      <c r="B1836" s="231"/>
      <c r="C1836" s="231"/>
    </row>
    <row r="1837">
      <c r="A1837" s="245"/>
      <c r="B1837" s="231"/>
      <c r="C1837" s="231"/>
    </row>
    <row r="1838">
      <c r="A1838" s="245"/>
      <c r="B1838" s="231"/>
      <c r="C1838" s="231"/>
    </row>
    <row r="1839">
      <c r="A1839" s="245"/>
      <c r="B1839" s="231"/>
      <c r="C1839" s="231"/>
    </row>
    <row r="1840">
      <c r="A1840" s="245"/>
      <c r="B1840" s="231"/>
      <c r="C1840" s="231"/>
    </row>
    <row r="1841">
      <c r="A1841" s="245"/>
      <c r="B1841" s="231"/>
      <c r="C1841" s="231"/>
    </row>
    <row r="1842">
      <c r="A1842" s="245"/>
      <c r="B1842" s="231"/>
      <c r="C1842" s="231"/>
    </row>
    <row r="1843">
      <c r="A1843" s="245"/>
      <c r="B1843" s="231"/>
      <c r="C1843" s="231"/>
    </row>
    <row r="1844">
      <c r="A1844" s="245"/>
      <c r="B1844" s="231"/>
      <c r="C1844" s="231"/>
    </row>
    <row r="1845">
      <c r="A1845" s="245"/>
      <c r="B1845" s="231"/>
      <c r="C1845" s="231"/>
    </row>
    <row r="1846">
      <c r="A1846" s="245"/>
      <c r="B1846" s="231"/>
      <c r="C1846" s="231"/>
    </row>
    <row r="1847">
      <c r="A1847" s="245"/>
      <c r="B1847" s="231"/>
      <c r="C1847" s="231"/>
    </row>
    <row r="1848">
      <c r="A1848" s="245"/>
      <c r="B1848" s="231"/>
      <c r="C1848" s="231"/>
    </row>
    <row r="1849">
      <c r="A1849" s="245"/>
      <c r="B1849" s="231"/>
      <c r="C1849" s="231"/>
    </row>
    <row r="1850">
      <c r="A1850" s="245"/>
      <c r="B1850" s="231"/>
      <c r="C1850" s="231"/>
    </row>
    <row r="1851">
      <c r="A1851" s="245"/>
      <c r="B1851" s="231"/>
      <c r="C1851" s="231"/>
    </row>
    <row r="1852">
      <c r="A1852" s="245"/>
      <c r="B1852" s="231"/>
      <c r="C1852" s="231"/>
    </row>
    <row r="1853">
      <c r="A1853" s="245"/>
      <c r="B1853" s="231"/>
      <c r="C1853" s="231"/>
    </row>
    <row r="1854">
      <c r="A1854" s="245"/>
      <c r="B1854" s="231"/>
      <c r="C1854" s="231"/>
    </row>
    <row r="1855">
      <c r="A1855" s="245"/>
      <c r="B1855" s="231"/>
      <c r="C1855" s="231"/>
    </row>
    <row r="1856">
      <c r="A1856" s="245"/>
      <c r="B1856" s="231"/>
      <c r="C1856" s="231"/>
    </row>
    <row r="1857">
      <c r="A1857" s="245"/>
      <c r="B1857" s="231"/>
      <c r="C1857" s="231"/>
    </row>
    <row r="1858">
      <c r="A1858" s="245"/>
      <c r="B1858" s="231"/>
      <c r="C1858" s="231"/>
    </row>
    <row r="1859">
      <c r="A1859" s="245"/>
      <c r="B1859" s="231"/>
      <c r="C1859" s="231"/>
    </row>
    <row r="1860">
      <c r="A1860" s="245"/>
      <c r="B1860" s="231"/>
      <c r="C1860" s="231"/>
    </row>
    <row r="1861">
      <c r="A1861" s="245"/>
      <c r="B1861" s="231"/>
      <c r="C1861" s="231"/>
    </row>
    <row r="1862">
      <c r="A1862" s="245"/>
      <c r="B1862" s="231"/>
      <c r="C1862" s="231"/>
    </row>
    <row r="1863">
      <c r="A1863" s="245"/>
      <c r="B1863" s="231"/>
      <c r="C1863" s="231"/>
    </row>
    <row r="1864">
      <c r="A1864" s="245"/>
      <c r="B1864" s="231"/>
      <c r="C1864" s="231"/>
    </row>
    <row r="1865">
      <c r="A1865" s="245"/>
      <c r="B1865" s="231"/>
      <c r="C1865" s="231"/>
    </row>
    <row r="1866">
      <c r="A1866" s="245"/>
      <c r="B1866" s="231"/>
      <c r="C1866" s="231"/>
    </row>
    <row r="1867">
      <c r="A1867" s="245"/>
      <c r="B1867" s="231"/>
      <c r="C1867" s="231"/>
    </row>
    <row r="1868">
      <c r="A1868" s="245"/>
      <c r="B1868" s="231"/>
      <c r="C1868" s="231"/>
    </row>
    <row r="1869">
      <c r="A1869" s="245"/>
      <c r="B1869" s="231"/>
      <c r="C1869" s="231"/>
    </row>
    <row r="1870">
      <c r="A1870" s="245"/>
      <c r="B1870" s="231"/>
      <c r="C1870" s="231"/>
    </row>
    <row r="1871">
      <c r="A1871" s="245"/>
      <c r="B1871" s="231"/>
      <c r="C1871" s="231"/>
    </row>
    <row r="1872">
      <c r="A1872" s="245"/>
      <c r="B1872" s="231"/>
      <c r="C1872" s="231"/>
    </row>
    <row r="1873">
      <c r="A1873" s="245"/>
      <c r="B1873" s="231"/>
      <c r="C1873" s="231"/>
    </row>
    <row r="1874">
      <c r="A1874" s="245"/>
      <c r="B1874" s="231"/>
      <c r="C1874" s="231"/>
    </row>
    <row r="1875">
      <c r="A1875" s="245"/>
      <c r="B1875" s="231"/>
      <c r="C1875" s="231"/>
    </row>
    <row r="1876">
      <c r="A1876" s="245"/>
      <c r="B1876" s="231"/>
      <c r="C1876" s="231"/>
    </row>
    <row r="1877">
      <c r="A1877" s="245"/>
      <c r="B1877" s="231"/>
      <c r="C1877" s="231"/>
    </row>
    <row r="1878">
      <c r="A1878" s="245"/>
      <c r="B1878" s="231"/>
      <c r="C1878" s="231"/>
    </row>
    <row r="1879">
      <c r="A1879" s="245"/>
      <c r="B1879" s="231"/>
      <c r="C1879" s="231"/>
    </row>
    <row r="1880">
      <c r="A1880" s="245"/>
      <c r="B1880" s="231"/>
      <c r="C1880" s="231"/>
    </row>
    <row r="1881">
      <c r="A1881" s="245"/>
      <c r="B1881" s="231"/>
      <c r="C1881" s="231"/>
    </row>
    <row r="1882">
      <c r="A1882" s="245"/>
      <c r="B1882" s="231"/>
      <c r="C1882" s="231"/>
    </row>
    <row r="1883">
      <c r="A1883" s="245"/>
      <c r="B1883" s="231"/>
      <c r="C1883" s="231"/>
    </row>
    <row r="1884">
      <c r="A1884" s="245"/>
      <c r="B1884" s="231"/>
      <c r="C1884" s="231"/>
    </row>
    <row r="1885">
      <c r="A1885" s="245"/>
      <c r="B1885" s="231"/>
      <c r="C1885" s="231"/>
    </row>
    <row r="1886">
      <c r="A1886" s="245"/>
      <c r="B1886" s="231"/>
      <c r="C1886" s="231"/>
    </row>
    <row r="1887">
      <c r="A1887" s="245"/>
      <c r="B1887" s="231"/>
      <c r="C1887" s="231"/>
    </row>
    <row r="1888">
      <c r="A1888" s="245"/>
      <c r="B1888" s="231"/>
      <c r="C1888" s="231"/>
    </row>
    <row r="1889">
      <c r="A1889" s="245"/>
      <c r="B1889" s="231"/>
      <c r="C1889" s="231"/>
    </row>
    <row r="1890">
      <c r="A1890" s="245"/>
      <c r="B1890" s="231"/>
      <c r="C1890" s="231"/>
    </row>
    <row r="1891">
      <c r="A1891" s="245"/>
      <c r="B1891" s="231"/>
      <c r="C1891" s="231"/>
    </row>
    <row r="1892">
      <c r="A1892" s="245"/>
      <c r="B1892" s="231"/>
      <c r="C1892" s="231"/>
    </row>
    <row r="1893">
      <c r="A1893" s="245"/>
      <c r="B1893" s="231"/>
      <c r="C1893" s="231"/>
    </row>
    <row r="1894">
      <c r="A1894" s="245"/>
      <c r="B1894" s="231"/>
      <c r="C1894" s="231"/>
    </row>
    <row r="1895">
      <c r="A1895" s="245"/>
      <c r="B1895" s="231"/>
      <c r="C1895" s="231"/>
    </row>
    <row r="1896">
      <c r="A1896" s="245"/>
      <c r="B1896" s="231"/>
      <c r="C1896" s="231"/>
    </row>
    <row r="1897">
      <c r="A1897" s="245"/>
      <c r="B1897" s="231"/>
      <c r="C1897" s="231"/>
    </row>
    <row r="1898">
      <c r="A1898" s="245"/>
      <c r="B1898" s="231"/>
      <c r="C1898" s="231"/>
    </row>
    <row r="1899">
      <c r="A1899" s="245"/>
      <c r="B1899" s="231"/>
      <c r="C1899" s="231"/>
    </row>
    <row r="1900">
      <c r="A1900" s="245"/>
      <c r="B1900" s="231"/>
      <c r="C1900" s="231"/>
    </row>
    <row r="1901">
      <c r="A1901" s="245"/>
      <c r="B1901" s="231"/>
      <c r="C1901" s="231"/>
    </row>
    <row r="1902">
      <c r="A1902" s="245"/>
      <c r="B1902" s="231"/>
      <c r="C1902" s="231"/>
    </row>
    <row r="1903">
      <c r="A1903" s="245"/>
      <c r="B1903" s="231"/>
      <c r="C1903" s="231"/>
    </row>
    <row r="1904">
      <c r="A1904" s="245"/>
      <c r="B1904" s="231"/>
      <c r="C1904" s="231"/>
    </row>
    <row r="1905">
      <c r="A1905" s="245"/>
      <c r="B1905" s="231"/>
      <c r="C1905" s="231"/>
    </row>
    <row r="1906">
      <c r="A1906" s="245"/>
      <c r="B1906" s="231"/>
      <c r="C1906" s="231"/>
    </row>
    <row r="1907">
      <c r="A1907" s="245"/>
      <c r="B1907" s="231"/>
      <c r="C1907" s="231"/>
    </row>
    <row r="1908">
      <c r="A1908" s="245"/>
      <c r="B1908" s="231"/>
      <c r="C1908" s="231"/>
    </row>
    <row r="1909">
      <c r="A1909" s="245"/>
      <c r="B1909" s="231"/>
      <c r="C1909" s="231"/>
    </row>
    <row r="1910">
      <c r="A1910" s="245"/>
      <c r="B1910" s="231"/>
      <c r="C1910" s="231"/>
    </row>
    <row r="1911">
      <c r="A1911" s="245"/>
      <c r="B1911" s="231"/>
      <c r="C1911" s="231"/>
    </row>
    <row r="1912">
      <c r="A1912" s="245"/>
      <c r="B1912" s="231"/>
      <c r="C1912" s="231"/>
    </row>
    <row r="1913">
      <c r="A1913" s="245"/>
      <c r="B1913" s="231"/>
      <c r="C1913" s="231"/>
    </row>
    <row r="1914">
      <c r="A1914" s="245"/>
      <c r="B1914" s="231"/>
      <c r="C1914" s="231"/>
    </row>
    <row r="1915">
      <c r="A1915" s="245"/>
      <c r="B1915" s="231"/>
      <c r="C1915" s="231"/>
    </row>
    <row r="1916">
      <c r="A1916" s="245"/>
      <c r="B1916" s="231"/>
      <c r="C1916" s="231"/>
    </row>
    <row r="1917">
      <c r="A1917" s="245"/>
      <c r="B1917" s="231"/>
      <c r="C1917" s="231"/>
    </row>
    <row r="1918">
      <c r="A1918" s="245"/>
      <c r="B1918" s="231"/>
      <c r="C1918" s="231"/>
    </row>
    <row r="1919">
      <c r="A1919" s="245"/>
      <c r="B1919" s="231"/>
      <c r="C1919" s="231"/>
    </row>
    <row r="1920">
      <c r="A1920" s="245"/>
      <c r="B1920" s="231"/>
      <c r="C1920" s="231"/>
    </row>
    <row r="1921">
      <c r="A1921" s="245"/>
      <c r="B1921" s="231"/>
      <c r="C1921" s="231"/>
    </row>
    <row r="1922">
      <c r="A1922" s="245"/>
      <c r="B1922" s="231"/>
      <c r="C1922" s="231"/>
    </row>
    <row r="1923">
      <c r="A1923" s="245"/>
      <c r="B1923" s="231"/>
      <c r="C1923" s="231"/>
    </row>
    <row r="1924">
      <c r="A1924" s="245"/>
      <c r="B1924" s="231"/>
      <c r="C1924" s="231"/>
    </row>
    <row r="1925">
      <c r="A1925" s="245"/>
      <c r="B1925" s="231"/>
      <c r="C1925" s="231"/>
    </row>
    <row r="1926">
      <c r="A1926" s="245"/>
      <c r="B1926" s="231"/>
      <c r="C1926" s="231"/>
    </row>
    <row r="1927">
      <c r="A1927" s="245"/>
      <c r="B1927" s="231"/>
      <c r="C1927" s="231"/>
    </row>
    <row r="1928">
      <c r="A1928" s="245"/>
      <c r="B1928" s="231"/>
      <c r="C1928" s="231"/>
    </row>
    <row r="1929">
      <c r="A1929" s="245"/>
      <c r="B1929" s="231"/>
      <c r="C1929" s="231"/>
    </row>
    <row r="1930">
      <c r="A1930" s="245"/>
      <c r="B1930" s="231"/>
      <c r="C1930" s="231"/>
    </row>
    <row r="1931">
      <c r="A1931" s="245"/>
      <c r="B1931" s="231"/>
      <c r="C1931" s="231"/>
    </row>
    <row r="1932">
      <c r="A1932" s="245"/>
      <c r="B1932" s="231"/>
      <c r="C1932" s="231"/>
    </row>
    <row r="1933">
      <c r="A1933" s="245"/>
      <c r="B1933" s="231"/>
      <c r="C1933" s="231"/>
    </row>
    <row r="1934">
      <c r="A1934" s="245"/>
      <c r="B1934" s="231"/>
      <c r="C1934" s="231"/>
    </row>
    <row r="1935">
      <c r="A1935" s="245"/>
      <c r="B1935" s="231"/>
      <c r="C1935" s="231"/>
    </row>
    <row r="1936">
      <c r="A1936" s="245"/>
      <c r="B1936" s="231"/>
      <c r="C1936" s="231"/>
    </row>
    <row r="1937">
      <c r="A1937" s="245"/>
      <c r="B1937" s="231"/>
      <c r="C1937" s="231"/>
    </row>
    <row r="1938">
      <c r="A1938" s="245"/>
      <c r="B1938" s="231"/>
      <c r="C1938" s="231"/>
    </row>
    <row r="1939">
      <c r="A1939" s="245"/>
      <c r="B1939" s="231"/>
      <c r="C1939" s="231"/>
    </row>
    <row r="1940">
      <c r="A1940" s="245"/>
      <c r="B1940" s="231"/>
      <c r="C1940" s="231"/>
    </row>
    <row r="1941">
      <c r="A1941" s="245"/>
      <c r="B1941" s="231"/>
      <c r="C1941" s="231"/>
    </row>
    <row r="1942">
      <c r="A1942" s="245"/>
      <c r="B1942" s="231"/>
      <c r="C1942" s="231"/>
    </row>
    <row r="1943">
      <c r="A1943" s="245"/>
      <c r="B1943" s="231"/>
      <c r="C1943" s="231"/>
    </row>
    <row r="1944">
      <c r="A1944" s="245"/>
      <c r="B1944" s="231"/>
      <c r="C1944" s="231"/>
    </row>
    <row r="1945">
      <c r="A1945" s="245"/>
      <c r="B1945" s="231"/>
      <c r="C1945" s="231"/>
    </row>
    <row r="1946">
      <c r="A1946" s="245"/>
      <c r="B1946" s="231"/>
      <c r="C1946" s="231"/>
    </row>
    <row r="1947">
      <c r="A1947" s="245"/>
      <c r="B1947" s="231"/>
      <c r="C1947" s="231"/>
    </row>
    <row r="1948">
      <c r="A1948" s="245"/>
      <c r="B1948" s="231"/>
      <c r="C1948" s="231"/>
    </row>
    <row r="1949">
      <c r="A1949" s="245"/>
      <c r="B1949" s="231"/>
      <c r="C1949" s="231"/>
    </row>
    <row r="1950">
      <c r="A1950" s="245"/>
      <c r="B1950" s="231"/>
      <c r="C1950" s="231"/>
    </row>
    <row r="1951">
      <c r="A1951" s="245"/>
      <c r="B1951" s="231"/>
      <c r="C1951" s="231"/>
    </row>
    <row r="1952">
      <c r="A1952" s="245"/>
      <c r="B1952" s="231"/>
      <c r="C1952" s="231"/>
    </row>
    <row r="1953">
      <c r="A1953" s="245"/>
      <c r="B1953" s="231"/>
      <c r="C1953" s="231"/>
    </row>
    <row r="1954">
      <c r="A1954" s="245"/>
      <c r="B1954" s="231"/>
      <c r="C1954" s="231"/>
    </row>
    <row r="1955">
      <c r="A1955" s="245"/>
      <c r="B1955" s="231"/>
      <c r="C1955" s="231"/>
    </row>
    <row r="1956">
      <c r="A1956" s="245"/>
      <c r="B1956" s="231"/>
      <c r="C1956" s="231"/>
    </row>
    <row r="1957">
      <c r="A1957" s="245"/>
      <c r="B1957" s="231"/>
      <c r="C1957" s="231"/>
    </row>
    <row r="1958">
      <c r="A1958" s="245"/>
      <c r="B1958" s="231"/>
      <c r="C1958" s="231"/>
    </row>
    <row r="1959">
      <c r="A1959" s="245"/>
      <c r="B1959" s="231"/>
      <c r="C1959" s="231"/>
    </row>
    <row r="1960">
      <c r="A1960" s="245"/>
      <c r="B1960" s="231"/>
      <c r="C1960" s="231"/>
    </row>
    <row r="1961">
      <c r="A1961" s="245"/>
      <c r="B1961" s="231"/>
      <c r="C1961" s="231"/>
    </row>
    <row r="1962">
      <c r="A1962" s="245"/>
      <c r="B1962" s="231"/>
      <c r="C1962" s="231"/>
    </row>
    <row r="1963">
      <c r="A1963" s="245"/>
      <c r="B1963" s="231"/>
      <c r="C1963" s="231"/>
    </row>
    <row r="1964">
      <c r="A1964" s="245"/>
      <c r="B1964" s="231"/>
      <c r="C1964" s="231"/>
    </row>
    <row r="1965">
      <c r="A1965" s="245"/>
      <c r="B1965" s="231"/>
      <c r="C1965" s="231"/>
    </row>
    <row r="1966">
      <c r="A1966" s="245"/>
      <c r="B1966" s="231"/>
      <c r="C1966" s="231"/>
    </row>
    <row r="1967">
      <c r="A1967" s="245"/>
      <c r="B1967" s="231"/>
      <c r="C1967" s="231"/>
    </row>
    <row r="1968">
      <c r="A1968" s="245"/>
      <c r="B1968" s="231"/>
      <c r="C1968" s="231"/>
    </row>
    <row r="1969">
      <c r="A1969" s="245"/>
      <c r="B1969" s="231"/>
      <c r="C1969" s="231"/>
    </row>
    <row r="1970">
      <c r="A1970" s="245"/>
      <c r="B1970" s="231"/>
      <c r="C1970" s="231"/>
    </row>
    <row r="1971">
      <c r="A1971" s="245"/>
      <c r="B1971" s="231"/>
      <c r="C1971" s="231"/>
    </row>
    <row r="1972">
      <c r="A1972" s="245"/>
      <c r="B1972" s="231"/>
      <c r="C1972" s="231"/>
    </row>
    <row r="1973">
      <c r="A1973" s="245"/>
      <c r="B1973" s="231"/>
      <c r="C1973" s="231"/>
    </row>
  </sheetData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1" t="s">
        <v>1654</v>
      </c>
      <c r="B1" s="11"/>
      <c r="C1" s="11" t="s">
        <v>1</v>
      </c>
    </row>
    <row r="2">
      <c r="A2" s="37" t="s">
        <v>1738</v>
      </c>
      <c r="B2" s="37"/>
      <c r="C2" s="37">
        <v>6729.0</v>
      </c>
      <c r="D2" s="37"/>
    </row>
    <row r="3">
      <c r="A3" s="37" t="s">
        <v>1736</v>
      </c>
      <c r="B3" s="37"/>
      <c r="C3" s="37">
        <v>189.0</v>
      </c>
      <c r="D3" s="45"/>
      <c r="F3" s="7"/>
      <c r="G3" s="129"/>
    </row>
    <row r="4">
      <c r="A4" s="37" t="s">
        <v>1739</v>
      </c>
      <c r="B4" s="37"/>
      <c r="C4" s="37">
        <v>189.0</v>
      </c>
      <c r="D4" s="45"/>
      <c r="F4" s="7"/>
      <c r="G4" s="129"/>
    </row>
    <row r="5">
      <c r="A5" s="37" t="s">
        <v>1740</v>
      </c>
      <c r="B5" s="37"/>
      <c r="C5" s="37">
        <v>663.0</v>
      </c>
      <c r="D5" s="45"/>
      <c r="F5" s="7"/>
      <c r="G5" s="129"/>
    </row>
    <row r="6">
      <c r="A6" s="37" t="s">
        <v>1741</v>
      </c>
      <c r="B6" s="37"/>
      <c r="C6" s="37">
        <v>6675.0</v>
      </c>
      <c r="D6" s="45"/>
      <c r="F6" s="7"/>
      <c r="G6" s="129"/>
    </row>
    <row r="7">
      <c r="A7" s="37" t="s">
        <v>1742</v>
      </c>
      <c r="B7" s="37"/>
      <c r="C7" s="37">
        <v>5458.0</v>
      </c>
      <c r="D7" s="45"/>
      <c r="F7" s="7"/>
      <c r="G7" s="129"/>
    </row>
    <row r="8">
      <c r="A8" s="37" t="s">
        <v>1745</v>
      </c>
      <c r="B8" s="37"/>
      <c r="C8" s="37">
        <v>2345.0</v>
      </c>
      <c r="D8" s="45"/>
      <c r="F8" s="7"/>
      <c r="G8" s="129"/>
    </row>
    <row r="9">
      <c r="A9" s="37" t="s">
        <v>1747</v>
      </c>
      <c r="B9" s="37"/>
      <c r="C9" s="37">
        <v>7157.0</v>
      </c>
      <c r="D9" s="45"/>
      <c r="F9" s="7"/>
      <c r="G9" s="129"/>
    </row>
    <row r="10">
      <c r="A10" s="202" t="s">
        <v>1749</v>
      </c>
      <c r="B10" s="37"/>
      <c r="C10" s="37">
        <v>986.0</v>
      </c>
      <c r="D10" s="45"/>
      <c r="E10" s="7"/>
      <c r="F10" s="7"/>
      <c r="G10" s="129"/>
    </row>
    <row r="11">
      <c r="A11" s="202" t="s">
        <v>1743</v>
      </c>
      <c r="B11" s="37"/>
      <c r="C11" s="37">
        <v>986.0</v>
      </c>
      <c r="D11" s="45"/>
      <c r="F11" s="7"/>
      <c r="G11" s="129"/>
    </row>
    <row r="12">
      <c r="A12" s="37" t="s">
        <v>1744</v>
      </c>
      <c r="B12" s="37"/>
      <c r="C12" s="37">
        <v>7083.0</v>
      </c>
      <c r="D12" s="45"/>
      <c r="F12" s="7"/>
      <c r="G12" s="129"/>
    </row>
    <row r="13">
      <c r="A13" s="37" t="s">
        <v>1746</v>
      </c>
      <c r="B13" s="37"/>
      <c r="C13" s="37">
        <v>5458.0</v>
      </c>
      <c r="D13" s="45"/>
      <c r="F13" s="7"/>
      <c r="G13" s="129"/>
    </row>
    <row r="14">
      <c r="A14" s="37" t="s">
        <v>1748</v>
      </c>
      <c r="B14" s="37"/>
      <c r="C14" s="37">
        <v>5458.0</v>
      </c>
      <c r="D14" s="45"/>
    </row>
    <row r="15">
      <c r="A15" s="37" t="s">
        <v>1750</v>
      </c>
      <c r="B15" s="37"/>
      <c r="C15" s="37">
        <v>6927.0</v>
      </c>
      <c r="D15" s="37"/>
    </row>
    <row r="16">
      <c r="A16" s="37" t="s">
        <v>1751</v>
      </c>
      <c r="B16" s="37"/>
      <c r="C16" s="37">
        <v>6675.0</v>
      </c>
      <c r="D16" s="45"/>
    </row>
    <row r="17">
      <c r="A17" s="37" t="s">
        <v>1752</v>
      </c>
      <c r="B17" s="37"/>
      <c r="C17" s="37">
        <v>8486.0</v>
      </c>
      <c r="D17" s="37"/>
    </row>
    <row r="18">
      <c r="A18" s="37" t="s">
        <v>1758</v>
      </c>
      <c r="B18" s="37"/>
      <c r="C18" s="37">
        <v>5125.0</v>
      </c>
      <c r="D18" s="45"/>
    </row>
    <row r="19">
      <c r="A19" s="37" t="s">
        <v>1753</v>
      </c>
      <c r="B19" s="37"/>
      <c r="C19" s="37">
        <v>8199.0</v>
      </c>
      <c r="D19" s="45"/>
    </row>
    <row r="20">
      <c r="A20" s="37" t="s">
        <v>1754</v>
      </c>
      <c r="B20" s="37"/>
      <c r="C20" s="37">
        <v>2345.0</v>
      </c>
      <c r="D20" s="45"/>
    </row>
    <row r="21">
      <c r="A21" s="37" t="s">
        <v>1755</v>
      </c>
      <c r="B21" s="37"/>
      <c r="C21" s="37">
        <v>2345.0</v>
      </c>
      <c r="D21" s="45"/>
    </row>
    <row r="22">
      <c r="A22" s="37" t="s">
        <v>1756</v>
      </c>
      <c r="B22" s="37"/>
      <c r="C22" s="37">
        <v>6671.0</v>
      </c>
      <c r="D22" s="45"/>
    </row>
    <row r="23">
      <c r="A23" s="37" t="s">
        <v>1757</v>
      </c>
      <c r="B23" s="37"/>
      <c r="C23" s="37">
        <v>6924.0</v>
      </c>
      <c r="D23" s="45"/>
    </row>
    <row r="24">
      <c r="A24" s="37" t="s">
        <v>1759</v>
      </c>
      <c r="B24" s="37"/>
      <c r="C24" s="37">
        <v>6668.0</v>
      </c>
      <c r="D24" s="45"/>
    </row>
    <row r="25">
      <c r="A25" s="37" t="s">
        <v>1760</v>
      </c>
      <c r="B25" s="37"/>
      <c r="C25" s="37">
        <v>7100.0</v>
      </c>
      <c r="D25" s="45"/>
    </row>
    <row r="26">
      <c r="A26" s="37" t="s">
        <v>1761</v>
      </c>
      <c r="B26" s="37"/>
      <c r="C26" s="37">
        <v>7142.0</v>
      </c>
      <c r="D26" s="45"/>
    </row>
    <row r="27">
      <c r="A27" s="37" t="s">
        <v>1762</v>
      </c>
      <c r="B27" s="37"/>
      <c r="C27" s="37">
        <v>7010.0</v>
      </c>
      <c r="D27" s="45"/>
    </row>
    <row r="28">
      <c r="A28" s="37" t="s">
        <v>1763</v>
      </c>
      <c r="B28" s="37"/>
      <c r="C28" s="37">
        <v>9307.0</v>
      </c>
      <c r="D28" s="45"/>
    </row>
    <row r="29">
      <c r="A29" s="37" t="s">
        <v>1764</v>
      </c>
      <c r="B29" s="37"/>
      <c r="C29" s="37">
        <v>6875.0</v>
      </c>
      <c r="D29" s="45"/>
    </row>
    <row r="30">
      <c r="A30" s="37" t="s">
        <v>1765</v>
      </c>
      <c r="B30" s="37"/>
      <c r="C30" s="37">
        <v>6658.0</v>
      </c>
      <c r="D30" s="45"/>
    </row>
    <row r="31">
      <c r="A31" s="37" t="s">
        <v>1766</v>
      </c>
      <c r="B31" s="37"/>
      <c r="C31" s="37">
        <v>3607.0</v>
      </c>
      <c r="D31" s="45"/>
    </row>
  </sheetData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20.5"/>
    <col customWidth="1" min="5" max="5" width="28.13"/>
    <col hidden="1" min="9" max="21" width="12.63"/>
    <col customWidth="1" hidden="1" min="22" max="22" width="14.13"/>
    <col hidden="1" min="23" max="27" width="12.63"/>
  </cols>
  <sheetData>
    <row r="1">
      <c r="A1" s="56" t="s">
        <v>44</v>
      </c>
      <c r="B1" s="278" t="s">
        <v>4272</v>
      </c>
      <c r="C1" s="57" t="s">
        <v>294</v>
      </c>
      <c r="D1" s="55" t="s">
        <v>248</v>
      </c>
      <c r="E1" s="348" t="s">
        <v>249</v>
      </c>
      <c r="F1" s="349" t="s">
        <v>250</v>
      </c>
      <c r="P1" s="97" t="s">
        <v>1</v>
      </c>
      <c r="Q1" s="97" t="s">
        <v>7484</v>
      </c>
      <c r="T1" s="11" t="s">
        <v>4271</v>
      </c>
      <c r="U1" s="11" t="s">
        <v>4272</v>
      </c>
    </row>
    <row r="2" hidden="1">
      <c r="A2" s="426" t="s">
        <v>8990</v>
      </c>
      <c r="B2" s="117">
        <v>189.0</v>
      </c>
      <c r="C2" s="136" t="s">
        <v>8991</v>
      </c>
      <c r="D2" s="179">
        <v>0.82</v>
      </c>
      <c r="E2" s="179">
        <v>0.82</v>
      </c>
      <c r="F2" s="229" t="s">
        <v>1656</v>
      </c>
      <c r="P2" s="97">
        <v>2345.0</v>
      </c>
      <c r="Q2" s="97" t="s">
        <v>8992</v>
      </c>
      <c r="T2" s="195" t="s">
        <v>8990</v>
      </c>
      <c r="U2" s="11">
        <v>189.0</v>
      </c>
    </row>
    <row r="3" hidden="1">
      <c r="A3" s="426" t="s">
        <v>8993</v>
      </c>
      <c r="B3" s="117">
        <v>7008.0</v>
      </c>
      <c r="C3" s="136" t="s">
        <v>8991</v>
      </c>
      <c r="D3" s="179">
        <v>0.73</v>
      </c>
      <c r="E3" s="179">
        <v>0.73</v>
      </c>
      <c r="F3" s="229" t="s">
        <v>1656</v>
      </c>
      <c r="P3" s="97">
        <v>189.0</v>
      </c>
      <c r="Q3" s="97" t="s">
        <v>8992</v>
      </c>
      <c r="T3" s="195" t="s">
        <v>8993</v>
      </c>
      <c r="U3" s="11">
        <v>7008.0</v>
      </c>
    </row>
    <row r="4" hidden="1">
      <c r="A4" s="426" t="s">
        <v>8994</v>
      </c>
      <c r="B4" s="117">
        <v>7008.0</v>
      </c>
      <c r="C4" s="136" t="s">
        <v>8991</v>
      </c>
      <c r="D4" s="179">
        <v>0.73</v>
      </c>
      <c r="E4" s="179">
        <v>0.73</v>
      </c>
      <c r="F4" s="229" t="s">
        <v>1656</v>
      </c>
      <c r="P4" s="97">
        <v>6732.0</v>
      </c>
      <c r="Q4" s="97" t="s">
        <v>8995</v>
      </c>
      <c r="T4" s="195" t="s">
        <v>8994</v>
      </c>
      <c r="U4" s="11">
        <v>7008.0</v>
      </c>
    </row>
    <row r="5" hidden="1">
      <c r="A5" s="426" t="s">
        <v>8996</v>
      </c>
      <c r="B5" s="117">
        <v>13829.0</v>
      </c>
      <c r="C5" s="136" t="s">
        <v>8991</v>
      </c>
      <c r="D5" s="179">
        <v>0.73</v>
      </c>
      <c r="E5" s="179">
        <v>0.73</v>
      </c>
      <c r="F5" s="229" t="s">
        <v>1656</v>
      </c>
      <c r="T5" s="195" t="s">
        <v>8996</v>
      </c>
      <c r="U5" s="11">
        <v>13829.0</v>
      </c>
    </row>
    <row r="6" hidden="1">
      <c r="A6" s="426" t="s">
        <v>8997</v>
      </c>
      <c r="B6" s="117">
        <v>8199.0</v>
      </c>
      <c r="C6" s="136" t="s">
        <v>8991</v>
      </c>
      <c r="D6" s="179">
        <v>0.73</v>
      </c>
      <c r="E6" s="179">
        <v>0.73</v>
      </c>
      <c r="F6" s="229" t="s">
        <v>1656</v>
      </c>
      <c r="T6" s="195" t="s">
        <v>8997</v>
      </c>
      <c r="U6" s="11">
        <v>8199.0</v>
      </c>
    </row>
    <row r="7" hidden="1">
      <c r="A7" s="426" t="s">
        <v>8998</v>
      </c>
      <c r="B7" s="117">
        <v>8199.0</v>
      </c>
      <c r="C7" s="136" t="s">
        <v>8991</v>
      </c>
      <c r="D7" s="179">
        <v>0.73</v>
      </c>
      <c r="E7" s="179">
        <v>0.73</v>
      </c>
      <c r="F7" s="229" t="s">
        <v>1656</v>
      </c>
      <c r="T7" s="195" t="s">
        <v>8998</v>
      </c>
      <c r="U7" s="11">
        <v>8199.0</v>
      </c>
    </row>
    <row r="8" hidden="1">
      <c r="A8" s="426" t="s">
        <v>8999</v>
      </c>
      <c r="B8" s="117">
        <v>6785.0</v>
      </c>
      <c r="C8" s="136" t="s">
        <v>8991</v>
      </c>
      <c r="D8" s="179">
        <v>0.73</v>
      </c>
      <c r="E8" s="179">
        <v>0.73</v>
      </c>
      <c r="F8" s="229" t="s">
        <v>1656</v>
      </c>
      <c r="T8" s="195" t="s">
        <v>8999</v>
      </c>
      <c r="U8" s="11">
        <v>6785.0</v>
      </c>
    </row>
    <row r="9" hidden="1">
      <c r="A9" s="426" t="s">
        <v>9000</v>
      </c>
      <c r="B9" s="117">
        <v>11708.0</v>
      </c>
      <c r="C9" s="136" t="s">
        <v>8991</v>
      </c>
      <c r="D9" s="179">
        <v>0.73</v>
      </c>
      <c r="E9" s="179">
        <v>0.73</v>
      </c>
      <c r="F9" s="229" t="s">
        <v>1656</v>
      </c>
      <c r="T9" s="195" t="s">
        <v>9000</v>
      </c>
      <c r="U9" s="11">
        <v>11708.0</v>
      </c>
    </row>
    <row r="10" hidden="1">
      <c r="A10" s="426" t="s">
        <v>9001</v>
      </c>
      <c r="B10" s="117">
        <v>7183.0</v>
      </c>
      <c r="C10" s="136" t="s">
        <v>8991</v>
      </c>
      <c r="D10" s="179">
        <v>0.73</v>
      </c>
      <c r="E10" s="179">
        <v>0.73</v>
      </c>
      <c r="F10" s="229" t="s">
        <v>1656</v>
      </c>
      <c r="K10" s="427"/>
      <c r="T10" s="195" t="s">
        <v>9001</v>
      </c>
      <c r="U10" s="11">
        <v>7183.0</v>
      </c>
    </row>
    <row r="11" hidden="1">
      <c r="A11" s="426" t="s">
        <v>9002</v>
      </c>
      <c r="B11" s="117">
        <v>7186.0</v>
      </c>
      <c r="C11" s="136" t="s">
        <v>8991</v>
      </c>
      <c r="D11" s="179">
        <v>0.73</v>
      </c>
      <c r="E11" s="179">
        <v>0.73</v>
      </c>
      <c r="F11" s="229" t="s">
        <v>1656</v>
      </c>
      <c r="K11" s="427"/>
      <c r="T11" s="195" t="s">
        <v>9002</v>
      </c>
      <c r="U11" s="11">
        <v>7186.0</v>
      </c>
    </row>
    <row r="12" hidden="1">
      <c r="A12" s="426" t="s">
        <v>9003</v>
      </c>
      <c r="B12" s="122">
        <v>6697.0</v>
      </c>
      <c r="C12" s="136" t="s">
        <v>8991</v>
      </c>
      <c r="D12" s="179">
        <v>0.73</v>
      </c>
      <c r="E12" s="179">
        <v>0.73</v>
      </c>
      <c r="F12" s="229" t="s">
        <v>1656</v>
      </c>
      <c r="K12" s="427"/>
      <c r="T12" s="195" t="s">
        <v>9003</v>
      </c>
      <c r="U12" s="122">
        <v>6697.0</v>
      </c>
    </row>
    <row r="13" hidden="1">
      <c r="A13" s="426" t="s">
        <v>9004</v>
      </c>
      <c r="B13" s="117">
        <v>2345.0</v>
      </c>
      <c r="C13" s="136" t="s">
        <v>8991</v>
      </c>
      <c r="D13" s="74">
        <v>0.9</v>
      </c>
      <c r="E13" s="74">
        <v>0.9</v>
      </c>
      <c r="F13" s="229" t="s">
        <v>1656</v>
      </c>
      <c r="K13" s="427"/>
      <c r="T13" s="195" t="s">
        <v>9004</v>
      </c>
      <c r="U13" s="11">
        <v>2345.0</v>
      </c>
    </row>
    <row r="14" hidden="1">
      <c r="A14" s="426" t="s">
        <v>9005</v>
      </c>
      <c r="B14" s="117">
        <v>2345.0</v>
      </c>
      <c r="C14" s="136" t="s">
        <v>8991</v>
      </c>
      <c r="D14" s="74">
        <v>0.9</v>
      </c>
      <c r="E14" s="74">
        <v>0.9</v>
      </c>
      <c r="F14" s="229" t="s">
        <v>1656</v>
      </c>
      <c r="K14" s="427"/>
      <c r="T14" s="195" t="s">
        <v>9005</v>
      </c>
      <c r="U14" s="11">
        <v>2345.0</v>
      </c>
    </row>
    <row r="15" hidden="1">
      <c r="A15" s="426" t="s">
        <v>9006</v>
      </c>
      <c r="B15" s="117">
        <v>6732.0</v>
      </c>
      <c r="C15" s="136" t="s">
        <v>8991</v>
      </c>
      <c r="D15" s="179">
        <v>0.73</v>
      </c>
      <c r="E15" s="179">
        <v>0.73</v>
      </c>
      <c r="F15" s="229" t="s">
        <v>1656</v>
      </c>
      <c r="K15" s="427"/>
      <c r="T15" s="195" t="s">
        <v>9006</v>
      </c>
      <c r="U15" s="11">
        <v>6732.0</v>
      </c>
    </row>
    <row r="16" hidden="1">
      <c r="A16" s="426" t="s">
        <v>9007</v>
      </c>
      <c r="B16" s="117">
        <v>6732.0</v>
      </c>
      <c r="C16" s="136" t="s">
        <v>8991</v>
      </c>
      <c r="D16" s="179">
        <v>0.73</v>
      </c>
      <c r="E16" s="179">
        <v>0.73</v>
      </c>
      <c r="F16" s="229" t="s">
        <v>1656</v>
      </c>
      <c r="K16" s="427"/>
      <c r="T16" s="195" t="s">
        <v>9007</v>
      </c>
      <c r="U16" s="11">
        <v>6732.0</v>
      </c>
    </row>
    <row r="17" hidden="1">
      <c r="A17" s="426" t="s">
        <v>9008</v>
      </c>
      <c r="B17" s="117">
        <v>6732.0</v>
      </c>
      <c r="C17" s="136" t="s">
        <v>8991</v>
      </c>
      <c r="D17" s="179">
        <v>0.73</v>
      </c>
      <c r="E17" s="179">
        <v>0.73</v>
      </c>
      <c r="F17" s="229" t="s">
        <v>1656</v>
      </c>
      <c r="K17" s="427"/>
      <c r="T17" s="195" t="s">
        <v>9008</v>
      </c>
      <c r="U17" s="11">
        <v>6732.0</v>
      </c>
    </row>
    <row r="18" hidden="1">
      <c r="A18" s="426" t="s">
        <v>9009</v>
      </c>
      <c r="B18" s="117">
        <v>6732.0</v>
      </c>
      <c r="C18" s="136" t="s">
        <v>8991</v>
      </c>
      <c r="D18" s="179">
        <v>0.73</v>
      </c>
      <c r="E18" s="179">
        <v>0.73</v>
      </c>
      <c r="F18" s="229" t="s">
        <v>1656</v>
      </c>
      <c r="K18" s="427"/>
      <c r="T18" s="195" t="s">
        <v>9009</v>
      </c>
      <c r="U18" s="11">
        <v>6732.0</v>
      </c>
    </row>
    <row r="19" hidden="1">
      <c r="A19" s="426" t="s">
        <v>9010</v>
      </c>
      <c r="B19" s="117">
        <v>6732.0</v>
      </c>
      <c r="C19" s="136" t="s">
        <v>8991</v>
      </c>
      <c r="D19" s="179">
        <v>0.73</v>
      </c>
      <c r="E19" s="179">
        <v>0.73</v>
      </c>
      <c r="F19" s="229" t="s">
        <v>1656</v>
      </c>
      <c r="K19" s="427"/>
      <c r="T19" s="195" t="s">
        <v>9010</v>
      </c>
      <c r="U19" s="11">
        <v>6732.0</v>
      </c>
    </row>
    <row r="20" hidden="1">
      <c r="A20" s="426" t="s">
        <v>9011</v>
      </c>
      <c r="B20" s="117">
        <v>6732.0</v>
      </c>
      <c r="C20" s="136" t="s">
        <v>8991</v>
      </c>
      <c r="D20" s="179">
        <v>0.73</v>
      </c>
      <c r="E20" s="179">
        <v>0.73</v>
      </c>
      <c r="F20" s="229" t="s">
        <v>1656</v>
      </c>
      <c r="K20" s="427"/>
      <c r="T20" s="195" t="s">
        <v>9011</v>
      </c>
      <c r="U20" s="11">
        <v>6732.0</v>
      </c>
    </row>
    <row r="21" hidden="1">
      <c r="A21" s="426" t="s">
        <v>9012</v>
      </c>
      <c r="B21" s="117">
        <v>6940.0</v>
      </c>
      <c r="C21" s="136" t="s">
        <v>8991</v>
      </c>
      <c r="D21" s="179">
        <v>0.73</v>
      </c>
      <c r="E21" s="179">
        <v>0.73</v>
      </c>
      <c r="F21" s="229" t="s">
        <v>1656</v>
      </c>
      <c r="K21" s="427"/>
      <c r="T21" s="195" t="s">
        <v>9012</v>
      </c>
      <c r="U21" s="11">
        <v>6940.0</v>
      </c>
    </row>
    <row r="22" hidden="1">
      <c r="A22" s="428" t="s">
        <v>9013</v>
      </c>
      <c r="B22" s="289">
        <v>6924.0</v>
      </c>
      <c r="C22" s="136" t="s">
        <v>8991</v>
      </c>
      <c r="D22" s="179">
        <v>0.73</v>
      </c>
      <c r="E22" s="179">
        <v>0.73</v>
      </c>
      <c r="F22" s="229" t="s">
        <v>1656</v>
      </c>
      <c r="K22" s="427"/>
      <c r="T22" s="195" t="s">
        <v>9013</v>
      </c>
      <c r="U22" s="11">
        <v>6924.0</v>
      </c>
    </row>
    <row r="23" hidden="1">
      <c r="A23" s="426" t="s">
        <v>9014</v>
      </c>
      <c r="B23" s="117">
        <v>7031.0</v>
      </c>
      <c r="C23" s="136" t="s">
        <v>8991</v>
      </c>
      <c r="D23" s="179">
        <v>0.73</v>
      </c>
      <c r="E23" s="179">
        <v>0.73</v>
      </c>
      <c r="F23" s="229" t="s">
        <v>1656</v>
      </c>
      <c r="K23" s="427"/>
      <c r="T23" s="195" t="s">
        <v>9014</v>
      </c>
      <c r="U23" s="11">
        <v>7031.0</v>
      </c>
    </row>
    <row r="24" hidden="1">
      <c r="A24" s="426" t="s">
        <v>9015</v>
      </c>
      <c r="B24" s="117">
        <v>7416.0</v>
      </c>
      <c r="C24" s="136" t="s">
        <v>8991</v>
      </c>
      <c r="D24" s="179">
        <v>0.73</v>
      </c>
      <c r="E24" s="179">
        <v>0.73</v>
      </c>
      <c r="F24" s="229" t="s">
        <v>1656</v>
      </c>
      <c r="K24" s="427"/>
      <c r="T24" s="195" t="s">
        <v>9015</v>
      </c>
      <c r="U24" s="11">
        <v>7416.0</v>
      </c>
    </row>
    <row r="25" hidden="1">
      <c r="A25" s="426" t="s">
        <v>9016</v>
      </c>
      <c r="B25" s="117">
        <v>13862.0</v>
      </c>
      <c r="C25" s="136" t="s">
        <v>8991</v>
      </c>
      <c r="D25" s="179">
        <v>0.73</v>
      </c>
      <c r="E25" s="179">
        <v>0.73</v>
      </c>
      <c r="F25" s="229" t="s">
        <v>1656</v>
      </c>
      <c r="K25" s="427"/>
      <c r="T25" s="195" t="s">
        <v>9016</v>
      </c>
      <c r="U25" s="11">
        <v>13862.0</v>
      </c>
    </row>
    <row r="26" hidden="1">
      <c r="A26" s="426" t="s">
        <v>9017</v>
      </c>
      <c r="B26" s="117">
        <v>6903.0</v>
      </c>
      <c r="C26" s="136" t="s">
        <v>8991</v>
      </c>
      <c r="D26" s="179">
        <v>0.73</v>
      </c>
      <c r="E26" s="179">
        <v>0.73</v>
      </c>
      <c r="F26" s="229" t="s">
        <v>1656</v>
      </c>
      <c r="K26" s="427"/>
      <c r="T26" s="195" t="s">
        <v>9017</v>
      </c>
      <c r="U26" s="11">
        <v>6903.0</v>
      </c>
    </row>
    <row r="27" hidden="1">
      <c r="A27" s="428" t="s">
        <v>9018</v>
      </c>
      <c r="B27" s="289">
        <v>6779.0</v>
      </c>
      <c r="C27" s="136" t="s">
        <v>8991</v>
      </c>
      <c r="D27" s="179">
        <v>0.73</v>
      </c>
      <c r="E27" s="179">
        <v>0.73</v>
      </c>
      <c r="F27" s="229" t="s">
        <v>1656</v>
      </c>
      <c r="K27" s="427"/>
      <c r="T27" s="195" t="s">
        <v>9018</v>
      </c>
    </row>
    <row r="28" hidden="1">
      <c r="A28" s="426" t="s">
        <v>9019</v>
      </c>
      <c r="B28" s="117">
        <v>84.0</v>
      </c>
      <c r="C28" s="136" t="s">
        <v>8991</v>
      </c>
      <c r="D28" s="179">
        <v>0.73</v>
      </c>
      <c r="E28" s="179">
        <v>0.73</v>
      </c>
      <c r="F28" s="229" t="s">
        <v>1656</v>
      </c>
      <c r="K28" s="427"/>
      <c r="T28" s="195" t="s">
        <v>9019</v>
      </c>
      <c r="U28" s="11">
        <v>84.0</v>
      </c>
    </row>
    <row r="29" hidden="1">
      <c r="A29" s="428" t="s">
        <v>9020</v>
      </c>
      <c r="B29" s="283"/>
      <c r="C29" s="136" t="s">
        <v>8991</v>
      </c>
      <c r="D29" s="179">
        <v>0.73</v>
      </c>
      <c r="E29" s="179">
        <v>0.73</v>
      </c>
      <c r="F29" s="229" t="s">
        <v>1656</v>
      </c>
      <c r="K29" s="427"/>
      <c r="T29" s="195" t="s">
        <v>9020</v>
      </c>
    </row>
    <row r="30" hidden="1">
      <c r="A30" s="426" t="s">
        <v>9021</v>
      </c>
      <c r="B30" s="117">
        <v>14440.0</v>
      </c>
      <c r="C30" s="136" t="s">
        <v>8991</v>
      </c>
      <c r="D30" s="179">
        <v>0.73</v>
      </c>
      <c r="E30" s="179">
        <v>0.73</v>
      </c>
      <c r="F30" s="229" t="s">
        <v>1656</v>
      </c>
      <c r="K30" s="427"/>
      <c r="T30" s="195" t="s">
        <v>9021</v>
      </c>
      <c r="U30" s="11">
        <v>14440.0</v>
      </c>
    </row>
    <row r="31" hidden="1">
      <c r="A31" s="428" t="s">
        <v>9022</v>
      </c>
      <c r="B31" s="289">
        <v>7747.0</v>
      </c>
      <c r="C31" s="136" t="s">
        <v>8991</v>
      </c>
      <c r="D31" s="179">
        <v>0.73</v>
      </c>
      <c r="E31" s="179">
        <v>0.73</v>
      </c>
      <c r="F31" s="229" t="s">
        <v>1656</v>
      </c>
      <c r="K31" s="427"/>
      <c r="T31" s="195" t="s">
        <v>9022</v>
      </c>
    </row>
    <row r="32" hidden="1">
      <c r="A32" s="426" t="s">
        <v>9023</v>
      </c>
      <c r="B32" s="117">
        <v>3689.0</v>
      </c>
      <c r="C32" s="136" t="s">
        <v>8991</v>
      </c>
      <c r="D32" s="179">
        <v>0.73</v>
      </c>
      <c r="E32" s="179">
        <v>0.73</v>
      </c>
      <c r="F32" s="229" t="s">
        <v>1656</v>
      </c>
      <c r="K32" s="427"/>
      <c r="T32" s="195" t="s">
        <v>9023</v>
      </c>
      <c r="U32" s="11">
        <v>3689.0</v>
      </c>
    </row>
    <row r="33" hidden="1">
      <c r="A33" s="426" t="s">
        <v>9024</v>
      </c>
      <c r="B33" s="117">
        <v>4431.0</v>
      </c>
      <c r="C33" s="136" t="s">
        <v>8991</v>
      </c>
      <c r="D33" s="179">
        <v>0.73</v>
      </c>
      <c r="E33" s="179">
        <v>0.73</v>
      </c>
      <c r="F33" s="229" t="s">
        <v>1656</v>
      </c>
      <c r="K33" s="427"/>
      <c r="T33" s="195" t="s">
        <v>9024</v>
      </c>
      <c r="U33" s="11">
        <v>4431.0</v>
      </c>
    </row>
    <row r="34" hidden="1">
      <c r="A34" s="426" t="s">
        <v>9025</v>
      </c>
      <c r="B34" s="117">
        <v>6998.0</v>
      </c>
      <c r="C34" s="136" t="s">
        <v>8991</v>
      </c>
      <c r="D34" s="179">
        <v>0.73</v>
      </c>
      <c r="E34" s="179">
        <v>0.73</v>
      </c>
      <c r="F34" s="229" t="s">
        <v>1656</v>
      </c>
      <c r="K34" s="427"/>
      <c r="T34" s="195" t="s">
        <v>9025</v>
      </c>
      <c r="U34" s="11">
        <v>6998.0</v>
      </c>
    </row>
    <row r="35" hidden="1">
      <c r="A35" s="426" t="s">
        <v>9026</v>
      </c>
      <c r="B35" s="117">
        <v>1360.0</v>
      </c>
      <c r="C35" s="136" t="s">
        <v>8991</v>
      </c>
      <c r="D35" s="179">
        <v>0.73</v>
      </c>
      <c r="E35" s="179">
        <v>0.73</v>
      </c>
      <c r="F35" s="229" t="s">
        <v>1656</v>
      </c>
      <c r="K35" s="427"/>
      <c r="T35" s="195" t="s">
        <v>9026</v>
      </c>
      <c r="U35" s="11">
        <v>1360.0</v>
      </c>
    </row>
    <row r="36" hidden="1">
      <c r="A36" s="428" t="s">
        <v>9027</v>
      </c>
      <c r="B36" s="289">
        <v>12553.0</v>
      </c>
      <c r="C36" s="136" t="s">
        <v>8991</v>
      </c>
      <c r="D36" s="179">
        <v>0.73</v>
      </c>
      <c r="E36" s="179">
        <v>0.73</v>
      </c>
      <c r="F36" s="229" t="s">
        <v>1656</v>
      </c>
      <c r="K36" s="427"/>
      <c r="T36" s="195" t="s">
        <v>9027</v>
      </c>
    </row>
    <row r="37" hidden="1">
      <c r="A37" s="428" t="s">
        <v>9028</v>
      </c>
      <c r="B37" s="289">
        <v>10856.0</v>
      </c>
      <c r="C37" s="136" t="s">
        <v>8991</v>
      </c>
      <c r="D37" s="179">
        <v>0.73</v>
      </c>
      <c r="E37" s="179">
        <v>0.73</v>
      </c>
      <c r="F37" s="229" t="s">
        <v>1656</v>
      </c>
      <c r="K37" s="427"/>
      <c r="T37" s="195" t="s">
        <v>9028</v>
      </c>
      <c r="U37" s="11">
        <v>10856.0</v>
      </c>
    </row>
    <row r="38" hidden="1">
      <c r="A38" s="428" t="s">
        <v>9029</v>
      </c>
      <c r="B38" s="16">
        <v>13862.0</v>
      </c>
      <c r="C38" s="136" t="s">
        <v>8991</v>
      </c>
      <c r="D38" s="179">
        <v>0.73</v>
      </c>
      <c r="E38" s="179">
        <v>0.73</v>
      </c>
      <c r="F38" s="229" t="s">
        <v>1656</v>
      </c>
      <c r="K38" s="427"/>
      <c r="T38" s="195" t="s">
        <v>9029</v>
      </c>
    </row>
    <row r="39" hidden="1">
      <c r="A39" s="426" t="s">
        <v>9030</v>
      </c>
      <c r="B39" s="117">
        <v>6736.0</v>
      </c>
      <c r="C39" s="136" t="s">
        <v>8991</v>
      </c>
      <c r="D39" s="179">
        <v>0.73</v>
      </c>
      <c r="E39" s="179">
        <v>0.73</v>
      </c>
      <c r="F39" s="229" t="s">
        <v>1656</v>
      </c>
      <c r="K39" s="427"/>
      <c r="T39" s="195" t="s">
        <v>9030</v>
      </c>
      <c r="U39" s="11">
        <v>6736.0</v>
      </c>
    </row>
    <row r="40" hidden="1">
      <c r="A40" s="428" t="s">
        <v>9031</v>
      </c>
      <c r="B40" s="289">
        <v>14659.0</v>
      </c>
      <c r="C40" s="136" t="s">
        <v>8991</v>
      </c>
      <c r="D40" s="179">
        <v>0.73</v>
      </c>
      <c r="E40" s="179">
        <v>0.73</v>
      </c>
      <c r="F40" s="229" t="s">
        <v>1656</v>
      </c>
      <c r="K40" s="427"/>
      <c r="T40" s="195" t="s">
        <v>9031</v>
      </c>
    </row>
    <row r="41" hidden="1">
      <c r="A41" s="428" t="s">
        <v>9032</v>
      </c>
      <c r="B41" s="283"/>
      <c r="C41" s="136" t="s">
        <v>8991</v>
      </c>
      <c r="D41" s="179">
        <v>0.73</v>
      </c>
      <c r="E41" s="179">
        <v>0.73</v>
      </c>
      <c r="F41" s="229" t="s">
        <v>1656</v>
      </c>
      <c r="K41" s="427"/>
      <c r="T41" s="195" t="s">
        <v>9032</v>
      </c>
    </row>
    <row r="42" hidden="1">
      <c r="A42" s="426" t="s">
        <v>9033</v>
      </c>
      <c r="B42" s="117">
        <v>10393.0</v>
      </c>
      <c r="C42" s="136" t="s">
        <v>8991</v>
      </c>
      <c r="D42" s="179">
        <v>0.73</v>
      </c>
      <c r="E42" s="179">
        <v>0.73</v>
      </c>
      <c r="F42" s="229" t="s">
        <v>1656</v>
      </c>
      <c r="K42" s="427"/>
      <c r="T42" s="195" t="s">
        <v>9033</v>
      </c>
      <c r="U42" s="11">
        <v>10393.0</v>
      </c>
    </row>
    <row r="43" hidden="1">
      <c r="A43" s="426" t="s">
        <v>9034</v>
      </c>
      <c r="B43" s="117">
        <v>7003.0</v>
      </c>
      <c r="C43" s="136" t="s">
        <v>8991</v>
      </c>
      <c r="D43" s="179">
        <v>0.82</v>
      </c>
      <c r="E43" s="179">
        <v>0.82</v>
      </c>
      <c r="F43" s="229" t="s">
        <v>1656</v>
      </c>
      <c r="K43" s="427"/>
      <c r="T43" s="195" t="s">
        <v>9034</v>
      </c>
      <c r="U43" s="11">
        <v>7003.0</v>
      </c>
    </row>
    <row r="44" hidden="1">
      <c r="A44" s="426" t="s">
        <v>9035</v>
      </c>
      <c r="B44" s="117">
        <v>5389.0</v>
      </c>
      <c r="C44" s="136" t="s">
        <v>8991</v>
      </c>
      <c r="D44" s="179">
        <v>0.73</v>
      </c>
      <c r="E44" s="179">
        <v>0.73</v>
      </c>
      <c r="F44" s="229" t="s">
        <v>1656</v>
      </c>
      <c r="K44" s="427"/>
      <c r="T44" s="195" t="s">
        <v>9035</v>
      </c>
      <c r="U44" s="11">
        <v>5389.0</v>
      </c>
    </row>
    <row r="45" hidden="1">
      <c r="A45" s="426" t="s">
        <v>9036</v>
      </c>
      <c r="B45" s="117">
        <v>5389.0</v>
      </c>
      <c r="C45" s="136" t="s">
        <v>8991</v>
      </c>
      <c r="D45" s="179">
        <v>0.73</v>
      </c>
      <c r="E45" s="179">
        <v>0.73</v>
      </c>
      <c r="F45" s="229" t="s">
        <v>1656</v>
      </c>
      <c r="K45" s="427"/>
      <c r="T45" s="195" t="s">
        <v>9036</v>
      </c>
      <c r="U45" s="11">
        <v>5389.0</v>
      </c>
    </row>
    <row r="46" hidden="1">
      <c r="A46" s="426" t="s">
        <v>9037</v>
      </c>
      <c r="B46" s="117">
        <v>6272.0</v>
      </c>
      <c r="C46" s="136" t="s">
        <v>8991</v>
      </c>
      <c r="D46" s="179">
        <v>0.73</v>
      </c>
      <c r="E46" s="179">
        <v>0.73</v>
      </c>
      <c r="F46" s="229" t="s">
        <v>1656</v>
      </c>
      <c r="K46" s="427"/>
      <c r="T46" s="195" t="s">
        <v>9037</v>
      </c>
      <c r="U46" s="11">
        <v>6272.0</v>
      </c>
    </row>
    <row r="47" hidden="1">
      <c r="A47" s="428" t="s">
        <v>9038</v>
      </c>
      <c r="B47" s="283"/>
      <c r="C47" s="136" t="s">
        <v>8991</v>
      </c>
      <c r="D47" s="179">
        <v>0.73</v>
      </c>
      <c r="E47" s="179">
        <v>0.73</v>
      </c>
      <c r="F47" s="229" t="s">
        <v>1656</v>
      </c>
      <c r="K47" s="427"/>
      <c r="T47" s="195" t="s">
        <v>9038</v>
      </c>
    </row>
    <row r="48" hidden="1">
      <c r="A48" s="428" t="s">
        <v>9039</v>
      </c>
      <c r="B48" s="289">
        <v>14580.0</v>
      </c>
      <c r="C48" s="136" t="s">
        <v>8991</v>
      </c>
      <c r="D48" s="179">
        <v>0.73</v>
      </c>
      <c r="E48" s="179">
        <v>0.73</v>
      </c>
      <c r="F48" s="229" t="s">
        <v>1656</v>
      </c>
      <c r="K48" s="427"/>
      <c r="T48" s="195" t="s">
        <v>9039</v>
      </c>
    </row>
    <row r="49" hidden="1">
      <c r="A49" s="426" t="s">
        <v>9040</v>
      </c>
      <c r="B49" s="117">
        <v>12550.0</v>
      </c>
      <c r="C49" s="136" t="s">
        <v>8991</v>
      </c>
      <c r="D49" s="179">
        <v>0.73</v>
      </c>
      <c r="E49" s="179">
        <v>0.73</v>
      </c>
      <c r="F49" s="229" t="s">
        <v>1656</v>
      </c>
      <c r="K49" s="427"/>
      <c r="T49" s="195" t="s">
        <v>9040</v>
      </c>
      <c r="U49" s="11">
        <v>12550.0</v>
      </c>
    </row>
    <row r="50" hidden="1">
      <c r="A50" s="426" t="s">
        <v>9041</v>
      </c>
      <c r="B50" s="117">
        <v>14065.0</v>
      </c>
      <c r="C50" s="136" t="s">
        <v>8991</v>
      </c>
      <c r="D50" s="179">
        <v>0.73</v>
      </c>
      <c r="E50" s="179">
        <v>0.73</v>
      </c>
      <c r="F50" s="229" t="s">
        <v>1656</v>
      </c>
      <c r="K50" s="427"/>
      <c r="T50" s="195" t="s">
        <v>9041</v>
      </c>
      <c r="U50" s="11">
        <v>14065.0</v>
      </c>
    </row>
    <row r="51" hidden="1">
      <c r="A51" s="428" t="s">
        <v>9042</v>
      </c>
      <c r="B51" s="283"/>
      <c r="C51" s="136" t="s">
        <v>8991</v>
      </c>
      <c r="D51" s="179">
        <v>0.73</v>
      </c>
      <c r="E51" s="179">
        <v>0.73</v>
      </c>
      <c r="F51" s="229" t="s">
        <v>1656</v>
      </c>
      <c r="K51" s="427"/>
      <c r="T51" s="195" t="s">
        <v>9042</v>
      </c>
    </row>
    <row r="52" hidden="1">
      <c r="A52" s="426" t="s">
        <v>9043</v>
      </c>
      <c r="B52" s="117">
        <v>13951.0</v>
      </c>
      <c r="C52" s="136" t="s">
        <v>8991</v>
      </c>
      <c r="D52" s="179">
        <v>0.73</v>
      </c>
      <c r="E52" s="179">
        <v>0.73</v>
      </c>
      <c r="F52" s="229" t="s">
        <v>1656</v>
      </c>
      <c r="K52" s="427"/>
      <c r="T52" s="195" t="s">
        <v>9043</v>
      </c>
      <c r="U52" s="11">
        <v>13951.0</v>
      </c>
    </row>
    <row r="53" hidden="1">
      <c r="A53" s="428" t="s">
        <v>9044</v>
      </c>
      <c r="B53" s="289">
        <v>6722.0</v>
      </c>
      <c r="C53" s="136" t="s">
        <v>8991</v>
      </c>
      <c r="D53" s="179">
        <v>0.73</v>
      </c>
      <c r="E53" s="179">
        <v>0.73</v>
      </c>
      <c r="F53" s="229" t="s">
        <v>1656</v>
      </c>
      <c r="K53" s="427"/>
      <c r="T53" s="195" t="s">
        <v>9044</v>
      </c>
    </row>
    <row r="54" hidden="1">
      <c r="A54" s="428" t="s">
        <v>9045</v>
      </c>
      <c r="B54" s="11">
        <v>14480.0</v>
      </c>
      <c r="C54" s="136" t="s">
        <v>8991</v>
      </c>
      <c r="D54" s="179">
        <v>0.73</v>
      </c>
      <c r="E54" s="179">
        <v>0.73</v>
      </c>
      <c r="F54" s="229" t="s">
        <v>1656</v>
      </c>
      <c r="K54" s="427"/>
      <c r="T54" s="195" t="s">
        <v>9045</v>
      </c>
    </row>
    <row r="55" hidden="1">
      <c r="A55" s="428" t="s">
        <v>9046</v>
      </c>
      <c r="B55" s="289">
        <v>12388.0</v>
      </c>
      <c r="C55" s="136" t="s">
        <v>8991</v>
      </c>
      <c r="D55" s="179">
        <v>0.73</v>
      </c>
      <c r="E55" s="179">
        <v>0.73</v>
      </c>
      <c r="F55" s="229" t="s">
        <v>1656</v>
      </c>
      <c r="K55" s="427"/>
      <c r="T55" s="195" t="s">
        <v>9046</v>
      </c>
    </row>
    <row r="56" hidden="1">
      <c r="A56" s="428" t="s">
        <v>9047</v>
      </c>
      <c r="B56" s="283"/>
      <c r="C56" s="136" t="s">
        <v>8991</v>
      </c>
      <c r="D56" s="179">
        <v>0.73</v>
      </c>
      <c r="E56" s="179">
        <v>0.73</v>
      </c>
      <c r="F56" s="229" t="s">
        <v>1656</v>
      </c>
      <c r="K56" s="427"/>
      <c r="T56" s="195" t="s">
        <v>9047</v>
      </c>
    </row>
    <row r="57" hidden="1">
      <c r="A57" s="426" t="s">
        <v>9048</v>
      </c>
      <c r="B57" s="117">
        <v>6924.0</v>
      </c>
      <c r="C57" s="136" t="s">
        <v>8991</v>
      </c>
      <c r="D57" s="179">
        <v>0.73</v>
      </c>
      <c r="E57" s="179">
        <v>0.73</v>
      </c>
      <c r="F57" s="229" t="s">
        <v>1656</v>
      </c>
      <c r="K57" s="427"/>
      <c r="T57" s="195" t="s">
        <v>9048</v>
      </c>
      <c r="U57" s="11">
        <v>6924.0</v>
      </c>
    </row>
    <row r="58" hidden="1">
      <c r="A58" s="428" t="s">
        <v>9049</v>
      </c>
      <c r="B58" s="283"/>
      <c r="C58" s="136" t="s">
        <v>8991</v>
      </c>
      <c r="D58" s="179">
        <v>0.73</v>
      </c>
      <c r="E58" s="179">
        <v>0.73</v>
      </c>
      <c r="F58" s="229" t="s">
        <v>1656</v>
      </c>
      <c r="K58" s="427"/>
      <c r="T58" s="195" t="s">
        <v>9049</v>
      </c>
    </row>
    <row r="59" hidden="1">
      <c r="A59" s="428" t="s">
        <v>9050</v>
      </c>
      <c r="B59" s="289">
        <v>6668.0</v>
      </c>
      <c r="C59" s="136" t="s">
        <v>8991</v>
      </c>
      <c r="D59" s="179">
        <v>0.73</v>
      </c>
      <c r="E59" s="179">
        <v>0.73</v>
      </c>
      <c r="F59" s="229" t="s">
        <v>1656</v>
      </c>
      <c r="K59" s="427"/>
      <c r="T59" s="195" t="s">
        <v>9050</v>
      </c>
    </row>
    <row r="60" hidden="1">
      <c r="A60" s="428" t="s">
        <v>9051</v>
      </c>
      <c r="B60" s="289">
        <v>6924.0</v>
      </c>
      <c r="C60" s="136" t="s">
        <v>8991</v>
      </c>
      <c r="D60" s="179">
        <v>0.73</v>
      </c>
      <c r="E60" s="179">
        <v>0.73</v>
      </c>
      <c r="F60" s="229" t="s">
        <v>1656</v>
      </c>
      <c r="K60" s="427"/>
      <c r="T60" s="195" t="s">
        <v>9051</v>
      </c>
      <c r="U60" s="11">
        <v>6924.0</v>
      </c>
    </row>
    <row r="61" hidden="1">
      <c r="A61" s="426" t="s">
        <v>9052</v>
      </c>
      <c r="B61" s="117">
        <v>5389.0</v>
      </c>
      <c r="C61" s="136" t="s">
        <v>8991</v>
      </c>
      <c r="D61" s="179">
        <v>0.73</v>
      </c>
      <c r="E61" s="179">
        <v>0.73</v>
      </c>
      <c r="F61" s="229" t="s">
        <v>1656</v>
      </c>
      <c r="K61" s="427"/>
      <c r="T61" s="195" t="s">
        <v>9052</v>
      </c>
      <c r="U61" s="11">
        <v>5389.0</v>
      </c>
    </row>
    <row r="62" hidden="1">
      <c r="A62" s="428" t="s">
        <v>9053</v>
      </c>
      <c r="B62" s="289">
        <v>6875.0</v>
      </c>
      <c r="C62" s="136" t="s">
        <v>8991</v>
      </c>
      <c r="D62" s="179">
        <v>0.73</v>
      </c>
      <c r="E62" s="179">
        <v>0.73</v>
      </c>
      <c r="F62" s="229" t="s">
        <v>1656</v>
      </c>
      <c r="K62" s="427"/>
      <c r="T62" s="195" t="s">
        <v>9053</v>
      </c>
    </row>
    <row r="63" hidden="1">
      <c r="A63" s="426" t="s">
        <v>9054</v>
      </c>
      <c r="B63" s="117">
        <v>6669.0</v>
      </c>
      <c r="C63" s="136" t="s">
        <v>8991</v>
      </c>
      <c r="D63" s="179">
        <v>0.73</v>
      </c>
      <c r="E63" s="179">
        <v>0.73</v>
      </c>
      <c r="F63" s="229" t="s">
        <v>1656</v>
      </c>
      <c r="K63" s="427"/>
      <c r="T63" s="195" t="s">
        <v>9054</v>
      </c>
      <c r="U63" s="11">
        <v>6669.0</v>
      </c>
    </row>
    <row r="64" hidden="1">
      <c r="A64" s="426" t="s">
        <v>9055</v>
      </c>
      <c r="B64" s="117">
        <v>6669.0</v>
      </c>
      <c r="C64" s="136" t="s">
        <v>8991</v>
      </c>
      <c r="D64" s="179">
        <v>0.73</v>
      </c>
      <c r="E64" s="179">
        <v>0.73</v>
      </c>
      <c r="F64" s="229" t="s">
        <v>1656</v>
      </c>
      <c r="K64" s="427"/>
      <c r="T64" s="195" t="s">
        <v>9055</v>
      </c>
      <c r="U64" s="11">
        <v>6669.0</v>
      </c>
    </row>
    <row r="65" hidden="1">
      <c r="A65" s="426" t="s">
        <v>9056</v>
      </c>
      <c r="B65" s="117">
        <v>11104.0</v>
      </c>
      <c r="C65" s="136" t="s">
        <v>8991</v>
      </c>
      <c r="D65" s="179">
        <v>0.73</v>
      </c>
      <c r="E65" s="179">
        <v>0.73</v>
      </c>
      <c r="F65" s="229" t="s">
        <v>1656</v>
      </c>
      <c r="K65" s="427"/>
      <c r="T65" s="195" t="s">
        <v>9056</v>
      </c>
      <c r="U65" s="11">
        <v>11104.0</v>
      </c>
    </row>
    <row r="66" hidden="1">
      <c r="A66" s="428" t="s">
        <v>9057</v>
      </c>
      <c r="B66" s="283"/>
      <c r="C66" s="136" t="s">
        <v>8991</v>
      </c>
      <c r="D66" s="179">
        <v>0.73</v>
      </c>
      <c r="E66" s="179">
        <v>0.73</v>
      </c>
      <c r="F66" s="229" t="s">
        <v>1656</v>
      </c>
      <c r="K66" s="427"/>
      <c r="T66" s="195" t="s">
        <v>9057</v>
      </c>
    </row>
    <row r="67" hidden="1">
      <c r="A67" s="428" t="s">
        <v>9058</v>
      </c>
      <c r="B67" s="283"/>
      <c r="C67" s="136" t="s">
        <v>8991</v>
      </c>
      <c r="D67" s="179">
        <v>0.73</v>
      </c>
      <c r="E67" s="179">
        <v>0.73</v>
      </c>
      <c r="F67" s="229" t="s">
        <v>1656</v>
      </c>
      <c r="K67" s="427"/>
      <c r="T67" s="195" t="s">
        <v>9058</v>
      </c>
    </row>
    <row r="68" hidden="1">
      <c r="A68" s="426" t="s">
        <v>9059</v>
      </c>
      <c r="B68" s="117">
        <v>6669.0</v>
      </c>
      <c r="C68" s="136" t="s">
        <v>8991</v>
      </c>
      <c r="D68" s="179">
        <v>0.73</v>
      </c>
      <c r="E68" s="179">
        <v>0.73</v>
      </c>
      <c r="F68" s="229" t="s">
        <v>1656</v>
      </c>
      <c r="K68" s="427"/>
      <c r="T68" s="195" t="s">
        <v>9059</v>
      </c>
      <c r="U68" s="11">
        <v>6669.0</v>
      </c>
    </row>
    <row r="69" hidden="1">
      <c r="A69" s="428" t="s">
        <v>9060</v>
      </c>
      <c r="B69" s="283"/>
      <c r="C69" s="136" t="s">
        <v>8991</v>
      </c>
      <c r="D69" s="179">
        <v>0.73</v>
      </c>
      <c r="E69" s="179">
        <v>0.73</v>
      </c>
      <c r="F69" s="229" t="s">
        <v>1656</v>
      </c>
      <c r="K69" s="427"/>
      <c r="T69" s="195" t="s">
        <v>9060</v>
      </c>
    </row>
    <row r="70" hidden="1">
      <c r="A70" s="426" t="s">
        <v>9061</v>
      </c>
      <c r="B70" s="117">
        <v>7003.0</v>
      </c>
      <c r="C70" s="136" t="s">
        <v>8991</v>
      </c>
      <c r="D70" s="179">
        <v>0.82</v>
      </c>
      <c r="E70" s="179">
        <v>0.82</v>
      </c>
      <c r="F70" s="229" t="s">
        <v>1656</v>
      </c>
      <c r="K70" s="427"/>
      <c r="T70" s="195" t="s">
        <v>9061</v>
      </c>
      <c r="U70" s="11">
        <v>7003.0</v>
      </c>
    </row>
    <row r="71" hidden="1">
      <c r="A71" s="428" t="s">
        <v>9062</v>
      </c>
      <c r="B71" s="283"/>
      <c r="C71" s="136" t="s">
        <v>8991</v>
      </c>
      <c r="D71" s="179">
        <v>0.73</v>
      </c>
      <c r="E71" s="179">
        <v>0.73</v>
      </c>
      <c r="F71" s="229" t="s">
        <v>1656</v>
      </c>
      <c r="K71" s="427"/>
      <c r="T71" s="195" t="s">
        <v>9062</v>
      </c>
    </row>
    <row r="72" hidden="1">
      <c r="A72" s="428" t="s">
        <v>9063</v>
      </c>
      <c r="B72" s="289">
        <v>6831.0</v>
      </c>
      <c r="C72" s="136" t="s">
        <v>8991</v>
      </c>
      <c r="D72" s="179">
        <v>0.73</v>
      </c>
      <c r="E72" s="179">
        <v>0.73</v>
      </c>
      <c r="F72" s="229" t="s">
        <v>1656</v>
      </c>
      <c r="K72" s="427"/>
      <c r="T72" s="195" t="s">
        <v>9063</v>
      </c>
    </row>
    <row r="73" hidden="1">
      <c r="A73" s="428" t="s">
        <v>9064</v>
      </c>
      <c r="B73" s="289">
        <v>14298.0</v>
      </c>
      <c r="C73" s="136" t="s">
        <v>8991</v>
      </c>
      <c r="D73" s="74">
        <v>0.8</v>
      </c>
      <c r="E73" s="74">
        <v>0.8</v>
      </c>
      <c r="F73" s="229" t="s">
        <v>1656</v>
      </c>
      <c r="K73" s="427"/>
      <c r="T73" s="195" t="s">
        <v>9064</v>
      </c>
      <c r="U73" s="11">
        <v>14298.0</v>
      </c>
    </row>
    <row r="74" hidden="1">
      <c r="A74" s="428" t="s">
        <v>9065</v>
      </c>
      <c r="B74" s="283"/>
      <c r="C74" s="136" t="s">
        <v>8991</v>
      </c>
      <c r="D74" s="179">
        <v>0.73</v>
      </c>
      <c r="E74" s="179">
        <v>0.73</v>
      </c>
      <c r="F74" s="229" t="s">
        <v>1656</v>
      </c>
      <c r="K74" s="427"/>
      <c r="T74" s="195" t="s">
        <v>9065</v>
      </c>
    </row>
    <row r="75" hidden="1">
      <c r="A75" s="428" t="s">
        <v>9066</v>
      </c>
      <c r="B75" s="283"/>
      <c r="C75" s="136" t="s">
        <v>8991</v>
      </c>
      <c r="D75" s="179">
        <v>0.73</v>
      </c>
      <c r="E75" s="179">
        <v>0.73</v>
      </c>
      <c r="F75" s="229" t="s">
        <v>1656</v>
      </c>
      <c r="K75" s="427"/>
      <c r="T75" s="195" t="s">
        <v>9066</v>
      </c>
    </row>
    <row r="76" hidden="1">
      <c r="A76" s="428" t="s">
        <v>9067</v>
      </c>
      <c r="B76" s="289">
        <v>14516.0</v>
      </c>
      <c r="C76" s="136" t="s">
        <v>8991</v>
      </c>
      <c r="D76" s="179">
        <v>0.73</v>
      </c>
      <c r="E76" s="179">
        <v>0.73</v>
      </c>
      <c r="F76" s="229" t="s">
        <v>1656</v>
      </c>
      <c r="K76" s="427"/>
      <c r="T76" s="195" t="s">
        <v>9067</v>
      </c>
    </row>
    <row r="77" hidden="1">
      <c r="A77" s="426" t="s">
        <v>9068</v>
      </c>
      <c r="B77" s="117">
        <v>14646.0</v>
      </c>
      <c r="C77" s="136" t="s">
        <v>8991</v>
      </c>
      <c r="D77" s="11">
        <v>315.0</v>
      </c>
      <c r="E77" s="429"/>
      <c r="F77" s="430"/>
      <c r="K77" s="427"/>
      <c r="T77" s="195" t="s">
        <v>9068</v>
      </c>
      <c r="U77" s="11">
        <v>315.0</v>
      </c>
    </row>
    <row r="78" hidden="1">
      <c r="A78" s="428" t="s">
        <v>9069</v>
      </c>
      <c r="B78" s="283"/>
      <c r="C78" s="136" t="s">
        <v>8991</v>
      </c>
      <c r="D78" s="179">
        <v>0.73</v>
      </c>
      <c r="E78" s="179">
        <v>0.73</v>
      </c>
      <c r="F78" s="430"/>
      <c r="K78" s="427"/>
      <c r="T78" s="195" t="s">
        <v>9069</v>
      </c>
    </row>
    <row r="79" hidden="1">
      <c r="A79" s="428" t="s">
        <v>9070</v>
      </c>
      <c r="B79" s="289">
        <v>14507.0</v>
      </c>
      <c r="C79" s="136" t="s">
        <v>8991</v>
      </c>
      <c r="D79" s="179">
        <v>0.73</v>
      </c>
      <c r="E79" s="179">
        <v>0.73</v>
      </c>
      <c r="F79" s="430"/>
      <c r="K79" s="427"/>
      <c r="T79" s="195" t="s">
        <v>9070</v>
      </c>
    </row>
    <row r="80" hidden="1">
      <c r="A80" s="428" t="s">
        <v>9071</v>
      </c>
      <c r="B80" s="289">
        <v>14482.0</v>
      </c>
      <c r="C80" s="136" t="s">
        <v>8991</v>
      </c>
      <c r="D80" s="179">
        <v>0.73</v>
      </c>
      <c r="E80" s="179">
        <v>0.73</v>
      </c>
      <c r="F80" s="430"/>
      <c r="K80" s="427"/>
      <c r="T80" s="195" t="s">
        <v>9071</v>
      </c>
    </row>
    <row r="81" hidden="1">
      <c r="A81" s="428" t="s">
        <v>9072</v>
      </c>
      <c r="B81" s="283"/>
      <c r="C81" s="136" t="s">
        <v>8991</v>
      </c>
      <c r="D81" s="179">
        <v>0.73</v>
      </c>
      <c r="E81" s="179">
        <v>0.73</v>
      </c>
      <c r="F81" s="430"/>
      <c r="K81" s="427"/>
      <c r="T81" s="195" t="s">
        <v>9072</v>
      </c>
    </row>
    <row r="82" hidden="1">
      <c r="A82" s="428" t="s">
        <v>9073</v>
      </c>
      <c r="B82" s="289">
        <v>14525.0</v>
      </c>
      <c r="C82" s="136" t="s">
        <v>8991</v>
      </c>
      <c r="D82" s="179">
        <v>0.73</v>
      </c>
      <c r="E82" s="179">
        <v>0.73</v>
      </c>
      <c r="F82" s="430"/>
      <c r="K82" s="427"/>
      <c r="T82" s="195" t="s">
        <v>9073</v>
      </c>
    </row>
    <row r="83" hidden="1">
      <c r="A83" s="428" t="s">
        <v>9074</v>
      </c>
      <c r="B83" s="289">
        <v>7083.0</v>
      </c>
      <c r="C83" s="136" t="s">
        <v>8991</v>
      </c>
      <c r="D83" s="179">
        <v>0.73</v>
      </c>
      <c r="E83" s="179">
        <v>0.73</v>
      </c>
      <c r="F83" s="430"/>
      <c r="K83" s="427"/>
      <c r="T83" s="195" t="s">
        <v>9074</v>
      </c>
      <c r="U83" s="11">
        <v>7083.0</v>
      </c>
    </row>
    <row r="84" hidden="1">
      <c r="A84" s="428" t="s">
        <v>9075</v>
      </c>
      <c r="B84" s="283"/>
      <c r="C84" s="136" t="s">
        <v>8991</v>
      </c>
      <c r="D84" s="179">
        <v>0.73</v>
      </c>
      <c r="E84" s="179">
        <v>0.73</v>
      </c>
      <c r="F84" s="430"/>
      <c r="K84" s="427"/>
      <c r="T84" s="195" t="s">
        <v>9075</v>
      </c>
    </row>
    <row r="85" hidden="1">
      <c r="A85" s="426" t="s">
        <v>9076</v>
      </c>
      <c r="B85" s="117">
        <v>12932.0</v>
      </c>
      <c r="C85" s="136" t="s">
        <v>8991</v>
      </c>
      <c r="D85" s="179">
        <v>0.73</v>
      </c>
      <c r="E85" s="179">
        <v>0.73</v>
      </c>
      <c r="F85" s="430"/>
      <c r="K85" s="427"/>
      <c r="T85" s="195" t="s">
        <v>9076</v>
      </c>
      <c r="U85" s="11">
        <v>12932.0</v>
      </c>
    </row>
    <row r="86" hidden="1">
      <c r="A86" s="428" t="s">
        <v>9077</v>
      </c>
      <c r="B86" s="283"/>
      <c r="C86" s="136" t="s">
        <v>8991</v>
      </c>
      <c r="D86" s="179">
        <v>0.73</v>
      </c>
      <c r="E86" s="179">
        <v>0.73</v>
      </c>
      <c r="F86" s="430"/>
      <c r="K86" s="427"/>
      <c r="T86" s="195" t="s">
        <v>9077</v>
      </c>
    </row>
    <row r="87" hidden="1">
      <c r="A87" s="428" t="s">
        <v>9078</v>
      </c>
      <c r="B87" s="283"/>
      <c r="C87" s="136" t="s">
        <v>8991</v>
      </c>
      <c r="D87" s="179">
        <v>0.73</v>
      </c>
      <c r="E87" s="179">
        <v>0.73</v>
      </c>
      <c r="F87" s="430"/>
      <c r="K87" s="427"/>
      <c r="T87" s="195" t="s">
        <v>9078</v>
      </c>
    </row>
    <row r="88" hidden="1">
      <c r="A88" s="428" t="s">
        <v>9079</v>
      </c>
      <c r="B88" s="283"/>
      <c r="C88" s="136" t="s">
        <v>8991</v>
      </c>
      <c r="D88" s="179">
        <v>0.73</v>
      </c>
      <c r="E88" s="179">
        <v>0.73</v>
      </c>
      <c r="F88" s="430"/>
      <c r="K88" s="427"/>
      <c r="T88" s="195" t="s">
        <v>9079</v>
      </c>
    </row>
    <row r="89" hidden="1">
      <c r="A89" s="426" t="s">
        <v>9080</v>
      </c>
      <c r="B89" s="117">
        <v>14482.0</v>
      </c>
      <c r="C89" s="136" t="s">
        <v>8991</v>
      </c>
      <c r="D89" s="179">
        <v>0.73</v>
      </c>
      <c r="E89" s="179">
        <v>0.73</v>
      </c>
      <c r="F89" s="430"/>
      <c r="K89" s="427"/>
      <c r="T89" s="195" t="s">
        <v>9080</v>
      </c>
      <c r="U89" s="11">
        <v>4193.0</v>
      </c>
    </row>
    <row r="90" hidden="1">
      <c r="A90" s="426" t="s">
        <v>9081</v>
      </c>
      <c r="B90" s="117">
        <v>14482.0</v>
      </c>
      <c r="C90" s="136" t="s">
        <v>8991</v>
      </c>
      <c r="D90" s="179">
        <v>0.73</v>
      </c>
      <c r="E90" s="179">
        <v>0.73</v>
      </c>
      <c r="F90" s="430"/>
      <c r="K90" s="427"/>
      <c r="T90" s="195" t="s">
        <v>9081</v>
      </c>
      <c r="U90" s="11">
        <v>4193.0</v>
      </c>
    </row>
    <row r="91" hidden="1">
      <c r="A91" s="426" t="s">
        <v>9082</v>
      </c>
      <c r="B91" s="117">
        <v>663.0</v>
      </c>
      <c r="C91" s="136" t="s">
        <v>8991</v>
      </c>
      <c r="D91" s="179">
        <v>0.73</v>
      </c>
      <c r="E91" s="179">
        <v>0.73</v>
      </c>
      <c r="F91" s="430"/>
      <c r="K91" s="427"/>
      <c r="T91" s="195" t="s">
        <v>9082</v>
      </c>
      <c r="U91" s="11">
        <v>663.0</v>
      </c>
    </row>
    <row r="92" hidden="1">
      <c r="A92" s="428" t="s">
        <v>9083</v>
      </c>
      <c r="B92" s="283"/>
      <c r="C92" s="136" t="s">
        <v>8991</v>
      </c>
      <c r="D92" s="179">
        <v>0.73</v>
      </c>
      <c r="E92" s="179">
        <v>0.73</v>
      </c>
      <c r="F92" s="430"/>
      <c r="T92" s="195" t="s">
        <v>9083</v>
      </c>
    </row>
    <row r="93" hidden="1">
      <c r="A93" s="426" t="s">
        <v>9084</v>
      </c>
      <c r="B93" s="117">
        <v>663.0</v>
      </c>
      <c r="C93" s="136" t="s">
        <v>8991</v>
      </c>
      <c r="D93" s="179">
        <v>0.73</v>
      </c>
      <c r="E93" s="179">
        <v>0.73</v>
      </c>
      <c r="F93" s="430"/>
      <c r="T93" s="195" t="s">
        <v>9084</v>
      </c>
      <c r="U93" s="11">
        <v>663.0</v>
      </c>
    </row>
    <row r="94" hidden="1">
      <c r="A94" s="426" t="s">
        <v>9085</v>
      </c>
      <c r="B94" s="117">
        <v>663.0</v>
      </c>
      <c r="C94" s="136" t="s">
        <v>8991</v>
      </c>
      <c r="D94" s="179">
        <v>0.73</v>
      </c>
      <c r="E94" s="179">
        <v>0.73</v>
      </c>
      <c r="F94" s="430"/>
      <c r="T94" s="195" t="s">
        <v>9085</v>
      </c>
      <c r="U94" s="11">
        <v>663.0</v>
      </c>
    </row>
    <row r="95" hidden="1">
      <c r="A95" s="426" t="s">
        <v>9086</v>
      </c>
      <c r="B95" s="117">
        <v>7149.0</v>
      </c>
      <c r="C95" s="136" t="s">
        <v>8991</v>
      </c>
      <c r="D95" s="179">
        <v>0.73</v>
      </c>
      <c r="E95" s="179">
        <v>0.73</v>
      </c>
      <c r="F95" s="430"/>
      <c r="T95" s="195" t="s">
        <v>9086</v>
      </c>
      <c r="U95" s="11">
        <v>7149.0</v>
      </c>
    </row>
    <row r="96" hidden="1">
      <c r="A96" s="426" t="s">
        <v>9087</v>
      </c>
      <c r="B96" s="117">
        <v>7149.0</v>
      </c>
      <c r="C96" s="136" t="s">
        <v>8991</v>
      </c>
      <c r="D96" s="179">
        <v>0.73</v>
      </c>
      <c r="E96" s="179">
        <v>0.73</v>
      </c>
      <c r="F96" s="430"/>
      <c r="T96" s="195" t="s">
        <v>9087</v>
      </c>
      <c r="U96" s="11">
        <v>7149.0</v>
      </c>
    </row>
    <row r="97" hidden="1">
      <c r="A97" s="426" t="s">
        <v>9088</v>
      </c>
      <c r="B97" s="117">
        <v>7149.0</v>
      </c>
      <c r="C97" s="136" t="s">
        <v>8991</v>
      </c>
      <c r="D97" s="179">
        <v>0.73</v>
      </c>
      <c r="E97" s="179">
        <v>0.73</v>
      </c>
      <c r="F97" s="430"/>
      <c r="T97" s="195" t="s">
        <v>9088</v>
      </c>
      <c r="U97" s="11">
        <v>7149.0</v>
      </c>
    </row>
    <row r="98" hidden="1">
      <c r="A98" s="428" t="s">
        <v>9089</v>
      </c>
      <c r="B98" s="283"/>
      <c r="C98" s="136" t="s">
        <v>8991</v>
      </c>
      <c r="D98" s="179">
        <v>0.73</v>
      </c>
      <c r="E98" s="179">
        <v>0.73</v>
      </c>
      <c r="F98" s="430"/>
      <c r="T98" s="195" t="s">
        <v>9089</v>
      </c>
    </row>
    <row r="99" hidden="1">
      <c r="A99" s="428" t="s">
        <v>9090</v>
      </c>
      <c r="B99" s="283"/>
      <c r="C99" s="136" t="s">
        <v>8991</v>
      </c>
      <c r="D99" s="179">
        <v>0.73</v>
      </c>
      <c r="E99" s="179">
        <v>0.73</v>
      </c>
      <c r="F99" s="430"/>
      <c r="T99" s="195" t="s">
        <v>9090</v>
      </c>
    </row>
    <row r="100" hidden="1">
      <c r="A100" s="426" t="s">
        <v>9091</v>
      </c>
      <c r="B100" s="131">
        <v>7096.0</v>
      </c>
      <c r="C100" s="136" t="s">
        <v>8991</v>
      </c>
      <c r="D100" s="179">
        <v>0.73</v>
      </c>
      <c r="E100" s="179">
        <v>0.73</v>
      </c>
      <c r="F100" s="430"/>
      <c r="T100" s="195" t="s">
        <v>9091</v>
      </c>
      <c r="U100" s="158">
        <v>7096.0</v>
      </c>
    </row>
    <row r="101" hidden="1">
      <c r="A101" s="426" t="s">
        <v>9092</v>
      </c>
      <c r="B101" s="117">
        <v>3616.0</v>
      </c>
      <c r="C101" s="136" t="s">
        <v>8991</v>
      </c>
      <c r="D101" s="179">
        <v>0.73</v>
      </c>
      <c r="E101" s="179">
        <v>0.73</v>
      </c>
      <c r="F101" s="430"/>
      <c r="T101" s="195" t="s">
        <v>9092</v>
      </c>
      <c r="U101" s="11">
        <v>3616.0</v>
      </c>
    </row>
    <row r="102" hidden="1">
      <c r="A102" s="426" t="s">
        <v>9093</v>
      </c>
      <c r="B102" s="117">
        <v>7137.0</v>
      </c>
      <c r="C102" s="136" t="s">
        <v>8991</v>
      </c>
      <c r="D102" s="179">
        <v>0.73</v>
      </c>
      <c r="E102" s="179">
        <v>0.73</v>
      </c>
      <c r="F102" s="430"/>
      <c r="T102" s="195" t="s">
        <v>9093</v>
      </c>
      <c r="U102" s="11">
        <v>7137.0</v>
      </c>
    </row>
    <row r="103" hidden="1">
      <c r="A103" s="428" t="s">
        <v>9094</v>
      </c>
      <c r="B103" s="283"/>
      <c r="C103" s="136" t="s">
        <v>8991</v>
      </c>
      <c r="D103" s="179">
        <v>0.73</v>
      </c>
      <c r="E103" s="179">
        <v>0.73</v>
      </c>
      <c r="F103" s="430"/>
      <c r="T103" s="195" t="s">
        <v>9094</v>
      </c>
    </row>
    <row r="104" hidden="1">
      <c r="A104" s="426" t="s">
        <v>9095</v>
      </c>
      <c r="B104" s="117">
        <v>12078.0</v>
      </c>
      <c r="C104" s="136" t="s">
        <v>8991</v>
      </c>
      <c r="D104" s="179">
        <v>0.73</v>
      </c>
      <c r="E104" s="179">
        <v>0.73</v>
      </c>
      <c r="F104" s="430"/>
      <c r="T104" s="195" t="s">
        <v>9095</v>
      </c>
      <c r="U104" s="11">
        <v>12078.0</v>
      </c>
    </row>
    <row r="105" hidden="1">
      <c r="A105" s="426" t="s">
        <v>9096</v>
      </c>
      <c r="B105" s="117">
        <v>6728.0</v>
      </c>
      <c r="C105" s="136" t="s">
        <v>8991</v>
      </c>
      <c r="D105" s="74">
        <v>0.85</v>
      </c>
      <c r="E105" s="74">
        <v>0.85</v>
      </c>
      <c r="F105" s="430"/>
      <c r="T105" s="195" t="s">
        <v>9096</v>
      </c>
      <c r="U105" s="11">
        <v>6728.0</v>
      </c>
    </row>
    <row r="106" hidden="1">
      <c r="A106" s="428" t="s">
        <v>9097</v>
      </c>
      <c r="B106" s="283"/>
      <c r="C106" s="136" t="s">
        <v>8991</v>
      </c>
      <c r="D106" s="179">
        <v>0.73</v>
      </c>
      <c r="E106" s="179">
        <v>0.73</v>
      </c>
      <c r="F106" s="430"/>
      <c r="T106" s="195" t="s">
        <v>9097</v>
      </c>
    </row>
    <row r="107" hidden="1">
      <c r="A107" s="428" t="s">
        <v>9098</v>
      </c>
      <c r="B107" s="283"/>
      <c r="C107" s="136" t="s">
        <v>8991</v>
      </c>
      <c r="D107" s="179">
        <v>0.73</v>
      </c>
      <c r="E107" s="179">
        <v>0.73</v>
      </c>
      <c r="F107" s="430"/>
      <c r="T107" s="195" t="s">
        <v>9098</v>
      </c>
    </row>
    <row r="108" hidden="1">
      <c r="A108" s="426" t="s">
        <v>9099</v>
      </c>
      <c r="B108" s="117">
        <v>12609.0</v>
      </c>
      <c r="C108" s="136" t="s">
        <v>8991</v>
      </c>
      <c r="D108" s="179">
        <v>0.73</v>
      </c>
      <c r="E108" s="179">
        <v>0.73</v>
      </c>
      <c r="F108" s="430"/>
      <c r="T108" s="195" t="s">
        <v>9099</v>
      </c>
      <c r="U108" s="11">
        <v>12609.0</v>
      </c>
    </row>
    <row r="109" hidden="1">
      <c r="A109" s="428" t="s">
        <v>9100</v>
      </c>
      <c r="B109" s="283"/>
      <c r="C109" s="136" t="s">
        <v>8991</v>
      </c>
      <c r="D109" s="179">
        <v>0.73</v>
      </c>
      <c r="E109" s="179">
        <v>0.73</v>
      </c>
      <c r="F109" s="430"/>
      <c r="T109" s="195" t="s">
        <v>9100</v>
      </c>
    </row>
    <row r="110" hidden="1">
      <c r="A110" s="426" t="s">
        <v>9101</v>
      </c>
      <c r="B110" s="117">
        <v>7142.0</v>
      </c>
      <c r="C110" s="136" t="s">
        <v>8991</v>
      </c>
      <c r="D110" s="179">
        <v>0.73</v>
      </c>
      <c r="E110" s="179">
        <v>0.73</v>
      </c>
      <c r="F110" s="430"/>
      <c r="T110" s="195" t="s">
        <v>9101</v>
      </c>
      <c r="U110" s="11">
        <v>7142.0</v>
      </c>
    </row>
    <row r="111" hidden="1">
      <c r="A111" s="428" t="s">
        <v>9102</v>
      </c>
      <c r="B111" s="283"/>
      <c r="C111" s="136" t="s">
        <v>8991</v>
      </c>
      <c r="D111" s="179">
        <v>0.73</v>
      </c>
      <c r="E111" s="179">
        <v>0.73</v>
      </c>
      <c r="F111" s="430"/>
      <c r="T111" s="195" t="s">
        <v>9102</v>
      </c>
    </row>
    <row r="112" hidden="1">
      <c r="A112" s="428" t="s">
        <v>9103</v>
      </c>
      <c r="B112" s="283"/>
      <c r="C112" s="136" t="s">
        <v>8991</v>
      </c>
      <c r="D112" s="179">
        <v>0.73</v>
      </c>
      <c r="E112" s="179">
        <v>0.73</v>
      </c>
      <c r="F112" s="430"/>
      <c r="T112" s="195" t="s">
        <v>9103</v>
      </c>
    </row>
    <row r="113" hidden="1">
      <c r="A113" s="428" t="s">
        <v>9104</v>
      </c>
      <c r="B113" s="283"/>
      <c r="C113" s="136" t="s">
        <v>8991</v>
      </c>
      <c r="D113" s="179">
        <v>0.73</v>
      </c>
      <c r="E113" s="179">
        <v>0.73</v>
      </c>
      <c r="F113" s="430"/>
      <c r="T113" s="195" t="s">
        <v>9104</v>
      </c>
    </row>
    <row r="114" hidden="1">
      <c r="A114" s="428" t="s">
        <v>9105</v>
      </c>
      <c r="B114" s="289">
        <v>6767.0</v>
      </c>
      <c r="C114" s="136" t="s">
        <v>8991</v>
      </c>
      <c r="D114" s="179">
        <v>0.73</v>
      </c>
      <c r="E114" s="179">
        <v>0.73</v>
      </c>
      <c r="F114" s="430"/>
      <c r="T114" s="195" t="s">
        <v>9105</v>
      </c>
    </row>
    <row r="115" hidden="1">
      <c r="A115" s="428" t="s">
        <v>9106</v>
      </c>
      <c r="B115" s="283"/>
      <c r="C115" s="136" t="s">
        <v>8991</v>
      </c>
      <c r="D115" s="179">
        <v>0.73</v>
      </c>
      <c r="E115" s="179">
        <v>0.73</v>
      </c>
      <c r="F115" s="430"/>
      <c r="T115" s="195" t="s">
        <v>9106</v>
      </c>
    </row>
    <row r="116" hidden="1">
      <c r="A116" s="426" t="s">
        <v>9107</v>
      </c>
      <c r="B116" s="117">
        <v>136.0</v>
      </c>
      <c r="C116" s="136" t="s">
        <v>8991</v>
      </c>
      <c r="D116" s="179">
        <v>0.73</v>
      </c>
      <c r="E116" s="179">
        <v>0.73</v>
      </c>
      <c r="F116" s="430"/>
      <c r="T116" s="195" t="s">
        <v>9107</v>
      </c>
      <c r="U116" s="11">
        <v>136.0</v>
      </c>
    </row>
    <row r="117" hidden="1">
      <c r="A117" s="428" t="s">
        <v>9108</v>
      </c>
      <c r="B117" s="283"/>
      <c r="C117" s="136" t="s">
        <v>8991</v>
      </c>
      <c r="D117" s="179">
        <v>0.73</v>
      </c>
      <c r="E117" s="179">
        <v>0.73</v>
      </c>
      <c r="F117" s="430"/>
      <c r="T117" s="195" t="s">
        <v>9108</v>
      </c>
    </row>
    <row r="118" hidden="1">
      <c r="A118" s="428" t="s">
        <v>9109</v>
      </c>
      <c r="B118" s="283"/>
      <c r="C118" s="136" t="s">
        <v>8991</v>
      </c>
      <c r="D118" s="179">
        <v>0.73</v>
      </c>
      <c r="E118" s="179">
        <v>0.73</v>
      </c>
      <c r="F118" s="430"/>
      <c r="T118" s="195" t="s">
        <v>9109</v>
      </c>
    </row>
    <row r="119" hidden="1">
      <c r="A119" s="428" t="s">
        <v>9110</v>
      </c>
      <c r="B119" s="283"/>
      <c r="C119" s="136" t="s">
        <v>8991</v>
      </c>
      <c r="D119" s="179">
        <v>0.73</v>
      </c>
      <c r="E119" s="179">
        <v>0.73</v>
      </c>
      <c r="F119" s="430"/>
      <c r="T119" s="195" t="s">
        <v>9110</v>
      </c>
    </row>
    <row r="120" hidden="1">
      <c r="A120" s="428" t="s">
        <v>9111</v>
      </c>
      <c r="B120" s="289">
        <v>12932.0</v>
      </c>
      <c r="C120" s="136" t="s">
        <v>8991</v>
      </c>
      <c r="D120" s="179">
        <v>0.73</v>
      </c>
      <c r="E120" s="179">
        <v>0.73</v>
      </c>
      <c r="F120" s="430"/>
      <c r="T120" s="195" t="s">
        <v>9111</v>
      </c>
    </row>
    <row r="121" hidden="1">
      <c r="A121" s="428" t="s">
        <v>9112</v>
      </c>
      <c r="B121" s="283"/>
      <c r="C121" s="136" t="s">
        <v>8991</v>
      </c>
      <c r="D121" s="179">
        <v>0.73</v>
      </c>
      <c r="E121" s="179">
        <v>0.73</v>
      </c>
      <c r="F121" s="430"/>
      <c r="T121" s="195" t="s">
        <v>9112</v>
      </c>
    </row>
    <row r="122" hidden="1">
      <c r="A122" s="428" t="s">
        <v>9113</v>
      </c>
      <c r="B122" s="283"/>
      <c r="C122" s="136" t="s">
        <v>8991</v>
      </c>
      <c r="D122" s="179">
        <v>0.73</v>
      </c>
      <c r="E122" s="179">
        <v>0.73</v>
      </c>
      <c r="F122" s="430"/>
      <c r="T122" s="195" t="s">
        <v>9113</v>
      </c>
    </row>
    <row r="123" hidden="1">
      <c r="A123" s="428" t="s">
        <v>9114</v>
      </c>
      <c r="B123" s="289">
        <v>12932.0</v>
      </c>
      <c r="C123" s="136" t="s">
        <v>8991</v>
      </c>
      <c r="D123" s="179">
        <v>0.73</v>
      </c>
      <c r="E123" s="179">
        <v>0.73</v>
      </c>
      <c r="F123" s="430"/>
      <c r="T123" s="195" t="s">
        <v>9114</v>
      </c>
    </row>
    <row r="124" hidden="1">
      <c r="A124" s="428" t="s">
        <v>9115</v>
      </c>
      <c r="B124" s="283"/>
      <c r="C124" s="136" t="s">
        <v>8991</v>
      </c>
      <c r="D124" s="179">
        <v>0.73</v>
      </c>
      <c r="E124" s="179">
        <v>0.73</v>
      </c>
      <c r="F124" s="430"/>
      <c r="T124" s="195" t="s">
        <v>9115</v>
      </c>
    </row>
    <row r="125" hidden="1">
      <c r="A125" s="428" t="s">
        <v>9116</v>
      </c>
      <c r="B125" s="289">
        <v>6668.0</v>
      </c>
      <c r="C125" s="136" t="s">
        <v>8991</v>
      </c>
      <c r="D125" s="179">
        <v>0.73</v>
      </c>
      <c r="E125" s="179">
        <v>0.73</v>
      </c>
      <c r="F125" s="430"/>
      <c r="T125" s="195" t="s">
        <v>9116</v>
      </c>
    </row>
    <row r="126" hidden="1">
      <c r="A126" s="428" t="s">
        <v>9117</v>
      </c>
      <c r="B126" s="283"/>
      <c r="C126" s="136" t="s">
        <v>8991</v>
      </c>
      <c r="D126" s="179">
        <v>0.73</v>
      </c>
      <c r="E126" s="179">
        <v>0.73</v>
      </c>
      <c r="F126" s="430"/>
      <c r="T126" s="195" t="s">
        <v>9117</v>
      </c>
    </row>
    <row r="127" hidden="1">
      <c r="A127" s="428" t="s">
        <v>9118</v>
      </c>
      <c r="B127" s="283"/>
      <c r="C127" s="136" t="s">
        <v>8991</v>
      </c>
      <c r="D127" s="179">
        <v>0.73</v>
      </c>
      <c r="E127" s="179">
        <v>0.73</v>
      </c>
      <c r="F127" s="430"/>
      <c r="T127" s="195" t="s">
        <v>9118</v>
      </c>
    </row>
    <row r="128" hidden="1">
      <c r="A128" s="428" t="s">
        <v>9119</v>
      </c>
      <c r="B128" s="283"/>
      <c r="C128" s="136" t="s">
        <v>8991</v>
      </c>
      <c r="D128" s="179">
        <v>0.73</v>
      </c>
      <c r="E128" s="179">
        <v>0.73</v>
      </c>
      <c r="F128" s="430"/>
      <c r="T128" s="195" t="s">
        <v>9119</v>
      </c>
    </row>
    <row r="129" hidden="1">
      <c r="A129" s="426" t="s">
        <v>9120</v>
      </c>
      <c r="B129" s="117">
        <v>6939.0</v>
      </c>
      <c r="C129" s="136" t="s">
        <v>8991</v>
      </c>
      <c r="D129" s="179">
        <v>0.73</v>
      </c>
      <c r="E129" s="179">
        <v>0.73</v>
      </c>
      <c r="F129" s="430"/>
      <c r="T129" s="195" t="s">
        <v>9120</v>
      </c>
      <c r="U129" s="11">
        <v>6939.0</v>
      </c>
    </row>
    <row r="130" hidden="1">
      <c r="A130" s="428" t="s">
        <v>9121</v>
      </c>
      <c r="B130" s="283"/>
      <c r="C130" s="136" t="s">
        <v>8991</v>
      </c>
      <c r="D130" s="179">
        <v>0.73</v>
      </c>
      <c r="E130" s="179">
        <v>0.73</v>
      </c>
      <c r="F130" s="430"/>
      <c r="T130" s="195" t="s">
        <v>9121</v>
      </c>
    </row>
    <row r="131" hidden="1">
      <c r="A131" s="428" t="s">
        <v>9122</v>
      </c>
      <c r="B131" s="283"/>
      <c r="C131" s="136" t="s">
        <v>8991</v>
      </c>
      <c r="D131" s="179">
        <v>0.73</v>
      </c>
      <c r="E131" s="179">
        <v>0.73</v>
      </c>
      <c r="F131" s="430"/>
      <c r="T131" s="195" t="s">
        <v>9122</v>
      </c>
    </row>
    <row r="132" hidden="1">
      <c r="A132" s="426" t="s">
        <v>9123</v>
      </c>
      <c r="B132" s="431">
        <v>14417.0</v>
      </c>
      <c r="C132" s="136" t="s">
        <v>8991</v>
      </c>
      <c r="D132" s="179">
        <v>0.73</v>
      </c>
      <c r="E132" s="179">
        <v>0.73</v>
      </c>
      <c r="F132" s="430"/>
      <c r="T132" s="195" t="s">
        <v>9123</v>
      </c>
      <c r="U132" s="49">
        <v>14417.0</v>
      </c>
    </row>
    <row r="133" hidden="1">
      <c r="A133" s="428" t="s">
        <v>9124</v>
      </c>
      <c r="B133" s="283"/>
      <c r="C133" s="136" t="s">
        <v>8991</v>
      </c>
      <c r="D133" s="179">
        <v>0.73</v>
      </c>
      <c r="E133" s="179">
        <v>0.73</v>
      </c>
      <c r="F133" s="430"/>
      <c r="T133" s="195" t="s">
        <v>9124</v>
      </c>
    </row>
    <row r="134" hidden="1">
      <c r="A134" s="428" t="s">
        <v>9125</v>
      </c>
      <c r="B134" s="283"/>
      <c r="C134" s="136" t="s">
        <v>8991</v>
      </c>
      <c r="D134" s="179">
        <v>0.73</v>
      </c>
      <c r="E134" s="179">
        <v>0.73</v>
      </c>
      <c r="F134" s="430"/>
      <c r="T134" s="195" t="s">
        <v>9125</v>
      </c>
    </row>
    <row r="135" hidden="1">
      <c r="A135" s="428" t="s">
        <v>9126</v>
      </c>
      <c r="B135" s="289">
        <v>6706.0</v>
      </c>
      <c r="C135" s="136" t="s">
        <v>8991</v>
      </c>
      <c r="D135" s="179">
        <v>0.82</v>
      </c>
      <c r="E135" s="179">
        <v>0.82</v>
      </c>
      <c r="F135" s="430"/>
      <c r="T135" s="195" t="s">
        <v>9126</v>
      </c>
      <c r="U135" s="11">
        <v>6706.0</v>
      </c>
    </row>
    <row r="136" hidden="1">
      <c r="A136" s="426" t="s">
        <v>9127</v>
      </c>
      <c r="B136" s="117">
        <v>6706.0</v>
      </c>
      <c r="C136" s="136" t="s">
        <v>8991</v>
      </c>
      <c r="D136" s="179">
        <v>0.82</v>
      </c>
      <c r="E136" s="179">
        <v>0.82</v>
      </c>
      <c r="F136" s="430"/>
      <c r="T136" s="195" t="s">
        <v>9127</v>
      </c>
      <c r="U136" s="11">
        <v>6706.0</v>
      </c>
    </row>
    <row r="137" hidden="1">
      <c r="A137" s="426" t="s">
        <v>9128</v>
      </c>
      <c r="B137" s="117">
        <v>6706.0</v>
      </c>
      <c r="C137" s="136" t="s">
        <v>8991</v>
      </c>
      <c r="D137" s="179">
        <v>0.82</v>
      </c>
      <c r="E137" s="179">
        <v>0.82</v>
      </c>
      <c r="F137" s="430"/>
      <c r="T137" s="195" t="s">
        <v>9128</v>
      </c>
      <c r="U137" s="11">
        <v>6706.0</v>
      </c>
    </row>
    <row r="138" hidden="1">
      <c r="A138" s="428" t="s">
        <v>9129</v>
      </c>
      <c r="B138" s="289">
        <v>6706.0</v>
      </c>
      <c r="C138" s="136" t="s">
        <v>8991</v>
      </c>
      <c r="D138" s="179">
        <v>0.82</v>
      </c>
      <c r="E138" s="179">
        <v>0.82</v>
      </c>
      <c r="F138" s="430"/>
      <c r="T138" s="195" t="s">
        <v>9129</v>
      </c>
      <c r="U138" s="11">
        <v>6706.0</v>
      </c>
    </row>
    <row r="139" hidden="1">
      <c r="A139" s="428" t="s">
        <v>9130</v>
      </c>
      <c r="B139" s="283"/>
      <c r="C139" s="136" t="s">
        <v>8991</v>
      </c>
      <c r="D139" s="179">
        <v>0.73</v>
      </c>
      <c r="E139" s="179">
        <v>0.73</v>
      </c>
      <c r="F139" s="430"/>
      <c r="T139" s="195" t="s">
        <v>9130</v>
      </c>
    </row>
    <row r="140" hidden="1">
      <c r="A140" s="428" t="s">
        <v>9131</v>
      </c>
      <c r="B140" s="283"/>
      <c r="C140" s="136" t="s">
        <v>8991</v>
      </c>
      <c r="D140" s="179">
        <v>0.73</v>
      </c>
      <c r="E140" s="179">
        <v>0.73</v>
      </c>
      <c r="F140" s="430"/>
      <c r="T140" s="195" t="s">
        <v>9131</v>
      </c>
    </row>
    <row r="141" hidden="1">
      <c r="A141" s="426" t="s">
        <v>9132</v>
      </c>
      <c r="B141" s="117">
        <v>13858.0</v>
      </c>
      <c r="C141" s="136" t="s">
        <v>8991</v>
      </c>
      <c r="D141" s="179">
        <v>0.73</v>
      </c>
      <c r="E141" s="179">
        <v>0.73</v>
      </c>
      <c r="F141" s="430"/>
      <c r="T141" s="195" t="s">
        <v>9132</v>
      </c>
      <c r="U141" s="11">
        <v>13858.0</v>
      </c>
    </row>
    <row r="142" hidden="1">
      <c r="A142" s="428" t="s">
        <v>9133</v>
      </c>
      <c r="B142" s="283"/>
      <c r="C142" s="136" t="s">
        <v>8991</v>
      </c>
      <c r="D142" s="179">
        <v>0.73</v>
      </c>
      <c r="E142" s="179">
        <v>0.73</v>
      </c>
      <c r="F142" s="430"/>
      <c r="T142" s="195" t="s">
        <v>9133</v>
      </c>
    </row>
    <row r="143" hidden="1">
      <c r="A143" s="428" t="s">
        <v>9134</v>
      </c>
      <c r="B143" s="283"/>
      <c r="C143" s="136" t="s">
        <v>8991</v>
      </c>
      <c r="D143" s="179">
        <v>0.73</v>
      </c>
      <c r="E143" s="179">
        <v>0.73</v>
      </c>
      <c r="F143" s="430"/>
      <c r="T143" s="195" t="s">
        <v>9134</v>
      </c>
    </row>
    <row r="144" hidden="1">
      <c r="A144" s="426" t="s">
        <v>9135</v>
      </c>
      <c r="B144" s="117">
        <v>6873.0</v>
      </c>
      <c r="C144" s="136" t="s">
        <v>8991</v>
      </c>
      <c r="D144" s="179">
        <v>0.73</v>
      </c>
      <c r="E144" s="179">
        <v>0.73</v>
      </c>
      <c r="F144" s="430"/>
      <c r="T144" s="195" t="s">
        <v>9135</v>
      </c>
      <c r="U144" s="11">
        <v>6873.0</v>
      </c>
    </row>
    <row r="145" hidden="1">
      <c r="A145" s="428" t="s">
        <v>9136</v>
      </c>
      <c r="B145" s="175">
        <v>11049.0</v>
      </c>
      <c r="C145" s="136" t="s">
        <v>8991</v>
      </c>
      <c r="D145" s="179">
        <v>0.73</v>
      </c>
      <c r="E145" s="179">
        <v>0.73</v>
      </c>
      <c r="F145" s="430"/>
      <c r="T145" s="195" t="s">
        <v>9136</v>
      </c>
    </row>
    <row r="146" hidden="1">
      <c r="A146" s="428" t="s">
        <v>9137</v>
      </c>
      <c r="B146" s="175">
        <v>11049.0</v>
      </c>
      <c r="C146" s="136" t="s">
        <v>8991</v>
      </c>
      <c r="D146" s="179">
        <v>0.73</v>
      </c>
      <c r="E146" s="179">
        <v>0.73</v>
      </c>
      <c r="F146" s="430"/>
      <c r="T146" s="195" t="s">
        <v>9137</v>
      </c>
    </row>
    <row r="147" hidden="1">
      <c r="A147" s="428" t="s">
        <v>9138</v>
      </c>
      <c r="B147" s="175">
        <v>11049.0</v>
      </c>
      <c r="C147" s="136" t="s">
        <v>8991</v>
      </c>
      <c r="D147" s="179">
        <v>0.73</v>
      </c>
      <c r="E147" s="179">
        <v>0.73</v>
      </c>
      <c r="F147" s="430"/>
      <c r="T147" s="195" t="s">
        <v>9138</v>
      </c>
    </row>
    <row r="148" hidden="1">
      <c r="A148" s="428" t="s">
        <v>9139</v>
      </c>
      <c r="B148" s="175">
        <v>11049.0</v>
      </c>
      <c r="C148" s="136" t="s">
        <v>8991</v>
      </c>
      <c r="D148" s="179">
        <v>0.73</v>
      </c>
      <c r="E148" s="179">
        <v>0.73</v>
      </c>
      <c r="F148" s="430"/>
      <c r="T148" s="195" t="s">
        <v>9139</v>
      </c>
    </row>
    <row r="149" hidden="1">
      <c r="A149" s="428" t="s">
        <v>9140</v>
      </c>
      <c r="B149" s="175">
        <v>11049.0</v>
      </c>
      <c r="C149" s="136" t="s">
        <v>8991</v>
      </c>
      <c r="D149" s="179">
        <v>0.73</v>
      </c>
      <c r="E149" s="179">
        <v>0.73</v>
      </c>
      <c r="F149" s="430"/>
      <c r="T149" s="195" t="s">
        <v>9140</v>
      </c>
    </row>
    <row r="150" hidden="1">
      <c r="A150" s="428" t="s">
        <v>9141</v>
      </c>
      <c r="B150" s="175">
        <v>11049.0</v>
      </c>
      <c r="C150" s="136" t="s">
        <v>8991</v>
      </c>
      <c r="D150" s="179">
        <v>0.73</v>
      </c>
      <c r="E150" s="179">
        <v>0.73</v>
      </c>
      <c r="F150" s="430"/>
      <c r="T150" s="195" t="s">
        <v>9141</v>
      </c>
    </row>
    <row r="151" hidden="1">
      <c r="A151" s="428" t="s">
        <v>9142</v>
      </c>
      <c r="B151" s="175">
        <v>11049.0</v>
      </c>
      <c r="C151" s="136" t="s">
        <v>8991</v>
      </c>
      <c r="D151" s="179">
        <v>0.73</v>
      </c>
      <c r="E151" s="179">
        <v>0.73</v>
      </c>
      <c r="F151" s="430"/>
      <c r="T151" s="195" t="s">
        <v>9142</v>
      </c>
    </row>
    <row r="152" hidden="1">
      <c r="A152" s="428" t="s">
        <v>9143</v>
      </c>
      <c r="B152" s="175">
        <v>11049.0</v>
      </c>
      <c r="C152" s="136" t="s">
        <v>8991</v>
      </c>
      <c r="D152" s="179">
        <v>0.73</v>
      </c>
      <c r="E152" s="179">
        <v>0.73</v>
      </c>
      <c r="F152" s="430"/>
      <c r="T152" s="195" t="s">
        <v>9143</v>
      </c>
    </row>
    <row r="153" hidden="1">
      <c r="A153" s="428" t="s">
        <v>9144</v>
      </c>
      <c r="B153" s="175">
        <v>11049.0</v>
      </c>
      <c r="C153" s="136" t="s">
        <v>8991</v>
      </c>
      <c r="D153" s="179">
        <v>0.73</v>
      </c>
      <c r="E153" s="179">
        <v>0.73</v>
      </c>
      <c r="F153" s="430"/>
      <c r="T153" s="195" t="s">
        <v>9144</v>
      </c>
    </row>
    <row r="154" hidden="1">
      <c r="A154" s="428" t="s">
        <v>9145</v>
      </c>
      <c r="B154" s="175">
        <v>11049.0</v>
      </c>
      <c r="C154" s="136" t="s">
        <v>8991</v>
      </c>
      <c r="D154" s="179">
        <v>0.73</v>
      </c>
      <c r="E154" s="179">
        <v>0.73</v>
      </c>
      <c r="F154" s="430"/>
      <c r="T154" s="195" t="s">
        <v>9145</v>
      </c>
    </row>
    <row r="155" hidden="1">
      <c r="A155" s="428" t="s">
        <v>9146</v>
      </c>
      <c r="B155" s="175">
        <v>11049.0</v>
      </c>
      <c r="C155" s="136" t="s">
        <v>8991</v>
      </c>
      <c r="D155" s="179">
        <v>0.73</v>
      </c>
      <c r="E155" s="179">
        <v>0.73</v>
      </c>
      <c r="F155" s="430"/>
      <c r="T155" s="195" t="s">
        <v>9146</v>
      </c>
    </row>
    <row r="156" hidden="1">
      <c r="A156" s="428" t="s">
        <v>9147</v>
      </c>
      <c r="B156" s="175">
        <v>11049.0</v>
      </c>
      <c r="C156" s="136" t="s">
        <v>8991</v>
      </c>
      <c r="D156" s="179">
        <v>0.73</v>
      </c>
      <c r="E156" s="179">
        <v>0.73</v>
      </c>
      <c r="F156" s="430"/>
      <c r="T156" s="195" t="s">
        <v>9147</v>
      </c>
    </row>
    <row r="157" hidden="1">
      <c r="A157" s="428" t="s">
        <v>9148</v>
      </c>
      <c r="B157" s="175">
        <v>11049.0</v>
      </c>
      <c r="C157" s="136" t="s">
        <v>8991</v>
      </c>
      <c r="D157" s="179">
        <v>0.73</v>
      </c>
      <c r="E157" s="179">
        <v>0.73</v>
      </c>
      <c r="F157" s="430"/>
      <c r="T157" s="195" t="s">
        <v>9148</v>
      </c>
    </row>
    <row r="158" hidden="1">
      <c r="A158" s="428" t="s">
        <v>9149</v>
      </c>
      <c r="B158" s="175">
        <v>11049.0</v>
      </c>
      <c r="C158" s="136" t="s">
        <v>8991</v>
      </c>
      <c r="D158" s="179">
        <v>0.73</v>
      </c>
      <c r="E158" s="179">
        <v>0.73</v>
      </c>
      <c r="F158" s="430"/>
      <c r="T158" s="195" t="s">
        <v>9149</v>
      </c>
    </row>
    <row r="159" hidden="1">
      <c r="A159" s="428" t="s">
        <v>9150</v>
      </c>
      <c r="B159" s="175">
        <v>11049.0</v>
      </c>
      <c r="C159" s="136" t="s">
        <v>8991</v>
      </c>
      <c r="D159" s="179">
        <v>0.73</v>
      </c>
      <c r="E159" s="179">
        <v>0.73</v>
      </c>
      <c r="F159" s="430"/>
      <c r="T159" s="195" t="s">
        <v>9150</v>
      </c>
    </row>
    <row r="160" hidden="1">
      <c r="A160" s="428" t="s">
        <v>9151</v>
      </c>
      <c r="B160" s="175">
        <v>11049.0</v>
      </c>
      <c r="C160" s="136" t="s">
        <v>8991</v>
      </c>
      <c r="D160" s="179">
        <v>0.73</v>
      </c>
      <c r="E160" s="179">
        <v>0.73</v>
      </c>
      <c r="F160" s="430"/>
      <c r="T160" s="195" t="s">
        <v>9151</v>
      </c>
    </row>
    <row r="161" hidden="1">
      <c r="A161" s="428" t="s">
        <v>9152</v>
      </c>
      <c r="B161" s="175">
        <v>11049.0</v>
      </c>
      <c r="C161" s="136" t="s">
        <v>8991</v>
      </c>
      <c r="D161" s="179">
        <v>0.73</v>
      </c>
      <c r="E161" s="179">
        <v>0.73</v>
      </c>
      <c r="F161" s="430"/>
      <c r="T161" s="195" t="s">
        <v>9152</v>
      </c>
    </row>
    <row r="162" hidden="1">
      <c r="A162" s="428" t="s">
        <v>9153</v>
      </c>
      <c r="B162" s="175">
        <v>11049.0</v>
      </c>
      <c r="C162" s="136" t="s">
        <v>8991</v>
      </c>
      <c r="D162" s="179">
        <v>0.73</v>
      </c>
      <c r="E162" s="179">
        <v>0.73</v>
      </c>
      <c r="F162" s="430"/>
      <c r="T162" s="195" t="s">
        <v>9153</v>
      </c>
    </row>
    <row r="163" hidden="1">
      <c r="A163" s="428" t="s">
        <v>9154</v>
      </c>
      <c r="B163" s="175">
        <v>11049.0</v>
      </c>
      <c r="C163" s="136" t="s">
        <v>8991</v>
      </c>
      <c r="D163" s="179">
        <v>0.73</v>
      </c>
      <c r="E163" s="179">
        <v>0.73</v>
      </c>
      <c r="F163" s="430"/>
      <c r="T163" s="195" t="s">
        <v>9154</v>
      </c>
    </row>
    <row r="164" hidden="1">
      <c r="A164" s="428" t="s">
        <v>9155</v>
      </c>
      <c r="B164" s="175">
        <v>11049.0</v>
      </c>
      <c r="C164" s="136" t="s">
        <v>8991</v>
      </c>
      <c r="D164" s="179">
        <v>0.73</v>
      </c>
      <c r="E164" s="179">
        <v>0.73</v>
      </c>
      <c r="F164" s="430"/>
      <c r="T164" s="195" t="s">
        <v>9155</v>
      </c>
    </row>
    <row r="165" hidden="1">
      <c r="A165" s="428" t="s">
        <v>9156</v>
      </c>
      <c r="B165" s="175">
        <v>11049.0</v>
      </c>
      <c r="C165" s="136" t="s">
        <v>8991</v>
      </c>
      <c r="D165" s="179">
        <v>0.73</v>
      </c>
      <c r="E165" s="179">
        <v>0.73</v>
      </c>
      <c r="F165" s="430"/>
      <c r="T165" s="195" t="s">
        <v>9156</v>
      </c>
    </row>
    <row r="166" hidden="1">
      <c r="A166" s="428" t="s">
        <v>9157</v>
      </c>
      <c r="B166" s="175">
        <v>11049.0</v>
      </c>
      <c r="C166" s="136" t="s">
        <v>8991</v>
      </c>
      <c r="D166" s="179">
        <v>0.73</v>
      </c>
      <c r="E166" s="179">
        <v>0.73</v>
      </c>
      <c r="F166" s="430"/>
      <c r="T166" s="195" t="s">
        <v>9157</v>
      </c>
    </row>
    <row r="167" hidden="1">
      <c r="A167" s="428" t="s">
        <v>9158</v>
      </c>
      <c r="B167" s="175">
        <v>11049.0</v>
      </c>
      <c r="C167" s="136" t="s">
        <v>8991</v>
      </c>
      <c r="D167" s="179">
        <v>0.73</v>
      </c>
      <c r="E167" s="179">
        <v>0.73</v>
      </c>
      <c r="F167" s="430"/>
      <c r="T167" s="195" t="s">
        <v>9158</v>
      </c>
    </row>
    <row r="168" hidden="1">
      <c r="A168" s="428" t="s">
        <v>9159</v>
      </c>
      <c r="B168" s="175">
        <v>11049.0</v>
      </c>
      <c r="C168" s="136" t="s">
        <v>8991</v>
      </c>
      <c r="D168" s="179">
        <v>0.73</v>
      </c>
      <c r="E168" s="179">
        <v>0.73</v>
      </c>
      <c r="F168" s="430"/>
      <c r="T168" s="195" t="s">
        <v>9159</v>
      </c>
    </row>
    <row r="169" hidden="1">
      <c r="A169" s="428" t="s">
        <v>9160</v>
      </c>
      <c r="B169" s="175">
        <v>11049.0</v>
      </c>
      <c r="C169" s="136" t="s">
        <v>8991</v>
      </c>
      <c r="D169" s="179">
        <v>0.73</v>
      </c>
      <c r="E169" s="179">
        <v>0.73</v>
      </c>
      <c r="F169" s="430"/>
      <c r="T169" s="195" t="s">
        <v>9160</v>
      </c>
    </row>
    <row r="170" hidden="1">
      <c r="A170" s="428" t="s">
        <v>9161</v>
      </c>
      <c r="B170" s="175">
        <v>11049.0</v>
      </c>
      <c r="C170" s="136" t="s">
        <v>8991</v>
      </c>
      <c r="D170" s="179">
        <v>0.73</v>
      </c>
      <c r="E170" s="179">
        <v>0.73</v>
      </c>
      <c r="F170" s="430"/>
      <c r="T170" s="195" t="s">
        <v>9161</v>
      </c>
    </row>
    <row r="171" hidden="1">
      <c r="A171" s="428" t="s">
        <v>9162</v>
      </c>
      <c r="B171" s="175">
        <v>11049.0</v>
      </c>
      <c r="C171" s="136" t="s">
        <v>8991</v>
      </c>
      <c r="D171" s="179">
        <v>0.73</v>
      </c>
      <c r="E171" s="179">
        <v>0.73</v>
      </c>
      <c r="F171" s="430"/>
      <c r="T171" s="195" t="s">
        <v>9162</v>
      </c>
    </row>
    <row r="172" hidden="1">
      <c r="A172" s="428" t="s">
        <v>9163</v>
      </c>
      <c r="B172" s="175">
        <v>11049.0</v>
      </c>
      <c r="C172" s="136" t="s">
        <v>8991</v>
      </c>
      <c r="D172" s="179">
        <v>0.73</v>
      </c>
      <c r="E172" s="179">
        <v>0.73</v>
      </c>
      <c r="F172" s="430"/>
      <c r="T172" s="195" t="s">
        <v>9163</v>
      </c>
    </row>
    <row r="173" hidden="1">
      <c r="A173" s="428" t="s">
        <v>9164</v>
      </c>
      <c r="B173" s="175">
        <v>11049.0</v>
      </c>
      <c r="C173" s="136" t="s">
        <v>8991</v>
      </c>
      <c r="D173" s="179">
        <v>0.73</v>
      </c>
      <c r="E173" s="179">
        <v>0.73</v>
      </c>
      <c r="F173" s="430"/>
      <c r="T173" s="195" t="s">
        <v>9164</v>
      </c>
    </row>
    <row r="174" hidden="1">
      <c r="A174" s="428" t="s">
        <v>9165</v>
      </c>
      <c r="B174" s="175">
        <v>11049.0</v>
      </c>
      <c r="C174" s="136" t="s">
        <v>8991</v>
      </c>
      <c r="D174" s="179">
        <v>0.73</v>
      </c>
      <c r="E174" s="179">
        <v>0.73</v>
      </c>
      <c r="F174" s="430"/>
      <c r="T174" s="195" t="s">
        <v>9165</v>
      </c>
    </row>
    <row r="175" hidden="1">
      <c r="A175" s="428" t="s">
        <v>9166</v>
      </c>
      <c r="B175" s="175"/>
      <c r="C175" s="136" t="s">
        <v>8991</v>
      </c>
      <c r="D175" s="179">
        <v>0.73</v>
      </c>
      <c r="E175" s="179">
        <v>0.73</v>
      </c>
      <c r="F175" s="430"/>
      <c r="T175" s="195" t="s">
        <v>9166</v>
      </c>
    </row>
    <row r="176" hidden="1">
      <c r="A176" s="428" t="s">
        <v>9167</v>
      </c>
      <c r="B176" s="283"/>
      <c r="C176" s="136" t="s">
        <v>8991</v>
      </c>
      <c r="D176" s="179">
        <v>0.73</v>
      </c>
      <c r="E176" s="179">
        <v>0.73</v>
      </c>
      <c r="F176" s="430"/>
      <c r="T176" s="195" t="s">
        <v>9167</v>
      </c>
    </row>
    <row r="177" hidden="1">
      <c r="A177" s="428" t="s">
        <v>9168</v>
      </c>
      <c r="B177" s="283"/>
      <c r="C177" s="136" t="s">
        <v>8991</v>
      </c>
      <c r="D177" s="179">
        <v>0.73</v>
      </c>
      <c r="E177" s="179">
        <v>0.73</v>
      </c>
      <c r="F177" s="430"/>
      <c r="T177" s="195" t="s">
        <v>9168</v>
      </c>
    </row>
    <row r="178" hidden="1">
      <c r="A178" s="428" t="s">
        <v>9169</v>
      </c>
      <c r="B178" s="283"/>
      <c r="C178" s="136" t="s">
        <v>8991</v>
      </c>
      <c r="D178" s="179">
        <v>0.73</v>
      </c>
      <c r="E178" s="179">
        <v>0.73</v>
      </c>
      <c r="F178" s="430"/>
      <c r="T178" s="195" t="s">
        <v>9169</v>
      </c>
    </row>
    <row r="179" hidden="1">
      <c r="A179" s="428" t="s">
        <v>9170</v>
      </c>
      <c r="B179" s="289">
        <v>14638.0</v>
      </c>
      <c r="C179" s="136" t="s">
        <v>8991</v>
      </c>
      <c r="D179" s="179">
        <v>0.73</v>
      </c>
      <c r="E179" s="179">
        <v>0.73</v>
      </c>
      <c r="F179" s="430"/>
      <c r="T179" s="195" t="s">
        <v>9170</v>
      </c>
    </row>
    <row r="180" hidden="1">
      <c r="A180" s="428" t="s">
        <v>9171</v>
      </c>
      <c r="B180" s="283"/>
      <c r="C180" s="136" t="s">
        <v>8991</v>
      </c>
      <c r="D180" s="179">
        <v>0.73</v>
      </c>
      <c r="E180" s="179">
        <v>0.73</v>
      </c>
      <c r="F180" s="430"/>
      <c r="T180" s="195" t="s">
        <v>9171</v>
      </c>
    </row>
    <row r="181" hidden="1">
      <c r="A181" s="428" t="s">
        <v>9172</v>
      </c>
      <c r="B181" s="283"/>
      <c r="C181" s="136" t="s">
        <v>8991</v>
      </c>
      <c r="D181" s="179">
        <v>0.73</v>
      </c>
      <c r="E181" s="179">
        <v>0.73</v>
      </c>
      <c r="F181" s="430"/>
      <c r="T181" s="195" t="s">
        <v>9172</v>
      </c>
    </row>
    <row r="182" hidden="1">
      <c r="A182" s="428" t="s">
        <v>9173</v>
      </c>
      <c r="B182" s="283"/>
      <c r="C182" s="136" t="s">
        <v>8991</v>
      </c>
      <c r="D182" s="179">
        <v>0.73</v>
      </c>
      <c r="E182" s="179">
        <v>0.73</v>
      </c>
      <c r="F182" s="430"/>
      <c r="T182" s="195" t="s">
        <v>9173</v>
      </c>
    </row>
    <row r="183" hidden="1">
      <c r="A183" s="428" t="s">
        <v>9174</v>
      </c>
      <c r="B183" s="283"/>
      <c r="C183" s="136" t="s">
        <v>8991</v>
      </c>
      <c r="D183" s="179">
        <v>0.73</v>
      </c>
      <c r="E183" s="179">
        <v>0.73</v>
      </c>
      <c r="F183" s="430"/>
      <c r="T183" s="195" t="s">
        <v>9174</v>
      </c>
    </row>
    <row r="184" hidden="1">
      <c r="A184" s="428" t="s">
        <v>9175</v>
      </c>
      <c r="B184" s="283"/>
      <c r="C184" s="136" t="s">
        <v>8991</v>
      </c>
      <c r="D184" s="179">
        <v>0.73</v>
      </c>
      <c r="E184" s="179">
        <v>0.73</v>
      </c>
      <c r="F184" s="430"/>
      <c r="T184" s="195" t="s">
        <v>9175</v>
      </c>
    </row>
    <row r="185" hidden="1">
      <c r="A185" s="428" t="s">
        <v>9176</v>
      </c>
      <c r="B185" s="283"/>
      <c r="C185" s="136" t="s">
        <v>8991</v>
      </c>
      <c r="D185" s="179">
        <v>0.73</v>
      </c>
      <c r="E185" s="179">
        <v>0.73</v>
      </c>
      <c r="F185" s="430"/>
      <c r="T185" s="195" t="s">
        <v>9176</v>
      </c>
    </row>
    <row r="186" hidden="1">
      <c r="A186" s="428" t="s">
        <v>9177</v>
      </c>
      <c r="B186" s="283"/>
      <c r="C186" s="136" t="s">
        <v>8991</v>
      </c>
      <c r="D186" s="179">
        <v>0.73</v>
      </c>
      <c r="E186" s="179">
        <v>0.73</v>
      </c>
      <c r="F186" s="430"/>
      <c r="T186" s="195" t="s">
        <v>9177</v>
      </c>
    </row>
    <row r="187" hidden="1">
      <c r="A187" s="428" t="s">
        <v>9178</v>
      </c>
      <c r="B187" s="283"/>
      <c r="C187" s="136" t="s">
        <v>8991</v>
      </c>
      <c r="D187" s="179">
        <v>0.73</v>
      </c>
      <c r="E187" s="179">
        <v>0.73</v>
      </c>
      <c r="F187" s="430"/>
      <c r="T187" s="195" t="s">
        <v>9178</v>
      </c>
    </row>
    <row r="188" hidden="1">
      <c r="A188" s="428" t="s">
        <v>9179</v>
      </c>
      <c r="B188" s="289">
        <v>889.0</v>
      </c>
      <c r="C188" s="136" t="s">
        <v>8991</v>
      </c>
      <c r="D188" s="179">
        <v>0.73</v>
      </c>
      <c r="E188" s="179">
        <v>0.73</v>
      </c>
      <c r="F188" s="430"/>
      <c r="T188" s="195" t="s">
        <v>9179</v>
      </c>
    </row>
    <row r="189" hidden="1">
      <c r="A189" s="428" t="s">
        <v>9180</v>
      </c>
      <c r="B189" s="283"/>
      <c r="C189" s="136" t="s">
        <v>8991</v>
      </c>
      <c r="D189" s="179">
        <v>0.73</v>
      </c>
      <c r="E189" s="179">
        <v>0.73</v>
      </c>
      <c r="F189" s="430"/>
      <c r="T189" s="195" t="s">
        <v>9180</v>
      </c>
    </row>
    <row r="190" hidden="1">
      <c r="A190" s="428" t="s">
        <v>9181</v>
      </c>
      <c r="B190" s="283"/>
      <c r="C190" s="136" t="s">
        <v>8991</v>
      </c>
      <c r="D190" s="179">
        <v>0.73</v>
      </c>
      <c r="E190" s="179">
        <v>0.73</v>
      </c>
      <c r="F190" s="430"/>
      <c r="T190" s="195" t="s">
        <v>9181</v>
      </c>
    </row>
    <row r="191" hidden="1">
      <c r="A191" s="428" t="s">
        <v>9182</v>
      </c>
      <c r="B191" s="283"/>
      <c r="C191" s="136" t="s">
        <v>8991</v>
      </c>
      <c r="D191" s="179">
        <v>0.73</v>
      </c>
      <c r="E191" s="179">
        <v>0.73</v>
      </c>
      <c r="F191" s="430"/>
      <c r="T191" s="195" t="s">
        <v>9182</v>
      </c>
    </row>
    <row r="192" hidden="1">
      <c r="A192" s="428" t="s">
        <v>9183</v>
      </c>
      <c r="B192" s="283"/>
      <c r="C192" s="136" t="s">
        <v>8991</v>
      </c>
      <c r="D192" s="179">
        <v>0.73</v>
      </c>
      <c r="E192" s="179">
        <v>0.73</v>
      </c>
      <c r="F192" s="430"/>
      <c r="T192" s="195" t="s">
        <v>9183</v>
      </c>
    </row>
    <row r="193" hidden="1">
      <c r="A193" s="428" t="s">
        <v>9184</v>
      </c>
      <c r="B193" s="283"/>
      <c r="C193" s="136" t="s">
        <v>8991</v>
      </c>
      <c r="D193" s="179">
        <v>0.73</v>
      </c>
      <c r="E193" s="179">
        <v>0.73</v>
      </c>
      <c r="F193" s="430"/>
      <c r="T193" s="195" t="s">
        <v>9184</v>
      </c>
    </row>
    <row r="194" hidden="1">
      <c r="A194" s="428" t="s">
        <v>9185</v>
      </c>
      <c r="B194" s="283"/>
      <c r="C194" s="136" t="s">
        <v>8991</v>
      </c>
      <c r="D194" s="179">
        <v>0.73</v>
      </c>
      <c r="E194" s="179">
        <v>0.73</v>
      </c>
      <c r="F194" s="430"/>
      <c r="T194" s="195" t="s">
        <v>9185</v>
      </c>
    </row>
    <row r="195" hidden="1">
      <c r="A195" s="428" t="s">
        <v>9186</v>
      </c>
      <c r="B195" s="283"/>
      <c r="C195" s="136" t="s">
        <v>8991</v>
      </c>
      <c r="D195" s="179">
        <v>0.73</v>
      </c>
      <c r="E195" s="179">
        <v>0.73</v>
      </c>
      <c r="F195" s="430"/>
      <c r="T195" s="195" t="s">
        <v>9186</v>
      </c>
    </row>
    <row r="196" hidden="1">
      <c r="A196" s="428" t="s">
        <v>9187</v>
      </c>
      <c r="B196" s="283"/>
      <c r="C196" s="136" t="s">
        <v>8991</v>
      </c>
      <c r="D196" s="179">
        <v>0.73</v>
      </c>
      <c r="E196" s="179">
        <v>0.73</v>
      </c>
      <c r="F196" s="430"/>
      <c r="T196" s="195" t="s">
        <v>9187</v>
      </c>
    </row>
    <row r="197" hidden="1">
      <c r="A197" s="428" t="s">
        <v>9188</v>
      </c>
      <c r="B197" s="283"/>
      <c r="C197" s="136" t="s">
        <v>8991</v>
      </c>
      <c r="D197" s="179">
        <v>0.73</v>
      </c>
      <c r="E197" s="179">
        <v>0.73</v>
      </c>
      <c r="F197" s="430"/>
      <c r="T197" s="195" t="s">
        <v>9188</v>
      </c>
    </row>
    <row r="198" hidden="1">
      <c r="A198" s="428" t="s">
        <v>4646</v>
      </c>
      <c r="B198" s="283"/>
      <c r="C198" s="136" t="s">
        <v>8991</v>
      </c>
      <c r="D198" s="179">
        <v>0.73</v>
      </c>
      <c r="E198" s="179">
        <v>0.73</v>
      </c>
      <c r="F198" s="430"/>
      <c r="T198" s="195" t="s">
        <v>4646</v>
      </c>
    </row>
    <row r="199" hidden="1">
      <c r="A199" s="428" t="s">
        <v>9189</v>
      </c>
      <c r="B199" s="283"/>
      <c r="C199" s="136" t="s">
        <v>8991</v>
      </c>
      <c r="D199" s="179">
        <v>0.73</v>
      </c>
      <c r="E199" s="179">
        <v>0.73</v>
      </c>
      <c r="F199" s="430"/>
      <c r="T199" s="195" t="s">
        <v>9189</v>
      </c>
    </row>
    <row r="200" hidden="1">
      <c r="A200" s="428" t="s">
        <v>9190</v>
      </c>
      <c r="B200" s="283"/>
      <c r="C200" s="136" t="s">
        <v>8991</v>
      </c>
      <c r="D200" s="179">
        <v>0.73</v>
      </c>
      <c r="E200" s="179">
        <v>0.73</v>
      </c>
      <c r="F200" s="430"/>
      <c r="T200" s="195" t="s">
        <v>9190</v>
      </c>
    </row>
    <row r="201" hidden="1">
      <c r="A201" s="428" t="s">
        <v>9191</v>
      </c>
      <c r="B201" s="283"/>
      <c r="C201" s="136" t="s">
        <v>8991</v>
      </c>
      <c r="D201" s="179">
        <v>0.73</v>
      </c>
      <c r="E201" s="179">
        <v>0.73</v>
      </c>
      <c r="F201" s="430"/>
      <c r="T201" s="195" t="s">
        <v>9191</v>
      </c>
    </row>
    <row r="202" hidden="1">
      <c r="A202" s="428" t="s">
        <v>9192</v>
      </c>
      <c r="B202" s="283"/>
      <c r="C202" s="136" t="s">
        <v>8991</v>
      </c>
      <c r="D202" s="179">
        <v>0.73</v>
      </c>
      <c r="E202" s="179">
        <v>0.73</v>
      </c>
      <c r="F202" s="430"/>
      <c r="T202" s="195" t="s">
        <v>9192</v>
      </c>
    </row>
    <row r="203" hidden="1">
      <c r="A203" s="428" t="s">
        <v>9193</v>
      </c>
      <c r="B203" s="283"/>
      <c r="C203" s="136" t="s">
        <v>8991</v>
      </c>
      <c r="D203" s="179">
        <v>0.73</v>
      </c>
      <c r="E203" s="179">
        <v>0.73</v>
      </c>
      <c r="F203" s="430"/>
      <c r="T203" s="195" t="s">
        <v>9193</v>
      </c>
    </row>
    <row r="204" hidden="1">
      <c r="A204" s="428" t="s">
        <v>9194</v>
      </c>
      <c r="B204" s="283"/>
      <c r="C204" s="136" t="s">
        <v>8991</v>
      </c>
      <c r="D204" s="179">
        <v>0.73</v>
      </c>
      <c r="E204" s="179">
        <v>0.73</v>
      </c>
      <c r="F204" s="430"/>
      <c r="T204" s="195" t="s">
        <v>9194</v>
      </c>
    </row>
    <row r="205" hidden="1">
      <c r="A205" s="428" t="s">
        <v>9195</v>
      </c>
      <c r="B205" s="283"/>
      <c r="C205" s="136" t="s">
        <v>8991</v>
      </c>
      <c r="D205" s="179">
        <v>0.73</v>
      </c>
      <c r="E205" s="179">
        <v>0.73</v>
      </c>
      <c r="F205" s="430"/>
      <c r="T205" s="195" t="s">
        <v>9195</v>
      </c>
    </row>
    <row r="206" hidden="1">
      <c r="A206" s="428" t="s">
        <v>9196</v>
      </c>
      <c r="B206" s="283"/>
      <c r="C206" s="136" t="s">
        <v>8991</v>
      </c>
      <c r="D206" s="179">
        <v>0.73</v>
      </c>
      <c r="E206" s="179">
        <v>0.73</v>
      </c>
      <c r="F206" s="430"/>
      <c r="T206" s="195" t="s">
        <v>9196</v>
      </c>
    </row>
    <row r="207" hidden="1">
      <c r="A207" s="428" t="s">
        <v>9197</v>
      </c>
      <c r="B207" s="283"/>
      <c r="C207" s="136" t="s">
        <v>8991</v>
      </c>
      <c r="D207" s="179">
        <v>0.73</v>
      </c>
      <c r="E207" s="179">
        <v>0.73</v>
      </c>
      <c r="F207" s="430"/>
      <c r="T207" s="195" t="s">
        <v>9197</v>
      </c>
    </row>
    <row r="208" hidden="1">
      <c r="A208" s="428" t="s">
        <v>9198</v>
      </c>
      <c r="B208" s="283"/>
      <c r="C208" s="136" t="s">
        <v>8991</v>
      </c>
      <c r="D208" s="179">
        <v>0.73</v>
      </c>
      <c r="E208" s="179">
        <v>0.73</v>
      </c>
      <c r="F208" s="430"/>
      <c r="T208" s="195" t="s">
        <v>9198</v>
      </c>
    </row>
    <row r="209" hidden="1">
      <c r="A209" s="428" t="s">
        <v>9199</v>
      </c>
      <c r="B209" s="283"/>
      <c r="C209" s="136" t="s">
        <v>8991</v>
      </c>
      <c r="D209" s="179">
        <v>0.73</v>
      </c>
      <c r="E209" s="179">
        <v>0.73</v>
      </c>
      <c r="F209" s="430"/>
      <c r="T209" s="195" t="s">
        <v>9199</v>
      </c>
    </row>
    <row r="210" hidden="1">
      <c r="A210" s="428" t="s">
        <v>9200</v>
      </c>
      <c r="B210" s="289">
        <v>14575.0</v>
      </c>
      <c r="C210" s="136" t="s">
        <v>8991</v>
      </c>
      <c r="D210" s="74">
        <v>0.85</v>
      </c>
      <c r="E210" s="74">
        <v>0.85</v>
      </c>
      <c r="F210" s="430"/>
      <c r="T210" s="195" t="s">
        <v>9200</v>
      </c>
    </row>
    <row r="211" hidden="1">
      <c r="A211" s="428" t="s">
        <v>9201</v>
      </c>
      <c r="B211" s="283"/>
      <c r="C211" s="136" t="s">
        <v>8991</v>
      </c>
      <c r="D211" s="179">
        <v>0.73</v>
      </c>
      <c r="E211" s="179">
        <v>0.73</v>
      </c>
      <c r="F211" s="430"/>
      <c r="T211" s="195" t="s">
        <v>9201</v>
      </c>
    </row>
    <row r="212" hidden="1">
      <c r="A212" s="428" t="s">
        <v>9202</v>
      </c>
      <c r="B212" s="283"/>
      <c r="C212" s="136" t="s">
        <v>8991</v>
      </c>
      <c r="D212" s="179">
        <v>0.73</v>
      </c>
      <c r="E212" s="179">
        <v>0.73</v>
      </c>
      <c r="F212" s="430"/>
      <c r="T212" s="195" t="s">
        <v>9202</v>
      </c>
    </row>
    <row r="213" hidden="1">
      <c r="A213" s="428" t="s">
        <v>9203</v>
      </c>
      <c r="B213" s="283"/>
      <c r="C213" s="136" t="s">
        <v>8991</v>
      </c>
      <c r="D213" s="179">
        <v>0.73</v>
      </c>
      <c r="E213" s="179">
        <v>0.73</v>
      </c>
      <c r="F213" s="430"/>
      <c r="T213" s="195" t="s">
        <v>9203</v>
      </c>
    </row>
    <row r="214" hidden="1">
      <c r="A214" s="428" t="s">
        <v>9204</v>
      </c>
      <c r="B214" s="283"/>
      <c r="C214" s="136" t="s">
        <v>8991</v>
      </c>
      <c r="D214" s="179">
        <v>0.73</v>
      </c>
      <c r="E214" s="179">
        <v>0.73</v>
      </c>
      <c r="F214" s="430"/>
      <c r="T214" s="195" t="s">
        <v>9204</v>
      </c>
    </row>
    <row r="215" hidden="1">
      <c r="A215" s="428" t="s">
        <v>9205</v>
      </c>
      <c r="B215" s="283"/>
      <c r="C215" s="136" t="s">
        <v>8991</v>
      </c>
      <c r="D215" s="179">
        <v>0.73</v>
      </c>
      <c r="E215" s="179">
        <v>0.73</v>
      </c>
      <c r="F215" s="430"/>
      <c r="T215" s="195" t="s">
        <v>9205</v>
      </c>
    </row>
    <row r="216" hidden="1">
      <c r="A216" s="428" t="s">
        <v>9206</v>
      </c>
      <c r="B216" s="283"/>
      <c r="C216" s="136" t="s">
        <v>8991</v>
      </c>
      <c r="D216" s="179">
        <v>0.73</v>
      </c>
      <c r="E216" s="179">
        <v>0.73</v>
      </c>
      <c r="F216" s="430"/>
      <c r="T216" s="195" t="s">
        <v>9206</v>
      </c>
    </row>
    <row r="217" hidden="1">
      <c r="A217" s="428" t="s">
        <v>9207</v>
      </c>
      <c r="B217" s="283"/>
      <c r="C217" s="136" t="s">
        <v>8991</v>
      </c>
      <c r="D217" s="179">
        <v>0.73</v>
      </c>
      <c r="E217" s="179">
        <v>0.73</v>
      </c>
      <c r="F217" s="430"/>
      <c r="T217" s="195" t="s">
        <v>9207</v>
      </c>
    </row>
    <row r="218" hidden="1">
      <c r="A218" s="428" t="s">
        <v>9208</v>
      </c>
      <c r="B218" s="283"/>
      <c r="C218" s="136" t="s">
        <v>8991</v>
      </c>
      <c r="D218" s="179">
        <v>0.73</v>
      </c>
      <c r="E218" s="179">
        <v>0.73</v>
      </c>
      <c r="F218" s="430"/>
      <c r="T218" s="195" t="s">
        <v>9208</v>
      </c>
    </row>
    <row r="219" hidden="1">
      <c r="A219" s="428" t="s">
        <v>9209</v>
      </c>
      <c r="B219" s="283"/>
      <c r="C219" s="136" t="s">
        <v>8991</v>
      </c>
      <c r="D219" s="179">
        <v>0.73</v>
      </c>
      <c r="E219" s="179">
        <v>0.73</v>
      </c>
      <c r="F219" s="430"/>
      <c r="T219" s="195" t="s">
        <v>9209</v>
      </c>
    </row>
    <row r="220" hidden="1">
      <c r="A220" s="428" t="s">
        <v>9210</v>
      </c>
      <c r="B220" s="283"/>
      <c r="C220" s="136" t="s">
        <v>8991</v>
      </c>
      <c r="D220" s="179">
        <v>0.73</v>
      </c>
      <c r="E220" s="179">
        <v>0.73</v>
      </c>
      <c r="F220" s="430"/>
      <c r="T220" s="195" t="s">
        <v>9210</v>
      </c>
    </row>
    <row r="221" hidden="1">
      <c r="A221" s="428" t="s">
        <v>9211</v>
      </c>
      <c r="B221" s="283"/>
      <c r="C221" s="136" t="s">
        <v>8991</v>
      </c>
      <c r="D221" s="179">
        <v>0.73</v>
      </c>
      <c r="E221" s="179">
        <v>0.73</v>
      </c>
      <c r="F221" s="430"/>
      <c r="T221" s="195" t="s">
        <v>9211</v>
      </c>
    </row>
    <row r="222" hidden="1">
      <c r="A222" s="428" t="s">
        <v>9212</v>
      </c>
      <c r="B222" s="289">
        <v>14603.0</v>
      </c>
      <c r="C222" s="136" t="s">
        <v>8991</v>
      </c>
      <c r="D222" s="179">
        <v>0.73</v>
      </c>
      <c r="E222" s="179">
        <v>0.73</v>
      </c>
      <c r="F222" s="430"/>
      <c r="T222" s="195" t="s">
        <v>9212</v>
      </c>
    </row>
    <row r="223" hidden="1">
      <c r="A223" s="428" t="s">
        <v>9213</v>
      </c>
      <c r="B223" s="289">
        <v>14603.0</v>
      </c>
      <c r="C223" s="136" t="s">
        <v>8991</v>
      </c>
      <c r="D223" s="179">
        <v>0.73</v>
      </c>
      <c r="E223" s="179">
        <v>0.73</v>
      </c>
      <c r="F223" s="430"/>
      <c r="T223" s="195" t="s">
        <v>9213</v>
      </c>
    </row>
    <row r="224" hidden="1">
      <c r="A224" s="428" t="s">
        <v>9214</v>
      </c>
      <c r="B224" s="289">
        <v>14603.0</v>
      </c>
      <c r="C224" s="136" t="s">
        <v>8991</v>
      </c>
      <c r="D224" s="179">
        <v>0.73</v>
      </c>
      <c r="E224" s="179">
        <v>0.73</v>
      </c>
      <c r="F224" s="430"/>
      <c r="T224" s="195" t="s">
        <v>9214</v>
      </c>
    </row>
    <row r="225" hidden="1">
      <c r="A225" s="428" t="s">
        <v>9215</v>
      </c>
      <c r="B225" s="289">
        <v>14603.0</v>
      </c>
      <c r="C225" s="136" t="s">
        <v>8991</v>
      </c>
      <c r="D225" s="179">
        <v>0.73</v>
      </c>
      <c r="E225" s="179">
        <v>0.73</v>
      </c>
      <c r="F225" s="430"/>
      <c r="T225" s="195" t="s">
        <v>9215</v>
      </c>
    </row>
    <row r="226" hidden="1">
      <c r="A226" s="428" t="s">
        <v>9216</v>
      </c>
      <c r="B226" s="283"/>
      <c r="C226" s="136" t="s">
        <v>8991</v>
      </c>
      <c r="D226" s="179">
        <v>0.73</v>
      </c>
      <c r="E226" s="179">
        <v>0.73</v>
      </c>
      <c r="F226" s="430"/>
      <c r="T226" s="195" t="s">
        <v>9216</v>
      </c>
    </row>
    <row r="227" hidden="1">
      <c r="A227" s="428" t="s">
        <v>9217</v>
      </c>
      <c r="B227" s="289">
        <v>14603.0</v>
      </c>
      <c r="C227" s="136" t="s">
        <v>8991</v>
      </c>
      <c r="D227" s="179">
        <v>0.73</v>
      </c>
      <c r="E227" s="179">
        <v>0.73</v>
      </c>
      <c r="F227" s="430"/>
      <c r="T227" s="195" t="s">
        <v>9217</v>
      </c>
    </row>
    <row r="228" hidden="1">
      <c r="A228" s="428" t="s">
        <v>9218</v>
      </c>
      <c r="B228" s="289">
        <v>14603.0</v>
      </c>
      <c r="C228" s="136" t="s">
        <v>8991</v>
      </c>
      <c r="D228" s="179">
        <v>0.73</v>
      </c>
      <c r="E228" s="179">
        <v>0.73</v>
      </c>
      <c r="F228" s="430"/>
      <c r="T228" s="195" t="s">
        <v>9218</v>
      </c>
    </row>
    <row r="229" hidden="1">
      <c r="A229" s="428" t="s">
        <v>9219</v>
      </c>
      <c r="B229" s="289">
        <v>14603.0</v>
      </c>
      <c r="C229" s="136" t="s">
        <v>8991</v>
      </c>
      <c r="D229" s="179">
        <v>0.73</v>
      </c>
      <c r="E229" s="179">
        <v>0.73</v>
      </c>
      <c r="F229" s="430"/>
      <c r="T229" s="195" t="s">
        <v>9219</v>
      </c>
    </row>
    <row r="230" hidden="1">
      <c r="A230" s="428" t="s">
        <v>9220</v>
      </c>
      <c r="B230" s="283"/>
      <c r="C230" s="136" t="s">
        <v>8991</v>
      </c>
      <c r="D230" s="179">
        <v>0.73</v>
      </c>
      <c r="E230" s="179">
        <v>0.73</v>
      </c>
      <c r="F230" s="430"/>
      <c r="T230" s="195" t="s">
        <v>9220</v>
      </c>
    </row>
    <row r="231" hidden="1">
      <c r="A231" s="428" t="s">
        <v>9221</v>
      </c>
      <c r="B231" s="289">
        <v>14603.0</v>
      </c>
      <c r="C231" s="136" t="s">
        <v>8991</v>
      </c>
      <c r="D231" s="179">
        <v>0.73</v>
      </c>
      <c r="E231" s="179">
        <v>0.73</v>
      </c>
      <c r="F231" s="430"/>
      <c r="T231" s="195" t="s">
        <v>9221</v>
      </c>
    </row>
    <row r="232" hidden="1">
      <c r="A232" s="428" t="s">
        <v>9222</v>
      </c>
      <c r="B232" s="283"/>
      <c r="C232" s="136" t="s">
        <v>8991</v>
      </c>
      <c r="D232" s="179">
        <v>0.73</v>
      </c>
      <c r="E232" s="179">
        <v>0.73</v>
      </c>
      <c r="F232" s="430"/>
      <c r="T232" s="195" t="s">
        <v>9222</v>
      </c>
    </row>
    <row r="233" hidden="1">
      <c r="A233" s="428" t="s">
        <v>9223</v>
      </c>
      <c r="B233" s="289">
        <v>14770.0</v>
      </c>
      <c r="C233" s="136" t="s">
        <v>8991</v>
      </c>
      <c r="D233" s="179">
        <v>0.73</v>
      </c>
      <c r="E233" s="179">
        <v>0.73</v>
      </c>
      <c r="F233" s="430"/>
      <c r="T233" s="195" t="s">
        <v>9223</v>
      </c>
    </row>
    <row r="234" hidden="1">
      <c r="A234" s="428" t="s">
        <v>9224</v>
      </c>
      <c r="B234" s="289">
        <v>14603.0</v>
      </c>
      <c r="C234" s="136" t="s">
        <v>8991</v>
      </c>
      <c r="D234" s="179">
        <v>0.73</v>
      </c>
      <c r="E234" s="179">
        <v>0.73</v>
      </c>
      <c r="F234" s="430"/>
      <c r="T234" s="195" t="s">
        <v>9224</v>
      </c>
    </row>
    <row r="235" hidden="1">
      <c r="A235" s="428" t="s">
        <v>9225</v>
      </c>
      <c r="B235" s="289">
        <v>14603.0</v>
      </c>
      <c r="C235" s="136" t="s">
        <v>8991</v>
      </c>
      <c r="D235" s="179">
        <v>0.73</v>
      </c>
      <c r="E235" s="179">
        <v>0.73</v>
      </c>
      <c r="F235" s="430"/>
      <c r="T235" s="195" t="s">
        <v>9225</v>
      </c>
    </row>
    <row r="236" hidden="1">
      <c r="A236" s="428" t="s">
        <v>9226</v>
      </c>
      <c r="B236" s="283"/>
      <c r="C236" s="136" t="s">
        <v>8991</v>
      </c>
      <c r="D236" s="179">
        <v>0.73</v>
      </c>
      <c r="E236" s="179">
        <v>0.73</v>
      </c>
      <c r="F236" s="430"/>
      <c r="T236" s="195" t="s">
        <v>9226</v>
      </c>
    </row>
    <row r="237" hidden="1">
      <c r="A237" s="428" t="s">
        <v>9227</v>
      </c>
      <c r="B237" s="283"/>
      <c r="C237" s="136" t="s">
        <v>8991</v>
      </c>
      <c r="D237" s="179">
        <v>0.73</v>
      </c>
      <c r="E237" s="179">
        <v>0.73</v>
      </c>
      <c r="F237" s="430"/>
      <c r="T237" s="195" t="s">
        <v>9227</v>
      </c>
    </row>
    <row r="238" hidden="1">
      <c r="A238" s="428" t="s">
        <v>9228</v>
      </c>
      <c r="B238" s="283"/>
      <c r="C238" s="136" t="s">
        <v>8991</v>
      </c>
      <c r="D238" s="179">
        <v>0.73</v>
      </c>
      <c r="E238" s="179">
        <v>0.73</v>
      </c>
      <c r="F238" s="430"/>
      <c r="T238" s="195" t="s">
        <v>9228</v>
      </c>
    </row>
    <row r="239" hidden="1">
      <c r="A239" s="428" t="s">
        <v>9229</v>
      </c>
      <c r="B239" s="283"/>
      <c r="C239" s="136" t="s">
        <v>8991</v>
      </c>
      <c r="D239" s="179">
        <v>0.73</v>
      </c>
      <c r="E239" s="179">
        <v>0.73</v>
      </c>
      <c r="F239" s="430"/>
      <c r="T239" s="195" t="s">
        <v>9229</v>
      </c>
    </row>
    <row r="240" hidden="1">
      <c r="A240" s="428" t="s">
        <v>9230</v>
      </c>
      <c r="B240" s="283"/>
      <c r="C240" s="136" t="s">
        <v>8991</v>
      </c>
      <c r="D240" s="179">
        <v>0.73</v>
      </c>
      <c r="E240" s="179">
        <v>0.73</v>
      </c>
      <c r="F240" s="430"/>
      <c r="T240" s="195" t="s">
        <v>9230</v>
      </c>
    </row>
    <row r="241" hidden="1">
      <c r="A241" s="428" t="s">
        <v>9231</v>
      </c>
      <c r="B241" s="283"/>
      <c r="C241" s="136" t="s">
        <v>8991</v>
      </c>
      <c r="D241" s="179">
        <v>0.73</v>
      </c>
      <c r="E241" s="179">
        <v>0.73</v>
      </c>
      <c r="F241" s="430"/>
      <c r="T241" s="195" t="s">
        <v>9231</v>
      </c>
    </row>
    <row r="242" hidden="1">
      <c r="A242" s="428" t="s">
        <v>9232</v>
      </c>
      <c r="B242" s="283"/>
      <c r="C242" s="136" t="s">
        <v>8991</v>
      </c>
      <c r="D242" s="179">
        <v>0.73</v>
      </c>
      <c r="E242" s="179">
        <v>0.73</v>
      </c>
      <c r="F242" s="430"/>
      <c r="T242" s="195" t="s">
        <v>9232</v>
      </c>
    </row>
    <row r="243" hidden="1">
      <c r="A243" s="428" t="s">
        <v>9233</v>
      </c>
      <c r="B243" s="289">
        <v>6811.0</v>
      </c>
      <c r="C243" s="136" t="s">
        <v>8991</v>
      </c>
      <c r="D243" s="179">
        <v>0.73</v>
      </c>
      <c r="E243" s="179">
        <v>0.73</v>
      </c>
      <c r="F243" s="430"/>
      <c r="T243" s="195" t="s">
        <v>9233</v>
      </c>
    </row>
    <row r="244" hidden="1">
      <c r="A244" s="428" t="s">
        <v>9234</v>
      </c>
      <c r="B244" s="283"/>
      <c r="C244" s="136" t="s">
        <v>8991</v>
      </c>
      <c r="D244" s="179">
        <v>0.73</v>
      </c>
      <c r="E244" s="179">
        <v>0.73</v>
      </c>
      <c r="F244" s="430"/>
      <c r="T244" s="195" t="s">
        <v>9234</v>
      </c>
    </row>
    <row r="245" hidden="1">
      <c r="A245" s="428" t="s">
        <v>9235</v>
      </c>
      <c r="B245" s="283"/>
      <c r="C245" s="136" t="s">
        <v>8991</v>
      </c>
      <c r="D245" s="179">
        <v>0.73</v>
      </c>
      <c r="E245" s="179">
        <v>0.73</v>
      </c>
      <c r="F245" s="430"/>
      <c r="T245" s="195" t="s">
        <v>9235</v>
      </c>
    </row>
    <row r="246" hidden="1">
      <c r="A246" s="428" t="s">
        <v>9236</v>
      </c>
      <c r="B246" s="283"/>
      <c r="C246" s="136" t="s">
        <v>8991</v>
      </c>
      <c r="D246" s="179">
        <v>0.73</v>
      </c>
      <c r="E246" s="179">
        <v>0.73</v>
      </c>
      <c r="F246" s="430"/>
      <c r="T246" s="195" t="s">
        <v>9236</v>
      </c>
    </row>
    <row r="247" hidden="1">
      <c r="A247" s="428" t="s">
        <v>9237</v>
      </c>
      <c r="B247" s="283"/>
      <c r="C247" s="136" t="s">
        <v>8991</v>
      </c>
      <c r="D247" s="179">
        <v>0.73</v>
      </c>
      <c r="E247" s="179">
        <v>0.73</v>
      </c>
      <c r="F247" s="430"/>
      <c r="T247" s="195" t="s">
        <v>9237</v>
      </c>
    </row>
    <row r="248" hidden="1">
      <c r="A248" s="428" t="s">
        <v>9238</v>
      </c>
      <c r="B248" s="283"/>
      <c r="C248" s="136" t="s">
        <v>8991</v>
      </c>
      <c r="D248" s="179">
        <v>0.73</v>
      </c>
      <c r="E248" s="179">
        <v>0.73</v>
      </c>
      <c r="F248" s="430"/>
      <c r="T248" s="195" t="s">
        <v>9238</v>
      </c>
    </row>
    <row r="249" hidden="1">
      <c r="A249" s="428" t="s">
        <v>9239</v>
      </c>
      <c r="B249" s="283"/>
      <c r="C249" s="136" t="s">
        <v>8991</v>
      </c>
      <c r="D249" s="179">
        <v>0.73</v>
      </c>
      <c r="E249" s="179">
        <v>0.73</v>
      </c>
      <c r="F249" s="430"/>
      <c r="T249" s="195" t="s">
        <v>9239</v>
      </c>
    </row>
    <row r="250" hidden="1">
      <c r="A250" s="428" t="s">
        <v>9240</v>
      </c>
      <c r="B250" s="283"/>
      <c r="C250" s="136" t="s">
        <v>8991</v>
      </c>
      <c r="D250" s="179">
        <v>0.73</v>
      </c>
      <c r="E250" s="179">
        <v>0.73</v>
      </c>
      <c r="F250" s="430"/>
      <c r="T250" s="195" t="s">
        <v>9240</v>
      </c>
    </row>
    <row r="251" hidden="1">
      <c r="A251" s="428" t="s">
        <v>9241</v>
      </c>
      <c r="B251" s="283"/>
      <c r="C251" s="136" t="s">
        <v>8991</v>
      </c>
      <c r="D251" s="179">
        <v>0.73</v>
      </c>
      <c r="E251" s="179">
        <v>0.73</v>
      </c>
      <c r="F251" s="430"/>
      <c r="T251" s="195" t="s">
        <v>9241</v>
      </c>
    </row>
    <row r="252" hidden="1">
      <c r="A252" s="428" t="s">
        <v>9242</v>
      </c>
      <c r="B252" s="283"/>
      <c r="C252" s="136" t="s">
        <v>8991</v>
      </c>
      <c r="D252" s="179">
        <v>0.73</v>
      </c>
      <c r="E252" s="179">
        <v>0.73</v>
      </c>
      <c r="F252" s="430"/>
      <c r="T252" s="195" t="s">
        <v>9242</v>
      </c>
    </row>
    <row r="253" hidden="1">
      <c r="A253" s="428" t="s">
        <v>9243</v>
      </c>
      <c r="B253" s="283"/>
      <c r="C253" s="136" t="s">
        <v>8991</v>
      </c>
      <c r="D253" s="179">
        <v>0.73</v>
      </c>
      <c r="E253" s="179">
        <v>0.73</v>
      </c>
      <c r="F253" s="430"/>
      <c r="T253" s="195" t="s">
        <v>9243</v>
      </c>
    </row>
    <row r="254" hidden="1">
      <c r="A254" s="426" t="s">
        <v>9244</v>
      </c>
      <c r="B254" s="117">
        <v>6998.0</v>
      </c>
      <c r="C254" s="136" t="s">
        <v>8991</v>
      </c>
      <c r="D254" s="179">
        <v>0.73</v>
      </c>
      <c r="E254" s="179">
        <v>0.73</v>
      </c>
      <c r="F254" s="430"/>
      <c r="T254" s="195" t="s">
        <v>9244</v>
      </c>
      <c r="U254" s="11">
        <v>6998.0</v>
      </c>
    </row>
    <row r="255" hidden="1">
      <c r="A255" s="426" t="s">
        <v>9245</v>
      </c>
      <c r="B255" s="117">
        <v>1360.0</v>
      </c>
      <c r="C255" s="136" t="s">
        <v>8991</v>
      </c>
      <c r="D255" s="179">
        <v>0.73</v>
      </c>
      <c r="E255" s="179">
        <v>0.73</v>
      </c>
      <c r="F255" s="430"/>
      <c r="T255" s="195" t="s">
        <v>9245</v>
      </c>
      <c r="U255" s="11">
        <v>1360.0</v>
      </c>
    </row>
    <row r="256" hidden="1">
      <c r="A256" s="428" t="s">
        <v>9246</v>
      </c>
      <c r="B256" s="283"/>
      <c r="C256" s="136" t="s">
        <v>8991</v>
      </c>
      <c r="D256" s="179">
        <v>0.73</v>
      </c>
      <c r="E256" s="179">
        <v>0.73</v>
      </c>
      <c r="F256" s="430"/>
      <c r="T256" s="195" t="s">
        <v>9246</v>
      </c>
    </row>
    <row r="257" hidden="1">
      <c r="A257" s="428" t="s">
        <v>9247</v>
      </c>
      <c r="B257" s="283"/>
      <c r="C257" s="136" t="s">
        <v>8991</v>
      </c>
      <c r="D257" s="179">
        <v>0.73</v>
      </c>
      <c r="E257" s="179">
        <v>0.73</v>
      </c>
      <c r="F257" s="430"/>
      <c r="T257" s="195" t="s">
        <v>9247</v>
      </c>
    </row>
    <row r="258" hidden="1">
      <c r="A258" s="428" t="s">
        <v>9248</v>
      </c>
      <c r="B258" s="283"/>
      <c r="C258" s="136" t="s">
        <v>8991</v>
      </c>
      <c r="D258" s="179">
        <v>0.73</v>
      </c>
      <c r="E258" s="179">
        <v>0.73</v>
      </c>
      <c r="F258" s="430"/>
      <c r="T258" s="195" t="s">
        <v>9248</v>
      </c>
    </row>
    <row r="259" hidden="1">
      <c r="A259" s="428" t="s">
        <v>9249</v>
      </c>
      <c r="B259" s="283"/>
      <c r="C259" s="136" t="s">
        <v>8991</v>
      </c>
      <c r="D259" s="179">
        <v>0.73</v>
      </c>
      <c r="E259" s="179">
        <v>0.73</v>
      </c>
      <c r="F259" s="430"/>
      <c r="T259" s="195" t="s">
        <v>9249</v>
      </c>
    </row>
    <row r="260" hidden="1">
      <c r="A260" s="428" t="s">
        <v>9250</v>
      </c>
      <c r="B260" s="283"/>
      <c r="C260" s="136" t="s">
        <v>8991</v>
      </c>
      <c r="D260" s="179">
        <v>0.73</v>
      </c>
      <c r="E260" s="179">
        <v>0.73</v>
      </c>
      <c r="F260" s="430"/>
      <c r="T260" s="195" t="s">
        <v>9250</v>
      </c>
    </row>
    <row r="261" hidden="1">
      <c r="A261" s="428" t="s">
        <v>9251</v>
      </c>
      <c r="B261" s="283"/>
      <c r="C261" s="136" t="s">
        <v>8991</v>
      </c>
      <c r="D261" s="179">
        <v>0.73</v>
      </c>
      <c r="E261" s="179">
        <v>0.73</v>
      </c>
      <c r="F261" s="430"/>
      <c r="T261" s="195" t="s">
        <v>9251</v>
      </c>
    </row>
    <row r="262" hidden="1">
      <c r="A262" s="428" t="s">
        <v>9252</v>
      </c>
      <c r="B262" s="283"/>
      <c r="C262" s="136" t="s">
        <v>8991</v>
      </c>
      <c r="D262" s="179">
        <v>0.73</v>
      </c>
      <c r="E262" s="179">
        <v>0.73</v>
      </c>
      <c r="F262" s="430"/>
      <c r="T262" s="195" t="s">
        <v>9252</v>
      </c>
    </row>
    <row r="263" hidden="1">
      <c r="A263" s="428" t="s">
        <v>9253</v>
      </c>
      <c r="B263" s="283"/>
      <c r="C263" s="136" t="s">
        <v>8991</v>
      </c>
      <c r="D263" s="179">
        <v>0.73</v>
      </c>
      <c r="E263" s="179">
        <v>0.73</v>
      </c>
      <c r="F263" s="430"/>
      <c r="T263" s="195" t="s">
        <v>9253</v>
      </c>
    </row>
    <row r="264" hidden="1">
      <c r="A264" s="428" t="s">
        <v>9254</v>
      </c>
      <c r="B264" s="283"/>
      <c r="C264" s="136" t="s">
        <v>8991</v>
      </c>
      <c r="D264" s="179">
        <v>0.73</v>
      </c>
      <c r="E264" s="179">
        <v>0.73</v>
      </c>
      <c r="F264" s="430"/>
      <c r="T264" s="195" t="s">
        <v>9254</v>
      </c>
    </row>
    <row r="265" hidden="1">
      <c r="A265" s="428" t="s">
        <v>9255</v>
      </c>
      <c r="B265" s="283"/>
      <c r="C265" s="136" t="s">
        <v>8991</v>
      </c>
      <c r="D265" s="179">
        <v>0.73</v>
      </c>
      <c r="E265" s="179">
        <v>0.73</v>
      </c>
      <c r="F265" s="430"/>
      <c r="T265" s="195" t="s">
        <v>9255</v>
      </c>
    </row>
    <row r="266" hidden="1">
      <c r="A266" s="428" t="s">
        <v>9256</v>
      </c>
      <c r="B266" s="283"/>
      <c r="C266" s="136" t="s">
        <v>8991</v>
      </c>
      <c r="D266" s="179">
        <v>0.73</v>
      </c>
      <c r="E266" s="179">
        <v>0.73</v>
      </c>
      <c r="F266" s="430"/>
      <c r="T266" s="195" t="s">
        <v>9256</v>
      </c>
    </row>
    <row r="267" hidden="1">
      <c r="A267" s="428" t="s">
        <v>9257</v>
      </c>
      <c r="B267" s="283"/>
      <c r="C267" s="136" t="s">
        <v>8991</v>
      </c>
      <c r="D267" s="179">
        <v>0.73</v>
      </c>
      <c r="E267" s="179">
        <v>0.73</v>
      </c>
      <c r="F267" s="430"/>
      <c r="T267" s="195" t="s">
        <v>9257</v>
      </c>
    </row>
    <row r="268" hidden="1">
      <c r="A268" s="428" t="s">
        <v>9258</v>
      </c>
      <c r="B268" s="283"/>
      <c r="C268" s="136" t="s">
        <v>8991</v>
      </c>
      <c r="D268" s="179">
        <v>0.73</v>
      </c>
      <c r="E268" s="179">
        <v>0.73</v>
      </c>
      <c r="F268" s="430"/>
      <c r="T268" s="195" t="s">
        <v>9258</v>
      </c>
    </row>
    <row r="269" hidden="1">
      <c r="A269" s="428" t="s">
        <v>9259</v>
      </c>
      <c r="B269" s="283"/>
      <c r="C269" s="136" t="s">
        <v>8991</v>
      </c>
      <c r="D269" s="179">
        <v>0.73</v>
      </c>
      <c r="E269" s="179">
        <v>0.73</v>
      </c>
      <c r="F269" s="430"/>
      <c r="T269" s="195" t="s">
        <v>9259</v>
      </c>
    </row>
    <row r="270" hidden="1">
      <c r="A270" s="428" t="s">
        <v>9260</v>
      </c>
      <c r="B270" s="283"/>
      <c r="C270" s="136" t="s">
        <v>8991</v>
      </c>
      <c r="D270" s="179">
        <v>0.73</v>
      </c>
      <c r="E270" s="179">
        <v>0.73</v>
      </c>
      <c r="F270" s="430"/>
      <c r="T270" s="195" t="s">
        <v>9260</v>
      </c>
    </row>
    <row r="271" hidden="1">
      <c r="A271" s="428" t="s">
        <v>9261</v>
      </c>
      <c r="B271" s="283"/>
      <c r="C271" s="136" t="s">
        <v>8991</v>
      </c>
      <c r="D271" s="179">
        <v>0.73</v>
      </c>
      <c r="E271" s="179">
        <v>0.73</v>
      </c>
      <c r="F271" s="430"/>
      <c r="T271" s="195" t="s">
        <v>9261</v>
      </c>
    </row>
    <row r="272" hidden="1">
      <c r="A272" s="428" t="s">
        <v>9262</v>
      </c>
      <c r="B272" s="283"/>
      <c r="C272" s="136" t="s">
        <v>8991</v>
      </c>
      <c r="D272" s="179">
        <v>0.73</v>
      </c>
      <c r="E272" s="179">
        <v>0.73</v>
      </c>
      <c r="F272" s="430"/>
      <c r="T272" s="195" t="s">
        <v>9262</v>
      </c>
    </row>
    <row r="273" hidden="1">
      <c r="A273" s="428" t="s">
        <v>9263</v>
      </c>
      <c r="B273" s="283"/>
      <c r="C273" s="136" t="s">
        <v>8991</v>
      </c>
      <c r="D273" s="179">
        <v>0.73</v>
      </c>
      <c r="E273" s="179">
        <v>0.73</v>
      </c>
      <c r="F273" s="430"/>
      <c r="T273" s="195" t="s">
        <v>9263</v>
      </c>
    </row>
    <row r="274" hidden="1">
      <c r="A274" s="428" t="s">
        <v>9264</v>
      </c>
      <c r="B274" s="283"/>
      <c r="C274" s="136" t="s">
        <v>8991</v>
      </c>
      <c r="D274" s="179">
        <v>0.73</v>
      </c>
      <c r="E274" s="179">
        <v>0.73</v>
      </c>
      <c r="F274" s="430"/>
      <c r="T274" s="195" t="s">
        <v>9264</v>
      </c>
    </row>
    <row r="275" hidden="1">
      <c r="A275" s="428" t="s">
        <v>9265</v>
      </c>
      <c r="B275" s="283"/>
      <c r="C275" s="136" t="s">
        <v>8991</v>
      </c>
      <c r="D275" s="179">
        <v>0.73</v>
      </c>
      <c r="E275" s="179">
        <v>0.73</v>
      </c>
      <c r="F275" s="430"/>
      <c r="T275" s="195" t="s">
        <v>9265</v>
      </c>
    </row>
    <row r="276" hidden="1">
      <c r="A276" s="428" t="s">
        <v>9266</v>
      </c>
      <c r="B276" s="283"/>
      <c r="C276" s="136" t="s">
        <v>8991</v>
      </c>
      <c r="D276" s="179">
        <v>0.73</v>
      </c>
      <c r="E276" s="179">
        <v>0.73</v>
      </c>
      <c r="F276" s="430"/>
      <c r="T276" s="195" t="s">
        <v>9266</v>
      </c>
    </row>
    <row r="277" hidden="1">
      <c r="A277" s="428" t="s">
        <v>9267</v>
      </c>
      <c r="B277" s="283"/>
      <c r="C277" s="136" t="s">
        <v>8991</v>
      </c>
      <c r="D277" s="179">
        <v>0.73</v>
      </c>
      <c r="E277" s="179">
        <v>0.73</v>
      </c>
      <c r="F277" s="430"/>
      <c r="T277" s="195" t="s">
        <v>9267</v>
      </c>
    </row>
    <row r="278" hidden="1">
      <c r="A278" s="428" t="s">
        <v>9268</v>
      </c>
      <c r="B278" s="283"/>
      <c r="C278" s="136" t="s">
        <v>8991</v>
      </c>
      <c r="D278" s="179">
        <v>0.73</v>
      </c>
      <c r="E278" s="179">
        <v>0.73</v>
      </c>
      <c r="F278" s="430"/>
      <c r="T278" s="195" t="s">
        <v>9268</v>
      </c>
    </row>
    <row r="279" hidden="1">
      <c r="A279" s="428" t="s">
        <v>9269</v>
      </c>
      <c r="B279" s="283"/>
      <c r="C279" s="136" t="s">
        <v>8991</v>
      </c>
      <c r="D279" s="179">
        <v>0.73</v>
      </c>
      <c r="E279" s="179">
        <v>0.73</v>
      </c>
      <c r="F279" s="430"/>
      <c r="T279" s="195" t="s">
        <v>9269</v>
      </c>
    </row>
    <row r="280" hidden="1">
      <c r="A280" s="428" t="s">
        <v>9270</v>
      </c>
      <c r="B280" s="283"/>
      <c r="C280" s="136" t="s">
        <v>8991</v>
      </c>
      <c r="D280" s="179">
        <v>0.73</v>
      </c>
      <c r="E280" s="179">
        <v>0.73</v>
      </c>
      <c r="F280" s="430"/>
      <c r="T280" s="195" t="s">
        <v>9270</v>
      </c>
    </row>
    <row r="281" hidden="1">
      <c r="A281" s="426" t="s">
        <v>9271</v>
      </c>
      <c r="B281" s="117">
        <v>6658.0</v>
      </c>
      <c r="C281" s="136" t="s">
        <v>8991</v>
      </c>
      <c r="D281" s="179">
        <v>0.82</v>
      </c>
      <c r="E281" s="179">
        <v>0.82</v>
      </c>
      <c r="F281" s="430"/>
      <c r="T281" s="195" t="s">
        <v>9271</v>
      </c>
      <c r="U281" s="11">
        <v>6658.0</v>
      </c>
    </row>
    <row r="282" hidden="1">
      <c r="A282" s="426" t="s">
        <v>9272</v>
      </c>
      <c r="B282" s="117">
        <v>6658.0</v>
      </c>
      <c r="C282" s="136" t="s">
        <v>8991</v>
      </c>
      <c r="D282" s="179">
        <v>0.82</v>
      </c>
      <c r="E282" s="179">
        <v>0.82</v>
      </c>
      <c r="F282" s="430"/>
      <c r="T282" s="195" t="s">
        <v>9272</v>
      </c>
      <c r="U282" s="11">
        <v>6658.0</v>
      </c>
    </row>
    <row r="283" hidden="1">
      <c r="A283" s="426" t="s">
        <v>9273</v>
      </c>
      <c r="B283" s="117">
        <v>189.0</v>
      </c>
      <c r="C283" s="136" t="s">
        <v>8991</v>
      </c>
      <c r="D283" s="179">
        <v>0.82</v>
      </c>
      <c r="E283" s="179">
        <v>0.82</v>
      </c>
      <c r="F283" s="430"/>
      <c r="T283" s="195" t="s">
        <v>9273</v>
      </c>
      <c r="U283" s="11">
        <v>189.0</v>
      </c>
    </row>
    <row r="284" hidden="1">
      <c r="A284" s="426" t="s">
        <v>9274</v>
      </c>
      <c r="B284" s="117">
        <v>189.0</v>
      </c>
      <c r="C284" s="136" t="s">
        <v>8991</v>
      </c>
      <c r="D284" s="179">
        <v>0.82</v>
      </c>
      <c r="E284" s="179">
        <v>0.82</v>
      </c>
      <c r="F284" s="430"/>
      <c r="T284" s="195" t="s">
        <v>9274</v>
      </c>
      <c r="U284" s="11">
        <v>189.0</v>
      </c>
    </row>
    <row r="285" hidden="1">
      <c r="A285" s="426" t="s">
        <v>9275</v>
      </c>
      <c r="B285" s="117">
        <v>189.0</v>
      </c>
      <c r="C285" s="136" t="s">
        <v>8991</v>
      </c>
      <c r="D285" s="179">
        <v>0.82</v>
      </c>
      <c r="E285" s="179">
        <v>0.82</v>
      </c>
      <c r="F285" s="430"/>
      <c r="T285" s="195" t="s">
        <v>9275</v>
      </c>
      <c r="U285" s="11">
        <v>189.0</v>
      </c>
    </row>
    <row r="286" hidden="1">
      <c r="A286" s="426" t="s">
        <v>9276</v>
      </c>
      <c r="B286" s="117">
        <v>189.0</v>
      </c>
      <c r="C286" s="136" t="s">
        <v>8991</v>
      </c>
      <c r="D286" s="179">
        <v>0.82</v>
      </c>
      <c r="E286" s="179">
        <v>0.82</v>
      </c>
      <c r="F286" s="430"/>
      <c r="T286" s="195" t="s">
        <v>9276</v>
      </c>
      <c r="U286" s="11">
        <v>189.0</v>
      </c>
    </row>
    <row r="287" hidden="1">
      <c r="A287" s="426" t="s">
        <v>9277</v>
      </c>
      <c r="B287" s="117">
        <v>189.0</v>
      </c>
      <c r="C287" s="136" t="s">
        <v>8991</v>
      </c>
      <c r="D287" s="179">
        <v>0.82</v>
      </c>
      <c r="E287" s="179">
        <v>0.82</v>
      </c>
      <c r="F287" s="430"/>
      <c r="T287" s="195" t="s">
        <v>9277</v>
      </c>
      <c r="U287" s="11">
        <v>189.0</v>
      </c>
    </row>
    <row r="288" hidden="1">
      <c r="A288" s="426" t="s">
        <v>9278</v>
      </c>
      <c r="B288" s="117">
        <v>189.0</v>
      </c>
      <c r="C288" s="136" t="s">
        <v>8991</v>
      </c>
      <c r="D288" s="179">
        <v>0.82</v>
      </c>
      <c r="E288" s="179">
        <v>0.82</v>
      </c>
      <c r="F288" s="430"/>
      <c r="T288" s="195" t="s">
        <v>9278</v>
      </c>
      <c r="U288" s="11">
        <v>189.0</v>
      </c>
    </row>
    <row r="289" hidden="1">
      <c r="A289" s="428" t="s">
        <v>9279</v>
      </c>
      <c r="B289" s="289">
        <v>14594.0</v>
      </c>
      <c r="C289" s="136" t="s">
        <v>8991</v>
      </c>
      <c r="D289" s="179">
        <v>0.73</v>
      </c>
      <c r="E289" s="179">
        <v>0.73</v>
      </c>
      <c r="F289" s="430"/>
      <c r="T289" s="195" t="s">
        <v>9279</v>
      </c>
    </row>
    <row r="290" hidden="1">
      <c r="A290" s="428" t="s">
        <v>9280</v>
      </c>
      <c r="B290" s="283"/>
      <c r="C290" s="136" t="s">
        <v>8991</v>
      </c>
      <c r="D290" s="179">
        <v>0.73</v>
      </c>
      <c r="E290" s="179">
        <v>0.73</v>
      </c>
      <c r="F290" s="430"/>
      <c r="T290" s="195" t="s">
        <v>9280</v>
      </c>
    </row>
    <row r="291" hidden="1">
      <c r="A291" s="428" t="s">
        <v>9281</v>
      </c>
      <c r="B291" s="283"/>
      <c r="C291" s="136" t="s">
        <v>8991</v>
      </c>
      <c r="D291" s="179">
        <v>0.73</v>
      </c>
      <c r="E291" s="179">
        <v>0.73</v>
      </c>
      <c r="F291" s="430"/>
      <c r="T291" s="195" t="s">
        <v>9281</v>
      </c>
    </row>
    <row r="292" hidden="1">
      <c r="A292" s="428" t="s">
        <v>9282</v>
      </c>
      <c r="B292" s="283"/>
      <c r="C292" s="136" t="s">
        <v>8991</v>
      </c>
      <c r="D292" s="179">
        <v>0.73</v>
      </c>
      <c r="E292" s="179">
        <v>0.73</v>
      </c>
      <c r="F292" s="430"/>
      <c r="T292" s="195" t="s">
        <v>9282</v>
      </c>
    </row>
    <row r="293" hidden="1">
      <c r="A293" s="428" t="s">
        <v>9283</v>
      </c>
      <c r="B293" s="283"/>
      <c r="C293" s="136" t="s">
        <v>8991</v>
      </c>
      <c r="D293" s="179">
        <v>0.73</v>
      </c>
      <c r="E293" s="179">
        <v>0.73</v>
      </c>
      <c r="F293" s="430"/>
      <c r="T293" s="195" t="s">
        <v>9283</v>
      </c>
    </row>
    <row r="294" hidden="1">
      <c r="A294" s="428" t="s">
        <v>9284</v>
      </c>
      <c r="B294" s="283"/>
      <c r="C294" s="136" t="s">
        <v>8991</v>
      </c>
      <c r="D294" s="179">
        <v>0.73</v>
      </c>
      <c r="E294" s="179">
        <v>0.73</v>
      </c>
      <c r="F294" s="430"/>
      <c r="T294" s="195" t="s">
        <v>9284</v>
      </c>
    </row>
    <row r="295" hidden="1">
      <c r="A295" s="428" t="s">
        <v>9285</v>
      </c>
      <c r="B295" s="283"/>
      <c r="C295" s="136" t="s">
        <v>8991</v>
      </c>
      <c r="D295" s="179">
        <v>0.73</v>
      </c>
      <c r="E295" s="179">
        <v>0.73</v>
      </c>
      <c r="F295" s="430"/>
      <c r="T295" s="195" t="s">
        <v>9285</v>
      </c>
    </row>
    <row r="296" hidden="1">
      <c r="A296" s="428" t="s">
        <v>9286</v>
      </c>
      <c r="B296" s="283"/>
      <c r="C296" s="136" t="s">
        <v>8991</v>
      </c>
      <c r="D296" s="179">
        <v>0.73</v>
      </c>
      <c r="E296" s="179">
        <v>0.73</v>
      </c>
      <c r="F296" s="430"/>
      <c r="T296" s="195" t="s">
        <v>9286</v>
      </c>
    </row>
    <row r="297" hidden="1">
      <c r="A297" s="428" t="s">
        <v>9287</v>
      </c>
      <c r="B297" s="283"/>
      <c r="C297" s="136" t="s">
        <v>8991</v>
      </c>
      <c r="D297" s="179">
        <v>0.73</v>
      </c>
      <c r="E297" s="179">
        <v>0.73</v>
      </c>
      <c r="F297" s="430"/>
      <c r="T297" s="195" t="s">
        <v>9287</v>
      </c>
    </row>
    <row r="298" hidden="1">
      <c r="A298" s="428" t="s">
        <v>9288</v>
      </c>
      <c r="B298" s="283"/>
      <c r="C298" s="136" t="s">
        <v>8991</v>
      </c>
      <c r="D298" s="179">
        <v>0.73</v>
      </c>
      <c r="E298" s="179">
        <v>0.73</v>
      </c>
      <c r="F298" s="430"/>
      <c r="T298" s="195" t="s">
        <v>9288</v>
      </c>
    </row>
    <row r="299" hidden="1">
      <c r="A299" s="428" t="s">
        <v>9289</v>
      </c>
      <c r="B299" s="283"/>
      <c r="C299" s="136" t="s">
        <v>8991</v>
      </c>
      <c r="D299" s="179">
        <v>0.73</v>
      </c>
      <c r="E299" s="179">
        <v>0.73</v>
      </c>
      <c r="F299" s="430"/>
      <c r="T299" s="195" t="s">
        <v>9289</v>
      </c>
    </row>
    <row r="300" hidden="1">
      <c r="A300" s="428" t="s">
        <v>9290</v>
      </c>
      <c r="B300" s="283"/>
      <c r="C300" s="136" t="s">
        <v>8991</v>
      </c>
      <c r="D300" s="179">
        <v>0.73</v>
      </c>
      <c r="E300" s="179">
        <v>0.73</v>
      </c>
      <c r="F300" s="430"/>
      <c r="T300" s="195" t="s">
        <v>9290</v>
      </c>
    </row>
    <row r="301" hidden="1">
      <c r="A301" s="428" t="s">
        <v>9291</v>
      </c>
      <c r="B301" s="283"/>
      <c r="C301" s="136" t="s">
        <v>8991</v>
      </c>
      <c r="D301" s="179">
        <v>0.73</v>
      </c>
      <c r="E301" s="179">
        <v>0.73</v>
      </c>
      <c r="F301" s="430"/>
      <c r="T301" s="195" t="s">
        <v>9291</v>
      </c>
    </row>
    <row r="302" hidden="1">
      <c r="A302" s="428" t="s">
        <v>9292</v>
      </c>
      <c r="B302" s="283"/>
      <c r="C302" s="136" t="s">
        <v>8991</v>
      </c>
      <c r="D302" s="179">
        <v>0.73</v>
      </c>
      <c r="E302" s="179">
        <v>0.73</v>
      </c>
      <c r="F302" s="430"/>
      <c r="T302" s="195" t="s">
        <v>9292</v>
      </c>
    </row>
    <row r="303" hidden="1">
      <c r="A303" s="428" t="s">
        <v>9293</v>
      </c>
      <c r="B303" s="283"/>
      <c r="C303" s="136" t="s">
        <v>8991</v>
      </c>
      <c r="D303" s="179">
        <v>0.73</v>
      </c>
      <c r="E303" s="179">
        <v>0.73</v>
      </c>
      <c r="F303" s="430"/>
      <c r="T303" s="195" t="s">
        <v>9293</v>
      </c>
    </row>
    <row r="304" hidden="1">
      <c r="A304" s="428" t="s">
        <v>9294</v>
      </c>
      <c r="B304" s="283"/>
      <c r="C304" s="136" t="s">
        <v>8991</v>
      </c>
      <c r="D304" s="179">
        <v>0.73</v>
      </c>
      <c r="E304" s="179">
        <v>0.73</v>
      </c>
      <c r="F304" s="430"/>
      <c r="T304" s="195" t="s">
        <v>9294</v>
      </c>
    </row>
    <row r="305" hidden="1">
      <c r="A305" s="428" t="s">
        <v>9295</v>
      </c>
      <c r="B305" s="283"/>
      <c r="C305" s="136" t="s">
        <v>8991</v>
      </c>
      <c r="D305" s="179">
        <v>0.73</v>
      </c>
      <c r="E305" s="179">
        <v>0.73</v>
      </c>
      <c r="F305" s="430"/>
      <c r="T305" s="195" t="s">
        <v>9295</v>
      </c>
    </row>
    <row r="306" hidden="1">
      <c r="A306" s="428" t="s">
        <v>9296</v>
      </c>
      <c r="B306" s="283"/>
      <c r="C306" s="136" t="s">
        <v>8991</v>
      </c>
      <c r="D306" s="179">
        <v>0.73</v>
      </c>
      <c r="E306" s="179">
        <v>0.73</v>
      </c>
      <c r="F306" s="430"/>
      <c r="T306" s="195" t="s">
        <v>9296</v>
      </c>
    </row>
    <row r="307" hidden="1">
      <c r="A307" s="428" t="s">
        <v>9297</v>
      </c>
      <c r="B307" s="283"/>
      <c r="C307" s="136" t="s">
        <v>8991</v>
      </c>
      <c r="D307" s="179">
        <v>0.73</v>
      </c>
      <c r="E307" s="179">
        <v>0.73</v>
      </c>
      <c r="F307" s="430"/>
      <c r="T307" s="195" t="s">
        <v>9297</v>
      </c>
    </row>
    <row r="308" hidden="1">
      <c r="A308" s="428" t="s">
        <v>9298</v>
      </c>
      <c r="B308" s="283"/>
      <c r="C308" s="136" t="s">
        <v>8991</v>
      </c>
      <c r="D308" s="179">
        <v>0.73</v>
      </c>
      <c r="E308" s="179">
        <v>0.73</v>
      </c>
      <c r="F308" s="430"/>
      <c r="T308" s="195" t="s">
        <v>9298</v>
      </c>
    </row>
    <row r="309" hidden="1">
      <c r="A309" s="428" t="s">
        <v>9299</v>
      </c>
      <c r="B309" s="283"/>
      <c r="C309" s="136" t="s">
        <v>8991</v>
      </c>
      <c r="D309" s="179">
        <v>0.73</v>
      </c>
      <c r="E309" s="179">
        <v>0.73</v>
      </c>
      <c r="F309" s="430"/>
      <c r="T309" s="195" t="s">
        <v>9299</v>
      </c>
    </row>
    <row r="310" hidden="1">
      <c r="A310" s="428" t="s">
        <v>9300</v>
      </c>
      <c r="B310" s="283"/>
      <c r="C310" s="136" t="s">
        <v>8991</v>
      </c>
      <c r="D310" s="179">
        <v>0.73</v>
      </c>
      <c r="E310" s="179">
        <v>0.73</v>
      </c>
      <c r="F310" s="430"/>
      <c r="T310" s="195" t="s">
        <v>9300</v>
      </c>
    </row>
    <row r="311" hidden="1">
      <c r="A311" s="428" t="s">
        <v>9301</v>
      </c>
      <c r="B311" s="283"/>
      <c r="C311" s="136" t="s">
        <v>8991</v>
      </c>
      <c r="D311" s="179">
        <v>0.73</v>
      </c>
      <c r="E311" s="179">
        <v>0.73</v>
      </c>
      <c r="F311" s="430"/>
      <c r="T311" s="195" t="s">
        <v>9301</v>
      </c>
    </row>
    <row r="312" hidden="1">
      <c r="A312" s="428" t="s">
        <v>9302</v>
      </c>
      <c r="B312" s="283"/>
      <c r="C312" s="136" t="s">
        <v>8991</v>
      </c>
      <c r="D312" s="179">
        <v>0.73</v>
      </c>
      <c r="E312" s="179">
        <v>0.73</v>
      </c>
      <c r="F312" s="430"/>
      <c r="T312" s="195" t="s">
        <v>9302</v>
      </c>
    </row>
    <row r="313" hidden="1">
      <c r="A313" s="428" t="s">
        <v>9303</v>
      </c>
      <c r="B313" s="283"/>
      <c r="C313" s="136" t="s">
        <v>8991</v>
      </c>
      <c r="D313" s="179">
        <v>0.73</v>
      </c>
      <c r="E313" s="179">
        <v>0.73</v>
      </c>
      <c r="F313" s="430"/>
      <c r="T313" s="195" t="s">
        <v>9303</v>
      </c>
    </row>
    <row r="314" hidden="1">
      <c r="A314" s="428" t="s">
        <v>9304</v>
      </c>
      <c r="B314" s="283"/>
      <c r="C314" s="136" t="s">
        <v>8991</v>
      </c>
      <c r="D314" s="179">
        <v>0.73</v>
      </c>
      <c r="E314" s="179">
        <v>0.73</v>
      </c>
      <c r="F314" s="430"/>
      <c r="T314" s="195" t="s">
        <v>9304</v>
      </c>
    </row>
    <row r="315" hidden="1">
      <c r="A315" s="428" t="s">
        <v>9305</v>
      </c>
      <c r="B315" s="283"/>
      <c r="C315" s="136" t="s">
        <v>8991</v>
      </c>
      <c r="D315" s="179">
        <v>0.73</v>
      </c>
      <c r="E315" s="179">
        <v>0.73</v>
      </c>
      <c r="F315" s="430"/>
      <c r="T315" s="195" t="s">
        <v>9305</v>
      </c>
    </row>
    <row r="316" hidden="1">
      <c r="A316" s="428" t="s">
        <v>9306</v>
      </c>
      <c r="B316" s="283"/>
      <c r="C316" s="136" t="s">
        <v>8991</v>
      </c>
      <c r="D316" s="179">
        <v>0.73</v>
      </c>
      <c r="E316" s="179">
        <v>0.73</v>
      </c>
      <c r="F316" s="430"/>
      <c r="T316" s="195" t="s">
        <v>9306</v>
      </c>
    </row>
    <row r="317" hidden="1">
      <c r="A317" s="428" t="s">
        <v>9307</v>
      </c>
      <c r="B317" s="283"/>
      <c r="C317" s="136" t="s">
        <v>8991</v>
      </c>
      <c r="D317" s="179">
        <v>0.73</v>
      </c>
      <c r="E317" s="179">
        <v>0.73</v>
      </c>
      <c r="F317" s="430"/>
      <c r="T317" s="195" t="s">
        <v>9307</v>
      </c>
    </row>
    <row r="318" hidden="1">
      <c r="A318" s="428" t="s">
        <v>9308</v>
      </c>
      <c r="B318" s="283"/>
      <c r="C318" s="136" t="s">
        <v>8991</v>
      </c>
      <c r="D318" s="179">
        <v>0.73</v>
      </c>
      <c r="E318" s="179">
        <v>0.73</v>
      </c>
      <c r="F318" s="430"/>
      <c r="T318" s="195" t="s">
        <v>9308</v>
      </c>
    </row>
    <row r="319" hidden="1">
      <c r="A319" s="428" t="s">
        <v>9309</v>
      </c>
      <c r="B319" s="283"/>
      <c r="C319" s="136" t="s">
        <v>8991</v>
      </c>
      <c r="D319" s="179">
        <v>0.73</v>
      </c>
      <c r="E319" s="179">
        <v>0.73</v>
      </c>
      <c r="F319" s="430"/>
      <c r="T319" s="195" t="s">
        <v>9309</v>
      </c>
    </row>
    <row r="320" hidden="1">
      <c r="A320" s="428" t="s">
        <v>9310</v>
      </c>
      <c r="B320" s="283"/>
      <c r="C320" s="136" t="s">
        <v>8991</v>
      </c>
      <c r="D320" s="179">
        <v>0.73</v>
      </c>
      <c r="E320" s="179">
        <v>0.73</v>
      </c>
      <c r="F320" s="430"/>
      <c r="T320" s="195" t="s">
        <v>9310</v>
      </c>
    </row>
    <row r="321" hidden="1">
      <c r="A321" s="428" t="s">
        <v>9311</v>
      </c>
      <c r="B321" s="283"/>
      <c r="C321" s="136" t="s">
        <v>8991</v>
      </c>
      <c r="D321" s="179">
        <v>0.73</v>
      </c>
      <c r="E321" s="179">
        <v>0.73</v>
      </c>
      <c r="F321" s="430"/>
      <c r="T321" s="195" t="s">
        <v>9311</v>
      </c>
    </row>
    <row r="322" hidden="1">
      <c r="A322" s="428" t="s">
        <v>9312</v>
      </c>
      <c r="B322" s="283"/>
      <c r="C322" s="136" t="s">
        <v>8991</v>
      </c>
      <c r="D322" s="179">
        <v>0.73</v>
      </c>
      <c r="E322" s="179">
        <v>0.73</v>
      </c>
      <c r="F322" s="430"/>
      <c r="T322" s="195" t="s">
        <v>9312</v>
      </c>
    </row>
    <row r="323" hidden="1">
      <c r="A323" s="428" t="s">
        <v>9313</v>
      </c>
      <c r="B323" s="283"/>
      <c r="C323" s="136" t="s">
        <v>8991</v>
      </c>
      <c r="D323" s="179">
        <v>0.73</v>
      </c>
      <c r="E323" s="179">
        <v>0.73</v>
      </c>
      <c r="F323" s="430"/>
      <c r="T323" s="195" t="s">
        <v>9313</v>
      </c>
    </row>
    <row r="324" hidden="1">
      <c r="A324" s="428" t="s">
        <v>9314</v>
      </c>
      <c r="B324" s="283"/>
      <c r="C324" s="136" t="s">
        <v>8991</v>
      </c>
      <c r="D324" s="179">
        <v>0.73</v>
      </c>
      <c r="E324" s="179">
        <v>0.73</v>
      </c>
      <c r="F324" s="430"/>
      <c r="T324" s="195" t="s">
        <v>9314</v>
      </c>
    </row>
    <row r="325" hidden="1">
      <c r="A325" s="428" t="s">
        <v>9315</v>
      </c>
      <c r="B325" s="283"/>
      <c r="C325" s="136" t="s">
        <v>8991</v>
      </c>
      <c r="D325" s="179">
        <v>0.73</v>
      </c>
      <c r="E325" s="179">
        <v>0.73</v>
      </c>
      <c r="F325" s="430"/>
      <c r="T325" s="195" t="s">
        <v>9315</v>
      </c>
    </row>
    <row r="326" hidden="1">
      <c r="A326" s="428" t="s">
        <v>9316</v>
      </c>
      <c r="B326" s="283"/>
      <c r="C326" s="136" t="s">
        <v>8991</v>
      </c>
      <c r="D326" s="179">
        <v>0.73</v>
      </c>
      <c r="E326" s="179">
        <v>0.73</v>
      </c>
      <c r="F326" s="430"/>
      <c r="T326" s="195" t="s">
        <v>9316</v>
      </c>
    </row>
    <row r="327" hidden="1">
      <c r="A327" s="428" t="s">
        <v>9317</v>
      </c>
      <c r="B327" s="283"/>
      <c r="C327" s="136" t="s">
        <v>8991</v>
      </c>
      <c r="D327" s="179">
        <v>0.73</v>
      </c>
      <c r="E327" s="179">
        <v>0.73</v>
      </c>
      <c r="F327" s="430"/>
      <c r="T327" s="195" t="s">
        <v>9317</v>
      </c>
    </row>
    <row r="328" hidden="1">
      <c r="A328" s="428" t="s">
        <v>9318</v>
      </c>
      <c r="B328" s="283"/>
      <c r="C328" s="136" t="s">
        <v>8991</v>
      </c>
      <c r="D328" s="179">
        <v>0.73</v>
      </c>
      <c r="E328" s="179">
        <v>0.73</v>
      </c>
      <c r="F328" s="430"/>
      <c r="T328" s="195" t="s">
        <v>9318</v>
      </c>
    </row>
    <row r="329" hidden="1">
      <c r="A329" s="428" t="s">
        <v>9319</v>
      </c>
      <c r="B329" s="283"/>
      <c r="C329" s="136" t="s">
        <v>8991</v>
      </c>
      <c r="D329" s="179">
        <v>0.73</v>
      </c>
      <c r="E329" s="179">
        <v>0.73</v>
      </c>
      <c r="F329" s="430"/>
      <c r="T329" s="195" t="s">
        <v>9319</v>
      </c>
    </row>
    <row r="330" hidden="1">
      <c r="A330" s="428" t="s">
        <v>9320</v>
      </c>
      <c r="B330" s="283"/>
      <c r="C330" s="136" t="s">
        <v>8991</v>
      </c>
      <c r="D330" s="179">
        <v>0.73</v>
      </c>
      <c r="E330" s="179">
        <v>0.73</v>
      </c>
      <c r="F330" s="430"/>
      <c r="T330" s="195" t="s">
        <v>9320</v>
      </c>
    </row>
    <row r="331" hidden="1">
      <c r="A331" s="428" t="s">
        <v>9321</v>
      </c>
      <c r="B331" s="283"/>
      <c r="C331" s="136" t="s">
        <v>8991</v>
      </c>
      <c r="D331" s="179">
        <v>0.73</v>
      </c>
      <c r="E331" s="179">
        <v>0.73</v>
      </c>
      <c r="F331" s="430"/>
      <c r="T331" s="195" t="s">
        <v>9321</v>
      </c>
    </row>
    <row r="332" hidden="1">
      <c r="A332" s="428" t="s">
        <v>9322</v>
      </c>
      <c r="B332" s="283"/>
      <c r="C332" s="136" t="s">
        <v>8991</v>
      </c>
      <c r="D332" s="179">
        <v>0.73</v>
      </c>
      <c r="E332" s="179">
        <v>0.73</v>
      </c>
      <c r="F332" s="430"/>
      <c r="T332" s="195" t="s">
        <v>9322</v>
      </c>
    </row>
    <row r="333" hidden="1">
      <c r="A333" s="428" t="s">
        <v>9323</v>
      </c>
      <c r="B333" s="283"/>
      <c r="C333" s="136" t="s">
        <v>8991</v>
      </c>
      <c r="D333" s="179">
        <v>0.73</v>
      </c>
      <c r="E333" s="179">
        <v>0.73</v>
      </c>
      <c r="F333" s="430"/>
      <c r="T333" s="195" t="s">
        <v>9323</v>
      </c>
    </row>
    <row r="334" hidden="1">
      <c r="A334" s="428" t="s">
        <v>9324</v>
      </c>
      <c r="B334" s="283"/>
      <c r="C334" s="136" t="s">
        <v>8991</v>
      </c>
      <c r="D334" s="179">
        <v>0.73</v>
      </c>
      <c r="E334" s="179">
        <v>0.73</v>
      </c>
      <c r="F334" s="430"/>
      <c r="T334" s="195" t="s">
        <v>9324</v>
      </c>
    </row>
    <row r="335" hidden="1">
      <c r="A335" s="428" t="s">
        <v>9325</v>
      </c>
      <c r="B335" s="283"/>
      <c r="C335" s="136" t="s">
        <v>8991</v>
      </c>
      <c r="D335" s="179">
        <v>0.73</v>
      </c>
      <c r="E335" s="179">
        <v>0.73</v>
      </c>
      <c r="F335" s="430"/>
      <c r="T335" s="195" t="s">
        <v>9325</v>
      </c>
    </row>
    <row r="336" hidden="1">
      <c r="A336" s="428" t="s">
        <v>9326</v>
      </c>
      <c r="B336" s="283"/>
      <c r="C336" s="136" t="s">
        <v>8991</v>
      </c>
      <c r="D336" s="179">
        <v>0.73</v>
      </c>
      <c r="E336" s="179">
        <v>0.73</v>
      </c>
      <c r="F336" s="430"/>
      <c r="T336" s="195" t="s">
        <v>9326</v>
      </c>
    </row>
    <row r="337" hidden="1">
      <c r="A337" s="428" t="s">
        <v>9327</v>
      </c>
      <c r="B337" s="283"/>
      <c r="C337" s="136" t="s">
        <v>8991</v>
      </c>
      <c r="D337" s="179">
        <v>0.73</v>
      </c>
      <c r="E337" s="179">
        <v>0.73</v>
      </c>
      <c r="F337" s="430"/>
      <c r="T337" s="195" t="s">
        <v>9327</v>
      </c>
    </row>
    <row r="338" hidden="1">
      <c r="A338" s="428" t="s">
        <v>9328</v>
      </c>
      <c r="B338" s="283"/>
      <c r="C338" s="136" t="s">
        <v>8991</v>
      </c>
      <c r="D338" s="179">
        <v>0.73</v>
      </c>
      <c r="E338" s="179">
        <v>0.73</v>
      </c>
      <c r="F338" s="430"/>
      <c r="T338" s="195" t="s">
        <v>9328</v>
      </c>
    </row>
    <row r="339" hidden="1">
      <c r="A339" s="428" t="s">
        <v>9329</v>
      </c>
      <c r="B339" s="283"/>
      <c r="C339" s="136" t="s">
        <v>8991</v>
      </c>
      <c r="D339" s="179">
        <v>0.73</v>
      </c>
      <c r="E339" s="179">
        <v>0.73</v>
      </c>
      <c r="F339" s="430"/>
      <c r="T339" s="195" t="s">
        <v>9329</v>
      </c>
    </row>
    <row r="340" hidden="1">
      <c r="A340" s="428" t="s">
        <v>9330</v>
      </c>
      <c r="B340" s="283"/>
      <c r="C340" s="136" t="s">
        <v>8991</v>
      </c>
      <c r="D340" s="179">
        <v>0.73</v>
      </c>
      <c r="E340" s="179">
        <v>0.73</v>
      </c>
      <c r="F340" s="430"/>
      <c r="T340" s="195" t="s">
        <v>9330</v>
      </c>
    </row>
    <row r="341" hidden="1">
      <c r="A341" s="428" t="s">
        <v>9331</v>
      </c>
      <c r="B341" s="283"/>
      <c r="C341" s="136" t="s">
        <v>8991</v>
      </c>
      <c r="D341" s="179">
        <v>0.73</v>
      </c>
      <c r="E341" s="179">
        <v>0.73</v>
      </c>
      <c r="F341" s="430"/>
      <c r="T341" s="195" t="s">
        <v>9331</v>
      </c>
    </row>
    <row r="342" hidden="1">
      <c r="A342" s="428" t="s">
        <v>9332</v>
      </c>
      <c r="B342" s="283"/>
      <c r="C342" s="136" t="s">
        <v>8991</v>
      </c>
      <c r="D342" s="179">
        <v>0.73</v>
      </c>
      <c r="E342" s="179">
        <v>0.73</v>
      </c>
      <c r="F342" s="430"/>
      <c r="T342" s="195" t="s">
        <v>9332</v>
      </c>
    </row>
    <row r="343" hidden="1">
      <c r="A343" s="428" t="s">
        <v>9333</v>
      </c>
      <c r="B343" s="283"/>
      <c r="C343" s="136" t="s">
        <v>8991</v>
      </c>
      <c r="D343" s="179">
        <v>0.73</v>
      </c>
      <c r="E343" s="179">
        <v>0.73</v>
      </c>
      <c r="F343" s="430"/>
      <c r="T343" s="195" t="s">
        <v>9333</v>
      </c>
    </row>
    <row r="344" hidden="1">
      <c r="A344" s="428" t="s">
        <v>9334</v>
      </c>
      <c r="B344" s="283"/>
      <c r="C344" s="136" t="s">
        <v>8991</v>
      </c>
      <c r="D344" s="179">
        <v>0.73</v>
      </c>
      <c r="E344" s="179">
        <v>0.73</v>
      </c>
      <c r="F344" s="430"/>
      <c r="T344" s="195" t="s">
        <v>9334</v>
      </c>
    </row>
    <row r="345" hidden="1">
      <c r="A345" s="428" t="s">
        <v>9335</v>
      </c>
      <c r="B345" s="283"/>
      <c r="C345" s="136" t="s">
        <v>8991</v>
      </c>
      <c r="D345" s="179">
        <v>0.73</v>
      </c>
      <c r="E345" s="179">
        <v>0.73</v>
      </c>
      <c r="F345" s="430"/>
      <c r="T345" s="195" t="s">
        <v>9335</v>
      </c>
    </row>
    <row r="346" hidden="1">
      <c r="A346" s="428" t="s">
        <v>9336</v>
      </c>
      <c r="B346" s="283"/>
      <c r="C346" s="136" t="s">
        <v>8991</v>
      </c>
      <c r="D346" s="179">
        <v>0.73</v>
      </c>
      <c r="E346" s="179">
        <v>0.73</v>
      </c>
      <c r="F346" s="430"/>
      <c r="T346" s="195" t="s">
        <v>9336</v>
      </c>
    </row>
    <row r="347" hidden="1">
      <c r="A347" s="428" t="s">
        <v>9337</v>
      </c>
      <c r="B347" s="283"/>
      <c r="C347" s="136" t="s">
        <v>8991</v>
      </c>
      <c r="D347" s="179">
        <v>0.73</v>
      </c>
      <c r="E347" s="179">
        <v>0.73</v>
      </c>
      <c r="F347" s="430"/>
      <c r="T347" s="195" t="s">
        <v>9337</v>
      </c>
    </row>
    <row r="348" hidden="1">
      <c r="A348" s="428" t="s">
        <v>9338</v>
      </c>
      <c r="B348" s="283"/>
      <c r="C348" s="136" t="s">
        <v>8991</v>
      </c>
      <c r="D348" s="179">
        <v>0.73</v>
      </c>
      <c r="E348" s="179">
        <v>0.73</v>
      </c>
      <c r="F348" s="430"/>
      <c r="T348" s="195" t="s">
        <v>9338</v>
      </c>
    </row>
    <row r="349" hidden="1">
      <c r="A349" s="428" t="s">
        <v>9339</v>
      </c>
      <c r="B349" s="283"/>
      <c r="C349" s="136" t="s">
        <v>8991</v>
      </c>
      <c r="D349" s="179">
        <v>0.73</v>
      </c>
      <c r="E349" s="179">
        <v>0.73</v>
      </c>
      <c r="F349" s="430"/>
      <c r="T349" s="195" t="s">
        <v>9339</v>
      </c>
    </row>
    <row r="350" hidden="1">
      <c r="A350" s="428" t="s">
        <v>9340</v>
      </c>
      <c r="B350" s="289">
        <v>2205.0</v>
      </c>
      <c r="C350" s="136" t="s">
        <v>8991</v>
      </c>
      <c r="D350" s="179">
        <v>0.73</v>
      </c>
      <c r="E350" s="179">
        <v>0.73</v>
      </c>
      <c r="F350" s="430"/>
      <c r="T350" s="195" t="s">
        <v>9340</v>
      </c>
    </row>
    <row r="351" hidden="1">
      <c r="A351" s="428" t="s">
        <v>9341</v>
      </c>
      <c r="B351" s="283"/>
      <c r="C351" s="136" t="s">
        <v>8991</v>
      </c>
      <c r="D351" s="179">
        <v>0.73</v>
      </c>
      <c r="E351" s="179">
        <v>0.73</v>
      </c>
      <c r="F351" s="430"/>
      <c r="T351" s="195" t="s">
        <v>9341</v>
      </c>
    </row>
    <row r="352" hidden="1">
      <c r="A352" s="428" t="s">
        <v>9342</v>
      </c>
      <c r="C352" s="136" t="s">
        <v>8991</v>
      </c>
      <c r="D352" s="179">
        <v>0.73</v>
      </c>
      <c r="E352" s="179">
        <v>0.73</v>
      </c>
      <c r="F352" s="430"/>
      <c r="T352" s="195" t="s">
        <v>9342</v>
      </c>
    </row>
    <row r="353" hidden="1">
      <c r="A353" s="428" t="s">
        <v>9343</v>
      </c>
      <c r="B353" s="283"/>
      <c r="C353" s="136" t="s">
        <v>8991</v>
      </c>
      <c r="D353" s="179">
        <v>0.73</v>
      </c>
      <c r="E353" s="179">
        <v>0.73</v>
      </c>
      <c r="F353" s="430"/>
      <c r="T353" s="195" t="s">
        <v>9343</v>
      </c>
    </row>
    <row r="354" hidden="1">
      <c r="A354" s="428" t="s">
        <v>9344</v>
      </c>
      <c r="B354" s="283"/>
      <c r="C354" s="136" t="s">
        <v>8991</v>
      </c>
      <c r="D354" s="179">
        <v>0.73</v>
      </c>
      <c r="E354" s="179">
        <v>0.73</v>
      </c>
      <c r="F354" s="430"/>
      <c r="T354" s="195" t="s">
        <v>9344</v>
      </c>
    </row>
    <row r="355" hidden="1">
      <c r="A355" s="428" t="s">
        <v>9345</v>
      </c>
      <c r="B355" s="283"/>
      <c r="C355" s="136" t="s">
        <v>8991</v>
      </c>
      <c r="D355" s="179">
        <v>0.73</v>
      </c>
      <c r="E355" s="179">
        <v>0.73</v>
      </c>
      <c r="F355" s="430"/>
      <c r="T355" s="195" t="s">
        <v>9345</v>
      </c>
    </row>
    <row r="356" hidden="1">
      <c r="A356" s="428" t="s">
        <v>9346</v>
      </c>
      <c r="B356" s="283"/>
      <c r="C356" s="136" t="s">
        <v>8991</v>
      </c>
      <c r="D356" s="179">
        <v>0.73</v>
      </c>
      <c r="E356" s="179">
        <v>0.73</v>
      </c>
      <c r="F356" s="430"/>
      <c r="T356" s="195" t="s">
        <v>9346</v>
      </c>
    </row>
    <row r="357" hidden="1">
      <c r="A357" s="428" t="s">
        <v>9347</v>
      </c>
      <c r="B357" s="283"/>
      <c r="C357" s="136" t="s">
        <v>8991</v>
      </c>
      <c r="D357" s="179">
        <v>0.73</v>
      </c>
      <c r="E357" s="179">
        <v>0.73</v>
      </c>
      <c r="F357" s="430"/>
      <c r="T357" s="195" t="s">
        <v>9347</v>
      </c>
    </row>
    <row r="358" hidden="1">
      <c r="A358" s="428" t="s">
        <v>9348</v>
      </c>
      <c r="B358" s="283"/>
      <c r="C358" s="136" t="s">
        <v>8991</v>
      </c>
      <c r="D358" s="179">
        <v>0.73</v>
      </c>
      <c r="E358" s="179">
        <v>0.73</v>
      </c>
      <c r="F358" s="430"/>
      <c r="T358" s="195" t="s">
        <v>9348</v>
      </c>
    </row>
    <row r="359" hidden="1">
      <c r="A359" s="428" t="s">
        <v>9349</v>
      </c>
      <c r="B359" s="283"/>
      <c r="C359" s="136" t="s">
        <v>8991</v>
      </c>
      <c r="D359" s="179">
        <v>0.73</v>
      </c>
      <c r="E359" s="179">
        <v>0.73</v>
      </c>
      <c r="F359" s="430"/>
      <c r="T359" s="195" t="s">
        <v>9349</v>
      </c>
    </row>
    <row r="360" hidden="1">
      <c r="A360" s="428" t="s">
        <v>9350</v>
      </c>
      <c r="B360" s="283"/>
      <c r="C360" s="136" t="s">
        <v>8991</v>
      </c>
      <c r="D360" s="179">
        <v>0.73</v>
      </c>
      <c r="E360" s="179">
        <v>0.73</v>
      </c>
      <c r="F360" s="430"/>
      <c r="T360" s="195" t="s">
        <v>9350</v>
      </c>
    </row>
    <row r="361" hidden="1">
      <c r="A361" s="428" t="s">
        <v>9351</v>
      </c>
      <c r="B361" s="283"/>
      <c r="C361" s="136" t="s">
        <v>8991</v>
      </c>
      <c r="D361" s="179">
        <v>0.73</v>
      </c>
      <c r="E361" s="179">
        <v>0.73</v>
      </c>
      <c r="F361" s="430"/>
      <c r="T361" s="195" t="s">
        <v>9351</v>
      </c>
    </row>
    <row r="362" hidden="1">
      <c r="A362" s="428" t="s">
        <v>9352</v>
      </c>
      <c r="B362" s="283"/>
      <c r="C362" s="136" t="s">
        <v>8991</v>
      </c>
      <c r="D362" s="179">
        <v>0.73</v>
      </c>
      <c r="E362" s="179">
        <v>0.73</v>
      </c>
      <c r="F362" s="430"/>
      <c r="T362" s="195" t="s">
        <v>9352</v>
      </c>
    </row>
    <row r="363" hidden="1">
      <c r="A363" s="428" t="s">
        <v>9353</v>
      </c>
      <c r="B363" s="283"/>
      <c r="C363" s="136" t="s">
        <v>8991</v>
      </c>
      <c r="D363" s="179">
        <v>0.73</v>
      </c>
      <c r="E363" s="179">
        <v>0.73</v>
      </c>
      <c r="F363" s="430"/>
      <c r="T363" s="195" t="s">
        <v>9353</v>
      </c>
    </row>
    <row r="364" hidden="1">
      <c r="A364" s="428" t="s">
        <v>9354</v>
      </c>
      <c r="B364" s="283"/>
      <c r="C364" s="136" t="s">
        <v>8991</v>
      </c>
      <c r="D364" s="179">
        <v>0.73</v>
      </c>
      <c r="E364" s="179">
        <v>0.73</v>
      </c>
      <c r="F364" s="430"/>
      <c r="T364" s="195" t="s">
        <v>9354</v>
      </c>
    </row>
    <row r="365" hidden="1">
      <c r="A365" s="428" t="s">
        <v>9355</v>
      </c>
      <c r="B365" s="283"/>
      <c r="C365" s="136" t="s">
        <v>8991</v>
      </c>
      <c r="D365" s="179">
        <v>0.73</v>
      </c>
      <c r="E365" s="179">
        <v>0.73</v>
      </c>
      <c r="F365" s="430"/>
      <c r="T365" s="195" t="s">
        <v>9355</v>
      </c>
    </row>
    <row r="366">
      <c r="A366" s="428" t="s">
        <v>9356</v>
      </c>
      <c r="B366" s="16">
        <v>14465.0</v>
      </c>
      <c r="C366" s="136" t="s">
        <v>8991</v>
      </c>
      <c r="D366" s="179">
        <v>1.0</v>
      </c>
      <c r="E366" s="179">
        <v>1.0</v>
      </c>
      <c r="F366" s="430"/>
      <c r="T366" s="195" t="s">
        <v>9356</v>
      </c>
    </row>
    <row r="367" hidden="1">
      <c r="A367" s="428" t="s">
        <v>9357</v>
      </c>
      <c r="B367" s="283"/>
      <c r="C367" s="136" t="s">
        <v>8991</v>
      </c>
      <c r="D367" s="179">
        <v>0.73</v>
      </c>
      <c r="E367" s="179">
        <v>0.73</v>
      </c>
      <c r="F367" s="430"/>
      <c r="T367" s="195" t="s">
        <v>9357</v>
      </c>
    </row>
    <row r="368" hidden="1">
      <c r="A368" s="428" t="s">
        <v>9358</v>
      </c>
      <c r="B368" s="283"/>
      <c r="C368" s="136" t="s">
        <v>8991</v>
      </c>
      <c r="D368" s="179">
        <v>0.73</v>
      </c>
      <c r="E368" s="179">
        <v>0.73</v>
      </c>
      <c r="F368" s="430"/>
      <c r="T368" s="195" t="s">
        <v>9358</v>
      </c>
    </row>
    <row r="369" hidden="1">
      <c r="A369" s="428" t="s">
        <v>9359</v>
      </c>
      <c r="B369" s="283"/>
      <c r="C369" s="136" t="s">
        <v>8991</v>
      </c>
      <c r="D369" s="179">
        <v>0.73</v>
      </c>
      <c r="E369" s="179">
        <v>0.73</v>
      </c>
      <c r="F369" s="430"/>
      <c r="T369" s="195" t="s">
        <v>9359</v>
      </c>
    </row>
    <row r="370" hidden="1">
      <c r="A370" s="428" t="s">
        <v>9360</v>
      </c>
      <c r="B370" s="283"/>
      <c r="C370" s="136" t="s">
        <v>8991</v>
      </c>
      <c r="D370" s="179">
        <v>0.73</v>
      </c>
      <c r="E370" s="179">
        <v>0.73</v>
      </c>
      <c r="F370" s="430"/>
      <c r="T370" s="195" t="s">
        <v>9360</v>
      </c>
    </row>
    <row r="371" hidden="1">
      <c r="A371" s="428" t="s">
        <v>9361</v>
      </c>
      <c r="B371" s="283"/>
      <c r="C371" s="136" t="s">
        <v>8991</v>
      </c>
      <c r="D371" s="179">
        <v>0.73</v>
      </c>
      <c r="E371" s="179">
        <v>0.73</v>
      </c>
      <c r="F371" s="430"/>
      <c r="T371" s="195" t="s">
        <v>9361</v>
      </c>
    </row>
    <row r="372" hidden="1">
      <c r="A372" s="428" t="s">
        <v>9362</v>
      </c>
      <c r="B372" s="283"/>
      <c r="C372" s="136" t="s">
        <v>8991</v>
      </c>
      <c r="D372" s="179">
        <v>0.73</v>
      </c>
      <c r="E372" s="179">
        <v>0.73</v>
      </c>
      <c r="F372" s="430"/>
      <c r="T372" s="195" t="s">
        <v>9362</v>
      </c>
    </row>
    <row r="373" hidden="1">
      <c r="A373" s="428" t="s">
        <v>9363</v>
      </c>
      <c r="B373" s="283"/>
      <c r="C373" s="136" t="s">
        <v>8991</v>
      </c>
      <c r="D373" s="179">
        <v>0.73</v>
      </c>
      <c r="E373" s="179">
        <v>0.73</v>
      </c>
      <c r="F373" s="430"/>
      <c r="T373" s="195" t="s">
        <v>9363</v>
      </c>
    </row>
    <row r="374" hidden="1">
      <c r="A374" s="428" t="s">
        <v>9364</v>
      </c>
      <c r="B374" s="283"/>
      <c r="C374" s="136" t="s">
        <v>8991</v>
      </c>
      <c r="D374" s="179">
        <v>0.73</v>
      </c>
      <c r="E374" s="179">
        <v>0.73</v>
      </c>
      <c r="F374" s="430"/>
      <c r="T374" s="195" t="s">
        <v>9364</v>
      </c>
    </row>
    <row r="375" hidden="1">
      <c r="A375" s="428" t="s">
        <v>9365</v>
      </c>
      <c r="B375" s="283"/>
      <c r="C375" s="136" t="s">
        <v>8991</v>
      </c>
      <c r="D375" s="179">
        <v>0.73</v>
      </c>
      <c r="E375" s="179">
        <v>0.73</v>
      </c>
      <c r="F375" s="430"/>
      <c r="T375" s="195" t="s">
        <v>9365</v>
      </c>
    </row>
    <row r="376" hidden="1">
      <c r="A376" s="428" t="s">
        <v>9366</v>
      </c>
      <c r="B376" s="283"/>
      <c r="C376" s="136" t="s">
        <v>8991</v>
      </c>
      <c r="D376" s="179">
        <v>0.73</v>
      </c>
      <c r="E376" s="179">
        <v>0.73</v>
      </c>
      <c r="F376" s="430"/>
      <c r="T376" s="195" t="s">
        <v>9366</v>
      </c>
    </row>
    <row r="377" hidden="1">
      <c r="A377" s="428" t="s">
        <v>9367</v>
      </c>
      <c r="B377" s="283"/>
      <c r="C377" s="136" t="s">
        <v>8991</v>
      </c>
      <c r="D377" s="179">
        <v>0.73</v>
      </c>
      <c r="E377" s="179">
        <v>0.73</v>
      </c>
      <c r="F377" s="430"/>
      <c r="T377" s="195" t="s">
        <v>9367</v>
      </c>
    </row>
    <row r="378" hidden="1">
      <c r="A378" s="428" t="s">
        <v>9368</v>
      </c>
      <c r="B378" s="283"/>
      <c r="C378" s="136" t="s">
        <v>8991</v>
      </c>
      <c r="D378" s="179">
        <v>0.73</v>
      </c>
      <c r="E378" s="179">
        <v>0.73</v>
      </c>
      <c r="F378" s="430"/>
      <c r="T378" s="195" t="s">
        <v>9368</v>
      </c>
    </row>
    <row r="379" hidden="1">
      <c r="A379" s="428" t="s">
        <v>9369</v>
      </c>
      <c r="B379" s="283"/>
      <c r="C379" s="136" t="s">
        <v>8991</v>
      </c>
      <c r="D379" s="179">
        <v>0.73</v>
      </c>
      <c r="E379" s="179">
        <v>0.73</v>
      </c>
      <c r="F379" s="430"/>
      <c r="T379" s="195" t="s">
        <v>9369</v>
      </c>
    </row>
    <row r="380" hidden="1">
      <c r="A380" s="426" t="s">
        <v>9370</v>
      </c>
      <c r="B380" s="117">
        <v>189.0</v>
      </c>
      <c r="C380" s="136" t="s">
        <v>8991</v>
      </c>
      <c r="D380" s="179">
        <v>0.82</v>
      </c>
      <c r="E380" s="179">
        <v>0.82</v>
      </c>
      <c r="F380" s="430"/>
      <c r="T380" s="195" t="s">
        <v>9370</v>
      </c>
      <c r="U380" s="11">
        <v>189.0</v>
      </c>
    </row>
    <row r="381" hidden="1">
      <c r="A381" s="428" t="s">
        <v>9371</v>
      </c>
      <c r="B381" s="289">
        <v>5458.0</v>
      </c>
      <c r="C381" s="136" t="s">
        <v>8991</v>
      </c>
      <c r="D381" s="179">
        <v>0.73</v>
      </c>
      <c r="E381" s="179">
        <v>0.73</v>
      </c>
      <c r="F381" s="430"/>
      <c r="T381" s="195" t="s">
        <v>9371</v>
      </c>
      <c r="U381" s="11">
        <v>5458.0</v>
      </c>
    </row>
    <row r="382" hidden="1">
      <c r="A382" s="426" t="s">
        <v>9372</v>
      </c>
      <c r="B382" s="117">
        <v>189.0</v>
      </c>
      <c r="C382" s="136" t="s">
        <v>8991</v>
      </c>
      <c r="D382" s="179">
        <v>0.82</v>
      </c>
      <c r="E382" s="179">
        <v>0.82</v>
      </c>
      <c r="F382" s="430"/>
      <c r="T382" s="195" t="s">
        <v>9372</v>
      </c>
      <c r="U382" s="11">
        <v>189.0</v>
      </c>
    </row>
    <row r="383" hidden="1">
      <c r="A383" s="426" t="s">
        <v>9373</v>
      </c>
      <c r="B383" s="117">
        <v>189.0</v>
      </c>
      <c r="C383" s="136" t="s">
        <v>8991</v>
      </c>
      <c r="D383" s="179">
        <v>0.82</v>
      </c>
      <c r="E383" s="179">
        <v>0.82</v>
      </c>
      <c r="F383" s="430"/>
      <c r="T383" s="195" t="s">
        <v>9373</v>
      </c>
      <c r="U383" s="11">
        <v>189.0</v>
      </c>
    </row>
    <row r="384" hidden="1">
      <c r="A384" s="428" t="s">
        <v>9374</v>
      </c>
      <c r="B384" s="289">
        <v>5458.0</v>
      </c>
      <c r="C384" s="136" t="s">
        <v>8991</v>
      </c>
      <c r="D384" s="179">
        <v>0.73</v>
      </c>
      <c r="E384" s="179">
        <v>0.73</v>
      </c>
      <c r="F384" s="430"/>
      <c r="T384" s="195" t="s">
        <v>9374</v>
      </c>
      <c r="U384" s="11">
        <v>5458.0</v>
      </c>
    </row>
    <row r="385" hidden="1">
      <c r="A385" s="426" t="s">
        <v>9375</v>
      </c>
      <c r="B385" s="117">
        <v>189.0</v>
      </c>
      <c r="C385" s="136" t="s">
        <v>8991</v>
      </c>
      <c r="D385" s="179">
        <v>0.82</v>
      </c>
      <c r="E385" s="179">
        <v>0.82</v>
      </c>
      <c r="F385" s="430"/>
      <c r="T385" s="195" t="s">
        <v>9375</v>
      </c>
      <c r="U385" s="11">
        <v>189.0</v>
      </c>
    </row>
    <row r="386" hidden="1">
      <c r="A386" s="428" t="s">
        <v>9376</v>
      </c>
      <c r="B386" s="283"/>
      <c r="C386" s="136" t="s">
        <v>8991</v>
      </c>
      <c r="D386" s="179">
        <v>0.73</v>
      </c>
      <c r="E386" s="179">
        <v>0.73</v>
      </c>
      <c r="F386" s="430"/>
      <c r="T386" s="195" t="s">
        <v>9376</v>
      </c>
    </row>
    <row r="387" hidden="1">
      <c r="A387" s="428" t="s">
        <v>9377</v>
      </c>
      <c r="B387" s="289">
        <v>5458.0</v>
      </c>
      <c r="C387" s="136" t="s">
        <v>8991</v>
      </c>
      <c r="D387" s="179">
        <v>0.73</v>
      </c>
      <c r="E387" s="179">
        <v>0.73</v>
      </c>
      <c r="F387" s="430"/>
      <c r="T387" s="195" t="s">
        <v>9377</v>
      </c>
      <c r="U387" s="11">
        <v>5458.0</v>
      </c>
    </row>
    <row r="388" hidden="1">
      <c r="A388" s="426" t="s">
        <v>9378</v>
      </c>
      <c r="B388" s="432">
        <v>7023.0</v>
      </c>
      <c r="C388" s="136" t="s">
        <v>8991</v>
      </c>
      <c r="D388" s="179">
        <v>0.73</v>
      </c>
      <c r="E388" s="179">
        <v>0.73</v>
      </c>
      <c r="F388" s="430"/>
      <c r="T388" s="195" t="s">
        <v>9378</v>
      </c>
      <c r="U388" s="433">
        <v>7023.0</v>
      </c>
    </row>
    <row r="389" hidden="1">
      <c r="A389" s="428" t="s">
        <v>9379</v>
      </c>
      <c r="B389" s="283"/>
      <c r="C389" s="136" t="s">
        <v>8991</v>
      </c>
      <c r="D389" s="179">
        <v>0.73</v>
      </c>
      <c r="E389" s="179">
        <v>0.73</v>
      </c>
      <c r="F389" s="430"/>
      <c r="T389" s="195" t="s">
        <v>9379</v>
      </c>
    </row>
    <row r="390" hidden="1">
      <c r="A390" s="426" t="s">
        <v>9380</v>
      </c>
      <c r="B390" s="117">
        <v>6829.0</v>
      </c>
      <c r="C390" s="136" t="s">
        <v>8991</v>
      </c>
      <c r="D390" s="179">
        <v>0.73</v>
      </c>
      <c r="E390" s="179">
        <v>0.73</v>
      </c>
      <c r="F390" s="430"/>
      <c r="T390" s="195" t="s">
        <v>9380</v>
      </c>
      <c r="U390" s="11">
        <v>6829.0</v>
      </c>
    </row>
    <row r="391" hidden="1">
      <c r="A391" s="426" t="s">
        <v>9381</v>
      </c>
      <c r="B391" s="117">
        <v>14030.0</v>
      </c>
      <c r="C391" s="136" t="s">
        <v>8991</v>
      </c>
      <c r="D391" s="179">
        <v>0.73</v>
      </c>
      <c r="E391" s="179">
        <v>0.73</v>
      </c>
      <c r="F391" s="430"/>
      <c r="T391" s="195" t="s">
        <v>9381</v>
      </c>
      <c r="U391" s="11">
        <v>14030.0</v>
      </c>
    </row>
    <row r="392" hidden="1">
      <c r="A392" s="428" t="s">
        <v>9382</v>
      </c>
      <c r="B392" s="289">
        <v>7083.0</v>
      </c>
      <c r="C392" s="136" t="s">
        <v>8991</v>
      </c>
      <c r="D392" s="179">
        <v>0.73</v>
      </c>
      <c r="E392" s="179">
        <v>0.73</v>
      </c>
      <c r="F392" s="430"/>
      <c r="T392" s="195" t="s">
        <v>9382</v>
      </c>
      <c r="U392" s="11">
        <v>7083.0</v>
      </c>
    </row>
    <row r="393" hidden="1">
      <c r="A393" s="426" t="s">
        <v>9383</v>
      </c>
      <c r="B393" s="117">
        <v>6132.0</v>
      </c>
      <c r="C393" s="136" t="s">
        <v>8991</v>
      </c>
      <c r="D393" s="179">
        <v>0.73</v>
      </c>
      <c r="E393" s="179">
        <v>0.73</v>
      </c>
      <c r="F393" s="430"/>
      <c r="T393" s="195" t="s">
        <v>9383</v>
      </c>
      <c r="U393" s="11">
        <v>6132.0</v>
      </c>
    </row>
    <row r="394" hidden="1">
      <c r="A394" s="426" t="s">
        <v>9384</v>
      </c>
      <c r="B394" s="117">
        <v>6133.0</v>
      </c>
      <c r="C394" s="136" t="s">
        <v>8991</v>
      </c>
      <c r="D394" s="179">
        <v>0.73</v>
      </c>
      <c r="E394" s="179">
        <v>0.73</v>
      </c>
      <c r="F394" s="430"/>
      <c r="T394" s="195" t="s">
        <v>9384</v>
      </c>
      <c r="U394" s="11">
        <v>6133.0</v>
      </c>
    </row>
    <row r="395" hidden="1">
      <c r="A395" s="426" t="s">
        <v>9385</v>
      </c>
      <c r="B395" s="117">
        <v>6133.0</v>
      </c>
      <c r="C395" s="136" t="s">
        <v>8991</v>
      </c>
      <c r="D395" s="179">
        <v>0.73</v>
      </c>
      <c r="E395" s="179">
        <v>0.73</v>
      </c>
      <c r="F395" s="430"/>
      <c r="T395" s="195" t="s">
        <v>9385</v>
      </c>
      <c r="U395" s="11">
        <v>6133.0</v>
      </c>
    </row>
    <row r="396" hidden="1">
      <c r="A396" s="426" t="s">
        <v>9386</v>
      </c>
      <c r="B396" s="117">
        <v>6732.0</v>
      </c>
      <c r="C396" s="136" t="s">
        <v>8991</v>
      </c>
      <c r="D396" s="179">
        <v>0.73</v>
      </c>
      <c r="E396" s="179">
        <v>0.73</v>
      </c>
      <c r="F396" s="430"/>
      <c r="T396" s="195" t="s">
        <v>9386</v>
      </c>
      <c r="U396" s="11">
        <v>6732.0</v>
      </c>
    </row>
    <row r="397" hidden="1">
      <c r="A397" s="426" t="s">
        <v>9387</v>
      </c>
      <c r="B397" s="117">
        <v>9645.0</v>
      </c>
      <c r="C397" s="136" t="s">
        <v>8991</v>
      </c>
      <c r="D397" s="179">
        <v>0.73</v>
      </c>
      <c r="E397" s="179">
        <v>0.73</v>
      </c>
      <c r="F397" s="430"/>
      <c r="T397" s="195" t="s">
        <v>9387</v>
      </c>
      <c r="U397" s="11">
        <v>9645.0</v>
      </c>
    </row>
    <row r="398" hidden="1">
      <c r="A398" s="426" t="s">
        <v>9388</v>
      </c>
      <c r="B398" s="117">
        <v>6779.0</v>
      </c>
      <c r="C398" s="136" t="s">
        <v>8991</v>
      </c>
      <c r="D398" s="179">
        <v>0.73</v>
      </c>
      <c r="E398" s="179">
        <v>0.73</v>
      </c>
      <c r="F398" s="430"/>
      <c r="T398" s="195" t="s">
        <v>9388</v>
      </c>
      <c r="U398" s="11">
        <v>6779.0</v>
      </c>
    </row>
    <row r="399" hidden="1">
      <c r="A399" s="428" t="s">
        <v>9389</v>
      </c>
      <c r="B399" s="289">
        <v>6947.0</v>
      </c>
      <c r="C399" s="136" t="s">
        <v>8991</v>
      </c>
      <c r="D399" s="179">
        <v>0.73</v>
      </c>
      <c r="E399" s="179">
        <v>0.73</v>
      </c>
      <c r="F399" s="430"/>
      <c r="T399" s="195" t="s">
        <v>9389</v>
      </c>
      <c r="U399" s="11">
        <v>6947.0</v>
      </c>
    </row>
    <row r="400" hidden="1">
      <c r="A400" s="426" t="s">
        <v>9390</v>
      </c>
      <c r="B400" s="117">
        <v>6772.0</v>
      </c>
      <c r="C400" s="136" t="s">
        <v>8991</v>
      </c>
      <c r="D400" s="179">
        <v>0.73</v>
      </c>
      <c r="E400" s="179">
        <v>0.73</v>
      </c>
      <c r="F400" s="430"/>
      <c r="T400" s="195" t="s">
        <v>9390</v>
      </c>
      <c r="U400" s="11">
        <v>6772.0</v>
      </c>
    </row>
    <row r="401" hidden="1">
      <c r="A401" s="426" t="s">
        <v>9391</v>
      </c>
      <c r="B401" s="117">
        <v>14267.0</v>
      </c>
      <c r="C401" s="136" t="s">
        <v>8991</v>
      </c>
      <c r="D401" s="179">
        <v>0.73</v>
      </c>
      <c r="E401" s="179">
        <v>0.73</v>
      </c>
      <c r="F401" s="430"/>
      <c r="T401" s="195" t="s">
        <v>9391</v>
      </c>
      <c r="U401" s="11">
        <v>14267.0</v>
      </c>
    </row>
    <row r="402" hidden="1">
      <c r="A402" s="426" t="s">
        <v>9392</v>
      </c>
      <c r="B402" s="117">
        <v>14267.0</v>
      </c>
      <c r="C402" s="136" t="s">
        <v>8991</v>
      </c>
      <c r="D402" s="179">
        <v>0.73</v>
      </c>
      <c r="E402" s="179">
        <v>0.73</v>
      </c>
      <c r="F402" s="430"/>
      <c r="T402" s="195" t="s">
        <v>9392</v>
      </c>
      <c r="U402" s="11">
        <v>14267.0</v>
      </c>
    </row>
    <row r="403" hidden="1">
      <c r="A403" s="426" t="s">
        <v>9393</v>
      </c>
      <c r="B403" s="117">
        <v>467.0</v>
      </c>
      <c r="C403" s="136" t="s">
        <v>8991</v>
      </c>
      <c r="D403" s="179">
        <v>0.73</v>
      </c>
      <c r="E403" s="179">
        <v>0.73</v>
      </c>
      <c r="F403" s="430"/>
      <c r="T403" s="195" t="s">
        <v>9393</v>
      </c>
      <c r="U403" s="11">
        <v>467.0</v>
      </c>
    </row>
    <row r="404" hidden="1">
      <c r="A404" s="426" t="s">
        <v>9394</v>
      </c>
      <c r="B404" s="117">
        <v>6732.0</v>
      </c>
      <c r="C404" s="136" t="s">
        <v>8991</v>
      </c>
      <c r="D404" s="179">
        <v>0.73</v>
      </c>
      <c r="E404" s="179">
        <v>0.73</v>
      </c>
      <c r="F404" s="430"/>
      <c r="T404" s="195" t="s">
        <v>9394</v>
      </c>
      <c r="U404" s="11">
        <v>6732.0</v>
      </c>
    </row>
    <row r="405" hidden="1">
      <c r="A405" s="428" t="s">
        <v>9395</v>
      </c>
      <c r="B405" s="289">
        <v>189.0</v>
      </c>
      <c r="C405" s="136" t="s">
        <v>8991</v>
      </c>
      <c r="D405" s="179">
        <v>0.82</v>
      </c>
      <c r="E405" s="179">
        <v>0.82</v>
      </c>
      <c r="F405" s="430"/>
      <c r="T405" s="195" t="s">
        <v>9395</v>
      </c>
      <c r="U405" s="11">
        <v>189.0</v>
      </c>
      <c r="V405" s="11">
        <v>6732.0</v>
      </c>
    </row>
    <row r="406" hidden="1">
      <c r="A406" s="428" t="s">
        <v>9396</v>
      </c>
      <c r="B406" s="289">
        <v>189.0</v>
      </c>
      <c r="C406" s="136" t="s">
        <v>8991</v>
      </c>
      <c r="D406" s="179">
        <v>0.82</v>
      </c>
      <c r="E406" s="179">
        <v>0.82</v>
      </c>
      <c r="F406" s="430"/>
      <c r="T406" s="195" t="s">
        <v>9396</v>
      </c>
      <c r="U406" s="11">
        <v>189.0</v>
      </c>
      <c r="V406" s="11">
        <v>6732.0</v>
      </c>
    </row>
    <row r="407" hidden="1">
      <c r="A407" s="426" t="s">
        <v>9397</v>
      </c>
      <c r="B407" s="117">
        <v>6732.0</v>
      </c>
      <c r="C407" s="136" t="s">
        <v>8991</v>
      </c>
      <c r="D407" s="179">
        <v>0.73</v>
      </c>
      <c r="E407" s="179">
        <v>0.73</v>
      </c>
      <c r="F407" s="430"/>
      <c r="T407" s="195" t="s">
        <v>9397</v>
      </c>
      <c r="U407" s="11">
        <v>6732.0</v>
      </c>
    </row>
    <row r="408" hidden="1">
      <c r="A408" s="426" t="s">
        <v>9398</v>
      </c>
      <c r="B408" s="117">
        <v>6732.0</v>
      </c>
      <c r="C408" s="136" t="s">
        <v>8991</v>
      </c>
      <c r="D408" s="179">
        <v>0.73</v>
      </c>
      <c r="E408" s="179">
        <v>0.73</v>
      </c>
      <c r="F408" s="430"/>
      <c r="T408" s="195" t="s">
        <v>9398</v>
      </c>
      <c r="U408" s="11">
        <v>6732.0</v>
      </c>
    </row>
    <row r="409" hidden="1">
      <c r="A409" s="426" t="s">
        <v>9399</v>
      </c>
      <c r="B409" s="117">
        <v>6732.0</v>
      </c>
      <c r="C409" s="136" t="s">
        <v>8991</v>
      </c>
      <c r="D409" s="179">
        <v>0.73</v>
      </c>
      <c r="E409" s="179">
        <v>0.73</v>
      </c>
      <c r="F409" s="430"/>
      <c r="T409" s="195" t="s">
        <v>9399</v>
      </c>
      <c r="U409" s="11">
        <v>6732.0</v>
      </c>
    </row>
    <row r="410" hidden="1">
      <c r="A410" s="426" t="s">
        <v>9400</v>
      </c>
      <c r="B410" s="117">
        <v>9746.0</v>
      </c>
      <c r="C410" s="136" t="s">
        <v>8991</v>
      </c>
      <c r="D410" s="179">
        <v>0.73</v>
      </c>
      <c r="E410" s="179">
        <v>0.73</v>
      </c>
      <c r="F410" s="430"/>
      <c r="T410" s="195" t="s">
        <v>9400</v>
      </c>
      <c r="U410" s="11">
        <v>9746.0</v>
      </c>
    </row>
    <row r="411" hidden="1">
      <c r="A411" s="426" t="s">
        <v>9401</v>
      </c>
      <c r="B411" s="117">
        <v>2345.0</v>
      </c>
      <c r="C411" s="136" t="s">
        <v>8991</v>
      </c>
      <c r="D411" s="74">
        <v>0.9</v>
      </c>
      <c r="E411" s="74">
        <v>0.9</v>
      </c>
      <c r="F411" s="430"/>
      <c r="T411" s="195" t="s">
        <v>9401</v>
      </c>
      <c r="U411" s="11">
        <v>2345.0</v>
      </c>
    </row>
    <row r="412" hidden="1">
      <c r="A412" s="426" t="s">
        <v>9402</v>
      </c>
      <c r="B412" s="117">
        <v>669.0</v>
      </c>
      <c r="C412" s="136" t="s">
        <v>8991</v>
      </c>
      <c r="D412" s="179">
        <v>0.73</v>
      </c>
      <c r="E412" s="179">
        <v>0.73</v>
      </c>
      <c r="F412" s="430"/>
      <c r="T412" s="195" t="s">
        <v>9402</v>
      </c>
      <c r="U412" s="11">
        <v>669.0</v>
      </c>
    </row>
    <row r="413" hidden="1">
      <c r="A413" s="426" t="s">
        <v>9403</v>
      </c>
      <c r="B413" s="117">
        <v>669.0</v>
      </c>
      <c r="C413" s="136" t="s">
        <v>8991</v>
      </c>
      <c r="D413" s="179">
        <v>0.73</v>
      </c>
      <c r="E413" s="179">
        <v>0.73</v>
      </c>
      <c r="F413" s="430"/>
      <c r="T413" s="195" t="s">
        <v>9403</v>
      </c>
      <c r="U413" s="11">
        <v>669.0</v>
      </c>
    </row>
    <row r="414" hidden="1">
      <c r="A414" s="426" t="s">
        <v>9404</v>
      </c>
      <c r="B414" s="117">
        <v>669.0</v>
      </c>
      <c r="C414" s="136" t="s">
        <v>8991</v>
      </c>
      <c r="D414" s="179">
        <v>0.73</v>
      </c>
      <c r="E414" s="179">
        <v>0.73</v>
      </c>
      <c r="F414" s="430"/>
      <c r="T414" s="195" t="s">
        <v>9404</v>
      </c>
      <c r="U414" s="11">
        <v>669.0</v>
      </c>
    </row>
    <row r="415" hidden="1">
      <c r="A415" s="426" t="s">
        <v>9405</v>
      </c>
      <c r="B415" s="117">
        <v>669.0</v>
      </c>
      <c r="C415" s="136" t="s">
        <v>8991</v>
      </c>
      <c r="D415" s="179">
        <v>0.73</v>
      </c>
      <c r="E415" s="179">
        <v>0.73</v>
      </c>
      <c r="F415" s="430"/>
      <c r="T415" s="195" t="s">
        <v>9405</v>
      </c>
      <c r="U415" s="11">
        <v>669.0</v>
      </c>
    </row>
    <row r="416" hidden="1">
      <c r="A416" s="426" t="s">
        <v>9406</v>
      </c>
      <c r="B416" s="117">
        <v>669.0</v>
      </c>
      <c r="C416" s="136" t="s">
        <v>8991</v>
      </c>
      <c r="D416" s="179">
        <v>0.73</v>
      </c>
      <c r="E416" s="179">
        <v>0.73</v>
      </c>
      <c r="F416" s="430"/>
      <c r="T416" s="195" t="s">
        <v>9406</v>
      </c>
      <c r="U416" s="11">
        <v>669.0</v>
      </c>
    </row>
    <row r="417" hidden="1">
      <c r="A417" s="426" t="s">
        <v>9407</v>
      </c>
      <c r="B417" s="117">
        <v>7010.0</v>
      </c>
      <c r="C417" s="136" t="s">
        <v>8991</v>
      </c>
      <c r="D417" s="179">
        <v>0.82</v>
      </c>
      <c r="E417" s="179">
        <v>0.82</v>
      </c>
      <c r="F417" s="430"/>
      <c r="T417" s="195" t="s">
        <v>9407</v>
      </c>
      <c r="U417" s="11">
        <v>7010.0</v>
      </c>
    </row>
    <row r="418" hidden="1">
      <c r="A418" s="426" t="s">
        <v>9408</v>
      </c>
      <c r="B418" s="117">
        <v>7010.0</v>
      </c>
      <c r="C418" s="136" t="s">
        <v>8991</v>
      </c>
      <c r="D418" s="179">
        <v>0.82</v>
      </c>
      <c r="E418" s="179">
        <v>0.82</v>
      </c>
      <c r="F418" s="430"/>
      <c r="T418" s="195" t="s">
        <v>9408</v>
      </c>
      <c r="U418" s="11">
        <v>7010.0</v>
      </c>
    </row>
    <row r="419" hidden="1">
      <c r="A419" s="426" t="s">
        <v>9409</v>
      </c>
      <c r="B419" s="117">
        <v>7010.0</v>
      </c>
      <c r="C419" s="136" t="s">
        <v>8991</v>
      </c>
      <c r="D419" s="179">
        <v>0.82</v>
      </c>
      <c r="E419" s="179">
        <v>0.82</v>
      </c>
      <c r="F419" s="430"/>
      <c r="T419" s="195" t="s">
        <v>9409</v>
      </c>
      <c r="U419" s="11">
        <v>7010.0</v>
      </c>
    </row>
    <row r="420" hidden="1">
      <c r="A420" s="426" t="s">
        <v>9410</v>
      </c>
      <c r="B420" s="117">
        <v>7010.0</v>
      </c>
      <c r="C420" s="136" t="s">
        <v>8991</v>
      </c>
      <c r="D420" s="179">
        <v>0.82</v>
      </c>
      <c r="E420" s="179">
        <v>0.82</v>
      </c>
      <c r="F420" s="430"/>
      <c r="T420" s="195" t="s">
        <v>9410</v>
      </c>
      <c r="U420" s="11">
        <v>7010.0</v>
      </c>
    </row>
    <row r="421" hidden="1">
      <c r="A421" s="426" t="s">
        <v>9411</v>
      </c>
      <c r="B421" s="117">
        <v>6133.0</v>
      </c>
      <c r="C421" s="136" t="s">
        <v>8991</v>
      </c>
      <c r="D421" s="179">
        <v>0.73</v>
      </c>
      <c r="E421" s="179">
        <v>0.73</v>
      </c>
      <c r="F421" s="430"/>
      <c r="T421" s="195" t="s">
        <v>9411</v>
      </c>
      <c r="U421" s="11">
        <v>6133.0</v>
      </c>
    </row>
    <row r="422" hidden="1">
      <c r="A422" s="426" t="s">
        <v>9412</v>
      </c>
      <c r="B422" s="117">
        <v>4933.0</v>
      </c>
      <c r="C422" s="136" t="s">
        <v>8991</v>
      </c>
      <c r="D422" s="179">
        <v>0.73</v>
      </c>
      <c r="E422" s="179">
        <v>0.73</v>
      </c>
      <c r="F422" s="430"/>
      <c r="T422" s="195" t="s">
        <v>9412</v>
      </c>
      <c r="U422" s="11">
        <v>4933.0</v>
      </c>
    </row>
    <row r="423" hidden="1">
      <c r="A423" s="426" t="s">
        <v>9413</v>
      </c>
      <c r="B423" s="117">
        <v>2345.0</v>
      </c>
      <c r="C423" s="136" t="s">
        <v>8991</v>
      </c>
      <c r="D423" s="74">
        <v>0.9</v>
      </c>
      <c r="E423" s="74">
        <v>0.9</v>
      </c>
      <c r="F423" s="430"/>
      <c r="T423" s="195" t="s">
        <v>9413</v>
      </c>
      <c r="U423" s="11">
        <v>2345.0</v>
      </c>
    </row>
    <row r="424" hidden="1">
      <c r="A424" s="426" t="s">
        <v>9414</v>
      </c>
      <c r="B424" s="117">
        <v>4933.0</v>
      </c>
      <c r="C424" s="136" t="s">
        <v>8991</v>
      </c>
      <c r="D424" s="179">
        <v>0.73</v>
      </c>
      <c r="E424" s="179">
        <v>0.73</v>
      </c>
      <c r="F424" s="430"/>
      <c r="T424" s="195" t="s">
        <v>9414</v>
      </c>
      <c r="U424" s="11">
        <v>4933.0</v>
      </c>
    </row>
    <row r="425" hidden="1">
      <c r="A425" s="426" t="s">
        <v>9415</v>
      </c>
      <c r="B425" s="117">
        <v>4933.0</v>
      </c>
      <c r="C425" s="136" t="s">
        <v>8991</v>
      </c>
      <c r="D425" s="179">
        <v>0.73</v>
      </c>
      <c r="E425" s="179">
        <v>0.73</v>
      </c>
      <c r="F425" s="430"/>
      <c r="T425" s="195" t="s">
        <v>9415</v>
      </c>
      <c r="U425" s="11">
        <v>4933.0</v>
      </c>
    </row>
    <row r="426" hidden="1">
      <c r="A426" s="426" t="s">
        <v>9416</v>
      </c>
      <c r="B426" s="117">
        <v>2345.0</v>
      </c>
      <c r="C426" s="136" t="s">
        <v>8991</v>
      </c>
      <c r="D426" s="74">
        <v>0.9</v>
      </c>
      <c r="E426" s="74">
        <v>0.9</v>
      </c>
      <c r="F426" s="430"/>
      <c r="T426" s="195" t="s">
        <v>9416</v>
      </c>
      <c r="U426" s="11">
        <v>2345.0</v>
      </c>
    </row>
    <row r="427" hidden="1">
      <c r="A427" s="426" t="s">
        <v>9417</v>
      </c>
      <c r="B427" s="117">
        <v>2345.0</v>
      </c>
      <c r="C427" s="136" t="s">
        <v>8991</v>
      </c>
      <c r="D427" s="74">
        <v>0.9</v>
      </c>
      <c r="E427" s="74">
        <v>0.9</v>
      </c>
      <c r="F427" s="430"/>
      <c r="T427" s="195" t="s">
        <v>9417</v>
      </c>
      <c r="U427" s="11">
        <v>2345.0</v>
      </c>
    </row>
    <row r="428" hidden="1">
      <c r="A428" s="426" t="s">
        <v>9418</v>
      </c>
      <c r="B428" s="117">
        <v>2345.0</v>
      </c>
      <c r="C428" s="136" t="s">
        <v>8991</v>
      </c>
      <c r="D428" s="74">
        <v>0.9</v>
      </c>
      <c r="E428" s="74">
        <v>0.9</v>
      </c>
      <c r="F428" s="430"/>
      <c r="T428" s="195" t="s">
        <v>9418</v>
      </c>
      <c r="U428" s="11">
        <v>2345.0</v>
      </c>
    </row>
    <row r="429" hidden="1">
      <c r="A429" s="426" t="s">
        <v>9419</v>
      </c>
      <c r="B429" s="117">
        <v>9363.0</v>
      </c>
      <c r="C429" s="136" t="s">
        <v>8991</v>
      </c>
      <c r="D429" s="179">
        <v>0.73</v>
      </c>
      <c r="E429" s="179">
        <v>0.73</v>
      </c>
      <c r="F429" s="430"/>
      <c r="T429" s="195" t="s">
        <v>9419</v>
      </c>
      <c r="U429" s="11">
        <v>9363.0</v>
      </c>
    </row>
    <row r="430" hidden="1">
      <c r="A430" s="426" t="s">
        <v>9420</v>
      </c>
      <c r="B430" s="117">
        <v>3307.0</v>
      </c>
      <c r="C430" s="136" t="s">
        <v>8991</v>
      </c>
      <c r="D430" s="179">
        <v>0.73</v>
      </c>
      <c r="E430" s="179">
        <v>0.73</v>
      </c>
      <c r="F430" s="430"/>
      <c r="T430" s="195" t="s">
        <v>9420</v>
      </c>
      <c r="U430" s="11">
        <v>3307.0</v>
      </c>
    </row>
    <row r="431" hidden="1">
      <c r="A431" s="426" t="s">
        <v>9421</v>
      </c>
      <c r="B431" s="117">
        <v>2345.0</v>
      </c>
      <c r="C431" s="136" t="s">
        <v>8991</v>
      </c>
      <c r="D431" s="74">
        <v>0.9</v>
      </c>
      <c r="E431" s="74">
        <v>0.9</v>
      </c>
      <c r="F431" s="430"/>
      <c r="T431" s="195" t="s">
        <v>9421</v>
      </c>
      <c r="U431" s="11">
        <v>2345.0</v>
      </c>
    </row>
    <row r="432" hidden="1">
      <c r="A432" s="426" t="s">
        <v>9422</v>
      </c>
      <c r="B432" s="117">
        <v>6727.0</v>
      </c>
      <c r="C432" s="136" t="s">
        <v>8991</v>
      </c>
      <c r="D432" s="179">
        <v>0.73</v>
      </c>
      <c r="E432" s="179">
        <v>0.73</v>
      </c>
      <c r="F432" s="430"/>
      <c r="T432" s="195" t="s">
        <v>9422</v>
      </c>
      <c r="U432" s="11">
        <v>6727.0</v>
      </c>
    </row>
    <row r="433" hidden="1">
      <c r="A433" s="426" t="s">
        <v>9423</v>
      </c>
      <c r="B433" s="117">
        <v>6727.0</v>
      </c>
      <c r="C433" s="136" t="s">
        <v>8991</v>
      </c>
      <c r="D433" s="179">
        <v>0.73</v>
      </c>
      <c r="E433" s="179">
        <v>0.73</v>
      </c>
      <c r="F433" s="430"/>
      <c r="T433" s="195" t="s">
        <v>9423</v>
      </c>
      <c r="U433" s="11">
        <v>6727.0</v>
      </c>
    </row>
    <row r="434" hidden="1">
      <c r="A434" s="426" t="s">
        <v>9424</v>
      </c>
      <c r="B434" s="117">
        <v>6995.0</v>
      </c>
      <c r="C434" s="136" t="s">
        <v>8991</v>
      </c>
      <c r="D434" s="179">
        <v>0.73</v>
      </c>
      <c r="E434" s="179">
        <v>0.73</v>
      </c>
      <c r="F434" s="430"/>
      <c r="T434" s="195" t="s">
        <v>9424</v>
      </c>
      <c r="U434" s="11">
        <v>6995.0</v>
      </c>
    </row>
    <row r="435" hidden="1">
      <c r="A435" s="426" t="s">
        <v>9425</v>
      </c>
      <c r="B435" s="117">
        <v>6891.0</v>
      </c>
      <c r="C435" s="136" t="s">
        <v>8991</v>
      </c>
      <c r="D435" s="179">
        <v>0.73</v>
      </c>
      <c r="E435" s="179">
        <v>0.73</v>
      </c>
      <c r="F435" s="430"/>
      <c r="T435" s="195" t="s">
        <v>9425</v>
      </c>
      <c r="U435" s="11">
        <v>6891.0</v>
      </c>
    </row>
    <row r="436" hidden="1">
      <c r="A436" s="426" t="s">
        <v>9426</v>
      </c>
      <c r="B436" s="117">
        <v>9363.0</v>
      </c>
      <c r="C436" s="136" t="s">
        <v>8991</v>
      </c>
      <c r="D436" s="179">
        <v>0.73</v>
      </c>
      <c r="E436" s="179">
        <v>0.73</v>
      </c>
      <c r="F436" s="430"/>
      <c r="T436" s="195" t="s">
        <v>9426</v>
      </c>
      <c r="U436" s="11">
        <v>9363.0</v>
      </c>
    </row>
    <row r="437" hidden="1">
      <c r="A437" s="426" t="s">
        <v>9427</v>
      </c>
      <c r="B437" s="117">
        <v>7010.0</v>
      </c>
      <c r="C437" s="136" t="s">
        <v>8991</v>
      </c>
      <c r="D437" s="179">
        <v>0.82</v>
      </c>
      <c r="E437" s="179">
        <v>0.82</v>
      </c>
      <c r="F437" s="430"/>
      <c r="T437" s="195" t="s">
        <v>9427</v>
      </c>
      <c r="U437" s="11">
        <v>7010.0</v>
      </c>
    </row>
    <row r="438" hidden="1">
      <c r="A438" s="426" t="s">
        <v>9428</v>
      </c>
      <c r="B438" s="117">
        <v>7283.0</v>
      </c>
      <c r="C438" s="136" t="s">
        <v>8991</v>
      </c>
      <c r="D438" s="179">
        <v>0.73</v>
      </c>
      <c r="E438" s="179">
        <v>0.73</v>
      </c>
      <c r="F438" s="430"/>
      <c r="T438" s="195" t="s">
        <v>9428</v>
      </c>
      <c r="U438" s="11">
        <v>7283.0</v>
      </c>
    </row>
    <row r="439" hidden="1">
      <c r="A439" s="426" t="s">
        <v>9429</v>
      </c>
      <c r="B439" s="117">
        <v>2345.0</v>
      </c>
      <c r="C439" s="136" t="s">
        <v>8991</v>
      </c>
      <c r="D439" s="74">
        <v>0.9</v>
      </c>
      <c r="E439" s="74">
        <v>0.9</v>
      </c>
      <c r="F439" s="430"/>
      <c r="T439" s="195" t="s">
        <v>9429</v>
      </c>
      <c r="U439" s="11">
        <v>2345.0</v>
      </c>
    </row>
    <row r="440" hidden="1">
      <c r="A440" s="426" t="s">
        <v>9430</v>
      </c>
      <c r="B440" s="117">
        <v>7033.0</v>
      </c>
      <c r="C440" s="136" t="s">
        <v>8991</v>
      </c>
      <c r="D440" s="179">
        <v>0.73</v>
      </c>
      <c r="E440" s="179">
        <v>0.73</v>
      </c>
      <c r="F440" s="430"/>
      <c r="T440" s="195" t="s">
        <v>9430</v>
      </c>
      <c r="U440" s="11">
        <v>7033.0</v>
      </c>
    </row>
    <row r="441" hidden="1">
      <c r="A441" s="426" t="s">
        <v>9431</v>
      </c>
      <c r="B441" s="117">
        <v>4933.0</v>
      </c>
      <c r="C441" s="136" t="s">
        <v>8991</v>
      </c>
      <c r="D441" s="179">
        <v>0.73</v>
      </c>
      <c r="E441" s="179">
        <v>0.73</v>
      </c>
      <c r="F441" s="430"/>
      <c r="T441" s="195" t="s">
        <v>9431</v>
      </c>
      <c r="U441" s="11">
        <v>4933.0</v>
      </c>
    </row>
    <row r="442" hidden="1">
      <c r="A442" s="426" t="s">
        <v>9432</v>
      </c>
      <c r="B442" s="117">
        <v>4933.0</v>
      </c>
      <c r="C442" s="136" t="s">
        <v>8991</v>
      </c>
      <c r="D442" s="179">
        <v>0.73</v>
      </c>
      <c r="E442" s="179">
        <v>0.73</v>
      </c>
      <c r="F442" s="430"/>
      <c r="T442" s="195" t="s">
        <v>9432</v>
      </c>
      <c r="U442" s="11">
        <v>4933.0</v>
      </c>
    </row>
    <row r="443" hidden="1">
      <c r="A443" s="426" t="s">
        <v>9433</v>
      </c>
      <c r="B443" s="117">
        <v>4933.0</v>
      </c>
      <c r="C443" s="136" t="s">
        <v>8991</v>
      </c>
      <c r="D443" s="179">
        <v>0.73</v>
      </c>
      <c r="E443" s="179">
        <v>0.73</v>
      </c>
      <c r="F443" s="430"/>
      <c r="T443" s="195" t="s">
        <v>9433</v>
      </c>
      <c r="U443" s="11">
        <v>4933.0</v>
      </c>
    </row>
    <row r="444" hidden="1">
      <c r="A444" s="426" t="s">
        <v>9434</v>
      </c>
      <c r="B444" s="117">
        <v>6727.0</v>
      </c>
      <c r="C444" s="136" t="s">
        <v>8991</v>
      </c>
      <c r="D444" s="179">
        <v>0.73</v>
      </c>
      <c r="E444" s="179">
        <v>0.73</v>
      </c>
      <c r="F444" s="430"/>
      <c r="T444" s="195" t="s">
        <v>9434</v>
      </c>
      <c r="U444" s="11">
        <v>6727.0</v>
      </c>
    </row>
    <row r="445" hidden="1">
      <c r="A445" s="426" t="s">
        <v>9435</v>
      </c>
      <c r="B445" s="117">
        <v>6727.0</v>
      </c>
      <c r="C445" s="136" t="s">
        <v>8991</v>
      </c>
      <c r="D445" s="179">
        <v>0.73</v>
      </c>
      <c r="E445" s="179">
        <v>0.73</v>
      </c>
      <c r="F445" s="430"/>
      <c r="T445" s="195" t="s">
        <v>9435</v>
      </c>
      <c r="U445" s="11">
        <v>6727.0</v>
      </c>
    </row>
    <row r="446" hidden="1">
      <c r="A446" s="426" t="s">
        <v>9436</v>
      </c>
      <c r="B446" s="117">
        <v>6727.0</v>
      </c>
      <c r="C446" s="136" t="s">
        <v>8991</v>
      </c>
      <c r="D446" s="179">
        <v>0.73</v>
      </c>
      <c r="E446" s="179">
        <v>0.73</v>
      </c>
      <c r="F446" s="430"/>
      <c r="T446" s="195" t="s">
        <v>9436</v>
      </c>
      <c r="U446" s="11">
        <v>6727.0</v>
      </c>
    </row>
    <row r="447" hidden="1">
      <c r="A447" s="426" t="s">
        <v>9437</v>
      </c>
      <c r="B447" s="117">
        <v>6887.0</v>
      </c>
      <c r="C447" s="136" t="s">
        <v>8991</v>
      </c>
      <c r="D447" s="179">
        <v>0.73</v>
      </c>
      <c r="E447" s="179">
        <v>0.73</v>
      </c>
      <c r="F447" s="430"/>
      <c r="T447" s="195" t="s">
        <v>9437</v>
      </c>
      <c r="U447" s="11">
        <v>6887.0</v>
      </c>
    </row>
    <row r="448" hidden="1">
      <c r="A448" s="426" t="s">
        <v>9438</v>
      </c>
      <c r="B448" s="117">
        <v>6675.0</v>
      </c>
      <c r="C448" s="136" t="s">
        <v>8991</v>
      </c>
      <c r="D448" s="74">
        <v>0.9</v>
      </c>
      <c r="E448" s="74">
        <v>0.9</v>
      </c>
      <c r="F448" s="430"/>
      <c r="T448" s="195" t="s">
        <v>9438</v>
      </c>
      <c r="U448" s="11">
        <v>6675.0</v>
      </c>
    </row>
    <row r="449" hidden="1">
      <c r="A449" s="426" t="s">
        <v>9439</v>
      </c>
      <c r="B449" s="117">
        <v>3920.0</v>
      </c>
      <c r="C449" s="136" t="s">
        <v>8991</v>
      </c>
      <c r="D449" s="179">
        <v>0.73</v>
      </c>
      <c r="E449" s="179">
        <v>0.73</v>
      </c>
      <c r="F449" s="430"/>
      <c r="T449" s="195" t="s">
        <v>9439</v>
      </c>
      <c r="U449" s="11">
        <v>3920.0</v>
      </c>
    </row>
    <row r="450" hidden="1">
      <c r="A450" s="426" t="s">
        <v>9440</v>
      </c>
      <c r="B450" s="117">
        <v>5421.0</v>
      </c>
      <c r="C450" s="136" t="s">
        <v>8991</v>
      </c>
      <c r="D450" s="179">
        <v>0.73</v>
      </c>
      <c r="E450" s="179">
        <v>0.73</v>
      </c>
      <c r="F450" s="430"/>
      <c r="T450" s="195" t="s">
        <v>9440</v>
      </c>
      <c r="U450" s="11">
        <v>5421.0</v>
      </c>
    </row>
    <row r="451" hidden="1">
      <c r="A451" s="426" t="s">
        <v>9441</v>
      </c>
      <c r="B451" s="117">
        <v>3231.0</v>
      </c>
      <c r="C451" s="136" t="s">
        <v>8991</v>
      </c>
      <c r="D451" s="179">
        <v>0.73</v>
      </c>
      <c r="E451" s="179">
        <v>0.73</v>
      </c>
      <c r="F451" s="430"/>
      <c r="T451" s="195" t="s">
        <v>9441</v>
      </c>
      <c r="U451" s="11">
        <v>3231.0</v>
      </c>
    </row>
    <row r="452" hidden="1">
      <c r="A452" s="426" t="s">
        <v>9442</v>
      </c>
      <c r="B452" s="117">
        <v>5421.0</v>
      </c>
      <c r="C452" s="136" t="s">
        <v>8991</v>
      </c>
      <c r="D452" s="179">
        <v>0.73</v>
      </c>
      <c r="E452" s="179">
        <v>0.73</v>
      </c>
      <c r="F452" s="430"/>
      <c r="T452" s="195" t="s">
        <v>9442</v>
      </c>
      <c r="U452" s="11">
        <v>5421.0</v>
      </c>
    </row>
    <row r="453" hidden="1">
      <c r="A453" s="426" t="s">
        <v>9443</v>
      </c>
      <c r="B453" s="117">
        <v>5421.0</v>
      </c>
      <c r="C453" s="136" t="s">
        <v>8991</v>
      </c>
      <c r="D453" s="179">
        <v>0.73</v>
      </c>
      <c r="E453" s="179">
        <v>0.73</v>
      </c>
      <c r="F453" s="430"/>
      <c r="T453" s="195" t="s">
        <v>9443</v>
      </c>
      <c r="U453" s="11">
        <v>5421.0</v>
      </c>
    </row>
    <row r="454" hidden="1">
      <c r="A454" s="426" t="s">
        <v>9444</v>
      </c>
      <c r="B454" s="117">
        <v>5421.0</v>
      </c>
      <c r="C454" s="136" t="s">
        <v>8991</v>
      </c>
      <c r="D454" s="179">
        <v>0.73</v>
      </c>
      <c r="E454" s="179">
        <v>0.73</v>
      </c>
      <c r="F454" s="430"/>
      <c r="T454" s="195" t="s">
        <v>9444</v>
      </c>
      <c r="U454" s="11">
        <v>5421.0</v>
      </c>
    </row>
    <row r="455" hidden="1">
      <c r="A455" s="428" t="s">
        <v>9445</v>
      </c>
      <c r="B455" s="289">
        <v>5421.0</v>
      </c>
      <c r="C455" s="136" t="s">
        <v>8991</v>
      </c>
      <c r="D455" s="179">
        <v>0.73</v>
      </c>
      <c r="E455" s="179">
        <v>0.73</v>
      </c>
      <c r="F455" s="430"/>
      <c r="T455" s="195" t="s">
        <v>9445</v>
      </c>
      <c r="U455" s="11">
        <v>5421.0</v>
      </c>
    </row>
    <row r="456" hidden="1">
      <c r="A456" s="123" t="s">
        <v>9446</v>
      </c>
      <c r="B456" s="117">
        <v>6658.0</v>
      </c>
      <c r="C456" s="136" t="s">
        <v>8991</v>
      </c>
      <c r="D456" s="179">
        <v>0.82</v>
      </c>
      <c r="E456" s="179">
        <v>0.82</v>
      </c>
      <c r="F456" s="430"/>
      <c r="T456" s="125" t="s">
        <v>9446</v>
      </c>
      <c r="U456" s="11">
        <v>6658.0</v>
      </c>
    </row>
    <row r="457" hidden="1">
      <c r="A457" s="123" t="s">
        <v>9447</v>
      </c>
      <c r="B457" s="117">
        <v>6658.0</v>
      </c>
      <c r="C457" s="136" t="s">
        <v>8991</v>
      </c>
      <c r="D457" s="179">
        <v>0.82</v>
      </c>
      <c r="E457" s="179">
        <v>0.82</v>
      </c>
      <c r="F457" s="430"/>
      <c r="T457" s="125" t="s">
        <v>9447</v>
      </c>
      <c r="U457" s="11">
        <v>6658.0</v>
      </c>
    </row>
    <row r="458" hidden="1">
      <c r="A458" s="123" t="s">
        <v>9448</v>
      </c>
      <c r="B458" s="117">
        <v>6658.0</v>
      </c>
      <c r="C458" s="136" t="s">
        <v>8991</v>
      </c>
      <c r="D458" s="179">
        <v>0.82</v>
      </c>
      <c r="E458" s="179">
        <v>0.82</v>
      </c>
      <c r="F458" s="430"/>
      <c r="T458" s="125" t="s">
        <v>9448</v>
      </c>
      <c r="U458" s="11">
        <v>6658.0</v>
      </c>
    </row>
    <row r="459" hidden="1">
      <c r="A459" s="123" t="s">
        <v>9449</v>
      </c>
      <c r="B459" s="117">
        <v>189.0</v>
      </c>
      <c r="C459" s="136" t="s">
        <v>8991</v>
      </c>
      <c r="D459" s="179">
        <v>0.82</v>
      </c>
      <c r="E459" s="179">
        <v>0.82</v>
      </c>
      <c r="F459" s="430"/>
      <c r="T459" s="125" t="s">
        <v>9449</v>
      </c>
      <c r="U459" s="11">
        <v>189.0</v>
      </c>
    </row>
    <row r="460" hidden="1">
      <c r="A460" s="123" t="s">
        <v>9450</v>
      </c>
      <c r="B460" s="117">
        <v>189.0</v>
      </c>
      <c r="C460" s="136" t="s">
        <v>8991</v>
      </c>
      <c r="D460" s="179">
        <v>0.82</v>
      </c>
      <c r="E460" s="179">
        <v>0.82</v>
      </c>
      <c r="F460" s="430"/>
      <c r="T460" s="125" t="s">
        <v>9450</v>
      </c>
      <c r="U460" s="11">
        <v>189.0</v>
      </c>
    </row>
    <row r="461" hidden="1">
      <c r="A461" s="123" t="s">
        <v>9451</v>
      </c>
      <c r="B461" s="117">
        <v>189.0</v>
      </c>
      <c r="C461" s="136" t="s">
        <v>8991</v>
      </c>
      <c r="D461" s="179">
        <v>0.82</v>
      </c>
      <c r="E461" s="179">
        <v>0.82</v>
      </c>
      <c r="F461" s="430"/>
      <c r="T461" s="125" t="s">
        <v>9451</v>
      </c>
      <c r="U461" s="11">
        <v>189.0</v>
      </c>
    </row>
    <row r="462" hidden="1">
      <c r="A462" s="123" t="s">
        <v>9452</v>
      </c>
      <c r="B462" s="117">
        <v>6732.0</v>
      </c>
      <c r="C462" s="136" t="s">
        <v>8991</v>
      </c>
      <c r="D462" s="179">
        <v>0.73</v>
      </c>
      <c r="E462" s="179">
        <v>0.73</v>
      </c>
      <c r="F462" s="430"/>
      <c r="T462" s="125" t="s">
        <v>9452</v>
      </c>
      <c r="U462" s="11">
        <v>6732.0</v>
      </c>
    </row>
    <row r="463" hidden="1">
      <c r="A463" s="123" t="s">
        <v>9453</v>
      </c>
      <c r="B463" s="117">
        <v>6732.0</v>
      </c>
      <c r="C463" s="136" t="s">
        <v>8991</v>
      </c>
      <c r="D463" s="179">
        <v>0.73</v>
      </c>
      <c r="E463" s="179">
        <v>0.73</v>
      </c>
      <c r="F463" s="430"/>
      <c r="T463" s="125" t="s">
        <v>9453</v>
      </c>
      <c r="U463" s="11">
        <v>6732.0</v>
      </c>
    </row>
    <row r="464" hidden="1">
      <c r="A464" s="123" t="s">
        <v>9454</v>
      </c>
      <c r="B464" s="117">
        <v>7010.0</v>
      </c>
      <c r="C464" s="136" t="s">
        <v>8991</v>
      </c>
      <c r="D464" s="179">
        <v>0.82</v>
      </c>
      <c r="E464" s="179">
        <v>0.82</v>
      </c>
      <c r="F464" s="430"/>
      <c r="T464" s="125" t="s">
        <v>9454</v>
      </c>
      <c r="U464" s="11">
        <v>7010.0</v>
      </c>
    </row>
    <row r="465" hidden="1">
      <c r="A465" s="123" t="s">
        <v>9455</v>
      </c>
      <c r="B465" s="117">
        <v>11708.0</v>
      </c>
      <c r="C465" s="136" t="s">
        <v>8991</v>
      </c>
      <c r="D465" s="179">
        <v>0.73</v>
      </c>
      <c r="E465" s="179">
        <v>0.73</v>
      </c>
      <c r="F465" s="430"/>
      <c r="T465" s="125" t="s">
        <v>9455</v>
      </c>
      <c r="U465" s="11">
        <v>11708.0</v>
      </c>
    </row>
    <row r="466" hidden="1">
      <c r="A466" s="123" t="s">
        <v>9456</v>
      </c>
      <c r="B466" s="117">
        <v>7046.0</v>
      </c>
      <c r="C466" s="136" t="s">
        <v>8991</v>
      </c>
      <c r="D466" s="179">
        <v>0.73</v>
      </c>
      <c r="E466" s="179">
        <v>0.73</v>
      </c>
      <c r="F466" s="430"/>
      <c r="T466" s="125" t="s">
        <v>9456</v>
      </c>
      <c r="U466" s="11">
        <v>7046.0</v>
      </c>
    </row>
    <row r="467" hidden="1">
      <c r="A467" s="123" t="s">
        <v>9457</v>
      </c>
      <c r="B467" s="117">
        <v>10141.0</v>
      </c>
      <c r="C467" s="136" t="s">
        <v>8991</v>
      </c>
      <c r="D467" s="179">
        <v>0.73</v>
      </c>
      <c r="E467" s="179">
        <v>0.73</v>
      </c>
      <c r="F467" s="430"/>
      <c r="T467" s="125" t="s">
        <v>9457</v>
      </c>
      <c r="U467" s="11">
        <v>10141.0</v>
      </c>
    </row>
    <row r="468" hidden="1">
      <c r="A468" s="123" t="s">
        <v>9458</v>
      </c>
      <c r="B468" s="117">
        <v>2345.0</v>
      </c>
      <c r="C468" s="136" t="s">
        <v>8991</v>
      </c>
      <c r="D468" s="74">
        <v>0.9</v>
      </c>
      <c r="E468" s="74">
        <v>0.9</v>
      </c>
      <c r="F468" s="430"/>
      <c r="T468" s="125" t="s">
        <v>9458</v>
      </c>
      <c r="U468" s="11">
        <v>2345.0</v>
      </c>
    </row>
    <row r="469" hidden="1">
      <c r="A469" s="123" t="s">
        <v>9459</v>
      </c>
      <c r="B469" s="117">
        <v>6779.0</v>
      </c>
      <c r="C469" s="136" t="s">
        <v>8991</v>
      </c>
      <c r="D469" s="179">
        <v>0.73</v>
      </c>
      <c r="E469" s="179">
        <v>0.73</v>
      </c>
      <c r="F469" s="430"/>
      <c r="T469" s="125" t="s">
        <v>9459</v>
      </c>
      <c r="U469" s="11">
        <v>6779.0</v>
      </c>
    </row>
    <row r="470" hidden="1">
      <c r="A470" s="123" t="s">
        <v>9460</v>
      </c>
      <c r="B470" s="117">
        <v>669.0</v>
      </c>
      <c r="C470" s="136" t="s">
        <v>8991</v>
      </c>
      <c r="D470" s="179">
        <v>0.73</v>
      </c>
      <c r="E470" s="179">
        <v>0.73</v>
      </c>
      <c r="F470" s="430"/>
      <c r="T470" s="125" t="s">
        <v>9460</v>
      </c>
      <c r="U470" s="11">
        <v>669.0</v>
      </c>
    </row>
    <row r="471" hidden="1">
      <c r="A471" s="123" t="s">
        <v>4367</v>
      </c>
      <c r="B471" s="117">
        <v>6658.0</v>
      </c>
      <c r="C471" s="136" t="s">
        <v>8991</v>
      </c>
      <c r="D471" s="179">
        <v>0.82</v>
      </c>
      <c r="E471" s="179">
        <v>0.82</v>
      </c>
      <c r="F471" s="430"/>
      <c r="T471" s="125" t="s">
        <v>4367</v>
      </c>
      <c r="U471" s="11">
        <v>6658.0</v>
      </c>
    </row>
    <row r="472" hidden="1">
      <c r="A472" s="117" t="s">
        <v>4368</v>
      </c>
      <c r="B472" s="117">
        <v>6658.0</v>
      </c>
      <c r="C472" s="136" t="s">
        <v>8991</v>
      </c>
      <c r="D472" s="179">
        <v>0.82</v>
      </c>
      <c r="E472" s="179">
        <v>0.82</v>
      </c>
      <c r="F472" s="430"/>
      <c r="T472" s="314" t="s">
        <v>4368</v>
      </c>
      <c r="U472" s="11">
        <v>6658.0</v>
      </c>
    </row>
    <row r="473" hidden="1">
      <c r="A473" s="123" t="s">
        <v>4369</v>
      </c>
      <c r="B473" s="117">
        <v>6658.0</v>
      </c>
      <c r="C473" s="136" t="s">
        <v>8991</v>
      </c>
      <c r="D473" s="179">
        <v>0.82</v>
      </c>
      <c r="E473" s="179">
        <v>0.82</v>
      </c>
      <c r="F473" s="430"/>
      <c r="T473" s="434" t="s">
        <v>4369</v>
      </c>
      <c r="U473" s="11">
        <v>6658.0</v>
      </c>
    </row>
    <row r="474" hidden="1">
      <c r="A474" s="117" t="s">
        <v>4370</v>
      </c>
      <c r="B474" s="117">
        <v>6732.0</v>
      </c>
      <c r="C474" s="136" t="s">
        <v>8991</v>
      </c>
      <c r="D474" s="179">
        <v>0.73</v>
      </c>
      <c r="E474" s="179">
        <v>0.73</v>
      </c>
      <c r="F474" s="430"/>
      <c r="T474" s="11" t="s">
        <v>4370</v>
      </c>
      <c r="U474" s="11">
        <v>6732.0</v>
      </c>
      <c r="V474" s="11" t="s">
        <v>9461</v>
      </c>
    </row>
    <row r="475" hidden="1">
      <c r="A475" s="123" t="s">
        <v>4371</v>
      </c>
      <c r="B475" s="435">
        <v>14337.0</v>
      </c>
      <c r="C475" s="136" t="s">
        <v>8991</v>
      </c>
      <c r="D475" s="179">
        <v>0.73</v>
      </c>
      <c r="E475" s="179">
        <v>0.73</v>
      </c>
      <c r="F475" s="430"/>
      <c r="T475" s="125" t="s">
        <v>4371</v>
      </c>
      <c r="U475" s="436">
        <v>14337.0</v>
      </c>
    </row>
    <row r="476" hidden="1">
      <c r="A476" s="123" t="s">
        <v>4372</v>
      </c>
      <c r="B476" s="117">
        <v>6732.0</v>
      </c>
      <c r="C476" s="136" t="s">
        <v>8991</v>
      </c>
      <c r="D476" s="179">
        <v>0.73</v>
      </c>
      <c r="E476" s="179">
        <v>0.73</v>
      </c>
      <c r="F476" s="430"/>
      <c r="T476" s="125" t="s">
        <v>4372</v>
      </c>
      <c r="U476" s="11">
        <v>6732.0</v>
      </c>
    </row>
    <row r="477" hidden="1">
      <c r="A477" s="117" t="s">
        <v>4373</v>
      </c>
      <c r="B477" s="117">
        <v>189.0</v>
      </c>
      <c r="C477" s="136" t="s">
        <v>8991</v>
      </c>
      <c r="D477" s="179">
        <v>0.82</v>
      </c>
      <c r="E477" s="179">
        <v>0.82</v>
      </c>
      <c r="F477" s="430"/>
      <c r="T477" s="11" t="s">
        <v>4373</v>
      </c>
      <c r="U477" s="11">
        <v>189.0</v>
      </c>
    </row>
    <row r="478" hidden="1">
      <c r="A478" s="123" t="s">
        <v>4374</v>
      </c>
      <c r="B478" s="117">
        <v>189.0</v>
      </c>
      <c r="C478" s="136" t="s">
        <v>8991</v>
      </c>
      <c r="D478" s="179">
        <v>0.82</v>
      </c>
      <c r="E478" s="179">
        <v>0.82</v>
      </c>
      <c r="F478" s="430"/>
      <c r="T478" s="125" t="s">
        <v>4374</v>
      </c>
      <c r="U478" s="11">
        <v>189.0</v>
      </c>
    </row>
    <row r="479" hidden="1">
      <c r="A479" s="117" t="s">
        <v>4375</v>
      </c>
      <c r="B479" s="117">
        <v>189.0</v>
      </c>
      <c r="C479" s="136" t="s">
        <v>8991</v>
      </c>
      <c r="D479" s="179">
        <v>0.82</v>
      </c>
      <c r="E479" s="179">
        <v>0.82</v>
      </c>
      <c r="F479" s="430"/>
      <c r="T479" s="11" t="s">
        <v>4375</v>
      </c>
      <c r="U479" s="11">
        <v>189.0</v>
      </c>
    </row>
    <row r="480" hidden="1">
      <c r="A480" s="123" t="s">
        <v>4376</v>
      </c>
      <c r="B480" s="117">
        <v>7010.0</v>
      </c>
      <c r="C480" s="136" t="s">
        <v>8991</v>
      </c>
      <c r="D480" s="179">
        <v>0.82</v>
      </c>
      <c r="E480" s="179">
        <v>0.82</v>
      </c>
      <c r="F480" s="430"/>
      <c r="T480" s="434" t="s">
        <v>4376</v>
      </c>
      <c r="U480" s="11">
        <v>7010.0</v>
      </c>
    </row>
    <row r="481" hidden="1">
      <c r="A481" s="123" t="s">
        <v>4377</v>
      </c>
      <c r="B481" s="117">
        <v>7010.0</v>
      </c>
      <c r="C481" s="136" t="s">
        <v>8991</v>
      </c>
      <c r="D481" s="179">
        <v>0.82</v>
      </c>
      <c r="E481" s="179">
        <v>0.82</v>
      </c>
      <c r="F481" s="430"/>
      <c r="T481" s="434" t="s">
        <v>4377</v>
      </c>
      <c r="U481" s="11">
        <v>7010.0</v>
      </c>
    </row>
    <row r="482" hidden="1">
      <c r="A482" s="117" t="s">
        <v>4378</v>
      </c>
      <c r="B482" s="117">
        <v>6109.0</v>
      </c>
      <c r="C482" s="136" t="s">
        <v>8991</v>
      </c>
      <c r="D482" s="179">
        <v>0.73</v>
      </c>
      <c r="E482" s="179">
        <v>0.73</v>
      </c>
      <c r="F482" s="430"/>
      <c r="T482" s="11" t="s">
        <v>4378</v>
      </c>
      <c r="U482" s="11">
        <v>6109.0</v>
      </c>
    </row>
    <row r="483" hidden="1">
      <c r="A483" s="123" t="s">
        <v>4379</v>
      </c>
      <c r="B483" s="117">
        <v>6109.0</v>
      </c>
      <c r="C483" s="136" t="s">
        <v>8991</v>
      </c>
      <c r="D483" s="179">
        <v>0.73</v>
      </c>
      <c r="E483" s="179">
        <v>0.73</v>
      </c>
      <c r="F483" s="430"/>
      <c r="T483" s="125" t="s">
        <v>4379</v>
      </c>
      <c r="U483" s="11">
        <v>6109.0</v>
      </c>
    </row>
    <row r="484" hidden="1">
      <c r="A484" s="117" t="s">
        <v>4380</v>
      </c>
      <c r="B484" s="117">
        <v>6109.0</v>
      </c>
      <c r="C484" s="136" t="s">
        <v>8991</v>
      </c>
      <c r="D484" s="179">
        <v>0.73</v>
      </c>
      <c r="E484" s="179">
        <v>0.73</v>
      </c>
      <c r="F484" s="430"/>
      <c r="T484" s="314" t="s">
        <v>4380</v>
      </c>
      <c r="U484" s="11">
        <v>6109.0</v>
      </c>
    </row>
    <row r="485" hidden="1">
      <c r="A485" s="123" t="s">
        <v>4381</v>
      </c>
      <c r="B485" s="117">
        <v>6133.0</v>
      </c>
      <c r="C485" s="136" t="s">
        <v>8991</v>
      </c>
      <c r="D485" s="179">
        <v>0.73</v>
      </c>
      <c r="E485" s="179">
        <v>0.73</v>
      </c>
      <c r="F485" s="430"/>
      <c r="T485" s="125" t="s">
        <v>4381</v>
      </c>
      <c r="U485" s="11">
        <v>6133.0</v>
      </c>
    </row>
    <row r="486" hidden="1">
      <c r="A486" s="123" t="s">
        <v>4382</v>
      </c>
      <c r="B486" s="117">
        <v>6133.0</v>
      </c>
      <c r="C486" s="136" t="s">
        <v>8991</v>
      </c>
      <c r="D486" s="179">
        <v>0.73</v>
      </c>
      <c r="E486" s="179">
        <v>0.73</v>
      </c>
      <c r="F486" s="430"/>
      <c r="T486" s="125" t="s">
        <v>4382</v>
      </c>
      <c r="U486" s="11">
        <v>6133.0</v>
      </c>
    </row>
    <row r="487" hidden="1">
      <c r="A487" s="117" t="s">
        <v>4383</v>
      </c>
      <c r="B487" s="289">
        <v>7142.0</v>
      </c>
      <c r="C487" s="136" t="s">
        <v>8991</v>
      </c>
      <c r="D487" s="179">
        <v>0.73</v>
      </c>
      <c r="E487" s="179">
        <v>0.73</v>
      </c>
      <c r="F487" s="430"/>
      <c r="T487" s="314" t="s">
        <v>4383</v>
      </c>
      <c r="U487" s="11">
        <v>7142.0</v>
      </c>
    </row>
    <row r="488" hidden="1">
      <c r="A488" s="123" t="s">
        <v>4384</v>
      </c>
      <c r="B488" s="117">
        <v>7114.0</v>
      </c>
      <c r="C488" s="136" t="s">
        <v>8991</v>
      </c>
      <c r="D488" s="179">
        <v>0.73</v>
      </c>
      <c r="E488" s="179">
        <v>0.73</v>
      </c>
      <c r="F488" s="430"/>
      <c r="T488" s="125" t="s">
        <v>4384</v>
      </c>
      <c r="U488" s="11">
        <v>7114.0</v>
      </c>
    </row>
    <row r="489" hidden="1">
      <c r="A489" s="117" t="s">
        <v>4385</v>
      </c>
      <c r="B489" s="117">
        <v>7114.0</v>
      </c>
      <c r="C489" s="136" t="s">
        <v>8991</v>
      </c>
      <c r="D489" s="179">
        <v>0.73</v>
      </c>
      <c r="E489" s="179">
        <v>0.73</v>
      </c>
      <c r="F489" s="430"/>
      <c r="T489" s="11" t="s">
        <v>4385</v>
      </c>
      <c r="U489" s="11">
        <v>7114.0</v>
      </c>
    </row>
    <row r="490" hidden="1">
      <c r="A490" s="123" t="s">
        <v>4386</v>
      </c>
      <c r="B490" s="117">
        <v>6133.0</v>
      </c>
      <c r="C490" s="136" t="s">
        <v>8991</v>
      </c>
      <c r="D490" s="179">
        <v>0.73</v>
      </c>
      <c r="E490" s="179">
        <v>0.73</v>
      </c>
      <c r="F490" s="430"/>
      <c r="T490" s="125" t="s">
        <v>4386</v>
      </c>
      <c r="U490" s="11">
        <v>6133.0</v>
      </c>
    </row>
    <row r="491" hidden="1">
      <c r="A491" s="123" t="s">
        <v>4387</v>
      </c>
      <c r="B491" s="117">
        <v>7244.0</v>
      </c>
      <c r="C491" s="136" t="s">
        <v>8991</v>
      </c>
      <c r="D491" s="179">
        <v>0.73</v>
      </c>
      <c r="E491" s="179">
        <v>0.73</v>
      </c>
      <c r="F491" s="430"/>
      <c r="T491" s="125" t="s">
        <v>4387</v>
      </c>
      <c r="U491" s="11">
        <v>7244.0</v>
      </c>
    </row>
    <row r="492" hidden="1">
      <c r="A492" s="117" t="s">
        <v>4388</v>
      </c>
      <c r="B492" s="117">
        <v>6671.0</v>
      </c>
      <c r="C492" s="136" t="s">
        <v>8991</v>
      </c>
      <c r="D492" s="179">
        <v>0.73</v>
      </c>
      <c r="E492" s="179">
        <v>0.73</v>
      </c>
      <c r="F492" s="430"/>
      <c r="T492" s="11" t="s">
        <v>4388</v>
      </c>
      <c r="U492" s="11">
        <v>6671.0</v>
      </c>
    </row>
    <row r="493" hidden="1">
      <c r="A493" s="123" t="s">
        <v>4389</v>
      </c>
      <c r="B493" s="117">
        <v>7070.0</v>
      </c>
      <c r="C493" s="136" t="s">
        <v>8991</v>
      </c>
      <c r="D493" s="179">
        <v>0.73</v>
      </c>
      <c r="E493" s="179">
        <v>0.73</v>
      </c>
      <c r="F493" s="430"/>
      <c r="T493" s="125" t="s">
        <v>4389</v>
      </c>
      <c r="U493" s="11">
        <v>7070.0</v>
      </c>
    </row>
    <row r="494" hidden="1">
      <c r="A494" s="117" t="s">
        <v>4390</v>
      </c>
      <c r="B494" s="117">
        <v>7114.0</v>
      </c>
      <c r="C494" s="136" t="s">
        <v>8991</v>
      </c>
      <c r="D494" s="179">
        <v>0.73</v>
      </c>
      <c r="E494" s="179">
        <v>0.73</v>
      </c>
      <c r="F494" s="430"/>
      <c r="T494" s="11" t="s">
        <v>4390</v>
      </c>
      <c r="U494" s="11">
        <v>7114.0</v>
      </c>
    </row>
    <row r="495" hidden="1">
      <c r="A495" s="123" t="s">
        <v>4391</v>
      </c>
      <c r="B495" s="117">
        <v>6658.0</v>
      </c>
      <c r="C495" s="136" t="s">
        <v>8991</v>
      </c>
      <c r="D495" s="179">
        <v>0.82</v>
      </c>
      <c r="E495" s="179">
        <v>0.82</v>
      </c>
      <c r="F495" s="430"/>
      <c r="T495" s="125" t="s">
        <v>4391</v>
      </c>
      <c r="U495" s="11">
        <v>6658.0</v>
      </c>
    </row>
    <row r="496" hidden="1">
      <c r="A496" s="123" t="s">
        <v>4392</v>
      </c>
      <c r="B496" s="117">
        <v>6658.0</v>
      </c>
      <c r="C496" s="136" t="s">
        <v>8991</v>
      </c>
      <c r="D496" s="179">
        <v>0.82</v>
      </c>
      <c r="E496" s="179">
        <v>0.82</v>
      </c>
      <c r="F496" s="430"/>
      <c r="T496" s="125" t="s">
        <v>4392</v>
      </c>
      <c r="U496" s="11">
        <v>6658.0</v>
      </c>
    </row>
    <row r="497" hidden="1">
      <c r="A497" s="117" t="s">
        <v>4393</v>
      </c>
      <c r="B497" s="117">
        <v>6658.0</v>
      </c>
      <c r="C497" s="136" t="s">
        <v>8991</v>
      </c>
      <c r="D497" s="179">
        <v>0.82</v>
      </c>
      <c r="E497" s="179">
        <v>0.82</v>
      </c>
      <c r="F497" s="430"/>
      <c r="T497" s="11" t="s">
        <v>4393</v>
      </c>
      <c r="U497" s="11">
        <v>6658.0</v>
      </c>
    </row>
    <row r="498" hidden="1">
      <c r="A498" s="123" t="s">
        <v>4394</v>
      </c>
      <c r="B498" s="117">
        <v>6658.0</v>
      </c>
      <c r="C498" s="136" t="s">
        <v>8991</v>
      </c>
      <c r="D498" s="179">
        <v>0.82</v>
      </c>
      <c r="E498" s="179">
        <v>0.82</v>
      </c>
      <c r="F498" s="430"/>
      <c r="T498" s="125" t="s">
        <v>4394</v>
      </c>
      <c r="U498" s="11">
        <v>6658.0</v>
      </c>
    </row>
    <row r="499" hidden="1">
      <c r="A499" s="117" t="s">
        <v>4395</v>
      </c>
      <c r="B499" s="117">
        <v>6658.0</v>
      </c>
      <c r="C499" s="136" t="s">
        <v>8991</v>
      </c>
      <c r="D499" s="179">
        <v>0.82</v>
      </c>
      <c r="E499" s="179">
        <v>0.82</v>
      </c>
      <c r="F499" s="430"/>
      <c r="T499" s="11" t="s">
        <v>4395</v>
      </c>
      <c r="U499" s="11">
        <v>6658.0</v>
      </c>
    </row>
    <row r="500" hidden="1">
      <c r="A500" s="123" t="s">
        <v>4396</v>
      </c>
      <c r="B500" s="117">
        <v>6658.0</v>
      </c>
      <c r="C500" s="136" t="s">
        <v>8991</v>
      </c>
      <c r="D500" s="179">
        <v>0.82</v>
      </c>
      <c r="E500" s="179">
        <v>0.82</v>
      </c>
      <c r="F500" s="430"/>
      <c r="T500" s="125" t="s">
        <v>4396</v>
      </c>
      <c r="U500" s="11">
        <v>6658.0</v>
      </c>
    </row>
    <row r="501" hidden="1">
      <c r="A501" s="123" t="s">
        <v>4397</v>
      </c>
      <c r="B501" s="117">
        <v>7051.0</v>
      </c>
      <c r="C501" s="136" t="s">
        <v>8991</v>
      </c>
      <c r="D501" s="179">
        <v>0.73</v>
      </c>
      <c r="E501" s="179">
        <v>0.73</v>
      </c>
      <c r="F501" s="430"/>
      <c r="T501" s="125" t="s">
        <v>4397</v>
      </c>
      <c r="U501" s="11">
        <v>7051.0</v>
      </c>
    </row>
    <row r="502" hidden="1">
      <c r="A502" s="117" t="s">
        <v>4398</v>
      </c>
      <c r="B502" s="122">
        <v>7100.0</v>
      </c>
      <c r="C502" s="136" t="s">
        <v>8991</v>
      </c>
      <c r="D502" s="179">
        <v>0.73</v>
      </c>
      <c r="E502" s="179">
        <v>0.73</v>
      </c>
      <c r="F502" s="430"/>
      <c r="T502" s="314" t="s">
        <v>4398</v>
      </c>
      <c r="U502" s="122">
        <v>7100.0</v>
      </c>
    </row>
    <row r="503" hidden="1">
      <c r="A503" s="123" t="s">
        <v>4461</v>
      </c>
      <c r="B503" s="117">
        <v>6772.0</v>
      </c>
      <c r="C503" s="136" t="s">
        <v>8991</v>
      </c>
      <c r="D503" s="179">
        <v>0.73</v>
      </c>
      <c r="E503" s="179">
        <v>0.73</v>
      </c>
      <c r="F503" s="430"/>
      <c r="T503" s="434" t="s">
        <v>4461</v>
      </c>
      <c r="U503" s="11">
        <v>6772.0</v>
      </c>
    </row>
    <row r="504" hidden="1">
      <c r="A504" s="117" t="s">
        <v>4462</v>
      </c>
      <c r="B504" s="117">
        <v>6936.0</v>
      </c>
      <c r="C504" s="136" t="s">
        <v>8991</v>
      </c>
      <c r="D504" s="179">
        <v>0.73</v>
      </c>
      <c r="E504" s="179">
        <v>0.73</v>
      </c>
      <c r="F504" s="430"/>
      <c r="T504" s="11" t="s">
        <v>4462</v>
      </c>
      <c r="U504" s="11">
        <v>6936.0</v>
      </c>
    </row>
    <row r="505" hidden="1">
      <c r="A505" s="123" t="s">
        <v>4463</v>
      </c>
      <c r="B505" s="117">
        <v>6727.0</v>
      </c>
      <c r="C505" s="136" t="s">
        <v>8991</v>
      </c>
      <c r="D505" s="179">
        <v>0.73</v>
      </c>
      <c r="E505" s="179">
        <v>0.73</v>
      </c>
      <c r="F505" s="430"/>
      <c r="T505" s="125" t="s">
        <v>4463</v>
      </c>
      <c r="U505" s="11">
        <v>6727.0</v>
      </c>
    </row>
    <row r="506" hidden="1">
      <c r="A506" s="123" t="s">
        <v>4464</v>
      </c>
      <c r="B506" s="117">
        <v>6463.0</v>
      </c>
      <c r="C506" s="136" t="s">
        <v>8991</v>
      </c>
      <c r="D506" s="179">
        <v>0.73</v>
      </c>
      <c r="E506" s="179">
        <v>0.73</v>
      </c>
      <c r="F506" s="430"/>
      <c r="T506" s="125" t="s">
        <v>4464</v>
      </c>
      <c r="U506" s="11">
        <v>6463.0</v>
      </c>
      <c r="V506" s="11">
        <v>6727.0</v>
      </c>
    </row>
    <row r="507" hidden="1">
      <c r="A507" s="117" t="s">
        <v>4465</v>
      </c>
      <c r="B507" s="117">
        <v>6727.0</v>
      </c>
      <c r="C507" s="136" t="s">
        <v>8991</v>
      </c>
      <c r="D507" s="179">
        <v>0.73</v>
      </c>
      <c r="E507" s="179">
        <v>0.73</v>
      </c>
      <c r="F507" s="430"/>
      <c r="T507" s="11" t="s">
        <v>4465</v>
      </c>
      <c r="U507" s="11">
        <v>6727.0</v>
      </c>
    </row>
    <row r="508" hidden="1">
      <c r="A508" s="123" t="s">
        <v>4466</v>
      </c>
      <c r="B508" s="117">
        <v>6727.0</v>
      </c>
      <c r="C508" s="136" t="s">
        <v>8991</v>
      </c>
      <c r="D508" s="179">
        <v>0.73</v>
      </c>
      <c r="E508" s="179">
        <v>0.73</v>
      </c>
      <c r="F508" s="430"/>
      <c r="T508" s="125" t="s">
        <v>4466</v>
      </c>
      <c r="U508" s="11">
        <v>6727.0</v>
      </c>
    </row>
    <row r="509" hidden="1">
      <c r="A509" s="117" t="s">
        <v>4467</v>
      </c>
      <c r="B509" s="117">
        <v>6727.0</v>
      </c>
      <c r="C509" s="136" t="s">
        <v>8991</v>
      </c>
      <c r="D509" s="179">
        <v>0.73</v>
      </c>
      <c r="E509" s="179">
        <v>0.73</v>
      </c>
      <c r="F509" s="430"/>
      <c r="T509" s="314" t="s">
        <v>4467</v>
      </c>
      <c r="U509" s="11">
        <v>6727.0</v>
      </c>
    </row>
    <row r="510" hidden="1">
      <c r="A510" s="123" t="s">
        <v>4468</v>
      </c>
      <c r="B510" s="117">
        <v>6727.0</v>
      </c>
      <c r="C510" s="136" t="s">
        <v>8991</v>
      </c>
      <c r="D510" s="179">
        <v>0.73</v>
      </c>
      <c r="E510" s="179">
        <v>0.73</v>
      </c>
      <c r="F510" s="430"/>
      <c r="T510" s="125" t="s">
        <v>4468</v>
      </c>
      <c r="U510" s="11">
        <v>6727.0</v>
      </c>
    </row>
    <row r="511" hidden="1">
      <c r="A511" s="123" t="s">
        <v>4469</v>
      </c>
      <c r="B511" s="117">
        <v>6928.0</v>
      </c>
      <c r="C511" s="136" t="s">
        <v>8991</v>
      </c>
      <c r="D511" s="179">
        <v>0.73</v>
      </c>
      <c r="E511" s="179">
        <v>0.73</v>
      </c>
      <c r="F511" s="430"/>
      <c r="T511" s="125" t="s">
        <v>4469</v>
      </c>
      <c r="U511" s="11">
        <v>6928.0</v>
      </c>
    </row>
    <row r="512" hidden="1">
      <c r="A512" s="117" t="s">
        <v>4470</v>
      </c>
      <c r="B512" s="117">
        <v>195.0</v>
      </c>
      <c r="C512" s="136" t="s">
        <v>8991</v>
      </c>
      <c r="D512" s="179">
        <v>0.73</v>
      </c>
      <c r="E512" s="179">
        <v>0.73</v>
      </c>
      <c r="F512" s="430"/>
      <c r="T512" s="11" t="s">
        <v>4470</v>
      </c>
      <c r="U512" s="11">
        <v>195.0</v>
      </c>
    </row>
    <row r="513" hidden="1">
      <c r="A513" s="123" t="s">
        <v>4471</v>
      </c>
      <c r="B513" s="117">
        <v>195.0</v>
      </c>
      <c r="C513" s="136" t="s">
        <v>8991</v>
      </c>
      <c r="D513" s="179">
        <v>0.73</v>
      </c>
      <c r="E513" s="179">
        <v>0.73</v>
      </c>
      <c r="F513" s="430"/>
      <c r="T513" s="125" t="s">
        <v>4471</v>
      </c>
      <c r="U513" s="11">
        <v>195.0</v>
      </c>
    </row>
    <row r="514" hidden="1">
      <c r="A514" s="117" t="s">
        <v>4472</v>
      </c>
      <c r="B514" s="117">
        <v>7040.0</v>
      </c>
      <c r="C514" s="136" t="s">
        <v>8991</v>
      </c>
      <c r="D514" s="179">
        <v>0.73</v>
      </c>
      <c r="E514" s="179">
        <v>0.73</v>
      </c>
      <c r="F514" s="430"/>
      <c r="T514" s="11" t="s">
        <v>4472</v>
      </c>
      <c r="U514" s="11">
        <v>7040.0</v>
      </c>
    </row>
    <row r="515" hidden="1">
      <c r="A515" s="123" t="s">
        <v>4473</v>
      </c>
      <c r="B515" s="122">
        <v>6802.0</v>
      </c>
      <c r="C515" s="136" t="s">
        <v>8991</v>
      </c>
      <c r="D515" s="179">
        <v>0.73</v>
      </c>
      <c r="E515" s="179">
        <v>0.73</v>
      </c>
      <c r="F515" s="430"/>
      <c r="T515" s="125" t="s">
        <v>4473</v>
      </c>
      <c r="U515" s="122">
        <v>6802.0</v>
      </c>
    </row>
    <row r="516" hidden="1">
      <c r="A516" s="123" t="s">
        <v>4474</v>
      </c>
      <c r="B516" s="117">
        <v>5389.0</v>
      </c>
      <c r="C516" s="136" t="s">
        <v>8991</v>
      </c>
      <c r="D516" s="179">
        <v>0.73</v>
      </c>
      <c r="E516" s="179">
        <v>0.73</v>
      </c>
      <c r="F516" s="430"/>
      <c r="T516" s="125" t="s">
        <v>4474</v>
      </c>
      <c r="U516" s="11">
        <v>5389.0</v>
      </c>
    </row>
    <row r="517" hidden="1">
      <c r="A517" s="117" t="s">
        <v>4399</v>
      </c>
      <c r="B517" s="131">
        <v>7186.0</v>
      </c>
      <c r="C517" s="136" t="s">
        <v>8991</v>
      </c>
      <c r="D517" s="179">
        <v>0.73</v>
      </c>
      <c r="E517" s="179">
        <v>0.73</v>
      </c>
      <c r="F517" s="430"/>
      <c r="T517" s="11" t="s">
        <v>4399</v>
      </c>
      <c r="U517" s="158">
        <v>7186.0</v>
      </c>
    </row>
    <row r="518" hidden="1">
      <c r="A518" s="123" t="s">
        <v>4400</v>
      </c>
      <c r="B518" s="117">
        <v>6675.0</v>
      </c>
      <c r="C518" s="136" t="s">
        <v>8991</v>
      </c>
      <c r="D518" s="74">
        <v>0.9</v>
      </c>
      <c r="E518" s="74">
        <v>0.9</v>
      </c>
      <c r="F518" s="430"/>
      <c r="T518" s="125" t="s">
        <v>4400</v>
      </c>
      <c r="U518" s="11">
        <v>6675.0</v>
      </c>
    </row>
    <row r="519" hidden="1">
      <c r="A519" s="117" t="s">
        <v>4401</v>
      </c>
      <c r="B519" s="117">
        <v>6675.0</v>
      </c>
      <c r="C519" s="136" t="s">
        <v>8991</v>
      </c>
      <c r="D519" s="74">
        <v>0.9</v>
      </c>
      <c r="E519" s="74">
        <v>0.9</v>
      </c>
      <c r="F519" s="430"/>
      <c r="T519" s="11" t="s">
        <v>4401</v>
      </c>
      <c r="U519" s="11">
        <v>6675.0</v>
      </c>
    </row>
    <row r="520" hidden="1">
      <c r="A520" s="123" t="s">
        <v>4402</v>
      </c>
      <c r="B520" s="117">
        <v>6675.0</v>
      </c>
      <c r="C520" s="136" t="s">
        <v>8991</v>
      </c>
      <c r="D520" s="74">
        <v>0.9</v>
      </c>
      <c r="E520" s="74">
        <v>0.9</v>
      </c>
      <c r="F520" s="430"/>
      <c r="T520" s="125" t="s">
        <v>4402</v>
      </c>
      <c r="U520" s="11">
        <v>6675.0</v>
      </c>
    </row>
    <row r="521" hidden="1">
      <c r="A521" s="123" t="s">
        <v>4403</v>
      </c>
      <c r="B521" s="117">
        <v>6906.0</v>
      </c>
      <c r="C521" s="136" t="s">
        <v>8991</v>
      </c>
      <c r="D521" s="179">
        <v>0.73</v>
      </c>
      <c r="E521" s="179">
        <v>0.73</v>
      </c>
      <c r="F521" s="430"/>
      <c r="T521" s="125" t="s">
        <v>4403</v>
      </c>
      <c r="U521" s="11">
        <v>6906.0</v>
      </c>
    </row>
    <row r="522" hidden="1">
      <c r="A522" s="117" t="s">
        <v>4404</v>
      </c>
      <c r="B522" s="117">
        <v>6928.0</v>
      </c>
      <c r="C522" s="136" t="s">
        <v>8991</v>
      </c>
      <c r="D522" s="179">
        <v>0.73</v>
      </c>
      <c r="E522" s="179">
        <v>0.73</v>
      </c>
      <c r="F522" s="430"/>
      <c r="T522" s="11" t="s">
        <v>4404</v>
      </c>
      <c r="U522" s="11">
        <v>6928.0</v>
      </c>
    </row>
    <row r="523" hidden="1">
      <c r="A523" s="123" t="s">
        <v>4405</v>
      </c>
      <c r="B523" s="117">
        <v>6998.0</v>
      </c>
      <c r="C523" s="136" t="s">
        <v>8991</v>
      </c>
      <c r="D523" s="179">
        <v>0.73</v>
      </c>
      <c r="E523" s="179">
        <v>0.73</v>
      </c>
      <c r="F523" s="430"/>
      <c r="T523" s="125" t="s">
        <v>4405</v>
      </c>
      <c r="U523" s="11">
        <v>6998.0</v>
      </c>
    </row>
    <row r="524" hidden="1">
      <c r="A524" s="117" t="s">
        <v>4406</v>
      </c>
      <c r="B524" s="117">
        <v>7129.0</v>
      </c>
      <c r="C524" s="136" t="s">
        <v>8991</v>
      </c>
      <c r="D524" s="179">
        <v>0.73</v>
      </c>
      <c r="E524" s="179">
        <v>0.73</v>
      </c>
      <c r="F524" s="430"/>
      <c r="T524" s="11" t="s">
        <v>4406</v>
      </c>
      <c r="U524" s="11">
        <v>7129.0</v>
      </c>
    </row>
    <row r="525" hidden="1">
      <c r="A525" s="123" t="s">
        <v>4407</v>
      </c>
      <c r="B525" s="117">
        <v>7099.0</v>
      </c>
      <c r="C525" s="136" t="s">
        <v>8991</v>
      </c>
      <c r="D525" s="179">
        <v>0.73</v>
      </c>
      <c r="E525" s="179">
        <v>0.73</v>
      </c>
      <c r="F525" s="430"/>
      <c r="T525" s="125" t="s">
        <v>4407</v>
      </c>
      <c r="U525" s="11">
        <v>7099.0</v>
      </c>
    </row>
    <row r="526" hidden="1">
      <c r="A526" s="123" t="s">
        <v>4408</v>
      </c>
      <c r="B526" s="117">
        <v>7147.0</v>
      </c>
      <c r="C526" s="136" t="s">
        <v>8991</v>
      </c>
      <c r="D526" s="179">
        <v>0.73</v>
      </c>
      <c r="E526" s="179">
        <v>0.73</v>
      </c>
      <c r="F526" s="430"/>
      <c r="T526" s="125" t="s">
        <v>4408</v>
      </c>
      <c r="U526" s="11">
        <v>7147.0</v>
      </c>
    </row>
    <row r="527" hidden="1">
      <c r="A527" s="117" t="s">
        <v>4409</v>
      </c>
      <c r="B527" s="117">
        <v>7105.0</v>
      </c>
      <c r="C527" s="136" t="s">
        <v>8991</v>
      </c>
      <c r="D527" s="179">
        <v>0.73</v>
      </c>
      <c r="E527" s="179">
        <v>0.73</v>
      </c>
      <c r="F527" s="430"/>
      <c r="T527" s="11" t="s">
        <v>4409</v>
      </c>
      <c r="U527" s="11">
        <v>7105.0</v>
      </c>
    </row>
    <row r="528" hidden="1">
      <c r="A528" s="123" t="s">
        <v>4410</v>
      </c>
      <c r="B528" s="437">
        <v>6802.0</v>
      </c>
      <c r="C528" s="136" t="s">
        <v>8991</v>
      </c>
      <c r="D528" s="179">
        <v>0.73</v>
      </c>
      <c r="E528" s="179">
        <v>0.73</v>
      </c>
      <c r="F528" s="430"/>
      <c r="T528" s="125" t="s">
        <v>4410</v>
      </c>
      <c r="U528" s="366">
        <v>6802.0</v>
      </c>
    </row>
    <row r="529" hidden="1">
      <c r="A529" s="117" t="s">
        <v>4411</v>
      </c>
      <c r="B529" s="117">
        <v>7158.0</v>
      </c>
      <c r="C529" s="136" t="s">
        <v>8991</v>
      </c>
      <c r="D529" s="179">
        <v>0.73</v>
      </c>
      <c r="E529" s="179">
        <v>0.73</v>
      </c>
      <c r="F529" s="430"/>
      <c r="T529" s="11" t="s">
        <v>4411</v>
      </c>
      <c r="U529" s="11">
        <v>7158.0</v>
      </c>
    </row>
    <row r="530" hidden="1">
      <c r="A530" s="123" t="s">
        <v>4412</v>
      </c>
      <c r="B530" s="117">
        <v>7036.0</v>
      </c>
      <c r="C530" s="136" t="s">
        <v>8991</v>
      </c>
      <c r="D530" s="179">
        <v>0.82</v>
      </c>
      <c r="E530" s="179">
        <v>0.82</v>
      </c>
      <c r="F530" s="430"/>
      <c r="T530" s="434" t="s">
        <v>4412</v>
      </c>
      <c r="U530" s="11">
        <v>7036.0</v>
      </c>
    </row>
    <row r="531" hidden="1">
      <c r="A531" s="123" t="s">
        <v>4413</v>
      </c>
      <c r="B531" s="117">
        <v>7036.0</v>
      </c>
      <c r="C531" s="136" t="s">
        <v>8991</v>
      </c>
      <c r="D531" s="179">
        <v>0.82</v>
      </c>
      <c r="E531" s="179">
        <v>0.82</v>
      </c>
      <c r="F531" s="430"/>
      <c r="T531" s="434" t="s">
        <v>4413</v>
      </c>
      <c r="U531" s="11">
        <v>7036.0</v>
      </c>
    </row>
    <row r="532" hidden="1">
      <c r="A532" s="117" t="s">
        <v>4414</v>
      </c>
      <c r="B532" s="117">
        <v>7036.0</v>
      </c>
      <c r="C532" s="136" t="s">
        <v>8991</v>
      </c>
      <c r="D532" s="179">
        <v>0.82</v>
      </c>
      <c r="E532" s="179">
        <v>0.82</v>
      </c>
      <c r="F532" s="430"/>
      <c r="T532" s="11" t="s">
        <v>4414</v>
      </c>
      <c r="U532" s="11">
        <v>7036.0</v>
      </c>
    </row>
    <row r="533" hidden="1">
      <c r="A533" s="123" t="s">
        <v>4415</v>
      </c>
      <c r="B533" s="117" t="s">
        <v>6157</v>
      </c>
      <c r="C533" s="136" t="s">
        <v>8991</v>
      </c>
      <c r="D533" s="179">
        <v>0.73</v>
      </c>
      <c r="E533" s="179">
        <v>0.73</v>
      </c>
      <c r="F533" s="430"/>
      <c r="T533" s="438" t="s">
        <v>4415</v>
      </c>
      <c r="V533" s="11">
        <v>7036.0</v>
      </c>
    </row>
    <row r="534" hidden="1">
      <c r="A534" s="117" t="s">
        <v>4416</v>
      </c>
      <c r="B534" s="117" t="s">
        <v>6157</v>
      </c>
      <c r="C534" s="136" t="s">
        <v>8991</v>
      </c>
      <c r="D534" s="179">
        <v>0.73</v>
      </c>
      <c r="E534" s="179">
        <v>0.73</v>
      </c>
      <c r="F534" s="430"/>
      <c r="T534" s="192" t="s">
        <v>4416</v>
      </c>
      <c r="V534" s="11">
        <v>7036.0</v>
      </c>
    </row>
    <row r="535" hidden="1">
      <c r="A535" s="123" t="s">
        <v>4417</v>
      </c>
      <c r="B535" s="117">
        <v>7036.0</v>
      </c>
      <c r="C535" s="136" t="s">
        <v>8991</v>
      </c>
      <c r="D535" s="179">
        <v>0.82</v>
      </c>
      <c r="E535" s="179">
        <v>0.82</v>
      </c>
      <c r="F535" s="430"/>
      <c r="T535" s="434" t="s">
        <v>4417</v>
      </c>
      <c r="U535" s="11">
        <v>7036.0</v>
      </c>
    </row>
    <row r="536" hidden="1">
      <c r="A536" s="123" t="s">
        <v>4418</v>
      </c>
      <c r="B536" s="117" t="s">
        <v>6157</v>
      </c>
      <c r="C536" s="136" t="s">
        <v>8991</v>
      </c>
      <c r="D536" s="179">
        <v>0.73</v>
      </c>
      <c r="E536" s="179">
        <v>0.73</v>
      </c>
      <c r="F536" s="430"/>
      <c r="T536" s="438" t="s">
        <v>4418</v>
      </c>
      <c r="V536" s="11">
        <v>7036.0</v>
      </c>
    </row>
    <row r="537" hidden="1">
      <c r="A537" s="117" t="s">
        <v>4419</v>
      </c>
      <c r="B537" s="117">
        <v>7036.0</v>
      </c>
      <c r="C537" s="136" t="s">
        <v>8991</v>
      </c>
      <c r="D537" s="179">
        <v>0.82</v>
      </c>
      <c r="E537" s="179">
        <v>0.82</v>
      </c>
      <c r="F537" s="430"/>
      <c r="T537" s="314" t="s">
        <v>4419</v>
      </c>
      <c r="U537" s="11">
        <v>7036.0</v>
      </c>
    </row>
    <row r="538" hidden="1">
      <c r="A538" s="123" t="s">
        <v>4420</v>
      </c>
      <c r="B538" s="117">
        <v>7036.0</v>
      </c>
      <c r="C538" s="136" t="s">
        <v>8991</v>
      </c>
      <c r="D538" s="179">
        <v>0.82</v>
      </c>
      <c r="E538" s="179">
        <v>0.82</v>
      </c>
      <c r="F538" s="430"/>
      <c r="T538" s="125" t="s">
        <v>4420</v>
      </c>
      <c r="U538" s="11">
        <v>7036.0</v>
      </c>
    </row>
    <row r="539" hidden="1">
      <c r="A539" s="117" t="s">
        <v>4421</v>
      </c>
      <c r="B539" s="117">
        <v>7036.0</v>
      </c>
      <c r="C539" s="136" t="s">
        <v>8991</v>
      </c>
      <c r="D539" s="179">
        <v>0.82</v>
      </c>
      <c r="E539" s="179">
        <v>0.82</v>
      </c>
      <c r="F539" s="430"/>
      <c r="T539" s="11" t="s">
        <v>4421</v>
      </c>
      <c r="U539" s="11">
        <v>7036.0</v>
      </c>
    </row>
    <row r="540" hidden="1">
      <c r="A540" s="123" t="s">
        <v>4422</v>
      </c>
      <c r="B540" s="117">
        <v>7055.0</v>
      </c>
      <c r="C540" s="136" t="s">
        <v>8991</v>
      </c>
      <c r="D540" s="179">
        <v>0.73</v>
      </c>
      <c r="E540" s="179">
        <v>0.73</v>
      </c>
      <c r="F540" s="430"/>
      <c r="T540" s="125" t="s">
        <v>4422</v>
      </c>
      <c r="U540" s="11">
        <v>7055.0</v>
      </c>
    </row>
    <row r="541" hidden="1">
      <c r="A541" s="123" t="s">
        <v>4423</v>
      </c>
      <c r="B541" s="117">
        <v>7055.0</v>
      </c>
      <c r="C541" s="136" t="s">
        <v>8991</v>
      </c>
      <c r="D541" s="179">
        <v>0.73</v>
      </c>
      <c r="E541" s="179">
        <v>0.73</v>
      </c>
      <c r="F541" s="430"/>
      <c r="T541" s="434" t="s">
        <v>4423</v>
      </c>
      <c r="U541" s="11">
        <v>7055.0</v>
      </c>
    </row>
    <row r="542" hidden="1">
      <c r="A542" s="117" t="s">
        <v>4424</v>
      </c>
      <c r="B542" s="117">
        <v>6873.0</v>
      </c>
      <c r="C542" s="136" t="s">
        <v>8991</v>
      </c>
      <c r="D542" s="179">
        <v>0.73</v>
      </c>
      <c r="E542" s="179">
        <v>0.73</v>
      </c>
      <c r="F542" s="430"/>
      <c r="T542" s="11" t="s">
        <v>4424</v>
      </c>
      <c r="U542" s="11">
        <v>6873.0</v>
      </c>
      <c r="V542" s="11">
        <v>7055.0</v>
      </c>
    </row>
    <row r="543" hidden="1">
      <c r="A543" s="123" t="s">
        <v>4425</v>
      </c>
      <c r="B543" s="117">
        <v>7055.0</v>
      </c>
      <c r="C543" s="136" t="s">
        <v>8991</v>
      </c>
      <c r="D543" s="179">
        <v>0.73</v>
      </c>
      <c r="E543" s="179">
        <v>0.73</v>
      </c>
      <c r="F543" s="430"/>
      <c r="T543" s="125" t="s">
        <v>4425</v>
      </c>
      <c r="U543" s="11">
        <v>7055.0</v>
      </c>
    </row>
    <row r="544" hidden="1">
      <c r="A544" s="117" t="s">
        <v>4426</v>
      </c>
      <c r="B544" s="117">
        <v>6718.0</v>
      </c>
      <c r="C544" s="136" t="s">
        <v>8991</v>
      </c>
      <c r="D544" s="179">
        <v>0.73</v>
      </c>
      <c r="E544" s="179">
        <v>0.73</v>
      </c>
      <c r="F544" s="430"/>
      <c r="T544" s="11" t="s">
        <v>4426</v>
      </c>
      <c r="U544" s="11">
        <v>6718.0</v>
      </c>
      <c r="V544" s="11">
        <v>7055.0</v>
      </c>
    </row>
    <row r="545" hidden="1">
      <c r="A545" s="123" t="s">
        <v>4427</v>
      </c>
      <c r="B545" s="117">
        <v>195.0</v>
      </c>
      <c r="C545" s="136" t="s">
        <v>8991</v>
      </c>
      <c r="D545" s="179">
        <v>0.73</v>
      </c>
      <c r="E545" s="179">
        <v>0.73</v>
      </c>
      <c r="F545" s="430"/>
      <c r="T545" s="125" t="s">
        <v>4427</v>
      </c>
      <c r="U545" s="11">
        <v>195.0</v>
      </c>
    </row>
    <row r="546" hidden="1">
      <c r="A546" s="123" t="s">
        <v>4428</v>
      </c>
      <c r="B546" s="117">
        <v>7157.0</v>
      </c>
      <c r="C546" s="136" t="s">
        <v>8991</v>
      </c>
      <c r="D546" s="179">
        <v>0.73</v>
      </c>
      <c r="E546" s="179">
        <v>0.73</v>
      </c>
      <c r="F546" s="430"/>
      <c r="T546" s="125" t="s">
        <v>4428</v>
      </c>
      <c r="U546" s="11">
        <v>7157.0</v>
      </c>
    </row>
    <row r="547" hidden="1">
      <c r="A547" s="117" t="s">
        <v>4429</v>
      </c>
      <c r="B547" s="117">
        <v>6774.0</v>
      </c>
      <c r="C547" s="136" t="s">
        <v>8991</v>
      </c>
      <c r="D547" s="179">
        <v>0.73</v>
      </c>
      <c r="E547" s="179">
        <v>0.73</v>
      </c>
      <c r="F547" s="430"/>
      <c r="T547" s="11" t="s">
        <v>4429</v>
      </c>
      <c r="U547" s="11">
        <v>6774.0</v>
      </c>
    </row>
    <row r="548" hidden="1">
      <c r="A548" s="123" t="s">
        <v>4430</v>
      </c>
      <c r="B548" s="122">
        <v>6780.0</v>
      </c>
      <c r="C548" s="136" t="s">
        <v>8991</v>
      </c>
      <c r="D548" s="179">
        <v>0.73</v>
      </c>
      <c r="E548" s="179">
        <v>0.73</v>
      </c>
      <c r="F548" s="430"/>
      <c r="T548" s="125" t="s">
        <v>4430</v>
      </c>
      <c r="U548" s="122">
        <v>6780.0</v>
      </c>
    </row>
    <row r="549" hidden="1">
      <c r="A549" s="117" t="s">
        <v>4431</v>
      </c>
      <c r="B549" s="117">
        <v>189.0</v>
      </c>
      <c r="C549" s="136" t="s">
        <v>8991</v>
      </c>
      <c r="D549" s="179">
        <v>0.82</v>
      </c>
      <c r="E549" s="179">
        <v>0.82</v>
      </c>
      <c r="F549" s="430"/>
      <c r="T549" s="11" t="s">
        <v>4431</v>
      </c>
      <c r="U549" s="11">
        <v>189.0</v>
      </c>
    </row>
    <row r="550" hidden="1">
      <c r="A550" s="123" t="s">
        <v>4432</v>
      </c>
      <c r="B550" s="117">
        <v>189.0</v>
      </c>
      <c r="C550" s="136" t="s">
        <v>8991</v>
      </c>
      <c r="D550" s="179">
        <v>0.82</v>
      </c>
      <c r="E550" s="179">
        <v>0.82</v>
      </c>
      <c r="F550" s="430"/>
      <c r="T550" s="125" t="s">
        <v>4432</v>
      </c>
      <c r="U550" s="11">
        <v>189.0</v>
      </c>
    </row>
    <row r="551" hidden="1">
      <c r="A551" s="123" t="s">
        <v>4433</v>
      </c>
      <c r="B551" s="117">
        <v>189.0</v>
      </c>
      <c r="C551" s="136" t="s">
        <v>8991</v>
      </c>
      <c r="D551" s="179">
        <v>0.82</v>
      </c>
      <c r="E551" s="179">
        <v>0.82</v>
      </c>
      <c r="F551" s="430"/>
      <c r="T551" s="125" t="s">
        <v>4433</v>
      </c>
      <c r="U551" s="11">
        <v>189.0</v>
      </c>
    </row>
    <row r="552" hidden="1">
      <c r="A552" s="117" t="s">
        <v>4434</v>
      </c>
      <c r="B552" s="117">
        <v>7104.0</v>
      </c>
      <c r="C552" s="136" t="s">
        <v>8991</v>
      </c>
      <c r="D552" s="179">
        <v>0.73</v>
      </c>
      <c r="E552" s="179">
        <v>0.73</v>
      </c>
      <c r="F552" s="430"/>
      <c r="T552" s="11" t="s">
        <v>4434</v>
      </c>
      <c r="U552" s="11">
        <v>7104.0</v>
      </c>
    </row>
    <row r="553" hidden="1">
      <c r="A553" s="123" t="s">
        <v>4435</v>
      </c>
      <c r="B553" s="117">
        <v>7113.0</v>
      </c>
      <c r="C553" s="136" t="s">
        <v>8991</v>
      </c>
      <c r="D553" s="179">
        <v>0.73</v>
      </c>
      <c r="E553" s="179">
        <v>0.73</v>
      </c>
      <c r="F553" s="430"/>
      <c r="T553" s="125" t="s">
        <v>4435</v>
      </c>
      <c r="U553" s="11">
        <v>7113.0</v>
      </c>
    </row>
    <row r="554" hidden="1">
      <c r="A554" s="117" t="s">
        <v>4436</v>
      </c>
      <c r="B554" s="117">
        <v>7124.0</v>
      </c>
      <c r="C554" s="136" t="s">
        <v>8991</v>
      </c>
      <c r="D554" s="179">
        <v>0.73</v>
      </c>
      <c r="E554" s="179">
        <v>0.73</v>
      </c>
      <c r="F554" s="430"/>
      <c r="T554" s="11" t="s">
        <v>4436</v>
      </c>
      <c r="U554" s="11">
        <v>7124.0</v>
      </c>
    </row>
    <row r="555" hidden="1">
      <c r="A555" s="123" t="s">
        <v>4437</v>
      </c>
      <c r="B555" s="117">
        <v>930.0</v>
      </c>
      <c r="C555" s="136" t="s">
        <v>8991</v>
      </c>
      <c r="D555" s="179">
        <v>0.73</v>
      </c>
      <c r="E555" s="179">
        <v>0.73</v>
      </c>
      <c r="F555" s="430"/>
      <c r="T555" s="125" t="s">
        <v>4437</v>
      </c>
      <c r="U555" s="11">
        <v>930.0</v>
      </c>
    </row>
    <row r="556" hidden="1">
      <c r="A556" s="123" t="s">
        <v>4438</v>
      </c>
      <c r="B556" s="117">
        <v>6893.0</v>
      </c>
      <c r="C556" s="136" t="s">
        <v>8991</v>
      </c>
      <c r="D556" s="179">
        <v>0.73</v>
      </c>
      <c r="E556" s="179">
        <v>0.73</v>
      </c>
      <c r="F556" s="430"/>
      <c r="T556" s="125" t="s">
        <v>4438</v>
      </c>
      <c r="U556" s="11">
        <v>6893.0</v>
      </c>
    </row>
    <row r="557" hidden="1">
      <c r="A557" s="117" t="s">
        <v>4439</v>
      </c>
      <c r="B557" s="117">
        <v>6893.0</v>
      </c>
      <c r="C557" s="136" t="s">
        <v>8991</v>
      </c>
      <c r="D557" s="179">
        <v>0.73</v>
      </c>
      <c r="E557" s="179">
        <v>0.73</v>
      </c>
      <c r="F557" s="430"/>
      <c r="T557" s="11" t="s">
        <v>4439</v>
      </c>
      <c r="U557" s="11">
        <v>6893.0</v>
      </c>
    </row>
    <row r="558" hidden="1">
      <c r="A558" s="123" t="s">
        <v>4440</v>
      </c>
      <c r="B558" s="117">
        <v>6729.0</v>
      </c>
      <c r="C558" s="136" t="s">
        <v>8991</v>
      </c>
      <c r="D558" s="179">
        <v>0.82</v>
      </c>
      <c r="E558" s="179">
        <v>0.82</v>
      </c>
      <c r="F558" s="430"/>
      <c r="T558" s="125" t="s">
        <v>4440</v>
      </c>
      <c r="U558" s="11">
        <v>6729.0</v>
      </c>
      <c r="V558" s="11">
        <v>7055.0</v>
      </c>
    </row>
    <row r="559" hidden="1">
      <c r="A559" s="117" t="s">
        <v>4441</v>
      </c>
      <c r="B559" s="117">
        <v>5125.0</v>
      </c>
      <c r="C559" s="136" t="s">
        <v>8991</v>
      </c>
      <c r="D559" s="179">
        <v>0.73</v>
      </c>
      <c r="E559" s="179">
        <v>0.73</v>
      </c>
      <c r="F559" s="430"/>
      <c r="T559" s="314" t="s">
        <v>4441</v>
      </c>
      <c r="U559" s="11">
        <v>5125.0</v>
      </c>
    </row>
    <row r="560" hidden="1">
      <c r="A560" s="123" t="s">
        <v>4442</v>
      </c>
      <c r="B560" s="117">
        <v>6903.0</v>
      </c>
      <c r="C560" s="136" t="s">
        <v>8991</v>
      </c>
      <c r="D560" s="179">
        <v>0.73</v>
      </c>
      <c r="E560" s="179">
        <v>0.73</v>
      </c>
      <c r="F560" s="430"/>
      <c r="T560" s="125" t="s">
        <v>4442</v>
      </c>
      <c r="U560" s="11">
        <v>6903.0</v>
      </c>
    </row>
    <row r="561" hidden="1">
      <c r="A561" s="123" t="s">
        <v>4443</v>
      </c>
      <c r="B561" s="117">
        <v>7105.0</v>
      </c>
      <c r="C561" s="136" t="s">
        <v>8991</v>
      </c>
      <c r="D561" s="179">
        <v>0.73</v>
      </c>
      <c r="E561" s="179">
        <v>0.73</v>
      </c>
      <c r="F561" s="430"/>
      <c r="T561" s="125" t="s">
        <v>4443</v>
      </c>
      <c r="U561" s="11">
        <v>7105.0</v>
      </c>
    </row>
    <row r="562" hidden="1">
      <c r="A562" s="117" t="s">
        <v>4444</v>
      </c>
      <c r="B562" s="117">
        <v>7168.0</v>
      </c>
      <c r="C562" s="136" t="s">
        <v>8991</v>
      </c>
      <c r="D562" s="179">
        <v>0.73</v>
      </c>
      <c r="E562" s="179">
        <v>0.73</v>
      </c>
      <c r="F562" s="430"/>
      <c r="T562" s="11" t="s">
        <v>4444</v>
      </c>
      <c r="U562" s="11">
        <v>7168.0</v>
      </c>
      <c r="V562" s="11">
        <v>7098.0</v>
      </c>
    </row>
    <row r="563" hidden="1">
      <c r="A563" s="123" t="s">
        <v>4445</v>
      </c>
      <c r="B563" s="117">
        <v>7168.0</v>
      </c>
      <c r="C563" s="136" t="s">
        <v>8991</v>
      </c>
      <c r="D563" s="179">
        <v>0.73</v>
      </c>
      <c r="E563" s="179">
        <v>0.73</v>
      </c>
      <c r="F563" s="430"/>
      <c r="T563" s="125" t="s">
        <v>4445</v>
      </c>
      <c r="U563" s="11">
        <v>7168.0</v>
      </c>
      <c r="V563" s="11">
        <v>7098.0</v>
      </c>
    </row>
    <row r="564" hidden="1">
      <c r="A564" s="117" t="s">
        <v>4446</v>
      </c>
      <c r="B564" s="117">
        <v>7036.0</v>
      </c>
      <c r="C564" s="136" t="s">
        <v>8991</v>
      </c>
      <c r="D564" s="179">
        <v>0.82</v>
      </c>
      <c r="E564" s="179">
        <v>0.82</v>
      </c>
      <c r="F564" s="430"/>
      <c r="T564" s="11" t="s">
        <v>4446</v>
      </c>
      <c r="U564" s="11">
        <v>7036.0</v>
      </c>
    </row>
    <row r="565" hidden="1">
      <c r="A565" s="123" t="s">
        <v>4447</v>
      </c>
      <c r="B565" s="196">
        <v>7847.0</v>
      </c>
      <c r="C565" s="136" t="s">
        <v>8991</v>
      </c>
      <c r="D565" s="179">
        <v>0.73</v>
      </c>
      <c r="E565" s="179">
        <v>0.73</v>
      </c>
      <c r="F565" s="430"/>
      <c r="T565" s="125" t="s">
        <v>4447</v>
      </c>
      <c r="U565" s="196">
        <v>7847.0</v>
      </c>
      <c r="V565" s="11">
        <v>136.0</v>
      </c>
    </row>
    <row r="566" hidden="1">
      <c r="A566" s="123" t="s">
        <v>4448</v>
      </c>
      <c r="B566" s="289">
        <v>7083.0</v>
      </c>
      <c r="C566" s="136" t="s">
        <v>8991</v>
      </c>
      <c r="D566" s="179">
        <v>0.73</v>
      </c>
      <c r="E566" s="179">
        <v>0.73</v>
      </c>
      <c r="F566" s="430"/>
      <c r="T566" s="125" t="s">
        <v>4448</v>
      </c>
      <c r="U566" s="11">
        <v>7083.0</v>
      </c>
    </row>
    <row r="567" hidden="1">
      <c r="A567" s="117" t="s">
        <v>4449</v>
      </c>
      <c r="B567" s="117">
        <v>6827.0</v>
      </c>
      <c r="C567" s="136" t="s">
        <v>8991</v>
      </c>
      <c r="D567" s="179">
        <v>0.73</v>
      </c>
      <c r="E567" s="179">
        <v>0.73</v>
      </c>
      <c r="F567" s="430"/>
      <c r="T567" s="11" t="s">
        <v>4449</v>
      </c>
      <c r="U567" s="11">
        <v>6827.0</v>
      </c>
    </row>
    <row r="568" hidden="1">
      <c r="A568" s="123" t="s">
        <v>4450</v>
      </c>
      <c r="B568" s="117">
        <v>6965.0</v>
      </c>
      <c r="C568" s="136" t="s">
        <v>8991</v>
      </c>
      <c r="D568" s="179">
        <v>0.73</v>
      </c>
      <c r="E568" s="179">
        <v>0.73</v>
      </c>
      <c r="F568" s="430"/>
      <c r="T568" s="125" t="s">
        <v>4450</v>
      </c>
      <c r="U568" s="11">
        <v>6965.0</v>
      </c>
    </row>
    <row r="569" hidden="1">
      <c r="A569" s="117" t="s">
        <v>4451</v>
      </c>
      <c r="B569" s="117">
        <v>6722.0</v>
      </c>
      <c r="C569" s="136" t="s">
        <v>8991</v>
      </c>
      <c r="D569" s="179">
        <v>0.73</v>
      </c>
      <c r="E569" s="179">
        <v>0.73</v>
      </c>
      <c r="F569" s="430"/>
      <c r="T569" s="11" t="s">
        <v>4451</v>
      </c>
      <c r="U569" s="11">
        <v>6722.0</v>
      </c>
    </row>
    <row r="570" hidden="1">
      <c r="A570" s="123" t="s">
        <v>4452</v>
      </c>
      <c r="B570" s="117">
        <v>7246.0</v>
      </c>
      <c r="C570" s="136" t="s">
        <v>8991</v>
      </c>
      <c r="D570" s="179">
        <v>0.73</v>
      </c>
      <c r="E570" s="179">
        <v>0.73</v>
      </c>
      <c r="F570" s="430"/>
      <c r="T570" s="125" t="s">
        <v>4452</v>
      </c>
      <c r="U570" s="11">
        <v>7246.0</v>
      </c>
    </row>
    <row r="571" hidden="1">
      <c r="A571" s="123" t="s">
        <v>1956</v>
      </c>
      <c r="B571" s="117">
        <v>7055.0</v>
      </c>
      <c r="C571" s="136" t="s">
        <v>8991</v>
      </c>
      <c r="D571" s="179">
        <v>0.73</v>
      </c>
      <c r="E571" s="179">
        <v>0.73</v>
      </c>
      <c r="F571" s="430"/>
      <c r="T571" s="125" t="s">
        <v>1956</v>
      </c>
      <c r="U571" s="11">
        <v>7055.0</v>
      </c>
    </row>
    <row r="572" hidden="1">
      <c r="A572" s="117" t="s">
        <v>1959</v>
      </c>
      <c r="B572" s="117">
        <v>7132.0</v>
      </c>
      <c r="C572" s="136" t="s">
        <v>8991</v>
      </c>
      <c r="D572" s="179">
        <v>0.73</v>
      </c>
      <c r="E572" s="179">
        <v>0.73</v>
      </c>
      <c r="F572" s="430"/>
      <c r="T572" s="11" t="s">
        <v>1959</v>
      </c>
      <c r="U572" s="11">
        <v>7132.0</v>
      </c>
    </row>
    <row r="573" hidden="1">
      <c r="A573" s="117" t="s">
        <v>9462</v>
      </c>
      <c r="B573" s="117">
        <v>6893.0</v>
      </c>
      <c r="C573" s="136" t="s">
        <v>8991</v>
      </c>
      <c r="D573" s="179">
        <v>0.73</v>
      </c>
      <c r="E573" s="179">
        <v>0.73</v>
      </c>
      <c r="F573" s="430"/>
      <c r="T573" s="11" t="s">
        <v>9462</v>
      </c>
      <c r="U573" s="11">
        <v>6893.0</v>
      </c>
    </row>
    <row r="574" hidden="1">
      <c r="A574" s="117" t="s">
        <v>2011</v>
      </c>
      <c r="B574" s="117">
        <v>3689.0</v>
      </c>
      <c r="C574" s="136" t="s">
        <v>8991</v>
      </c>
      <c r="D574" s="179">
        <v>0.73</v>
      </c>
      <c r="E574" s="179">
        <v>0.73</v>
      </c>
      <c r="F574" s="430"/>
      <c r="T574" s="279" t="s">
        <v>9446</v>
      </c>
      <c r="U574" s="279">
        <v>7036.0</v>
      </c>
      <c r="V574" s="439"/>
    </row>
    <row r="575" hidden="1">
      <c r="A575" s="440" t="s">
        <v>1738</v>
      </c>
      <c r="B575" s="441"/>
      <c r="C575" s="136" t="s">
        <v>8991</v>
      </c>
      <c r="D575" s="179">
        <v>0.73</v>
      </c>
      <c r="E575" s="179">
        <v>0.73</v>
      </c>
      <c r="F575" s="430"/>
      <c r="T575" s="279" t="s">
        <v>9447</v>
      </c>
      <c r="U575" s="279">
        <v>7036.0</v>
      </c>
    </row>
    <row r="576" hidden="1">
      <c r="A576" s="442" t="s">
        <v>1736</v>
      </c>
      <c r="B576" s="441"/>
      <c r="C576" s="136" t="s">
        <v>8991</v>
      </c>
      <c r="D576" s="179">
        <v>0.73</v>
      </c>
      <c r="E576" s="179">
        <v>0.73</v>
      </c>
      <c r="F576" s="430"/>
      <c r="T576" s="279" t="s">
        <v>9448</v>
      </c>
      <c r="U576" s="279">
        <v>7036.0</v>
      </c>
    </row>
    <row r="577" hidden="1">
      <c r="A577" s="442" t="s">
        <v>1739</v>
      </c>
      <c r="B577" s="441"/>
      <c r="C577" s="136" t="s">
        <v>8991</v>
      </c>
      <c r="D577" s="179">
        <v>0.73</v>
      </c>
      <c r="E577" s="179">
        <v>0.73</v>
      </c>
      <c r="F577" s="430"/>
      <c r="T577" s="279" t="s">
        <v>9449</v>
      </c>
      <c r="U577" s="279">
        <v>7036.0</v>
      </c>
    </row>
    <row r="578" hidden="1">
      <c r="A578" s="442" t="s">
        <v>1803</v>
      </c>
      <c r="B578" s="441"/>
      <c r="C578" s="136" t="s">
        <v>8991</v>
      </c>
      <c r="D578" s="179">
        <v>0.73</v>
      </c>
      <c r="E578" s="179">
        <v>0.73</v>
      </c>
      <c r="F578" s="430"/>
      <c r="T578" s="279" t="s">
        <v>9450</v>
      </c>
      <c r="U578" s="279">
        <v>7036.0</v>
      </c>
    </row>
    <row r="579" hidden="1">
      <c r="A579" s="442" t="s">
        <v>1805</v>
      </c>
      <c r="B579" s="442">
        <v>14298.0</v>
      </c>
      <c r="C579" s="136" t="s">
        <v>8991</v>
      </c>
      <c r="D579" s="74">
        <v>0.8</v>
      </c>
      <c r="E579" s="74">
        <v>0.8</v>
      </c>
      <c r="F579" s="430"/>
      <c r="G579" s="11" t="s">
        <v>9463</v>
      </c>
      <c r="T579" s="279" t="s">
        <v>9451</v>
      </c>
      <c r="U579" s="279">
        <v>7036.0</v>
      </c>
    </row>
    <row r="580" hidden="1">
      <c r="A580" s="442" t="s">
        <v>1789</v>
      </c>
      <c r="B580" s="442">
        <v>6947.0</v>
      </c>
      <c r="C580" s="136" t="s">
        <v>8991</v>
      </c>
      <c r="D580" s="179">
        <v>0.73</v>
      </c>
      <c r="E580" s="179">
        <v>0.73</v>
      </c>
      <c r="F580" s="430"/>
      <c r="T580" s="279" t="s">
        <v>9452</v>
      </c>
      <c r="U580" s="279">
        <v>7036.0</v>
      </c>
    </row>
    <row r="581" hidden="1">
      <c r="A581" s="442" t="s">
        <v>1790</v>
      </c>
      <c r="B581" s="441"/>
      <c r="C581" s="136" t="s">
        <v>8991</v>
      </c>
      <c r="D581" s="179">
        <v>0.73</v>
      </c>
      <c r="E581" s="179">
        <v>0.73</v>
      </c>
      <c r="F581" s="430"/>
      <c r="T581" s="279" t="s">
        <v>9453</v>
      </c>
      <c r="U581" s="279">
        <v>7036.0</v>
      </c>
    </row>
    <row r="582" hidden="1">
      <c r="A582" s="442" t="s">
        <v>1791</v>
      </c>
      <c r="B582" s="441"/>
      <c r="C582" s="136" t="s">
        <v>8991</v>
      </c>
      <c r="D582" s="179">
        <v>0.73</v>
      </c>
      <c r="E582" s="179">
        <v>0.73</v>
      </c>
      <c r="F582" s="430"/>
      <c r="T582" s="279" t="s">
        <v>9454</v>
      </c>
      <c r="U582" s="279">
        <v>7036.0</v>
      </c>
    </row>
    <row r="583" hidden="1">
      <c r="A583" s="442" t="s">
        <v>1792</v>
      </c>
      <c r="B583" s="441"/>
      <c r="C583" s="136" t="s">
        <v>8991</v>
      </c>
      <c r="D583" s="179">
        <v>0.73</v>
      </c>
      <c r="E583" s="179">
        <v>0.73</v>
      </c>
      <c r="F583" s="430"/>
      <c r="T583" s="279" t="s">
        <v>9455</v>
      </c>
      <c r="U583" s="280"/>
      <c r="W583" s="11">
        <v>7142.0</v>
      </c>
    </row>
    <row r="584" hidden="1">
      <c r="A584" s="442" t="s">
        <v>1811</v>
      </c>
      <c r="B584" s="441"/>
      <c r="C584" s="136" t="s">
        <v>8991</v>
      </c>
      <c r="D584" s="179">
        <v>0.73</v>
      </c>
      <c r="E584" s="179">
        <v>0.73</v>
      </c>
      <c r="F584" s="430"/>
      <c r="T584" s="279" t="s">
        <v>9456</v>
      </c>
      <c r="U584" s="280"/>
      <c r="W584" s="11">
        <v>7142.0</v>
      </c>
    </row>
    <row r="585" hidden="1">
      <c r="A585" s="283" t="s">
        <v>9464</v>
      </c>
      <c r="B585" s="443">
        <v>7010.0</v>
      </c>
      <c r="C585" s="136" t="s">
        <v>8991</v>
      </c>
      <c r="D585" s="179">
        <v>0.82</v>
      </c>
      <c r="E585" s="179">
        <v>0.82</v>
      </c>
      <c r="F585" s="430"/>
      <c r="T585" s="279" t="s">
        <v>9457</v>
      </c>
      <c r="W585" s="279">
        <v>189.0</v>
      </c>
    </row>
    <row r="586" hidden="1">
      <c r="A586" s="283" t="s">
        <v>9465</v>
      </c>
      <c r="B586" s="443"/>
      <c r="C586" s="136" t="s">
        <v>8991</v>
      </c>
      <c r="D586" s="179">
        <v>0.73</v>
      </c>
      <c r="E586" s="179">
        <v>0.73</v>
      </c>
      <c r="F586" s="430"/>
      <c r="T586" s="279" t="s">
        <v>9458</v>
      </c>
      <c r="W586" s="279">
        <v>189.0</v>
      </c>
    </row>
    <row r="587" hidden="1">
      <c r="A587" s="283" t="s">
        <v>9466</v>
      </c>
      <c r="B587" s="443"/>
      <c r="C587" s="136" t="s">
        <v>8991</v>
      </c>
      <c r="D587" s="179">
        <v>0.73</v>
      </c>
      <c r="E587" s="179">
        <v>0.73</v>
      </c>
      <c r="F587" s="430"/>
      <c r="T587" s="279" t="s">
        <v>9459</v>
      </c>
      <c r="U587" s="279">
        <v>6658.0</v>
      </c>
    </row>
    <row r="588" hidden="1">
      <c r="A588" s="283" t="s">
        <v>9467</v>
      </c>
      <c r="B588" s="443"/>
      <c r="C588" s="136" t="s">
        <v>8991</v>
      </c>
      <c r="D588" s="179">
        <v>0.73</v>
      </c>
      <c r="E588" s="179">
        <v>0.73</v>
      </c>
      <c r="F588" s="430"/>
      <c r="T588" s="279" t="s">
        <v>9460</v>
      </c>
      <c r="U588" s="279">
        <v>6658.0</v>
      </c>
    </row>
    <row r="589" hidden="1">
      <c r="A589" s="283" t="s">
        <v>9468</v>
      </c>
      <c r="B589" s="443"/>
      <c r="C589" s="136" t="s">
        <v>8991</v>
      </c>
      <c r="D589" s="179">
        <v>0.73</v>
      </c>
      <c r="E589" s="179">
        <v>0.73</v>
      </c>
      <c r="F589" s="430"/>
      <c r="T589" s="11" t="s">
        <v>2011</v>
      </c>
      <c r="U589" s="11">
        <v>3689.0</v>
      </c>
    </row>
    <row r="590" hidden="1">
      <c r="A590" s="283" t="s">
        <v>9469</v>
      </c>
      <c r="B590" s="443"/>
      <c r="C590" s="136" t="s">
        <v>8991</v>
      </c>
      <c r="D590" s="179">
        <v>0.73</v>
      </c>
      <c r="E590" s="179">
        <v>0.73</v>
      </c>
      <c r="F590" s="430"/>
      <c r="T590" s="444" t="s">
        <v>1738</v>
      </c>
      <c r="V590" s="35" t="s">
        <v>9470</v>
      </c>
    </row>
    <row r="591" hidden="1">
      <c r="A591" s="283" t="s">
        <v>9471</v>
      </c>
      <c r="B591" s="443"/>
      <c r="C591" s="136" t="s">
        <v>8991</v>
      </c>
      <c r="D591" s="179">
        <v>0.73</v>
      </c>
      <c r="E591" s="179">
        <v>0.73</v>
      </c>
      <c r="F591" s="430"/>
      <c r="T591" s="11" t="s">
        <v>1736</v>
      </c>
    </row>
    <row r="592" hidden="1">
      <c r="A592" s="283" t="s">
        <v>9472</v>
      </c>
      <c r="B592" s="443"/>
      <c r="C592" s="136" t="s">
        <v>8991</v>
      </c>
      <c r="D592" s="179">
        <v>0.73</v>
      </c>
      <c r="E592" s="179">
        <v>0.73</v>
      </c>
      <c r="F592" s="430"/>
      <c r="T592" s="11" t="s">
        <v>1739</v>
      </c>
    </row>
    <row r="593" hidden="1">
      <c r="A593" s="283" t="s">
        <v>9473</v>
      </c>
      <c r="B593" s="443">
        <v>14748.0</v>
      </c>
      <c r="C593" s="136" t="s">
        <v>8991</v>
      </c>
      <c r="D593" s="179">
        <v>0.73</v>
      </c>
      <c r="E593" s="179">
        <v>0.73</v>
      </c>
      <c r="F593" s="430"/>
      <c r="T593" s="11" t="s">
        <v>1803</v>
      </c>
    </row>
    <row r="594" hidden="1">
      <c r="A594" s="283" t="s">
        <v>9474</v>
      </c>
      <c r="B594" s="443">
        <v>14752.0</v>
      </c>
      <c r="C594" s="136" t="s">
        <v>8991</v>
      </c>
      <c r="D594" s="179">
        <v>0.73</v>
      </c>
      <c r="E594" s="179">
        <v>0.73</v>
      </c>
      <c r="F594" s="430"/>
      <c r="T594" s="11" t="s">
        <v>1805</v>
      </c>
      <c r="U594" s="11">
        <v>14298.0</v>
      </c>
    </row>
    <row r="595" hidden="1">
      <c r="A595" s="283" t="s">
        <v>9475</v>
      </c>
      <c r="B595" s="443">
        <v>14757.0</v>
      </c>
      <c r="C595" s="136" t="s">
        <v>8991</v>
      </c>
      <c r="D595" s="179">
        <v>0.73</v>
      </c>
      <c r="E595" s="179">
        <v>0.73</v>
      </c>
      <c r="F595" s="430"/>
      <c r="T595" s="11" t="s">
        <v>1789</v>
      </c>
    </row>
    <row r="596" hidden="1">
      <c r="A596" s="283" t="s">
        <v>9476</v>
      </c>
      <c r="B596" s="443">
        <v>6675.0</v>
      </c>
      <c r="C596" s="136" t="s">
        <v>8991</v>
      </c>
      <c r="D596" s="74">
        <v>0.9</v>
      </c>
      <c r="E596" s="74">
        <v>0.9</v>
      </c>
      <c r="F596" s="430"/>
      <c r="T596" s="11" t="s">
        <v>1790</v>
      </c>
    </row>
    <row r="597" hidden="1">
      <c r="A597" s="283" t="s">
        <v>9477</v>
      </c>
      <c r="B597" s="443">
        <v>6675.0</v>
      </c>
      <c r="C597" s="136" t="s">
        <v>8991</v>
      </c>
      <c r="D597" s="74">
        <v>0.9</v>
      </c>
      <c r="E597" s="74">
        <v>0.9</v>
      </c>
      <c r="F597" s="430"/>
      <c r="T597" s="11" t="s">
        <v>1791</v>
      </c>
    </row>
    <row r="598" hidden="1">
      <c r="A598" s="283" t="s">
        <v>9478</v>
      </c>
      <c r="B598" s="443">
        <v>6675.0</v>
      </c>
      <c r="C598" s="136" t="s">
        <v>8991</v>
      </c>
      <c r="D598" s="74">
        <v>0.9</v>
      </c>
      <c r="E598" s="74">
        <v>0.9</v>
      </c>
      <c r="F598" s="430"/>
      <c r="T598" s="11" t="s">
        <v>1792</v>
      </c>
    </row>
    <row r="599" hidden="1">
      <c r="A599" s="283" t="s">
        <v>9479</v>
      </c>
      <c r="B599" s="443">
        <v>6675.0</v>
      </c>
      <c r="C599" s="136" t="s">
        <v>8991</v>
      </c>
      <c r="D599" s="74">
        <v>0.9</v>
      </c>
      <c r="E599" s="74">
        <v>0.9</v>
      </c>
      <c r="F599" s="430"/>
      <c r="T599" s="11" t="s">
        <v>1811</v>
      </c>
    </row>
    <row r="600" hidden="1">
      <c r="A600" s="283" t="s">
        <v>9480</v>
      </c>
      <c r="B600" s="443">
        <v>6675.0</v>
      </c>
      <c r="C600" s="136" t="s">
        <v>8991</v>
      </c>
      <c r="D600" s="74">
        <v>0.9</v>
      </c>
      <c r="E600" s="74">
        <v>0.9</v>
      </c>
      <c r="F600" s="430"/>
    </row>
    <row r="601" hidden="1">
      <c r="A601" s="283" t="s">
        <v>9481</v>
      </c>
      <c r="B601" s="443"/>
      <c r="C601" s="136" t="s">
        <v>8991</v>
      </c>
      <c r="D601" s="179">
        <v>0.73</v>
      </c>
      <c r="E601" s="179">
        <v>0.73</v>
      </c>
      <c r="F601" s="430"/>
    </row>
    <row r="602" hidden="1">
      <c r="A602" s="283" t="s">
        <v>9482</v>
      </c>
      <c r="B602" s="443"/>
      <c r="C602" s="136" t="s">
        <v>8991</v>
      </c>
      <c r="D602" s="179">
        <v>0.73</v>
      </c>
      <c r="E602" s="179">
        <v>0.73</v>
      </c>
      <c r="F602" s="430"/>
    </row>
    <row r="603" hidden="1">
      <c r="A603" s="283" t="s">
        <v>9483</v>
      </c>
      <c r="B603" s="443"/>
      <c r="C603" s="136" t="s">
        <v>8991</v>
      </c>
      <c r="D603" s="179">
        <v>0.73</v>
      </c>
      <c r="E603" s="179">
        <v>0.73</v>
      </c>
      <c r="F603" s="430"/>
    </row>
    <row r="604" hidden="1">
      <c r="A604" s="283" t="s">
        <v>9484</v>
      </c>
      <c r="B604" s="443"/>
      <c r="C604" s="136" t="s">
        <v>8991</v>
      </c>
      <c r="D604" s="179">
        <v>0.73</v>
      </c>
      <c r="E604" s="179">
        <v>0.73</v>
      </c>
      <c r="F604" s="430"/>
    </row>
    <row r="605" hidden="1">
      <c r="A605" s="283" t="s">
        <v>9485</v>
      </c>
      <c r="B605" s="443"/>
      <c r="C605" s="136" t="s">
        <v>8991</v>
      </c>
      <c r="D605" s="179">
        <v>0.73</v>
      </c>
      <c r="E605" s="179">
        <v>0.73</v>
      </c>
      <c r="F605" s="430"/>
    </row>
    <row r="606" hidden="1">
      <c r="A606" s="283" t="s">
        <v>9486</v>
      </c>
      <c r="B606" s="443"/>
      <c r="C606" s="136" t="s">
        <v>8991</v>
      </c>
      <c r="D606" s="179">
        <v>0.73</v>
      </c>
      <c r="E606" s="179">
        <v>0.73</v>
      </c>
      <c r="F606" s="430"/>
    </row>
    <row r="607" hidden="1">
      <c r="A607" s="283" t="s">
        <v>9487</v>
      </c>
      <c r="B607" s="443"/>
      <c r="C607" s="136" t="s">
        <v>8991</v>
      </c>
      <c r="D607" s="179">
        <v>0.73</v>
      </c>
      <c r="E607" s="179">
        <v>0.73</v>
      </c>
      <c r="F607" s="430"/>
    </row>
    <row r="608" hidden="1">
      <c r="A608" s="283" t="s">
        <v>9488</v>
      </c>
      <c r="B608" s="443">
        <v>14594.0</v>
      </c>
      <c r="C608" s="136" t="s">
        <v>8991</v>
      </c>
      <c r="D608" s="179">
        <v>0.73</v>
      </c>
      <c r="E608" s="179">
        <v>0.73</v>
      </c>
      <c r="F608" s="430"/>
    </row>
    <row r="609" hidden="1">
      <c r="A609" s="283" t="s">
        <v>9489</v>
      </c>
      <c r="B609" s="443"/>
      <c r="C609" s="136" t="s">
        <v>8991</v>
      </c>
      <c r="D609" s="179">
        <v>0.73</v>
      </c>
      <c r="E609" s="179">
        <v>0.73</v>
      </c>
      <c r="F609" s="430"/>
    </row>
    <row r="610" hidden="1">
      <c r="A610" s="283" t="s">
        <v>9490</v>
      </c>
      <c r="B610" s="443">
        <v>499.0</v>
      </c>
      <c r="C610" s="136" t="s">
        <v>8991</v>
      </c>
      <c r="D610" s="179">
        <v>0.73</v>
      </c>
      <c r="E610" s="179">
        <v>0.73</v>
      </c>
      <c r="F610" s="430"/>
    </row>
    <row r="611" hidden="1">
      <c r="A611" s="283" t="s">
        <v>9491</v>
      </c>
      <c r="B611" s="443">
        <v>2345.0</v>
      </c>
      <c r="C611" s="136" t="s">
        <v>8991</v>
      </c>
      <c r="D611" s="74">
        <v>0.9</v>
      </c>
      <c r="E611" s="74">
        <v>0.9</v>
      </c>
      <c r="F611" s="430"/>
    </row>
    <row r="612" hidden="1">
      <c r="A612" s="283" t="s">
        <v>9492</v>
      </c>
      <c r="B612" s="443">
        <v>2345.0</v>
      </c>
      <c r="C612" s="136" t="s">
        <v>8991</v>
      </c>
      <c r="D612" s="74">
        <v>0.9</v>
      </c>
      <c r="E612" s="74">
        <v>0.9</v>
      </c>
      <c r="F612" s="430"/>
    </row>
    <row r="613" hidden="1">
      <c r="A613" s="283" t="s">
        <v>9493</v>
      </c>
      <c r="B613" s="443">
        <v>2345.0</v>
      </c>
      <c r="C613" s="136" t="s">
        <v>8991</v>
      </c>
      <c r="D613" s="74">
        <v>0.9</v>
      </c>
      <c r="E613" s="74">
        <v>0.9</v>
      </c>
      <c r="F613" s="430"/>
    </row>
    <row r="614" hidden="1">
      <c r="A614" s="283" t="s">
        <v>9494</v>
      </c>
      <c r="B614" s="443">
        <v>2345.0</v>
      </c>
      <c r="C614" s="136" t="s">
        <v>8991</v>
      </c>
      <c r="D614" s="74">
        <v>0.9</v>
      </c>
      <c r="E614" s="74">
        <v>0.9</v>
      </c>
      <c r="F614" s="430"/>
    </row>
    <row r="615" hidden="1">
      <c r="A615" s="283" t="s">
        <v>9495</v>
      </c>
      <c r="B615" s="443">
        <v>2345.0</v>
      </c>
      <c r="C615" s="136" t="s">
        <v>8991</v>
      </c>
      <c r="D615" s="74">
        <v>0.9</v>
      </c>
      <c r="E615" s="74">
        <v>0.9</v>
      </c>
      <c r="F615" s="430"/>
    </row>
    <row r="616" hidden="1">
      <c r="A616" s="283" t="s">
        <v>9496</v>
      </c>
      <c r="B616" s="443">
        <v>2345.0</v>
      </c>
      <c r="C616" s="136" t="s">
        <v>8991</v>
      </c>
      <c r="D616" s="74">
        <v>0.9</v>
      </c>
      <c r="E616" s="74">
        <v>0.9</v>
      </c>
      <c r="F616" s="430"/>
    </row>
    <row r="617" hidden="1">
      <c r="A617" s="283" t="s">
        <v>9497</v>
      </c>
      <c r="B617" s="443"/>
      <c r="C617" s="136" t="s">
        <v>8991</v>
      </c>
      <c r="D617" s="179">
        <v>0.73</v>
      </c>
      <c r="E617" s="179">
        <v>0.73</v>
      </c>
      <c r="F617" s="430"/>
    </row>
    <row r="618" hidden="1">
      <c r="A618" s="445" t="s">
        <v>9446</v>
      </c>
      <c r="B618" s="445" t="s">
        <v>6157</v>
      </c>
      <c r="C618" s="136" t="s">
        <v>8991</v>
      </c>
      <c r="D618" s="179">
        <v>0.73</v>
      </c>
      <c r="E618" s="179">
        <v>0.73</v>
      </c>
      <c r="F618" s="430"/>
    </row>
    <row r="619" hidden="1">
      <c r="A619" s="445" t="s">
        <v>9447</v>
      </c>
      <c r="B619" s="445" t="s">
        <v>6157</v>
      </c>
      <c r="C619" s="136" t="s">
        <v>8991</v>
      </c>
      <c r="D619" s="179">
        <v>0.73</v>
      </c>
      <c r="E619" s="179">
        <v>0.73</v>
      </c>
      <c r="F619" s="430"/>
    </row>
    <row r="620" hidden="1">
      <c r="A620" s="445" t="s">
        <v>9448</v>
      </c>
      <c r="B620" s="445" t="s">
        <v>6157</v>
      </c>
      <c r="C620" s="136" t="s">
        <v>8991</v>
      </c>
      <c r="D620" s="179">
        <v>0.73</v>
      </c>
      <c r="E620" s="179">
        <v>0.73</v>
      </c>
      <c r="F620" s="430"/>
    </row>
    <row r="621" hidden="1">
      <c r="A621" s="445" t="s">
        <v>9449</v>
      </c>
      <c r="B621" s="445" t="s">
        <v>6157</v>
      </c>
      <c r="C621" s="136" t="s">
        <v>8991</v>
      </c>
      <c r="D621" s="179">
        <v>0.73</v>
      </c>
      <c r="E621" s="179">
        <v>0.73</v>
      </c>
      <c r="F621" s="430"/>
    </row>
    <row r="622" hidden="1">
      <c r="A622" s="445" t="s">
        <v>9450</v>
      </c>
      <c r="B622" s="445" t="s">
        <v>6157</v>
      </c>
      <c r="C622" s="136" t="s">
        <v>8991</v>
      </c>
      <c r="D622" s="179">
        <v>0.73</v>
      </c>
      <c r="E622" s="179">
        <v>0.73</v>
      </c>
      <c r="F622" s="430"/>
    </row>
    <row r="623" hidden="1">
      <c r="A623" s="445" t="s">
        <v>9451</v>
      </c>
      <c r="B623" s="445" t="s">
        <v>6157</v>
      </c>
      <c r="C623" s="136" t="s">
        <v>8991</v>
      </c>
      <c r="D623" s="179">
        <v>0.73</v>
      </c>
      <c r="E623" s="179">
        <v>0.73</v>
      </c>
      <c r="F623" s="430"/>
    </row>
    <row r="624" hidden="1">
      <c r="A624" s="445" t="s">
        <v>9452</v>
      </c>
      <c r="B624" s="445" t="s">
        <v>6157</v>
      </c>
      <c r="C624" s="136" t="s">
        <v>8991</v>
      </c>
      <c r="D624" s="179">
        <v>0.73</v>
      </c>
      <c r="E624" s="179">
        <v>0.73</v>
      </c>
      <c r="F624" s="430"/>
    </row>
    <row r="625" hidden="1">
      <c r="A625" s="445" t="s">
        <v>9453</v>
      </c>
      <c r="B625" s="445" t="s">
        <v>6157</v>
      </c>
      <c r="C625" s="136" t="s">
        <v>8991</v>
      </c>
      <c r="D625" s="179">
        <v>0.73</v>
      </c>
      <c r="E625" s="179">
        <v>0.73</v>
      </c>
      <c r="F625" s="430"/>
    </row>
    <row r="626" hidden="1">
      <c r="A626" s="445" t="s">
        <v>9454</v>
      </c>
      <c r="B626" s="445" t="s">
        <v>6157</v>
      </c>
      <c r="C626" s="136" t="s">
        <v>8991</v>
      </c>
      <c r="D626" s="179">
        <v>0.73</v>
      </c>
      <c r="E626" s="179">
        <v>0.73</v>
      </c>
      <c r="F626" s="430"/>
    </row>
    <row r="627" hidden="1">
      <c r="A627" s="445" t="s">
        <v>9455</v>
      </c>
      <c r="B627" s="445" t="s">
        <v>6157</v>
      </c>
      <c r="C627" s="136" t="s">
        <v>8991</v>
      </c>
      <c r="D627" s="179">
        <v>0.73</v>
      </c>
      <c r="E627" s="179">
        <v>0.73</v>
      </c>
      <c r="F627" s="430"/>
    </row>
    <row r="628" hidden="1">
      <c r="A628" s="445" t="s">
        <v>9456</v>
      </c>
      <c r="B628" s="445" t="s">
        <v>6157</v>
      </c>
      <c r="C628" s="136" t="s">
        <v>8991</v>
      </c>
      <c r="D628" s="179">
        <v>0.73</v>
      </c>
      <c r="E628" s="179">
        <v>0.73</v>
      </c>
      <c r="F628" s="430"/>
    </row>
    <row r="629" hidden="1">
      <c r="A629" s="445" t="s">
        <v>9457</v>
      </c>
      <c r="B629" s="445" t="s">
        <v>6157</v>
      </c>
      <c r="C629" s="136" t="s">
        <v>8991</v>
      </c>
      <c r="D629" s="179">
        <v>0.73</v>
      </c>
      <c r="E629" s="179">
        <v>0.73</v>
      </c>
      <c r="F629" s="430"/>
    </row>
    <row r="630" hidden="1">
      <c r="A630" s="445" t="s">
        <v>9458</v>
      </c>
      <c r="B630" s="445" t="s">
        <v>6157</v>
      </c>
      <c r="C630" s="136" t="s">
        <v>8991</v>
      </c>
      <c r="D630" s="179">
        <v>0.73</v>
      </c>
      <c r="E630" s="179">
        <v>0.73</v>
      </c>
      <c r="F630" s="430"/>
    </row>
    <row r="631" hidden="1">
      <c r="A631" s="445" t="s">
        <v>9459</v>
      </c>
      <c r="B631" s="445" t="s">
        <v>6157</v>
      </c>
      <c r="C631" s="136" t="s">
        <v>8991</v>
      </c>
      <c r="D631" s="179">
        <v>0.73</v>
      </c>
      <c r="E631" s="179">
        <v>0.73</v>
      </c>
      <c r="F631" s="430"/>
    </row>
    <row r="632" hidden="1">
      <c r="A632" s="445" t="s">
        <v>9460</v>
      </c>
      <c r="B632" s="445" t="s">
        <v>6157</v>
      </c>
      <c r="C632" s="136" t="s">
        <v>8991</v>
      </c>
      <c r="D632" s="179">
        <v>0.73</v>
      </c>
      <c r="E632" s="179">
        <v>0.73</v>
      </c>
      <c r="F632" s="430"/>
    </row>
    <row r="633" hidden="1">
      <c r="A633" s="5" t="s">
        <v>9498</v>
      </c>
      <c r="B633" s="216">
        <v>8576.0</v>
      </c>
      <c r="C633" s="136" t="s">
        <v>8991</v>
      </c>
      <c r="D633" s="179">
        <v>0.73</v>
      </c>
      <c r="E633" s="179">
        <v>0.73</v>
      </c>
      <c r="F633" s="430"/>
      <c r="G633" s="11"/>
      <c r="H633" s="11" t="s">
        <v>207</v>
      </c>
    </row>
    <row r="634" hidden="1">
      <c r="A634" s="5" t="s">
        <v>9499</v>
      </c>
      <c r="B634" s="216">
        <v>8578.0</v>
      </c>
      <c r="C634" s="136" t="s">
        <v>8991</v>
      </c>
      <c r="D634" s="179">
        <v>0.73</v>
      </c>
      <c r="E634" s="179">
        <v>0.73</v>
      </c>
      <c r="F634" s="430"/>
      <c r="G634" s="11"/>
      <c r="H634" s="11" t="s">
        <v>207</v>
      </c>
    </row>
    <row r="635" hidden="1">
      <c r="A635" s="5" t="s">
        <v>9500</v>
      </c>
      <c r="B635" s="5">
        <v>8623.0</v>
      </c>
      <c r="C635" s="136" t="s">
        <v>8991</v>
      </c>
      <c r="D635" s="179">
        <v>0.82</v>
      </c>
      <c r="E635" s="179">
        <v>0.82</v>
      </c>
      <c r="F635" s="430"/>
      <c r="G635" s="11"/>
      <c r="H635" s="11" t="s">
        <v>207</v>
      </c>
    </row>
    <row r="636" hidden="1">
      <c r="A636" s="5" t="s">
        <v>9501</v>
      </c>
      <c r="B636" s="199">
        <v>10368.0</v>
      </c>
      <c r="C636" s="136" t="s">
        <v>8991</v>
      </c>
      <c r="D636" s="179">
        <v>0.73</v>
      </c>
      <c r="E636" s="179">
        <v>0.73</v>
      </c>
      <c r="F636" s="430"/>
      <c r="G636" s="11"/>
      <c r="H636" s="11" t="s">
        <v>207</v>
      </c>
    </row>
    <row r="637" hidden="1">
      <c r="A637" s="5" t="s">
        <v>9502</v>
      </c>
      <c r="B637" s="216">
        <v>9066.0</v>
      </c>
      <c r="C637" s="136" t="s">
        <v>8991</v>
      </c>
      <c r="D637" s="179">
        <v>0.73</v>
      </c>
      <c r="E637" s="179">
        <v>0.73</v>
      </c>
      <c r="F637" s="430"/>
      <c r="G637" s="11"/>
      <c r="H637" s="11" t="s">
        <v>207</v>
      </c>
    </row>
    <row r="638" hidden="1">
      <c r="A638" s="5" t="s">
        <v>9503</v>
      </c>
      <c r="B638" s="199">
        <v>10970.0</v>
      </c>
      <c r="C638" s="136" t="s">
        <v>8991</v>
      </c>
      <c r="D638" s="179">
        <v>0.73</v>
      </c>
      <c r="E638" s="179">
        <v>0.73</v>
      </c>
      <c r="F638" s="430"/>
      <c r="G638" s="11"/>
      <c r="H638" s="11" t="s">
        <v>207</v>
      </c>
    </row>
    <row r="639" hidden="1">
      <c r="A639" s="5" t="s">
        <v>9504</v>
      </c>
      <c r="B639" s="199">
        <v>9768.0</v>
      </c>
      <c r="C639" s="136" t="s">
        <v>8991</v>
      </c>
      <c r="D639" s="179">
        <v>0.73</v>
      </c>
      <c r="E639" s="179">
        <v>0.73</v>
      </c>
      <c r="F639" s="430"/>
      <c r="G639" s="11"/>
      <c r="H639" s="11" t="s">
        <v>207</v>
      </c>
    </row>
    <row r="640" hidden="1">
      <c r="A640" s="5" t="s">
        <v>9505</v>
      </c>
      <c r="B640" s="216">
        <v>11105.0</v>
      </c>
      <c r="C640" s="136" t="s">
        <v>8991</v>
      </c>
      <c r="D640" s="179">
        <v>0.73</v>
      </c>
      <c r="E640" s="179">
        <v>0.73</v>
      </c>
      <c r="F640" s="430"/>
      <c r="G640" s="11"/>
      <c r="H640" s="11" t="s">
        <v>207</v>
      </c>
    </row>
    <row r="641" hidden="1">
      <c r="A641" s="5" t="s">
        <v>9506</v>
      </c>
      <c r="B641" s="216">
        <v>9716.0</v>
      </c>
      <c r="C641" s="136" t="s">
        <v>8991</v>
      </c>
      <c r="D641" s="179">
        <v>0.73</v>
      </c>
      <c r="E641" s="179">
        <v>0.73</v>
      </c>
      <c r="F641" s="430"/>
      <c r="G641" s="11"/>
      <c r="H641" s="11" t="s">
        <v>207</v>
      </c>
    </row>
    <row r="642" hidden="1">
      <c r="A642" s="5" t="s">
        <v>9507</v>
      </c>
      <c r="B642" s="216">
        <v>9811.0</v>
      </c>
      <c r="C642" s="136" t="s">
        <v>8991</v>
      </c>
      <c r="D642" s="179">
        <v>0.73</v>
      </c>
      <c r="E642" s="179">
        <v>0.73</v>
      </c>
      <c r="F642" s="427"/>
      <c r="G642" s="11"/>
      <c r="H642" s="11" t="s">
        <v>207</v>
      </c>
    </row>
    <row r="643" hidden="1">
      <c r="A643" s="5" t="s">
        <v>9508</v>
      </c>
      <c r="B643" s="216">
        <v>9586.0</v>
      </c>
      <c r="C643" s="136" t="s">
        <v>8991</v>
      </c>
      <c r="D643" s="179">
        <v>0.73</v>
      </c>
      <c r="E643" s="179">
        <v>0.73</v>
      </c>
      <c r="F643" s="427"/>
      <c r="G643" s="11"/>
      <c r="H643" s="11" t="s">
        <v>207</v>
      </c>
    </row>
    <row r="644" hidden="1">
      <c r="A644" s="5" t="s">
        <v>9509</v>
      </c>
      <c r="B644" s="216">
        <v>7521.0</v>
      </c>
      <c r="C644" s="136" t="s">
        <v>8991</v>
      </c>
      <c r="D644" s="179">
        <v>0.73</v>
      </c>
      <c r="E644" s="179">
        <v>0.73</v>
      </c>
      <c r="F644" s="427"/>
      <c r="G644" s="11"/>
      <c r="H644" s="11" t="s">
        <v>207</v>
      </c>
    </row>
    <row r="645" hidden="1">
      <c r="A645" s="5" t="s">
        <v>9510</v>
      </c>
      <c r="B645" s="216">
        <v>12575.0</v>
      </c>
      <c r="C645" s="136" t="s">
        <v>8991</v>
      </c>
      <c r="D645" s="179">
        <v>0.73</v>
      </c>
      <c r="E645" s="179">
        <v>0.73</v>
      </c>
      <c r="F645" s="427"/>
      <c r="G645" s="11"/>
      <c r="H645" s="11" t="s">
        <v>207</v>
      </c>
    </row>
    <row r="646" hidden="1">
      <c r="A646" s="5" t="s">
        <v>9511</v>
      </c>
      <c r="B646" s="216">
        <v>10861.0</v>
      </c>
      <c r="C646" s="136" t="s">
        <v>8991</v>
      </c>
      <c r="D646" s="179">
        <v>0.73</v>
      </c>
      <c r="E646" s="179">
        <v>0.73</v>
      </c>
      <c r="F646" s="427"/>
      <c r="G646" s="11"/>
      <c r="H646" s="11" t="s">
        <v>207</v>
      </c>
    </row>
    <row r="647" hidden="1">
      <c r="A647" s="5" t="s">
        <v>9512</v>
      </c>
      <c r="B647" s="216">
        <v>13811.0</v>
      </c>
      <c r="C647" s="136" t="s">
        <v>8991</v>
      </c>
      <c r="D647" s="179">
        <v>0.73</v>
      </c>
      <c r="E647" s="179">
        <v>0.73</v>
      </c>
      <c r="F647" s="427"/>
      <c r="G647" s="11"/>
      <c r="H647" s="11" t="s">
        <v>207</v>
      </c>
    </row>
    <row r="648" hidden="1">
      <c r="A648" s="5" t="s">
        <v>9513</v>
      </c>
      <c r="B648" s="216">
        <v>13893.0</v>
      </c>
      <c r="C648" s="136" t="s">
        <v>8991</v>
      </c>
      <c r="D648" s="179">
        <v>0.73</v>
      </c>
      <c r="E648" s="179">
        <v>0.73</v>
      </c>
      <c r="F648" s="427"/>
      <c r="G648" s="11"/>
      <c r="H648" s="11" t="s">
        <v>207</v>
      </c>
    </row>
    <row r="649" hidden="1">
      <c r="A649" s="5" t="s">
        <v>9514</v>
      </c>
      <c r="B649" s="216">
        <v>14021.0</v>
      </c>
      <c r="C649" s="136" t="s">
        <v>8991</v>
      </c>
      <c r="D649" s="179">
        <v>0.73</v>
      </c>
      <c r="E649" s="179">
        <v>0.73</v>
      </c>
      <c r="F649" s="427"/>
      <c r="G649" s="11"/>
      <c r="H649" s="11" t="s">
        <v>207</v>
      </c>
    </row>
    <row r="650" hidden="1">
      <c r="A650" s="5" t="s">
        <v>9515</v>
      </c>
      <c r="B650" s="216">
        <v>7416.0</v>
      </c>
      <c r="C650" s="136" t="s">
        <v>8991</v>
      </c>
      <c r="D650" s="179">
        <v>0.73</v>
      </c>
      <c r="E650" s="179">
        <v>0.73</v>
      </c>
      <c r="F650" s="427"/>
      <c r="G650" s="11"/>
      <c r="H650" s="11" t="s">
        <v>207</v>
      </c>
    </row>
    <row r="651" hidden="1">
      <c r="A651" s="5" t="s">
        <v>9516</v>
      </c>
      <c r="B651" s="416">
        <v>14623.0</v>
      </c>
      <c r="C651" s="136" t="s">
        <v>8991</v>
      </c>
      <c r="D651" s="179">
        <v>0.73</v>
      </c>
      <c r="E651" s="179">
        <v>0.73</v>
      </c>
      <c r="F651" s="427"/>
      <c r="G651" s="11"/>
      <c r="H651" s="11" t="s">
        <v>207</v>
      </c>
    </row>
    <row r="652" hidden="1">
      <c r="A652" s="5" t="s">
        <v>9517</v>
      </c>
      <c r="B652" s="416">
        <v>14624.0</v>
      </c>
      <c r="C652" s="136" t="s">
        <v>8991</v>
      </c>
      <c r="D652" s="179">
        <v>0.73</v>
      </c>
      <c r="E652" s="179">
        <v>0.73</v>
      </c>
      <c r="F652" s="427"/>
      <c r="G652" s="11"/>
      <c r="H652" s="11" t="s">
        <v>207</v>
      </c>
    </row>
    <row r="653" hidden="1">
      <c r="A653" s="5" t="s">
        <v>9518</v>
      </c>
      <c r="B653" s="446">
        <v>14185.0</v>
      </c>
      <c r="C653" s="136" t="s">
        <v>8991</v>
      </c>
      <c r="D653" s="179">
        <v>0.73</v>
      </c>
      <c r="E653" s="179">
        <v>0.73</v>
      </c>
      <c r="F653" s="427"/>
      <c r="G653" s="11"/>
      <c r="H653" s="11" t="s">
        <v>207</v>
      </c>
    </row>
    <row r="654" hidden="1">
      <c r="A654" s="5" t="s">
        <v>9519</v>
      </c>
      <c r="B654" s="216">
        <v>14253.0</v>
      </c>
      <c r="C654" s="136" t="s">
        <v>8991</v>
      </c>
      <c r="D654" s="179">
        <v>0.73</v>
      </c>
      <c r="E654" s="179">
        <v>0.73</v>
      </c>
      <c r="F654" s="427"/>
      <c r="G654" s="11"/>
      <c r="H654" s="11" t="s">
        <v>207</v>
      </c>
    </row>
    <row r="655" hidden="1">
      <c r="A655" s="5" t="s">
        <v>9520</v>
      </c>
      <c r="B655" s="216">
        <v>13987.0</v>
      </c>
      <c r="C655" s="136" t="s">
        <v>8991</v>
      </c>
      <c r="D655" s="179">
        <v>0.73</v>
      </c>
      <c r="E655" s="179">
        <v>0.73</v>
      </c>
      <c r="F655" s="427"/>
      <c r="G655" s="11"/>
      <c r="H655" s="11" t="s">
        <v>207</v>
      </c>
    </row>
    <row r="656" hidden="1">
      <c r="A656" s="5" t="s">
        <v>9521</v>
      </c>
      <c r="B656" s="216">
        <v>14474.0</v>
      </c>
      <c r="C656" s="136" t="s">
        <v>8991</v>
      </c>
      <c r="D656" s="179">
        <v>0.73</v>
      </c>
      <c r="E656" s="179">
        <v>0.73</v>
      </c>
      <c r="F656" s="427"/>
      <c r="G656" s="11"/>
      <c r="H656" s="11" t="s">
        <v>207</v>
      </c>
    </row>
    <row r="657" hidden="1">
      <c r="A657" s="5" t="s">
        <v>9522</v>
      </c>
      <c r="B657" s="216">
        <v>13988.0</v>
      </c>
      <c r="C657" s="136" t="s">
        <v>8991</v>
      </c>
      <c r="D657" s="179">
        <v>0.73</v>
      </c>
      <c r="E657" s="179">
        <v>0.73</v>
      </c>
      <c r="F657" s="427"/>
      <c r="G657" s="11"/>
      <c r="H657" s="11" t="s">
        <v>207</v>
      </c>
    </row>
    <row r="658" hidden="1">
      <c r="A658" s="5" t="s">
        <v>9523</v>
      </c>
      <c r="B658" s="216">
        <v>14510.0</v>
      </c>
      <c r="C658" s="136" t="s">
        <v>8991</v>
      </c>
      <c r="D658" s="179">
        <v>0.73</v>
      </c>
      <c r="E658" s="179">
        <v>0.73</v>
      </c>
      <c r="F658" s="427"/>
      <c r="G658" s="11"/>
      <c r="H658" s="11" t="s">
        <v>207</v>
      </c>
    </row>
    <row r="659" hidden="1">
      <c r="A659" s="5" t="s">
        <v>9524</v>
      </c>
      <c r="B659" s="216">
        <v>12277.0</v>
      </c>
      <c r="C659" s="136" t="s">
        <v>8991</v>
      </c>
      <c r="D659" s="179">
        <v>0.73</v>
      </c>
      <c r="E659" s="179">
        <v>0.73</v>
      </c>
      <c r="F659" s="427"/>
      <c r="G659" s="11"/>
      <c r="H659" s="11" t="s">
        <v>207</v>
      </c>
    </row>
    <row r="660" hidden="1">
      <c r="A660" s="447" t="s">
        <v>6298</v>
      </c>
      <c r="B660" s="443">
        <v>14661.0</v>
      </c>
      <c r="C660" s="136" t="s">
        <v>8991</v>
      </c>
      <c r="D660" s="179">
        <v>0.73</v>
      </c>
      <c r="E660" s="179">
        <v>0.73</v>
      </c>
      <c r="F660" s="427"/>
      <c r="G660" s="11"/>
      <c r="H660" s="11" t="s">
        <v>207</v>
      </c>
    </row>
    <row r="661" hidden="1">
      <c r="A661" s="11" t="s">
        <v>218</v>
      </c>
      <c r="B661" s="289">
        <v>10856.0</v>
      </c>
      <c r="C661" s="136" t="s">
        <v>8991</v>
      </c>
      <c r="D661" s="179">
        <v>0.73</v>
      </c>
      <c r="E661" s="179">
        <v>0.73</v>
      </c>
      <c r="F661" s="427"/>
    </row>
    <row r="662" hidden="1">
      <c r="A662" s="11" t="s">
        <v>4160</v>
      </c>
      <c r="B662" s="289">
        <v>14594.0</v>
      </c>
      <c r="C662" s="136" t="s">
        <v>8991</v>
      </c>
      <c r="D662" s="179">
        <v>0.73</v>
      </c>
      <c r="E662" s="179">
        <v>0.73</v>
      </c>
      <c r="F662" s="427"/>
    </row>
    <row r="663" hidden="1">
      <c r="A663" s="11" t="s">
        <v>220</v>
      </c>
      <c r="B663" s="289">
        <v>14663.0</v>
      </c>
      <c r="C663" s="136" t="s">
        <v>8991</v>
      </c>
      <c r="D663" s="179">
        <v>0.73</v>
      </c>
      <c r="E663" s="179">
        <v>0.73</v>
      </c>
      <c r="F663" s="427"/>
    </row>
    <row r="664" hidden="1">
      <c r="A664" s="11" t="s">
        <v>43</v>
      </c>
      <c r="B664" s="289">
        <v>14727.0</v>
      </c>
      <c r="C664" s="136" t="s">
        <v>8991</v>
      </c>
      <c r="D664" s="179">
        <v>0.73</v>
      </c>
      <c r="E664" s="179">
        <v>0.73</v>
      </c>
      <c r="F664" s="427"/>
    </row>
    <row r="665" hidden="1">
      <c r="A665" s="289" t="s">
        <v>9525</v>
      </c>
      <c r="B665" s="289">
        <v>14727.0</v>
      </c>
      <c r="C665" s="136" t="s">
        <v>8991</v>
      </c>
      <c r="D665" s="179">
        <v>0.73</v>
      </c>
      <c r="E665" s="179">
        <v>0.73</v>
      </c>
      <c r="F665" s="427"/>
    </row>
    <row r="666" hidden="1">
      <c r="A666" s="289" t="s">
        <v>1730</v>
      </c>
      <c r="B666" s="289">
        <v>14727.0</v>
      </c>
      <c r="C666" s="136" t="s">
        <v>8991</v>
      </c>
      <c r="D666" s="179">
        <v>0.73</v>
      </c>
      <c r="E666" s="179">
        <v>0.73</v>
      </c>
      <c r="F666" s="427"/>
    </row>
    <row r="667">
      <c r="A667" s="283"/>
      <c r="B667" s="283"/>
      <c r="C667" s="245"/>
      <c r="F667" s="427"/>
    </row>
    <row r="668">
      <c r="A668" s="283"/>
      <c r="B668" s="283"/>
      <c r="C668" s="245"/>
      <c r="F668" s="427"/>
    </row>
    <row r="669">
      <c r="A669" s="283"/>
      <c r="B669" s="283"/>
      <c r="C669" s="245"/>
      <c r="F669" s="427"/>
    </row>
    <row r="670">
      <c r="A670" s="283"/>
      <c r="B670" s="283"/>
      <c r="C670" s="245"/>
      <c r="F670" s="427"/>
    </row>
    <row r="671">
      <c r="A671" s="283"/>
      <c r="B671" s="283"/>
      <c r="C671" s="245"/>
      <c r="F671" s="427"/>
    </row>
    <row r="672">
      <c r="A672" s="283"/>
      <c r="B672" s="283"/>
      <c r="C672" s="245"/>
      <c r="F672" s="427"/>
    </row>
    <row r="673">
      <c r="A673" s="283"/>
      <c r="B673" s="283"/>
      <c r="C673" s="245"/>
      <c r="F673" s="427"/>
    </row>
    <row r="674">
      <c r="A674" s="283"/>
      <c r="B674" s="283"/>
      <c r="C674" s="245"/>
      <c r="F674" s="427"/>
    </row>
    <row r="675">
      <c r="A675" s="283"/>
      <c r="B675" s="283"/>
      <c r="C675" s="245"/>
      <c r="F675" s="427"/>
    </row>
    <row r="676">
      <c r="A676" s="283"/>
      <c r="B676" s="283"/>
      <c r="C676" s="245"/>
      <c r="F676" s="427"/>
    </row>
    <row r="677">
      <c r="A677" s="283"/>
      <c r="B677" s="283"/>
      <c r="C677" s="245"/>
      <c r="F677" s="427"/>
    </row>
    <row r="678">
      <c r="A678" s="283"/>
      <c r="B678" s="283"/>
      <c r="C678" s="245"/>
      <c r="F678" s="427"/>
    </row>
    <row r="679">
      <c r="A679" s="283"/>
      <c r="B679" s="283"/>
      <c r="C679" s="245"/>
      <c r="F679" s="427"/>
    </row>
    <row r="680">
      <c r="A680" s="283"/>
      <c r="B680" s="283"/>
      <c r="C680" s="245"/>
      <c r="F680" s="427"/>
    </row>
    <row r="681">
      <c r="A681" s="283"/>
      <c r="B681" s="283"/>
      <c r="C681" s="245"/>
      <c r="F681" s="427"/>
    </row>
    <row r="682">
      <c r="A682" s="283"/>
      <c r="B682" s="283"/>
      <c r="C682" s="245"/>
      <c r="F682" s="427"/>
    </row>
    <row r="683">
      <c r="A683" s="283"/>
      <c r="B683" s="283"/>
      <c r="C683" s="245"/>
      <c r="F683" s="427"/>
    </row>
    <row r="684">
      <c r="A684" s="283"/>
      <c r="B684" s="283"/>
      <c r="C684" s="245"/>
      <c r="F684" s="427"/>
    </row>
    <row r="685">
      <c r="A685" s="283"/>
      <c r="B685" s="283"/>
      <c r="C685" s="245"/>
      <c r="F685" s="427"/>
    </row>
    <row r="686">
      <c r="A686" s="283"/>
      <c r="B686" s="283"/>
      <c r="C686" s="245"/>
      <c r="F686" s="427"/>
    </row>
    <row r="687">
      <c r="A687" s="283"/>
      <c r="B687" s="283"/>
      <c r="C687" s="245"/>
      <c r="F687" s="427"/>
    </row>
    <row r="688">
      <c r="A688" s="283"/>
      <c r="B688" s="283"/>
      <c r="C688" s="245"/>
      <c r="F688" s="427"/>
    </row>
    <row r="689">
      <c r="A689" s="283"/>
      <c r="B689" s="283"/>
      <c r="C689" s="245"/>
      <c r="F689" s="427"/>
    </row>
    <row r="690">
      <c r="A690" s="283"/>
      <c r="B690" s="283"/>
      <c r="C690" s="245"/>
      <c r="F690" s="427"/>
    </row>
    <row r="691">
      <c r="A691" s="283"/>
      <c r="B691" s="283"/>
      <c r="C691" s="245"/>
      <c r="F691" s="427"/>
    </row>
    <row r="692">
      <c r="A692" s="283"/>
      <c r="B692" s="283"/>
      <c r="C692" s="245"/>
      <c r="F692" s="427"/>
    </row>
    <row r="693">
      <c r="A693" s="283"/>
      <c r="B693" s="283"/>
      <c r="C693" s="245"/>
      <c r="F693" s="427"/>
    </row>
    <row r="694">
      <c r="A694" s="283"/>
      <c r="B694" s="283"/>
      <c r="C694" s="245"/>
      <c r="F694" s="427"/>
    </row>
    <row r="695">
      <c r="A695" s="283"/>
      <c r="B695" s="283"/>
      <c r="C695" s="245"/>
      <c r="F695" s="427"/>
    </row>
    <row r="696">
      <c r="A696" s="283"/>
      <c r="B696" s="283"/>
      <c r="C696" s="245"/>
      <c r="F696" s="427"/>
    </row>
    <row r="697">
      <c r="A697" s="283"/>
      <c r="B697" s="283"/>
      <c r="C697" s="245"/>
      <c r="F697" s="427"/>
    </row>
    <row r="698">
      <c r="A698" s="283"/>
      <c r="B698" s="283"/>
      <c r="C698" s="245"/>
      <c r="F698" s="427"/>
    </row>
    <row r="699">
      <c r="A699" s="283"/>
      <c r="B699" s="283"/>
      <c r="C699" s="245"/>
      <c r="F699" s="427"/>
    </row>
    <row r="700">
      <c r="A700" s="283"/>
      <c r="B700" s="283"/>
      <c r="C700" s="245"/>
      <c r="F700" s="427"/>
    </row>
    <row r="701">
      <c r="A701" s="283"/>
      <c r="B701" s="283"/>
      <c r="C701" s="245"/>
      <c r="F701" s="427"/>
    </row>
    <row r="702">
      <c r="A702" s="283"/>
      <c r="B702" s="283"/>
      <c r="C702" s="245"/>
      <c r="F702" s="427"/>
    </row>
    <row r="703">
      <c r="A703" s="283"/>
      <c r="B703" s="283"/>
      <c r="C703" s="245"/>
      <c r="F703" s="427"/>
    </row>
    <row r="704">
      <c r="A704" s="283"/>
      <c r="B704" s="283"/>
      <c r="C704" s="245"/>
      <c r="F704" s="427"/>
    </row>
    <row r="705">
      <c r="A705" s="283"/>
      <c r="B705" s="283"/>
      <c r="C705" s="245"/>
      <c r="F705" s="427"/>
    </row>
    <row r="706">
      <c r="A706" s="283"/>
      <c r="B706" s="283"/>
      <c r="C706" s="245"/>
      <c r="F706" s="427"/>
    </row>
    <row r="707">
      <c r="A707" s="283"/>
      <c r="B707" s="283"/>
      <c r="C707" s="245"/>
      <c r="F707" s="427"/>
    </row>
    <row r="708">
      <c r="A708" s="283"/>
      <c r="B708" s="283"/>
      <c r="C708" s="245"/>
      <c r="F708" s="427"/>
    </row>
    <row r="709">
      <c r="A709" s="283"/>
      <c r="B709" s="283"/>
      <c r="C709" s="245"/>
      <c r="F709" s="427"/>
    </row>
    <row r="710">
      <c r="A710" s="283"/>
      <c r="B710" s="283"/>
      <c r="C710" s="245"/>
      <c r="F710" s="427"/>
    </row>
    <row r="711">
      <c r="A711" s="283"/>
      <c r="B711" s="283"/>
      <c r="C711" s="245"/>
      <c r="F711" s="427"/>
    </row>
    <row r="712">
      <c r="A712" s="283"/>
      <c r="B712" s="283"/>
      <c r="C712" s="245"/>
      <c r="F712" s="427"/>
    </row>
    <row r="713">
      <c r="A713" s="283"/>
      <c r="B713" s="283"/>
      <c r="C713" s="245"/>
      <c r="F713" s="427"/>
    </row>
    <row r="714">
      <c r="A714" s="283"/>
      <c r="B714" s="283"/>
      <c r="C714" s="245"/>
      <c r="F714" s="427"/>
    </row>
    <row r="715">
      <c r="A715" s="283"/>
      <c r="B715" s="283"/>
      <c r="C715" s="245"/>
      <c r="F715" s="427"/>
    </row>
    <row r="716">
      <c r="A716" s="283"/>
      <c r="B716" s="283"/>
      <c r="C716" s="245"/>
      <c r="F716" s="427"/>
    </row>
    <row r="717">
      <c r="A717" s="283"/>
      <c r="B717" s="283"/>
      <c r="C717" s="245"/>
      <c r="F717" s="427"/>
    </row>
    <row r="718">
      <c r="A718" s="283"/>
      <c r="B718" s="283"/>
      <c r="C718" s="245"/>
      <c r="F718" s="427"/>
    </row>
    <row r="719">
      <c r="A719" s="283"/>
      <c r="B719" s="283"/>
      <c r="C719" s="245"/>
      <c r="F719" s="427"/>
    </row>
    <row r="720">
      <c r="A720" s="283"/>
      <c r="B720" s="283"/>
      <c r="C720" s="245"/>
      <c r="F720" s="427"/>
    </row>
    <row r="721">
      <c r="A721" s="283"/>
      <c r="B721" s="283"/>
      <c r="C721" s="245"/>
      <c r="F721" s="427"/>
    </row>
    <row r="722">
      <c r="A722" s="283"/>
      <c r="B722" s="283"/>
      <c r="C722" s="245"/>
      <c r="F722" s="427"/>
    </row>
    <row r="723">
      <c r="A723" s="283"/>
      <c r="B723" s="283"/>
      <c r="C723" s="245"/>
      <c r="F723" s="427"/>
    </row>
    <row r="724">
      <c r="A724" s="283"/>
      <c r="B724" s="283"/>
      <c r="C724" s="245"/>
      <c r="F724" s="427"/>
    </row>
    <row r="725">
      <c r="A725" s="283"/>
      <c r="B725" s="283"/>
      <c r="C725" s="245"/>
      <c r="F725" s="427"/>
    </row>
    <row r="726">
      <c r="A726" s="283"/>
      <c r="B726" s="283"/>
      <c r="C726" s="245"/>
      <c r="F726" s="427"/>
    </row>
    <row r="727">
      <c r="A727" s="283"/>
      <c r="B727" s="283"/>
      <c r="C727" s="245"/>
      <c r="F727" s="427"/>
    </row>
    <row r="728">
      <c r="A728" s="283"/>
      <c r="B728" s="283"/>
      <c r="C728" s="245"/>
      <c r="F728" s="427"/>
    </row>
    <row r="729">
      <c r="A729" s="283"/>
      <c r="B729" s="283"/>
      <c r="C729" s="245"/>
      <c r="F729" s="427"/>
    </row>
    <row r="730">
      <c r="A730" s="283"/>
      <c r="B730" s="283"/>
      <c r="C730" s="245"/>
      <c r="F730" s="427"/>
    </row>
    <row r="731">
      <c r="A731" s="283"/>
      <c r="B731" s="283"/>
      <c r="C731" s="245"/>
      <c r="F731" s="427"/>
    </row>
    <row r="732">
      <c r="A732" s="283"/>
      <c r="B732" s="283"/>
      <c r="C732" s="245"/>
      <c r="F732" s="427"/>
    </row>
    <row r="733">
      <c r="A733" s="283"/>
      <c r="B733" s="283"/>
      <c r="C733" s="245"/>
      <c r="F733" s="427"/>
    </row>
    <row r="734">
      <c r="A734" s="283"/>
      <c r="B734" s="283"/>
      <c r="C734" s="245"/>
      <c r="F734" s="427"/>
    </row>
    <row r="735">
      <c r="A735" s="283"/>
      <c r="B735" s="283"/>
      <c r="C735" s="245"/>
      <c r="F735" s="427"/>
    </row>
    <row r="736">
      <c r="A736" s="283"/>
      <c r="B736" s="283"/>
      <c r="C736" s="245"/>
      <c r="F736" s="427"/>
    </row>
    <row r="737">
      <c r="A737" s="283"/>
      <c r="B737" s="283"/>
      <c r="C737" s="245"/>
      <c r="F737" s="427"/>
    </row>
    <row r="738">
      <c r="A738" s="283"/>
      <c r="B738" s="283"/>
      <c r="C738" s="245"/>
      <c r="F738" s="427"/>
    </row>
    <row r="739">
      <c r="A739" s="283"/>
      <c r="B739" s="283"/>
      <c r="C739" s="245"/>
      <c r="F739" s="427"/>
    </row>
    <row r="740">
      <c r="A740" s="283"/>
      <c r="B740" s="283"/>
      <c r="C740" s="245"/>
      <c r="F740" s="427"/>
    </row>
    <row r="741">
      <c r="A741" s="283"/>
      <c r="B741" s="283"/>
      <c r="C741" s="245"/>
      <c r="F741" s="427"/>
    </row>
    <row r="742">
      <c r="A742" s="283"/>
      <c r="B742" s="283"/>
      <c r="C742" s="245"/>
      <c r="F742" s="427"/>
    </row>
    <row r="743">
      <c r="A743" s="283"/>
      <c r="B743" s="283"/>
      <c r="C743" s="245"/>
      <c r="F743" s="427"/>
    </row>
    <row r="744">
      <c r="A744" s="283"/>
      <c r="B744" s="283"/>
      <c r="C744" s="245"/>
      <c r="F744" s="427"/>
    </row>
    <row r="745">
      <c r="A745" s="283"/>
      <c r="B745" s="283"/>
      <c r="C745" s="245"/>
      <c r="F745" s="427"/>
    </row>
    <row r="746">
      <c r="A746" s="283"/>
      <c r="B746" s="283"/>
      <c r="C746" s="245"/>
      <c r="F746" s="427"/>
    </row>
    <row r="747">
      <c r="A747" s="283"/>
      <c r="B747" s="283"/>
      <c r="C747" s="245"/>
      <c r="F747" s="427"/>
    </row>
    <row r="748">
      <c r="A748" s="283"/>
      <c r="B748" s="283"/>
      <c r="C748" s="245"/>
      <c r="F748" s="427"/>
    </row>
    <row r="749">
      <c r="A749" s="283"/>
      <c r="B749" s="283"/>
      <c r="C749" s="245"/>
      <c r="F749" s="427"/>
    </row>
    <row r="750">
      <c r="A750" s="283"/>
      <c r="B750" s="283"/>
      <c r="C750" s="245"/>
      <c r="F750" s="427"/>
    </row>
    <row r="751">
      <c r="A751" s="283"/>
      <c r="B751" s="283"/>
      <c r="C751" s="245"/>
      <c r="F751" s="427"/>
    </row>
    <row r="752">
      <c r="A752" s="283"/>
      <c r="B752" s="283"/>
      <c r="C752" s="245"/>
      <c r="F752" s="427"/>
    </row>
    <row r="753">
      <c r="A753" s="283"/>
      <c r="B753" s="283"/>
      <c r="C753" s="245"/>
      <c r="F753" s="427"/>
    </row>
    <row r="754">
      <c r="A754" s="283"/>
      <c r="B754" s="283"/>
      <c r="C754" s="245"/>
      <c r="F754" s="427"/>
    </row>
    <row r="755">
      <c r="A755" s="283"/>
      <c r="B755" s="283"/>
      <c r="C755" s="245"/>
      <c r="F755" s="427"/>
    </row>
    <row r="756">
      <c r="A756" s="283"/>
      <c r="B756" s="283"/>
      <c r="C756" s="245"/>
      <c r="F756" s="427"/>
    </row>
    <row r="757">
      <c r="A757" s="283"/>
      <c r="B757" s="283"/>
      <c r="C757" s="245"/>
      <c r="F757" s="427"/>
    </row>
    <row r="758">
      <c r="A758" s="283"/>
      <c r="B758" s="283"/>
      <c r="C758" s="245"/>
      <c r="F758" s="427"/>
    </row>
    <row r="759">
      <c r="A759" s="283"/>
      <c r="B759" s="283"/>
      <c r="C759" s="245"/>
      <c r="F759" s="427"/>
    </row>
    <row r="760">
      <c r="A760" s="283"/>
      <c r="B760" s="283"/>
      <c r="C760" s="245"/>
      <c r="F760" s="427"/>
    </row>
    <row r="761">
      <c r="A761" s="283"/>
      <c r="B761" s="283"/>
      <c r="C761" s="245"/>
      <c r="F761" s="427"/>
    </row>
    <row r="762">
      <c r="A762" s="283"/>
      <c r="B762" s="283"/>
      <c r="C762" s="245"/>
      <c r="F762" s="427"/>
    </row>
    <row r="763">
      <c r="A763" s="283"/>
      <c r="B763" s="283"/>
      <c r="C763" s="245"/>
      <c r="F763" s="427"/>
    </row>
    <row r="764">
      <c r="A764" s="283"/>
      <c r="B764" s="283"/>
      <c r="C764" s="245"/>
      <c r="F764" s="427"/>
    </row>
    <row r="765">
      <c r="A765" s="283"/>
      <c r="B765" s="283"/>
      <c r="C765" s="245"/>
      <c r="F765" s="427"/>
    </row>
    <row r="766">
      <c r="A766" s="283"/>
      <c r="B766" s="283"/>
      <c r="C766" s="245"/>
      <c r="F766" s="427"/>
    </row>
    <row r="767">
      <c r="A767" s="283"/>
      <c r="B767" s="283"/>
      <c r="C767" s="245"/>
      <c r="F767" s="427"/>
    </row>
    <row r="768">
      <c r="A768" s="283"/>
      <c r="B768" s="283"/>
      <c r="C768" s="245"/>
      <c r="F768" s="427"/>
    </row>
    <row r="769">
      <c r="A769" s="283"/>
      <c r="B769" s="283"/>
      <c r="C769" s="245"/>
      <c r="F769" s="427"/>
    </row>
    <row r="770">
      <c r="A770" s="283"/>
      <c r="B770" s="283"/>
      <c r="C770" s="245"/>
      <c r="F770" s="427"/>
    </row>
    <row r="771">
      <c r="A771" s="283"/>
      <c r="B771" s="283"/>
      <c r="C771" s="245"/>
      <c r="F771" s="427"/>
    </row>
    <row r="772">
      <c r="A772" s="283"/>
      <c r="B772" s="283"/>
      <c r="C772" s="245"/>
      <c r="F772" s="427"/>
    </row>
    <row r="773">
      <c r="A773" s="283"/>
      <c r="B773" s="283"/>
      <c r="C773" s="245"/>
      <c r="F773" s="427"/>
    </row>
    <row r="774">
      <c r="A774" s="283"/>
      <c r="B774" s="283"/>
      <c r="C774" s="245"/>
      <c r="F774" s="427"/>
    </row>
    <row r="775">
      <c r="A775" s="283"/>
      <c r="B775" s="283"/>
      <c r="C775" s="245"/>
      <c r="F775" s="427"/>
    </row>
    <row r="776">
      <c r="A776" s="283"/>
      <c r="B776" s="283"/>
      <c r="C776" s="245"/>
      <c r="F776" s="427"/>
    </row>
    <row r="777">
      <c r="A777" s="283"/>
      <c r="B777" s="283"/>
      <c r="C777" s="245"/>
      <c r="F777" s="427"/>
    </row>
    <row r="778">
      <c r="A778" s="283"/>
      <c r="B778" s="283"/>
      <c r="C778" s="245"/>
      <c r="F778" s="427"/>
    </row>
    <row r="779">
      <c r="A779" s="283"/>
      <c r="B779" s="283"/>
      <c r="C779" s="245"/>
      <c r="F779" s="427"/>
    </row>
    <row r="780">
      <c r="A780" s="283"/>
      <c r="B780" s="283"/>
      <c r="C780" s="245"/>
      <c r="F780" s="427"/>
    </row>
    <row r="781">
      <c r="A781" s="283"/>
      <c r="B781" s="283"/>
      <c r="C781" s="245"/>
      <c r="F781" s="427"/>
    </row>
    <row r="782">
      <c r="A782" s="283"/>
      <c r="B782" s="283"/>
      <c r="C782" s="245"/>
      <c r="F782" s="427"/>
    </row>
    <row r="783">
      <c r="A783" s="283"/>
      <c r="B783" s="283"/>
      <c r="C783" s="245"/>
      <c r="F783" s="427"/>
    </row>
    <row r="784">
      <c r="A784" s="283"/>
      <c r="B784" s="283"/>
      <c r="C784" s="245"/>
      <c r="F784" s="427"/>
    </row>
    <row r="785">
      <c r="A785" s="283"/>
      <c r="B785" s="283"/>
      <c r="C785" s="245"/>
      <c r="F785" s="427"/>
    </row>
    <row r="786">
      <c r="A786" s="283"/>
      <c r="B786" s="283"/>
      <c r="C786" s="245"/>
      <c r="F786" s="427"/>
    </row>
    <row r="787">
      <c r="A787" s="283"/>
      <c r="B787" s="283"/>
      <c r="C787" s="245"/>
      <c r="F787" s="427"/>
    </row>
    <row r="788">
      <c r="A788" s="283"/>
      <c r="B788" s="283"/>
      <c r="C788" s="245"/>
      <c r="F788" s="427"/>
    </row>
    <row r="789">
      <c r="A789" s="283"/>
      <c r="B789" s="283"/>
      <c r="C789" s="245"/>
      <c r="F789" s="427"/>
    </row>
    <row r="790">
      <c r="A790" s="283"/>
      <c r="B790" s="283"/>
      <c r="C790" s="245"/>
      <c r="F790" s="427"/>
    </row>
    <row r="791">
      <c r="A791" s="283"/>
      <c r="B791" s="283"/>
      <c r="C791" s="245"/>
      <c r="F791" s="427"/>
    </row>
    <row r="792">
      <c r="A792" s="283"/>
      <c r="B792" s="283"/>
      <c r="C792" s="245"/>
      <c r="F792" s="427"/>
    </row>
    <row r="793">
      <c r="A793" s="283"/>
      <c r="B793" s="283"/>
      <c r="C793" s="245"/>
      <c r="F793" s="427"/>
    </row>
    <row r="794">
      <c r="A794" s="283"/>
      <c r="B794" s="283"/>
      <c r="C794" s="245"/>
      <c r="F794" s="427"/>
    </row>
    <row r="795">
      <c r="A795" s="283"/>
      <c r="B795" s="283"/>
      <c r="C795" s="245"/>
      <c r="F795" s="427"/>
    </row>
    <row r="796">
      <c r="A796" s="283"/>
      <c r="B796" s="283"/>
      <c r="C796" s="245"/>
      <c r="F796" s="427"/>
    </row>
    <row r="797">
      <c r="A797" s="283"/>
      <c r="B797" s="283"/>
      <c r="C797" s="245"/>
      <c r="F797" s="427"/>
    </row>
    <row r="798">
      <c r="A798" s="283"/>
      <c r="B798" s="283"/>
      <c r="C798" s="245"/>
      <c r="F798" s="427"/>
    </row>
    <row r="799">
      <c r="A799" s="283"/>
      <c r="B799" s="283"/>
      <c r="C799" s="245"/>
      <c r="F799" s="427"/>
    </row>
    <row r="800">
      <c r="A800" s="283"/>
      <c r="B800" s="283"/>
      <c r="C800" s="245"/>
      <c r="F800" s="427"/>
    </row>
    <row r="801">
      <c r="A801" s="283"/>
      <c r="B801" s="283"/>
      <c r="C801" s="245"/>
      <c r="F801" s="427"/>
    </row>
    <row r="802">
      <c r="A802" s="283"/>
      <c r="B802" s="283"/>
      <c r="C802" s="245"/>
      <c r="F802" s="427"/>
    </row>
    <row r="803">
      <c r="A803" s="283"/>
      <c r="B803" s="283"/>
      <c r="C803" s="245"/>
      <c r="F803" s="427"/>
    </row>
    <row r="804">
      <c r="A804" s="283"/>
      <c r="B804" s="283"/>
      <c r="C804" s="245"/>
      <c r="F804" s="427"/>
    </row>
    <row r="805">
      <c r="A805" s="283"/>
      <c r="B805" s="283"/>
      <c r="C805" s="245"/>
      <c r="F805" s="427"/>
    </row>
    <row r="806">
      <c r="A806" s="283"/>
      <c r="B806" s="283"/>
      <c r="C806" s="245"/>
      <c r="F806" s="427"/>
    </row>
    <row r="807">
      <c r="A807" s="283"/>
      <c r="B807" s="283"/>
      <c r="C807" s="245"/>
      <c r="F807" s="427"/>
    </row>
    <row r="808">
      <c r="A808" s="283"/>
      <c r="B808" s="283"/>
      <c r="C808" s="245"/>
      <c r="F808" s="427"/>
    </row>
    <row r="809">
      <c r="A809" s="283"/>
      <c r="B809" s="283"/>
      <c r="C809" s="245"/>
      <c r="F809" s="427"/>
    </row>
    <row r="810">
      <c r="A810" s="283"/>
      <c r="B810" s="283"/>
      <c r="C810" s="245"/>
      <c r="F810" s="427"/>
    </row>
    <row r="811">
      <c r="A811" s="283"/>
      <c r="B811" s="283"/>
      <c r="C811" s="245"/>
      <c r="F811" s="427"/>
    </row>
    <row r="812">
      <c r="A812" s="283"/>
      <c r="B812" s="283"/>
      <c r="C812" s="245"/>
      <c r="F812" s="427"/>
    </row>
    <row r="813">
      <c r="A813" s="283"/>
      <c r="B813" s="283"/>
      <c r="C813" s="245"/>
      <c r="F813" s="427"/>
    </row>
    <row r="814">
      <c r="A814" s="283"/>
      <c r="B814" s="283"/>
      <c r="C814" s="245"/>
      <c r="F814" s="427"/>
    </row>
    <row r="815">
      <c r="A815" s="283"/>
      <c r="B815" s="283"/>
      <c r="C815" s="245"/>
      <c r="F815" s="427"/>
    </row>
    <row r="816">
      <c r="A816" s="283"/>
      <c r="B816" s="283"/>
      <c r="C816" s="245"/>
      <c r="F816" s="427"/>
    </row>
    <row r="817">
      <c r="A817" s="283"/>
      <c r="B817" s="283"/>
      <c r="C817" s="245"/>
      <c r="F817" s="427"/>
    </row>
    <row r="818">
      <c r="A818" s="283"/>
      <c r="B818" s="283"/>
      <c r="C818" s="245"/>
      <c r="F818" s="427"/>
    </row>
    <row r="819">
      <c r="A819" s="283"/>
      <c r="B819" s="283"/>
      <c r="C819" s="245"/>
      <c r="F819" s="427"/>
    </row>
    <row r="820">
      <c r="A820" s="283"/>
      <c r="B820" s="283"/>
      <c r="C820" s="245"/>
      <c r="F820" s="427"/>
    </row>
    <row r="821">
      <c r="A821" s="283"/>
      <c r="B821" s="283"/>
      <c r="C821" s="245"/>
      <c r="F821" s="427"/>
    </row>
    <row r="822">
      <c r="A822" s="283"/>
      <c r="B822" s="283"/>
      <c r="C822" s="245"/>
      <c r="F822" s="427"/>
    </row>
    <row r="823">
      <c r="A823" s="283"/>
      <c r="B823" s="283"/>
      <c r="C823" s="245"/>
      <c r="F823" s="427"/>
    </row>
    <row r="824">
      <c r="A824" s="283"/>
      <c r="B824" s="283"/>
      <c r="C824" s="245"/>
      <c r="F824" s="427"/>
    </row>
    <row r="825">
      <c r="A825" s="283"/>
      <c r="B825" s="283"/>
      <c r="C825" s="245"/>
      <c r="F825" s="427"/>
    </row>
    <row r="826">
      <c r="A826" s="283"/>
      <c r="B826" s="283"/>
      <c r="C826" s="245"/>
      <c r="F826" s="427"/>
    </row>
    <row r="827">
      <c r="A827" s="283"/>
      <c r="B827" s="283"/>
      <c r="C827" s="245"/>
      <c r="F827" s="427"/>
    </row>
    <row r="828">
      <c r="A828" s="283"/>
      <c r="B828" s="283"/>
      <c r="C828" s="245"/>
      <c r="F828" s="427"/>
    </row>
    <row r="829">
      <c r="A829" s="283"/>
      <c r="B829" s="283"/>
      <c r="C829" s="245"/>
      <c r="F829" s="427"/>
    </row>
    <row r="830">
      <c r="A830" s="283"/>
      <c r="B830" s="283"/>
      <c r="C830" s="245"/>
      <c r="F830" s="427"/>
    </row>
    <row r="831">
      <c r="A831" s="283"/>
      <c r="B831" s="283"/>
      <c r="C831" s="245"/>
      <c r="F831" s="427"/>
    </row>
    <row r="832">
      <c r="A832" s="283"/>
      <c r="B832" s="283"/>
      <c r="C832" s="245"/>
      <c r="F832" s="427"/>
    </row>
    <row r="833">
      <c r="A833" s="283"/>
      <c r="B833" s="283"/>
      <c r="C833" s="245"/>
      <c r="F833" s="427"/>
    </row>
    <row r="834">
      <c r="A834" s="283"/>
      <c r="B834" s="283"/>
      <c r="C834" s="245"/>
      <c r="F834" s="427"/>
    </row>
    <row r="835">
      <c r="A835" s="283"/>
      <c r="B835" s="283"/>
      <c r="C835" s="245"/>
      <c r="F835" s="427"/>
    </row>
    <row r="836">
      <c r="A836" s="283"/>
      <c r="B836" s="283"/>
      <c r="C836" s="245"/>
      <c r="F836" s="427"/>
    </row>
    <row r="837">
      <c r="A837" s="283"/>
      <c r="B837" s="283"/>
      <c r="C837" s="245"/>
      <c r="F837" s="427"/>
    </row>
    <row r="838">
      <c r="A838" s="283"/>
      <c r="B838" s="283"/>
      <c r="C838" s="245"/>
      <c r="F838" s="427"/>
    </row>
    <row r="839">
      <c r="A839" s="283"/>
      <c r="B839" s="283"/>
      <c r="C839" s="245"/>
      <c r="F839" s="427"/>
    </row>
    <row r="840">
      <c r="A840" s="283"/>
      <c r="B840" s="283"/>
      <c r="C840" s="245"/>
      <c r="F840" s="427"/>
    </row>
    <row r="841">
      <c r="A841" s="283"/>
      <c r="B841" s="283"/>
      <c r="C841" s="245"/>
      <c r="F841" s="427"/>
    </row>
    <row r="842">
      <c r="A842" s="283"/>
      <c r="B842" s="283"/>
      <c r="C842" s="245"/>
      <c r="F842" s="427"/>
    </row>
    <row r="843">
      <c r="A843" s="283"/>
      <c r="B843" s="283"/>
      <c r="C843" s="245"/>
      <c r="F843" s="427"/>
    </row>
    <row r="844">
      <c r="A844" s="283"/>
      <c r="B844" s="283"/>
      <c r="C844" s="245"/>
      <c r="F844" s="427"/>
    </row>
    <row r="845">
      <c r="A845" s="283"/>
      <c r="B845" s="283"/>
      <c r="C845" s="245"/>
      <c r="F845" s="427"/>
    </row>
    <row r="846">
      <c r="A846" s="283"/>
      <c r="B846" s="283"/>
      <c r="C846" s="245"/>
      <c r="F846" s="427"/>
    </row>
    <row r="847">
      <c r="A847" s="283"/>
      <c r="B847" s="283"/>
      <c r="C847" s="245"/>
      <c r="F847" s="427"/>
    </row>
    <row r="848">
      <c r="A848" s="283"/>
      <c r="B848" s="283"/>
      <c r="C848" s="245"/>
      <c r="F848" s="427"/>
    </row>
    <row r="849">
      <c r="A849" s="283"/>
      <c r="B849" s="283"/>
      <c r="C849" s="245"/>
      <c r="F849" s="427"/>
    </row>
    <row r="850">
      <c r="A850" s="283"/>
      <c r="B850" s="283"/>
      <c r="C850" s="245"/>
      <c r="F850" s="427"/>
    </row>
    <row r="851">
      <c r="A851" s="283"/>
      <c r="B851" s="283"/>
      <c r="C851" s="245"/>
      <c r="F851" s="427"/>
    </row>
    <row r="852">
      <c r="A852" s="283"/>
      <c r="B852" s="283"/>
      <c r="C852" s="245"/>
      <c r="F852" s="427"/>
    </row>
    <row r="853">
      <c r="A853" s="283"/>
      <c r="B853" s="283"/>
      <c r="C853" s="245"/>
      <c r="F853" s="427"/>
    </row>
    <row r="854">
      <c r="A854" s="283"/>
      <c r="B854" s="283"/>
      <c r="C854" s="245"/>
      <c r="F854" s="427"/>
    </row>
    <row r="855">
      <c r="A855" s="283"/>
      <c r="B855" s="283"/>
      <c r="C855" s="245"/>
      <c r="F855" s="427"/>
    </row>
    <row r="856">
      <c r="A856" s="283"/>
      <c r="B856" s="283"/>
      <c r="C856" s="245"/>
      <c r="F856" s="427"/>
    </row>
    <row r="857">
      <c r="A857" s="283"/>
      <c r="B857" s="283"/>
      <c r="C857" s="245"/>
      <c r="F857" s="427"/>
    </row>
    <row r="858">
      <c r="A858" s="283"/>
      <c r="B858" s="283"/>
      <c r="C858" s="245"/>
      <c r="F858" s="427"/>
    </row>
    <row r="859">
      <c r="A859" s="283"/>
      <c r="B859" s="283"/>
      <c r="C859" s="245"/>
      <c r="F859" s="427"/>
    </row>
    <row r="860">
      <c r="A860" s="283"/>
      <c r="B860" s="283"/>
      <c r="C860" s="245"/>
      <c r="F860" s="427"/>
    </row>
    <row r="861">
      <c r="A861" s="283"/>
      <c r="B861" s="283"/>
      <c r="C861" s="245"/>
      <c r="F861" s="427"/>
    </row>
    <row r="862">
      <c r="A862" s="283"/>
      <c r="B862" s="283"/>
      <c r="C862" s="245"/>
      <c r="F862" s="427"/>
    </row>
    <row r="863">
      <c r="A863" s="283"/>
      <c r="B863" s="283"/>
      <c r="C863" s="245"/>
      <c r="F863" s="427"/>
    </row>
    <row r="864">
      <c r="A864" s="283"/>
      <c r="B864" s="283"/>
      <c r="C864" s="245"/>
      <c r="F864" s="427"/>
    </row>
    <row r="865">
      <c r="A865" s="283"/>
      <c r="B865" s="283"/>
      <c r="C865" s="245"/>
      <c r="F865" s="427"/>
    </row>
    <row r="866">
      <c r="A866" s="283"/>
      <c r="B866" s="283"/>
      <c r="C866" s="245"/>
      <c r="F866" s="427"/>
    </row>
    <row r="867">
      <c r="A867" s="283"/>
      <c r="B867" s="283"/>
      <c r="C867" s="245"/>
      <c r="F867" s="427"/>
    </row>
    <row r="868">
      <c r="A868" s="283"/>
      <c r="B868" s="283"/>
      <c r="C868" s="245"/>
      <c r="F868" s="427"/>
    </row>
    <row r="869">
      <c r="A869" s="283"/>
      <c r="B869" s="283"/>
      <c r="C869" s="245"/>
      <c r="F869" s="427"/>
    </row>
    <row r="870">
      <c r="A870" s="283"/>
      <c r="B870" s="283"/>
      <c r="C870" s="245"/>
      <c r="F870" s="427"/>
    </row>
    <row r="871">
      <c r="A871" s="283"/>
      <c r="B871" s="283"/>
      <c r="C871" s="245"/>
      <c r="F871" s="427"/>
    </row>
    <row r="872">
      <c r="A872" s="283"/>
      <c r="B872" s="283"/>
      <c r="C872" s="245"/>
      <c r="F872" s="427"/>
    </row>
    <row r="873">
      <c r="A873" s="283"/>
      <c r="B873" s="283"/>
      <c r="C873" s="245"/>
      <c r="F873" s="427"/>
    </row>
    <row r="874">
      <c r="A874" s="283"/>
      <c r="B874" s="283"/>
      <c r="C874" s="245"/>
      <c r="F874" s="427"/>
    </row>
    <row r="875">
      <c r="A875" s="283"/>
      <c r="B875" s="283"/>
      <c r="C875" s="245"/>
      <c r="F875" s="427"/>
    </row>
    <row r="876">
      <c r="A876" s="283"/>
      <c r="B876" s="283"/>
      <c r="C876" s="245"/>
      <c r="F876" s="427"/>
    </row>
    <row r="877">
      <c r="A877" s="283"/>
      <c r="B877" s="283"/>
      <c r="C877" s="245"/>
      <c r="F877" s="427"/>
    </row>
    <row r="878">
      <c r="A878" s="283"/>
      <c r="B878" s="283"/>
      <c r="C878" s="245"/>
      <c r="F878" s="427"/>
    </row>
    <row r="879">
      <c r="A879" s="283"/>
      <c r="B879" s="283"/>
      <c r="C879" s="245"/>
      <c r="F879" s="427"/>
    </row>
    <row r="880">
      <c r="A880" s="283"/>
      <c r="B880" s="283"/>
      <c r="C880" s="245"/>
      <c r="F880" s="427"/>
    </row>
    <row r="881">
      <c r="A881" s="283"/>
      <c r="B881" s="283"/>
      <c r="C881" s="245"/>
      <c r="F881" s="427"/>
    </row>
    <row r="882">
      <c r="A882" s="283"/>
      <c r="B882" s="283"/>
      <c r="C882" s="245"/>
      <c r="F882" s="427"/>
    </row>
    <row r="883">
      <c r="A883" s="283"/>
      <c r="B883" s="283"/>
      <c r="C883" s="245"/>
      <c r="F883" s="427"/>
    </row>
    <row r="884">
      <c r="A884" s="283"/>
      <c r="B884" s="283"/>
      <c r="C884" s="245"/>
      <c r="F884" s="427"/>
    </row>
    <row r="885">
      <c r="A885" s="283"/>
      <c r="B885" s="283"/>
      <c r="C885" s="245"/>
      <c r="F885" s="427"/>
    </row>
    <row r="886">
      <c r="A886" s="283"/>
      <c r="B886" s="283"/>
      <c r="C886" s="245"/>
      <c r="F886" s="427"/>
    </row>
    <row r="887">
      <c r="A887" s="283"/>
      <c r="B887" s="283"/>
      <c r="C887" s="245"/>
      <c r="F887" s="427"/>
    </row>
    <row r="888">
      <c r="A888" s="283"/>
      <c r="B888" s="283"/>
      <c r="C888" s="245"/>
      <c r="F888" s="427"/>
    </row>
    <row r="889">
      <c r="A889" s="283"/>
      <c r="B889" s="283"/>
      <c r="C889" s="245"/>
      <c r="F889" s="427"/>
    </row>
    <row r="890">
      <c r="A890" s="283"/>
      <c r="B890" s="283"/>
      <c r="C890" s="245"/>
      <c r="F890" s="427"/>
    </row>
    <row r="891">
      <c r="A891" s="283"/>
      <c r="B891" s="283"/>
      <c r="C891" s="245"/>
      <c r="F891" s="427"/>
    </row>
    <row r="892">
      <c r="A892" s="283"/>
      <c r="B892" s="283"/>
      <c r="C892" s="245"/>
      <c r="F892" s="427"/>
    </row>
    <row r="893">
      <c r="A893" s="283"/>
      <c r="B893" s="283"/>
      <c r="C893" s="245"/>
      <c r="F893" s="427"/>
    </row>
    <row r="894">
      <c r="A894" s="283"/>
      <c r="B894" s="283"/>
      <c r="C894" s="245"/>
      <c r="F894" s="427"/>
    </row>
    <row r="895">
      <c r="A895" s="283"/>
      <c r="B895" s="283"/>
      <c r="C895" s="245"/>
      <c r="F895" s="427"/>
    </row>
    <row r="896">
      <c r="A896" s="283"/>
      <c r="B896" s="283"/>
      <c r="C896" s="245"/>
      <c r="F896" s="427"/>
    </row>
    <row r="897">
      <c r="A897" s="283"/>
      <c r="B897" s="283"/>
      <c r="C897" s="245"/>
      <c r="F897" s="427"/>
    </row>
    <row r="898">
      <c r="A898" s="283"/>
      <c r="B898" s="283"/>
      <c r="C898" s="245"/>
      <c r="F898" s="427"/>
    </row>
    <row r="899">
      <c r="A899" s="283"/>
      <c r="B899" s="283"/>
      <c r="C899" s="245"/>
      <c r="F899" s="427"/>
    </row>
    <row r="900">
      <c r="A900" s="283"/>
      <c r="B900" s="283"/>
      <c r="C900" s="245"/>
      <c r="F900" s="427"/>
    </row>
    <row r="901">
      <c r="A901" s="283"/>
      <c r="B901" s="283"/>
      <c r="C901" s="245"/>
      <c r="F901" s="427"/>
    </row>
    <row r="902">
      <c r="A902" s="283"/>
      <c r="B902" s="283"/>
      <c r="C902" s="245"/>
      <c r="F902" s="427"/>
    </row>
    <row r="903">
      <c r="A903" s="283"/>
      <c r="B903" s="283"/>
      <c r="C903" s="245"/>
      <c r="F903" s="427"/>
    </row>
    <row r="904">
      <c r="A904" s="283"/>
      <c r="B904" s="283"/>
      <c r="C904" s="245"/>
      <c r="F904" s="427"/>
    </row>
    <row r="905">
      <c r="A905" s="283"/>
      <c r="B905" s="283"/>
      <c r="C905" s="245"/>
      <c r="F905" s="427"/>
    </row>
    <row r="906">
      <c r="A906" s="283"/>
      <c r="B906" s="283"/>
      <c r="C906" s="245"/>
      <c r="F906" s="427"/>
    </row>
    <row r="907">
      <c r="A907" s="283"/>
      <c r="B907" s="283"/>
      <c r="C907" s="245"/>
      <c r="F907" s="427"/>
    </row>
    <row r="908">
      <c r="A908" s="283"/>
      <c r="B908" s="283"/>
      <c r="C908" s="245"/>
      <c r="F908" s="427"/>
    </row>
    <row r="909">
      <c r="A909" s="283"/>
      <c r="B909" s="283"/>
      <c r="C909" s="245"/>
      <c r="F909" s="427"/>
    </row>
    <row r="910">
      <c r="A910" s="283"/>
      <c r="B910" s="283"/>
      <c r="C910" s="245"/>
      <c r="F910" s="427"/>
    </row>
    <row r="911">
      <c r="A911" s="283"/>
      <c r="B911" s="283"/>
      <c r="C911" s="245"/>
      <c r="F911" s="427"/>
    </row>
    <row r="912">
      <c r="A912" s="283"/>
      <c r="B912" s="283"/>
      <c r="C912" s="245"/>
      <c r="F912" s="427"/>
    </row>
    <row r="913">
      <c r="A913" s="283"/>
      <c r="B913" s="283"/>
      <c r="C913" s="245"/>
      <c r="F913" s="427"/>
    </row>
    <row r="914">
      <c r="A914" s="283"/>
      <c r="B914" s="283"/>
      <c r="C914" s="245"/>
      <c r="F914" s="427"/>
    </row>
    <row r="915">
      <c r="A915" s="283"/>
      <c r="B915" s="283"/>
      <c r="C915" s="245"/>
      <c r="F915" s="427"/>
    </row>
    <row r="916">
      <c r="A916" s="283"/>
      <c r="B916" s="283"/>
      <c r="C916" s="245"/>
      <c r="F916" s="427"/>
    </row>
    <row r="917">
      <c r="A917" s="283"/>
      <c r="B917" s="283"/>
      <c r="C917" s="245"/>
      <c r="F917" s="427"/>
    </row>
    <row r="918">
      <c r="A918" s="283"/>
      <c r="B918" s="283"/>
      <c r="C918" s="245"/>
      <c r="F918" s="427"/>
    </row>
    <row r="919">
      <c r="A919" s="283"/>
      <c r="B919" s="283"/>
      <c r="C919" s="245"/>
      <c r="F919" s="427"/>
    </row>
    <row r="920">
      <c r="A920" s="283"/>
      <c r="B920" s="283"/>
      <c r="C920" s="245"/>
      <c r="F920" s="427"/>
    </row>
    <row r="921">
      <c r="A921" s="283"/>
      <c r="B921" s="283"/>
      <c r="C921" s="245"/>
      <c r="F921" s="427"/>
    </row>
    <row r="922">
      <c r="A922" s="283"/>
      <c r="B922" s="283"/>
      <c r="C922" s="245"/>
      <c r="F922" s="427"/>
    </row>
    <row r="923">
      <c r="A923" s="283"/>
      <c r="B923" s="283"/>
      <c r="C923" s="245"/>
      <c r="F923" s="427"/>
    </row>
    <row r="924">
      <c r="A924" s="283"/>
      <c r="B924" s="283"/>
      <c r="C924" s="245"/>
      <c r="F924" s="427"/>
    </row>
    <row r="925">
      <c r="A925" s="283"/>
      <c r="B925" s="283"/>
      <c r="C925" s="245"/>
      <c r="F925" s="427"/>
    </row>
    <row r="926">
      <c r="A926" s="283"/>
      <c r="B926" s="283"/>
      <c r="C926" s="245"/>
      <c r="F926" s="427"/>
    </row>
    <row r="927">
      <c r="A927" s="283"/>
      <c r="B927" s="283"/>
      <c r="C927" s="245"/>
      <c r="F927" s="427"/>
    </row>
    <row r="928">
      <c r="A928" s="283"/>
      <c r="B928" s="283"/>
      <c r="C928" s="245"/>
      <c r="F928" s="427"/>
    </row>
    <row r="929">
      <c r="A929" s="283"/>
      <c r="B929" s="283"/>
      <c r="C929" s="245"/>
      <c r="F929" s="427"/>
    </row>
    <row r="930">
      <c r="A930" s="283"/>
      <c r="B930" s="283"/>
      <c r="C930" s="245"/>
      <c r="F930" s="427"/>
    </row>
    <row r="931">
      <c r="A931" s="283"/>
      <c r="B931" s="283"/>
      <c r="C931" s="245"/>
      <c r="F931" s="427"/>
    </row>
    <row r="932">
      <c r="A932" s="283"/>
      <c r="B932" s="283"/>
      <c r="C932" s="245"/>
      <c r="F932" s="427"/>
    </row>
    <row r="933">
      <c r="A933" s="283"/>
      <c r="B933" s="283"/>
      <c r="C933" s="245"/>
      <c r="F933" s="427"/>
    </row>
    <row r="934">
      <c r="A934" s="283"/>
      <c r="B934" s="283"/>
      <c r="C934" s="245"/>
      <c r="F934" s="427"/>
    </row>
    <row r="935">
      <c r="A935" s="283"/>
      <c r="B935" s="283"/>
      <c r="C935" s="245"/>
      <c r="F935" s="427"/>
    </row>
    <row r="936">
      <c r="A936" s="283"/>
      <c r="B936" s="283"/>
      <c r="C936" s="245"/>
      <c r="F936" s="427"/>
    </row>
    <row r="937">
      <c r="A937" s="283"/>
      <c r="B937" s="283"/>
      <c r="C937" s="245"/>
      <c r="F937" s="427"/>
    </row>
    <row r="938">
      <c r="A938" s="283"/>
      <c r="B938" s="283"/>
      <c r="C938" s="245"/>
      <c r="F938" s="427"/>
    </row>
    <row r="939">
      <c r="A939" s="283"/>
      <c r="B939" s="283"/>
      <c r="C939" s="245"/>
      <c r="F939" s="427"/>
    </row>
    <row r="940">
      <c r="A940" s="283"/>
      <c r="B940" s="283"/>
      <c r="C940" s="245"/>
      <c r="F940" s="427"/>
    </row>
    <row r="941">
      <c r="A941" s="283"/>
      <c r="B941" s="283"/>
      <c r="C941" s="245"/>
      <c r="F941" s="427"/>
    </row>
    <row r="942">
      <c r="A942" s="283"/>
      <c r="B942" s="283"/>
      <c r="C942" s="245"/>
      <c r="F942" s="427"/>
    </row>
    <row r="943">
      <c r="A943" s="283"/>
      <c r="B943" s="283"/>
      <c r="C943" s="245"/>
      <c r="F943" s="427"/>
    </row>
    <row r="944">
      <c r="A944" s="283"/>
      <c r="B944" s="283"/>
      <c r="C944" s="245"/>
      <c r="F944" s="427"/>
    </row>
    <row r="945">
      <c r="A945" s="283"/>
      <c r="B945" s="283"/>
      <c r="C945" s="245"/>
      <c r="F945" s="427"/>
    </row>
    <row r="946">
      <c r="A946" s="283"/>
      <c r="B946" s="283"/>
      <c r="C946" s="245"/>
      <c r="F946" s="427"/>
    </row>
    <row r="947">
      <c r="A947" s="283"/>
      <c r="B947" s="283"/>
      <c r="C947" s="245"/>
      <c r="F947" s="427"/>
    </row>
    <row r="948">
      <c r="A948" s="283"/>
      <c r="B948" s="283"/>
      <c r="C948" s="245"/>
      <c r="F948" s="427"/>
    </row>
    <row r="949">
      <c r="A949" s="283"/>
      <c r="B949" s="283"/>
      <c r="C949" s="245"/>
      <c r="F949" s="427"/>
    </row>
    <row r="950">
      <c r="A950" s="283"/>
      <c r="B950" s="283"/>
      <c r="C950" s="245"/>
      <c r="F950" s="427"/>
    </row>
    <row r="951">
      <c r="A951" s="283"/>
      <c r="B951" s="283"/>
      <c r="C951" s="245"/>
      <c r="F951" s="427"/>
    </row>
    <row r="952">
      <c r="A952" s="283"/>
      <c r="B952" s="283"/>
      <c r="C952" s="245"/>
      <c r="F952" s="427"/>
    </row>
    <row r="953">
      <c r="A953" s="283"/>
      <c r="B953" s="283"/>
      <c r="C953" s="245"/>
      <c r="F953" s="427"/>
    </row>
    <row r="954">
      <c r="A954" s="283"/>
      <c r="B954" s="283"/>
      <c r="C954" s="245"/>
      <c r="F954" s="427"/>
    </row>
    <row r="955">
      <c r="A955" s="283"/>
      <c r="B955" s="283"/>
      <c r="C955" s="245"/>
      <c r="F955" s="427"/>
    </row>
    <row r="956">
      <c r="A956" s="283"/>
      <c r="B956" s="283"/>
      <c r="C956" s="245"/>
      <c r="F956" s="427"/>
    </row>
    <row r="957">
      <c r="A957" s="283"/>
      <c r="B957" s="283"/>
      <c r="C957" s="245"/>
      <c r="F957" s="427"/>
    </row>
    <row r="958">
      <c r="A958" s="283"/>
      <c r="B958" s="283"/>
      <c r="C958" s="245"/>
      <c r="F958" s="427"/>
    </row>
    <row r="959">
      <c r="A959" s="283"/>
      <c r="B959" s="283"/>
      <c r="C959" s="245"/>
      <c r="F959" s="427"/>
    </row>
    <row r="960">
      <c r="A960" s="283"/>
      <c r="B960" s="283"/>
      <c r="C960" s="245"/>
      <c r="F960" s="427"/>
    </row>
    <row r="961">
      <c r="A961" s="283"/>
      <c r="B961" s="283"/>
      <c r="C961" s="245"/>
      <c r="F961" s="427"/>
    </row>
    <row r="962">
      <c r="A962" s="283"/>
      <c r="B962" s="283"/>
      <c r="C962" s="245"/>
      <c r="F962" s="427"/>
    </row>
    <row r="963">
      <c r="A963" s="283"/>
      <c r="B963" s="283"/>
      <c r="C963" s="245"/>
      <c r="F963" s="427"/>
    </row>
    <row r="964">
      <c r="A964" s="283"/>
      <c r="B964" s="283"/>
      <c r="C964" s="245"/>
      <c r="F964" s="427"/>
    </row>
    <row r="965">
      <c r="A965" s="283"/>
      <c r="B965" s="283"/>
      <c r="C965" s="245"/>
      <c r="F965" s="427"/>
    </row>
    <row r="966">
      <c r="A966" s="283"/>
      <c r="B966" s="283"/>
      <c r="C966" s="245"/>
      <c r="F966" s="427"/>
    </row>
    <row r="967">
      <c r="A967" s="283"/>
      <c r="B967" s="283"/>
      <c r="C967" s="245"/>
      <c r="F967" s="427"/>
    </row>
    <row r="968">
      <c r="A968" s="283"/>
      <c r="B968" s="283"/>
      <c r="C968" s="245"/>
      <c r="F968" s="427"/>
    </row>
    <row r="969">
      <c r="A969" s="283"/>
      <c r="B969" s="283"/>
      <c r="C969" s="245"/>
      <c r="F969" s="427"/>
    </row>
    <row r="970">
      <c r="A970" s="283"/>
      <c r="B970" s="283"/>
      <c r="C970" s="245"/>
      <c r="F970" s="427"/>
    </row>
    <row r="971">
      <c r="A971" s="283"/>
      <c r="B971" s="283"/>
      <c r="C971" s="245"/>
      <c r="F971" s="427"/>
    </row>
    <row r="972">
      <c r="A972" s="283"/>
      <c r="B972" s="283"/>
      <c r="C972" s="245"/>
      <c r="F972" s="427"/>
    </row>
    <row r="973">
      <c r="A973" s="283"/>
      <c r="B973" s="283"/>
      <c r="C973" s="245"/>
      <c r="F973" s="427"/>
    </row>
    <row r="974">
      <c r="A974" s="283"/>
      <c r="B974" s="283"/>
      <c r="C974" s="245"/>
      <c r="F974" s="427"/>
    </row>
    <row r="975">
      <c r="A975" s="283"/>
      <c r="B975" s="283"/>
      <c r="C975" s="245"/>
      <c r="F975" s="427"/>
    </row>
    <row r="976">
      <c r="A976" s="283"/>
      <c r="B976" s="283"/>
      <c r="C976" s="245"/>
      <c r="F976" s="427"/>
    </row>
    <row r="977">
      <c r="A977" s="283"/>
      <c r="B977" s="283"/>
      <c r="C977" s="245"/>
      <c r="F977" s="427"/>
    </row>
    <row r="978">
      <c r="A978" s="283"/>
      <c r="B978" s="283"/>
      <c r="C978" s="245"/>
      <c r="F978" s="427"/>
    </row>
    <row r="979">
      <c r="A979" s="283"/>
      <c r="B979" s="283"/>
      <c r="C979" s="245"/>
      <c r="F979" s="427"/>
    </row>
    <row r="980">
      <c r="A980" s="283"/>
      <c r="B980" s="283"/>
      <c r="C980" s="245"/>
      <c r="F980" s="427"/>
    </row>
  </sheetData>
  <autoFilter ref="$A$1:$H$666">
    <filterColumn colId="1">
      <filters>
        <filter val="14465"/>
      </filters>
    </filterColumn>
  </autoFilter>
  <mergeCells count="3">
    <mergeCell ref="V574:V588"/>
    <mergeCell ref="G579:G588"/>
    <mergeCell ref="V590:V599"/>
  </mergeCells>
  <hyperlinks>
    <hyperlink r:id="rId1" ref="B132"/>
    <hyperlink r:id="rId2" ref="U132"/>
  </hyperlinks>
  <drawing r:id="rId3"/>
</worksheet>
</file>

<file path=xl/worksheets/sheet5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20.5"/>
    <col customWidth="1" min="5" max="5" width="26.13"/>
    <col hidden="1" min="8" max="18" width="12.63"/>
  </cols>
  <sheetData>
    <row r="1">
      <c r="A1" s="12" t="s">
        <v>4271</v>
      </c>
      <c r="B1" s="12" t="s">
        <v>4272</v>
      </c>
      <c r="C1" s="57" t="s">
        <v>294</v>
      </c>
      <c r="D1" s="55" t="s">
        <v>248</v>
      </c>
      <c r="E1" s="348" t="s">
        <v>249</v>
      </c>
      <c r="F1" s="349" t="s">
        <v>250</v>
      </c>
      <c r="L1" s="11" t="s">
        <v>4271</v>
      </c>
      <c r="M1" s="11" t="s">
        <v>4272</v>
      </c>
      <c r="N1" s="11" t="s">
        <v>252</v>
      </c>
      <c r="O1" s="398" t="s">
        <v>9526</v>
      </c>
    </row>
    <row r="2">
      <c r="A2" s="57" t="s">
        <v>9527</v>
      </c>
      <c r="B2" s="25">
        <v>6726.0</v>
      </c>
      <c r="C2" s="25" t="s">
        <v>9528</v>
      </c>
      <c r="D2" s="411"/>
      <c r="E2" s="411"/>
      <c r="F2" s="348"/>
      <c r="L2" s="287" t="s">
        <v>9527</v>
      </c>
      <c r="M2" s="35">
        <v>2345.0</v>
      </c>
      <c r="N2" s="448" t="e">
        <v>#N/A</v>
      </c>
      <c r="O2" s="245" t="e">
        <v>#N/A</v>
      </c>
    </row>
    <row r="3">
      <c r="A3" s="57" t="s">
        <v>9529</v>
      </c>
      <c r="B3" s="25">
        <v>6726.0</v>
      </c>
      <c r="C3" s="25" t="s">
        <v>9528</v>
      </c>
      <c r="D3" s="411"/>
      <c r="E3" s="411"/>
      <c r="F3" s="348"/>
      <c r="L3" s="287" t="s">
        <v>9529</v>
      </c>
      <c r="M3" s="35">
        <v>2345.0</v>
      </c>
      <c r="N3" s="448" t="e">
        <v>#N/A</v>
      </c>
      <c r="O3" s="245" t="e">
        <v>#N/A</v>
      </c>
    </row>
    <row r="4">
      <c r="A4" s="57" t="s">
        <v>9530</v>
      </c>
      <c r="B4" s="25">
        <v>6726.0</v>
      </c>
      <c r="C4" s="25" t="s">
        <v>9528</v>
      </c>
      <c r="D4" s="411"/>
      <c r="E4" s="411"/>
      <c r="F4" s="321"/>
      <c r="L4" s="287" t="s">
        <v>9530</v>
      </c>
      <c r="M4" s="35">
        <v>2345.0</v>
      </c>
      <c r="N4" s="448" t="e">
        <v>#N/A</v>
      </c>
      <c r="O4" s="245" t="e">
        <v>#N/A</v>
      </c>
    </row>
    <row r="5">
      <c r="A5" s="57" t="s">
        <v>9531</v>
      </c>
      <c r="B5" s="25">
        <v>6668.0</v>
      </c>
      <c r="C5" s="25" t="s">
        <v>9528</v>
      </c>
      <c r="D5" s="274"/>
      <c r="E5" s="411"/>
      <c r="F5" s="321"/>
      <c r="L5" s="287" t="s">
        <v>9531</v>
      </c>
      <c r="M5" s="35">
        <v>2345.0</v>
      </c>
      <c r="N5" s="448" t="e">
        <v>#N/A</v>
      </c>
      <c r="O5" s="245" t="e">
        <v>#N/A</v>
      </c>
    </row>
    <row r="6">
      <c r="A6" s="57" t="s">
        <v>9532</v>
      </c>
      <c r="B6" s="25">
        <v>6668.0</v>
      </c>
      <c r="C6" s="25" t="s">
        <v>9528</v>
      </c>
      <c r="D6" s="274"/>
      <c r="E6" s="411"/>
      <c r="F6" s="414"/>
      <c r="L6" s="287" t="s">
        <v>9532</v>
      </c>
      <c r="M6" s="35">
        <v>2345.0</v>
      </c>
      <c r="N6" s="448" t="e">
        <v>#N/A</v>
      </c>
      <c r="O6" s="245" t="e">
        <v>#N/A</v>
      </c>
    </row>
    <row r="7">
      <c r="A7" s="57" t="s">
        <v>9533</v>
      </c>
      <c r="B7" s="25">
        <v>13864.0</v>
      </c>
      <c r="C7" s="25" t="s">
        <v>9528</v>
      </c>
      <c r="D7" s="449"/>
      <c r="E7" s="449"/>
      <c r="F7" s="449"/>
      <c r="L7" s="287" t="s">
        <v>9533</v>
      </c>
      <c r="M7" s="35">
        <v>13864.0</v>
      </c>
      <c r="N7" s="448" t="e">
        <v>#N/A</v>
      </c>
      <c r="O7" s="245" t="e">
        <v>#N/A</v>
      </c>
    </row>
    <row r="8">
      <c r="A8" s="57" t="s">
        <v>9534</v>
      </c>
      <c r="B8" s="25">
        <v>6675.0</v>
      </c>
      <c r="C8" s="25" t="s">
        <v>9528</v>
      </c>
      <c r="D8" s="275"/>
      <c r="E8" s="275"/>
      <c r="F8" s="270"/>
      <c r="L8" s="287" t="s">
        <v>9534</v>
      </c>
      <c r="M8" s="35">
        <v>6675.0</v>
      </c>
      <c r="N8" s="448" t="e">
        <v>#N/A</v>
      </c>
      <c r="O8" s="450"/>
    </row>
    <row r="9">
      <c r="A9" s="57" t="s">
        <v>9535</v>
      </c>
      <c r="B9" s="25">
        <v>12553.0</v>
      </c>
      <c r="C9" s="25" t="s">
        <v>9528</v>
      </c>
      <c r="D9" s="174"/>
      <c r="E9" s="174"/>
      <c r="F9" s="39"/>
      <c r="L9" s="287" t="s">
        <v>9535</v>
      </c>
      <c r="M9" s="35">
        <v>7123.0</v>
      </c>
      <c r="N9" s="448" t="e">
        <v>#N/A</v>
      </c>
      <c r="O9" s="450"/>
    </row>
    <row r="10">
      <c r="A10" s="57" t="s">
        <v>9536</v>
      </c>
      <c r="B10" s="25">
        <v>6729.0</v>
      </c>
      <c r="C10" s="25" t="s">
        <v>9528</v>
      </c>
      <c r="D10" s="174"/>
      <c r="E10" s="174"/>
      <c r="F10" s="39"/>
      <c r="L10" s="195" t="s">
        <v>9536</v>
      </c>
      <c r="M10" s="11">
        <v>6729.0</v>
      </c>
      <c r="N10" s="451">
        <v>1.0</v>
      </c>
      <c r="O10" s="450"/>
    </row>
    <row r="11">
      <c r="A11" s="57" t="s">
        <v>9537</v>
      </c>
      <c r="B11" s="25">
        <v>6772.0</v>
      </c>
      <c r="C11" s="25" t="s">
        <v>9528</v>
      </c>
      <c r="D11" s="174"/>
      <c r="E11" s="174"/>
      <c r="F11" s="39"/>
      <c r="L11" s="195" t="s">
        <v>9537</v>
      </c>
      <c r="M11" s="11">
        <v>6772.0</v>
      </c>
      <c r="N11" s="451">
        <v>1.0</v>
      </c>
      <c r="O11" s="450"/>
    </row>
    <row r="12">
      <c r="A12" s="57" t="s">
        <v>9538</v>
      </c>
      <c r="B12" s="25">
        <v>7033.0</v>
      </c>
      <c r="C12" s="25" t="s">
        <v>9528</v>
      </c>
      <c r="D12" s="174"/>
      <c r="E12" s="174"/>
      <c r="F12" s="39"/>
      <c r="L12" s="195" t="s">
        <v>9538</v>
      </c>
      <c r="M12" s="11">
        <v>7033.0</v>
      </c>
      <c r="N12" s="451">
        <v>1.0</v>
      </c>
      <c r="O12" s="450"/>
    </row>
    <row r="13">
      <c r="A13" s="57" t="s">
        <v>9539</v>
      </c>
      <c r="B13" s="25">
        <v>7747.0</v>
      </c>
      <c r="C13" s="25" t="s">
        <v>9528</v>
      </c>
      <c r="D13" s="174"/>
      <c r="E13" s="174"/>
      <c r="F13" s="39"/>
      <c r="L13" s="287" t="s">
        <v>9539</v>
      </c>
      <c r="M13" s="35">
        <v>9746.0</v>
      </c>
      <c r="N13" s="448" t="e">
        <v>#N/A</v>
      </c>
      <c r="O13" s="11">
        <v>4933.0</v>
      </c>
    </row>
    <row r="14">
      <c r="A14" s="57" t="s">
        <v>9540</v>
      </c>
      <c r="B14" s="25">
        <v>14659.0</v>
      </c>
      <c r="C14" s="25" t="s">
        <v>9528</v>
      </c>
      <c r="D14" s="174"/>
      <c r="E14" s="174"/>
      <c r="F14" s="39"/>
      <c r="L14" s="287" t="s">
        <v>9540</v>
      </c>
      <c r="M14" s="35">
        <v>4933.0</v>
      </c>
      <c r="N14" s="448" t="e">
        <v>#N/A</v>
      </c>
      <c r="O14" s="450"/>
    </row>
    <row r="15">
      <c r="A15" s="57" t="s">
        <v>9541</v>
      </c>
      <c r="B15" s="25">
        <v>6779.0</v>
      </c>
      <c r="C15" s="25" t="s">
        <v>9528</v>
      </c>
      <c r="D15" s="174"/>
      <c r="E15" s="174"/>
      <c r="F15" s="39"/>
      <c r="L15" s="287" t="s">
        <v>9541</v>
      </c>
      <c r="M15" s="35">
        <v>4933.0</v>
      </c>
      <c r="N15" s="448" t="e">
        <v>#N/A</v>
      </c>
      <c r="O15" s="450"/>
    </row>
    <row r="16">
      <c r="A16" s="57" t="s">
        <v>9542</v>
      </c>
      <c r="B16" s="25"/>
      <c r="C16" s="25" t="s">
        <v>9528</v>
      </c>
      <c r="D16" s="174"/>
      <c r="E16" s="174"/>
      <c r="F16" s="39"/>
      <c r="L16" s="287" t="s">
        <v>9542</v>
      </c>
      <c r="M16" s="35">
        <v>6775.0</v>
      </c>
      <c r="N16" s="448" t="e">
        <v>#N/A</v>
      </c>
      <c r="O16" s="450"/>
    </row>
    <row r="17">
      <c r="A17" s="57" t="s">
        <v>9543</v>
      </c>
      <c r="B17" s="25"/>
      <c r="C17" s="25" t="s">
        <v>9528</v>
      </c>
      <c r="D17" s="174"/>
      <c r="E17" s="174"/>
      <c r="F17" s="39"/>
      <c r="L17" s="287" t="s">
        <v>9543</v>
      </c>
      <c r="M17" s="35">
        <v>6893.0</v>
      </c>
      <c r="N17" s="448" t="e">
        <v>#N/A</v>
      </c>
      <c r="O17" s="450"/>
    </row>
    <row r="18">
      <c r="A18" s="57" t="s">
        <v>9544</v>
      </c>
      <c r="B18" s="25">
        <v>14507.0</v>
      </c>
      <c r="C18" s="25" t="s">
        <v>9528</v>
      </c>
      <c r="D18" s="174"/>
      <c r="E18" s="174"/>
      <c r="F18" s="39"/>
      <c r="L18" s="287" t="s">
        <v>9544</v>
      </c>
      <c r="M18" s="35">
        <v>6727.0</v>
      </c>
      <c r="N18" s="448" t="e">
        <v>#N/A</v>
      </c>
      <c r="O18" s="450"/>
    </row>
    <row r="19">
      <c r="A19" s="57" t="s">
        <v>9545</v>
      </c>
      <c r="B19" s="25">
        <v>14646.0</v>
      </c>
      <c r="C19" s="25" t="s">
        <v>9528</v>
      </c>
      <c r="D19" s="174"/>
      <c r="E19" s="174"/>
      <c r="F19" s="39"/>
      <c r="L19" s="287" t="s">
        <v>9545</v>
      </c>
      <c r="M19" s="35">
        <v>6727.0</v>
      </c>
      <c r="N19" s="448" t="e">
        <v>#N/A</v>
      </c>
      <c r="O19" s="450"/>
    </row>
    <row r="20">
      <c r="A20" s="57" t="s">
        <v>9546</v>
      </c>
      <c r="B20" s="25"/>
      <c r="C20" s="25" t="s">
        <v>9528</v>
      </c>
      <c r="D20" s="452"/>
      <c r="E20" s="174"/>
      <c r="F20" s="39"/>
      <c r="L20" s="287" t="s">
        <v>9546</v>
      </c>
      <c r="M20" s="35">
        <v>6727.0</v>
      </c>
      <c r="N20" s="448" t="e">
        <v>#N/A</v>
      </c>
      <c r="O20" s="450"/>
    </row>
    <row r="21">
      <c r="A21" s="57" t="s">
        <v>9547</v>
      </c>
      <c r="B21" s="25"/>
      <c r="C21" s="25" t="s">
        <v>9528</v>
      </c>
      <c r="D21" s="174"/>
      <c r="E21" s="174"/>
      <c r="F21" s="39"/>
      <c r="L21" s="195" t="s">
        <v>9547</v>
      </c>
      <c r="M21" s="11">
        <v>6983.0</v>
      </c>
      <c r="N21" s="451">
        <v>1.0</v>
      </c>
      <c r="O21" s="450"/>
    </row>
    <row r="22">
      <c r="A22" s="57" t="s">
        <v>9548</v>
      </c>
      <c r="B22" s="25"/>
      <c r="C22" s="25" t="s">
        <v>9528</v>
      </c>
      <c r="D22" s="174"/>
      <c r="E22" s="174"/>
      <c r="F22" s="39"/>
      <c r="L22" s="287" t="s">
        <v>9548</v>
      </c>
      <c r="M22" s="35">
        <v>6671.0</v>
      </c>
      <c r="N22" s="448" t="e">
        <v>#N/A</v>
      </c>
      <c r="O22" s="450"/>
    </row>
    <row r="23">
      <c r="A23" s="57" t="s">
        <v>9549</v>
      </c>
      <c r="B23" s="37">
        <v>14480.0</v>
      </c>
      <c r="C23" s="25" t="s">
        <v>9528</v>
      </c>
      <c r="D23" s="174"/>
      <c r="E23" s="174"/>
      <c r="F23" s="39"/>
      <c r="L23" s="287" t="s">
        <v>9549</v>
      </c>
      <c r="M23" s="35">
        <v>14440.0</v>
      </c>
      <c r="N23" s="448" t="e">
        <v>#N/A</v>
      </c>
      <c r="O23" s="453">
        <v>4933.0</v>
      </c>
    </row>
    <row r="24">
      <c r="A24" s="57" t="s">
        <v>9550</v>
      </c>
      <c r="B24" s="25"/>
      <c r="C24" s="25" t="s">
        <v>9528</v>
      </c>
      <c r="D24" s="174"/>
      <c r="E24" s="174"/>
      <c r="F24" s="39"/>
      <c r="L24" s="287" t="s">
        <v>9550</v>
      </c>
      <c r="M24" s="35">
        <v>4933.0</v>
      </c>
      <c r="N24" s="448" t="e">
        <v>#N/A</v>
      </c>
      <c r="O24" s="450"/>
    </row>
    <row r="25">
      <c r="A25" s="57" t="s">
        <v>9551</v>
      </c>
      <c r="B25" s="25"/>
      <c r="C25" s="25" t="s">
        <v>9528</v>
      </c>
      <c r="D25" s="174"/>
      <c r="E25" s="174"/>
      <c r="F25" s="39"/>
      <c r="L25" s="287" t="s">
        <v>9551</v>
      </c>
      <c r="M25" s="35">
        <v>7747.0</v>
      </c>
      <c r="N25" s="448" t="e">
        <v>#N/A</v>
      </c>
      <c r="O25" s="450"/>
    </row>
    <row r="26">
      <c r="A26" s="57" t="s">
        <v>9552</v>
      </c>
      <c r="B26" s="25">
        <v>14575.0</v>
      </c>
      <c r="C26" s="25" t="s">
        <v>9528</v>
      </c>
      <c r="D26" s="81"/>
      <c r="E26" s="81"/>
      <c r="L26" s="287" t="s">
        <v>9552</v>
      </c>
      <c r="M26" s="35">
        <v>7023.0</v>
      </c>
      <c r="N26" s="448" t="e">
        <v>#N/A</v>
      </c>
      <c r="O26" s="450"/>
    </row>
    <row r="27">
      <c r="A27" s="57" t="s">
        <v>9553</v>
      </c>
      <c r="B27" s="25"/>
      <c r="C27" s="25" t="s">
        <v>9528</v>
      </c>
      <c r="D27" s="81"/>
      <c r="E27" s="81"/>
      <c r="L27" s="287" t="s">
        <v>9553</v>
      </c>
      <c r="M27" s="35">
        <v>189.0</v>
      </c>
      <c r="N27" s="448" t="e">
        <v>#N/A</v>
      </c>
      <c r="O27" s="450"/>
    </row>
    <row r="28">
      <c r="A28" s="57" t="s">
        <v>9554</v>
      </c>
      <c r="B28" s="25"/>
      <c r="C28" s="25" t="s">
        <v>9528</v>
      </c>
      <c r="L28" s="287" t="s">
        <v>9554</v>
      </c>
      <c r="M28" s="35">
        <v>189.0</v>
      </c>
      <c r="N28" s="448" t="e">
        <v>#N/A</v>
      </c>
      <c r="O28" s="450"/>
    </row>
    <row r="29">
      <c r="A29" s="57" t="s">
        <v>9555</v>
      </c>
      <c r="B29" s="25"/>
      <c r="C29" s="25" t="s">
        <v>9528</v>
      </c>
      <c r="L29" s="287" t="s">
        <v>9555</v>
      </c>
      <c r="M29" s="35">
        <v>189.0</v>
      </c>
      <c r="N29" s="448" t="e">
        <v>#N/A</v>
      </c>
      <c r="O29" s="450"/>
    </row>
    <row r="30">
      <c r="A30" s="57" t="s">
        <v>9556</v>
      </c>
      <c r="B30" s="25">
        <v>5365.0</v>
      </c>
      <c r="C30" s="25" t="s">
        <v>9528</v>
      </c>
      <c r="L30" s="287" t="s">
        <v>9556</v>
      </c>
      <c r="M30" s="35">
        <v>6133.0</v>
      </c>
      <c r="N30" s="448" t="e">
        <v>#N/A</v>
      </c>
      <c r="O30" s="450"/>
    </row>
    <row r="31">
      <c r="A31" s="57" t="s">
        <v>9557</v>
      </c>
      <c r="B31" s="25"/>
      <c r="C31" s="25" t="s">
        <v>9528</v>
      </c>
      <c r="L31" s="287" t="s">
        <v>9557</v>
      </c>
      <c r="M31" s="35">
        <v>6133.0</v>
      </c>
      <c r="N31" s="448" t="e">
        <v>#N/A</v>
      </c>
      <c r="O31" s="450"/>
    </row>
    <row r="32">
      <c r="A32" s="57" t="s">
        <v>9558</v>
      </c>
      <c r="B32" s="25">
        <v>6936.0</v>
      </c>
      <c r="C32" s="25" t="s">
        <v>9528</v>
      </c>
      <c r="L32" s="287" t="s">
        <v>9558</v>
      </c>
      <c r="M32" s="35">
        <v>6936.0</v>
      </c>
      <c r="N32" s="448" t="e">
        <v>#N/A</v>
      </c>
      <c r="O32" s="450"/>
    </row>
    <row r="33">
      <c r="A33" s="57" t="s">
        <v>9559</v>
      </c>
      <c r="B33" s="25">
        <v>6675.0</v>
      </c>
      <c r="C33" s="25" t="s">
        <v>9528</v>
      </c>
      <c r="L33" s="287" t="s">
        <v>9559</v>
      </c>
      <c r="M33" s="35">
        <v>6924.0</v>
      </c>
      <c r="N33" s="448" t="e">
        <v>#N/A</v>
      </c>
      <c r="O33" s="450"/>
    </row>
    <row r="34">
      <c r="A34" s="57" t="s">
        <v>9560</v>
      </c>
      <c r="B34" s="44">
        <v>6675.0</v>
      </c>
      <c r="C34" s="25" t="s">
        <v>9528</v>
      </c>
      <c r="L34" s="287" t="s">
        <v>9560</v>
      </c>
      <c r="M34" s="454">
        <v>12078.0</v>
      </c>
      <c r="N34" s="448" t="e">
        <v>#N/A</v>
      </c>
      <c r="O34" s="11">
        <v>6924.0</v>
      </c>
    </row>
    <row r="35">
      <c r="A35" s="57" t="s">
        <v>9561</v>
      </c>
      <c r="B35" s="25">
        <v>7158.0</v>
      </c>
      <c r="C35" s="25" t="s">
        <v>9528</v>
      </c>
      <c r="L35" s="287" t="s">
        <v>9561</v>
      </c>
      <c r="M35" s="35">
        <v>7158.0</v>
      </c>
      <c r="N35" s="448" t="e">
        <v>#N/A</v>
      </c>
      <c r="O35" s="450"/>
    </row>
    <row r="36">
      <c r="A36" s="57" t="s">
        <v>9562</v>
      </c>
      <c r="B36" s="25">
        <v>6132.0</v>
      </c>
      <c r="C36" s="25" t="s">
        <v>9528</v>
      </c>
      <c r="L36" s="195" t="s">
        <v>9562</v>
      </c>
      <c r="M36" s="11">
        <v>6132.0</v>
      </c>
      <c r="N36" s="451">
        <v>1.0</v>
      </c>
      <c r="O36" s="450"/>
    </row>
    <row r="37">
      <c r="A37" s="57" t="s">
        <v>9563</v>
      </c>
      <c r="B37" s="25">
        <v>5125.0</v>
      </c>
      <c r="C37" s="25" t="s">
        <v>9528</v>
      </c>
      <c r="D37" s="59"/>
      <c r="L37" s="195" t="s">
        <v>9563</v>
      </c>
      <c r="M37" s="11">
        <v>5125.0</v>
      </c>
      <c r="N37" s="451">
        <v>1.0</v>
      </c>
      <c r="O37" s="450"/>
    </row>
    <row r="38">
      <c r="A38" s="57" t="s">
        <v>9564</v>
      </c>
      <c r="B38" s="25"/>
      <c r="C38" s="25" t="s">
        <v>9528</v>
      </c>
      <c r="L38" s="287" t="s">
        <v>9564</v>
      </c>
      <c r="M38" s="35">
        <v>7105.0</v>
      </c>
      <c r="N38" s="448" t="e">
        <v>#N/A</v>
      </c>
      <c r="O38" s="450"/>
    </row>
    <row r="39">
      <c r="A39" s="57" t="s">
        <v>9565</v>
      </c>
      <c r="B39" s="25"/>
      <c r="C39" s="25" t="s">
        <v>9528</v>
      </c>
      <c r="L39" s="287" t="s">
        <v>9565</v>
      </c>
      <c r="M39" s="35">
        <v>6669.0</v>
      </c>
      <c r="N39" s="448" t="e">
        <v>#N/A</v>
      </c>
      <c r="O39" s="450"/>
    </row>
    <row r="40">
      <c r="A40" s="57" t="s">
        <v>9566</v>
      </c>
      <c r="B40" s="25"/>
      <c r="C40" s="25" t="s">
        <v>9528</v>
      </c>
      <c r="L40" s="287" t="s">
        <v>9566</v>
      </c>
      <c r="M40" s="35">
        <v>6875.0</v>
      </c>
      <c r="N40" s="448" t="e">
        <v>#N/A</v>
      </c>
      <c r="O40" s="450"/>
    </row>
    <row r="41">
      <c r="A41" s="57" t="s">
        <v>9567</v>
      </c>
      <c r="B41" s="25">
        <v>6831.0</v>
      </c>
      <c r="C41" s="25" t="s">
        <v>9528</v>
      </c>
      <c r="L41" s="287" t="s">
        <v>9567</v>
      </c>
      <c r="M41" s="35">
        <v>7132.0</v>
      </c>
      <c r="N41" s="448" t="e">
        <v>#N/A</v>
      </c>
      <c r="O41" s="450"/>
    </row>
    <row r="42">
      <c r="A42" s="57" t="s">
        <v>9568</v>
      </c>
      <c r="B42" s="25"/>
      <c r="C42" s="25" t="s">
        <v>9528</v>
      </c>
      <c r="L42" s="287" t="s">
        <v>9568</v>
      </c>
      <c r="M42" s="35">
        <v>6669.0</v>
      </c>
      <c r="N42" s="448" t="e">
        <v>#N/A</v>
      </c>
      <c r="O42" s="450"/>
    </row>
    <row r="43">
      <c r="A43" s="57" t="s">
        <v>9569</v>
      </c>
      <c r="B43" s="25">
        <v>7100.0</v>
      </c>
      <c r="C43" s="25" t="s">
        <v>9528</v>
      </c>
      <c r="L43" s="195" t="s">
        <v>9569</v>
      </c>
      <c r="M43" s="11">
        <v>7100.0</v>
      </c>
      <c r="N43" s="451">
        <v>1.0</v>
      </c>
      <c r="O43" s="450"/>
    </row>
    <row r="44">
      <c r="A44" s="57" t="s">
        <v>9570</v>
      </c>
      <c r="B44" s="25"/>
      <c r="C44" s="25" t="s">
        <v>9528</v>
      </c>
      <c r="L44" s="287" t="s">
        <v>9570</v>
      </c>
      <c r="M44" s="35">
        <v>189.0</v>
      </c>
      <c r="N44" s="448" t="e">
        <v>#N/A</v>
      </c>
      <c r="O44" s="450"/>
    </row>
    <row r="45">
      <c r="A45" s="57" t="s">
        <v>9571</v>
      </c>
      <c r="B45" s="25"/>
      <c r="C45" s="25" t="s">
        <v>9528</v>
      </c>
      <c r="L45" s="195" t="s">
        <v>9571</v>
      </c>
      <c r="M45" s="11">
        <v>189.0</v>
      </c>
      <c r="N45" s="451">
        <v>1.0</v>
      </c>
      <c r="O45" s="450"/>
    </row>
    <row r="46">
      <c r="A46" s="57" t="s">
        <v>9572</v>
      </c>
      <c r="B46" s="25">
        <v>189.0</v>
      </c>
      <c r="C46" s="25" t="s">
        <v>9528</v>
      </c>
      <c r="L46" s="195" t="s">
        <v>9572</v>
      </c>
      <c r="M46" s="11">
        <v>189.0</v>
      </c>
      <c r="N46" s="451">
        <v>1.0</v>
      </c>
      <c r="O46" s="450"/>
    </row>
    <row r="47">
      <c r="A47" s="57" t="s">
        <v>9573</v>
      </c>
      <c r="B47" s="25"/>
      <c r="C47" s="25" t="s">
        <v>9528</v>
      </c>
      <c r="L47" s="287" t="s">
        <v>9573</v>
      </c>
      <c r="M47" s="35">
        <v>5458.0</v>
      </c>
      <c r="N47" s="448" t="e">
        <v>#N/A</v>
      </c>
      <c r="O47" s="450"/>
    </row>
    <row r="48">
      <c r="A48" s="57" t="s">
        <v>9574</v>
      </c>
      <c r="B48" s="25"/>
      <c r="C48" s="25" t="s">
        <v>9528</v>
      </c>
      <c r="L48" s="287" t="s">
        <v>9574</v>
      </c>
      <c r="M48" s="35">
        <v>5458.0</v>
      </c>
      <c r="N48" s="448" t="e">
        <v>#N/A</v>
      </c>
      <c r="O48" s="450"/>
    </row>
    <row r="49">
      <c r="A49" s="57" t="s">
        <v>9575</v>
      </c>
      <c r="B49" s="25">
        <v>3307.0</v>
      </c>
      <c r="C49" s="25" t="s">
        <v>9528</v>
      </c>
      <c r="L49" s="287" t="s">
        <v>9575</v>
      </c>
      <c r="M49" s="35">
        <v>3307.0</v>
      </c>
      <c r="N49" s="448" t="e">
        <v>#N/A</v>
      </c>
      <c r="O49" s="450"/>
    </row>
    <row r="50">
      <c r="A50" s="57" t="s">
        <v>9576</v>
      </c>
      <c r="B50" s="25"/>
      <c r="C50" s="25" t="s">
        <v>9528</v>
      </c>
      <c r="L50" s="287" t="s">
        <v>9576</v>
      </c>
      <c r="M50" s="35">
        <v>6669.0</v>
      </c>
      <c r="N50" s="448" t="e">
        <v>#N/A</v>
      </c>
    </row>
    <row r="51">
      <c r="A51" s="57" t="s">
        <v>9577</v>
      </c>
      <c r="B51" s="25">
        <v>7416.0</v>
      </c>
      <c r="C51" s="25" t="s">
        <v>9528</v>
      </c>
      <c r="L51" s="195" t="s">
        <v>9577</v>
      </c>
      <c r="M51" s="11">
        <v>7416.0</v>
      </c>
      <c r="N51" s="451">
        <v>1.0</v>
      </c>
    </row>
    <row r="52">
      <c r="A52" s="57" t="s">
        <v>7870</v>
      </c>
      <c r="B52" s="25"/>
      <c r="C52" s="25" t="s">
        <v>9528</v>
      </c>
      <c r="L52" s="195" t="s">
        <v>7870</v>
      </c>
      <c r="M52" s="11">
        <v>7168.0</v>
      </c>
      <c r="N52" s="451">
        <v>1.0</v>
      </c>
    </row>
    <row r="53">
      <c r="A53" s="57" t="s">
        <v>7871</v>
      </c>
      <c r="B53" s="25"/>
      <c r="C53" s="25" t="s">
        <v>9528</v>
      </c>
      <c r="L53" s="287" t="s">
        <v>7871</v>
      </c>
      <c r="M53" s="35">
        <v>7168.0</v>
      </c>
      <c r="N53" s="448" t="e">
        <v>#N/A</v>
      </c>
    </row>
    <row r="54">
      <c r="A54" s="57" t="s">
        <v>7872</v>
      </c>
      <c r="B54" s="25"/>
      <c r="C54" s="25" t="s">
        <v>9528</v>
      </c>
      <c r="L54" s="287" t="s">
        <v>7872</v>
      </c>
      <c r="M54" s="35">
        <v>3689.0</v>
      </c>
      <c r="N54" s="448" t="e">
        <v>#N/A</v>
      </c>
    </row>
    <row r="55">
      <c r="A55" s="57" t="s">
        <v>7873</v>
      </c>
      <c r="B55" s="25"/>
      <c r="C55" s="25" t="s">
        <v>9528</v>
      </c>
      <c r="L55" s="287" t="s">
        <v>7873</v>
      </c>
      <c r="M55" s="35">
        <v>6671.0</v>
      </c>
      <c r="N55" s="448" t="e">
        <v>#N/A</v>
      </c>
    </row>
    <row r="56">
      <c r="A56" s="57" t="s">
        <v>7874</v>
      </c>
      <c r="B56" s="25">
        <v>6671.0</v>
      </c>
      <c r="C56" s="25" t="s">
        <v>9528</v>
      </c>
      <c r="L56" s="195" t="s">
        <v>7874</v>
      </c>
      <c r="M56" s="11">
        <v>6671.0</v>
      </c>
      <c r="N56" s="451">
        <v>1.0</v>
      </c>
    </row>
    <row r="57">
      <c r="A57" s="57" t="s">
        <v>7875</v>
      </c>
      <c r="B57" s="25"/>
      <c r="C57" s="25" t="s">
        <v>9528</v>
      </c>
      <c r="L57" s="287" t="s">
        <v>7875</v>
      </c>
      <c r="M57" s="35">
        <v>6671.0</v>
      </c>
      <c r="N57" s="448" t="e">
        <v>#N/A</v>
      </c>
    </row>
    <row r="58">
      <c r="A58" s="57" t="s">
        <v>7876</v>
      </c>
      <c r="B58" s="25"/>
      <c r="C58" s="25" t="s">
        <v>9528</v>
      </c>
      <c r="L58" s="287" t="s">
        <v>7876</v>
      </c>
      <c r="M58" s="35">
        <v>10856.0</v>
      </c>
      <c r="N58" s="448" t="e">
        <v>#N/A</v>
      </c>
    </row>
    <row r="59">
      <c r="A59" s="57" t="s">
        <v>7877</v>
      </c>
      <c r="B59" s="25">
        <v>11708.0</v>
      </c>
      <c r="C59" s="25" t="s">
        <v>9528</v>
      </c>
      <c r="L59" s="287" t="s">
        <v>7877</v>
      </c>
      <c r="M59" s="35">
        <v>11708.0</v>
      </c>
      <c r="N59" s="448" t="e">
        <v>#N/A</v>
      </c>
      <c r="O59" s="122">
        <v>6780.0</v>
      </c>
    </row>
    <row r="60">
      <c r="A60" s="57" t="s">
        <v>7878</v>
      </c>
      <c r="B60" s="25"/>
      <c r="C60" s="25" t="s">
        <v>9528</v>
      </c>
      <c r="L60" s="287" t="s">
        <v>7878</v>
      </c>
      <c r="M60" s="35">
        <v>7129.0</v>
      </c>
      <c r="N60" s="448" t="e">
        <v>#N/A</v>
      </c>
    </row>
    <row r="61">
      <c r="A61" s="57" t="s">
        <v>7879</v>
      </c>
      <c r="B61" s="25"/>
      <c r="C61" s="25" t="s">
        <v>9528</v>
      </c>
      <c r="L61" s="287" t="s">
        <v>7879</v>
      </c>
      <c r="M61" s="35">
        <v>6732.0</v>
      </c>
      <c r="N61" s="448" t="e">
        <v>#N/A</v>
      </c>
    </row>
    <row r="62">
      <c r="A62" s="57" t="s">
        <v>7880</v>
      </c>
      <c r="B62" s="354">
        <v>12932.0</v>
      </c>
      <c r="C62" s="25" t="s">
        <v>9528</v>
      </c>
      <c r="L62" s="287" t="s">
        <v>7880</v>
      </c>
      <c r="M62" s="35">
        <v>283.0</v>
      </c>
      <c r="N62" s="448" t="e">
        <v>#N/A</v>
      </c>
      <c r="O62" s="11">
        <v>6732.0</v>
      </c>
    </row>
    <row r="63">
      <c r="A63" s="57" t="s">
        <v>7881</v>
      </c>
      <c r="B63" s="25"/>
      <c r="C63" s="25" t="s">
        <v>9528</v>
      </c>
      <c r="L63" s="287" t="s">
        <v>7881</v>
      </c>
      <c r="M63" s="35">
        <v>14337.0</v>
      </c>
      <c r="N63" s="448" t="e">
        <v>#N/A</v>
      </c>
    </row>
    <row r="64">
      <c r="A64" s="57" t="s">
        <v>7882</v>
      </c>
      <c r="B64" s="25"/>
      <c r="C64" s="25" t="s">
        <v>9528</v>
      </c>
      <c r="L64" s="287" t="s">
        <v>7882</v>
      </c>
      <c r="M64" s="35">
        <v>6732.0</v>
      </c>
      <c r="N64" s="448" t="e">
        <v>#N/A</v>
      </c>
    </row>
    <row r="65">
      <c r="A65" s="57" t="s">
        <v>7883</v>
      </c>
      <c r="B65" s="25"/>
      <c r="C65" s="25" t="s">
        <v>9528</v>
      </c>
      <c r="L65" s="287" t="s">
        <v>7883</v>
      </c>
      <c r="M65" s="35">
        <v>11104.0</v>
      </c>
      <c r="N65" s="448" t="e">
        <v>#N/A</v>
      </c>
    </row>
    <row r="66">
      <c r="A66" s="57" t="s">
        <v>7884</v>
      </c>
      <c r="B66" s="25"/>
      <c r="C66" s="25" t="s">
        <v>9528</v>
      </c>
      <c r="D66" s="59"/>
      <c r="L66" s="287" t="s">
        <v>7884</v>
      </c>
      <c r="M66" s="35">
        <v>7414.0</v>
      </c>
      <c r="N66" s="448" t="e">
        <v>#N/A</v>
      </c>
    </row>
    <row r="67">
      <c r="A67" s="57" t="s">
        <v>7885</v>
      </c>
      <c r="B67" s="25"/>
      <c r="C67" s="25" t="s">
        <v>9528</v>
      </c>
      <c r="L67" s="287" t="s">
        <v>7885</v>
      </c>
      <c r="M67" s="35">
        <v>6774.0</v>
      </c>
      <c r="N67" s="448" t="e">
        <v>#N/A</v>
      </c>
    </row>
    <row r="68">
      <c r="A68" s="57" t="s">
        <v>7886</v>
      </c>
      <c r="B68" s="25">
        <v>11601.0</v>
      </c>
      <c r="C68" s="25" t="s">
        <v>9528</v>
      </c>
      <c r="L68" s="287" t="s">
        <v>7886</v>
      </c>
      <c r="M68" s="35">
        <v>11601.0</v>
      </c>
      <c r="N68" s="448" t="e">
        <v>#N/A</v>
      </c>
    </row>
    <row r="69">
      <c r="A69" s="57" t="s">
        <v>7887</v>
      </c>
      <c r="B69" s="25"/>
      <c r="C69" s="25" t="s">
        <v>9528</v>
      </c>
      <c r="L69" s="287" t="s">
        <v>7887</v>
      </c>
      <c r="M69" s="35">
        <v>6903.0</v>
      </c>
      <c r="N69" s="448" t="e">
        <v>#N/A</v>
      </c>
    </row>
    <row r="70">
      <c r="A70" s="57" t="s">
        <v>7888</v>
      </c>
      <c r="B70" s="25"/>
      <c r="C70" s="25" t="s">
        <v>9528</v>
      </c>
      <c r="L70" s="287" t="s">
        <v>7888</v>
      </c>
      <c r="M70" s="35">
        <v>7297.0</v>
      </c>
      <c r="N70" s="448" t="e">
        <v>#N/A</v>
      </c>
    </row>
    <row r="71">
      <c r="A71" s="57" t="s">
        <v>7889</v>
      </c>
      <c r="B71" s="25"/>
      <c r="C71" s="25" t="s">
        <v>9528</v>
      </c>
      <c r="L71" s="195" t="s">
        <v>7889</v>
      </c>
      <c r="M71" s="11">
        <v>6829.0</v>
      </c>
      <c r="N71" s="451">
        <v>1.0</v>
      </c>
    </row>
    <row r="72">
      <c r="A72" s="57" t="s">
        <v>7890</v>
      </c>
      <c r="B72" s="25">
        <v>6802.0</v>
      </c>
      <c r="C72" s="25" t="s">
        <v>9528</v>
      </c>
      <c r="L72" s="195" t="s">
        <v>7890</v>
      </c>
      <c r="M72" s="11">
        <v>6802.0</v>
      </c>
      <c r="N72" s="451">
        <v>1.0</v>
      </c>
    </row>
    <row r="73">
      <c r="A73" s="57" t="s">
        <v>7891</v>
      </c>
      <c r="B73" s="25"/>
      <c r="C73" s="25" t="s">
        <v>9528</v>
      </c>
      <c r="L73" s="287" t="s">
        <v>7891</v>
      </c>
      <c r="M73" s="35">
        <v>7036.0</v>
      </c>
      <c r="N73" s="448" t="e">
        <v>#N/A</v>
      </c>
    </row>
    <row r="74">
      <c r="A74" s="57" t="s">
        <v>7892</v>
      </c>
      <c r="B74" s="25"/>
      <c r="C74" s="25" t="s">
        <v>9528</v>
      </c>
      <c r="L74" s="287" t="s">
        <v>7892</v>
      </c>
      <c r="M74" s="35">
        <v>7036.0</v>
      </c>
      <c r="N74" s="448" t="e">
        <v>#N/A</v>
      </c>
    </row>
    <row r="75">
      <c r="A75" s="57" t="s">
        <v>7893</v>
      </c>
      <c r="B75" s="25"/>
      <c r="C75" s="25" t="s">
        <v>9528</v>
      </c>
      <c r="L75" s="287" t="s">
        <v>7893</v>
      </c>
      <c r="M75" s="35">
        <v>7036.0</v>
      </c>
      <c r="N75" s="448" t="e">
        <v>#N/A</v>
      </c>
    </row>
    <row r="76">
      <c r="A76" s="57" t="s">
        <v>7894</v>
      </c>
      <c r="B76" s="25"/>
      <c r="C76" s="25" t="s">
        <v>9528</v>
      </c>
      <c r="L76" s="287" t="s">
        <v>7894</v>
      </c>
      <c r="M76" s="35">
        <v>7036.0</v>
      </c>
      <c r="N76" s="448" t="e">
        <v>#N/A</v>
      </c>
    </row>
    <row r="77">
      <c r="A77" s="57" t="s">
        <v>7895</v>
      </c>
      <c r="B77" s="25"/>
      <c r="C77" s="25" t="s">
        <v>9528</v>
      </c>
      <c r="L77" s="287" t="s">
        <v>7895</v>
      </c>
      <c r="M77" s="35">
        <v>7036.0</v>
      </c>
      <c r="N77" s="448" t="e">
        <v>#N/A</v>
      </c>
    </row>
    <row r="78">
      <c r="A78" s="57" t="s">
        <v>7896</v>
      </c>
      <c r="B78" s="25"/>
      <c r="C78" s="25" t="s">
        <v>9528</v>
      </c>
      <c r="L78" s="287" t="s">
        <v>7896</v>
      </c>
      <c r="M78" s="35">
        <v>7036.0</v>
      </c>
      <c r="N78" s="448" t="e">
        <v>#N/A</v>
      </c>
    </row>
    <row r="79">
      <c r="A79" s="57" t="s">
        <v>7897</v>
      </c>
      <c r="B79" s="25"/>
      <c r="C79" s="25" t="s">
        <v>9528</v>
      </c>
      <c r="L79" s="287" t="s">
        <v>7897</v>
      </c>
      <c r="M79" s="35">
        <v>7104.0</v>
      </c>
      <c r="N79" s="448" t="e">
        <v>#N/A</v>
      </c>
    </row>
    <row r="80">
      <c r="A80" s="57" t="s">
        <v>7902</v>
      </c>
      <c r="B80" s="78">
        <f> 7137</f>
        <v>7137</v>
      </c>
      <c r="C80" s="25" t="s">
        <v>9528</v>
      </c>
      <c r="D80" s="59"/>
      <c r="L80" s="195" t="s">
        <v>7902</v>
      </c>
      <c r="M80" s="18">
        <f> 7137</f>
        <v>7137</v>
      </c>
      <c r="N80" s="451">
        <v>1.0</v>
      </c>
      <c r="O80" s="455"/>
    </row>
    <row r="81">
      <c r="A81" s="57" t="s">
        <v>7903</v>
      </c>
      <c r="B81" s="25">
        <v>10923.0</v>
      </c>
      <c r="C81" s="25" t="s">
        <v>9528</v>
      </c>
      <c r="L81" s="195" t="s">
        <v>7903</v>
      </c>
      <c r="M81" s="11">
        <v>10923.0</v>
      </c>
      <c r="N81" s="451">
        <v>1.0</v>
      </c>
      <c r="O81" s="455"/>
    </row>
    <row r="82">
      <c r="A82" s="57" t="s">
        <v>7904</v>
      </c>
      <c r="B82" s="25">
        <v>7157.0</v>
      </c>
      <c r="C82" s="25" t="s">
        <v>9528</v>
      </c>
      <c r="L82" s="195" t="s">
        <v>7904</v>
      </c>
      <c r="M82" s="11">
        <v>7157.0</v>
      </c>
      <c r="N82" s="451">
        <v>1.0</v>
      </c>
      <c r="O82" s="455"/>
    </row>
    <row r="83">
      <c r="A83" s="57" t="s">
        <v>7905</v>
      </c>
      <c r="B83" s="25"/>
      <c r="C83" s="25" t="s">
        <v>9528</v>
      </c>
      <c r="L83" s="287" t="s">
        <v>7905</v>
      </c>
      <c r="M83" s="35">
        <v>6989.0</v>
      </c>
      <c r="N83" s="448" t="e">
        <v>#N/A</v>
      </c>
      <c r="O83" s="455"/>
    </row>
    <row r="84">
      <c r="A84" s="57" t="s">
        <v>7906</v>
      </c>
      <c r="B84" s="25"/>
      <c r="C84" s="25" t="s">
        <v>9528</v>
      </c>
      <c r="L84" s="287" t="s">
        <v>7906</v>
      </c>
      <c r="M84" s="35">
        <v>8491.0</v>
      </c>
      <c r="N84" s="448" t="e">
        <v>#N/A</v>
      </c>
      <c r="O84" s="455"/>
    </row>
    <row r="85">
      <c r="A85" s="57" t="s">
        <v>7907</v>
      </c>
      <c r="B85" s="25"/>
      <c r="C85" s="25" t="s">
        <v>9528</v>
      </c>
      <c r="L85" s="287" t="s">
        <v>7907</v>
      </c>
      <c r="M85" s="35">
        <v>6728.0</v>
      </c>
      <c r="N85" s="448" t="e">
        <v>#N/A</v>
      </c>
      <c r="O85" s="455"/>
    </row>
    <row r="86">
      <c r="A86" s="57" t="s">
        <v>7908</v>
      </c>
      <c r="B86" s="25"/>
      <c r="C86" s="25" t="s">
        <v>9528</v>
      </c>
      <c r="L86" s="287" t="s">
        <v>7908</v>
      </c>
      <c r="M86" s="35">
        <v>6143.0</v>
      </c>
      <c r="N86" s="448" t="e">
        <v>#N/A</v>
      </c>
      <c r="O86" s="455"/>
    </row>
    <row r="87">
      <c r="A87" s="57" t="s">
        <v>7909</v>
      </c>
      <c r="B87" s="25"/>
      <c r="C87" s="25" t="s">
        <v>9528</v>
      </c>
      <c r="L87" s="195" t="s">
        <v>7909</v>
      </c>
      <c r="M87" s="11">
        <v>7055.0</v>
      </c>
      <c r="N87" s="451">
        <v>1.0</v>
      </c>
      <c r="O87" s="455"/>
    </row>
    <row r="88">
      <c r="A88" s="57" t="s">
        <v>9578</v>
      </c>
      <c r="B88" s="25"/>
      <c r="C88" s="25" t="s">
        <v>9528</v>
      </c>
      <c r="L88" s="287" t="s">
        <v>9578</v>
      </c>
      <c r="M88" s="11">
        <v>909.0</v>
      </c>
      <c r="N88" s="448" t="e">
        <v>#N/A</v>
      </c>
      <c r="O88" s="35">
        <v>930.0</v>
      </c>
    </row>
    <row r="89">
      <c r="A89" s="57" t="s">
        <v>9579</v>
      </c>
      <c r="B89" s="25"/>
      <c r="C89" s="25" t="s">
        <v>9528</v>
      </c>
      <c r="L89" s="287" t="s">
        <v>9579</v>
      </c>
      <c r="M89" s="35">
        <v>6998.0</v>
      </c>
      <c r="N89" s="448" t="e">
        <v>#N/A</v>
      </c>
      <c r="O89" s="455"/>
    </row>
    <row r="90">
      <c r="A90" s="57" t="s">
        <v>9580</v>
      </c>
      <c r="B90" s="25"/>
      <c r="C90" s="25" t="s">
        <v>9528</v>
      </c>
      <c r="L90" s="287" t="s">
        <v>9580</v>
      </c>
      <c r="M90" s="35">
        <v>6998.0</v>
      </c>
      <c r="N90" s="448" t="e">
        <v>#N/A</v>
      </c>
      <c r="O90" s="455"/>
    </row>
    <row r="91">
      <c r="A91" s="57" t="s">
        <v>9581</v>
      </c>
      <c r="B91" s="25"/>
      <c r="C91" s="25" t="s">
        <v>9528</v>
      </c>
      <c r="L91" s="287" t="s">
        <v>9581</v>
      </c>
      <c r="M91" s="35">
        <v>3381.0</v>
      </c>
      <c r="N91" s="448" t="e">
        <v>#N/A</v>
      </c>
      <c r="O91" s="11">
        <v>6998.0</v>
      </c>
    </row>
    <row r="92">
      <c r="A92" s="57" t="s">
        <v>9582</v>
      </c>
      <c r="B92" s="25"/>
      <c r="C92" s="25" t="s">
        <v>9528</v>
      </c>
      <c r="L92" s="287" t="s">
        <v>9582</v>
      </c>
      <c r="M92" s="35">
        <v>7246.0</v>
      </c>
      <c r="N92" s="448" t="e">
        <v>#N/A</v>
      </c>
      <c r="O92" s="455"/>
    </row>
    <row r="93">
      <c r="A93" s="57" t="s">
        <v>9583</v>
      </c>
      <c r="B93" s="25"/>
      <c r="C93" s="25" t="s">
        <v>9528</v>
      </c>
      <c r="L93" s="287" t="s">
        <v>9583</v>
      </c>
      <c r="M93" s="35">
        <v>7003.0</v>
      </c>
      <c r="N93" s="448" t="e">
        <v>#N/A</v>
      </c>
      <c r="O93" s="11">
        <v>7183.0</v>
      </c>
    </row>
    <row r="94">
      <c r="A94" s="57" t="s">
        <v>9584</v>
      </c>
      <c r="B94" s="25">
        <v>7031.0</v>
      </c>
      <c r="C94" s="25" t="s">
        <v>9528</v>
      </c>
      <c r="D94" s="59"/>
      <c r="L94" s="195" t="s">
        <v>9584</v>
      </c>
      <c r="M94" s="11">
        <v>7031.0</v>
      </c>
      <c r="N94" s="451">
        <v>1.0</v>
      </c>
      <c r="O94" s="455"/>
    </row>
    <row r="95">
      <c r="A95" s="57" t="s">
        <v>9585</v>
      </c>
      <c r="B95" s="25"/>
      <c r="C95" s="25" t="s">
        <v>9528</v>
      </c>
      <c r="L95" s="287" t="s">
        <v>9585</v>
      </c>
      <c r="M95" s="35">
        <v>7186.0</v>
      </c>
      <c r="N95" s="448" t="e">
        <v>#N/A</v>
      </c>
      <c r="O95" s="455"/>
    </row>
    <row r="96">
      <c r="A96" s="57" t="s">
        <v>9586</v>
      </c>
      <c r="B96" s="25">
        <v>14465.0</v>
      </c>
      <c r="C96" s="25" t="s">
        <v>9528</v>
      </c>
      <c r="L96" s="287" t="s">
        <v>9586</v>
      </c>
      <c r="M96" s="35">
        <v>14065.0</v>
      </c>
      <c r="N96" s="448" t="e">
        <v>#N/A</v>
      </c>
      <c r="O96" s="11">
        <v>7055.0</v>
      </c>
    </row>
    <row r="97">
      <c r="A97" s="57" t="s">
        <v>9587</v>
      </c>
      <c r="B97" s="25"/>
      <c r="C97" s="25" t="s">
        <v>9528</v>
      </c>
      <c r="L97" s="287" t="s">
        <v>9587</v>
      </c>
      <c r="M97" s="35">
        <v>14292.0</v>
      </c>
      <c r="N97" s="448" t="e">
        <v>#N/A</v>
      </c>
      <c r="O97" s="11">
        <v>6143.0</v>
      </c>
    </row>
    <row r="98">
      <c r="A98" s="202" t="s">
        <v>7898</v>
      </c>
      <c r="B98" s="186">
        <v>7670.0</v>
      </c>
      <c r="C98" s="25" t="s">
        <v>9528</v>
      </c>
      <c r="G98" s="117" t="s">
        <v>207</v>
      </c>
      <c r="O98" s="455"/>
    </row>
    <row r="99">
      <c r="A99" s="202" t="s">
        <v>7899</v>
      </c>
      <c r="B99" s="82">
        <v>12268.0</v>
      </c>
      <c r="C99" s="25" t="s">
        <v>9528</v>
      </c>
      <c r="G99" s="117" t="s">
        <v>207</v>
      </c>
      <c r="O99" s="455"/>
    </row>
    <row r="100">
      <c r="A100" s="202" t="s">
        <v>7900</v>
      </c>
      <c r="B100" s="188">
        <v>12277.0</v>
      </c>
      <c r="C100" s="25" t="s">
        <v>9528</v>
      </c>
      <c r="G100" s="117" t="s">
        <v>207</v>
      </c>
      <c r="O100" s="455"/>
    </row>
    <row r="101">
      <c r="A101" s="202" t="s">
        <v>7901</v>
      </c>
      <c r="B101" s="72">
        <v>8623.0</v>
      </c>
      <c r="C101" s="25" t="s">
        <v>9528</v>
      </c>
      <c r="G101" s="117" t="s">
        <v>207</v>
      </c>
      <c r="O101" s="455"/>
    </row>
    <row r="102">
      <c r="A102" s="283"/>
      <c r="B102" s="283"/>
      <c r="C102" s="283"/>
      <c r="O102" s="455"/>
    </row>
    <row r="103">
      <c r="A103" s="283"/>
      <c r="B103" s="283"/>
      <c r="C103" s="283"/>
      <c r="O103" s="455"/>
    </row>
    <row r="104">
      <c r="A104" s="283"/>
      <c r="B104" s="283"/>
      <c r="C104" s="283"/>
      <c r="O104" s="455"/>
    </row>
    <row r="105">
      <c r="A105" s="283"/>
      <c r="B105" s="283"/>
      <c r="C105" s="283"/>
      <c r="O105" s="455"/>
    </row>
    <row r="106">
      <c r="A106" s="283"/>
      <c r="B106" s="283"/>
      <c r="C106" s="283"/>
      <c r="O106" s="455"/>
    </row>
    <row r="107">
      <c r="A107" s="283"/>
      <c r="B107" s="283"/>
      <c r="C107" s="283"/>
      <c r="O107" s="455"/>
    </row>
    <row r="108">
      <c r="A108" s="283"/>
      <c r="B108" s="283"/>
      <c r="C108" s="283"/>
      <c r="O108" s="455"/>
    </row>
    <row r="109">
      <c r="A109" s="283"/>
      <c r="B109" s="283"/>
      <c r="C109" s="283"/>
      <c r="O109" s="455"/>
    </row>
    <row r="110">
      <c r="A110" s="283"/>
      <c r="B110" s="283"/>
      <c r="C110" s="283"/>
      <c r="O110" s="455"/>
    </row>
    <row r="111">
      <c r="A111" s="283"/>
      <c r="B111" s="283"/>
      <c r="C111" s="283"/>
      <c r="O111" s="455"/>
    </row>
    <row r="112">
      <c r="A112" s="283"/>
      <c r="B112" s="283"/>
      <c r="C112" s="283"/>
      <c r="O112" s="455"/>
    </row>
    <row r="113">
      <c r="A113" s="283"/>
      <c r="B113" s="283"/>
      <c r="C113" s="283"/>
      <c r="O113" s="455"/>
    </row>
    <row r="114">
      <c r="A114" s="283"/>
      <c r="B114" s="283"/>
      <c r="C114" s="283"/>
      <c r="O114" s="455"/>
    </row>
    <row r="115">
      <c r="A115" s="283"/>
      <c r="B115" s="283"/>
      <c r="C115" s="283"/>
      <c r="O115" s="455"/>
    </row>
    <row r="116">
      <c r="A116" s="283"/>
      <c r="B116" s="283"/>
      <c r="C116" s="283"/>
      <c r="O116" s="455"/>
    </row>
    <row r="117">
      <c r="A117" s="283"/>
      <c r="B117" s="283"/>
      <c r="C117" s="283"/>
      <c r="O117" s="455"/>
    </row>
    <row r="118">
      <c r="A118" s="283"/>
      <c r="B118" s="283"/>
      <c r="C118" s="283"/>
      <c r="O118" s="455"/>
    </row>
    <row r="119">
      <c r="A119" s="283"/>
      <c r="B119" s="283"/>
      <c r="C119" s="283"/>
      <c r="O119" s="455"/>
    </row>
    <row r="120">
      <c r="A120" s="283"/>
      <c r="B120" s="283"/>
      <c r="C120" s="283"/>
      <c r="O120" s="455"/>
    </row>
    <row r="121">
      <c r="A121" s="283"/>
      <c r="B121" s="283"/>
      <c r="C121" s="283"/>
      <c r="O121" s="455"/>
    </row>
    <row r="122">
      <c r="A122" s="283"/>
      <c r="B122" s="283"/>
      <c r="C122" s="283"/>
      <c r="O122" s="455"/>
    </row>
    <row r="123">
      <c r="A123" s="283"/>
      <c r="B123" s="283"/>
      <c r="C123" s="283"/>
      <c r="O123" s="455"/>
    </row>
    <row r="124">
      <c r="A124" s="283"/>
      <c r="B124" s="283"/>
      <c r="C124" s="283"/>
      <c r="O124" s="455"/>
    </row>
    <row r="125">
      <c r="A125" s="283"/>
      <c r="B125" s="283"/>
      <c r="C125" s="283"/>
      <c r="O125" s="455"/>
    </row>
    <row r="126">
      <c r="A126" s="283"/>
      <c r="B126" s="283"/>
      <c r="C126" s="283"/>
      <c r="O126" s="455"/>
    </row>
    <row r="127">
      <c r="A127" s="283"/>
      <c r="B127" s="283"/>
      <c r="C127" s="283"/>
      <c r="O127" s="455"/>
    </row>
    <row r="128">
      <c r="A128" s="283"/>
      <c r="B128" s="283"/>
      <c r="C128" s="283"/>
      <c r="O128" s="455"/>
    </row>
    <row r="129">
      <c r="A129" s="283"/>
      <c r="B129" s="283"/>
      <c r="C129" s="283"/>
      <c r="O129" s="455"/>
    </row>
    <row r="130">
      <c r="A130" s="283"/>
      <c r="B130" s="283"/>
      <c r="C130" s="283"/>
      <c r="O130" s="455"/>
    </row>
    <row r="131">
      <c r="A131" s="283"/>
      <c r="B131" s="283"/>
      <c r="C131" s="283"/>
      <c r="O131" s="455"/>
    </row>
    <row r="132">
      <c r="A132" s="283"/>
      <c r="B132" s="283"/>
      <c r="C132" s="283"/>
      <c r="O132" s="455"/>
    </row>
    <row r="133">
      <c r="A133" s="283"/>
      <c r="B133" s="283"/>
      <c r="C133" s="283"/>
      <c r="O133" s="455"/>
    </row>
    <row r="134">
      <c r="A134" s="283"/>
      <c r="B134" s="283"/>
      <c r="C134" s="283"/>
      <c r="O134" s="455"/>
    </row>
    <row r="135">
      <c r="A135" s="283"/>
      <c r="B135" s="283"/>
      <c r="C135" s="283"/>
      <c r="O135" s="455"/>
    </row>
    <row r="136">
      <c r="A136" s="283"/>
      <c r="B136" s="283"/>
      <c r="C136" s="283"/>
      <c r="O136" s="455"/>
    </row>
    <row r="137">
      <c r="A137" s="283"/>
      <c r="B137" s="283"/>
      <c r="C137" s="283"/>
      <c r="O137" s="455"/>
    </row>
    <row r="138">
      <c r="A138" s="283"/>
      <c r="B138" s="283"/>
      <c r="C138" s="283"/>
      <c r="O138" s="455"/>
    </row>
    <row r="139">
      <c r="A139" s="283"/>
      <c r="B139" s="283"/>
      <c r="C139" s="283"/>
      <c r="O139" s="455"/>
    </row>
    <row r="140">
      <c r="A140" s="283"/>
      <c r="B140" s="283"/>
      <c r="C140" s="283"/>
      <c r="O140" s="455"/>
    </row>
    <row r="141">
      <c r="A141" s="283"/>
      <c r="B141" s="283"/>
      <c r="C141" s="283"/>
      <c r="O141" s="455"/>
    </row>
    <row r="142">
      <c r="A142" s="283"/>
      <c r="B142" s="283"/>
      <c r="C142" s="283"/>
      <c r="O142" s="455"/>
    </row>
    <row r="143">
      <c r="A143" s="283"/>
      <c r="B143" s="283"/>
      <c r="C143" s="283"/>
      <c r="O143" s="455"/>
    </row>
    <row r="144">
      <c r="A144" s="283"/>
      <c r="B144" s="283"/>
      <c r="C144" s="283"/>
      <c r="O144" s="455"/>
    </row>
    <row r="145">
      <c r="A145" s="283"/>
      <c r="B145" s="283"/>
      <c r="C145" s="283"/>
      <c r="O145" s="455"/>
    </row>
    <row r="146">
      <c r="A146" s="283"/>
      <c r="B146" s="283"/>
      <c r="C146" s="283"/>
      <c r="O146" s="455"/>
    </row>
    <row r="147">
      <c r="A147" s="283"/>
      <c r="B147" s="283"/>
      <c r="C147" s="283"/>
      <c r="O147" s="455"/>
    </row>
    <row r="148">
      <c r="A148" s="283"/>
      <c r="B148" s="283"/>
      <c r="C148" s="283"/>
      <c r="O148" s="455"/>
    </row>
    <row r="149">
      <c r="A149" s="283"/>
      <c r="B149" s="283"/>
      <c r="C149" s="283"/>
      <c r="O149" s="455"/>
    </row>
    <row r="150">
      <c r="A150" s="283"/>
      <c r="B150" s="283"/>
      <c r="C150" s="283"/>
      <c r="O150" s="455"/>
    </row>
    <row r="151">
      <c r="A151" s="283"/>
      <c r="B151" s="283"/>
      <c r="C151" s="283"/>
      <c r="O151" s="455"/>
    </row>
    <row r="152">
      <c r="A152" s="283"/>
      <c r="B152" s="283"/>
      <c r="C152" s="283"/>
      <c r="O152" s="455"/>
    </row>
    <row r="153">
      <c r="A153" s="283"/>
      <c r="B153" s="283"/>
      <c r="C153" s="283"/>
      <c r="O153" s="455"/>
    </row>
    <row r="154">
      <c r="A154" s="283"/>
      <c r="B154" s="283"/>
      <c r="C154" s="283"/>
      <c r="O154" s="455"/>
    </row>
    <row r="155">
      <c r="A155" s="283"/>
      <c r="B155" s="283"/>
      <c r="C155" s="283"/>
      <c r="O155" s="455"/>
    </row>
    <row r="156">
      <c r="A156" s="283"/>
      <c r="B156" s="283"/>
      <c r="C156" s="283"/>
      <c r="O156" s="455"/>
    </row>
    <row r="157">
      <c r="A157" s="283"/>
      <c r="B157" s="283"/>
      <c r="C157" s="283"/>
      <c r="O157" s="455"/>
    </row>
    <row r="158">
      <c r="A158" s="283"/>
      <c r="B158" s="283"/>
      <c r="C158" s="283"/>
      <c r="O158" s="455"/>
    </row>
    <row r="159">
      <c r="A159" s="283"/>
      <c r="B159" s="283"/>
      <c r="C159" s="283"/>
      <c r="O159" s="455"/>
    </row>
    <row r="160">
      <c r="A160" s="283"/>
      <c r="B160" s="283"/>
      <c r="C160" s="283"/>
      <c r="O160" s="455"/>
    </row>
    <row r="161">
      <c r="A161" s="283"/>
      <c r="B161" s="283"/>
      <c r="C161" s="283"/>
      <c r="O161" s="455"/>
    </row>
    <row r="162">
      <c r="A162" s="283"/>
      <c r="B162" s="283"/>
      <c r="C162" s="283"/>
      <c r="O162" s="455"/>
    </row>
    <row r="163">
      <c r="A163" s="283"/>
      <c r="B163" s="283"/>
      <c r="C163" s="283"/>
      <c r="O163" s="455"/>
    </row>
    <row r="164">
      <c r="A164" s="283"/>
      <c r="B164" s="283"/>
      <c r="C164" s="283"/>
      <c r="O164" s="455"/>
    </row>
    <row r="165">
      <c r="A165" s="283"/>
      <c r="B165" s="283"/>
      <c r="C165" s="283"/>
      <c r="O165" s="455"/>
    </row>
    <row r="166">
      <c r="A166" s="283"/>
      <c r="B166" s="283"/>
      <c r="C166" s="283"/>
      <c r="O166" s="455"/>
    </row>
    <row r="167">
      <c r="A167" s="283"/>
      <c r="B167" s="283"/>
      <c r="C167" s="283"/>
      <c r="O167" s="455"/>
    </row>
    <row r="168">
      <c r="A168" s="283"/>
      <c r="B168" s="283"/>
      <c r="C168" s="283"/>
      <c r="O168" s="455"/>
    </row>
    <row r="169">
      <c r="A169" s="283"/>
      <c r="B169" s="283"/>
      <c r="C169" s="283"/>
      <c r="O169" s="455"/>
    </row>
    <row r="170">
      <c r="A170" s="283"/>
      <c r="B170" s="283"/>
      <c r="C170" s="283"/>
      <c r="O170" s="455"/>
    </row>
    <row r="171">
      <c r="A171" s="283"/>
      <c r="B171" s="283"/>
      <c r="C171" s="283"/>
      <c r="O171" s="455"/>
    </row>
    <row r="172">
      <c r="A172" s="283"/>
      <c r="B172" s="283"/>
      <c r="C172" s="283"/>
      <c r="O172" s="455"/>
    </row>
    <row r="173">
      <c r="A173" s="283"/>
      <c r="B173" s="283"/>
      <c r="C173" s="283"/>
      <c r="O173" s="455"/>
    </row>
    <row r="174">
      <c r="A174" s="283"/>
      <c r="B174" s="283"/>
      <c r="C174" s="283"/>
      <c r="O174" s="455"/>
    </row>
    <row r="175">
      <c r="A175" s="283"/>
      <c r="B175" s="283"/>
      <c r="C175" s="283"/>
      <c r="O175" s="455"/>
    </row>
    <row r="176">
      <c r="A176" s="283"/>
      <c r="B176" s="283"/>
      <c r="C176" s="283"/>
      <c r="O176" s="455"/>
    </row>
    <row r="177">
      <c r="A177" s="283"/>
      <c r="B177" s="283"/>
      <c r="C177" s="283"/>
      <c r="O177" s="455"/>
    </row>
    <row r="178">
      <c r="A178" s="283"/>
      <c r="B178" s="283"/>
      <c r="C178" s="283"/>
      <c r="O178" s="455"/>
    </row>
    <row r="179">
      <c r="A179" s="283"/>
      <c r="B179" s="283"/>
      <c r="C179" s="283"/>
      <c r="O179" s="455"/>
    </row>
    <row r="180">
      <c r="A180" s="283"/>
      <c r="B180" s="283"/>
      <c r="C180" s="283"/>
      <c r="O180" s="455"/>
    </row>
    <row r="181">
      <c r="A181" s="283"/>
      <c r="B181" s="283"/>
      <c r="C181" s="283"/>
      <c r="O181" s="455"/>
    </row>
    <row r="182">
      <c r="A182" s="283"/>
      <c r="B182" s="283"/>
      <c r="C182" s="283"/>
      <c r="O182" s="455"/>
    </row>
    <row r="183">
      <c r="A183" s="283"/>
      <c r="B183" s="283"/>
      <c r="C183" s="283"/>
      <c r="O183" s="455"/>
    </row>
    <row r="184">
      <c r="A184" s="283"/>
      <c r="B184" s="283"/>
      <c r="C184" s="283"/>
      <c r="O184" s="455"/>
    </row>
    <row r="185">
      <c r="A185" s="283"/>
      <c r="B185" s="283"/>
      <c r="C185" s="283"/>
      <c r="O185" s="455"/>
    </row>
    <row r="186">
      <c r="A186" s="283"/>
      <c r="B186" s="283"/>
      <c r="C186" s="283"/>
      <c r="O186" s="455"/>
    </row>
    <row r="187">
      <c r="A187" s="283"/>
      <c r="B187" s="283"/>
      <c r="C187" s="283"/>
      <c r="O187" s="455"/>
    </row>
    <row r="188">
      <c r="A188" s="283"/>
      <c r="B188" s="283"/>
      <c r="C188" s="283"/>
      <c r="O188" s="455"/>
    </row>
    <row r="189">
      <c r="A189" s="283"/>
      <c r="B189" s="283"/>
      <c r="C189" s="283"/>
      <c r="O189" s="455"/>
    </row>
    <row r="190">
      <c r="A190" s="283"/>
      <c r="B190" s="283"/>
      <c r="C190" s="283"/>
      <c r="O190" s="455"/>
    </row>
    <row r="191">
      <c r="A191" s="283"/>
      <c r="B191" s="283"/>
      <c r="C191" s="283"/>
      <c r="O191" s="455"/>
    </row>
    <row r="192">
      <c r="A192" s="283"/>
      <c r="B192" s="283"/>
      <c r="C192" s="283"/>
      <c r="O192" s="455"/>
    </row>
    <row r="193">
      <c r="A193" s="283"/>
      <c r="B193" s="283"/>
      <c r="C193" s="283"/>
      <c r="O193" s="455"/>
    </row>
    <row r="194">
      <c r="A194" s="283"/>
      <c r="B194" s="283"/>
      <c r="C194" s="283"/>
      <c r="O194" s="455"/>
    </row>
    <row r="195">
      <c r="A195" s="283"/>
      <c r="B195" s="283"/>
      <c r="C195" s="283"/>
      <c r="O195" s="455"/>
    </row>
    <row r="196">
      <c r="A196" s="283"/>
      <c r="B196" s="283"/>
      <c r="C196" s="283"/>
      <c r="O196" s="455"/>
    </row>
    <row r="197">
      <c r="A197" s="283"/>
      <c r="B197" s="283"/>
      <c r="C197" s="283"/>
      <c r="O197" s="455"/>
    </row>
    <row r="198">
      <c r="A198" s="283"/>
      <c r="B198" s="283"/>
      <c r="C198" s="283"/>
      <c r="O198" s="455"/>
    </row>
    <row r="199">
      <c r="A199" s="283"/>
      <c r="B199" s="283"/>
      <c r="C199" s="283"/>
      <c r="O199" s="455"/>
    </row>
    <row r="200">
      <c r="A200" s="283"/>
      <c r="B200" s="283"/>
      <c r="C200" s="283"/>
      <c r="O200" s="455"/>
    </row>
    <row r="201">
      <c r="A201" s="283"/>
      <c r="B201" s="283"/>
      <c r="C201" s="283"/>
      <c r="O201" s="455"/>
    </row>
    <row r="202">
      <c r="A202" s="283"/>
      <c r="B202" s="283"/>
      <c r="C202" s="283"/>
      <c r="O202" s="455"/>
    </row>
    <row r="203">
      <c r="A203" s="283"/>
      <c r="B203" s="283"/>
      <c r="C203" s="283"/>
      <c r="O203" s="455"/>
    </row>
    <row r="204">
      <c r="A204" s="283"/>
      <c r="B204" s="283"/>
      <c r="C204" s="283"/>
      <c r="O204" s="455"/>
    </row>
    <row r="205">
      <c r="A205" s="283"/>
      <c r="B205" s="283"/>
      <c r="C205" s="283"/>
      <c r="O205" s="455"/>
    </row>
    <row r="206">
      <c r="A206" s="283"/>
      <c r="B206" s="283"/>
      <c r="C206" s="283"/>
      <c r="O206" s="455"/>
    </row>
    <row r="207">
      <c r="A207" s="283"/>
      <c r="B207" s="283"/>
      <c r="C207" s="283"/>
      <c r="O207" s="455"/>
    </row>
    <row r="208">
      <c r="A208" s="283"/>
      <c r="B208" s="283"/>
      <c r="C208" s="283"/>
      <c r="O208" s="455"/>
    </row>
    <row r="209">
      <c r="A209" s="283"/>
      <c r="B209" s="283"/>
      <c r="C209" s="283"/>
      <c r="O209" s="455"/>
    </row>
    <row r="210">
      <c r="A210" s="283"/>
      <c r="B210" s="283"/>
      <c r="C210" s="283"/>
      <c r="O210" s="455"/>
    </row>
    <row r="211">
      <c r="A211" s="283"/>
      <c r="B211" s="283"/>
      <c r="C211" s="283"/>
      <c r="O211" s="455"/>
    </row>
    <row r="212">
      <c r="A212" s="283"/>
      <c r="B212" s="283"/>
      <c r="C212" s="283"/>
      <c r="O212" s="455"/>
    </row>
    <row r="213">
      <c r="A213" s="283"/>
      <c r="B213" s="283"/>
      <c r="C213" s="283"/>
      <c r="O213" s="455"/>
    </row>
    <row r="214">
      <c r="A214" s="283"/>
      <c r="B214" s="283"/>
      <c r="C214" s="283"/>
      <c r="O214" s="455"/>
    </row>
    <row r="215">
      <c r="A215" s="283"/>
      <c r="B215" s="283"/>
      <c r="C215" s="283"/>
      <c r="O215" s="455"/>
    </row>
    <row r="216">
      <c r="A216" s="283"/>
      <c r="B216" s="283"/>
      <c r="C216" s="283"/>
      <c r="O216" s="455"/>
    </row>
    <row r="217">
      <c r="A217" s="283"/>
      <c r="B217" s="283"/>
      <c r="C217" s="283"/>
      <c r="O217" s="455"/>
    </row>
    <row r="218">
      <c r="A218" s="283"/>
      <c r="B218" s="283"/>
      <c r="C218" s="283"/>
      <c r="O218" s="455"/>
    </row>
    <row r="219">
      <c r="A219" s="283"/>
      <c r="B219" s="283"/>
      <c r="C219" s="283"/>
      <c r="O219" s="455"/>
    </row>
    <row r="220">
      <c r="A220" s="283"/>
      <c r="B220" s="283"/>
      <c r="C220" s="283"/>
      <c r="O220" s="455"/>
    </row>
    <row r="221">
      <c r="A221" s="283"/>
      <c r="B221" s="283"/>
      <c r="C221" s="283"/>
      <c r="O221" s="455"/>
    </row>
    <row r="222">
      <c r="A222" s="283"/>
      <c r="B222" s="283"/>
      <c r="C222" s="283"/>
      <c r="O222" s="455"/>
    </row>
    <row r="223">
      <c r="A223" s="283"/>
      <c r="B223" s="283"/>
      <c r="C223" s="283"/>
      <c r="O223" s="455"/>
    </row>
    <row r="224">
      <c r="A224" s="283"/>
      <c r="B224" s="283"/>
      <c r="C224" s="283"/>
      <c r="O224" s="455"/>
    </row>
    <row r="225">
      <c r="A225" s="283"/>
      <c r="B225" s="283"/>
      <c r="C225" s="283"/>
      <c r="O225" s="455"/>
    </row>
    <row r="226">
      <c r="A226" s="283"/>
      <c r="B226" s="283"/>
      <c r="C226" s="283"/>
      <c r="O226" s="455"/>
    </row>
    <row r="227">
      <c r="A227" s="283"/>
      <c r="B227" s="283"/>
      <c r="C227" s="283"/>
      <c r="O227" s="455"/>
    </row>
    <row r="228">
      <c r="A228" s="283"/>
      <c r="B228" s="283"/>
      <c r="C228" s="283"/>
      <c r="O228" s="455"/>
    </row>
    <row r="229">
      <c r="A229" s="283"/>
      <c r="B229" s="283"/>
      <c r="C229" s="283"/>
      <c r="O229" s="455"/>
    </row>
    <row r="230">
      <c r="A230" s="283"/>
      <c r="B230" s="283"/>
      <c r="C230" s="283"/>
      <c r="O230" s="455"/>
    </row>
    <row r="231">
      <c r="A231" s="283"/>
      <c r="B231" s="283"/>
      <c r="C231" s="283"/>
      <c r="O231" s="455"/>
    </row>
    <row r="232">
      <c r="A232" s="283"/>
      <c r="B232" s="283"/>
      <c r="C232" s="283"/>
      <c r="O232" s="455"/>
    </row>
    <row r="233">
      <c r="A233" s="283"/>
      <c r="B233" s="283"/>
      <c r="C233" s="283"/>
      <c r="O233" s="455"/>
    </row>
    <row r="234">
      <c r="A234" s="283"/>
      <c r="B234" s="283"/>
      <c r="C234" s="283"/>
      <c r="O234" s="455"/>
    </row>
    <row r="235">
      <c r="A235" s="283"/>
      <c r="B235" s="283"/>
      <c r="C235" s="283"/>
      <c r="O235" s="455"/>
    </row>
    <row r="236">
      <c r="A236" s="283"/>
      <c r="B236" s="283"/>
      <c r="C236" s="283"/>
      <c r="O236" s="455"/>
    </row>
    <row r="237">
      <c r="A237" s="283"/>
      <c r="B237" s="283"/>
      <c r="C237" s="283"/>
      <c r="O237" s="455"/>
    </row>
    <row r="238">
      <c r="A238" s="283"/>
      <c r="B238" s="283"/>
      <c r="C238" s="283"/>
      <c r="O238" s="455"/>
    </row>
    <row r="239">
      <c r="A239" s="283"/>
      <c r="B239" s="283"/>
      <c r="C239" s="283"/>
      <c r="O239" s="455"/>
    </row>
    <row r="240">
      <c r="A240" s="283"/>
      <c r="B240" s="283"/>
      <c r="C240" s="283"/>
      <c r="O240" s="455"/>
    </row>
    <row r="241">
      <c r="A241" s="283"/>
      <c r="B241" s="283"/>
      <c r="C241" s="283"/>
      <c r="O241" s="455"/>
    </row>
    <row r="242">
      <c r="A242" s="283"/>
      <c r="B242" s="283"/>
      <c r="C242" s="283"/>
      <c r="O242" s="455"/>
    </row>
    <row r="243">
      <c r="A243" s="283"/>
      <c r="B243" s="283"/>
      <c r="C243" s="283"/>
      <c r="O243" s="455"/>
    </row>
    <row r="244">
      <c r="A244" s="283"/>
      <c r="B244" s="283"/>
      <c r="C244" s="283"/>
      <c r="O244" s="455"/>
    </row>
    <row r="245">
      <c r="A245" s="283"/>
      <c r="B245" s="283"/>
      <c r="C245" s="283"/>
      <c r="O245" s="455"/>
    </row>
    <row r="246">
      <c r="A246" s="283"/>
      <c r="B246" s="283"/>
      <c r="C246" s="283"/>
      <c r="O246" s="455"/>
    </row>
    <row r="247">
      <c r="A247" s="283"/>
      <c r="B247" s="283"/>
      <c r="C247" s="283"/>
      <c r="O247" s="455"/>
    </row>
    <row r="248">
      <c r="A248" s="283"/>
      <c r="B248" s="283"/>
      <c r="C248" s="283"/>
      <c r="O248" s="455"/>
    </row>
    <row r="249">
      <c r="A249" s="283"/>
      <c r="B249" s="283"/>
      <c r="C249" s="283"/>
      <c r="O249" s="455"/>
    </row>
    <row r="250">
      <c r="A250" s="283"/>
      <c r="B250" s="283"/>
      <c r="C250" s="283"/>
      <c r="O250" s="455"/>
    </row>
    <row r="251">
      <c r="A251" s="283"/>
      <c r="B251" s="283"/>
      <c r="C251" s="283"/>
      <c r="O251" s="455"/>
    </row>
    <row r="252">
      <c r="A252" s="283"/>
      <c r="B252" s="283"/>
      <c r="C252" s="283"/>
      <c r="O252" s="455"/>
    </row>
    <row r="253">
      <c r="A253" s="283"/>
      <c r="B253" s="283"/>
      <c r="C253" s="283"/>
      <c r="O253" s="455"/>
    </row>
    <row r="254">
      <c r="A254" s="283"/>
      <c r="B254" s="283"/>
      <c r="C254" s="283"/>
      <c r="O254" s="455"/>
    </row>
    <row r="255">
      <c r="A255" s="283"/>
      <c r="B255" s="283"/>
      <c r="C255" s="283"/>
      <c r="O255" s="455"/>
    </row>
    <row r="256">
      <c r="A256" s="283"/>
      <c r="B256" s="283"/>
      <c r="C256" s="283"/>
      <c r="O256" s="455"/>
    </row>
    <row r="257">
      <c r="A257" s="283"/>
      <c r="B257" s="283"/>
      <c r="C257" s="283"/>
      <c r="O257" s="455"/>
    </row>
    <row r="258">
      <c r="A258" s="283"/>
      <c r="B258" s="283"/>
      <c r="C258" s="283"/>
      <c r="O258" s="455"/>
    </row>
    <row r="259">
      <c r="A259" s="283"/>
      <c r="B259" s="283"/>
      <c r="C259" s="283"/>
      <c r="O259" s="455"/>
    </row>
    <row r="260">
      <c r="A260" s="283"/>
      <c r="B260" s="283"/>
      <c r="C260" s="283"/>
      <c r="O260" s="455"/>
    </row>
    <row r="261">
      <c r="A261" s="283"/>
      <c r="B261" s="283"/>
      <c r="C261" s="283"/>
      <c r="O261" s="455"/>
    </row>
    <row r="262">
      <c r="A262" s="283"/>
      <c r="B262" s="283"/>
      <c r="C262" s="283"/>
      <c r="O262" s="455"/>
    </row>
    <row r="263">
      <c r="A263" s="283"/>
      <c r="B263" s="283"/>
      <c r="C263" s="283"/>
      <c r="O263" s="455"/>
    </row>
    <row r="264">
      <c r="A264" s="283"/>
      <c r="B264" s="283"/>
      <c r="C264" s="283"/>
      <c r="O264" s="455"/>
    </row>
    <row r="265">
      <c r="A265" s="283"/>
      <c r="B265" s="283"/>
      <c r="C265" s="283"/>
      <c r="O265" s="455"/>
    </row>
    <row r="266">
      <c r="A266" s="283"/>
      <c r="B266" s="283"/>
      <c r="C266" s="283"/>
      <c r="O266" s="455"/>
    </row>
    <row r="267">
      <c r="A267" s="283"/>
      <c r="B267" s="283"/>
      <c r="C267" s="283"/>
      <c r="O267" s="455"/>
    </row>
    <row r="268">
      <c r="A268" s="283"/>
      <c r="B268" s="283"/>
      <c r="C268" s="283"/>
      <c r="O268" s="455"/>
    </row>
    <row r="269">
      <c r="A269" s="283"/>
      <c r="B269" s="283"/>
      <c r="C269" s="283"/>
      <c r="O269" s="455"/>
    </row>
    <row r="270">
      <c r="A270" s="283"/>
      <c r="B270" s="283"/>
      <c r="C270" s="283"/>
      <c r="O270" s="455"/>
    </row>
    <row r="271">
      <c r="A271" s="283"/>
      <c r="B271" s="283"/>
      <c r="C271" s="283"/>
      <c r="O271" s="455"/>
    </row>
    <row r="272">
      <c r="A272" s="283"/>
      <c r="B272" s="283"/>
      <c r="C272" s="283"/>
      <c r="O272" s="455"/>
    </row>
    <row r="273">
      <c r="A273" s="283"/>
      <c r="B273" s="283"/>
      <c r="C273" s="283"/>
      <c r="O273" s="455"/>
    </row>
    <row r="274">
      <c r="A274" s="283"/>
      <c r="B274" s="283"/>
      <c r="C274" s="283"/>
      <c r="O274" s="455"/>
    </row>
    <row r="275">
      <c r="A275" s="283"/>
      <c r="B275" s="283"/>
      <c r="C275" s="283"/>
      <c r="O275" s="455"/>
    </row>
    <row r="276">
      <c r="A276" s="283"/>
      <c r="B276" s="283"/>
      <c r="C276" s="283"/>
      <c r="O276" s="455"/>
    </row>
    <row r="277">
      <c r="A277" s="283"/>
      <c r="B277" s="283"/>
      <c r="C277" s="283"/>
      <c r="O277" s="455"/>
    </row>
    <row r="278">
      <c r="A278" s="283"/>
      <c r="B278" s="283"/>
      <c r="C278" s="283"/>
      <c r="O278" s="455"/>
    </row>
    <row r="279">
      <c r="A279" s="283"/>
      <c r="B279" s="283"/>
      <c r="C279" s="283"/>
      <c r="O279" s="455"/>
    </row>
    <row r="280">
      <c r="A280" s="283"/>
      <c r="B280" s="283"/>
      <c r="C280" s="283"/>
      <c r="O280" s="455"/>
    </row>
    <row r="281">
      <c r="A281" s="283"/>
      <c r="B281" s="283"/>
      <c r="C281" s="283"/>
      <c r="O281" s="455"/>
    </row>
    <row r="282">
      <c r="A282" s="283"/>
      <c r="B282" s="283"/>
      <c r="C282" s="283"/>
      <c r="O282" s="455"/>
    </row>
    <row r="283">
      <c r="A283" s="283"/>
      <c r="B283" s="283"/>
      <c r="C283" s="283"/>
      <c r="O283" s="455"/>
    </row>
    <row r="284">
      <c r="A284" s="283"/>
      <c r="B284" s="283"/>
      <c r="C284" s="283"/>
      <c r="O284" s="455"/>
    </row>
    <row r="285">
      <c r="A285" s="283"/>
      <c r="B285" s="283"/>
      <c r="C285" s="283"/>
      <c r="O285" s="455"/>
    </row>
    <row r="286">
      <c r="A286" s="283"/>
      <c r="B286" s="283"/>
      <c r="C286" s="283"/>
      <c r="O286" s="455"/>
    </row>
    <row r="287">
      <c r="A287" s="283"/>
      <c r="B287" s="283"/>
      <c r="C287" s="283"/>
      <c r="O287" s="455"/>
    </row>
    <row r="288">
      <c r="A288" s="283"/>
      <c r="B288" s="283"/>
      <c r="C288" s="283"/>
      <c r="O288" s="455"/>
    </row>
    <row r="289">
      <c r="A289" s="283"/>
      <c r="B289" s="283"/>
      <c r="C289" s="283"/>
      <c r="O289" s="455"/>
    </row>
    <row r="290">
      <c r="A290" s="283"/>
      <c r="B290" s="283"/>
      <c r="C290" s="283"/>
      <c r="O290" s="455"/>
    </row>
    <row r="291">
      <c r="A291" s="283"/>
      <c r="B291" s="283"/>
      <c r="C291" s="283"/>
      <c r="O291" s="455"/>
    </row>
    <row r="292">
      <c r="A292" s="283"/>
      <c r="B292" s="283"/>
      <c r="C292" s="283"/>
      <c r="O292" s="455"/>
    </row>
    <row r="293">
      <c r="A293" s="283"/>
      <c r="B293" s="283"/>
      <c r="C293" s="283"/>
      <c r="O293" s="455"/>
    </row>
    <row r="294">
      <c r="A294" s="283"/>
      <c r="B294" s="283"/>
      <c r="C294" s="283"/>
      <c r="O294" s="455"/>
    </row>
    <row r="295">
      <c r="A295" s="283"/>
      <c r="B295" s="283"/>
      <c r="C295" s="283"/>
      <c r="O295" s="455"/>
    </row>
    <row r="296">
      <c r="A296" s="283"/>
      <c r="B296" s="283"/>
      <c r="C296" s="283"/>
      <c r="O296" s="455"/>
    </row>
    <row r="297">
      <c r="A297" s="283"/>
      <c r="B297" s="283"/>
      <c r="C297" s="283"/>
      <c r="O297" s="455"/>
    </row>
    <row r="298">
      <c r="A298" s="283"/>
      <c r="B298" s="283"/>
      <c r="C298" s="283"/>
      <c r="O298" s="455"/>
    </row>
    <row r="299">
      <c r="A299" s="283"/>
      <c r="B299" s="283"/>
      <c r="C299" s="283"/>
      <c r="O299" s="455"/>
    </row>
    <row r="300">
      <c r="A300" s="283"/>
      <c r="B300" s="283"/>
      <c r="C300" s="283"/>
      <c r="O300" s="455"/>
    </row>
    <row r="301">
      <c r="A301" s="283"/>
      <c r="B301" s="283"/>
      <c r="C301" s="283"/>
      <c r="O301" s="455"/>
    </row>
    <row r="302">
      <c r="A302" s="283"/>
      <c r="B302" s="283"/>
      <c r="C302" s="283"/>
      <c r="O302" s="455"/>
    </row>
    <row r="303">
      <c r="A303" s="283"/>
      <c r="B303" s="283"/>
      <c r="C303" s="283"/>
      <c r="O303" s="455"/>
    </row>
    <row r="304">
      <c r="A304" s="283"/>
      <c r="B304" s="283"/>
      <c r="C304" s="283"/>
      <c r="O304" s="455"/>
    </row>
    <row r="305">
      <c r="A305" s="283"/>
      <c r="B305" s="283"/>
      <c r="C305" s="283"/>
      <c r="O305" s="455"/>
    </row>
    <row r="306">
      <c r="A306" s="283"/>
      <c r="B306" s="283"/>
      <c r="C306" s="283"/>
      <c r="O306" s="455"/>
    </row>
    <row r="307">
      <c r="A307" s="283"/>
      <c r="B307" s="283"/>
      <c r="C307" s="283"/>
      <c r="O307" s="455"/>
    </row>
    <row r="308">
      <c r="A308" s="283"/>
      <c r="B308" s="283"/>
      <c r="C308" s="283"/>
      <c r="O308" s="455"/>
    </row>
    <row r="309">
      <c r="A309" s="283"/>
      <c r="B309" s="283"/>
      <c r="C309" s="283"/>
      <c r="O309" s="455"/>
    </row>
    <row r="310">
      <c r="A310" s="283"/>
      <c r="B310" s="283"/>
      <c r="C310" s="283"/>
      <c r="O310" s="455"/>
    </row>
    <row r="311">
      <c r="A311" s="283"/>
      <c r="B311" s="283"/>
      <c r="C311" s="283"/>
      <c r="O311" s="455"/>
    </row>
    <row r="312">
      <c r="A312" s="283"/>
      <c r="B312" s="283"/>
      <c r="C312" s="283"/>
      <c r="O312" s="455"/>
    </row>
    <row r="313">
      <c r="A313" s="283"/>
      <c r="B313" s="283"/>
      <c r="C313" s="283"/>
      <c r="O313" s="455"/>
    </row>
    <row r="314">
      <c r="A314" s="283"/>
      <c r="B314" s="283"/>
      <c r="C314" s="283"/>
      <c r="O314" s="455"/>
    </row>
    <row r="315">
      <c r="A315" s="283"/>
      <c r="B315" s="283"/>
      <c r="C315" s="283"/>
      <c r="O315" s="455"/>
    </row>
    <row r="316">
      <c r="A316" s="283"/>
      <c r="B316" s="283"/>
      <c r="C316" s="283"/>
      <c r="O316" s="455"/>
    </row>
    <row r="317">
      <c r="A317" s="283"/>
      <c r="B317" s="283"/>
      <c r="C317" s="283"/>
      <c r="O317" s="455"/>
    </row>
    <row r="318">
      <c r="A318" s="283"/>
      <c r="B318" s="283"/>
      <c r="C318" s="283"/>
      <c r="O318" s="455"/>
    </row>
    <row r="319">
      <c r="A319" s="283"/>
      <c r="B319" s="283"/>
      <c r="C319" s="283"/>
      <c r="O319" s="455"/>
    </row>
    <row r="320">
      <c r="A320" s="283"/>
      <c r="B320" s="283"/>
      <c r="C320" s="283"/>
      <c r="O320" s="455"/>
    </row>
    <row r="321">
      <c r="A321" s="283"/>
      <c r="B321" s="283"/>
      <c r="C321" s="283"/>
      <c r="O321" s="455"/>
    </row>
    <row r="322">
      <c r="A322" s="283"/>
      <c r="B322" s="283"/>
      <c r="C322" s="283"/>
      <c r="O322" s="455"/>
    </row>
    <row r="323">
      <c r="A323" s="283"/>
      <c r="B323" s="283"/>
      <c r="C323" s="283"/>
      <c r="O323" s="455"/>
    </row>
    <row r="324">
      <c r="A324" s="283"/>
      <c r="B324" s="283"/>
      <c r="C324" s="283"/>
      <c r="O324" s="455"/>
    </row>
    <row r="325">
      <c r="A325" s="283"/>
      <c r="B325" s="283"/>
      <c r="C325" s="283"/>
      <c r="O325" s="455"/>
    </row>
    <row r="326">
      <c r="A326" s="283"/>
      <c r="B326" s="283"/>
      <c r="C326" s="283"/>
      <c r="O326" s="455"/>
    </row>
    <row r="327">
      <c r="A327" s="283"/>
      <c r="B327" s="283"/>
      <c r="C327" s="283"/>
      <c r="O327" s="455"/>
    </row>
    <row r="328">
      <c r="A328" s="283"/>
      <c r="B328" s="283"/>
      <c r="C328" s="283"/>
      <c r="O328" s="455"/>
    </row>
    <row r="329">
      <c r="A329" s="283"/>
      <c r="B329" s="283"/>
      <c r="C329" s="283"/>
      <c r="O329" s="455"/>
    </row>
    <row r="330">
      <c r="A330" s="283"/>
      <c r="B330" s="283"/>
      <c r="C330" s="283"/>
      <c r="O330" s="455"/>
    </row>
    <row r="331">
      <c r="A331" s="283"/>
      <c r="B331" s="283"/>
      <c r="C331" s="283"/>
      <c r="O331" s="455"/>
    </row>
    <row r="332">
      <c r="A332" s="283"/>
      <c r="B332" s="283"/>
      <c r="C332" s="283"/>
      <c r="O332" s="455"/>
    </row>
    <row r="333">
      <c r="A333" s="283"/>
      <c r="B333" s="283"/>
      <c r="C333" s="283"/>
      <c r="O333" s="455"/>
    </row>
    <row r="334">
      <c r="A334" s="283"/>
      <c r="B334" s="283"/>
      <c r="C334" s="283"/>
      <c r="O334" s="455"/>
    </row>
    <row r="335">
      <c r="A335" s="283"/>
      <c r="B335" s="283"/>
      <c r="C335" s="283"/>
      <c r="O335" s="455"/>
    </row>
    <row r="336">
      <c r="A336" s="283"/>
      <c r="B336" s="283"/>
      <c r="C336" s="283"/>
      <c r="O336" s="455"/>
    </row>
    <row r="337">
      <c r="A337" s="283"/>
      <c r="B337" s="283"/>
      <c r="C337" s="283"/>
      <c r="O337" s="455"/>
    </row>
    <row r="338">
      <c r="A338" s="283"/>
      <c r="B338" s="283"/>
      <c r="C338" s="283"/>
      <c r="O338" s="455"/>
    </row>
    <row r="339">
      <c r="A339" s="283"/>
      <c r="B339" s="283"/>
      <c r="C339" s="283"/>
      <c r="O339" s="455"/>
    </row>
    <row r="340">
      <c r="A340" s="283"/>
      <c r="B340" s="283"/>
      <c r="C340" s="283"/>
      <c r="O340" s="455"/>
    </row>
    <row r="341">
      <c r="A341" s="283"/>
      <c r="B341" s="283"/>
      <c r="C341" s="283"/>
      <c r="O341" s="455"/>
    </row>
    <row r="342">
      <c r="A342" s="283"/>
      <c r="B342" s="283"/>
      <c r="C342" s="283"/>
      <c r="O342" s="455"/>
    </row>
    <row r="343">
      <c r="A343" s="283"/>
      <c r="B343" s="283"/>
      <c r="C343" s="283"/>
      <c r="O343" s="455"/>
    </row>
    <row r="344">
      <c r="A344" s="283"/>
      <c r="B344" s="283"/>
      <c r="C344" s="283"/>
      <c r="O344" s="455"/>
    </row>
    <row r="345">
      <c r="A345" s="283"/>
      <c r="B345" s="283"/>
      <c r="C345" s="283"/>
      <c r="O345" s="455"/>
    </row>
    <row r="346">
      <c r="A346" s="283"/>
      <c r="B346" s="283"/>
      <c r="C346" s="283"/>
      <c r="O346" s="455"/>
    </row>
    <row r="347">
      <c r="A347" s="283"/>
      <c r="B347" s="283"/>
      <c r="C347" s="283"/>
      <c r="O347" s="455"/>
    </row>
    <row r="348">
      <c r="A348" s="283"/>
      <c r="B348" s="283"/>
      <c r="C348" s="283"/>
      <c r="O348" s="455"/>
    </row>
    <row r="349">
      <c r="A349" s="283"/>
      <c r="B349" s="283"/>
      <c r="C349" s="283"/>
      <c r="O349" s="455"/>
    </row>
    <row r="350">
      <c r="A350" s="283"/>
      <c r="B350" s="283"/>
      <c r="C350" s="283"/>
      <c r="O350" s="455"/>
    </row>
    <row r="351">
      <c r="A351" s="283"/>
      <c r="B351" s="283"/>
      <c r="C351" s="283"/>
      <c r="O351" s="455"/>
    </row>
    <row r="352">
      <c r="A352" s="283"/>
      <c r="B352" s="283"/>
      <c r="C352" s="283"/>
      <c r="O352" s="455"/>
    </row>
    <row r="353">
      <c r="A353" s="283"/>
      <c r="B353" s="283"/>
      <c r="C353" s="283"/>
      <c r="O353" s="455"/>
    </row>
    <row r="354">
      <c r="A354" s="283"/>
      <c r="B354" s="283"/>
      <c r="C354" s="283"/>
      <c r="O354" s="455"/>
    </row>
    <row r="355">
      <c r="A355" s="283"/>
      <c r="B355" s="283"/>
      <c r="C355" s="283"/>
      <c r="O355" s="455"/>
    </row>
    <row r="356">
      <c r="A356" s="283"/>
      <c r="B356" s="283"/>
      <c r="C356" s="283"/>
      <c r="O356" s="455"/>
    </row>
    <row r="357">
      <c r="A357" s="283"/>
      <c r="B357" s="283"/>
      <c r="C357" s="283"/>
      <c r="O357" s="455"/>
    </row>
    <row r="358">
      <c r="A358" s="283"/>
      <c r="B358" s="283"/>
      <c r="C358" s="283"/>
      <c r="O358" s="455"/>
    </row>
    <row r="359">
      <c r="A359" s="283"/>
      <c r="B359" s="283"/>
      <c r="C359" s="283"/>
      <c r="O359" s="455"/>
    </row>
    <row r="360">
      <c r="A360" s="283"/>
      <c r="B360" s="283"/>
      <c r="C360" s="283"/>
      <c r="O360" s="455"/>
    </row>
    <row r="361">
      <c r="A361" s="283"/>
      <c r="B361" s="283"/>
      <c r="C361" s="283"/>
      <c r="O361" s="455"/>
    </row>
    <row r="362">
      <c r="A362" s="283"/>
      <c r="B362" s="283"/>
      <c r="C362" s="283"/>
      <c r="O362" s="455"/>
    </row>
    <row r="363">
      <c r="A363" s="283"/>
      <c r="B363" s="283"/>
      <c r="C363" s="283"/>
      <c r="O363" s="455"/>
    </row>
    <row r="364">
      <c r="A364" s="283"/>
      <c r="B364" s="283"/>
      <c r="C364" s="283"/>
      <c r="O364" s="455"/>
    </row>
    <row r="365">
      <c r="A365" s="283"/>
      <c r="B365" s="283"/>
      <c r="C365" s="283"/>
      <c r="O365" s="455"/>
    </row>
    <row r="366">
      <c r="A366" s="283"/>
      <c r="B366" s="283"/>
      <c r="C366" s="283"/>
      <c r="O366" s="455"/>
    </row>
    <row r="367">
      <c r="A367" s="283"/>
      <c r="B367" s="283"/>
      <c r="C367" s="283"/>
      <c r="O367" s="455"/>
    </row>
    <row r="368">
      <c r="A368" s="283"/>
      <c r="B368" s="283"/>
      <c r="C368" s="283"/>
      <c r="O368" s="455"/>
    </row>
    <row r="369">
      <c r="A369" s="283"/>
      <c r="B369" s="283"/>
      <c r="C369" s="283"/>
      <c r="O369" s="455"/>
    </row>
    <row r="370">
      <c r="A370" s="283"/>
      <c r="B370" s="283"/>
      <c r="C370" s="283"/>
      <c r="O370" s="455"/>
    </row>
    <row r="371">
      <c r="A371" s="283"/>
      <c r="B371" s="283"/>
      <c r="C371" s="283"/>
      <c r="O371" s="455"/>
    </row>
    <row r="372">
      <c r="A372" s="283"/>
      <c r="B372" s="283"/>
      <c r="C372" s="283"/>
      <c r="O372" s="455"/>
    </row>
    <row r="373">
      <c r="A373" s="283"/>
      <c r="B373" s="283"/>
      <c r="C373" s="283"/>
      <c r="O373" s="455"/>
    </row>
    <row r="374">
      <c r="A374" s="283"/>
      <c r="B374" s="283"/>
      <c r="C374" s="283"/>
      <c r="O374" s="455"/>
    </row>
    <row r="375">
      <c r="A375" s="283"/>
      <c r="B375" s="283"/>
      <c r="C375" s="283"/>
      <c r="O375" s="455"/>
    </row>
    <row r="376">
      <c r="A376" s="283"/>
      <c r="B376" s="283"/>
      <c r="C376" s="283"/>
      <c r="O376" s="455"/>
    </row>
    <row r="377">
      <c r="A377" s="283"/>
      <c r="B377" s="283"/>
      <c r="C377" s="283"/>
      <c r="O377" s="455"/>
    </row>
    <row r="378">
      <c r="A378" s="283"/>
      <c r="B378" s="283"/>
      <c r="C378" s="283"/>
      <c r="O378" s="455"/>
    </row>
    <row r="379">
      <c r="A379" s="283"/>
      <c r="B379" s="283"/>
      <c r="C379" s="283"/>
      <c r="O379" s="455"/>
    </row>
    <row r="380">
      <c r="A380" s="283"/>
      <c r="B380" s="283"/>
      <c r="C380" s="283"/>
      <c r="O380" s="455"/>
    </row>
    <row r="381">
      <c r="A381" s="283"/>
      <c r="B381" s="283"/>
      <c r="C381" s="283"/>
      <c r="O381" s="455"/>
    </row>
    <row r="382">
      <c r="A382" s="283"/>
      <c r="B382" s="283"/>
      <c r="C382" s="283"/>
      <c r="O382" s="455"/>
    </row>
    <row r="383">
      <c r="A383" s="283"/>
      <c r="B383" s="283"/>
      <c r="C383" s="283"/>
      <c r="O383" s="455"/>
    </row>
    <row r="384">
      <c r="A384" s="283"/>
      <c r="B384" s="283"/>
      <c r="C384" s="283"/>
      <c r="O384" s="455"/>
    </row>
    <row r="385">
      <c r="A385" s="283"/>
      <c r="B385" s="283"/>
      <c r="C385" s="283"/>
      <c r="O385" s="455"/>
    </row>
    <row r="386">
      <c r="A386" s="283"/>
      <c r="B386" s="283"/>
      <c r="C386" s="283"/>
      <c r="O386" s="455"/>
    </row>
    <row r="387">
      <c r="A387" s="283"/>
      <c r="B387" s="283"/>
      <c r="C387" s="283"/>
      <c r="O387" s="455"/>
    </row>
    <row r="388">
      <c r="A388" s="283"/>
      <c r="B388" s="283"/>
      <c r="C388" s="283"/>
      <c r="O388" s="455"/>
    </row>
    <row r="389">
      <c r="A389" s="283"/>
      <c r="B389" s="283"/>
      <c r="C389" s="283"/>
      <c r="O389" s="455"/>
    </row>
    <row r="390">
      <c r="A390" s="283"/>
      <c r="B390" s="283"/>
      <c r="C390" s="283"/>
      <c r="O390" s="455"/>
    </row>
    <row r="391">
      <c r="A391" s="283"/>
      <c r="B391" s="283"/>
      <c r="C391" s="283"/>
      <c r="O391" s="455"/>
    </row>
    <row r="392">
      <c r="A392" s="283"/>
      <c r="B392" s="283"/>
      <c r="C392" s="283"/>
      <c r="O392" s="455"/>
    </row>
    <row r="393">
      <c r="A393" s="283"/>
      <c r="B393" s="283"/>
      <c r="C393" s="283"/>
      <c r="O393" s="455"/>
    </row>
    <row r="394">
      <c r="A394" s="283"/>
      <c r="B394" s="283"/>
      <c r="C394" s="283"/>
      <c r="O394" s="455"/>
    </row>
    <row r="395">
      <c r="A395" s="283"/>
      <c r="B395" s="283"/>
      <c r="C395" s="283"/>
      <c r="O395" s="455"/>
    </row>
    <row r="396">
      <c r="A396" s="283"/>
      <c r="B396" s="283"/>
      <c r="C396" s="283"/>
      <c r="O396" s="455"/>
    </row>
    <row r="397">
      <c r="A397" s="283"/>
      <c r="B397" s="283"/>
      <c r="C397" s="283"/>
      <c r="O397" s="455"/>
    </row>
    <row r="398">
      <c r="A398" s="283"/>
      <c r="B398" s="283"/>
      <c r="C398" s="283"/>
      <c r="O398" s="455"/>
    </row>
    <row r="399">
      <c r="A399" s="283"/>
      <c r="B399" s="283"/>
      <c r="C399" s="283"/>
      <c r="O399" s="455"/>
    </row>
    <row r="400">
      <c r="A400" s="283"/>
      <c r="B400" s="283"/>
      <c r="C400" s="283"/>
      <c r="O400" s="455"/>
    </row>
    <row r="401">
      <c r="A401" s="283"/>
      <c r="B401" s="283"/>
      <c r="C401" s="283"/>
      <c r="O401" s="455"/>
    </row>
    <row r="402">
      <c r="A402" s="283"/>
      <c r="B402" s="283"/>
      <c r="C402" s="283"/>
      <c r="O402" s="455"/>
    </row>
    <row r="403">
      <c r="A403" s="283"/>
      <c r="B403" s="283"/>
      <c r="C403" s="283"/>
      <c r="O403" s="455"/>
    </row>
    <row r="404">
      <c r="A404" s="283"/>
      <c r="B404" s="283"/>
      <c r="C404" s="283"/>
      <c r="O404" s="455"/>
    </row>
    <row r="405">
      <c r="A405" s="283"/>
      <c r="B405" s="283"/>
      <c r="C405" s="283"/>
      <c r="O405" s="455"/>
    </row>
    <row r="406">
      <c r="A406" s="283"/>
      <c r="B406" s="283"/>
      <c r="C406" s="283"/>
      <c r="O406" s="455"/>
    </row>
    <row r="407">
      <c r="A407" s="283"/>
      <c r="B407" s="283"/>
      <c r="C407" s="283"/>
      <c r="O407" s="455"/>
    </row>
    <row r="408">
      <c r="A408" s="283"/>
      <c r="B408" s="283"/>
      <c r="C408" s="283"/>
      <c r="O408" s="455"/>
    </row>
    <row r="409">
      <c r="A409" s="283"/>
      <c r="B409" s="283"/>
      <c r="C409" s="283"/>
      <c r="O409" s="455"/>
    </row>
    <row r="410">
      <c r="A410" s="283"/>
      <c r="B410" s="283"/>
      <c r="C410" s="283"/>
      <c r="O410" s="455"/>
    </row>
    <row r="411">
      <c r="A411" s="283"/>
      <c r="B411" s="283"/>
      <c r="C411" s="283"/>
      <c r="O411" s="455"/>
    </row>
    <row r="412">
      <c r="A412" s="283"/>
      <c r="B412" s="283"/>
      <c r="C412" s="283"/>
      <c r="O412" s="455"/>
    </row>
    <row r="413">
      <c r="A413" s="283"/>
      <c r="B413" s="283"/>
      <c r="C413" s="283"/>
      <c r="O413" s="455"/>
    </row>
    <row r="414">
      <c r="A414" s="283"/>
      <c r="B414" s="283"/>
      <c r="C414" s="283"/>
      <c r="O414" s="455"/>
    </row>
    <row r="415">
      <c r="A415" s="283"/>
      <c r="B415" s="283"/>
      <c r="C415" s="283"/>
      <c r="O415" s="455"/>
    </row>
    <row r="416">
      <c r="A416" s="283"/>
      <c r="B416" s="283"/>
      <c r="C416" s="283"/>
      <c r="O416" s="455"/>
    </row>
    <row r="417">
      <c r="A417" s="283"/>
      <c r="B417" s="283"/>
      <c r="C417" s="283"/>
      <c r="O417" s="455"/>
    </row>
    <row r="418">
      <c r="A418" s="283"/>
      <c r="B418" s="283"/>
      <c r="C418" s="283"/>
      <c r="O418" s="455"/>
    </row>
    <row r="419">
      <c r="A419" s="283"/>
      <c r="B419" s="283"/>
      <c r="C419" s="283"/>
      <c r="O419" s="455"/>
    </row>
    <row r="420">
      <c r="A420" s="283"/>
      <c r="B420" s="283"/>
      <c r="C420" s="283"/>
      <c r="O420" s="455"/>
    </row>
    <row r="421">
      <c r="A421" s="283"/>
      <c r="B421" s="283"/>
      <c r="C421" s="283"/>
      <c r="O421" s="455"/>
    </row>
    <row r="422">
      <c r="A422" s="283"/>
      <c r="B422" s="283"/>
      <c r="C422" s="283"/>
      <c r="O422" s="455"/>
    </row>
    <row r="423">
      <c r="A423" s="283"/>
      <c r="B423" s="283"/>
      <c r="C423" s="283"/>
      <c r="O423" s="455"/>
    </row>
    <row r="424">
      <c r="A424" s="283"/>
      <c r="B424" s="283"/>
      <c r="C424" s="283"/>
      <c r="O424" s="455"/>
    </row>
    <row r="425">
      <c r="A425" s="283"/>
      <c r="B425" s="283"/>
      <c r="C425" s="283"/>
      <c r="O425" s="455"/>
    </row>
    <row r="426">
      <c r="A426" s="283"/>
      <c r="B426" s="283"/>
      <c r="C426" s="283"/>
      <c r="O426" s="455"/>
    </row>
    <row r="427">
      <c r="A427" s="283"/>
      <c r="B427" s="283"/>
      <c r="C427" s="283"/>
      <c r="O427" s="455"/>
    </row>
    <row r="428">
      <c r="A428" s="283"/>
      <c r="B428" s="283"/>
      <c r="C428" s="283"/>
      <c r="O428" s="455"/>
    </row>
    <row r="429">
      <c r="A429" s="283"/>
      <c r="B429" s="283"/>
      <c r="C429" s="283"/>
      <c r="O429" s="455"/>
    </row>
    <row r="430">
      <c r="A430" s="283"/>
      <c r="B430" s="283"/>
      <c r="C430" s="283"/>
      <c r="O430" s="455"/>
    </row>
    <row r="431">
      <c r="A431" s="283"/>
      <c r="B431" s="283"/>
      <c r="C431" s="283"/>
      <c r="O431" s="455"/>
    </row>
    <row r="432">
      <c r="A432" s="283"/>
      <c r="B432" s="283"/>
      <c r="C432" s="283"/>
      <c r="O432" s="455"/>
    </row>
    <row r="433">
      <c r="A433" s="283"/>
      <c r="B433" s="283"/>
      <c r="C433" s="283"/>
      <c r="O433" s="455"/>
    </row>
    <row r="434">
      <c r="A434" s="283"/>
      <c r="B434" s="283"/>
      <c r="C434" s="283"/>
      <c r="O434" s="455"/>
    </row>
    <row r="435">
      <c r="A435" s="283"/>
      <c r="B435" s="283"/>
      <c r="C435" s="283"/>
      <c r="O435" s="455"/>
    </row>
    <row r="436">
      <c r="A436" s="283"/>
      <c r="B436" s="283"/>
      <c r="C436" s="283"/>
      <c r="O436" s="455"/>
    </row>
    <row r="437">
      <c r="A437" s="283"/>
      <c r="B437" s="283"/>
      <c r="C437" s="283"/>
      <c r="O437" s="455"/>
    </row>
    <row r="438">
      <c r="A438" s="283"/>
      <c r="B438" s="283"/>
      <c r="C438" s="283"/>
      <c r="O438" s="455"/>
    </row>
    <row r="439">
      <c r="A439" s="283"/>
      <c r="B439" s="283"/>
      <c r="C439" s="283"/>
      <c r="O439" s="455"/>
    </row>
    <row r="440">
      <c r="A440" s="283"/>
      <c r="B440" s="283"/>
      <c r="C440" s="283"/>
      <c r="O440" s="455"/>
    </row>
    <row r="441">
      <c r="A441" s="283"/>
      <c r="B441" s="283"/>
      <c r="C441" s="283"/>
      <c r="O441" s="455"/>
    </row>
    <row r="442">
      <c r="A442" s="283"/>
      <c r="B442" s="283"/>
      <c r="C442" s="283"/>
      <c r="O442" s="455"/>
    </row>
    <row r="443">
      <c r="A443" s="283"/>
      <c r="B443" s="283"/>
      <c r="C443" s="283"/>
      <c r="O443" s="455"/>
    </row>
    <row r="444">
      <c r="A444" s="283"/>
      <c r="B444" s="283"/>
      <c r="C444" s="283"/>
      <c r="O444" s="455"/>
    </row>
    <row r="445">
      <c r="A445" s="283"/>
      <c r="B445" s="283"/>
      <c r="C445" s="283"/>
      <c r="O445" s="455"/>
    </row>
    <row r="446">
      <c r="A446" s="283"/>
      <c r="B446" s="283"/>
      <c r="C446" s="283"/>
      <c r="O446" s="455"/>
    </row>
    <row r="447">
      <c r="A447" s="283"/>
      <c r="B447" s="283"/>
      <c r="C447" s="283"/>
      <c r="O447" s="455"/>
    </row>
    <row r="448">
      <c r="A448" s="283"/>
      <c r="B448" s="283"/>
      <c r="C448" s="283"/>
      <c r="O448" s="455"/>
    </row>
    <row r="449">
      <c r="A449" s="283"/>
      <c r="B449" s="283"/>
      <c r="C449" s="283"/>
      <c r="O449" s="455"/>
    </row>
    <row r="450">
      <c r="A450" s="283"/>
      <c r="B450" s="283"/>
      <c r="C450" s="283"/>
      <c r="O450" s="455"/>
    </row>
    <row r="451">
      <c r="A451" s="283"/>
      <c r="B451" s="283"/>
      <c r="C451" s="283"/>
      <c r="O451" s="455"/>
    </row>
    <row r="452">
      <c r="A452" s="283"/>
      <c r="B452" s="283"/>
      <c r="C452" s="283"/>
      <c r="O452" s="455"/>
    </row>
    <row r="453">
      <c r="A453" s="283"/>
      <c r="B453" s="283"/>
      <c r="C453" s="283"/>
      <c r="O453" s="455"/>
    </row>
    <row r="454">
      <c r="A454" s="283"/>
      <c r="B454" s="283"/>
      <c r="C454" s="283"/>
      <c r="O454" s="455"/>
    </row>
    <row r="455">
      <c r="A455" s="283"/>
      <c r="B455" s="283"/>
      <c r="C455" s="283"/>
      <c r="O455" s="455"/>
    </row>
    <row r="456">
      <c r="A456" s="283"/>
      <c r="B456" s="283"/>
      <c r="C456" s="283"/>
      <c r="O456" s="455"/>
    </row>
    <row r="457">
      <c r="A457" s="283"/>
      <c r="B457" s="283"/>
      <c r="C457" s="283"/>
      <c r="O457" s="455"/>
    </row>
    <row r="458">
      <c r="A458" s="283"/>
      <c r="B458" s="283"/>
      <c r="C458" s="283"/>
      <c r="O458" s="455"/>
    </row>
    <row r="459">
      <c r="A459" s="283"/>
      <c r="B459" s="283"/>
      <c r="C459" s="283"/>
      <c r="O459" s="455"/>
    </row>
    <row r="460">
      <c r="A460" s="283"/>
      <c r="B460" s="283"/>
      <c r="C460" s="283"/>
      <c r="O460" s="455"/>
    </row>
    <row r="461">
      <c r="A461" s="283"/>
      <c r="B461" s="283"/>
      <c r="C461" s="283"/>
      <c r="O461" s="455"/>
    </row>
    <row r="462">
      <c r="A462" s="283"/>
      <c r="B462" s="283"/>
      <c r="C462" s="283"/>
      <c r="O462" s="455"/>
    </row>
    <row r="463">
      <c r="A463" s="283"/>
      <c r="B463" s="283"/>
      <c r="C463" s="283"/>
      <c r="O463" s="455"/>
    </row>
    <row r="464">
      <c r="A464" s="283"/>
      <c r="B464" s="283"/>
      <c r="C464" s="283"/>
      <c r="O464" s="455"/>
    </row>
    <row r="465">
      <c r="A465" s="283"/>
      <c r="B465" s="283"/>
      <c r="C465" s="283"/>
      <c r="O465" s="455"/>
    </row>
    <row r="466">
      <c r="A466" s="283"/>
      <c r="B466" s="283"/>
      <c r="C466" s="283"/>
      <c r="O466" s="455"/>
    </row>
    <row r="467">
      <c r="A467" s="283"/>
      <c r="B467" s="283"/>
      <c r="C467" s="283"/>
      <c r="O467" s="455"/>
    </row>
    <row r="468">
      <c r="A468" s="283"/>
      <c r="B468" s="283"/>
      <c r="C468" s="283"/>
      <c r="O468" s="455"/>
    </row>
    <row r="469">
      <c r="A469" s="283"/>
      <c r="B469" s="283"/>
      <c r="C469" s="283"/>
      <c r="O469" s="455"/>
    </row>
    <row r="470">
      <c r="A470" s="283"/>
      <c r="B470" s="283"/>
      <c r="C470" s="283"/>
      <c r="O470" s="455"/>
    </row>
    <row r="471">
      <c r="A471" s="283"/>
      <c r="B471" s="283"/>
      <c r="C471" s="283"/>
      <c r="O471" s="455"/>
    </row>
    <row r="472">
      <c r="A472" s="283"/>
      <c r="B472" s="283"/>
      <c r="C472" s="283"/>
      <c r="O472" s="455"/>
    </row>
    <row r="473">
      <c r="A473" s="283"/>
      <c r="B473" s="283"/>
      <c r="C473" s="283"/>
      <c r="O473" s="455"/>
    </row>
    <row r="474">
      <c r="A474" s="283"/>
      <c r="B474" s="283"/>
      <c r="C474" s="283"/>
      <c r="O474" s="455"/>
    </row>
    <row r="475">
      <c r="A475" s="283"/>
      <c r="B475" s="283"/>
      <c r="C475" s="283"/>
      <c r="O475" s="455"/>
    </row>
    <row r="476">
      <c r="A476" s="283"/>
      <c r="B476" s="283"/>
      <c r="C476" s="283"/>
      <c r="O476" s="455"/>
    </row>
    <row r="477">
      <c r="A477" s="283"/>
      <c r="B477" s="283"/>
      <c r="C477" s="283"/>
      <c r="O477" s="455"/>
    </row>
    <row r="478">
      <c r="A478" s="283"/>
      <c r="B478" s="283"/>
      <c r="C478" s="283"/>
      <c r="O478" s="455"/>
    </row>
    <row r="479">
      <c r="A479" s="283"/>
      <c r="B479" s="283"/>
      <c r="C479" s="283"/>
      <c r="O479" s="455"/>
    </row>
    <row r="480">
      <c r="A480" s="283"/>
      <c r="B480" s="283"/>
      <c r="C480" s="283"/>
      <c r="O480" s="455"/>
    </row>
    <row r="481">
      <c r="A481" s="283"/>
      <c r="B481" s="283"/>
      <c r="C481" s="283"/>
      <c r="O481" s="455"/>
    </row>
    <row r="482">
      <c r="A482" s="283"/>
      <c r="B482" s="283"/>
      <c r="C482" s="283"/>
      <c r="O482" s="455"/>
    </row>
    <row r="483">
      <c r="A483" s="283"/>
      <c r="B483" s="283"/>
      <c r="C483" s="283"/>
      <c r="O483" s="455"/>
    </row>
    <row r="484">
      <c r="A484" s="283"/>
      <c r="B484" s="283"/>
      <c r="C484" s="283"/>
      <c r="O484" s="455"/>
    </row>
    <row r="485">
      <c r="A485" s="283"/>
      <c r="B485" s="283"/>
      <c r="C485" s="283"/>
      <c r="O485" s="455"/>
    </row>
    <row r="486">
      <c r="A486" s="283"/>
      <c r="B486" s="283"/>
      <c r="C486" s="283"/>
      <c r="O486" s="455"/>
    </row>
    <row r="487">
      <c r="A487" s="283"/>
      <c r="B487" s="283"/>
      <c r="C487" s="283"/>
      <c r="O487" s="455"/>
    </row>
    <row r="488">
      <c r="A488" s="283"/>
      <c r="B488" s="283"/>
      <c r="C488" s="283"/>
      <c r="O488" s="455"/>
    </row>
    <row r="489">
      <c r="A489" s="283"/>
      <c r="B489" s="283"/>
      <c r="C489" s="283"/>
      <c r="O489" s="455"/>
    </row>
    <row r="490">
      <c r="A490" s="283"/>
      <c r="B490" s="283"/>
      <c r="C490" s="283"/>
      <c r="O490" s="455"/>
    </row>
    <row r="491">
      <c r="A491" s="283"/>
      <c r="B491" s="283"/>
      <c r="C491" s="283"/>
      <c r="O491" s="455"/>
    </row>
    <row r="492">
      <c r="A492" s="283"/>
      <c r="B492" s="283"/>
      <c r="C492" s="283"/>
      <c r="O492" s="455"/>
    </row>
    <row r="493">
      <c r="A493" s="283"/>
      <c r="B493" s="283"/>
      <c r="C493" s="283"/>
      <c r="O493" s="455"/>
    </row>
    <row r="494">
      <c r="A494" s="283"/>
      <c r="B494" s="283"/>
      <c r="C494" s="283"/>
      <c r="O494" s="455"/>
    </row>
    <row r="495">
      <c r="A495" s="283"/>
      <c r="B495" s="283"/>
      <c r="C495" s="283"/>
      <c r="O495" s="455"/>
    </row>
    <row r="496">
      <c r="A496" s="283"/>
      <c r="B496" s="283"/>
      <c r="C496" s="283"/>
      <c r="O496" s="455"/>
    </row>
    <row r="497">
      <c r="A497" s="283"/>
      <c r="B497" s="283"/>
      <c r="C497" s="283"/>
      <c r="O497" s="455"/>
    </row>
    <row r="498">
      <c r="A498" s="283"/>
      <c r="B498" s="283"/>
      <c r="C498" s="283"/>
      <c r="O498" s="455"/>
    </row>
    <row r="499">
      <c r="A499" s="283"/>
      <c r="B499" s="283"/>
      <c r="C499" s="283"/>
      <c r="O499" s="455"/>
    </row>
    <row r="500">
      <c r="A500" s="283"/>
      <c r="B500" s="283"/>
      <c r="C500" s="283"/>
      <c r="O500" s="455"/>
    </row>
    <row r="501">
      <c r="A501" s="283"/>
      <c r="B501" s="283"/>
      <c r="C501" s="283"/>
      <c r="O501" s="455"/>
    </row>
    <row r="502">
      <c r="A502" s="283"/>
      <c r="B502" s="283"/>
      <c r="C502" s="283"/>
      <c r="O502" s="455"/>
    </row>
    <row r="503">
      <c r="A503" s="283"/>
      <c r="B503" s="283"/>
      <c r="C503" s="283"/>
      <c r="O503" s="455"/>
    </row>
    <row r="504">
      <c r="A504" s="283"/>
      <c r="B504" s="283"/>
      <c r="C504" s="283"/>
      <c r="O504" s="455"/>
    </row>
    <row r="505">
      <c r="A505" s="283"/>
      <c r="B505" s="283"/>
      <c r="C505" s="283"/>
      <c r="O505" s="455"/>
    </row>
    <row r="506">
      <c r="A506" s="283"/>
      <c r="B506" s="283"/>
      <c r="C506" s="283"/>
      <c r="O506" s="455"/>
    </row>
    <row r="507">
      <c r="A507" s="283"/>
      <c r="B507" s="283"/>
      <c r="C507" s="283"/>
      <c r="O507" s="455"/>
    </row>
    <row r="508">
      <c r="A508" s="283"/>
      <c r="B508" s="283"/>
      <c r="C508" s="283"/>
      <c r="O508" s="455"/>
    </row>
    <row r="509">
      <c r="A509" s="283"/>
      <c r="B509" s="283"/>
      <c r="C509" s="283"/>
      <c r="O509" s="455"/>
    </row>
    <row r="510">
      <c r="A510" s="283"/>
      <c r="B510" s="283"/>
      <c r="C510" s="283"/>
      <c r="O510" s="455"/>
    </row>
    <row r="511">
      <c r="A511" s="283"/>
      <c r="B511" s="283"/>
      <c r="C511" s="283"/>
      <c r="O511" s="455"/>
    </row>
    <row r="512">
      <c r="A512" s="283"/>
      <c r="B512" s="283"/>
      <c r="C512" s="283"/>
      <c r="O512" s="455"/>
    </row>
    <row r="513">
      <c r="A513" s="283"/>
      <c r="B513" s="283"/>
      <c r="C513" s="283"/>
      <c r="O513" s="455"/>
    </row>
    <row r="514">
      <c r="A514" s="283"/>
      <c r="B514" s="283"/>
      <c r="C514" s="283"/>
      <c r="O514" s="455"/>
    </row>
    <row r="515">
      <c r="A515" s="283"/>
      <c r="B515" s="283"/>
      <c r="C515" s="283"/>
      <c r="O515" s="455"/>
    </row>
    <row r="516">
      <c r="A516" s="283"/>
      <c r="B516" s="283"/>
      <c r="C516" s="283"/>
      <c r="O516" s="455"/>
    </row>
    <row r="517">
      <c r="A517" s="283"/>
      <c r="B517" s="283"/>
      <c r="C517" s="283"/>
      <c r="O517" s="455"/>
    </row>
    <row r="518">
      <c r="A518" s="283"/>
      <c r="B518" s="283"/>
      <c r="C518" s="283"/>
      <c r="O518" s="455"/>
    </row>
    <row r="519">
      <c r="A519" s="283"/>
      <c r="B519" s="283"/>
      <c r="C519" s="283"/>
      <c r="O519" s="455"/>
    </row>
    <row r="520">
      <c r="A520" s="283"/>
      <c r="B520" s="283"/>
      <c r="C520" s="283"/>
      <c r="O520" s="455"/>
    </row>
    <row r="521">
      <c r="A521" s="283"/>
      <c r="B521" s="283"/>
      <c r="C521" s="283"/>
      <c r="O521" s="455"/>
    </row>
    <row r="522">
      <c r="A522" s="283"/>
      <c r="B522" s="283"/>
      <c r="C522" s="283"/>
      <c r="O522" s="455"/>
    </row>
    <row r="523">
      <c r="A523" s="283"/>
      <c r="B523" s="283"/>
      <c r="C523" s="283"/>
      <c r="O523" s="455"/>
    </row>
    <row r="524">
      <c r="A524" s="283"/>
      <c r="B524" s="283"/>
      <c r="C524" s="283"/>
      <c r="O524" s="455"/>
    </row>
    <row r="525">
      <c r="A525" s="283"/>
      <c r="B525" s="283"/>
      <c r="C525" s="283"/>
      <c r="O525" s="455"/>
    </row>
    <row r="526">
      <c r="A526" s="283"/>
      <c r="B526" s="283"/>
      <c r="C526" s="283"/>
      <c r="O526" s="455"/>
    </row>
    <row r="527">
      <c r="A527" s="283"/>
      <c r="B527" s="283"/>
      <c r="C527" s="283"/>
      <c r="O527" s="455"/>
    </row>
    <row r="528">
      <c r="A528" s="283"/>
      <c r="B528" s="283"/>
      <c r="C528" s="283"/>
      <c r="O528" s="455"/>
    </row>
    <row r="529">
      <c r="A529" s="283"/>
      <c r="B529" s="283"/>
      <c r="C529" s="283"/>
      <c r="O529" s="455"/>
    </row>
    <row r="530">
      <c r="A530" s="283"/>
      <c r="B530" s="283"/>
      <c r="C530" s="283"/>
      <c r="O530" s="455"/>
    </row>
    <row r="531">
      <c r="A531" s="283"/>
      <c r="B531" s="283"/>
      <c r="C531" s="283"/>
      <c r="O531" s="455"/>
    </row>
    <row r="532">
      <c r="A532" s="283"/>
      <c r="B532" s="283"/>
      <c r="C532" s="283"/>
      <c r="O532" s="455"/>
    </row>
    <row r="533">
      <c r="A533" s="283"/>
      <c r="B533" s="283"/>
      <c r="C533" s="283"/>
      <c r="O533" s="455"/>
    </row>
    <row r="534">
      <c r="A534" s="283"/>
      <c r="B534" s="283"/>
      <c r="C534" s="283"/>
      <c r="O534" s="455"/>
    </row>
    <row r="535">
      <c r="A535" s="283"/>
      <c r="B535" s="283"/>
      <c r="C535" s="283"/>
      <c r="O535" s="455"/>
    </row>
    <row r="536">
      <c r="A536" s="283"/>
      <c r="B536" s="283"/>
      <c r="C536" s="283"/>
      <c r="O536" s="455"/>
    </row>
    <row r="537">
      <c r="A537" s="283"/>
      <c r="B537" s="283"/>
      <c r="C537" s="283"/>
      <c r="O537" s="455"/>
    </row>
    <row r="538">
      <c r="A538" s="283"/>
      <c r="B538" s="283"/>
      <c r="C538" s="283"/>
      <c r="O538" s="455"/>
    </row>
    <row r="539">
      <c r="A539" s="283"/>
      <c r="B539" s="283"/>
      <c r="C539" s="283"/>
      <c r="O539" s="455"/>
    </row>
    <row r="540">
      <c r="A540" s="283"/>
      <c r="B540" s="283"/>
      <c r="C540" s="283"/>
      <c r="O540" s="455"/>
    </row>
    <row r="541">
      <c r="A541" s="283"/>
      <c r="B541" s="283"/>
      <c r="C541" s="283"/>
      <c r="O541" s="455"/>
    </row>
    <row r="542">
      <c r="A542" s="283"/>
      <c r="B542" s="283"/>
      <c r="C542" s="283"/>
      <c r="O542" s="455"/>
    </row>
    <row r="543">
      <c r="A543" s="283"/>
      <c r="B543" s="283"/>
      <c r="C543" s="283"/>
      <c r="O543" s="455"/>
    </row>
    <row r="544">
      <c r="A544" s="283"/>
      <c r="B544" s="283"/>
      <c r="C544" s="283"/>
      <c r="O544" s="455"/>
    </row>
    <row r="545">
      <c r="A545" s="283"/>
      <c r="B545" s="283"/>
      <c r="C545" s="283"/>
      <c r="O545" s="455"/>
    </row>
    <row r="546">
      <c r="A546" s="283"/>
      <c r="B546" s="283"/>
      <c r="C546" s="283"/>
      <c r="O546" s="455"/>
    </row>
    <row r="547">
      <c r="A547" s="283"/>
      <c r="B547" s="283"/>
      <c r="C547" s="283"/>
      <c r="O547" s="455"/>
    </row>
    <row r="548">
      <c r="A548" s="283"/>
      <c r="B548" s="283"/>
      <c r="C548" s="283"/>
      <c r="O548" s="455"/>
    </row>
    <row r="549">
      <c r="A549" s="283"/>
      <c r="B549" s="283"/>
      <c r="C549" s="283"/>
      <c r="O549" s="455"/>
    </row>
    <row r="550">
      <c r="A550" s="283"/>
      <c r="B550" s="283"/>
      <c r="C550" s="283"/>
      <c r="O550" s="455"/>
    </row>
    <row r="551">
      <c r="A551" s="283"/>
      <c r="B551" s="283"/>
      <c r="C551" s="283"/>
      <c r="O551" s="455"/>
    </row>
    <row r="552">
      <c r="A552" s="283"/>
      <c r="B552" s="283"/>
      <c r="C552" s="283"/>
      <c r="O552" s="455"/>
    </row>
    <row r="553">
      <c r="A553" s="283"/>
      <c r="B553" s="283"/>
      <c r="C553" s="283"/>
      <c r="O553" s="455"/>
    </row>
    <row r="554">
      <c r="A554" s="283"/>
      <c r="B554" s="283"/>
      <c r="C554" s="283"/>
      <c r="O554" s="455"/>
    </row>
    <row r="555">
      <c r="A555" s="283"/>
      <c r="B555" s="283"/>
      <c r="C555" s="283"/>
      <c r="O555" s="455"/>
    </row>
    <row r="556">
      <c r="A556" s="283"/>
      <c r="B556" s="283"/>
      <c r="C556" s="283"/>
      <c r="O556" s="455"/>
    </row>
    <row r="557">
      <c r="A557" s="283"/>
      <c r="B557" s="283"/>
      <c r="C557" s="283"/>
      <c r="O557" s="455"/>
    </row>
    <row r="558">
      <c r="A558" s="283"/>
      <c r="B558" s="283"/>
      <c r="C558" s="283"/>
      <c r="O558" s="455"/>
    </row>
    <row r="559">
      <c r="A559" s="283"/>
      <c r="B559" s="283"/>
      <c r="C559" s="283"/>
      <c r="O559" s="455"/>
    </row>
    <row r="560">
      <c r="A560" s="283"/>
      <c r="B560" s="283"/>
      <c r="C560" s="283"/>
      <c r="O560" s="455"/>
    </row>
    <row r="561">
      <c r="A561" s="283"/>
      <c r="B561" s="283"/>
      <c r="C561" s="283"/>
      <c r="O561" s="455"/>
    </row>
    <row r="562">
      <c r="A562" s="283"/>
      <c r="B562" s="283"/>
      <c r="C562" s="283"/>
      <c r="O562" s="455"/>
    </row>
    <row r="563">
      <c r="A563" s="283"/>
      <c r="B563" s="283"/>
      <c r="C563" s="283"/>
      <c r="O563" s="455"/>
    </row>
    <row r="564">
      <c r="A564" s="283"/>
      <c r="B564" s="283"/>
      <c r="C564" s="283"/>
      <c r="O564" s="455"/>
    </row>
    <row r="565">
      <c r="A565" s="283"/>
      <c r="B565" s="283"/>
      <c r="C565" s="283"/>
      <c r="O565" s="455"/>
    </row>
    <row r="566">
      <c r="A566" s="283"/>
      <c r="B566" s="283"/>
      <c r="C566" s="283"/>
      <c r="O566" s="455"/>
    </row>
    <row r="567">
      <c r="A567" s="283"/>
      <c r="B567" s="283"/>
      <c r="C567" s="283"/>
      <c r="O567" s="455"/>
    </row>
    <row r="568">
      <c r="A568" s="283"/>
      <c r="B568" s="283"/>
      <c r="C568" s="283"/>
      <c r="O568" s="455"/>
    </row>
    <row r="569">
      <c r="A569" s="283"/>
      <c r="B569" s="283"/>
      <c r="C569" s="283"/>
      <c r="O569" s="455"/>
    </row>
    <row r="570">
      <c r="A570" s="283"/>
      <c r="B570" s="283"/>
      <c r="C570" s="283"/>
      <c r="O570" s="455"/>
    </row>
    <row r="571">
      <c r="A571" s="283"/>
      <c r="B571" s="283"/>
      <c r="C571" s="283"/>
      <c r="O571" s="455"/>
    </row>
    <row r="572">
      <c r="A572" s="283"/>
      <c r="B572" s="283"/>
      <c r="C572" s="283"/>
      <c r="O572" s="455"/>
    </row>
    <row r="573">
      <c r="A573" s="283"/>
      <c r="B573" s="283"/>
      <c r="C573" s="283"/>
      <c r="O573" s="455"/>
    </row>
    <row r="574">
      <c r="A574" s="283"/>
      <c r="B574" s="283"/>
      <c r="C574" s="283"/>
      <c r="O574" s="455"/>
    </row>
    <row r="575">
      <c r="A575" s="283"/>
      <c r="B575" s="283"/>
      <c r="C575" s="283"/>
      <c r="O575" s="455"/>
    </row>
    <row r="576">
      <c r="A576" s="283"/>
      <c r="B576" s="283"/>
      <c r="C576" s="283"/>
      <c r="O576" s="455"/>
    </row>
    <row r="577">
      <c r="A577" s="283"/>
      <c r="B577" s="283"/>
      <c r="C577" s="283"/>
      <c r="O577" s="455"/>
    </row>
    <row r="578">
      <c r="A578" s="283"/>
      <c r="B578" s="283"/>
      <c r="C578" s="283"/>
      <c r="O578" s="455"/>
    </row>
    <row r="579">
      <c r="A579" s="283"/>
      <c r="B579" s="283"/>
      <c r="C579" s="283"/>
      <c r="O579" s="455"/>
    </row>
    <row r="580">
      <c r="A580" s="283"/>
      <c r="B580" s="283"/>
      <c r="C580" s="283"/>
      <c r="O580" s="455"/>
    </row>
    <row r="581">
      <c r="A581" s="283"/>
      <c r="B581" s="283"/>
      <c r="C581" s="283"/>
      <c r="O581" s="455"/>
    </row>
    <row r="582">
      <c r="A582" s="283"/>
      <c r="B582" s="283"/>
      <c r="C582" s="283"/>
      <c r="O582" s="455"/>
    </row>
    <row r="583">
      <c r="A583" s="283"/>
      <c r="B583" s="283"/>
      <c r="C583" s="283"/>
      <c r="O583" s="455"/>
    </row>
    <row r="584">
      <c r="A584" s="283"/>
      <c r="B584" s="283"/>
      <c r="C584" s="283"/>
      <c r="O584" s="455"/>
    </row>
    <row r="585">
      <c r="A585" s="283"/>
      <c r="B585" s="283"/>
      <c r="C585" s="283"/>
      <c r="O585" s="455"/>
    </row>
    <row r="586">
      <c r="A586" s="283"/>
      <c r="B586" s="283"/>
      <c r="C586" s="283"/>
      <c r="O586" s="455"/>
    </row>
    <row r="587">
      <c r="A587" s="283"/>
      <c r="B587" s="283"/>
      <c r="C587" s="283"/>
      <c r="O587" s="455"/>
    </row>
    <row r="588">
      <c r="A588" s="283"/>
      <c r="B588" s="283"/>
      <c r="C588" s="283"/>
      <c r="O588" s="455"/>
    </row>
    <row r="589">
      <c r="A589" s="283"/>
      <c r="B589" s="283"/>
      <c r="C589" s="283"/>
      <c r="O589" s="455"/>
    </row>
    <row r="590">
      <c r="A590" s="283"/>
      <c r="B590" s="283"/>
      <c r="C590" s="283"/>
      <c r="O590" s="455"/>
    </row>
    <row r="591">
      <c r="A591" s="283"/>
      <c r="B591" s="283"/>
      <c r="C591" s="283"/>
      <c r="O591" s="455"/>
    </row>
    <row r="592">
      <c r="A592" s="283"/>
      <c r="B592" s="283"/>
      <c r="C592" s="283"/>
      <c r="O592" s="455"/>
    </row>
    <row r="593">
      <c r="A593" s="283"/>
      <c r="B593" s="283"/>
      <c r="C593" s="283"/>
      <c r="O593" s="455"/>
    </row>
    <row r="594">
      <c r="A594" s="283"/>
      <c r="B594" s="283"/>
      <c r="C594" s="283"/>
      <c r="O594" s="455"/>
    </row>
    <row r="595">
      <c r="A595" s="283"/>
      <c r="B595" s="283"/>
      <c r="C595" s="283"/>
      <c r="O595" s="455"/>
    </row>
    <row r="596">
      <c r="A596" s="283"/>
      <c r="B596" s="283"/>
      <c r="C596" s="283"/>
      <c r="O596" s="455"/>
    </row>
    <row r="597">
      <c r="A597" s="283"/>
      <c r="B597" s="283"/>
      <c r="C597" s="283"/>
      <c r="O597" s="455"/>
    </row>
    <row r="598">
      <c r="A598" s="283"/>
      <c r="B598" s="283"/>
      <c r="C598" s="283"/>
      <c r="O598" s="455"/>
    </row>
    <row r="599">
      <c r="A599" s="283"/>
      <c r="B599" s="283"/>
      <c r="C599" s="283"/>
      <c r="O599" s="455"/>
    </row>
    <row r="600">
      <c r="A600" s="283"/>
      <c r="B600" s="283"/>
      <c r="C600" s="283"/>
      <c r="O600" s="455"/>
    </row>
    <row r="601">
      <c r="A601" s="283"/>
      <c r="B601" s="283"/>
      <c r="C601" s="283"/>
      <c r="O601" s="455"/>
    </row>
    <row r="602">
      <c r="A602" s="283"/>
      <c r="B602" s="283"/>
      <c r="C602" s="283"/>
      <c r="O602" s="455"/>
    </row>
    <row r="603">
      <c r="A603" s="283"/>
      <c r="B603" s="283"/>
      <c r="C603" s="283"/>
      <c r="O603" s="455"/>
    </row>
    <row r="604">
      <c r="A604" s="283"/>
      <c r="B604" s="283"/>
      <c r="C604" s="283"/>
      <c r="O604" s="455"/>
    </row>
    <row r="605">
      <c r="A605" s="283"/>
      <c r="B605" s="283"/>
      <c r="C605" s="283"/>
      <c r="O605" s="455"/>
    </row>
    <row r="606">
      <c r="A606" s="283"/>
      <c r="B606" s="283"/>
      <c r="C606" s="283"/>
      <c r="O606" s="455"/>
    </row>
    <row r="607">
      <c r="A607" s="283"/>
      <c r="B607" s="283"/>
      <c r="C607" s="283"/>
      <c r="O607" s="455"/>
    </row>
    <row r="608">
      <c r="A608" s="283"/>
      <c r="B608" s="283"/>
      <c r="C608" s="283"/>
      <c r="O608" s="455"/>
    </row>
    <row r="609">
      <c r="A609" s="283"/>
      <c r="B609" s="283"/>
      <c r="C609" s="283"/>
      <c r="O609" s="455"/>
    </row>
    <row r="610">
      <c r="A610" s="283"/>
      <c r="B610" s="283"/>
      <c r="C610" s="283"/>
      <c r="O610" s="455"/>
    </row>
    <row r="611">
      <c r="A611" s="283"/>
      <c r="B611" s="283"/>
      <c r="C611" s="283"/>
      <c r="O611" s="455"/>
    </row>
    <row r="612">
      <c r="A612" s="283"/>
      <c r="B612" s="283"/>
      <c r="C612" s="283"/>
      <c r="O612" s="455"/>
    </row>
    <row r="613">
      <c r="A613" s="283"/>
      <c r="B613" s="283"/>
      <c r="C613" s="283"/>
      <c r="O613" s="455"/>
    </row>
    <row r="614">
      <c r="A614" s="283"/>
      <c r="B614" s="283"/>
      <c r="C614" s="283"/>
      <c r="O614" s="455"/>
    </row>
    <row r="615">
      <c r="A615" s="283"/>
      <c r="B615" s="283"/>
      <c r="C615" s="283"/>
      <c r="O615" s="455"/>
    </row>
    <row r="616">
      <c r="A616" s="283"/>
      <c r="B616" s="283"/>
      <c r="C616" s="283"/>
      <c r="O616" s="455"/>
    </row>
    <row r="617">
      <c r="A617" s="283"/>
      <c r="B617" s="283"/>
      <c r="C617" s="283"/>
      <c r="O617" s="455"/>
    </row>
    <row r="618">
      <c r="A618" s="283"/>
      <c r="B618" s="283"/>
      <c r="C618" s="283"/>
      <c r="O618" s="455"/>
    </row>
    <row r="619">
      <c r="A619" s="283"/>
      <c r="B619" s="283"/>
      <c r="C619" s="283"/>
      <c r="O619" s="455"/>
    </row>
    <row r="620">
      <c r="A620" s="283"/>
      <c r="B620" s="283"/>
      <c r="C620" s="283"/>
      <c r="O620" s="455"/>
    </row>
    <row r="621">
      <c r="A621" s="283"/>
      <c r="B621" s="283"/>
      <c r="C621" s="283"/>
      <c r="O621" s="455"/>
    </row>
    <row r="622">
      <c r="A622" s="283"/>
      <c r="B622" s="283"/>
      <c r="C622" s="283"/>
      <c r="O622" s="455"/>
    </row>
    <row r="623">
      <c r="A623" s="283"/>
      <c r="B623" s="283"/>
      <c r="C623" s="283"/>
      <c r="O623" s="455"/>
    </row>
    <row r="624">
      <c r="A624" s="283"/>
      <c r="B624" s="283"/>
      <c r="C624" s="283"/>
      <c r="O624" s="21"/>
    </row>
    <row r="625">
      <c r="A625" s="283"/>
      <c r="B625" s="283"/>
      <c r="C625" s="283"/>
    </row>
    <row r="626">
      <c r="A626" s="283"/>
      <c r="B626" s="283"/>
      <c r="C626" s="283"/>
    </row>
    <row r="627">
      <c r="A627" s="283"/>
      <c r="B627" s="283"/>
      <c r="C627" s="283"/>
    </row>
    <row r="628">
      <c r="A628" s="283"/>
      <c r="B628" s="283"/>
      <c r="C628" s="283"/>
    </row>
    <row r="629">
      <c r="A629" s="283"/>
      <c r="B629" s="283"/>
      <c r="C629" s="283"/>
    </row>
    <row r="630">
      <c r="A630" s="283"/>
      <c r="B630" s="283"/>
      <c r="C630" s="283"/>
    </row>
    <row r="631">
      <c r="A631" s="283"/>
      <c r="B631" s="283"/>
      <c r="C631" s="283"/>
    </row>
    <row r="632">
      <c r="A632" s="283"/>
      <c r="B632" s="283"/>
      <c r="C632" s="283"/>
    </row>
    <row r="633">
      <c r="A633" s="283"/>
      <c r="B633" s="283"/>
      <c r="C633" s="283"/>
    </row>
    <row r="634">
      <c r="A634" s="283"/>
      <c r="B634" s="283"/>
      <c r="C634" s="283"/>
    </row>
    <row r="635">
      <c r="A635" s="283"/>
      <c r="B635" s="283"/>
      <c r="C635" s="283"/>
    </row>
    <row r="636">
      <c r="A636" s="283"/>
      <c r="B636" s="283"/>
      <c r="C636" s="283"/>
    </row>
    <row r="637">
      <c r="A637" s="283"/>
      <c r="B637" s="283"/>
      <c r="C637" s="283"/>
    </row>
    <row r="638">
      <c r="A638" s="283"/>
      <c r="B638" s="283"/>
      <c r="C638" s="283"/>
    </row>
    <row r="639">
      <c r="A639" s="283"/>
      <c r="B639" s="283"/>
      <c r="C639" s="283"/>
    </row>
    <row r="640">
      <c r="A640" s="283"/>
      <c r="B640" s="283"/>
      <c r="C640" s="283"/>
    </row>
    <row r="641">
      <c r="A641" s="283"/>
      <c r="B641" s="283"/>
      <c r="C641" s="283"/>
    </row>
    <row r="642">
      <c r="A642" s="283"/>
      <c r="B642" s="283"/>
      <c r="C642" s="283"/>
    </row>
    <row r="643">
      <c r="A643" s="283"/>
      <c r="B643" s="283"/>
      <c r="C643" s="283"/>
    </row>
    <row r="644">
      <c r="A644" s="283"/>
      <c r="B644" s="283"/>
      <c r="C644" s="283"/>
    </row>
    <row r="645">
      <c r="A645" s="283"/>
      <c r="B645" s="283"/>
      <c r="C645" s="283"/>
    </row>
    <row r="646">
      <c r="A646" s="283"/>
      <c r="B646" s="283"/>
      <c r="C646" s="283"/>
    </row>
    <row r="647">
      <c r="A647" s="283"/>
      <c r="B647" s="283"/>
      <c r="C647" s="283"/>
    </row>
    <row r="648">
      <c r="A648" s="283"/>
      <c r="B648" s="283"/>
      <c r="C648" s="283"/>
    </row>
    <row r="649">
      <c r="A649" s="283"/>
      <c r="B649" s="283"/>
      <c r="C649" s="283"/>
    </row>
    <row r="650">
      <c r="A650" s="283"/>
      <c r="B650" s="283"/>
      <c r="C650" s="283"/>
    </row>
    <row r="651">
      <c r="A651" s="283"/>
      <c r="B651" s="283"/>
      <c r="C651" s="283"/>
    </row>
    <row r="652">
      <c r="A652" s="283"/>
      <c r="B652" s="283"/>
      <c r="C652" s="283"/>
    </row>
    <row r="653">
      <c r="A653" s="283"/>
      <c r="B653" s="283"/>
      <c r="C653" s="283"/>
    </row>
    <row r="654">
      <c r="A654" s="283"/>
      <c r="B654" s="283"/>
      <c r="C654" s="283"/>
    </row>
    <row r="655">
      <c r="A655" s="283"/>
      <c r="B655" s="283"/>
      <c r="C655" s="283"/>
    </row>
    <row r="656">
      <c r="A656" s="283"/>
      <c r="B656" s="283"/>
      <c r="C656" s="283"/>
    </row>
    <row r="657">
      <c r="A657" s="283"/>
      <c r="B657" s="283"/>
      <c r="C657" s="283"/>
    </row>
    <row r="658">
      <c r="A658" s="283"/>
      <c r="B658" s="283"/>
      <c r="C658" s="283"/>
    </row>
    <row r="659">
      <c r="A659" s="283"/>
      <c r="B659" s="283"/>
      <c r="C659" s="283"/>
    </row>
    <row r="660">
      <c r="A660" s="283"/>
      <c r="B660" s="283"/>
      <c r="C660" s="283"/>
    </row>
    <row r="661">
      <c r="A661" s="283"/>
      <c r="B661" s="283"/>
      <c r="C661" s="283"/>
    </row>
    <row r="662">
      <c r="A662" s="283"/>
      <c r="B662" s="283"/>
      <c r="C662" s="283"/>
    </row>
    <row r="663">
      <c r="A663" s="283"/>
      <c r="B663" s="283"/>
      <c r="C663" s="283"/>
    </row>
    <row r="664">
      <c r="A664" s="283"/>
      <c r="B664" s="283"/>
      <c r="C664" s="283"/>
    </row>
    <row r="665">
      <c r="A665" s="283"/>
      <c r="B665" s="283"/>
      <c r="C665" s="283"/>
    </row>
    <row r="666">
      <c r="A666" s="283"/>
      <c r="B666" s="283"/>
      <c r="C666" s="283"/>
    </row>
    <row r="667">
      <c r="A667" s="283"/>
      <c r="B667" s="283"/>
      <c r="C667" s="283"/>
    </row>
    <row r="668">
      <c r="A668" s="283"/>
      <c r="B668" s="283"/>
      <c r="C668" s="283"/>
    </row>
    <row r="669">
      <c r="A669" s="283"/>
      <c r="B669" s="283"/>
      <c r="C669" s="283"/>
    </row>
    <row r="670">
      <c r="A670" s="283"/>
      <c r="B670" s="283"/>
      <c r="C670" s="283"/>
    </row>
    <row r="671">
      <c r="A671" s="283"/>
      <c r="B671" s="283"/>
      <c r="C671" s="283"/>
    </row>
    <row r="672">
      <c r="A672" s="283"/>
      <c r="B672" s="283"/>
      <c r="C672" s="283"/>
    </row>
    <row r="673">
      <c r="A673" s="283"/>
      <c r="B673" s="283"/>
      <c r="C673" s="283"/>
    </row>
    <row r="674">
      <c r="A674" s="283"/>
      <c r="B674" s="283"/>
      <c r="C674" s="283"/>
    </row>
    <row r="675">
      <c r="A675" s="283"/>
      <c r="B675" s="283"/>
      <c r="C675" s="283"/>
    </row>
    <row r="676">
      <c r="A676" s="283"/>
      <c r="B676" s="283"/>
      <c r="C676" s="283"/>
    </row>
    <row r="677">
      <c r="A677" s="283"/>
      <c r="B677" s="283"/>
      <c r="C677" s="283"/>
    </row>
    <row r="678">
      <c r="A678" s="283"/>
      <c r="B678" s="283"/>
      <c r="C678" s="283"/>
    </row>
    <row r="679">
      <c r="A679" s="283"/>
      <c r="B679" s="283"/>
      <c r="C679" s="283"/>
    </row>
    <row r="680">
      <c r="A680" s="283"/>
      <c r="B680" s="283"/>
      <c r="C680" s="283"/>
    </row>
    <row r="681">
      <c r="A681" s="283"/>
      <c r="B681" s="283"/>
      <c r="C681" s="283"/>
    </row>
    <row r="682">
      <c r="A682" s="283"/>
      <c r="B682" s="283"/>
      <c r="C682" s="283"/>
    </row>
    <row r="683">
      <c r="A683" s="283"/>
      <c r="B683" s="283"/>
      <c r="C683" s="283"/>
    </row>
    <row r="684">
      <c r="A684" s="283"/>
      <c r="B684" s="283"/>
      <c r="C684" s="283"/>
    </row>
    <row r="685">
      <c r="A685" s="283"/>
      <c r="B685" s="283"/>
      <c r="C685" s="283"/>
    </row>
    <row r="686">
      <c r="A686" s="283"/>
      <c r="B686" s="283"/>
      <c r="C686" s="283"/>
    </row>
    <row r="687">
      <c r="A687" s="283"/>
      <c r="B687" s="283"/>
      <c r="C687" s="283"/>
    </row>
    <row r="688">
      <c r="A688" s="283"/>
      <c r="B688" s="283"/>
      <c r="C688" s="283"/>
    </row>
    <row r="689">
      <c r="A689" s="283"/>
      <c r="B689" s="283"/>
      <c r="C689" s="283"/>
    </row>
    <row r="690">
      <c r="A690" s="283"/>
      <c r="B690" s="283"/>
      <c r="C690" s="283"/>
    </row>
    <row r="691">
      <c r="A691" s="283"/>
      <c r="B691" s="283"/>
      <c r="C691" s="283"/>
    </row>
    <row r="692">
      <c r="A692" s="283"/>
      <c r="B692" s="283"/>
      <c r="C692" s="283"/>
    </row>
    <row r="693">
      <c r="A693" s="283"/>
      <c r="B693" s="283"/>
      <c r="C693" s="283"/>
    </row>
    <row r="694">
      <c r="A694" s="283"/>
      <c r="B694" s="283"/>
      <c r="C694" s="283"/>
    </row>
    <row r="695">
      <c r="A695" s="283"/>
      <c r="B695" s="283"/>
      <c r="C695" s="283"/>
    </row>
    <row r="696">
      <c r="A696" s="283"/>
      <c r="B696" s="283"/>
      <c r="C696" s="283"/>
    </row>
    <row r="697">
      <c r="A697" s="283"/>
      <c r="B697" s="283"/>
      <c r="C697" s="283"/>
    </row>
    <row r="698">
      <c r="A698" s="283"/>
      <c r="B698" s="283"/>
      <c r="C698" s="283"/>
    </row>
    <row r="699">
      <c r="A699" s="283"/>
      <c r="B699" s="283"/>
      <c r="C699" s="283"/>
    </row>
    <row r="700">
      <c r="A700" s="283"/>
      <c r="B700" s="283"/>
      <c r="C700" s="283"/>
    </row>
    <row r="701">
      <c r="A701" s="283"/>
      <c r="B701" s="283"/>
      <c r="C701" s="283"/>
    </row>
    <row r="702">
      <c r="A702" s="283"/>
      <c r="B702" s="283"/>
      <c r="C702" s="283"/>
    </row>
    <row r="703">
      <c r="A703" s="283"/>
      <c r="B703" s="283"/>
      <c r="C703" s="283"/>
    </row>
    <row r="704">
      <c r="A704" s="283"/>
      <c r="B704" s="283"/>
      <c r="C704" s="283"/>
    </row>
    <row r="705">
      <c r="A705" s="283"/>
      <c r="B705" s="283"/>
      <c r="C705" s="283"/>
    </row>
    <row r="706">
      <c r="A706" s="283"/>
      <c r="B706" s="283"/>
      <c r="C706" s="283"/>
    </row>
    <row r="707">
      <c r="A707" s="283"/>
      <c r="B707" s="283"/>
      <c r="C707" s="283"/>
    </row>
    <row r="708">
      <c r="A708" s="283"/>
      <c r="B708" s="283"/>
      <c r="C708" s="283"/>
    </row>
    <row r="709">
      <c r="A709" s="283"/>
      <c r="B709" s="283"/>
      <c r="C709" s="283"/>
    </row>
    <row r="710">
      <c r="A710" s="283"/>
      <c r="B710" s="283"/>
      <c r="C710" s="283"/>
    </row>
    <row r="711">
      <c r="A711" s="283"/>
      <c r="B711" s="283"/>
      <c r="C711" s="283"/>
    </row>
    <row r="712">
      <c r="A712" s="283"/>
      <c r="B712" s="283"/>
      <c r="C712" s="283"/>
    </row>
    <row r="713">
      <c r="A713" s="283"/>
      <c r="B713" s="283"/>
      <c r="C713" s="283"/>
    </row>
    <row r="714">
      <c r="A714" s="283"/>
      <c r="B714" s="283"/>
      <c r="C714" s="283"/>
    </row>
    <row r="715">
      <c r="A715" s="283"/>
      <c r="B715" s="283"/>
      <c r="C715" s="283"/>
    </row>
    <row r="716">
      <c r="A716" s="283"/>
      <c r="B716" s="283"/>
      <c r="C716" s="283"/>
    </row>
    <row r="717">
      <c r="A717" s="283"/>
      <c r="B717" s="283"/>
      <c r="C717" s="283"/>
    </row>
    <row r="718">
      <c r="A718" s="283"/>
      <c r="B718" s="283"/>
      <c r="C718" s="283"/>
    </row>
    <row r="719">
      <c r="A719" s="283"/>
      <c r="B719" s="283"/>
      <c r="C719" s="283"/>
    </row>
    <row r="720">
      <c r="A720" s="283"/>
      <c r="B720" s="283"/>
      <c r="C720" s="283"/>
    </row>
    <row r="721">
      <c r="A721" s="283"/>
      <c r="B721" s="283"/>
      <c r="C721" s="283"/>
    </row>
    <row r="722">
      <c r="A722" s="283"/>
      <c r="B722" s="283"/>
      <c r="C722" s="283"/>
    </row>
    <row r="723">
      <c r="A723" s="283"/>
      <c r="B723" s="283"/>
      <c r="C723" s="283"/>
    </row>
    <row r="724">
      <c r="A724" s="283"/>
      <c r="B724" s="283"/>
      <c r="C724" s="283"/>
    </row>
    <row r="725">
      <c r="A725" s="283"/>
      <c r="B725" s="283"/>
      <c r="C725" s="283"/>
    </row>
    <row r="726">
      <c r="A726" s="283"/>
      <c r="B726" s="283"/>
      <c r="C726" s="283"/>
    </row>
    <row r="727">
      <c r="A727" s="283"/>
      <c r="B727" s="283"/>
      <c r="C727" s="283"/>
    </row>
    <row r="728">
      <c r="A728" s="283"/>
      <c r="B728" s="283"/>
      <c r="C728" s="283"/>
    </row>
    <row r="729">
      <c r="A729" s="283"/>
      <c r="B729" s="283"/>
      <c r="C729" s="283"/>
    </row>
    <row r="730">
      <c r="A730" s="283"/>
      <c r="B730" s="283"/>
      <c r="C730" s="283"/>
    </row>
    <row r="731">
      <c r="A731" s="283"/>
      <c r="B731" s="283"/>
      <c r="C731" s="283"/>
    </row>
    <row r="732">
      <c r="A732" s="283"/>
      <c r="B732" s="283"/>
      <c r="C732" s="283"/>
    </row>
    <row r="733">
      <c r="A733" s="283"/>
      <c r="B733" s="283"/>
      <c r="C733" s="283"/>
    </row>
    <row r="734">
      <c r="A734" s="283"/>
      <c r="B734" s="283"/>
      <c r="C734" s="283"/>
    </row>
    <row r="735">
      <c r="A735" s="283"/>
      <c r="B735" s="283"/>
      <c r="C735" s="283"/>
    </row>
    <row r="736">
      <c r="A736" s="283"/>
      <c r="B736" s="283"/>
      <c r="C736" s="283"/>
    </row>
    <row r="737">
      <c r="A737" s="283"/>
      <c r="B737" s="283"/>
      <c r="C737" s="283"/>
    </row>
    <row r="738">
      <c r="A738" s="283"/>
      <c r="B738" s="283"/>
      <c r="C738" s="283"/>
    </row>
    <row r="739">
      <c r="A739" s="283"/>
      <c r="B739" s="283"/>
      <c r="C739" s="283"/>
    </row>
    <row r="740">
      <c r="A740" s="283"/>
      <c r="B740" s="283"/>
      <c r="C740" s="283"/>
    </row>
    <row r="741">
      <c r="A741" s="283"/>
      <c r="B741" s="283"/>
      <c r="C741" s="283"/>
    </row>
    <row r="742">
      <c r="A742" s="283"/>
      <c r="B742" s="283"/>
      <c r="C742" s="283"/>
    </row>
    <row r="743">
      <c r="A743" s="283"/>
      <c r="B743" s="283"/>
      <c r="C743" s="283"/>
    </row>
    <row r="744">
      <c r="A744" s="283"/>
      <c r="B744" s="283"/>
      <c r="C744" s="283"/>
    </row>
    <row r="745">
      <c r="A745" s="283"/>
      <c r="B745" s="283"/>
      <c r="C745" s="283"/>
    </row>
    <row r="746">
      <c r="A746" s="283"/>
      <c r="B746" s="283"/>
      <c r="C746" s="283"/>
    </row>
    <row r="747">
      <c r="A747" s="283"/>
      <c r="B747" s="283"/>
      <c r="C747" s="283"/>
    </row>
    <row r="748">
      <c r="A748" s="283"/>
      <c r="B748" s="283"/>
      <c r="C748" s="283"/>
    </row>
    <row r="749">
      <c r="A749" s="283"/>
      <c r="B749" s="283"/>
      <c r="C749" s="283"/>
    </row>
    <row r="750">
      <c r="A750" s="283"/>
      <c r="B750" s="283"/>
      <c r="C750" s="283"/>
    </row>
    <row r="751">
      <c r="A751" s="283"/>
      <c r="B751" s="283"/>
      <c r="C751" s="283"/>
    </row>
    <row r="752">
      <c r="A752" s="283"/>
      <c r="B752" s="283"/>
      <c r="C752" s="283"/>
    </row>
    <row r="753">
      <c r="A753" s="283"/>
      <c r="B753" s="283"/>
      <c r="C753" s="283"/>
    </row>
    <row r="754">
      <c r="A754" s="283"/>
      <c r="B754" s="283"/>
      <c r="C754" s="283"/>
    </row>
    <row r="755">
      <c r="A755" s="283"/>
      <c r="B755" s="283"/>
      <c r="C755" s="283"/>
    </row>
    <row r="756">
      <c r="A756" s="283"/>
      <c r="B756" s="283"/>
      <c r="C756" s="283"/>
    </row>
    <row r="757">
      <c r="A757" s="283"/>
      <c r="B757" s="283"/>
      <c r="C757" s="283"/>
    </row>
    <row r="758">
      <c r="A758" s="283"/>
      <c r="B758" s="283"/>
      <c r="C758" s="283"/>
    </row>
    <row r="759">
      <c r="A759" s="283"/>
      <c r="B759" s="283"/>
      <c r="C759" s="283"/>
    </row>
    <row r="760">
      <c r="A760" s="283"/>
      <c r="B760" s="283"/>
      <c r="C760" s="283"/>
    </row>
    <row r="761">
      <c r="A761" s="283"/>
      <c r="B761" s="283"/>
      <c r="C761" s="283"/>
    </row>
    <row r="762">
      <c r="A762" s="283"/>
      <c r="B762" s="283"/>
      <c r="C762" s="283"/>
    </row>
    <row r="763">
      <c r="A763" s="283"/>
      <c r="B763" s="283"/>
      <c r="C763" s="283"/>
    </row>
    <row r="764">
      <c r="A764" s="283"/>
      <c r="B764" s="283"/>
      <c r="C764" s="283"/>
    </row>
    <row r="765">
      <c r="A765" s="283"/>
      <c r="B765" s="283"/>
      <c r="C765" s="283"/>
    </row>
    <row r="766">
      <c r="A766" s="283"/>
      <c r="B766" s="283"/>
      <c r="C766" s="283"/>
    </row>
    <row r="767">
      <c r="A767" s="283"/>
      <c r="B767" s="283"/>
      <c r="C767" s="283"/>
    </row>
    <row r="768">
      <c r="A768" s="283"/>
      <c r="B768" s="283"/>
      <c r="C768" s="283"/>
    </row>
    <row r="769">
      <c r="A769" s="283"/>
      <c r="B769" s="283"/>
      <c r="C769" s="283"/>
    </row>
    <row r="770">
      <c r="A770" s="283"/>
      <c r="B770" s="283"/>
      <c r="C770" s="283"/>
    </row>
    <row r="771">
      <c r="A771" s="283"/>
      <c r="B771" s="283"/>
      <c r="C771" s="283"/>
    </row>
    <row r="772">
      <c r="A772" s="283"/>
      <c r="B772" s="283"/>
      <c r="C772" s="283"/>
    </row>
    <row r="773">
      <c r="A773" s="283"/>
      <c r="B773" s="283"/>
      <c r="C773" s="283"/>
    </row>
    <row r="774">
      <c r="A774" s="283"/>
      <c r="B774" s="283"/>
      <c r="C774" s="283"/>
    </row>
    <row r="775">
      <c r="A775" s="283"/>
      <c r="B775" s="283"/>
      <c r="C775" s="283"/>
    </row>
    <row r="776">
      <c r="A776" s="283"/>
      <c r="B776" s="283"/>
      <c r="C776" s="283"/>
    </row>
    <row r="777">
      <c r="A777" s="283"/>
      <c r="B777" s="283"/>
      <c r="C777" s="283"/>
    </row>
    <row r="778">
      <c r="A778" s="283"/>
      <c r="B778" s="283"/>
      <c r="C778" s="283"/>
    </row>
    <row r="779">
      <c r="A779" s="283"/>
      <c r="B779" s="283"/>
      <c r="C779" s="283"/>
    </row>
    <row r="780">
      <c r="A780" s="283"/>
      <c r="B780" s="283"/>
      <c r="C780" s="283"/>
    </row>
    <row r="781">
      <c r="A781" s="283"/>
      <c r="B781" s="283"/>
      <c r="C781" s="283"/>
    </row>
    <row r="782">
      <c r="A782" s="283"/>
      <c r="B782" s="283"/>
      <c r="C782" s="283"/>
    </row>
    <row r="783">
      <c r="A783" s="283"/>
      <c r="B783" s="283"/>
      <c r="C783" s="283"/>
    </row>
    <row r="784">
      <c r="A784" s="283"/>
      <c r="B784" s="283"/>
      <c r="C784" s="283"/>
    </row>
    <row r="785">
      <c r="A785" s="283"/>
      <c r="B785" s="283"/>
      <c r="C785" s="283"/>
    </row>
    <row r="786">
      <c r="A786" s="283"/>
      <c r="B786" s="283"/>
      <c r="C786" s="283"/>
    </row>
    <row r="787">
      <c r="A787" s="283"/>
      <c r="B787" s="283"/>
      <c r="C787" s="283"/>
    </row>
    <row r="788">
      <c r="A788" s="283"/>
      <c r="B788" s="283"/>
      <c r="C788" s="283"/>
    </row>
    <row r="789">
      <c r="A789" s="283"/>
      <c r="B789" s="283"/>
      <c r="C789" s="283"/>
    </row>
    <row r="790">
      <c r="A790" s="283"/>
      <c r="B790" s="283"/>
      <c r="C790" s="283"/>
    </row>
    <row r="791">
      <c r="A791" s="283"/>
      <c r="B791" s="283"/>
      <c r="C791" s="283"/>
    </row>
    <row r="792">
      <c r="A792" s="283"/>
      <c r="B792" s="283"/>
      <c r="C792" s="283"/>
    </row>
    <row r="793">
      <c r="A793" s="283"/>
      <c r="B793" s="283"/>
      <c r="C793" s="283"/>
    </row>
    <row r="794">
      <c r="A794" s="283"/>
      <c r="B794" s="283"/>
      <c r="C794" s="283"/>
    </row>
    <row r="795">
      <c r="A795" s="283"/>
      <c r="B795" s="283"/>
      <c r="C795" s="283"/>
    </row>
    <row r="796">
      <c r="A796" s="283"/>
      <c r="B796" s="283"/>
      <c r="C796" s="283"/>
    </row>
    <row r="797">
      <c r="A797" s="283"/>
      <c r="B797" s="283"/>
      <c r="C797" s="283"/>
    </row>
    <row r="798">
      <c r="A798" s="283"/>
      <c r="B798" s="283"/>
      <c r="C798" s="283"/>
    </row>
    <row r="799">
      <c r="A799" s="283"/>
      <c r="B799" s="283"/>
      <c r="C799" s="283"/>
    </row>
    <row r="800">
      <c r="A800" s="283"/>
      <c r="B800" s="283"/>
      <c r="C800" s="283"/>
    </row>
    <row r="801">
      <c r="A801" s="283"/>
      <c r="B801" s="283"/>
      <c r="C801" s="283"/>
    </row>
    <row r="802">
      <c r="A802" s="283"/>
      <c r="B802" s="283"/>
      <c r="C802" s="283"/>
    </row>
    <row r="803">
      <c r="A803" s="283"/>
      <c r="B803" s="283"/>
      <c r="C803" s="283"/>
    </row>
    <row r="804">
      <c r="A804" s="283"/>
      <c r="B804" s="283"/>
      <c r="C804" s="283"/>
    </row>
    <row r="805">
      <c r="A805" s="283"/>
      <c r="B805" s="283"/>
      <c r="C805" s="283"/>
    </row>
    <row r="806">
      <c r="A806" s="283"/>
      <c r="B806" s="283"/>
      <c r="C806" s="283"/>
    </row>
    <row r="807">
      <c r="A807" s="283"/>
      <c r="B807" s="283"/>
      <c r="C807" s="283"/>
    </row>
    <row r="808">
      <c r="A808" s="283"/>
      <c r="B808" s="283"/>
      <c r="C808" s="283"/>
    </row>
    <row r="809">
      <c r="A809" s="283"/>
      <c r="B809" s="283"/>
      <c r="C809" s="283"/>
    </row>
    <row r="810">
      <c r="A810" s="283"/>
      <c r="B810" s="283"/>
      <c r="C810" s="283"/>
    </row>
    <row r="811">
      <c r="A811" s="283"/>
      <c r="B811" s="283"/>
      <c r="C811" s="283"/>
    </row>
    <row r="812">
      <c r="A812" s="283"/>
      <c r="B812" s="283"/>
      <c r="C812" s="283"/>
    </row>
    <row r="813">
      <c r="A813" s="283"/>
      <c r="B813" s="283"/>
      <c r="C813" s="283"/>
    </row>
    <row r="814">
      <c r="A814" s="283"/>
      <c r="B814" s="283"/>
      <c r="C814" s="283"/>
    </row>
    <row r="815">
      <c r="A815" s="283"/>
      <c r="B815" s="283"/>
      <c r="C815" s="283"/>
    </row>
    <row r="816">
      <c r="A816" s="283"/>
      <c r="B816" s="283"/>
      <c r="C816" s="283"/>
    </row>
    <row r="817">
      <c r="A817" s="283"/>
      <c r="B817" s="283"/>
      <c r="C817" s="283"/>
    </row>
    <row r="818">
      <c r="A818" s="283"/>
      <c r="B818" s="283"/>
      <c r="C818" s="283"/>
    </row>
    <row r="819">
      <c r="A819" s="283"/>
      <c r="B819" s="283"/>
      <c r="C819" s="283"/>
    </row>
    <row r="820">
      <c r="A820" s="283"/>
      <c r="B820" s="283"/>
      <c r="C820" s="283"/>
    </row>
    <row r="821">
      <c r="A821" s="283"/>
      <c r="B821" s="283"/>
      <c r="C821" s="283"/>
    </row>
    <row r="822">
      <c r="A822" s="283"/>
      <c r="B822" s="283"/>
      <c r="C822" s="283"/>
    </row>
    <row r="823">
      <c r="A823" s="283"/>
      <c r="B823" s="283"/>
      <c r="C823" s="283"/>
    </row>
    <row r="824">
      <c r="A824" s="283"/>
      <c r="B824" s="283"/>
      <c r="C824" s="283"/>
    </row>
    <row r="825">
      <c r="A825" s="283"/>
      <c r="B825" s="283"/>
      <c r="C825" s="283"/>
    </row>
    <row r="826">
      <c r="A826" s="283"/>
      <c r="B826" s="283"/>
      <c r="C826" s="283"/>
    </row>
    <row r="827">
      <c r="A827" s="283"/>
      <c r="B827" s="283"/>
      <c r="C827" s="283"/>
    </row>
    <row r="828">
      <c r="A828" s="283"/>
      <c r="B828" s="283"/>
      <c r="C828" s="283"/>
    </row>
    <row r="829">
      <c r="A829" s="283"/>
      <c r="B829" s="283"/>
      <c r="C829" s="283"/>
    </row>
    <row r="830">
      <c r="A830" s="283"/>
      <c r="B830" s="283"/>
      <c r="C830" s="283"/>
    </row>
    <row r="831">
      <c r="A831" s="283"/>
      <c r="B831" s="283"/>
      <c r="C831" s="283"/>
    </row>
    <row r="832">
      <c r="A832" s="283"/>
      <c r="B832" s="283"/>
      <c r="C832" s="283"/>
    </row>
    <row r="833">
      <c r="A833" s="283"/>
      <c r="B833" s="283"/>
      <c r="C833" s="283"/>
    </row>
    <row r="834">
      <c r="A834" s="283"/>
      <c r="B834" s="283"/>
      <c r="C834" s="283"/>
    </row>
    <row r="835">
      <c r="A835" s="283"/>
      <c r="B835" s="283"/>
      <c r="C835" s="283"/>
    </row>
    <row r="836">
      <c r="A836" s="283"/>
      <c r="B836" s="283"/>
      <c r="C836" s="283"/>
    </row>
    <row r="837">
      <c r="A837" s="283"/>
      <c r="B837" s="283"/>
      <c r="C837" s="283"/>
    </row>
    <row r="838">
      <c r="A838" s="283"/>
      <c r="B838" s="283"/>
      <c r="C838" s="283"/>
    </row>
    <row r="839">
      <c r="A839" s="283"/>
      <c r="B839" s="283"/>
      <c r="C839" s="283"/>
    </row>
    <row r="840">
      <c r="A840" s="283"/>
      <c r="B840" s="283"/>
      <c r="C840" s="283"/>
    </row>
    <row r="841">
      <c r="A841" s="283"/>
      <c r="B841" s="283"/>
      <c r="C841" s="283"/>
    </row>
    <row r="842">
      <c r="A842" s="283"/>
      <c r="B842" s="283"/>
      <c r="C842" s="283"/>
    </row>
    <row r="843">
      <c r="A843" s="283"/>
      <c r="B843" s="283"/>
      <c r="C843" s="283"/>
    </row>
    <row r="844">
      <c r="A844" s="283"/>
      <c r="B844" s="283"/>
      <c r="C844" s="283"/>
    </row>
    <row r="845">
      <c r="A845" s="283"/>
      <c r="B845" s="283"/>
      <c r="C845" s="283"/>
    </row>
    <row r="846">
      <c r="A846" s="283"/>
      <c r="B846" s="283"/>
      <c r="C846" s="283"/>
    </row>
    <row r="847">
      <c r="A847" s="283"/>
      <c r="B847" s="283"/>
      <c r="C847" s="283"/>
    </row>
    <row r="848">
      <c r="A848" s="283"/>
      <c r="B848" s="283"/>
      <c r="C848" s="283"/>
    </row>
    <row r="849">
      <c r="A849" s="283"/>
      <c r="B849" s="283"/>
      <c r="C849" s="283"/>
    </row>
    <row r="850">
      <c r="A850" s="283"/>
      <c r="B850" s="283"/>
      <c r="C850" s="283"/>
    </row>
    <row r="851">
      <c r="A851" s="283"/>
      <c r="B851" s="283"/>
      <c r="C851" s="283"/>
    </row>
    <row r="852">
      <c r="A852" s="283"/>
      <c r="B852" s="283"/>
      <c r="C852" s="283"/>
    </row>
    <row r="853">
      <c r="A853" s="283"/>
      <c r="B853" s="283"/>
      <c r="C853" s="283"/>
    </row>
    <row r="854">
      <c r="A854" s="283"/>
      <c r="B854" s="283"/>
      <c r="C854" s="283"/>
    </row>
    <row r="855">
      <c r="A855" s="283"/>
      <c r="B855" s="283"/>
      <c r="C855" s="283"/>
    </row>
    <row r="856">
      <c r="A856" s="283"/>
      <c r="B856" s="283"/>
      <c r="C856" s="283"/>
    </row>
    <row r="857">
      <c r="A857" s="283"/>
      <c r="B857" s="283"/>
      <c r="C857" s="283"/>
    </row>
    <row r="858">
      <c r="A858" s="283"/>
      <c r="B858" s="283"/>
      <c r="C858" s="283"/>
    </row>
    <row r="859">
      <c r="A859" s="283"/>
      <c r="B859" s="283"/>
      <c r="C859" s="283"/>
    </row>
    <row r="860">
      <c r="A860" s="283"/>
      <c r="B860" s="283"/>
      <c r="C860" s="283"/>
    </row>
    <row r="861">
      <c r="A861" s="283"/>
      <c r="B861" s="283"/>
      <c r="C861" s="283"/>
    </row>
    <row r="862">
      <c r="A862" s="283"/>
      <c r="B862" s="283"/>
      <c r="C862" s="283"/>
    </row>
    <row r="863">
      <c r="A863" s="283"/>
      <c r="B863" s="283"/>
      <c r="C863" s="283"/>
    </row>
    <row r="864">
      <c r="A864" s="283"/>
      <c r="B864" s="283"/>
      <c r="C864" s="283"/>
    </row>
    <row r="865">
      <c r="A865" s="283"/>
      <c r="B865" s="283"/>
      <c r="C865" s="283"/>
    </row>
    <row r="866">
      <c r="A866" s="283"/>
      <c r="B866" s="283"/>
      <c r="C866" s="283"/>
    </row>
    <row r="867">
      <c r="A867" s="283"/>
      <c r="B867" s="283"/>
      <c r="C867" s="283"/>
    </row>
    <row r="868">
      <c r="A868" s="283"/>
      <c r="B868" s="283"/>
      <c r="C868" s="283"/>
    </row>
    <row r="869">
      <c r="A869" s="283"/>
      <c r="B869" s="283"/>
      <c r="C869" s="283"/>
    </row>
    <row r="870">
      <c r="A870" s="283"/>
      <c r="B870" s="283"/>
      <c r="C870" s="283"/>
    </row>
    <row r="871">
      <c r="A871" s="283"/>
      <c r="B871" s="283"/>
      <c r="C871" s="283"/>
    </row>
    <row r="872">
      <c r="A872" s="283"/>
      <c r="B872" s="283"/>
      <c r="C872" s="283"/>
    </row>
    <row r="873">
      <c r="A873" s="283"/>
      <c r="B873" s="283"/>
      <c r="C873" s="283"/>
    </row>
    <row r="874">
      <c r="A874" s="283"/>
      <c r="B874" s="283"/>
      <c r="C874" s="283"/>
    </row>
    <row r="875">
      <c r="A875" s="283"/>
      <c r="B875" s="283"/>
      <c r="C875" s="283"/>
    </row>
    <row r="876">
      <c r="A876" s="283"/>
      <c r="B876" s="283"/>
      <c r="C876" s="283"/>
    </row>
    <row r="877">
      <c r="A877" s="283"/>
      <c r="B877" s="283"/>
      <c r="C877" s="283"/>
    </row>
    <row r="878">
      <c r="A878" s="283"/>
      <c r="B878" s="283"/>
      <c r="C878" s="283"/>
    </row>
    <row r="879">
      <c r="A879" s="283"/>
      <c r="B879" s="283"/>
      <c r="C879" s="283"/>
    </row>
    <row r="880">
      <c r="A880" s="283"/>
      <c r="B880" s="283"/>
      <c r="C880" s="283"/>
    </row>
    <row r="881">
      <c r="A881" s="283"/>
      <c r="B881" s="283"/>
      <c r="C881" s="283"/>
    </row>
    <row r="882">
      <c r="A882" s="283"/>
      <c r="B882" s="283"/>
      <c r="C882" s="283"/>
    </row>
    <row r="883">
      <c r="A883" s="283"/>
      <c r="B883" s="283"/>
      <c r="C883" s="283"/>
    </row>
    <row r="884">
      <c r="A884" s="283"/>
      <c r="B884" s="283"/>
      <c r="C884" s="283"/>
    </row>
    <row r="885">
      <c r="A885" s="283"/>
      <c r="B885" s="283"/>
      <c r="C885" s="283"/>
    </row>
    <row r="886">
      <c r="A886" s="283"/>
      <c r="B886" s="283"/>
      <c r="C886" s="283"/>
    </row>
    <row r="887">
      <c r="A887" s="283"/>
      <c r="B887" s="283"/>
      <c r="C887" s="283"/>
    </row>
    <row r="888">
      <c r="A888" s="283"/>
      <c r="B888" s="283"/>
      <c r="C888" s="283"/>
    </row>
    <row r="889">
      <c r="A889" s="283"/>
      <c r="B889" s="283"/>
      <c r="C889" s="283"/>
    </row>
    <row r="890">
      <c r="A890" s="283"/>
      <c r="B890" s="283"/>
      <c r="C890" s="283"/>
    </row>
    <row r="891">
      <c r="A891" s="283"/>
      <c r="B891" s="283"/>
      <c r="C891" s="283"/>
    </row>
    <row r="892">
      <c r="A892" s="283"/>
      <c r="B892" s="283"/>
      <c r="C892" s="283"/>
    </row>
    <row r="893">
      <c r="A893" s="283"/>
      <c r="B893" s="283"/>
      <c r="C893" s="283"/>
    </row>
    <row r="894">
      <c r="A894" s="283"/>
      <c r="B894" s="283"/>
      <c r="C894" s="283"/>
    </row>
    <row r="895">
      <c r="A895" s="283"/>
      <c r="B895" s="283"/>
      <c r="C895" s="283"/>
    </row>
    <row r="896">
      <c r="A896" s="283"/>
      <c r="B896" s="283"/>
      <c r="C896" s="283"/>
    </row>
    <row r="897">
      <c r="A897" s="283"/>
      <c r="B897" s="283"/>
      <c r="C897" s="283"/>
    </row>
    <row r="898">
      <c r="A898" s="283"/>
      <c r="B898" s="283"/>
      <c r="C898" s="283"/>
    </row>
    <row r="899">
      <c r="A899" s="283"/>
      <c r="B899" s="283"/>
      <c r="C899" s="283"/>
    </row>
    <row r="900">
      <c r="A900" s="283"/>
      <c r="B900" s="283"/>
      <c r="C900" s="283"/>
    </row>
    <row r="901">
      <c r="A901" s="283"/>
      <c r="B901" s="283"/>
      <c r="C901" s="283"/>
    </row>
    <row r="902">
      <c r="A902" s="283"/>
      <c r="B902" s="283"/>
      <c r="C902" s="283"/>
    </row>
    <row r="903">
      <c r="A903" s="283"/>
      <c r="B903" s="283"/>
      <c r="C903" s="283"/>
    </row>
    <row r="904">
      <c r="A904" s="283"/>
      <c r="B904" s="283"/>
      <c r="C904" s="283"/>
    </row>
    <row r="905">
      <c r="A905" s="283"/>
      <c r="B905" s="283"/>
      <c r="C905" s="283"/>
    </row>
    <row r="906">
      <c r="A906" s="283"/>
      <c r="B906" s="283"/>
      <c r="C906" s="283"/>
    </row>
    <row r="907">
      <c r="A907" s="283"/>
      <c r="B907" s="283"/>
      <c r="C907" s="283"/>
    </row>
    <row r="908">
      <c r="A908" s="283"/>
      <c r="B908" s="283"/>
      <c r="C908" s="283"/>
    </row>
    <row r="909">
      <c r="A909" s="283"/>
      <c r="B909" s="283"/>
      <c r="C909" s="283"/>
    </row>
    <row r="910">
      <c r="A910" s="283"/>
      <c r="B910" s="283"/>
      <c r="C910" s="283"/>
    </row>
    <row r="911">
      <c r="A911" s="283"/>
      <c r="B911" s="283"/>
      <c r="C911" s="283"/>
    </row>
    <row r="912">
      <c r="A912" s="283"/>
      <c r="B912" s="283"/>
      <c r="C912" s="283"/>
    </row>
    <row r="913">
      <c r="A913" s="283"/>
      <c r="B913" s="283"/>
      <c r="C913" s="283"/>
    </row>
    <row r="914">
      <c r="A914" s="283"/>
      <c r="B914" s="283"/>
      <c r="C914" s="283"/>
    </row>
    <row r="915">
      <c r="A915" s="283"/>
      <c r="B915" s="283"/>
      <c r="C915" s="283"/>
    </row>
    <row r="916">
      <c r="A916" s="283"/>
      <c r="B916" s="283"/>
      <c r="C916" s="283"/>
    </row>
    <row r="917">
      <c r="A917" s="283"/>
      <c r="B917" s="283"/>
      <c r="C917" s="283"/>
    </row>
    <row r="918">
      <c r="A918" s="283"/>
      <c r="B918" s="283"/>
      <c r="C918" s="283"/>
    </row>
    <row r="919">
      <c r="A919" s="283"/>
      <c r="B919" s="283"/>
      <c r="C919" s="283"/>
    </row>
    <row r="920">
      <c r="A920" s="283"/>
      <c r="B920" s="283"/>
      <c r="C920" s="283"/>
    </row>
    <row r="921">
      <c r="A921" s="283"/>
      <c r="B921" s="283"/>
      <c r="C921" s="283"/>
    </row>
    <row r="922">
      <c r="A922" s="283"/>
      <c r="B922" s="283"/>
      <c r="C922" s="283"/>
    </row>
    <row r="923">
      <c r="A923" s="283"/>
      <c r="B923" s="283"/>
      <c r="C923" s="283"/>
    </row>
    <row r="924">
      <c r="A924" s="283"/>
      <c r="B924" s="283"/>
      <c r="C924" s="283"/>
    </row>
    <row r="925">
      <c r="A925" s="283"/>
      <c r="B925" s="283"/>
      <c r="C925" s="283"/>
    </row>
    <row r="926">
      <c r="A926" s="283"/>
      <c r="B926" s="283"/>
      <c r="C926" s="283"/>
    </row>
    <row r="927">
      <c r="A927" s="283"/>
      <c r="B927" s="283"/>
      <c r="C927" s="283"/>
    </row>
    <row r="928">
      <c r="A928" s="283"/>
      <c r="B928" s="283"/>
      <c r="C928" s="283"/>
    </row>
    <row r="929">
      <c r="A929" s="283"/>
      <c r="B929" s="283"/>
      <c r="C929" s="283"/>
    </row>
    <row r="930">
      <c r="A930" s="283"/>
      <c r="B930" s="283"/>
      <c r="C930" s="283"/>
    </row>
    <row r="931">
      <c r="A931" s="283"/>
      <c r="B931" s="283"/>
      <c r="C931" s="283"/>
    </row>
    <row r="932">
      <c r="A932" s="283"/>
      <c r="B932" s="283"/>
      <c r="C932" s="283"/>
    </row>
    <row r="933">
      <c r="A933" s="283"/>
      <c r="B933" s="283"/>
      <c r="C933" s="283"/>
    </row>
    <row r="934">
      <c r="A934" s="283"/>
      <c r="B934" s="283"/>
      <c r="C934" s="283"/>
    </row>
    <row r="935">
      <c r="A935" s="283"/>
      <c r="B935" s="283"/>
      <c r="C935" s="283"/>
    </row>
    <row r="936">
      <c r="A936" s="283"/>
      <c r="B936" s="283"/>
      <c r="C936" s="283"/>
    </row>
    <row r="937">
      <c r="A937" s="283"/>
      <c r="B937" s="283"/>
      <c r="C937" s="283"/>
    </row>
    <row r="938">
      <c r="A938" s="283"/>
      <c r="B938" s="283"/>
      <c r="C938" s="283"/>
    </row>
    <row r="939">
      <c r="A939" s="283"/>
      <c r="B939" s="283"/>
      <c r="C939" s="283"/>
    </row>
    <row r="940">
      <c r="A940" s="283"/>
      <c r="B940" s="283"/>
      <c r="C940" s="283"/>
    </row>
    <row r="941">
      <c r="A941" s="283"/>
      <c r="B941" s="283"/>
      <c r="C941" s="283"/>
    </row>
    <row r="942">
      <c r="A942" s="283"/>
      <c r="B942" s="283"/>
      <c r="C942" s="283"/>
    </row>
    <row r="943">
      <c r="A943" s="283"/>
      <c r="B943" s="283"/>
      <c r="C943" s="283"/>
    </row>
    <row r="944">
      <c r="A944" s="283"/>
      <c r="B944" s="283"/>
      <c r="C944" s="283"/>
    </row>
    <row r="945">
      <c r="A945" s="283"/>
      <c r="B945" s="283"/>
      <c r="C945" s="283"/>
    </row>
    <row r="946">
      <c r="A946" s="283"/>
      <c r="B946" s="283"/>
      <c r="C946" s="283"/>
    </row>
    <row r="947">
      <c r="A947" s="283"/>
      <c r="B947" s="283"/>
      <c r="C947" s="283"/>
    </row>
    <row r="948">
      <c r="A948" s="283"/>
      <c r="B948" s="283"/>
      <c r="C948" s="283"/>
    </row>
    <row r="949">
      <c r="A949" s="283"/>
      <c r="B949" s="283"/>
      <c r="C949" s="283"/>
    </row>
    <row r="950">
      <c r="A950" s="283"/>
      <c r="B950" s="283"/>
      <c r="C950" s="283"/>
    </row>
    <row r="951">
      <c r="A951" s="283"/>
      <c r="B951" s="283"/>
      <c r="C951" s="283"/>
    </row>
    <row r="952">
      <c r="A952" s="283"/>
      <c r="B952" s="283"/>
      <c r="C952" s="283"/>
    </row>
    <row r="953">
      <c r="A953" s="283"/>
      <c r="B953" s="283"/>
      <c r="C953" s="283"/>
    </row>
    <row r="954">
      <c r="A954" s="283"/>
      <c r="B954" s="283"/>
      <c r="C954" s="283"/>
    </row>
    <row r="955">
      <c r="A955" s="283"/>
      <c r="B955" s="283"/>
      <c r="C955" s="283"/>
    </row>
    <row r="956">
      <c r="A956" s="283"/>
      <c r="B956" s="283"/>
      <c r="C956" s="283"/>
    </row>
    <row r="957">
      <c r="A957" s="283"/>
      <c r="B957" s="283"/>
      <c r="C957" s="283"/>
    </row>
    <row r="958">
      <c r="A958" s="283"/>
      <c r="B958" s="283"/>
      <c r="C958" s="283"/>
    </row>
    <row r="959">
      <c r="A959" s="283"/>
      <c r="B959" s="283"/>
      <c r="C959" s="283"/>
    </row>
    <row r="960">
      <c r="A960" s="283"/>
      <c r="B960" s="283"/>
      <c r="C960" s="283"/>
    </row>
    <row r="961">
      <c r="A961" s="283"/>
      <c r="B961" s="283"/>
      <c r="C961" s="283"/>
    </row>
    <row r="962">
      <c r="A962" s="283"/>
      <c r="B962" s="283"/>
      <c r="C962" s="283"/>
    </row>
    <row r="963">
      <c r="A963" s="283"/>
      <c r="B963" s="283"/>
      <c r="C963" s="283"/>
    </row>
    <row r="964">
      <c r="A964" s="283"/>
      <c r="B964" s="283"/>
      <c r="C964" s="283"/>
    </row>
    <row r="965">
      <c r="A965" s="283"/>
      <c r="B965" s="283"/>
      <c r="C965" s="283"/>
    </row>
    <row r="966">
      <c r="A966" s="283"/>
      <c r="B966" s="283"/>
      <c r="C966" s="283"/>
    </row>
    <row r="967">
      <c r="A967" s="283"/>
      <c r="B967" s="283"/>
      <c r="C967" s="283"/>
    </row>
    <row r="968">
      <c r="A968" s="283"/>
      <c r="B968" s="283"/>
      <c r="C968" s="283"/>
    </row>
    <row r="969">
      <c r="A969" s="283"/>
      <c r="B969" s="283"/>
      <c r="C969" s="283"/>
    </row>
    <row r="970">
      <c r="A970" s="283"/>
      <c r="B970" s="283"/>
      <c r="C970" s="283"/>
    </row>
    <row r="971">
      <c r="A971" s="283"/>
      <c r="B971" s="283"/>
      <c r="C971" s="283"/>
    </row>
    <row r="972">
      <c r="A972" s="283"/>
      <c r="B972" s="283"/>
      <c r="C972" s="283"/>
    </row>
    <row r="973">
      <c r="A973" s="283"/>
      <c r="B973" s="283"/>
      <c r="C973" s="283"/>
    </row>
    <row r="974">
      <c r="A974" s="283"/>
      <c r="B974" s="283"/>
      <c r="C974" s="283"/>
    </row>
    <row r="975">
      <c r="A975" s="283"/>
      <c r="B975" s="283"/>
      <c r="C975" s="283"/>
    </row>
    <row r="976">
      <c r="A976" s="283"/>
      <c r="B976" s="283"/>
      <c r="C976" s="283"/>
    </row>
    <row r="977">
      <c r="A977" s="283"/>
      <c r="B977" s="283"/>
      <c r="C977" s="283"/>
    </row>
    <row r="978">
      <c r="A978" s="283"/>
      <c r="B978" s="283"/>
      <c r="C978" s="283"/>
    </row>
    <row r="979">
      <c r="A979" s="283"/>
      <c r="B979" s="283"/>
      <c r="C979" s="283"/>
    </row>
    <row r="980">
      <c r="A980" s="283"/>
      <c r="B980" s="283"/>
      <c r="C980" s="283"/>
    </row>
    <row r="981">
      <c r="A981" s="283"/>
      <c r="B981" s="283"/>
      <c r="C981" s="283"/>
    </row>
    <row r="982">
      <c r="A982" s="283"/>
      <c r="B982" s="283"/>
      <c r="C982" s="283"/>
    </row>
    <row r="983">
      <c r="A983" s="283"/>
      <c r="B983" s="283"/>
      <c r="C983" s="283"/>
    </row>
    <row r="984">
      <c r="A984" s="283"/>
      <c r="B984" s="283"/>
      <c r="C984" s="283"/>
    </row>
    <row r="985">
      <c r="A985" s="283"/>
      <c r="B985" s="283"/>
      <c r="C985" s="283"/>
    </row>
    <row r="986">
      <c r="A986" s="283"/>
      <c r="B986" s="283"/>
      <c r="C986" s="283"/>
    </row>
    <row r="987">
      <c r="A987" s="283"/>
      <c r="B987" s="283"/>
      <c r="C987" s="283"/>
    </row>
    <row r="988">
      <c r="A988" s="283"/>
      <c r="B988" s="283"/>
      <c r="C988" s="283"/>
    </row>
    <row r="989">
      <c r="A989" s="283"/>
      <c r="B989" s="283"/>
      <c r="C989" s="283"/>
    </row>
    <row r="990">
      <c r="A990" s="283"/>
      <c r="B990" s="283"/>
      <c r="C990" s="283"/>
    </row>
    <row r="991">
      <c r="A991" s="283"/>
      <c r="B991" s="283"/>
      <c r="C991" s="283"/>
    </row>
    <row r="992">
      <c r="A992" s="283"/>
      <c r="B992" s="283"/>
      <c r="C992" s="283"/>
    </row>
    <row r="993">
      <c r="A993" s="283"/>
      <c r="B993" s="283"/>
      <c r="C993" s="283"/>
    </row>
    <row r="994">
      <c r="A994" s="283"/>
      <c r="B994" s="283"/>
      <c r="C994" s="283"/>
    </row>
    <row r="995">
      <c r="A995" s="283"/>
      <c r="B995" s="283"/>
      <c r="C995" s="283"/>
    </row>
  </sheetData>
  <dataValidations>
    <dataValidation type="custom" allowBlank="1" showDropDown="1" showInputMessage="1" showErrorMessage="1" prompt="Double entry" sqref="L2:L97 A2:A101">
      <formula1>countif(A:A,A2)=1</formula1>
    </dataValidation>
  </dataValidations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98.63"/>
    <col customWidth="1" min="4" max="4" width="16.88"/>
    <col customWidth="1" min="5" max="5" width="19.0"/>
    <col hidden="1" min="8" max="11" width="12.63"/>
    <col customWidth="1" hidden="1" min="12" max="12" width="17.88"/>
    <col hidden="1" min="13" max="13" width="12.63"/>
  </cols>
  <sheetData>
    <row r="1">
      <c r="A1" s="358" t="s">
        <v>44</v>
      </c>
      <c r="B1" s="358" t="s">
        <v>1</v>
      </c>
      <c r="C1" s="57" t="s">
        <v>294</v>
      </c>
      <c r="D1" s="55" t="s">
        <v>248</v>
      </c>
      <c r="E1" s="348" t="s">
        <v>249</v>
      </c>
      <c r="F1" s="349" t="s">
        <v>250</v>
      </c>
      <c r="H1" s="56" t="s">
        <v>44</v>
      </c>
      <c r="I1" s="456" t="s">
        <v>1</v>
      </c>
      <c r="J1" s="11" t="s">
        <v>44</v>
      </c>
      <c r="K1" s="446" t="s">
        <v>1</v>
      </c>
      <c r="M1" s="11" t="s">
        <v>9588</v>
      </c>
    </row>
    <row r="2">
      <c r="A2" s="358" t="s">
        <v>9589</v>
      </c>
      <c r="B2" s="358">
        <v>14590.0</v>
      </c>
      <c r="C2" s="11" t="s">
        <v>9590</v>
      </c>
      <c r="D2" s="74">
        <v>0.9</v>
      </c>
      <c r="E2" s="74">
        <v>0.9</v>
      </c>
      <c r="F2" s="229" t="s">
        <v>1656</v>
      </c>
      <c r="H2" s="457" t="s">
        <v>9591</v>
      </c>
      <c r="I2" s="175">
        <v>8199.0</v>
      </c>
      <c r="J2" s="458" t="s">
        <v>9592</v>
      </c>
      <c r="K2" s="10"/>
      <c r="L2" s="446">
        <v>6732.0</v>
      </c>
      <c r="M2" s="459" t="s">
        <v>9593</v>
      </c>
    </row>
    <row r="3">
      <c r="A3" s="358" t="s">
        <v>9594</v>
      </c>
      <c r="B3" s="358">
        <v>14590.0</v>
      </c>
      <c r="C3" s="11" t="s">
        <v>9590</v>
      </c>
      <c r="D3" s="74">
        <v>0.9</v>
      </c>
      <c r="E3" s="74">
        <v>0.9</v>
      </c>
      <c r="F3" s="229" t="s">
        <v>1656</v>
      </c>
      <c r="H3" s="460" t="s">
        <v>9595</v>
      </c>
      <c r="I3" s="461">
        <v>6732.0</v>
      </c>
      <c r="J3" s="458" t="s">
        <v>7770</v>
      </c>
      <c r="K3" s="462"/>
      <c r="L3" s="462">
        <v>5389.0</v>
      </c>
      <c r="M3" s="463" t="s">
        <v>9596</v>
      </c>
    </row>
    <row r="4">
      <c r="A4" s="358" t="s">
        <v>9597</v>
      </c>
      <c r="B4" s="358">
        <v>14590.0</v>
      </c>
      <c r="C4" s="11" t="s">
        <v>9590</v>
      </c>
      <c r="D4" s="74">
        <v>0.9</v>
      </c>
      <c r="E4" s="74">
        <v>0.9</v>
      </c>
      <c r="F4" s="229" t="s">
        <v>1656</v>
      </c>
      <c r="H4" s="460" t="s">
        <v>9598</v>
      </c>
      <c r="I4" s="461">
        <v>6732.0</v>
      </c>
      <c r="J4" s="458" t="s">
        <v>7771</v>
      </c>
      <c r="K4" s="462"/>
      <c r="L4" s="462">
        <v>6998.0</v>
      </c>
      <c r="M4" s="463" t="s">
        <v>9596</v>
      </c>
    </row>
    <row r="5">
      <c r="A5" s="358" t="s">
        <v>9599</v>
      </c>
      <c r="B5" s="358">
        <v>14590.0</v>
      </c>
      <c r="C5" s="11" t="s">
        <v>9590</v>
      </c>
      <c r="D5" s="74">
        <v>0.9</v>
      </c>
      <c r="E5" s="74">
        <v>0.9</v>
      </c>
      <c r="F5" s="229" t="s">
        <v>1656</v>
      </c>
      <c r="H5" s="460" t="s">
        <v>7772</v>
      </c>
      <c r="I5" s="461">
        <v>2345.0</v>
      </c>
      <c r="J5" s="458" t="s">
        <v>7773</v>
      </c>
      <c r="K5" s="462"/>
      <c r="L5" s="462">
        <v>7032.0</v>
      </c>
      <c r="M5" s="463" t="s">
        <v>9596</v>
      </c>
    </row>
    <row r="6">
      <c r="A6" s="358" t="s">
        <v>9600</v>
      </c>
      <c r="B6" s="358">
        <v>14590.0</v>
      </c>
      <c r="C6" s="11" t="s">
        <v>9590</v>
      </c>
      <c r="D6" s="74">
        <v>0.9</v>
      </c>
      <c r="E6" s="74">
        <v>0.9</v>
      </c>
      <c r="F6" s="229" t="s">
        <v>1656</v>
      </c>
      <c r="G6" s="125"/>
      <c r="H6" s="183" t="s">
        <v>7774</v>
      </c>
      <c r="I6" s="464">
        <v>930.0</v>
      </c>
      <c r="J6" s="458" t="s">
        <v>7775</v>
      </c>
      <c r="K6" s="462"/>
      <c r="L6" s="462">
        <v>2345.0</v>
      </c>
      <c r="M6" s="463" t="s">
        <v>9596</v>
      </c>
    </row>
    <row r="7">
      <c r="A7" s="358" t="s">
        <v>9601</v>
      </c>
      <c r="B7" s="358">
        <v>14590.0</v>
      </c>
      <c r="C7" s="11" t="s">
        <v>9590</v>
      </c>
      <c r="D7" s="74">
        <v>0.9</v>
      </c>
      <c r="E7" s="74">
        <v>0.9</v>
      </c>
      <c r="F7" s="229" t="s">
        <v>1656</v>
      </c>
      <c r="G7" s="125"/>
      <c r="H7" s="183" t="s">
        <v>7778</v>
      </c>
      <c r="I7" s="464">
        <v>7083.0</v>
      </c>
      <c r="J7" s="458" t="s">
        <v>7776</v>
      </c>
      <c r="K7" s="462"/>
      <c r="L7" s="462">
        <v>3142.0</v>
      </c>
      <c r="M7" s="463" t="s">
        <v>9596</v>
      </c>
    </row>
    <row r="8">
      <c r="A8" s="358" t="s">
        <v>9602</v>
      </c>
      <c r="B8" s="358">
        <v>14590.0</v>
      </c>
      <c r="C8" s="11" t="s">
        <v>9590</v>
      </c>
      <c r="D8" s="74">
        <v>0.9</v>
      </c>
      <c r="E8" s="74">
        <v>0.9</v>
      </c>
      <c r="F8" s="229" t="s">
        <v>1656</v>
      </c>
      <c r="G8" s="125"/>
      <c r="H8" s="183" t="s">
        <v>7781</v>
      </c>
      <c r="I8" s="464">
        <v>2345.0</v>
      </c>
      <c r="J8" s="458" t="s">
        <v>7777</v>
      </c>
      <c r="K8" s="462"/>
      <c r="L8" s="462">
        <v>669.0</v>
      </c>
      <c r="M8" s="463" t="s">
        <v>9596</v>
      </c>
    </row>
    <row r="9">
      <c r="A9" s="358" t="s">
        <v>9603</v>
      </c>
      <c r="B9" s="358">
        <v>14590.0</v>
      </c>
      <c r="C9" s="11" t="s">
        <v>9590</v>
      </c>
      <c r="D9" s="74">
        <v>0.9</v>
      </c>
      <c r="E9" s="74">
        <v>0.9</v>
      </c>
      <c r="F9" s="229" t="s">
        <v>1656</v>
      </c>
      <c r="G9" s="125"/>
      <c r="H9" s="457" t="s">
        <v>7789</v>
      </c>
      <c r="I9" s="465">
        <v>6924.0</v>
      </c>
      <c r="J9" s="458" t="s">
        <v>7779</v>
      </c>
      <c r="K9" s="462"/>
      <c r="L9" s="462">
        <v>669.0</v>
      </c>
      <c r="M9" s="463" t="s">
        <v>9596</v>
      </c>
    </row>
    <row r="10">
      <c r="A10" s="358" t="s">
        <v>9604</v>
      </c>
      <c r="B10" s="358">
        <v>14590.0</v>
      </c>
      <c r="C10" s="11" t="s">
        <v>9590</v>
      </c>
      <c r="D10" s="74">
        <v>0.9</v>
      </c>
      <c r="E10" s="74">
        <v>0.9</v>
      </c>
      <c r="F10" s="229" t="s">
        <v>1656</v>
      </c>
      <c r="G10" s="125"/>
      <c r="H10" s="460" t="s">
        <v>7790</v>
      </c>
      <c r="I10" s="465">
        <v>5566.0</v>
      </c>
      <c r="J10" s="458" t="s">
        <v>7780</v>
      </c>
      <c r="K10" s="462"/>
      <c r="L10" s="462">
        <v>6995.0</v>
      </c>
      <c r="M10" s="463" t="s">
        <v>9596</v>
      </c>
    </row>
    <row r="11">
      <c r="A11" s="358" t="s">
        <v>9605</v>
      </c>
      <c r="B11" s="358">
        <v>14590.0</v>
      </c>
      <c r="C11" s="11" t="s">
        <v>9590</v>
      </c>
      <c r="D11" s="74">
        <v>0.9</v>
      </c>
      <c r="E11" s="74">
        <v>0.9</v>
      </c>
      <c r="F11" s="229" t="s">
        <v>1656</v>
      </c>
      <c r="G11" s="125"/>
      <c r="H11" s="183" t="s">
        <v>7793</v>
      </c>
      <c r="I11" s="464">
        <v>6675.0</v>
      </c>
      <c r="J11" s="458" t="s">
        <v>7782</v>
      </c>
      <c r="K11" s="462"/>
      <c r="L11" s="462">
        <v>669.0</v>
      </c>
      <c r="M11" s="463" t="s">
        <v>9596</v>
      </c>
    </row>
    <row r="12">
      <c r="A12" s="358" t="s">
        <v>9606</v>
      </c>
      <c r="B12" s="358">
        <v>14590.0</v>
      </c>
      <c r="C12" s="11" t="s">
        <v>9590</v>
      </c>
      <c r="D12" s="74">
        <v>0.9</v>
      </c>
      <c r="E12" s="74">
        <v>0.9</v>
      </c>
      <c r="F12" s="229" t="s">
        <v>1656</v>
      </c>
      <c r="G12" s="125"/>
      <c r="H12" s="183" t="s">
        <v>7794</v>
      </c>
      <c r="I12" s="183">
        <v>6727.0</v>
      </c>
      <c r="J12" s="458" t="s">
        <v>7783</v>
      </c>
      <c r="K12" s="462"/>
      <c r="L12" s="462">
        <v>669.0</v>
      </c>
      <c r="M12" s="463" t="s">
        <v>9596</v>
      </c>
    </row>
    <row r="13">
      <c r="A13" s="358" t="s">
        <v>9607</v>
      </c>
      <c r="B13" s="358">
        <v>14590.0</v>
      </c>
      <c r="C13" s="11" t="s">
        <v>9590</v>
      </c>
      <c r="D13" s="74">
        <v>0.9</v>
      </c>
      <c r="E13" s="74">
        <v>0.9</v>
      </c>
      <c r="F13" s="229" t="s">
        <v>1656</v>
      </c>
      <c r="G13" s="125"/>
      <c r="H13" s="183" t="s">
        <v>9608</v>
      </c>
      <c r="I13" s="464">
        <v>6887.0</v>
      </c>
      <c r="J13" s="458" t="s">
        <v>7784</v>
      </c>
      <c r="K13" s="462"/>
      <c r="L13" s="462">
        <v>669.0</v>
      </c>
      <c r="M13" s="463" t="s">
        <v>9596</v>
      </c>
    </row>
    <row r="14">
      <c r="A14" s="358" t="s">
        <v>9609</v>
      </c>
      <c r="B14" s="358">
        <v>14590.0</v>
      </c>
      <c r="C14" s="11" t="s">
        <v>9590</v>
      </c>
      <c r="D14" s="74">
        <v>0.9</v>
      </c>
      <c r="E14" s="74">
        <v>0.9</v>
      </c>
      <c r="F14" s="229" t="s">
        <v>1656</v>
      </c>
      <c r="G14" s="125"/>
      <c r="H14" s="460" t="s">
        <v>7796</v>
      </c>
      <c r="I14" s="461">
        <v>1360.0</v>
      </c>
      <c r="J14" s="458" t="s">
        <v>7785</v>
      </c>
      <c r="K14" s="462"/>
      <c r="L14" s="462">
        <v>669.0</v>
      </c>
      <c r="M14" s="463" t="s">
        <v>9596</v>
      </c>
    </row>
    <row r="15">
      <c r="A15" s="358" t="s">
        <v>9610</v>
      </c>
      <c r="B15" s="358">
        <v>14590.0</v>
      </c>
      <c r="C15" s="11" t="s">
        <v>9590</v>
      </c>
      <c r="D15" s="74">
        <v>0.9</v>
      </c>
      <c r="E15" s="74">
        <v>0.9</v>
      </c>
      <c r="F15" s="229" t="s">
        <v>1656</v>
      </c>
      <c r="G15" s="125"/>
      <c r="H15" s="460" t="s">
        <v>7799</v>
      </c>
      <c r="I15" s="461">
        <v>4933.0</v>
      </c>
      <c r="J15" s="458" t="s">
        <v>7786</v>
      </c>
      <c r="K15" s="462"/>
      <c r="L15" s="462">
        <v>669.0</v>
      </c>
      <c r="M15" s="463" t="s">
        <v>9596</v>
      </c>
    </row>
    <row r="16">
      <c r="A16" s="358" t="s">
        <v>9611</v>
      </c>
      <c r="B16" s="358">
        <v>14590.0</v>
      </c>
      <c r="C16" s="11" t="s">
        <v>9590</v>
      </c>
      <c r="D16" s="74">
        <v>0.9</v>
      </c>
      <c r="E16" s="74">
        <v>0.9</v>
      </c>
      <c r="F16" s="229" t="s">
        <v>1656</v>
      </c>
      <c r="G16" s="125"/>
      <c r="H16" s="183" t="s">
        <v>7803</v>
      </c>
      <c r="I16" s="464">
        <v>2345.0</v>
      </c>
      <c r="J16" s="458" t="s">
        <v>7787</v>
      </c>
      <c r="K16" s="466"/>
      <c r="L16" s="223"/>
      <c r="M16" s="463" t="s">
        <v>9596</v>
      </c>
    </row>
    <row r="17">
      <c r="A17" s="358" t="s">
        <v>9612</v>
      </c>
      <c r="B17" s="358">
        <v>14590.0</v>
      </c>
      <c r="C17" s="11" t="s">
        <v>9590</v>
      </c>
      <c r="D17" s="74">
        <v>0.9</v>
      </c>
      <c r="E17" s="74">
        <v>0.9</v>
      </c>
      <c r="F17" s="229" t="s">
        <v>1656</v>
      </c>
      <c r="G17" s="125"/>
      <c r="H17" s="183" t="s">
        <v>7804</v>
      </c>
      <c r="I17" s="464">
        <v>6727.0</v>
      </c>
      <c r="J17" s="458" t="s">
        <v>7788</v>
      </c>
      <c r="K17" s="462"/>
      <c r="L17" s="462">
        <v>499.0</v>
      </c>
      <c r="M17" s="463" t="s">
        <v>9596</v>
      </c>
    </row>
    <row r="18">
      <c r="A18" s="358" t="s">
        <v>9613</v>
      </c>
      <c r="B18" s="358">
        <v>14590.0</v>
      </c>
      <c r="C18" s="11" t="s">
        <v>9590</v>
      </c>
      <c r="D18" s="74">
        <v>0.9</v>
      </c>
      <c r="E18" s="74">
        <v>0.9</v>
      </c>
      <c r="F18" s="229" t="s">
        <v>1656</v>
      </c>
      <c r="G18" s="125"/>
      <c r="H18" s="460" t="s">
        <v>7805</v>
      </c>
      <c r="I18" s="465">
        <v>5566.0</v>
      </c>
      <c r="J18" s="458" t="s">
        <v>7791</v>
      </c>
      <c r="K18" s="462"/>
      <c r="L18" s="462">
        <v>6727.0</v>
      </c>
      <c r="M18" s="463" t="s">
        <v>9596</v>
      </c>
    </row>
    <row r="19">
      <c r="A19" s="358" t="s">
        <v>9614</v>
      </c>
      <c r="B19" s="358">
        <v>14590.0</v>
      </c>
      <c r="C19" s="11" t="s">
        <v>9590</v>
      </c>
      <c r="D19" s="74">
        <v>0.9</v>
      </c>
      <c r="E19" s="74">
        <v>0.9</v>
      </c>
      <c r="F19" s="229" t="s">
        <v>1656</v>
      </c>
      <c r="G19" s="125"/>
      <c r="H19" s="460" t="s">
        <v>7807</v>
      </c>
      <c r="I19" s="465">
        <v>5566.0</v>
      </c>
      <c r="J19" s="458" t="s">
        <v>7792</v>
      </c>
      <c r="K19" s="462"/>
      <c r="L19" s="462">
        <v>6727.0</v>
      </c>
      <c r="M19" s="463" t="s">
        <v>9596</v>
      </c>
    </row>
    <row r="20">
      <c r="A20" s="358" t="s">
        <v>9615</v>
      </c>
      <c r="B20" s="358">
        <v>14590.0</v>
      </c>
      <c r="C20" s="11" t="s">
        <v>9590</v>
      </c>
      <c r="D20" s="74">
        <v>0.9</v>
      </c>
      <c r="E20" s="74">
        <v>0.9</v>
      </c>
      <c r="F20" s="229" t="s">
        <v>1656</v>
      </c>
      <c r="G20" s="125"/>
      <c r="H20" s="460" t="s">
        <v>7810</v>
      </c>
      <c r="I20" s="465">
        <v>5566.0</v>
      </c>
      <c r="J20" s="458" t="s">
        <v>7795</v>
      </c>
      <c r="K20" s="462"/>
      <c r="L20" s="462">
        <v>6978.0</v>
      </c>
      <c r="M20" s="463" t="s">
        <v>9596</v>
      </c>
    </row>
    <row r="21">
      <c r="A21" s="358" t="s">
        <v>9616</v>
      </c>
      <c r="B21" s="358">
        <v>14590.0</v>
      </c>
      <c r="C21" s="11" t="s">
        <v>9590</v>
      </c>
      <c r="D21" s="74">
        <v>0.9</v>
      </c>
      <c r="E21" s="74">
        <v>0.9</v>
      </c>
      <c r="F21" s="229" t="s">
        <v>1656</v>
      </c>
      <c r="G21" s="125"/>
      <c r="H21" s="460" t="s">
        <v>7811</v>
      </c>
      <c r="I21" s="465">
        <v>5566.0</v>
      </c>
      <c r="J21" s="458" t="s">
        <v>7797</v>
      </c>
      <c r="K21" s="462"/>
      <c r="L21" s="462">
        <v>2345.0</v>
      </c>
      <c r="M21" s="463" t="s">
        <v>9596</v>
      </c>
    </row>
    <row r="22">
      <c r="A22" s="358" t="s">
        <v>9617</v>
      </c>
      <c r="B22" s="358">
        <v>14590.0</v>
      </c>
      <c r="C22" s="11" t="s">
        <v>9590</v>
      </c>
      <c r="D22" s="74">
        <v>0.9</v>
      </c>
      <c r="E22" s="74">
        <v>0.9</v>
      </c>
      <c r="F22" s="229" t="s">
        <v>1656</v>
      </c>
      <c r="G22" s="125"/>
      <c r="H22" s="460" t="s">
        <v>7816</v>
      </c>
      <c r="I22" s="465">
        <v>5566.0</v>
      </c>
      <c r="J22" s="458" t="s">
        <v>7798</v>
      </c>
      <c r="K22" s="462"/>
      <c r="L22" s="462">
        <v>4933.0</v>
      </c>
      <c r="M22" s="463" t="s">
        <v>9596</v>
      </c>
    </row>
    <row r="23">
      <c r="A23" s="358" t="s">
        <v>9618</v>
      </c>
      <c r="B23" s="358">
        <v>14590.0</v>
      </c>
      <c r="C23" s="11" t="s">
        <v>9590</v>
      </c>
      <c r="D23" s="74">
        <v>0.9</v>
      </c>
      <c r="E23" s="74">
        <v>0.9</v>
      </c>
      <c r="F23" s="229" t="s">
        <v>1656</v>
      </c>
      <c r="G23" s="125"/>
      <c r="H23" s="183" t="s">
        <v>7817</v>
      </c>
      <c r="I23" s="464">
        <v>986.0</v>
      </c>
      <c r="J23" s="458" t="s">
        <v>7800</v>
      </c>
      <c r="K23" s="462"/>
      <c r="L23" s="462">
        <v>4933.0</v>
      </c>
      <c r="M23" s="463" t="s">
        <v>9596</v>
      </c>
    </row>
    <row r="24">
      <c r="A24" s="358" t="s">
        <v>9619</v>
      </c>
      <c r="B24" s="358">
        <v>14590.0</v>
      </c>
      <c r="C24" s="11" t="s">
        <v>9590</v>
      </c>
      <c r="D24" s="74">
        <v>0.9</v>
      </c>
      <c r="E24" s="74">
        <v>0.9</v>
      </c>
      <c r="F24" s="229" t="s">
        <v>1656</v>
      </c>
      <c r="G24" s="125"/>
      <c r="H24" s="460" t="s">
        <v>7818</v>
      </c>
      <c r="I24" s="461">
        <v>986.0</v>
      </c>
      <c r="J24" s="458" t="s">
        <v>7801</v>
      </c>
      <c r="K24" s="462"/>
      <c r="L24" s="462">
        <v>4933.0</v>
      </c>
      <c r="M24" s="463" t="s">
        <v>9596</v>
      </c>
    </row>
    <row r="25">
      <c r="A25" s="358" t="s">
        <v>9620</v>
      </c>
      <c r="B25" s="358">
        <v>14590.0</v>
      </c>
      <c r="C25" s="11" t="s">
        <v>9590</v>
      </c>
      <c r="D25" s="74">
        <v>0.9</v>
      </c>
      <c r="E25" s="74">
        <v>0.9</v>
      </c>
      <c r="F25" s="229" t="s">
        <v>1656</v>
      </c>
      <c r="G25" s="125"/>
      <c r="H25" s="460" t="s">
        <v>7828</v>
      </c>
      <c r="I25" s="461">
        <v>6671.0</v>
      </c>
      <c r="J25" s="458" t="s">
        <v>7802</v>
      </c>
      <c r="K25" s="462"/>
      <c r="L25" s="462">
        <v>4933.0</v>
      </c>
      <c r="M25" s="463" t="s">
        <v>9596</v>
      </c>
    </row>
    <row r="26">
      <c r="A26" s="358" t="s">
        <v>9621</v>
      </c>
      <c r="B26" s="358">
        <v>14590.0</v>
      </c>
      <c r="C26" s="11" t="s">
        <v>9590</v>
      </c>
      <c r="D26" s="74">
        <v>0.9</v>
      </c>
      <c r="E26" s="74">
        <v>0.9</v>
      </c>
      <c r="F26" s="229" t="s">
        <v>1656</v>
      </c>
      <c r="G26" s="125"/>
      <c r="H26" s="183" t="s">
        <v>7832</v>
      </c>
      <c r="I26" s="464">
        <v>663.0</v>
      </c>
      <c r="J26" s="458" t="s">
        <v>7806</v>
      </c>
      <c r="K26" s="462"/>
      <c r="L26" s="462">
        <v>2345.0</v>
      </c>
      <c r="M26" s="463" t="s">
        <v>9596</v>
      </c>
    </row>
    <row r="27">
      <c r="A27" s="358" t="s">
        <v>9622</v>
      </c>
      <c r="B27" s="358">
        <v>14590.0</v>
      </c>
      <c r="C27" s="11" t="s">
        <v>9590</v>
      </c>
      <c r="D27" s="74">
        <v>0.9</v>
      </c>
      <c r="E27" s="74">
        <v>0.9</v>
      </c>
      <c r="F27" s="229" t="s">
        <v>1656</v>
      </c>
      <c r="G27" s="125"/>
      <c r="H27" s="457" t="s">
        <v>7836</v>
      </c>
      <c r="I27" s="465">
        <v>2345.0</v>
      </c>
      <c r="J27" s="458" t="s">
        <v>7808</v>
      </c>
      <c r="K27" s="462"/>
      <c r="L27" s="462">
        <v>2345.0</v>
      </c>
      <c r="M27" s="463" t="s">
        <v>9596</v>
      </c>
    </row>
    <row r="28">
      <c r="A28" s="358" t="s">
        <v>9623</v>
      </c>
      <c r="B28" s="358">
        <v>14590.0</v>
      </c>
      <c r="C28" s="11" t="s">
        <v>9590</v>
      </c>
      <c r="D28" s="74">
        <v>0.9</v>
      </c>
      <c r="E28" s="74">
        <v>0.9</v>
      </c>
      <c r="F28" s="229" t="s">
        <v>1656</v>
      </c>
      <c r="G28" s="467"/>
      <c r="H28" s="460" t="s">
        <v>7837</v>
      </c>
      <c r="I28" s="461">
        <v>1360.0</v>
      </c>
      <c r="J28" s="458" t="s">
        <v>7809</v>
      </c>
      <c r="K28" s="462"/>
      <c r="L28" s="462">
        <v>6727.0</v>
      </c>
      <c r="M28" s="463" t="s">
        <v>9596</v>
      </c>
    </row>
    <row r="29">
      <c r="A29" s="358" t="s">
        <v>9624</v>
      </c>
      <c r="B29" s="358">
        <v>14590.0</v>
      </c>
      <c r="C29" s="11" t="s">
        <v>9590</v>
      </c>
      <c r="D29" s="74">
        <v>0.9</v>
      </c>
      <c r="E29" s="74">
        <v>0.9</v>
      </c>
      <c r="F29" s="229" t="s">
        <v>1656</v>
      </c>
      <c r="G29" s="467"/>
      <c r="H29" s="460" t="s">
        <v>7838</v>
      </c>
      <c r="I29" s="465">
        <v>5566.0</v>
      </c>
      <c r="J29" s="458" t="s">
        <v>7813</v>
      </c>
      <c r="K29" s="462"/>
      <c r="L29" s="462">
        <v>6727.0</v>
      </c>
      <c r="M29" s="463" t="s">
        <v>9596</v>
      </c>
    </row>
    <row r="30">
      <c r="A30" s="358" t="s">
        <v>9625</v>
      </c>
      <c r="B30" s="358">
        <v>14590.0</v>
      </c>
      <c r="C30" s="11" t="s">
        <v>9590</v>
      </c>
      <c r="D30" s="74">
        <v>0.9</v>
      </c>
      <c r="E30" s="74">
        <v>0.9</v>
      </c>
      <c r="F30" s="229" t="s">
        <v>1656</v>
      </c>
      <c r="G30" s="467"/>
      <c r="H30" s="460" t="s">
        <v>7840</v>
      </c>
      <c r="I30" s="465">
        <v>5566.0</v>
      </c>
      <c r="J30" s="458" t="s">
        <v>7814</v>
      </c>
      <c r="K30" s="462"/>
      <c r="L30" s="462">
        <v>6727.0</v>
      </c>
      <c r="M30" s="463" t="s">
        <v>9596</v>
      </c>
    </row>
    <row r="31">
      <c r="A31" s="358" t="s">
        <v>9626</v>
      </c>
      <c r="B31" s="358">
        <v>14590.0</v>
      </c>
      <c r="C31" s="11" t="s">
        <v>9590</v>
      </c>
      <c r="D31" s="74">
        <v>0.9</v>
      </c>
      <c r="E31" s="74">
        <v>0.9</v>
      </c>
      <c r="F31" s="229" t="s">
        <v>1656</v>
      </c>
      <c r="G31" s="467"/>
      <c r="H31" s="183" t="s">
        <v>7841</v>
      </c>
      <c r="I31" s="465">
        <v>189.0</v>
      </c>
      <c r="J31" s="458" t="s">
        <v>7815</v>
      </c>
      <c r="K31" s="462"/>
      <c r="L31" s="462">
        <v>6727.0</v>
      </c>
      <c r="M31" s="463" t="s">
        <v>9596</v>
      </c>
    </row>
    <row r="32">
      <c r="A32" s="358" t="s">
        <v>9627</v>
      </c>
      <c r="B32" s="358">
        <v>14590.0</v>
      </c>
      <c r="C32" s="11" t="s">
        <v>9590</v>
      </c>
      <c r="D32" s="74">
        <v>0.9</v>
      </c>
      <c r="E32" s="74">
        <v>0.9</v>
      </c>
      <c r="F32" s="229" t="s">
        <v>1656</v>
      </c>
      <c r="G32" s="467"/>
      <c r="H32" s="460" t="s">
        <v>7842</v>
      </c>
      <c r="I32" s="465">
        <v>2345.0</v>
      </c>
      <c r="J32" s="458" t="s">
        <v>7819</v>
      </c>
      <c r="K32" s="462"/>
      <c r="L32" s="462">
        <v>986.0</v>
      </c>
      <c r="M32" s="463" t="s">
        <v>9596</v>
      </c>
    </row>
    <row r="33">
      <c r="A33" s="358" t="s">
        <v>9628</v>
      </c>
      <c r="B33" s="358">
        <v>14590.0</v>
      </c>
      <c r="C33" s="11" t="s">
        <v>9590</v>
      </c>
      <c r="D33" s="74">
        <v>0.9</v>
      </c>
      <c r="E33" s="74">
        <v>0.9</v>
      </c>
      <c r="F33" s="229" t="s">
        <v>1656</v>
      </c>
      <c r="G33" s="467"/>
      <c r="H33" s="457" t="s">
        <v>7844</v>
      </c>
      <c r="I33" s="465">
        <v>6947.0</v>
      </c>
      <c r="J33" s="458" t="s">
        <v>9629</v>
      </c>
      <c r="K33" s="462"/>
      <c r="L33" s="462">
        <v>986.0</v>
      </c>
      <c r="M33" s="463" t="s">
        <v>9596</v>
      </c>
    </row>
    <row r="34">
      <c r="A34" s="358" t="s">
        <v>9630</v>
      </c>
      <c r="B34" s="358">
        <v>14590.0</v>
      </c>
      <c r="C34" s="11" t="s">
        <v>9590</v>
      </c>
      <c r="D34" s="74">
        <v>0.9</v>
      </c>
      <c r="E34" s="74">
        <v>0.9</v>
      </c>
      <c r="F34" s="229" t="s">
        <v>1656</v>
      </c>
      <c r="G34" s="467"/>
      <c r="H34" s="183" t="s">
        <v>7845</v>
      </c>
      <c r="I34" s="464">
        <v>7040.0</v>
      </c>
      <c r="J34" s="458" t="s">
        <v>7820</v>
      </c>
      <c r="K34" s="462"/>
      <c r="L34" s="462">
        <v>986.0</v>
      </c>
      <c r="M34" s="463" t="s">
        <v>9596</v>
      </c>
    </row>
    <row r="35">
      <c r="A35" s="358" t="s">
        <v>9631</v>
      </c>
      <c r="B35" s="358">
        <v>14590.0</v>
      </c>
      <c r="C35" s="11" t="s">
        <v>9590</v>
      </c>
      <c r="D35" s="74">
        <v>0.9</v>
      </c>
      <c r="E35" s="74">
        <v>0.9</v>
      </c>
      <c r="F35" s="229" t="s">
        <v>1656</v>
      </c>
      <c r="G35" s="467"/>
      <c r="H35" s="460" t="s">
        <v>7848</v>
      </c>
      <c r="I35" s="465">
        <v>5566.0</v>
      </c>
      <c r="J35" s="458" t="s">
        <v>7821</v>
      </c>
      <c r="K35" s="462"/>
      <c r="L35" s="462">
        <v>986.0</v>
      </c>
      <c r="M35" s="463" t="s">
        <v>9596</v>
      </c>
    </row>
    <row r="36">
      <c r="A36" s="358" t="s">
        <v>9632</v>
      </c>
      <c r="B36" s="358">
        <v>14590.0</v>
      </c>
      <c r="C36" s="11" t="s">
        <v>9590</v>
      </c>
      <c r="D36" s="74">
        <v>0.9</v>
      </c>
      <c r="E36" s="74">
        <v>0.9</v>
      </c>
      <c r="F36" s="229" t="s">
        <v>1656</v>
      </c>
      <c r="G36" s="467"/>
      <c r="H36" s="460" t="s">
        <v>7850</v>
      </c>
      <c r="I36" s="465">
        <v>5566.0</v>
      </c>
      <c r="J36" s="458" t="s">
        <v>7823</v>
      </c>
      <c r="K36" s="462"/>
      <c r="L36" s="462">
        <v>7020.0</v>
      </c>
      <c r="M36" s="463" t="s">
        <v>9596</v>
      </c>
    </row>
    <row r="37">
      <c r="A37" s="358" t="s">
        <v>9633</v>
      </c>
      <c r="B37" s="358">
        <v>14590.0</v>
      </c>
      <c r="C37" s="11" t="s">
        <v>9590</v>
      </c>
      <c r="D37" s="74">
        <v>0.9</v>
      </c>
      <c r="E37" s="74">
        <v>0.9</v>
      </c>
      <c r="F37" s="229" t="s">
        <v>1656</v>
      </c>
      <c r="G37" s="467"/>
      <c r="H37" s="457" t="s">
        <v>7855</v>
      </c>
      <c r="I37" s="465">
        <v>189.0</v>
      </c>
      <c r="J37" s="458" t="s">
        <v>7824</v>
      </c>
      <c r="K37" s="462"/>
      <c r="L37" s="462">
        <v>136.0</v>
      </c>
      <c r="M37" s="463" t="s">
        <v>9596</v>
      </c>
    </row>
    <row r="38">
      <c r="A38" s="358" t="s">
        <v>9634</v>
      </c>
      <c r="B38" s="358">
        <v>14590.0</v>
      </c>
      <c r="C38" s="11" t="s">
        <v>9590</v>
      </c>
      <c r="D38" s="74">
        <v>0.9</v>
      </c>
      <c r="E38" s="74">
        <v>0.9</v>
      </c>
      <c r="F38" s="229" t="s">
        <v>1656</v>
      </c>
      <c r="G38" s="467"/>
      <c r="H38" s="460" t="s">
        <v>7857</v>
      </c>
      <c r="I38" s="461">
        <v>6949.0</v>
      </c>
      <c r="J38" s="458" t="s">
        <v>7825</v>
      </c>
      <c r="K38" s="462"/>
      <c r="L38" s="462">
        <v>6824.0</v>
      </c>
      <c r="M38" s="463" t="s">
        <v>9596</v>
      </c>
    </row>
    <row r="39">
      <c r="A39" s="358" t="s">
        <v>9635</v>
      </c>
      <c r="B39" s="358">
        <v>14590.0</v>
      </c>
      <c r="C39" s="11" t="s">
        <v>9590</v>
      </c>
      <c r="D39" s="74">
        <v>0.9</v>
      </c>
      <c r="E39" s="74">
        <v>0.9</v>
      </c>
      <c r="F39" s="229" t="s">
        <v>1656</v>
      </c>
      <c r="G39" s="467"/>
      <c r="H39" s="183" t="s">
        <v>7858</v>
      </c>
      <c r="I39" s="464">
        <v>6675.0</v>
      </c>
      <c r="J39" s="458" t="s">
        <v>7826</v>
      </c>
      <c r="K39" s="462"/>
      <c r="L39" s="462">
        <v>6671.0</v>
      </c>
      <c r="M39" s="463" t="s">
        <v>9596</v>
      </c>
    </row>
    <row r="40">
      <c r="A40" s="358" t="s">
        <v>9636</v>
      </c>
      <c r="B40" s="358">
        <v>14590.0</v>
      </c>
      <c r="C40" s="11" t="s">
        <v>9590</v>
      </c>
      <c r="D40" s="74">
        <v>0.9</v>
      </c>
      <c r="E40" s="74">
        <v>0.9</v>
      </c>
      <c r="F40" s="229" t="s">
        <v>1656</v>
      </c>
      <c r="G40" s="467"/>
      <c r="H40" s="460" t="s">
        <v>7859</v>
      </c>
      <c r="I40" s="461">
        <v>6772.0</v>
      </c>
      <c r="J40" s="458" t="s">
        <v>7827</v>
      </c>
      <c r="K40" s="462"/>
      <c r="L40" s="462">
        <v>6772.0</v>
      </c>
      <c r="M40" s="463" t="s">
        <v>9596</v>
      </c>
    </row>
    <row r="41">
      <c r="A41" s="358" t="s">
        <v>9637</v>
      </c>
      <c r="B41" s="358">
        <v>14590.0</v>
      </c>
      <c r="C41" s="11" t="s">
        <v>9590</v>
      </c>
      <c r="D41" s="74">
        <v>0.9</v>
      </c>
      <c r="E41" s="74">
        <v>0.9</v>
      </c>
      <c r="F41" s="229" t="s">
        <v>1656</v>
      </c>
      <c r="G41" s="467"/>
      <c r="H41" s="183" t="s">
        <v>7860</v>
      </c>
      <c r="I41" s="464">
        <v>3307.0</v>
      </c>
      <c r="J41" s="458" t="s">
        <v>7829</v>
      </c>
      <c r="K41" s="462"/>
      <c r="L41" s="462">
        <v>7008.0</v>
      </c>
      <c r="M41" s="463" t="s">
        <v>9596</v>
      </c>
    </row>
    <row r="42">
      <c r="A42" s="358" t="s">
        <v>9638</v>
      </c>
      <c r="B42" s="358">
        <v>14590.0</v>
      </c>
      <c r="C42" s="11" t="s">
        <v>9590</v>
      </c>
      <c r="D42" s="74">
        <v>0.9</v>
      </c>
      <c r="E42" s="74">
        <v>0.9</v>
      </c>
      <c r="F42" s="229" t="s">
        <v>1656</v>
      </c>
      <c r="G42" s="467"/>
      <c r="H42" s="183" t="s">
        <v>9639</v>
      </c>
      <c r="I42" s="464">
        <v>6675.0</v>
      </c>
      <c r="J42" s="458" t="s">
        <v>7830</v>
      </c>
      <c r="K42" s="462"/>
      <c r="L42" s="462">
        <v>6658.0</v>
      </c>
      <c r="M42" s="463" t="s">
        <v>9596</v>
      </c>
    </row>
    <row r="43">
      <c r="A43" s="358" t="s">
        <v>9640</v>
      </c>
      <c r="B43" s="358">
        <v>14590.0</v>
      </c>
      <c r="C43" s="11" t="s">
        <v>9590</v>
      </c>
      <c r="D43" s="74">
        <v>0.9</v>
      </c>
      <c r="E43" s="74">
        <v>0.9</v>
      </c>
      <c r="F43" s="229" t="s">
        <v>1656</v>
      </c>
      <c r="G43" s="467"/>
      <c r="H43" s="170" t="s">
        <v>9641</v>
      </c>
      <c r="I43" s="461">
        <v>4933.0</v>
      </c>
      <c r="J43" s="458" t="s">
        <v>7831</v>
      </c>
      <c r="K43" s="462"/>
      <c r="L43" s="462">
        <v>663.0</v>
      </c>
      <c r="M43" s="463" t="s">
        <v>9596</v>
      </c>
    </row>
    <row r="44">
      <c r="A44" s="358" t="s">
        <v>9642</v>
      </c>
      <c r="B44" s="358">
        <v>14590.0</v>
      </c>
      <c r="C44" s="11" t="s">
        <v>9590</v>
      </c>
      <c r="D44" s="74">
        <v>0.9</v>
      </c>
      <c r="E44" s="74">
        <v>0.9</v>
      </c>
      <c r="F44" s="229" t="s">
        <v>1656</v>
      </c>
      <c r="G44" s="467"/>
      <c r="H44" s="12" t="s">
        <v>9643</v>
      </c>
      <c r="I44" s="464">
        <v>4933.0</v>
      </c>
      <c r="J44" s="458" t="s">
        <v>7833</v>
      </c>
      <c r="K44" s="462"/>
      <c r="L44" s="462">
        <v>6671.0</v>
      </c>
      <c r="M44" s="463" t="s">
        <v>9596</v>
      </c>
    </row>
    <row r="45">
      <c r="A45" s="358" t="s">
        <v>9644</v>
      </c>
      <c r="B45" s="358">
        <v>14590.0</v>
      </c>
      <c r="C45" s="11" t="s">
        <v>9590</v>
      </c>
      <c r="D45" s="74">
        <v>0.9</v>
      </c>
      <c r="E45" s="74">
        <v>0.9</v>
      </c>
      <c r="F45" s="229" t="s">
        <v>1656</v>
      </c>
      <c r="G45" s="467"/>
      <c r="H45" s="183" t="s">
        <v>7864</v>
      </c>
      <c r="I45" s="464">
        <v>7072.0</v>
      </c>
      <c r="J45" s="458" t="s">
        <v>7834</v>
      </c>
      <c r="K45" s="462"/>
      <c r="L45" s="462">
        <v>6658.0</v>
      </c>
      <c r="M45" s="463" t="s">
        <v>9596</v>
      </c>
    </row>
    <row r="46">
      <c r="A46" s="358" t="s">
        <v>9645</v>
      </c>
      <c r="B46" s="358">
        <v>14590.0</v>
      </c>
      <c r="C46" s="11" t="s">
        <v>9590</v>
      </c>
      <c r="D46" s="74">
        <v>0.9</v>
      </c>
      <c r="E46" s="74">
        <v>0.9</v>
      </c>
      <c r="F46" s="229" t="s">
        <v>1656</v>
      </c>
      <c r="G46" s="467"/>
      <c r="H46" s="183" t="s">
        <v>5645</v>
      </c>
      <c r="I46" s="464">
        <v>7072.0</v>
      </c>
      <c r="J46" s="458" t="s">
        <v>7835</v>
      </c>
      <c r="K46" s="462"/>
      <c r="L46" s="462">
        <v>6658.0</v>
      </c>
      <c r="M46" s="463" t="s">
        <v>9596</v>
      </c>
    </row>
    <row r="47">
      <c r="A47" s="358" t="s">
        <v>9646</v>
      </c>
      <c r="B47" s="358">
        <v>14590.0</v>
      </c>
      <c r="C47" s="11" t="s">
        <v>9590</v>
      </c>
      <c r="D47" s="74">
        <v>0.9</v>
      </c>
      <c r="E47" s="74">
        <v>0.9</v>
      </c>
      <c r="F47" s="229" t="s">
        <v>1656</v>
      </c>
      <c r="G47" s="467"/>
      <c r="H47" s="183" t="s">
        <v>7865</v>
      </c>
      <c r="I47" s="464">
        <v>7072.0</v>
      </c>
      <c r="J47" s="458" t="s">
        <v>7839</v>
      </c>
      <c r="K47" s="462"/>
      <c r="L47" s="462">
        <v>189.0</v>
      </c>
      <c r="M47" s="463" t="s">
        <v>9596</v>
      </c>
    </row>
    <row r="48">
      <c r="A48" s="358" t="s">
        <v>9647</v>
      </c>
      <c r="B48" s="358">
        <v>14590.0</v>
      </c>
      <c r="C48" s="11" t="s">
        <v>9590</v>
      </c>
      <c r="D48" s="74">
        <v>0.9</v>
      </c>
      <c r="E48" s="74">
        <v>0.9</v>
      </c>
      <c r="F48" s="229" t="s">
        <v>1656</v>
      </c>
      <c r="G48" s="467"/>
      <c r="H48" s="183" t="s">
        <v>7866</v>
      </c>
      <c r="I48" s="464">
        <v>7072.0</v>
      </c>
      <c r="J48" s="458" t="s">
        <v>7843</v>
      </c>
      <c r="K48" s="462"/>
      <c r="L48" s="462">
        <v>6998.0</v>
      </c>
      <c r="M48" s="463" t="s">
        <v>9596</v>
      </c>
    </row>
    <row r="49">
      <c r="A49" s="358" t="s">
        <v>9648</v>
      </c>
      <c r="B49" s="358">
        <v>14590.0</v>
      </c>
      <c r="C49" s="11" t="s">
        <v>9590</v>
      </c>
      <c r="D49" s="74">
        <v>0.9</v>
      </c>
      <c r="E49" s="74">
        <v>0.9</v>
      </c>
      <c r="F49" s="229" t="s">
        <v>1656</v>
      </c>
      <c r="G49" s="467"/>
      <c r="H49" s="183" t="s">
        <v>7867</v>
      </c>
      <c r="I49" s="464">
        <v>7072.0</v>
      </c>
      <c r="J49" s="458" t="s">
        <v>7846</v>
      </c>
      <c r="K49" s="462"/>
      <c r="L49" s="462"/>
      <c r="M49" s="463" t="s">
        <v>9596</v>
      </c>
    </row>
    <row r="50">
      <c r="A50" s="358" t="s">
        <v>9649</v>
      </c>
      <c r="B50" s="358">
        <v>14590.0</v>
      </c>
      <c r="C50" s="11" t="s">
        <v>9590</v>
      </c>
      <c r="D50" s="74">
        <v>0.9</v>
      </c>
      <c r="E50" s="74">
        <v>0.9</v>
      </c>
      <c r="F50" s="229" t="s">
        <v>1656</v>
      </c>
      <c r="G50" s="467"/>
      <c r="H50" s="460" t="s">
        <v>7868</v>
      </c>
      <c r="I50" s="461">
        <v>6750.0</v>
      </c>
      <c r="J50" s="458" t="s">
        <v>7847</v>
      </c>
      <c r="K50" s="462"/>
      <c r="L50" s="462"/>
      <c r="M50" s="463" t="s">
        <v>9596</v>
      </c>
    </row>
    <row r="51">
      <c r="A51" s="358" t="s">
        <v>9650</v>
      </c>
      <c r="B51" s="358">
        <v>14590.0</v>
      </c>
      <c r="C51" s="11" t="s">
        <v>9590</v>
      </c>
      <c r="D51" s="74">
        <v>0.9</v>
      </c>
      <c r="E51" s="74">
        <v>0.9</v>
      </c>
      <c r="F51" s="229" t="s">
        <v>1656</v>
      </c>
      <c r="G51" s="467"/>
      <c r="H51" s="460" t="s">
        <v>7869</v>
      </c>
      <c r="I51" s="461">
        <v>6827.0</v>
      </c>
      <c r="J51" s="458" t="s">
        <v>7849</v>
      </c>
      <c r="K51" s="462"/>
      <c r="L51" s="462"/>
      <c r="M51" s="463" t="s">
        <v>9596</v>
      </c>
    </row>
    <row r="52">
      <c r="A52" s="358" t="s">
        <v>9651</v>
      </c>
      <c r="B52" s="358">
        <v>14590.0</v>
      </c>
      <c r="C52" s="11" t="s">
        <v>9590</v>
      </c>
      <c r="D52" s="74">
        <v>0.9</v>
      </c>
      <c r="E52" s="74">
        <v>0.9</v>
      </c>
      <c r="F52" s="229" t="s">
        <v>1656</v>
      </c>
      <c r="G52" s="467"/>
      <c r="H52" s="457" t="s">
        <v>9652</v>
      </c>
      <c r="I52" s="465">
        <v>6658.0</v>
      </c>
      <c r="J52" s="458" t="s">
        <v>7851</v>
      </c>
      <c r="K52" s="462"/>
      <c r="L52" s="462"/>
      <c r="M52" s="463" t="s">
        <v>9596</v>
      </c>
    </row>
    <row r="53">
      <c r="A53" s="358" t="s">
        <v>9653</v>
      </c>
      <c r="B53" s="358">
        <v>14590.0</v>
      </c>
      <c r="C53" s="11" t="s">
        <v>9590</v>
      </c>
      <c r="D53" s="74">
        <v>0.9</v>
      </c>
      <c r="E53" s="74">
        <v>0.9</v>
      </c>
      <c r="F53" s="229" t="s">
        <v>1656</v>
      </c>
      <c r="G53" s="467"/>
      <c r="H53" s="183" t="s">
        <v>9654</v>
      </c>
      <c r="I53" s="464">
        <v>6109.0</v>
      </c>
      <c r="J53" s="458" t="s">
        <v>9655</v>
      </c>
      <c r="K53" s="462"/>
      <c r="L53" s="462"/>
      <c r="M53" s="463" t="s">
        <v>9596</v>
      </c>
    </row>
    <row r="54">
      <c r="A54" s="358" t="s">
        <v>9656</v>
      </c>
      <c r="B54" s="358">
        <v>14590.0</v>
      </c>
      <c r="C54" s="11" t="s">
        <v>9590</v>
      </c>
      <c r="D54" s="74">
        <v>0.9</v>
      </c>
      <c r="E54" s="74">
        <v>0.9</v>
      </c>
      <c r="F54" s="229" t="s">
        <v>1656</v>
      </c>
      <c r="G54" s="467"/>
      <c r="H54" s="183" t="s">
        <v>9657</v>
      </c>
      <c r="I54" s="464">
        <v>6109.0</v>
      </c>
      <c r="J54" s="458" t="s">
        <v>7852</v>
      </c>
      <c r="K54" s="462"/>
      <c r="L54" s="462"/>
      <c r="M54" s="463" t="s">
        <v>9596</v>
      </c>
    </row>
    <row r="55">
      <c r="A55" s="358" t="s">
        <v>9658</v>
      </c>
      <c r="B55" s="358">
        <v>14590.0</v>
      </c>
      <c r="C55" s="11" t="s">
        <v>9590</v>
      </c>
      <c r="D55" s="74">
        <v>0.9</v>
      </c>
      <c r="E55" s="74">
        <v>0.9</v>
      </c>
      <c r="F55" s="229" t="s">
        <v>1656</v>
      </c>
      <c r="G55" s="467"/>
      <c r="H55" s="457" t="s">
        <v>9659</v>
      </c>
      <c r="I55" s="465">
        <v>6658.0</v>
      </c>
      <c r="J55" s="458" t="s">
        <v>7853</v>
      </c>
      <c r="K55" s="462"/>
      <c r="L55" s="462"/>
      <c r="M55" s="463" t="s">
        <v>9596</v>
      </c>
    </row>
    <row r="56">
      <c r="A56" s="358" t="s">
        <v>9660</v>
      </c>
      <c r="B56" s="358">
        <v>14590.0</v>
      </c>
      <c r="C56" s="11" t="s">
        <v>9590</v>
      </c>
      <c r="D56" s="74">
        <v>0.9</v>
      </c>
      <c r="E56" s="74">
        <v>0.9</v>
      </c>
      <c r="F56" s="229" t="s">
        <v>1656</v>
      </c>
      <c r="G56" s="467"/>
      <c r="H56" s="183" t="s">
        <v>9661</v>
      </c>
      <c r="I56" s="464">
        <v>7033.0</v>
      </c>
      <c r="J56" s="458" t="s">
        <v>7854</v>
      </c>
      <c r="K56" s="462"/>
      <c r="L56" s="462"/>
      <c r="M56" s="463" t="s">
        <v>9596</v>
      </c>
    </row>
    <row r="57">
      <c r="A57" s="358" t="s">
        <v>9662</v>
      </c>
      <c r="B57" s="358">
        <v>14590.0</v>
      </c>
      <c r="C57" s="11" t="s">
        <v>9590</v>
      </c>
      <c r="D57" s="74">
        <v>0.9</v>
      </c>
      <c r="E57" s="74">
        <v>0.9</v>
      </c>
      <c r="F57" s="229" t="s">
        <v>1656</v>
      </c>
      <c r="G57" s="467"/>
      <c r="H57" s="183" t="s">
        <v>9663</v>
      </c>
      <c r="I57" s="464">
        <v>7031.0</v>
      </c>
      <c r="J57" s="458" t="s">
        <v>7856</v>
      </c>
      <c r="K57" s="462"/>
      <c r="L57" s="462">
        <v>6675.0</v>
      </c>
      <c r="M57" s="463" t="s">
        <v>9596</v>
      </c>
    </row>
    <row r="58">
      <c r="A58" s="358" t="s">
        <v>9664</v>
      </c>
      <c r="B58" s="358">
        <v>14590.0</v>
      </c>
      <c r="C58" s="11" t="s">
        <v>9590</v>
      </c>
      <c r="D58" s="74">
        <v>0.9</v>
      </c>
      <c r="E58" s="74">
        <v>0.9</v>
      </c>
      <c r="F58" s="229" t="s">
        <v>1656</v>
      </c>
      <c r="G58" s="467"/>
      <c r="H58" s="183" t="s">
        <v>9665</v>
      </c>
      <c r="I58" s="464">
        <v>7168.0</v>
      </c>
      <c r="J58" s="458" t="s">
        <v>9666</v>
      </c>
      <c r="K58" s="462"/>
      <c r="L58" s="462">
        <v>6675.0</v>
      </c>
      <c r="M58" s="463" t="s">
        <v>9596</v>
      </c>
    </row>
    <row r="59">
      <c r="A59" s="358" t="s">
        <v>9667</v>
      </c>
      <c r="B59" s="358">
        <v>14590.0</v>
      </c>
      <c r="C59" s="11" t="s">
        <v>9590</v>
      </c>
      <c r="D59" s="74">
        <v>0.9</v>
      </c>
      <c r="E59" s="74">
        <v>0.9</v>
      </c>
      <c r="F59" s="229" t="s">
        <v>1656</v>
      </c>
      <c r="G59" s="467"/>
      <c r="H59" s="460" t="s">
        <v>9668</v>
      </c>
      <c r="I59" s="461">
        <v>7168.0</v>
      </c>
      <c r="J59" s="458" t="s">
        <v>9669</v>
      </c>
      <c r="K59" s="462"/>
      <c r="L59" s="462">
        <v>7008.0</v>
      </c>
      <c r="M59" s="463" t="s">
        <v>9596</v>
      </c>
    </row>
    <row r="60">
      <c r="A60" s="358" t="s">
        <v>9670</v>
      </c>
      <c r="B60" s="358">
        <v>14590.0</v>
      </c>
      <c r="C60" s="11" t="s">
        <v>9590</v>
      </c>
      <c r="D60" s="74">
        <v>0.9</v>
      </c>
      <c r="E60" s="74">
        <v>0.9</v>
      </c>
      <c r="F60" s="229" t="s">
        <v>1656</v>
      </c>
      <c r="G60" s="467"/>
      <c r="H60" s="460" t="s">
        <v>9671</v>
      </c>
      <c r="I60" s="468">
        <v>6780.0</v>
      </c>
      <c r="J60" s="279" t="s">
        <v>9672</v>
      </c>
      <c r="K60" s="462"/>
      <c r="L60" s="462">
        <v>4933.0</v>
      </c>
      <c r="M60" s="463" t="s">
        <v>9596</v>
      </c>
    </row>
    <row r="61">
      <c r="A61" s="358" t="s">
        <v>9673</v>
      </c>
      <c r="B61" s="358">
        <v>14590.0</v>
      </c>
      <c r="C61" s="11" t="s">
        <v>9590</v>
      </c>
      <c r="D61" s="74">
        <v>0.9</v>
      </c>
      <c r="E61" s="74">
        <v>0.9</v>
      </c>
      <c r="F61" s="229" t="s">
        <v>1656</v>
      </c>
      <c r="G61" s="467"/>
      <c r="H61" s="183" t="s">
        <v>9674</v>
      </c>
      <c r="I61" s="464">
        <v>283.0</v>
      </c>
      <c r="J61" s="469" t="s">
        <v>7861</v>
      </c>
      <c r="K61" s="462"/>
      <c r="L61" s="462">
        <v>7051.0</v>
      </c>
      <c r="M61" s="463" t="s">
        <v>9596</v>
      </c>
    </row>
    <row r="62">
      <c r="A62" s="358" t="s">
        <v>9675</v>
      </c>
      <c r="B62" s="358">
        <v>14590.0</v>
      </c>
      <c r="C62" s="11" t="s">
        <v>9590</v>
      </c>
      <c r="D62" s="74">
        <v>0.9</v>
      </c>
      <c r="E62" s="74">
        <v>0.9</v>
      </c>
      <c r="F62" s="229" t="s">
        <v>1656</v>
      </c>
      <c r="G62" s="467"/>
      <c r="H62" s="460" t="s">
        <v>9676</v>
      </c>
      <c r="I62" s="461">
        <v>7010.0</v>
      </c>
      <c r="J62" s="469" t="s">
        <v>7862</v>
      </c>
      <c r="K62" s="462"/>
      <c r="L62" s="462">
        <v>6658.0</v>
      </c>
      <c r="M62" s="463" t="s">
        <v>9596</v>
      </c>
    </row>
    <row r="63">
      <c r="A63" s="358" t="s">
        <v>9677</v>
      </c>
      <c r="B63" s="358">
        <v>14590.0</v>
      </c>
      <c r="C63" s="11" t="s">
        <v>9590</v>
      </c>
      <c r="D63" s="74">
        <v>0.9</v>
      </c>
      <c r="E63" s="74">
        <v>0.9</v>
      </c>
      <c r="F63" s="229" t="s">
        <v>1656</v>
      </c>
      <c r="G63" s="467"/>
      <c r="H63" s="460" t="s">
        <v>9678</v>
      </c>
      <c r="I63" s="461">
        <v>283.0</v>
      </c>
      <c r="J63" s="469" t="s">
        <v>7863</v>
      </c>
      <c r="K63" s="462"/>
      <c r="L63" s="462">
        <v>6928.0</v>
      </c>
      <c r="M63" s="463" t="s">
        <v>9596</v>
      </c>
    </row>
    <row r="64">
      <c r="A64" s="358" t="s">
        <v>9679</v>
      </c>
      <c r="B64" s="358">
        <v>14590.0</v>
      </c>
      <c r="C64" s="11" t="s">
        <v>9590</v>
      </c>
      <c r="D64" s="74">
        <v>0.9</v>
      </c>
      <c r="E64" s="74">
        <v>0.9</v>
      </c>
      <c r="F64" s="229" t="s">
        <v>1656</v>
      </c>
      <c r="G64" s="467"/>
      <c r="H64" s="183" t="s">
        <v>9680</v>
      </c>
      <c r="I64" s="464">
        <v>283.0</v>
      </c>
      <c r="J64" s="469" t="s">
        <v>9681</v>
      </c>
      <c r="K64" s="462"/>
      <c r="L64" s="462">
        <v>7070.0</v>
      </c>
      <c r="M64" s="463" t="s">
        <v>9596</v>
      </c>
    </row>
    <row r="65">
      <c r="A65" s="358" t="s">
        <v>9682</v>
      </c>
      <c r="B65" s="358">
        <v>14590.0</v>
      </c>
      <c r="C65" s="11" t="s">
        <v>9590</v>
      </c>
      <c r="D65" s="74">
        <v>0.9</v>
      </c>
      <c r="E65" s="74">
        <v>0.9</v>
      </c>
      <c r="F65" s="229" t="s">
        <v>1656</v>
      </c>
      <c r="G65" s="467"/>
      <c r="H65" s="183" t="s">
        <v>9683</v>
      </c>
      <c r="I65" s="464">
        <v>6893.0</v>
      </c>
      <c r="J65" s="469" t="s">
        <v>9684</v>
      </c>
      <c r="K65" s="462"/>
      <c r="L65" s="462">
        <v>7070.0</v>
      </c>
      <c r="M65" s="463" t="s">
        <v>9596</v>
      </c>
    </row>
    <row r="66">
      <c r="A66" s="358" t="s">
        <v>9685</v>
      </c>
      <c r="B66" s="358">
        <v>14590.0</v>
      </c>
      <c r="C66" s="11" t="s">
        <v>9590</v>
      </c>
      <c r="D66" s="74">
        <v>0.9</v>
      </c>
      <c r="E66" s="74">
        <v>0.9</v>
      </c>
      <c r="F66" s="229" t="s">
        <v>1656</v>
      </c>
      <c r="G66" s="467"/>
      <c r="H66" s="457" t="s">
        <v>9686</v>
      </c>
      <c r="I66" s="175">
        <v>7083.0</v>
      </c>
      <c r="J66" s="469" t="s">
        <v>9687</v>
      </c>
      <c r="K66" s="462"/>
      <c r="L66" s="462">
        <v>7084.0</v>
      </c>
      <c r="M66" s="463" t="s">
        <v>9596</v>
      </c>
    </row>
    <row r="67">
      <c r="A67" s="358" t="s">
        <v>9688</v>
      </c>
      <c r="B67" s="358">
        <v>14590.0</v>
      </c>
      <c r="C67" s="11" t="s">
        <v>9590</v>
      </c>
      <c r="D67" s="74">
        <v>0.9</v>
      </c>
      <c r="E67" s="74">
        <v>0.9</v>
      </c>
      <c r="F67" s="229" t="s">
        <v>1656</v>
      </c>
      <c r="G67" s="467"/>
      <c r="H67" s="460" t="s">
        <v>9689</v>
      </c>
      <c r="I67" s="461">
        <v>7129.0</v>
      </c>
      <c r="J67" s="469" t="s">
        <v>9690</v>
      </c>
      <c r="K67" s="462"/>
      <c r="L67" s="462">
        <v>7070.0</v>
      </c>
      <c r="M67" s="463" t="s">
        <v>9596</v>
      </c>
    </row>
    <row r="68">
      <c r="A68" s="358" t="s">
        <v>9691</v>
      </c>
      <c r="B68" s="358">
        <v>14590.0</v>
      </c>
      <c r="C68" s="11" t="s">
        <v>9590</v>
      </c>
      <c r="D68" s="74">
        <v>0.9</v>
      </c>
      <c r="E68" s="74">
        <v>0.9</v>
      </c>
      <c r="F68" s="229" t="s">
        <v>1656</v>
      </c>
      <c r="G68" s="467"/>
      <c r="H68" s="460" t="s">
        <v>9692</v>
      </c>
      <c r="I68" s="461">
        <v>7073.0</v>
      </c>
      <c r="J68" s="469" t="s">
        <v>9693</v>
      </c>
      <c r="K68" s="462"/>
      <c r="L68" s="462">
        <v>283.0</v>
      </c>
      <c r="M68" s="463" t="s">
        <v>9596</v>
      </c>
    </row>
    <row r="69">
      <c r="A69" s="358" t="s">
        <v>9694</v>
      </c>
      <c r="B69" s="358">
        <v>14590.0</v>
      </c>
      <c r="C69" s="11" t="s">
        <v>9590</v>
      </c>
      <c r="D69" s="74">
        <v>0.9</v>
      </c>
      <c r="E69" s="74">
        <v>0.9</v>
      </c>
      <c r="F69" s="229" t="s">
        <v>1656</v>
      </c>
      <c r="G69" s="467"/>
      <c r="H69" s="460" t="s">
        <v>5667</v>
      </c>
      <c r="I69" s="461">
        <v>6965.0</v>
      </c>
      <c r="J69" s="469" t="s">
        <v>9695</v>
      </c>
      <c r="K69" s="462"/>
      <c r="L69" s="462">
        <v>189.0</v>
      </c>
      <c r="M69" s="463" t="s">
        <v>9596</v>
      </c>
    </row>
    <row r="70">
      <c r="A70" s="358" t="s">
        <v>9696</v>
      </c>
      <c r="B70" s="358">
        <v>14590.0</v>
      </c>
      <c r="C70" s="11" t="s">
        <v>9590</v>
      </c>
      <c r="D70" s="74">
        <v>0.9</v>
      </c>
      <c r="E70" s="74">
        <v>0.9</v>
      </c>
      <c r="F70" s="229" t="s">
        <v>1656</v>
      </c>
      <c r="G70" s="467"/>
      <c r="H70" s="457" t="s">
        <v>9697</v>
      </c>
      <c r="I70" s="465">
        <v>7142.0</v>
      </c>
      <c r="J70" s="469" t="s">
        <v>9698</v>
      </c>
      <c r="K70" s="462"/>
      <c r="L70" s="462">
        <v>283.0</v>
      </c>
      <c r="M70" s="463" t="s">
        <v>9596</v>
      </c>
    </row>
    <row r="71">
      <c r="A71" s="358" t="s">
        <v>9699</v>
      </c>
      <c r="B71" s="358">
        <v>14590.0</v>
      </c>
      <c r="C71" s="11" t="s">
        <v>9590</v>
      </c>
      <c r="D71" s="74">
        <v>0.9</v>
      </c>
      <c r="E71" s="74">
        <v>0.9</v>
      </c>
      <c r="F71" s="229" t="s">
        <v>1656</v>
      </c>
      <c r="G71" s="467"/>
      <c r="H71" s="183" t="s">
        <v>9700</v>
      </c>
      <c r="I71" s="464">
        <v>7876.0</v>
      </c>
      <c r="J71" s="469" t="s">
        <v>9701</v>
      </c>
      <c r="K71" s="10"/>
      <c r="L71" s="11">
        <v>6109.0</v>
      </c>
      <c r="M71" s="463" t="s">
        <v>9596</v>
      </c>
    </row>
    <row r="72">
      <c r="A72" s="358" t="s">
        <v>9702</v>
      </c>
      <c r="B72" s="358">
        <v>14590.0</v>
      </c>
      <c r="C72" s="11" t="s">
        <v>9590</v>
      </c>
      <c r="D72" s="74">
        <v>0.9</v>
      </c>
      <c r="E72" s="74">
        <v>0.9</v>
      </c>
      <c r="F72" s="229" t="s">
        <v>1656</v>
      </c>
      <c r="G72" s="467"/>
      <c r="H72" s="460" t="s">
        <v>9703</v>
      </c>
      <c r="I72" s="461">
        <v>7083.0</v>
      </c>
      <c r="J72" s="469" t="s">
        <v>9704</v>
      </c>
      <c r="K72" s="462"/>
      <c r="L72" s="462">
        <v>7283.0</v>
      </c>
      <c r="M72" s="463" t="s">
        <v>9596</v>
      </c>
    </row>
    <row r="73">
      <c r="A73" s="358" t="s">
        <v>9705</v>
      </c>
      <c r="B73" s="358">
        <v>14590.0</v>
      </c>
      <c r="C73" s="11" t="s">
        <v>9590</v>
      </c>
      <c r="D73" s="74">
        <v>0.9</v>
      </c>
      <c r="E73" s="74">
        <v>0.9</v>
      </c>
      <c r="F73" s="229" t="s">
        <v>1656</v>
      </c>
      <c r="G73" s="467"/>
      <c r="H73" s="460" t="s">
        <v>9706</v>
      </c>
      <c r="I73" s="461">
        <v>7123.0</v>
      </c>
      <c r="J73" s="469" t="s">
        <v>9707</v>
      </c>
      <c r="K73" s="462"/>
      <c r="L73" s="462">
        <v>7244.0</v>
      </c>
      <c r="M73" s="463" t="s">
        <v>9596</v>
      </c>
    </row>
    <row r="74">
      <c r="A74" s="358" t="s">
        <v>9708</v>
      </c>
      <c r="B74" s="358">
        <v>14590.0</v>
      </c>
      <c r="C74" s="11" t="s">
        <v>9590</v>
      </c>
      <c r="D74" s="74">
        <v>0.9</v>
      </c>
      <c r="E74" s="74">
        <v>0.9</v>
      </c>
      <c r="F74" s="229" t="s">
        <v>1656</v>
      </c>
      <c r="G74" s="467"/>
      <c r="H74" s="457" t="s">
        <v>9709</v>
      </c>
      <c r="I74" s="465">
        <v>7100.0</v>
      </c>
      <c r="J74" s="469" t="s">
        <v>9710</v>
      </c>
      <c r="K74" s="462"/>
      <c r="L74" s="462">
        <v>7123.0</v>
      </c>
      <c r="M74" s="463" t="s">
        <v>9596</v>
      </c>
    </row>
    <row r="75">
      <c r="A75" s="358" t="s">
        <v>9711</v>
      </c>
      <c r="B75" s="358">
        <v>14590.0</v>
      </c>
      <c r="C75" s="11" t="s">
        <v>9590</v>
      </c>
      <c r="D75" s="74">
        <v>0.9</v>
      </c>
      <c r="E75" s="74">
        <v>0.9</v>
      </c>
      <c r="F75" s="229" t="s">
        <v>1656</v>
      </c>
      <c r="G75" s="467"/>
      <c r="H75" s="457" t="s">
        <v>9712</v>
      </c>
      <c r="I75" s="175">
        <v>8486.0</v>
      </c>
      <c r="J75" s="469" t="s">
        <v>9713</v>
      </c>
      <c r="K75" s="462"/>
      <c r="L75" s="462">
        <v>195.0</v>
      </c>
      <c r="M75" s="463" t="s">
        <v>9596</v>
      </c>
    </row>
    <row r="76">
      <c r="A76" s="358" t="s">
        <v>9714</v>
      </c>
      <c r="B76" s="358">
        <v>14590.0</v>
      </c>
      <c r="C76" s="11" t="s">
        <v>9590</v>
      </c>
      <c r="D76" s="74">
        <v>0.9</v>
      </c>
      <c r="E76" s="74">
        <v>0.9</v>
      </c>
      <c r="F76" s="229" t="s">
        <v>1656</v>
      </c>
      <c r="G76" s="467"/>
      <c r="H76" s="457" t="s">
        <v>9715</v>
      </c>
      <c r="I76" s="175">
        <v>8486.0</v>
      </c>
      <c r="J76" s="469" t="s">
        <v>9716</v>
      </c>
      <c r="K76" s="462"/>
      <c r="L76" s="462">
        <v>9645.0</v>
      </c>
      <c r="M76" s="463" t="s">
        <v>9596</v>
      </c>
    </row>
    <row r="77">
      <c r="A77" s="358" t="s">
        <v>9717</v>
      </c>
      <c r="B77" s="358">
        <v>14590.0</v>
      </c>
      <c r="C77" s="11" t="s">
        <v>9590</v>
      </c>
      <c r="D77" s="74">
        <v>0.9</v>
      </c>
      <c r="E77" s="74">
        <v>0.9</v>
      </c>
      <c r="F77" s="229" t="s">
        <v>1656</v>
      </c>
      <c r="G77" s="467"/>
      <c r="H77" s="460" t="s">
        <v>9718</v>
      </c>
      <c r="I77" s="470">
        <v>7147.0</v>
      </c>
      <c r="J77" s="469" t="s">
        <v>9719</v>
      </c>
      <c r="K77" s="462"/>
      <c r="L77" s="462">
        <v>7055.0</v>
      </c>
      <c r="M77" s="463" t="s">
        <v>9596</v>
      </c>
    </row>
    <row r="78">
      <c r="A78" s="358" t="s">
        <v>9720</v>
      </c>
      <c r="B78" s="358">
        <v>14590.0</v>
      </c>
      <c r="C78" s="11" t="s">
        <v>9590</v>
      </c>
      <c r="D78" s="74">
        <v>0.9</v>
      </c>
      <c r="E78" s="74">
        <v>0.9</v>
      </c>
      <c r="F78" s="229" t="s">
        <v>1656</v>
      </c>
      <c r="G78" s="467"/>
      <c r="H78" s="183" t="s">
        <v>9721</v>
      </c>
      <c r="I78" s="464">
        <v>930.0</v>
      </c>
      <c r="J78" s="469" t="s">
        <v>9722</v>
      </c>
      <c r="K78" s="462"/>
      <c r="L78" s="462">
        <v>7055.0</v>
      </c>
      <c r="M78" s="463" t="s">
        <v>9596</v>
      </c>
    </row>
    <row r="79">
      <c r="A79" s="358" t="s">
        <v>9723</v>
      </c>
      <c r="B79" s="358">
        <v>14590.0</v>
      </c>
      <c r="C79" s="11" t="s">
        <v>9590</v>
      </c>
      <c r="D79" s="74">
        <v>0.9</v>
      </c>
      <c r="E79" s="74">
        <v>0.9</v>
      </c>
      <c r="F79" s="229" t="s">
        <v>1656</v>
      </c>
      <c r="G79" s="467"/>
      <c r="H79" s="183" t="s">
        <v>9724</v>
      </c>
      <c r="I79" s="464">
        <v>7010.0</v>
      </c>
      <c r="J79" s="469" t="s">
        <v>9725</v>
      </c>
      <c r="K79" s="462"/>
      <c r="L79" s="462">
        <v>7055.0</v>
      </c>
      <c r="M79" s="463" t="s">
        <v>9596</v>
      </c>
    </row>
    <row r="80">
      <c r="A80" s="358" t="s">
        <v>9726</v>
      </c>
      <c r="B80" s="358">
        <v>14590.0</v>
      </c>
      <c r="C80" s="11" t="s">
        <v>9590</v>
      </c>
      <c r="D80" s="74">
        <v>0.9</v>
      </c>
      <c r="E80" s="74">
        <v>0.9</v>
      </c>
      <c r="F80" s="229" t="s">
        <v>1656</v>
      </c>
      <c r="G80" s="467"/>
      <c r="H80" s="460" t="s">
        <v>9727</v>
      </c>
      <c r="I80" s="461">
        <v>5389.0</v>
      </c>
      <c r="J80" s="469" t="s">
        <v>9728</v>
      </c>
      <c r="K80" s="462"/>
      <c r="L80" s="462">
        <v>7055.0</v>
      </c>
      <c r="M80" s="463" t="s">
        <v>9596</v>
      </c>
    </row>
    <row r="81">
      <c r="A81" s="358" t="s">
        <v>9729</v>
      </c>
      <c r="B81" s="358">
        <v>14590.0</v>
      </c>
      <c r="C81" s="11" t="s">
        <v>9590</v>
      </c>
      <c r="D81" s="74">
        <v>0.9</v>
      </c>
      <c r="E81" s="74">
        <v>0.9</v>
      </c>
      <c r="F81" s="229" t="s">
        <v>1656</v>
      </c>
      <c r="G81" s="467"/>
      <c r="H81" s="183" t="s">
        <v>9730</v>
      </c>
      <c r="I81" s="464">
        <v>6875.0</v>
      </c>
      <c r="J81" s="469" t="s">
        <v>9731</v>
      </c>
      <c r="K81" s="471"/>
      <c r="L81" s="471">
        <v>6697.0</v>
      </c>
      <c r="M81" s="463" t="s">
        <v>9596</v>
      </c>
    </row>
    <row r="82">
      <c r="A82" s="358" t="s">
        <v>9732</v>
      </c>
      <c r="B82" s="358">
        <v>14590.0</v>
      </c>
      <c r="C82" s="11" t="s">
        <v>9590</v>
      </c>
      <c r="D82" s="74">
        <v>0.9</v>
      </c>
      <c r="E82" s="74">
        <v>0.9</v>
      </c>
      <c r="F82" s="229" t="s">
        <v>1656</v>
      </c>
      <c r="G82" s="467"/>
      <c r="H82" s="457" t="s">
        <v>9733</v>
      </c>
      <c r="I82" s="465">
        <v>7104.0</v>
      </c>
      <c r="J82" s="469" t="s">
        <v>9734</v>
      </c>
      <c r="K82" s="462"/>
      <c r="L82" s="462">
        <v>6989.0</v>
      </c>
      <c r="M82" s="463" t="s">
        <v>9596</v>
      </c>
    </row>
    <row r="83">
      <c r="A83" s="358" t="s">
        <v>9735</v>
      </c>
      <c r="B83" s="358">
        <v>14590.0</v>
      </c>
      <c r="C83" s="11" t="s">
        <v>9590</v>
      </c>
      <c r="D83" s="74">
        <v>0.9</v>
      </c>
      <c r="E83" s="74">
        <v>0.9</v>
      </c>
      <c r="F83" s="229" t="s">
        <v>1656</v>
      </c>
      <c r="G83" s="467"/>
      <c r="H83" s="183" t="s">
        <v>9736</v>
      </c>
      <c r="I83" s="464">
        <v>7073.0</v>
      </c>
      <c r="J83" s="469" t="s">
        <v>9737</v>
      </c>
      <c r="K83" s="462"/>
      <c r="L83" s="462">
        <v>6658.0</v>
      </c>
      <c r="M83" s="463" t="s">
        <v>9596</v>
      </c>
    </row>
    <row r="84">
      <c r="A84" s="358" t="s">
        <v>9738</v>
      </c>
      <c r="B84" s="358">
        <v>14590.0</v>
      </c>
      <c r="C84" s="11" t="s">
        <v>9590</v>
      </c>
      <c r="D84" s="74">
        <v>0.9</v>
      </c>
      <c r="E84" s="74">
        <v>0.9</v>
      </c>
      <c r="F84" s="229" t="s">
        <v>1656</v>
      </c>
      <c r="G84" s="467"/>
      <c r="H84" s="457" t="s">
        <v>9739</v>
      </c>
      <c r="I84" s="465">
        <v>6736.0</v>
      </c>
      <c r="J84" s="469" t="s">
        <v>9740</v>
      </c>
      <c r="K84" s="462"/>
      <c r="L84" s="462">
        <v>7055.0</v>
      </c>
      <c r="M84" s="463" t="s">
        <v>9596</v>
      </c>
    </row>
    <row r="85">
      <c r="A85" s="358" t="s">
        <v>9741</v>
      </c>
      <c r="B85" s="358">
        <v>14590.0</v>
      </c>
      <c r="C85" s="11" t="s">
        <v>9590</v>
      </c>
      <c r="D85" s="74">
        <v>0.9</v>
      </c>
      <c r="E85" s="74">
        <v>0.9</v>
      </c>
      <c r="F85" s="229" t="s">
        <v>1656</v>
      </c>
      <c r="G85" s="467"/>
      <c r="H85" s="460" t="s">
        <v>9742</v>
      </c>
      <c r="I85" s="461">
        <v>6866.0</v>
      </c>
      <c r="J85" s="469" t="s">
        <v>9743</v>
      </c>
      <c r="K85" s="462"/>
      <c r="L85" s="462">
        <v>6133.0</v>
      </c>
      <c r="M85" s="463" t="s">
        <v>9596</v>
      </c>
    </row>
    <row r="86">
      <c r="A86" s="358" t="s">
        <v>9744</v>
      </c>
      <c r="B86" s="358">
        <v>14590.0</v>
      </c>
      <c r="C86" s="11" t="s">
        <v>9590</v>
      </c>
      <c r="D86" s="74">
        <v>0.9</v>
      </c>
      <c r="E86" s="74">
        <v>0.9</v>
      </c>
      <c r="F86" s="229" t="s">
        <v>1656</v>
      </c>
      <c r="G86" s="467"/>
      <c r="H86" s="457" t="s">
        <v>9745</v>
      </c>
      <c r="I86" s="465">
        <v>6774.0</v>
      </c>
      <c r="J86" s="469" t="s">
        <v>9746</v>
      </c>
      <c r="K86" s="462"/>
      <c r="L86" s="462">
        <v>6928.0</v>
      </c>
      <c r="M86" s="463" t="s">
        <v>9596</v>
      </c>
    </row>
    <row r="87">
      <c r="A87" s="358" t="s">
        <v>9747</v>
      </c>
      <c r="B87" s="358">
        <v>14590.0</v>
      </c>
      <c r="C87" s="11" t="s">
        <v>9590</v>
      </c>
      <c r="D87" s="74">
        <v>0.9</v>
      </c>
      <c r="E87" s="74">
        <v>0.9</v>
      </c>
      <c r="F87" s="229" t="s">
        <v>1656</v>
      </c>
      <c r="G87" s="467"/>
      <c r="H87" s="457" t="s">
        <v>9748</v>
      </c>
      <c r="I87" s="465">
        <v>6891.0</v>
      </c>
      <c r="J87" s="469" t="s">
        <v>9749</v>
      </c>
      <c r="K87" s="462"/>
      <c r="L87" s="462">
        <v>283.0</v>
      </c>
      <c r="M87" s="463" t="s">
        <v>9596</v>
      </c>
    </row>
    <row r="88">
      <c r="A88" s="358" t="s">
        <v>9750</v>
      </c>
      <c r="B88" s="358">
        <v>14590.0</v>
      </c>
      <c r="C88" s="11" t="s">
        <v>9590</v>
      </c>
      <c r="D88" s="74">
        <v>0.9</v>
      </c>
      <c r="E88" s="74">
        <v>0.9</v>
      </c>
      <c r="F88" s="229" t="s">
        <v>1656</v>
      </c>
      <c r="G88" s="467"/>
      <c r="H88" s="460" t="s">
        <v>9751</v>
      </c>
      <c r="I88" s="170">
        <v>6658.0</v>
      </c>
      <c r="J88" s="469" t="s">
        <v>9752</v>
      </c>
      <c r="K88" s="462"/>
      <c r="L88" s="462">
        <v>283.0</v>
      </c>
      <c r="M88" s="463" t="s">
        <v>9596</v>
      </c>
    </row>
    <row r="89">
      <c r="A89" s="358" t="s">
        <v>9753</v>
      </c>
      <c r="B89" s="358">
        <v>14590.0</v>
      </c>
      <c r="C89" s="11" t="s">
        <v>9590</v>
      </c>
      <c r="D89" s="74">
        <v>0.9</v>
      </c>
      <c r="E89" s="74">
        <v>0.9</v>
      </c>
      <c r="F89" s="229" t="s">
        <v>1656</v>
      </c>
      <c r="G89" s="467"/>
      <c r="H89" s="457" t="s">
        <v>9754</v>
      </c>
      <c r="I89" s="465">
        <v>5458.0</v>
      </c>
      <c r="J89" s="469" t="s">
        <v>9755</v>
      </c>
      <c r="K89" s="462"/>
      <c r="L89" s="462">
        <v>6770.0</v>
      </c>
      <c r="M89" s="463" t="s">
        <v>9596</v>
      </c>
    </row>
    <row r="90">
      <c r="A90" s="358" t="s">
        <v>9756</v>
      </c>
      <c r="B90" s="358">
        <v>14590.0</v>
      </c>
      <c r="C90" s="11" t="s">
        <v>9590</v>
      </c>
      <c r="D90" s="74">
        <v>0.9</v>
      </c>
      <c r="E90" s="74">
        <v>0.9</v>
      </c>
      <c r="F90" s="229" t="s">
        <v>1656</v>
      </c>
      <c r="G90" s="467"/>
      <c r="H90" s="457" t="s">
        <v>9757</v>
      </c>
      <c r="I90" s="465">
        <v>5458.0</v>
      </c>
      <c r="J90" s="469" t="s">
        <v>9758</v>
      </c>
      <c r="K90" s="462"/>
      <c r="L90" s="462">
        <v>136.0</v>
      </c>
      <c r="M90" s="463" t="s">
        <v>9596</v>
      </c>
    </row>
    <row r="91">
      <c r="A91" s="358" t="s">
        <v>9759</v>
      </c>
      <c r="B91" s="358">
        <v>14590.0</v>
      </c>
      <c r="C91" s="11" t="s">
        <v>9590</v>
      </c>
      <c r="D91" s="74">
        <v>0.9</v>
      </c>
      <c r="E91" s="74">
        <v>0.9</v>
      </c>
      <c r="F91" s="229" t="s">
        <v>1656</v>
      </c>
      <c r="G91" s="467"/>
      <c r="H91" s="457" t="s">
        <v>9760</v>
      </c>
      <c r="I91" s="465">
        <v>5458.0</v>
      </c>
      <c r="J91" s="469" t="s">
        <v>9761</v>
      </c>
      <c r="K91" s="471"/>
      <c r="L91" s="471">
        <v>6697.0</v>
      </c>
      <c r="M91" s="463" t="s">
        <v>9596</v>
      </c>
    </row>
    <row r="92">
      <c r="A92" s="358" t="s">
        <v>9762</v>
      </c>
      <c r="B92" s="358">
        <v>14590.0</v>
      </c>
      <c r="C92" s="11" t="s">
        <v>9590</v>
      </c>
      <c r="D92" s="74">
        <v>0.9</v>
      </c>
      <c r="E92" s="74">
        <v>0.9</v>
      </c>
      <c r="F92" s="229" t="s">
        <v>1656</v>
      </c>
      <c r="G92" s="467"/>
      <c r="H92" s="460" t="s">
        <v>9763</v>
      </c>
      <c r="I92" s="461">
        <v>7062.0</v>
      </c>
      <c r="J92" s="469" t="s">
        <v>9764</v>
      </c>
      <c r="K92" s="471"/>
      <c r="L92" s="471">
        <v>6697.0</v>
      </c>
      <c r="M92" s="463" t="s">
        <v>9596</v>
      </c>
    </row>
    <row r="93">
      <c r="A93" s="358" t="s">
        <v>9765</v>
      </c>
      <c r="B93" s="358">
        <v>14590.0</v>
      </c>
      <c r="C93" s="11" t="s">
        <v>9590</v>
      </c>
      <c r="D93" s="74">
        <v>0.9</v>
      </c>
      <c r="E93" s="74">
        <v>0.9</v>
      </c>
      <c r="F93" s="229" t="s">
        <v>1656</v>
      </c>
      <c r="G93" s="467"/>
      <c r="H93" s="460" t="s">
        <v>9766</v>
      </c>
      <c r="I93" s="461">
        <v>6530.0</v>
      </c>
      <c r="J93" s="469" t="s">
        <v>9767</v>
      </c>
      <c r="K93" s="471"/>
      <c r="L93" s="471">
        <v>6697.0</v>
      </c>
      <c r="M93" s="463" t="s">
        <v>9596</v>
      </c>
    </row>
    <row r="94">
      <c r="A94" s="358" t="s">
        <v>9768</v>
      </c>
      <c r="B94" s="358">
        <v>14590.0</v>
      </c>
      <c r="C94" s="11" t="s">
        <v>9590</v>
      </c>
      <c r="D94" s="74">
        <v>0.9</v>
      </c>
      <c r="E94" s="74">
        <v>0.9</v>
      </c>
      <c r="F94" s="229" t="s">
        <v>1656</v>
      </c>
      <c r="G94" s="467"/>
      <c r="H94" s="460" t="s">
        <v>9769</v>
      </c>
      <c r="I94" s="461">
        <v>7142.0</v>
      </c>
      <c r="J94" s="469" t="s">
        <v>9770</v>
      </c>
      <c r="K94" s="471"/>
      <c r="L94" s="471">
        <v>6697.0</v>
      </c>
      <c r="M94" s="463" t="s">
        <v>9596</v>
      </c>
    </row>
    <row r="95">
      <c r="A95" s="358" t="s">
        <v>9771</v>
      </c>
      <c r="B95" s="358">
        <v>14590.0</v>
      </c>
      <c r="C95" s="11" t="s">
        <v>9590</v>
      </c>
      <c r="D95" s="74">
        <v>0.9</v>
      </c>
      <c r="E95" s="74">
        <v>0.9</v>
      </c>
      <c r="F95" s="229" t="s">
        <v>1656</v>
      </c>
      <c r="G95" s="467"/>
      <c r="H95" s="460" t="s">
        <v>9772</v>
      </c>
      <c r="I95" s="461">
        <v>7023.0</v>
      </c>
      <c r="J95" s="469" t="s">
        <v>9773</v>
      </c>
      <c r="K95" s="471"/>
      <c r="L95" s="471">
        <v>6697.0</v>
      </c>
      <c r="M95" s="463" t="s">
        <v>9596</v>
      </c>
    </row>
    <row r="96">
      <c r="A96" s="358" t="s">
        <v>9774</v>
      </c>
      <c r="B96" s="358">
        <v>14590.0</v>
      </c>
      <c r="C96" s="11" t="s">
        <v>9590</v>
      </c>
      <c r="D96" s="74">
        <v>0.9</v>
      </c>
      <c r="E96" s="74">
        <v>0.9</v>
      </c>
      <c r="F96" s="229" t="s">
        <v>1656</v>
      </c>
      <c r="G96" s="467"/>
      <c r="H96" s="183" t="s">
        <v>9775</v>
      </c>
      <c r="I96" s="472">
        <v>6802.0</v>
      </c>
      <c r="J96" s="469" t="s">
        <v>9776</v>
      </c>
      <c r="K96" s="462"/>
      <c r="L96" s="462">
        <v>7113.0</v>
      </c>
      <c r="M96" s="463" t="s">
        <v>9596</v>
      </c>
    </row>
    <row r="97">
      <c r="A97" s="358" t="s">
        <v>9777</v>
      </c>
      <c r="B97" s="358">
        <v>14590.0</v>
      </c>
      <c r="C97" s="11" t="s">
        <v>9590</v>
      </c>
      <c r="D97" s="74">
        <v>0.9</v>
      </c>
      <c r="E97" s="74">
        <v>0.9</v>
      </c>
      <c r="F97" s="229" t="s">
        <v>1656</v>
      </c>
      <c r="G97" s="467"/>
      <c r="H97" s="457" t="s">
        <v>9778</v>
      </c>
      <c r="I97" s="465">
        <v>5389.0</v>
      </c>
      <c r="J97" s="469" t="s">
        <v>9779</v>
      </c>
      <c r="K97" s="462"/>
      <c r="L97" s="462">
        <v>6770.0</v>
      </c>
      <c r="M97" s="463" t="s">
        <v>9596</v>
      </c>
    </row>
    <row r="98">
      <c r="A98" s="358" t="s">
        <v>9780</v>
      </c>
      <c r="B98" s="358">
        <v>14590.0</v>
      </c>
      <c r="C98" s="11" t="s">
        <v>9590</v>
      </c>
      <c r="D98" s="74">
        <v>0.9</v>
      </c>
      <c r="E98" s="74">
        <v>0.9</v>
      </c>
      <c r="F98" s="229" t="s">
        <v>1656</v>
      </c>
      <c r="G98" s="467"/>
      <c r="H98" s="473" t="s">
        <v>9781</v>
      </c>
      <c r="I98" s="461">
        <v>6133.0</v>
      </c>
      <c r="J98" s="469" t="s">
        <v>9782</v>
      </c>
      <c r="K98" s="462"/>
      <c r="L98" s="462">
        <v>6770.0</v>
      </c>
      <c r="M98" s="463" t="s">
        <v>9596</v>
      </c>
    </row>
    <row r="99">
      <c r="A99" s="358" t="s">
        <v>9783</v>
      </c>
      <c r="B99" s="358">
        <v>14590.0</v>
      </c>
      <c r="C99" s="11" t="s">
        <v>9590</v>
      </c>
      <c r="D99" s="74">
        <v>0.9</v>
      </c>
      <c r="E99" s="74">
        <v>0.9</v>
      </c>
      <c r="F99" s="229" t="s">
        <v>1656</v>
      </c>
      <c r="G99" s="467"/>
      <c r="H99" s="474" t="s">
        <v>9784</v>
      </c>
      <c r="I99" s="465">
        <v>6133.0</v>
      </c>
      <c r="J99" s="469" t="s">
        <v>9785</v>
      </c>
      <c r="K99" s="462"/>
      <c r="L99" s="462">
        <v>6770.0</v>
      </c>
      <c r="M99" s="463" t="s">
        <v>9596</v>
      </c>
    </row>
    <row r="100">
      <c r="A100" s="358" t="s">
        <v>9786</v>
      </c>
      <c r="B100" s="358">
        <v>14590.0</v>
      </c>
      <c r="C100" s="11" t="s">
        <v>9590</v>
      </c>
      <c r="D100" s="74">
        <v>0.9</v>
      </c>
      <c r="E100" s="74">
        <v>0.9</v>
      </c>
      <c r="F100" s="229" t="s">
        <v>1656</v>
      </c>
      <c r="G100" s="467"/>
      <c r="H100" s="473" t="s">
        <v>9787</v>
      </c>
      <c r="I100" s="461">
        <v>6133.0</v>
      </c>
      <c r="J100" s="469" t="s">
        <v>9788</v>
      </c>
      <c r="K100" s="462"/>
      <c r="L100" s="462">
        <v>6530.0</v>
      </c>
      <c r="M100" s="463" t="s">
        <v>9596</v>
      </c>
    </row>
    <row r="101">
      <c r="A101" s="358" t="s">
        <v>9789</v>
      </c>
      <c r="B101" s="358">
        <v>14590.0</v>
      </c>
      <c r="C101" s="11" t="s">
        <v>9590</v>
      </c>
      <c r="D101" s="74">
        <v>0.9</v>
      </c>
      <c r="E101" s="74">
        <v>0.9</v>
      </c>
      <c r="F101" s="229" t="s">
        <v>1656</v>
      </c>
      <c r="G101" s="467"/>
      <c r="H101" s="473" t="s">
        <v>9790</v>
      </c>
      <c r="I101" s="461">
        <v>6133.0</v>
      </c>
      <c r="J101" s="469" t="s">
        <v>9791</v>
      </c>
      <c r="K101" s="462"/>
      <c r="L101" s="462">
        <v>6133.0</v>
      </c>
      <c r="M101" s="463" t="s">
        <v>9596</v>
      </c>
    </row>
    <row r="102">
      <c r="A102" s="358" t="s">
        <v>9792</v>
      </c>
      <c r="B102" s="358">
        <v>14659.0</v>
      </c>
      <c r="C102" s="11" t="s">
        <v>9590</v>
      </c>
      <c r="D102" s="475">
        <v>0.78</v>
      </c>
      <c r="E102" s="475">
        <v>0.78</v>
      </c>
      <c r="F102" s="229" t="s">
        <v>1656</v>
      </c>
      <c r="G102" s="467"/>
      <c r="H102" s="474" t="s">
        <v>9793</v>
      </c>
      <c r="I102" s="465">
        <v>6658.0</v>
      </c>
      <c r="J102" s="469" t="s">
        <v>9794</v>
      </c>
      <c r="K102" s="462"/>
      <c r="L102" s="462">
        <v>6530.0</v>
      </c>
      <c r="M102" s="463" t="s">
        <v>9596</v>
      </c>
    </row>
    <row r="103">
      <c r="A103" s="358" t="s">
        <v>9795</v>
      </c>
      <c r="B103" s="358">
        <v>6903.0</v>
      </c>
      <c r="C103" s="11" t="s">
        <v>9590</v>
      </c>
      <c r="D103" s="475">
        <v>0.78</v>
      </c>
      <c r="E103" s="475">
        <v>0.78</v>
      </c>
      <c r="F103" s="229" t="s">
        <v>1656</v>
      </c>
      <c r="G103" s="467"/>
      <c r="H103" s="474" t="s">
        <v>9796</v>
      </c>
      <c r="I103" s="465">
        <v>6658.0</v>
      </c>
      <c r="J103" s="469" t="s">
        <v>9797</v>
      </c>
      <c r="K103" s="462"/>
      <c r="L103" s="462">
        <v>6133.0</v>
      </c>
      <c r="M103" s="463" t="s">
        <v>9596</v>
      </c>
    </row>
    <row r="104">
      <c r="A104" s="358" t="s">
        <v>9798</v>
      </c>
      <c r="B104" s="358">
        <v>14025.0</v>
      </c>
      <c r="C104" s="11" t="s">
        <v>9590</v>
      </c>
      <c r="D104" s="475">
        <v>0.78</v>
      </c>
      <c r="E104" s="475">
        <v>0.78</v>
      </c>
      <c r="F104" s="229" t="s">
        <v>1656</v>
      </c>
      <c r="G104" s="467"/>
      <c r="H104" s="474" t="s">
        <v>9799</v>
      </c>
      <c r="I104" s="465">
        <v>6658.0</v>
      </c>
      <c r="J104" s="469" t="s">
        <v>9800</v>
      </c>
      <c r="K104" s="462"/>
      <c r="L104" s="462">
        <v>6133.0</v>
      </c>
      <c r="M104" s="463" t="s">
        <v>9596</v>
      </c>
    </row>
    <row r="105">
      <c r="A105" s="358" t="s">
        <v>9801</v>
      </c>
      <c r="B105" s="358">
        <v>14590.0</v>
      </c>
      <c r="C105" s="11" t="s">
        <v>9590</v>
      </c>
      <c r="D105" s="74">
        <v>0.9</v>
      </c>
      <c r="E105" s="74">
        <v>0.9</v>
      </c>
      <c r="F105" s="229" t="s">
        <v>1656</v>
      </c>
      <c r="G105" s="467"/>
      <c r="H105" s="476" t="s">
        <v>9802</v>
      </c>
      <c r="I105" s="464">
        <v>6658.0</v>
      </c>
      <c r="J105" s="469" t="s">
        <v>9803</v>
      </c>
      <c r="K105" s="462"/>
      <c r="L105" s="462">
        <v>6133.0</v>
      </c>
      <c r="M105" s="463" t="s">
        <v>9596</v>
      </c>
    </row>
    <row r="106">
      <c r="A106" s="358" t="s">
        <v>9804</v>
      </c>
      <c r="B106" s="358">
        <v>14590.0</v>
      </c>
      <c r="C106" s="11" t="s">
        <v>9590</v>
      </c>
      <c r="D106" s="74">
        <v>0.9</v>
      </c>
      <c r="E106" s="74">
        <v>0.9</v>
      </c>
      <c r="F106" s="229" t="s">
        <v>1656</v>
      </c>
      <c r="G106" s="467"/>
      <c r="H106" s="476" t="s">
        <v>9805</v>
      </c>
      <c r="I106" s="464">
        <v>6658.0</v>
      </c>
      <c r="J106" s="469" t="s">
        <v>9806</v>
      </c>
      <c r="K106" s="462"/>
      <c r="L106" s="462">
        <v>4933.0</v>
      </c>
      <c r="M106" s="463" t="s">
        <v>9596</v>
      </c>
    </row>
    <row r="107">
      <c r="A107" s="358" t="s">
        <v>9807</v>
      </c>
      <c r="B107" s="358">
        <v>14590.0</v>
      </c>
      <c r="C107" s="11" t="s">
        <v>9590</v>
      </c>
      <c r="D107" s="74">
        <v>0.9</v>
      </c>
      <c r="E107" s="74">
        <v>0.9</v>
      </c>
      <c r="F107" s="229" t="s">
        <v>1656</v>
      </c>
      <c r="G107" s="467"/>
      <c r="H107" s="473" t="s">
        <v>9808</v>
      </c>
      <c r="I107" s="461">
        <v>6658.0</v>
      </c>
      <c r="J107" s="279" t="s">
        <v>1956</v>
      </c>
      <c r="K107" s="462"/>
      <c r="L107" s="462">
        <v>7055.0</v>
      </c>
      <c r="M107" s="463" t="s">
        <v>9596</v>
      </c>
    </row>
    <row r="108">
      <c r="A108" s="358" t="s">
        <v>9809</v>
      </c>
      <c r="B108" s="358">
        <v>12553.0</v>
      </c>
      <c r="C108" s="11" t="s">
        <v>9590</v>
      </c>
      <c r="D108" s="475">
        <v>0.78</v>
      </c>
      <c r="E108" s="475">
        <v>0.78</v>
      </c>
      <c r="F108" s="229" t="s">
        <v>1656</v>
      </c>
      <c r="G108" s="467"/>
      <c r="H108" s="476" t="s">
        <v>9810</v>
      </c>
      <c r="I108" s="464">
        <v>6658.0</v>
      </c>
      <c r="J108" s="279" t="s">
        <v>9811</v>
      </c>
      <c r="K108" s="462"/>
      <c r="L108" s="462">
        <v>4933.0</v>
      </c>
      <c r="M108" s="463" t="s">
        <v>9596</v>
      </c>
    </row>
    <row r="109">
      <c r="A109" s="358" t="s">
        <v>9812</v>
      </c>
      <c r="B109" s="358">
        <v>14590.0</v>
      </c>
      <c r="C109" s="11" t="s">
        <v>9590</v>
      </c>
      <c r="D109" s="74">
        <v>0.9</v>
      </c>
      <c r="E109" s="74">
        <v>0.9</v>
      </c>
      <c r="F109" s="229" t="s">
        <v>1656</v>
      </c>
      <c r="G109" s="467"/>
      <c r="H109" s="476" t="s">
        <v>9813</v>
      </c>
      <c r="I109" s="464">
        <v>6658.0</v>
      </c>
      <c r="J109" s="279" t="s">
        <v>9814</v>
      </c>
      <c r="K109" s="462"/>
      <c r="L109" s="462">
        <v>4933.0</v>
      </c>
      <c r="M109" s="463" t="s">
        <v>9596</v>
      </c>
    </row>
    <row r="110">
      <c r="A110" s="358" t="s">
        <v>9815</v>
      </c>
      <c r="B110" s="358">
        <v>14590.0</v>
      </c>
      <c r="C110" s="11" t="s">
        <v>9590</v>
      </c>
      <c r="D110" s="74">
        <v>0.9</v>
      </c>
      <c r="E110" s="74">
        <v>0.9</v>
      </c>
      <c r="F110" s="229" t="s">
        <v>1656</v>
      </c>
      <c r="G110" s="467"/>
      <c r="H110" s="476" t="s">
        <v>9816</v>
      </c>
      <c r="I110" s="464">
        <v>6658.0</v>
      </c>
      <c r="J110" s="279" t="s">
        <v>9817</v>
      </c>
      <c r="K110" s="462"/>
      <c r="L110" s="462">
        <v>4933.0</v>
      </c>
      <c r="M110" s="463" t="s">
        <v>9596</v>
      </c>
    </row>
    <row r="111">
      <c r="A111" s="358" t="s">
        <v>9818</v>
      </c>
      <c r="B111" s="477">
        <v>14594.0</v>
      </c>
      <c r="C111" s="11" t="s">
        <v>9590</v>
      </c>
      <c r="D111" s="475">
        <v>0.78</v>
      </c>
      <c r="E111" s="475">
        <v>0.78</v>
      </c>
      <c r="F111" s="229" t="s">
        <v>1656</v>
      </c>
      <c r="G111" s="467"/>
      <c r="H111" s="473" t="s">
        <v>9819</v>
      </c>
      <c r="I111" s="461">
        <v>6658.0</v>
      </c>
      <c r="J111" s="279" t="s">
        <v>9820</v>
      </c>
      <c r="K111" s="462"/>
      <c r="L111" s="462">
        <v>6133.0</v>
      </c>
      <c r="M111" s="463" t="s">
        <v>9596</v>
      </c>
    </row>
    <row r="112">
      <c r="A112" s="358" t="s">
        <v>9821</v>
      </c>
      <c r="B112" s="358">
        <v>14590.0</v>
      </c>
      <c r="C112" s="11" t="s">
        <v>9590</v>
      </c>
      <c r="D112" s="74">
        <v>0.9</v>
      </c>
      <c r="E112" s="74">
        <v>0.9</v>
      </c>
      <c r="F112" s="229" t="s">
        <v>1656</v>
      </c>
      <c r="G112" s="467"/>
      <c r="H112" s="473" t="s">
        <v>9822</v>
      </c>
      <c r="I112" s="461">
        <v>6658.0</v>
      </c>
      <c r="J112" s="279" t="s">
        <v>9823</v>
      </c>
      <c r="K112" s="462"/>
      <c r="L112" s="462">
        <v>6133.0</v>
      </c>
      <c r="M112" s="463" t="s">
        <v>9596</v>
      </c>
    </row>
    <row r="113">
      <c r="A113" s="358" t="s">
        <v>9824</v>
      </c>
      <c r="B113" s="358">
        <v>14590.0</v>
      </c>
      <c r="C113" s="11" t="s">
        <v>9590</v>
      </c>
      <c r="D113" s="74">
        <v>0.9</v>
      </c>
      <c r="E113" s="74">
        <v>0.9</v>
      </c>
      <c r="F113" s="229" t="s">
        <v>1656</v>
      </c>
      <c r="G113" s="467"/>
      <c r="H113" s="478" t="s">
        <v>9825</v>
      </c>
      <c r="I113" s="461">
        <v>6771.0</v>
      </c>
      <c r="J113" s="279" t="s">
        <v>9826</v>
      </c>
      <c r="K113" s="462"/>
      <c r="L113" s="462">
        <v>6133.0</v>
      </c>
      <c r="M113" s="463" t="s">
        <v>9596</v>
      </c>
    </row>
    <row r="114">
      <c r="A114" s="358" t="s">
        <v>9827</v>
      </c>
      <c r="B114" s="358">
        <v>14590.0</v>
      </c>
      <c r="C114" s="11" t="s">
        <v>9590</v>
      </c>
      <c r="D114" s="74">
        <v>0.9</v>
      </c>
      <c r="E114" s="74">
        <v>0.9</v>
      </c>
      <c r="F114" s="229" t="s">
        <v>1656</v>
      </c>
      <c r="G114" s="467"/>
      <c r="H114" s="175" t="s">
        <v>27</v>
      </c>
      <c r="I114" s="465">
        <v>2345.0</v>
      </c>
      <c r="J114" s="279" t="s">
        <v>9</v>
      </c>
      <c r="K114" s="462"/>
      <c r="L114" s="462">
        <v>6671.0</v>
      </c>
      <c r="M114" s="463" t="s">
        <v>9596</v>
      </c>
    </row>
    <row r="115">
      <c r="A115" s="358" t="s">
        <v>9828</v>
      </c>
      <c r="B115" s="358">
        <v>14590.0</v>
      </c>
      <c r="C115" s="11" t="s">
        <v>9590</v>
      </c>
      <c r="D115" s="74">
        <v>0.9</v>
      </c>
      <c r="E115" s="74">
        <v>0.9</v>
      </c>
      <c r="F115" s="229" t="s">
        <v>1656</v>
      </c>
      <c r="G115" s="467"/>
      <c r="H115" s="12" t="s">
        <v>6274</v>
      </c>
      <c r="I115" s="464">
        <v>6675.0</v>
      </c>
      <c r="J115" s="279" t="s">
        <v>1959</v>
      </c>
      <c r="K115" s="462"/>
      <c r="L115" s="462">
        <v>7132.0</v>
      </c>
      <c r="M115" s="463" t="s">
        <v>9596</v>
      </c>
    </row>
    <row r="116">
      <c r="A116" s="358" t="s">
        <v>9829</v>
      </c>
      <c r="B116" s="358">
        <v>14590.0</v>
      </c>
      <c r="C116" s="11" t="s">
        <v>9590</v>
      </c>
      <c r="D116" s="74">
        <v>0.9</v>
      </c>
      <c r="E116" s="74">
        <v>0.9</v>
      </c>
      <c r="F116" s="229" t="s">
        <v>1656</v>
      </c>
      <c r="G116" s="467"/>
      <c r="H116" s="170" t="s">
        <v>9830</v>
      </c>
      <c r="I116" s="461">
        <v>6133.0</v>
      </c>
      <c r="J116" s="279" t="s">
        <v>9462</v>
      </c>
      <c r="K116" s="462"/>
      <c r="L116" s="462">
        <v>6893.0</v>
      </c>
      <c r="M116" s="463" t="s">
        <v>9596</v>
      </c>
    </row>
    <row r="117">
      <c r="A117" s="358" t="s">
        <v>9831</v>
      </c>
      <c r="B117" s="358">
        <v>14590.0</v>
      </c>
      <c r="C117" s="11" t="s">
        <v>9590</v>
      </c>
      <c r="D117" s="74">
        <v>0.9</v>
      </c>
      <c r="E117" s="74">
        <v>0.9</v>
      </c>
      <c r="F117" s="229" t="s">
        <v>1656</v>
      </c>
      <c r="G117" s="467"/>
      <c r="H117" s="170" t="s">
        <v>9832</v>
      </c>
      <c r="I117" s="465">
        <v>5389.0</v>
      </c>
      <c r="J117" s="279" t="s">
        <v>9833</v>
      </c>
      <c r="K117" s="479"/>
      <c r="L117" s="280"/>
      <c r="M117" s="463" t="s">
        <v>9596</v>
      </c>
    </row>
    <row r="118">
      <c r="A118" s="358" t="s">
        <v>9834</v>
      </c>
      <c r="B118" s="358">
        <v>14590.0</v>
      </c>
      <c r="C118" s="11" t="s">
        <v>9590</v>
      </c>
      <c r="D118" s="74">
        <v>0.9</v>
      </c>
      <c r="E118" s="74">
        <v>0.9</v>
      </c>
      <c r="F118" s="229" t="s">
        <v>1656</v>
      </c>
      <c r="G118" s="467"/>
      <c r="H118" s="12" t="s">
        <v>9835</v>
      </c>
      <c r="I118" s="464">
        <v>2345.0</v>
      </c>
      <c r="J118" s="279" t="s">
        <v>9836</v>
      </c>
      <c r="K118" s="479"/>
      <c r="L118" s="280"/>
      <c r="M118" s="463" t="s">
        <v>9596</v>
      </c>
    </row>
    <row r="119">
      <c r="A119" s="358" t="s">
        <v>9837</v>
      </c>
      <c r="B119" s="358">
        <v>14590.0</v>
      </c>
      <c r="C119" s="11" t="s">
        <v>9590</v>
      </c>
      <c r="D119" s="74">
        <v>0.9</v>
      </c>
      <c r="E119" s="74">
        <v>0.9</v>
      </c>
      <c r="F119" s="229" t="s">
        <v>1656</v>
      </c>
      <c r="G119" s="467"/>
      <c r="H119" s="170" t="s">
        <v>9838</v>
      </c>
      <c r="I119" s="461">
        <v>663.0</v>
      </c>
      <c r="J119" s="279" t="s">
        <v>9839</v>
      </c>
      <c r="K119" s="479"/>
      <c r="L119" s="280"/>
      <c r="M119" s="463" t="s">
        <v>9596</v>
      </c>
    </row>
    <row r="120">
      <c r="A120" s="358" t="s">
        <v>9840</v>
      </c>
      <c r="B120" s="358">
        <v>14590.0</v>
      </c>
      <c r="C120" s="11" t="s">
        <v>9590</v>
      </c>
      <c r="D120" s="74">
        <v>0.9</v>
      </c>
      <c r="E120" s="74">
        <v>0.9</v>
      </c>
      <c r="F120" s="229" t="s">
        <v>1656</v>
      </c>
      <c r="G120" s="467"/>
      <c r="H120" s="170" t="s">
        <v>9841</v>
      </c>
      <c r="I120" s="461">
        <v>10856.0</v>
      </c>
      <c r="J120" s="279" t="s">
        <v>9842</v>
      </c>
      <c r="K120" s="479"/>
      <c r="L120" s="280"/>
      <c r="M120" s="463" t="s">
        <v>9596</v>
      </c>
    </row>
    <row r="121">
      <c r="A121" s="358" t="s">
        <v>9843</v>
      </c>
      <c r="B121" s="358">
        <v>14590.0</v>
      </c>
      <c r="C121" s="11" t="s">
        <v>9590</v>
      </c>
      <c r="D121" s="74">
        <v>0.9</v>
      </c>
      <c r="E121" s="74">
        <v>0.9</v>
      </c>
      <c r="F121" s="229" t="s">
        <v>1656</v>
      </c>
      <c r="G121" s="467"/>
      <c r="H121" s="170" t="s">
        <v>9844</v>
      </c>
      <c r="I121" s="461">
        <v>6675.0</v>
      </c>
      <c r="J121" s="279" t="s">
        <v>9845</v>
      </c>
      <c r="K121" s="479"/>
      <c r="L121" s="280"/>
      <c r="M121" s="463" t="s">
        <v>9596</v>
      </c>
    </row>
    <row r="122">
      <c r="A122" s="358" t="s">
        <v>9846</v>
      </c>
      <c r="B122" s="358">
        <v>14590.0</v>
      </c>
      <c r="C122" s="11" t="s">
        <v>9590</v>
      </c>
      <c r="D122" s="74">
        <v>0.9</v>
      </c>
      <c r="E122" s="74">
        <v>0.9</v>
      </c>
      <c r="F122" s="229" t="s">
        <v>1656</v>
      </c>
      <c r="G122" s="467"/>
      <c r="H122" s="170" t="s">
        <v>9847</v>
      </c>
      <c r="I122" s="170">
        <v>7083.0</v>
      </c>
      <c r="J122" s="279" t="s">
        <v>9848</v>
      </c>
      <c r="K122" s="462"/>
      <c r="L122" s="462">
        <v>6924.0</v>
      </c>
      <c r="M122" s="463" t="s">
        <v>9596</v>
      </c>
    </row>
    <row r="123">
      <c r="A123" s="358" t="s">
        <v>9849</v>
      </c>
      <c r="B123" s="358">
        <v>14590.0</v>
      </c>
      <c r="C123" s="11" t="s">
        <v>9590</v>
      </c>
      <c r="D123" s="74">
        <v>0.9</v>
      </c>
      <c r="E123" s="74">
        <v>0.9</v>
      </c>
      <c r="F123" s="229" t="s">
        <v>1656</v>
      </c>
      <c r="G123" s="467"/>
      <c r="H123" s="175" t="s">
        <v>9850</v>
      </c>
      <c r="I123" s="175">
        <v>5389.0</v>
      </c>
      <c r="J123" s="279" t="s">
        <v>9851</v>
      </c>
      <c r="K123" s="480"/>
      <c r="L123" s="480"/>
      <c r="M123" s="463" t="s">
        <v>9596</v>
      </c>
    </row>
    <row r="124">
      <c r="A124" s="358" t="s">
        <v>9852</v>
      </c>
      <c r="B124" s="358">
        <v>14590.0</v>
      </c>
      <c r="C124" s="11" t="s">
        <v>9590</v>
      </c>
      <c r="D124" s="74">
        <v>0.9</v>
      </c>
      <c r="E124" s="74">
        <v>0.9</v>
      </c>
      <c r="F124" s="229" t="s">
        <v>1656</v>
      </c>
      <c r="G124" s="467"/>
      <c r="H124" s="175" t="s">
        <v>9853</v>
      </c>
      <c r="I124" s="465">
        <v>6675.0</v>
      </c>
      <c r="J124" s="279" t="s">
        <v>9854</v>
      </c>
      <c r="K124" s="462"/>
      <c r="L124" s="462">
        <v>283.0</v>
      </c>
      <c r="M124" s="463" t="s">
        <v>9596</v>
      </c>
    </row>
    <row r="125">
      <c r="A125" s="358" t="s">
        <v>9855</v>
      </c>
      <c r="B125" s="358">
        <v>14590.0</v>
      </c>
      <c r="C125" s="11" t="s">
        <v>9590</v>
      </c>
      <c r="D125" s="74">
        <v>0.9</v>
      </c>
      <c r="E125" s="74">
        <v>0.9</v>
      </c>
      <c r="F125" s="229" t="s">
        <v>1656</v>
      </c>
      <c r="G125" s="467"/>
      <c r="H125" s="175" t="s">
        <v>9856</v>
      </c>
      <c r="I125" s="465">
        <v>6675.0</v>
      </c>
      <c r="J125" s="279" t="s">
        <v>9857</v>
      </c>
      <c r="K125" s="462"/>
      <c r="L125" s="462">
        <v>283.0</v>
      </c>
      <c r="M125" s="463" t="s">
        <v>9596</v>
      </c>
    </row>
    <row r="126">
      <c r="A126" s="358" t="s">
        <v>9858</v>
      </c>
      <c r="B126" s="358">
        <v>14590.0</v>
      </c>
      <c r="C126" s="11" t="s">
        <v>9590</v>
      </c>
      <c r="D126" s="74">
        <v>0.9</v>
      </c>
      <c r="E126" s="74">
        <v>0.9</v>
      </c>
      <c r="F126" s="229" t="s">
        <v>1656</v>
      </c>
      <c r="G126" s="467"/>
      <c r="H126" s="175" t="s">
        <v>3858</v>
      </c>
      <c r="I126" s="465">
        <v>6675.0</v>
      </c>
      <c r="J126" s="279" t="s">
        <v>9859</v>
      </c>
      <c r="K126" s="462"/>
      <c r="L126" s="462">
        <v>283.0</v>
      </c>
      <c r="M126" s="463" t="s">
        <v>9596</v>
      </c>
    </row>
    <row r="127">
      <c r="A127" s="358" t="s">
        <v>9860</v>
      </c>
      <c r="B127" s="358">
        <v>14590.0</v>
      </c>
      <c r="C127" s="11" t="s">
        <v>9590</v>
      </c>
      <c r="D127" s="74">
        <v>0.9</v>
      </c>
      <c r="E127" s="74">
        <v>0.9</v>
      </c>
      <c r="F127" s="229" t="s">
        <v>1656</v>
      </c>
      <c r="G127" s="467"/>
      <c r="H127" s="12" t="s">
        <v>7727</v>
      </c>
      <c r="I127" s="464">
        <v>6675.0</v>
      </c>
      <c r="J127" s="279" t="s">
        <v>9861</v>
      </c>
      <c r="K127" s="462"/>
      <c r="L127" s="462">
        <v>6675.0</v>
      </c>
      <c r="M127" s="463" t="s">
        <v>9596</v>
      </c>
    </row>
    <row r="128">
      <c r="A128" s="358" t="s">
        <v>9862</v>
      </c>
      <c r="B128" s="358">
        <v>14590.0</v>
      </c>
      <c r="C128" s="11" t="s">
        <v>9590</v>
      </c>
      <c r="D128" s="74">
        <v>0.9</v>
      </c>
      <c r="E128" s="74">
        <v>0.9</v>
      </c>
      <c r="F128" s="229" t="s">
        <v>1656</v>
      </c>
      <c r="G128" s="467"/>
      <c r="H128" s="170" t="s">
        <v>9863</v>
      </c>
      <c r="I128" s="461">
        <v>6675.0</v>
      </c>
      <c r="J128" s="279" t="s">
        <v>9864</v>
      </c>
      <c r="K128" s="462"/>
      <c r="L128" s="462">
        <v>7010.0</v>
      </c>
      <c r="M128" s="463" t="s">
        <v>9596</v>
      </c>
    </row>
    <row r="129">
      <c r="A129" s="358" t="s">
        <v>9865</v>
      </c>
      <c r="B129" s="358">
        <v>14590.0</v>
      </c>
      <c r="C129" s="11" t="s">
        <v>9590</v>
      </c>
      <c r="D129" s="74">
        <v>0.9</v>
      </c>
      <c r="E129" s="74">
        <v>0.9</v>
      </c>
      <c r="F129" s="229" t="s">
        <v>1656</v>
      </c>
      <c r="G129" s="467"/>
      <c r="H129" s="12" t="s">
        <v>9866</v>
      </c>
      <c r="I129" s="464">
        <v>6671.0</v>
      </c>
      <c r="J129" s="279" t="s">
        <v>9867</v>
      </c>
      <c r="K129" s="462"/>
      <c r="L129" s="462">
        <v>7251.0</v>
      </c>
      <c r="M129" s="463" t="s">
        <v>9596</v>
      </c>
    </row>
    <row r="130">
      <c r="A130" s="358" t="s">
        <v>9868</v>
      </c>
      <c r="B130" s="358">
        <v>14590.0</v>
      </c>
      <c r="C130" s="11" t="s">
        <v>9590</v>
      </c>
      <c r="D130" s="74">
        <v>0.9</v>
      </c>
      <c r="E130" s="74">
        <v>0.9</v>
      </c>
      <c r="F130" s="229" t="s">
        <v>1656</v>
      </c>
      <c r="G130" s="467"/>
      <c r="H130" s="170" t="s">
        <v>9869</v>
      </c>
      <c r="I130" s="461">
        <v>189.0</v>
      </c>
      <c r="J130" s="279" t="s">
        <v>9870</v>
      </c>
      <c r="K130" s="462"/>
      <c r="L130" s="462">
        <v>6995.0</v>
      </c>
      <c r="M130" s="463" t="s">
        <v>9596</v>
      </c>
    </row>
    <row r="131">
      <c r="A131" s="358" t="s">
        <v>9871</v>
      </c>
      <c r="B131" s="358">
        <v>14590.0</v>
      </c>
      <c r="C131" s="11" t="s">
        <v>9590</v>
      </c>
      <c r="D131" s="74">
        <v>0.9</v>
      </c>
      <c r="E131" s="74">
        <v>0.9</v>
      </c>
      <c r="F131" s="229" t="s">
        <v>1656</v>
      </c>
      <c r="G131" s="467"/>
      <c r="H131" s="170" t="s">
        <v>9872</v>
      </c>
      <c r="I131" s="461">
        <v>189.0</v>
      </c>
      <c r="J131" s="279" t="s">
        <v>9873</v>
      </c>
      <c r="K131" s="462"/>
      <c r="L131" s="462">
        <v>6678.0</v>
      </c>
      <c r="M131" s="463" t="s">
        <v>9596</v>
      </c>
    </row>
    <row r="132">
      <c r="A132" s="358" t="s">
        <v>9874</v>
      </c>
      <c r="B132" s="477">
        <v>14580.0</v>
      </c>
      <c r="C132" s="11" t="s">
        <v>9590</v>
      </c>
      <c r="D132" s="475">
        <v>0.78</v>
      </c>
      <c r="E132" s="475">
        <v>0.78</v>
      </c>
      <c r="F132" s="229" t="s">
        <v>1656</v>
      </c>
      <c r="G132" s="467"/>
      <c r="H132" s="12" t="s">
        <v>9875</v>
      </c>
      <c r="I132" s="464">
        <v>6671.0</v>
      </c>
      <c r="J132" s="279" t="s">
        <v>9876</v>
      </c>
      <c r="K132" s="462"/>
      <c r="L132" s="462">
        <v>6669.0</v>
      </c>
      <c r="M132" s="463" t="s">
        <v>9596</v>
      </c>
    </row>
    <row r="133">
      <c r="A133" s="358" t="s">
        <v>9877</v>
      </c>
      <c r="B133" s="358">
        <v>14590.0</v>
      </c>
      <c r="C133" s="11" t="s">
        <v>9590</v>
      </c>
      <c r="D133" s="74">
        <v>0.9</v>
      </c>
      <c r="E133" s="74">
        <v>0.9</v>
      </c>
      <c r="F133" s="229" t="s">
        <v>1656</v>
      </c>
      <c r="G133" s="467"/>
      <c r="H133" s="12" t="s">
        <v>9878</v>
      </c>
      <c r="I133" s="464">
        <v>283.0</v>
      </c>
      <c r="J133" s="279" t="s">
        <v>9879</v>
      </c>
      <c r="K133" s="462"/>
      <c r="L133" s="462">
        <v>6671.0</v>
      </c>
      <c r="M133" s="463" t="s">
        <v>9596</v>
      </c>
    </row>
    <row r="134">
      <c r="A134" s="358" t="s">
        <v>9880</v>
      </c>
      <c r="B134" s="358">
        <v>14590.0</v>
      </c>
      <c r="C134" s="11" t="s">
        <v>9590</v>
      </c>
      <c r="D134" s="74">
        <v>0.9</v>
      </c>
      <c r="E134" s="74">
        <v>0.9</v>
      </c>
      <c r="F134" s="229" t="s">
        <v>1656</v>
      </c>
      <c r="G134" s="467"/>
      <c r="H134" s="170" t="s">
        <v>9881</v>
      </c>
      <c r="I134" s="465">
        <v>6811.0</v>
      </c>
      <c r="J134" s="279" t="s">
        <v>9882</v>
      </c>
      <c r="K134" s="462"/>
      <c r="L134" s="462">
        <v>6669.0</v>
      </c>
      <c r="M134" s="463" t="s">
        <v>9596</v>
      </c>
    </row>
    <row r="135">
      <c r="A135" s="358" t="s">
        <v>9883</v>
      </c>
      <c r="B135" s="358">
        <v>14590.0</v>
      </c>
      <c r="C135" s="11" t="s">
        <v>9590</v>
      </c>
      <c r="D135" s="74">
        <v>0.9</v>
      </c>
      <c r="E135" s="74">
        <v>0.9</v>
      </c>
      <c r="F135" s="229" t="s">
        <v>1656</v>
      </c>
      <c r="G135" s="467"/>
      <c r="H135" s="170" t="s">
        <v>9884</v>
      </c>
      <c r="I135" s="461">
        <v>7877.0</v>
      </c>
      <c r="J135" s="279" t="s">
        <v>9885</v>
      </c>
      <c r="K135" s="462"/>
      <c r="L135" s="462">
        <v>3689.0</v>
      </c>
      <c r="M135" s="463" t="s">
        <v>9596</v>
      </c>
    </row>
    <row r="136">
      <c r="A136" s="358" t="s">
        <v>9886</v>
      </c>
      <c r="B136" s="358">
        <v>14590.0</v>
      </c>
      <c r="C136" s="11" t="s">
        <v>9590</v>
      </c>
      <c r="D136" s="74">
        <v>0.9</v>
      </c>
      <c r="E136" s="74">
        <v>0.9</v>
      </c>
      <c r="F136" s="229" t="s">
        <v>1656</v>
      </c>
      <c r="G136" s="467"/>
      <c r="H136" s="12" t="s">
        <v>9887</v>
      </c>
      <c r="I136" s="464">
        <v>7251.0</v>
      </c>
      <c r="J136" s="279" t="s">
        <v>9888</v>
      </c>
      <c r="K136" s="462"/>
      <c r="L136" s="462">
        <v>7183.0</v>
      </c>
      <c r="M136" s="463" t="s">
        <v>9596</v>
      </c>
    </row>
    <row r="137">
      <c r="A137" s="358" t="s">
        <v>9889</v>
      </c>
      <c r="B137" s="358">
        <v>14590.0</v>
      </c>
      <c r="C137" s="11" t="s">
        <v>9590</v>
      </c>
      <c r="D137" s="74">
        <v>0.9</v>
      </c>
      <c r="E137" s="74">
        <v>0.9</v>
      </c>
      <c r="F137" s="229" t="s">
        <v>1656</v>
      </c>
      <c r="G137" s="467"/>
      <c r="H137" s="175" t="s">
        <v>9890</v>
      </c>
      <c r="I137" s="465">
        <v>7157.0</v>
      </c>
      <c r="J137" s="279" t="s">
        <v>9891</v>
      </c>
      <c r="K137" s="462"/>
      <c r="L137" s="462">
        <v>7186.0</v>
      </c>
      <c r="M137" s="463" t="s">
        <v>9596</v>
      </c>
    </row>
    <row r="138">
      <c r="A138" s="358" t="s">
        <v>9892</v>
      </c>
      <c r="B138" s="358">
        <v>14590.0</v>
      </c>
      <c r="C138" s="11" t="s">
        <v>9590</v>
      </c>
      <c r="D138" s="74">
        <v>0.9</v>
      </c>
      <c r="E138" s="74">
        <v>0.9</v>
      </c>
      <c r="F138" s="229" t="s">
        <v>1656</v>
      </c>
      <c r="G138" s="467"/>
      <c r="H138" s="170" t="s">
        <v>9893</v>
      </c>
      <c r="I138" s="461">
        <v>7877.0</v>
      </c>
      <c r="J138" s="279" t="s">
        <v>9894</v>
      </c>
      <c r="K138" s="462"/>
      <c r="L138" s="462">
        <v>6903.0</v>
      </c>
      <c r="M138" s="463" t="s">
        <v>9596</v>
      </c>
    </row>
    <row r="139">
      <c r="A139" s="358" t="s">
        <v>9895</v>
      </c>
      <c r="B139" s="358">
        <v>14590.0</v>
      </c>
      <c r="C139" s="11" t="s">
        <v>9590</v>
      </c>
      <c r="D139" s="74">
        <v>0.9</v>
      </c>
      <c r="E139" s="74">
        <v>0.9</v>
      </c>
      <c r="F139" s="229" t="s">
        <v>1656</v>
      </c>
      <c r="G139" s="467"/>
      <c r="H139" s="12" t="s">
        <v>9896</v>
      </c>
      <c r="I139" s="464">
        <v>7877.0</v>
      </c>
      <c r="J139" s="279" t="s">
        <v>9897</v>
      </c>
      <c r="K139" s="462"/>
      <c r="L139" s="462">
        <v>7137.0</v>
      </c>
      <c r="M139" s="463" t="s">
        <v>9596</v>
      </c>
    </row>
    <row r="140">
      <c r="A140" s="358" t="s">
        <v>9898</v>
      </c>
      <c r="B140" s="358">
        <v>14590.0</v>
      </c>
      <c r="C140" s="11" t="s">
        <v>9590</v>
      </c>
      <c r="D140" s="74">
        <v>0.9</v>
      </c>
      <c r="E140" s="74">
        <v>0.9</v>
      </c>
      <c r="F140" s="229" t="s">
        <v>1656</v>
      </c>
      <c r="G140" s="467"/>
      <c r="H140" s="12" t="s">
        <v>9899</v>
      </c>
      <c r="I140" s="464">
        <v>7877.0</v>
      </c>
      <c r="J140" s="279" t="s">
        <v>9900</v>
      </c>
      <c r="K140" s="462"/>
      <c r="L140" s="462">
        <v>4193.0</v>
      </c>
      <c r="M140" s="463" t="s">
        <v>9596</v>
      </c>
    </row>
    <row r="141">
      <c r="A141" s="358" t="s">
        <v>9901</v>
      </c>
      <c r="B141" s="358">
        <v>14590.0</v>
      </c>
      <c r="C141" s="11" t="s">
        <v>9590</v>
      </c>
      <c r="D141" s="74">
        <v>0.9</v>
      </c>
      <c r="E141" s="74">
        <v>0.9</v>
      </c>
      <c r="F141" s="229" t="s">
        <v>1656</v>
      </c>
      <c r="G141" s="467"/>
      <c r="H141" s="170" t="s">
        <v>9902</v>
      </c>
      <c r="I141" s="461">
        <v>7877.0</v>
      </c>
      <c r="J141" s="458" t="s">
        <v>9903</v>
      </c>
      <c r="K141" s="462"/>
      <c r="L141" s="462">
        <v>84.0</v>
      </c>
      <c r="M141" s="463" t="s">
        <v>9596</v>
      </c>
    </row>
    <row r="142">
      <c r="A142" s="358" t="s">
        <v>9904</v>
      </c>
      <c r="B142" s="358">
        <v>14590.0</v>
      </c>
      <c r="C142" s="11" t="s">
        <v>9590</v>
      </c>
      <c r="D142" s="74">
        <v>0.9</v>
      </c>
      <c r="E142" s="74">
        <v>0.9</v>
      </c>
      <c r="F142" s="229" t="s">
        <v>1656</v>
      </c>
      <c r="G142" s="467"/>
      <c r="H142" s="170" t="s">
        <v>9905</v>
      </c>
      <c r="I142" s="461">
        <v>6675.0</v>
      </c>
      <c r="J142" s="458" t="s">
        <v>9906</v>
      </c>
      <c r="K142" s="462"/>
      <c r="L142" s="462">
        <v>84.0</v>
      </c>
      <c r="M142" s="463" t="s">
        <v>9596</v>
      </c>
    </row>
    <row r="143">
      <c r="A143" s="358" t="s">
        <v>9907</v>
      </c>
      <c r="B143" s="358">
        <v>14590.0</v>
      </c>
      <c r="C143" s="11" t="s">
        <v>9590</v>
      </c>
      <c r="D143" s="74">
        <v>0.9</v>
      </c>
      <c r="E143" s="74">
        <v>0.9</v>
      </c>
      <c r="F143" s="229" t="s">
        <v>1656</v>
      </c>
      <c r="G143" s="467"/>
      <c r="H143" s="170" t="s">
        <v>9908</v>
      </c>
      <c r="I143" s="461">
        <v>195.0</v>
      </c>
      <c r="J143" s="458" t="s">
        <v>9909</v>
      </c>
      <c r="K143" s="462"/>
      <c r="L143" s="462">
        <v>12262.0</v>
      </c>
      <c r="M143" s="463" t="s">
        <v>9596</v>
      </c>
    </row>
    <row r="144">
      <c r="A144" s="358" t="s">
        <v>9910</v>
      </c>
      <c r="B144" s="358">
        <v>14590.0</v>
      </c>
      <c r="C144" s="11" t="s">
        <v>9590</v>
      </c>
      <c r="D144" s="74">
        <v>0.9</v>
      </c>
      <c r="E144" s="74">
        <v>0.9</v>
      </c>
      <c r="F144" s="229" t="s">
        <v>1656</v>
      </c>
      <c r="G144" s="467"/>
      <c r="H144" s="175" t="s">
        <v>9911</v>
      </c>
      <c r="I144" s="465">
        <v>6947.0</v>
      </c>
      <c r="J144" s="458" t="s">
        <v>9912</v>
      </c>
      <c r="K144" s="481"/>
      <c r="L144" s="481">
        <v>7648.0</v>
      </c>
      <c r="M144" s="463" t="s">
        <v>9596</v>
      </c>
    </row>
    <row r="145">
      <c r="A145" s="358" t="s">
        <v>9913</v>
      </c>
      <c r="B145" s="358">
        <v>14590.0</v>
      </c>
      <c r="C145" s="11" t="s">
        <v>9590</v>
      </c>
      <c r="D145" s="74">
        <v>0.9</v>
      </c>
      <c r="E145" s="74">
        <v>0.9</v>
      </c>
      <c r="F145" s="229" t="s">
        <v>1656</v>
      </c>
      <c r="G145" s="467"/>
      <c r="H145" s="12" t="s">
        <v>9914</v>
      </c>
      <c r="I145" s="464">
        <v>6977.0</v>
      </c>
      <c r="J145" s="458" t="s">
        <v>9915</v>
      </c>
      <c r="K145" s="462"/>
      <c r="L145" s="462">
        <v>6831.0</v>
      </c>
      <c r="M145" s="463" t="s">
        <v>9596</v>
      </c>
    </row>
    <row r="146">
      <c r="A146" s="358" t="s">
        <v>9916</v>
      </c>
      <c r="B146" s="358">
        <v>14590.0</v>
      </c>
      <c r="C146" s="11" t="s">
        <v>9590</v>
      </c>
      <c r="D146" s="74">
        <v>0.9</v>
      </c>
      <c r="E146" s="74">
        <v>0.9</v>
      </c>
      <c r="F146" s="229" t="s">
        <v>1656</v>
      </c>
      <c r="G146" s="467"/>
      <c r="H146" s="170" t="s">
        <v>9917</v>
      </c>
      <c r="I146" s="461">
        <v>6940.0</v>
      </c>
      <c r="J146" s="458" t="s">
        <v>9918</v>
      </c>
      <c r="K146" s="462"/>
      <c r="L146" s="462">
        <v>7186.0</v>
      </c>
      <c r="M146" s="463" t="s">
        <v>9596</v>
      </c>
    </row>
    <row r="147">
      <c r="A147" s="358" t="s">
        <v>9919</v>
      </c>
      <c r="B147" s="358">
        <v>14590.0</v>
      </c>
      <c r="C147" s="11" t="s">
        <v>9590</v>
      </c>
      <c r="D147" s="74">
        <v>0.9</v>
      </c>
      <c r="E147" s="74">
        <v>0.9</v>
      </c>
      <c r="F147" s="229" t="s">
        <v>1656</v>
      </c>
      <c r="G147" s="467"/>
      <c r="H147" s="12" t="s">
        <v>9920</v>
      </c>
      <c r="I147" s="464">
        <v>7847.0</v>
      </c>
      <c r="J147" s="458" t="s">
        <v>9921</v>
      </c>
      <c r="K147" s="462"/>
      <c r="L147" s="462">
        <v>7648.0</v>
      </c>
      <c r="M147" s="463" t="s">
        <v>9596</v>
      </c>
    </row>
    <row r="148">
      <c r="A148" s="358" t="s">
        <v>9922</v>
      </c>
      <c r="B148" s="358">
        <v>14590.0</v>
      </c>
      <c r="C148" s="11" t="s">
        <v>9590</v>
      </c>
      <c r="D148" s="74">
        <v>0.9</v>
      </c>
      <c r="E148" s="74">
        <v>0.9</v>
      </c>
      <c r="F148" s="229" t="s">
        <v>1656</v>
      </c>
      <c r="G148" s="467"/>
      <c r="H148" s="170" t="s">
        <v>9923</v>
      </c>
      <c r="I148" s="461">
        <v>6675.0</v>
      </c>
      <c r="J148" s="458" t="s">
        <v>9924</v>
      </c>
      <c r="K148" s="462"/>
      <c r="L148" s="462">
        <v>7648.0</v>
      </c>
      <c r="M148" s="463" t="s">
        <v>9596</v>
      </c>
    </row>
    <row r="149">
      <c r="A149" s="358" t="s">
        <v>9925</v>
      </c>
      <c r="B149" s="358">
        <v>14590.0</v>
      </c>
      <c r="C149" s="11" t="s">
        <v>9590</v>
      </c>
      <c r="D149" s="74">
        <v>0.9</v>
      </c>
      <c r="E149" s="74">
        <v>0.9</v>
      </c>
      <c r="F149" s="229" t="s">
        <v>1656</v>
      </c>
      <c r="G149" s="467"/>
      <c r="H149" s="12" t="s">
        <v>9926</v>
      </c>
      <c r="I149" s="464">
        <v>8199.0</v>
      </c>
      <c r="J149" s="458" t="s">
        <v>9927</v>
      </c>
      <c r="K149" s="482"/>
      <c r="L149" s="279">
        <v>9363.0</v>
      </c>
      <c r="M149" s="463" t="s">
        <v>9596</v>
      </c>
    </row>
    <row r="150">
      <c r="A150" s="358" t="s">
        <v>9928</v>
      </c>
      <c r="B150" s="477">
        <v>14529.0</v>
      </c>
      <c r="C150" s="11" t="s">
        <v>9590</v>
      </c>
      <c r="D150" s="475">
        <v>0.78</v>
      </c>
      <c r="E150" s="475">
        <v>0.78</v>
      </c>
      <c r="F150" s="229" t="s">
        <v>1656</v>
      </c>
      <c r="G150" s="467"/>
      <c r="H150" s="170" t="s">
        <v>9929</v>
      </c>
      <c r="I150" s="461">
        <v>6669.0</v>
      </c>
      <c r="J150" s="458" t="s">
        <v>9930</v>
      </c>
      <c r="K150" s="482"/>
      <c r="L150" s="279">
        <v>8491.0</v>
      </c>
      <c r="M150" s="463" t="s">
        <v>9596</v>
      </c>
    </row>
    <row r="151">
      <c r="A151" s="358" t="s">
        <v>9931</v>
      </c>
      <c r="B151" s="358">
        <v>14590.0</v>
      </c>
      <c r="C151" s="11" t="s">
        <v>9590</v>
      </c>
      <c r="D151" s="74">
        <v>0.9</v>
      </c>
      <c r="E151" s="74">
        <v>0.9</v>
      </c>
      <c r="F151" s="229" t="s">
        <v>1656</v>
      </c>
      <c r="G151" s="467"/>
      <c r="H151" s="175" t="s">
        <v>9932</v>
      </c>
      <c r="I151" s="465">
        <v>8199.0</v>
      </c>
      <c r="J151" s="279" t="s">
        <v>9933</v>
      </c>
      <c r="K151" s="462"/>
      <c r="L151" s="462">
        <v>4933.0</v>
      </c>
      <c r="M151" s="463" t="s">
        <v>9596</v>
      </c>
    </row>
    <row r="152">
      <c r="A152" s="358" t="s">
        <v>9934</v>
      </c>
      <c r="B152" s="358">
        <v>14590.0</v>
      </c>
      <c r="C152" s="11" t="s">
        <v>9590</v>
      </c>
      <c r="D152" s="74">
        <v>0.9</v>
      </c>
      <c r="E152" s="74">
        <v>0.9</v>
      </c>
      <c r="F152" s="229" t="s">
        <v>1656</v>
      </c>
      <c r="G152" s="467"/>
      <c r="H152" s="170" t="s">
        <v>9935</v>
      </c>
      <c r="I152" s="461">
        <v>6109.0</v>
      </c>
      <c r="J152" s="279" t="s">
        <v>9936</v>
      </c>
      <c r="K152" s="462"/>
      <c r="L152" s="462">
        <v>4933.0</v>
      </c>
      <c r="M152" s="463" t="s">
        <v>9596</v>
      </c>
    </row>
    <row r="153">
      <c r="A153" s="358" t="s">
        <v>9937</v>
      </c>
      <c r="B153" s="358">
        <v>14590.0</v>
      </c>
      <c r="C153" s="11" t="s">
        <v>9590</v>
      </c>
      <c r="D153" s="74">
        <v>0.9</v>
      </c>
      <c r="E153" s="74">
        <v>0.9</v>
      </c>
      <c r="F153" s="229" t="s">
        <v>1656</v>
      </c>
      <c r="G153" s="467"/>
      <c r="H153" s="170" t="s">
        <v>9938</v>
      </c>
      <c r="I153" s="461">
        <v>7149.0</v>
      </c>
      <c r="J153" s="279" t="s">
        <v>9939</v>
      </c>
      <c r="K153" s="462"/>
      <c r="L153" s="462">
        <v>4933.0</v>
      </c>
      <c r="M153" s="463" t="s">
        <v>9596</v>
      </c>
    </row>
    <row r="154">
      <c r="A154" s="358" t="s">
        <v>9940</v>
      </c>
      <c r="B154" s="358">
        <v>14590.0</v>
      </c>
      <c r="C154" s="11" t="s">
        <v>9590</v>
      </c>
      <c r="D154" s="74">
        <v>0.9</v>
      </c>
      <c r="E154" s="74">
        <v>0.9</v>
      </c>
      <c r="F154" s="229" t="s">
        <v>1656</v>
      </c>
      <c r="G154" s="467"/>
      <c r="H154" s="170" t="s">
        <v>9941</v>
      </c>
      <c r="I154" s="461">
        <v>7149.0</v>
      </c>
      <c r="J154" s="279" t="s">
        <v>9942</v>
      </c>
      <c r="K154" s="462"/>
      <c r="L154" s="462">
        <v>4933.0</v>
      </c>
      <c r="M154" s="463" t="s">
        <v>9596</v>
      </c>
    </row>
    <row r="155">
      <c r="A155" s="358" t="s">
        <v>9943</v>
      </c>
      <c r="B155" s="358">
        <v>14590.0</v>
      </c>
      <c r="C155" s="11" t="s">
        <v>9590</v>
      </c>
      <c r="D155" s="74">
        <v>0.9</v>
      </c>
      <c r="E155" s="74">
        <v>0.9</v>
      </c>
      <c r="F155" s="229" t="s">
        <v>1656</v>
      </c>
      <c r="G155" s="467"/>
      <c r="H155" s="170" t="s">
        <v>9944</v>
      </c>
      <c r="I155" s="461">
        <v>7149.0</v>
      </c>
      <c r="J155" s="279" t="s">
        <v>9945</v>
      </c>
      <c r="K155" s="462"/>
      <c r="L155" s="462">
        <v>4933.0</v>
      </c>
      <c r="M155" s="463" t="s">
        <v>9596</v>
      </c>
    </row>
    <row r="156">
      <c r="A156" s="358" t="s">
        <v>9946</v>
      </c>
      <c r="B156" s="358">
        <v>14590.0</v>
      </c>
      <c r="C156" s="11" t="s">
        <v>9590</v>
      </c>
      <c r="D156" s="74">
        <v>0.9</v>
      </c>
      <c r="E156" s="74">
        <v>0.9</v>
      </c>
      <c r="F156" s="229" t="s">
        <v>1656</v>
      </c>
      <c r="G156" s="467"/>
      <c r="H156" s="170" t="s">
        <v>9947</v>
      </c>
      <c r="I156" s="461">
        <v>7149.0</v>
      </c>
      <c r="J156" s="279" t="s">
        <v>9948</v>
      </c>
      <c r="K156" s="462"/>
      <c r="L156" s="462">
        <v>4933.0</v>
      </c>
      <c r="M156" s="463" t="s">
        <v>9596</v>
      </c>
    </row>
    <row r="157">
      <c r="A157" s="358" t="s">
        <v>9949</v>
      </c>
      <c r="B157" s="358">
        <v>14590.0</v>
      </c>
      <c r="C157" s="11" t="s">
        <v>9590</v>
      </c>
      <c r="D157" s="74">
        <v>0.9</v>
      </c>
      <c r="E157" s="74">
        <v>0.9</v>
      </c>
      <c r="F157" s="229" t="s">
        <v>1656</v>
      </c>
      <c r="G157" s="467"/>
      <c r="H157" s="170" t="s">
        <v>9950</v>
      </c>
      <c r="I157" s="461">
        <v>7149.0</v>
      </c>
      <c r="J157" s="279" t="s">
        <v>9951</v>
      </c>
      <c r="K157" s="462"/>
      <c r="L157" s="462">
        <v>7149.0</v>
      </c>
      <c r="M157" s="463" t="s">
        <v>9596</v>
      </c>
    </row>
    <row r="158">
      <c r="A158" s="358" t="s">
        <v>9952</v>
      </c>
      <c r="B158" s="358">
        <v>14590.0</v>
      </c>
      <c r="C158" s="11" t="s">
        <v>9590</v>
      </c>
      <c r="D158" s="74">
        <v>0.9</v>
      </c>
      <c r="E158" s="74">
        <v>0.9</v>
      </c>
      <c r="F158" s="229" t="s">
        <v>1656</v>
      </c>
      <c r="G158" s="467"/>
      <c r="H158" s="12" t="s">
        <v>9953</v>
      </c>
      <c r="I158" s="464">
        <v>7149.0</v>
      </c>
      <c r="J158" s="279" t="s">
        <v>9954</v>
      </c>
      <c r="K158" s="462"/>
      <c r="L158" s="462">
        <v>7040.0</v>
      </c>
      <c r="M158" s="463" t="s">
        <v>9596</v>
      </c>
    </row>
    <row r="159">
      <c r="A159" s="358" t="s">
        <v>9955</v>
      </c>
      <c r="B159" s="358">
        <v>14590.0</v>
      </c>
      <c r="C159" s="11" t="s">
        <v>9590</v>
      </c>
      <c r="D159" s="74">
        <v>0.9</v>
      </c>
      <c r="E159" s="74">
        <v>0.9</v>
      </c>
      <c r="F159" s="229" t="s">
        <v>1656</v>
      </c>
      <c r="G159" s="467"/>
      <c r="H159" s="457" t="s">
        <v>9956</v>
      </c>
      <c r="I159" s="465">
        <v>5458.0</v>
      </c>
      <c r="J159" s="279" t="s">
        <v>9957</v>
      </c>
      <c r="K159" s="462"/>
      <c r="L159" s="462">
        <v>8199.0</v>
      </c>
      <c r="M159" s="463" t="s">
        <v>9596</v>
      </c>
    </row>
    <row r="160">
      <c r="A160" s="358" t="s">
        <v>9958</v>
      </c>
      <c r="B160" s="358">
        <v>14590.0</v>
      </c>
      <c r="C160" s="11" t="s">
        <v>9590</v>
      </c>
      <c r="D160" s="74">
        <v>0.9</v>
      </c>
      <c r="E160" s="74">
        <v>0.9</v>
      </c>
      <c r="F160" s="229" t="s">
        <v>1656</v>
      </c>
      <c r="G160" s="467"/>
      <c r="H160" s="457" t="s">
        <v>9959</v>
      </c>
      <c r="I160" s="465">
        <v>5458.0</v>
      </c>
      <c r="J160" s="279" t="s">
        <v>9960</v>
      </c>
      <c r="K160" s="462"/>
      <c r="L160" s="462">
        <v>11708.0</v>
      </c>
      <c r="M160" s="463" t="s">
        <v>9596</v>
      </c>
    </row>
    <row r="161">
      <c r="A161" s="358" t="s">
        <v>9961</v>
      </c>
      <c r="B161" s="358">
        <v>14590.0</v>
      </c>
      <c r="C161" s="11" t="s">
        <v>9590</v>
      </c>
      <c r="D161" s="74">
        <v>0.9</v>
      </c>
      <c r="E161" s="74">
        <v>0.9</v>
      </c>
      <c r="F161" s="229" t="s">
        <v>1656</v>
      </c>
      <c r="G161" s="467"/>
      <c r="H161" s="183" t="s">
        <v>9962</v>
      </c>
      <c r="I161" s="464">
        <v>7181.0</v>
      </c>
      <c r="J161" s="279" t="s">
        <v>9963</v>
      </c>
      <c r="K161" s="462"/>
      <c r="L161" s="462">
        <v>315.0</v>
      </c>
      <c r="M161" s="463" t="s">
        <v>9596</v>
      </c>
    </row>
    <row r="162">
      <c r="A162" s="358" t="s">
        <v>9964</v>
      </c>
      <c r="B162" s="358">
        <v>3404.0</v>
      </c>
      <c r="C162" s="11" t="s">
        <v>9590</v>
      </c>
      <c r="D162" s="475">
        <v>0.78</v>
      </c>
      <c r="E162" s="475">
        <v>0.78</v>
      </c>
      <c r="F162" s="229" t="s">
        <v>1656</v>
      </c>
      <c r="G162" s="467"/>
      <c r="H162" s="183" t="s">
        <v>9965</v>
      </c>
      <c r="I162" s="464">
        <v>5458.0</v>
      </c>
      <c r="J162" s="279" t="s">
        <v>9966</v>
      </c>
      <c r="K162" s="462"/>
      <c r="L162" s="462">
        <v>6970.0</v>
      </c>
      <c r="M162" s="463" t="s">
        <v>9596</v>
      </c>
    </row>
    <row r="163">
      <c r="A163" s="358" t="s">
        <v>9967</v>
      </c>
      <c r="B163" s="358">
        <v>14590.0</v>
      </c>
      <c r="C163" s="11" t="s">
        <v>9590</v>
      </c>
      <c r="D163" s="74">
        <v>0.9</v>
      </c>
      <c r="E163" s="74">
        <v>0.9</v>
      </c>
      <c r="F163" s="229" t="s">
        <v>1656</v>
      </c>
      <c r="G163" s="467"/>
      <c r="H163" s="457" t="s">
        <v>9968</v>
      </c>
      <c r="I163" s="465">
        <v>6675.0</v>
      </c>
      <c r="J163" s="279" t="s">
        <v>9969</v>
      </c>
      <c r="K163" s="480"/>
      <c r="L163" s="480"/>
      <c r="M163" s="463" t="s">
        <v>9596</v>
      </c>
    </row>
    <row r="164">
      <c r="A164" s="358" t="s">
        <v>9970</v>
      </c>
      <c r="B164" s="358">
        <v>14590.0</v>
      </c>
      <c r="C164" s="11" t="s">
        <v>9590</v>
      </c>
      <c r="D164" s="74">
        <v>0.9</v>
      </c>
      <c r="E164" s="74">
        <v>0.9</v>
      </c>
      <c r="F164" s="229" t="s">
        <v>1656</v>
      </c>
      <c r="G164" s="467"/>
      <c r="H164" s="460" t="s">
        <v>9971</v>
      </c>
      <c r="I164" s="461">
        <v>6831.0</v>
      </c>
      <c r="J164" s="279" t="s">
        <v>9972</v>
      </c>
      <c r="K164" s="480"/>
      <c r="L164" s="480"/>
      <c r="M164" s="463" t="s">
        <v>9596</v>
      </c>
    </row>
    <row r="165">
      <c r="A165" s="358" t="s">
        <v>9973</v>
      </c>
      <c r="B165" s="358">
        <v>14590.0</v>
      </c>
      <c r="C165" s="11" t="s">
        <v>9590</v>
      </c>
      <c r="D165" s="74">
        <v>0.9</v>
      </c>
      <c r="E165" s="74">
        <v>0.9</v>
      </c>
      <c r="F165" s="229" t="s">
        <v>1656</v>
      </c>
      <c r="G165" s="467"/>
      <c r="H165" s="183" t="s">
        <v>9974</v>
      </c>
      <c r="I165" s="464">
        <v>499.0</v>
      </c>
      <c r="J165" s="279" t="s">
        <v>9975</v>
      </c>
      <c r="K165" s="462"/>
      <c r="L165" s="462">
        <v>11875.0</v>
      </c>
      <c r="M165" s="463" t="s">
        <v>9596</v>
      </c>
    </row>
    <row r="166">
      <c r="A166" s="358" t="s">
        <v>9976</v>
      </c>
      <c r="B166" s="358">
        <v>14590.0</v>
      </c>
      <c r="C166" s="11" t="s">
        <v>9590</v>
      </c>
      <c r="D166" s="74">
        <v>0.9</v>
      </c>
      <c r="E166" s="74">
        <v>0.9</v>
      </c>
      <c r="F166" s="229" t="s">
        <v>1656</v>
      </c>
      <c r="G166" s="467"/>
      <c r="H166" s="183" t="s">
        <v>9977</v>
      </c>
      <c r="I166" s="464">
        <v>6831.0</v>
      </c>
      <c r="J166" s="279" t="s">
        <v>9978</v>
      </c>
      <c r="K166" s="480"/>
      <c r="L166" s="480"/>
      <c r="M166" s="463" t="s">
        <v>9596</v>
      </c>
    </row>
    <row r="167">
      <c r="A167" s="358" t="s">
        <v>9979</v>
      </c>
      <c r="B167" s="358">
        <v>14590.0</v>
      </c>
      <c r="C167" s="11" t="s">
        <v>9590</v>
      </c>
      <c r="D167" s="74">
        <v>0.9</v>
      </c>
      <c r="E167" s="74">
        <v>0.9</v>
      </c>
      <c r="F167" s="229" t="s">
        <v>1656</v>
      </c>
      <c r="G167" s="467"/>
      <c r="H167" s="460" t="s">
        <v>9980</v>
      </c>
      <c r="I167" s="461">
        <v>14593.0</v>
      </c>
      <c r="J167" s="279" t="s">
        <v>9981</v>
      </c>
      <c r="K167" s="462"/>
      <c r="L167" s="462">
        <v>7149.0</v>
      </c>
      <c r="M167" s="463" t="s">
        <v>9596</v>
      </c>
    </row>
    <row r="168">
      <c r="A168" s="358" t="s">
        <v>9982</v>
      </c>
      <c r="B168" s="358">
        <v>14590.0</v>
      </c>
      <c r="C168" s="11" t="s">
        <v>9590</v>
      </c>
      <c r="D168" s="74">
        <v>0.9</v>
      </c>
      <c r="E168" s="74">
        <v>0.9</v>
      </c>
      <c r="F168" s="229" t="s">
        <v>1656</v>
      </c>
      <c r="G168" s="467"/>
      <c r="H168" s="460" t="s">
        <v>9983</v>
      </c>
      <c r="I168" s="461">
        <v>6109.0</v>
      </c>
      <c r="J168" s="279" t="s">
        <v>9984</v>
      </c>
      <c r="K168" s="480"/>
      <c r="L168" s="480"/>
      <c r="M168" s="463" t="s">
        <v>9596</v>
      </c>
    </row>
    <row r="169">
      <c r="A169" s="358" t="s">
        <v>9985</v>
      </c>
      <c r="B169" s="358">
        <v>14590.0</v>
      </c>
      <c r="C169" s="11" t="s">
        <v>9590</v>
      </c>
      <c r="D169" s="74">
        <v>0.9</v>
      </c>
      <c r="E169" s="74">
        <v>0.9</v>
      </c>
      <c r="F169" s="229" t="s">
        <v>1656</v>
      </c>
      <c r="G169" s="467"/>
      <c r="H169" s="460" t="s">
        <v>9986</v>
      </c>
      <c r="I169" s="461">
        <v>11104.0</v>
      </c>
      <c r="J169" s="279" t="s">
        <v>9987</v>
      </c>
      <c r="K169" s="462"/>
      <c r="L169" s="462">
        <v>4876.0</v>
      </c>
      <c r="M169" s="463" t="s">
        <v>9596</v>
      </c>
    </row>
    <row r="170">
      <c r="A170" s="358" t="s">
        <v>9988</v>
      </c>
      <c r="B170" s="477">
        <v>14580.0</v>
      </c>
      <c r="C170" s="11" t="s">
        <v>9590</v>
      </c>
      <c r="D170" s="475">
        <v>0.78</v>
      </c>
      <c r="E170" s="475">
        <v>0.78</v>
      </c>
      <c r="F170" s="229" t="s">
        <v>1656</v>
      </c>
      <c r="G170" s="467"/>
      <c r="H170" s="460" t="s">
        <v>9989</v>
      </c>
      <c r="I170" s="461">
        <v>8002.0</v>
      </c>
      <c r="J170" s="279" t="s">
        <v>9990</v>
      </c>
      <c r="K170" s="480"/>
      <c r="L170" s="480"/>
      <c r="M170" s="463" t="s">
        <v>9596</v>
      </c>
    </row>
    <row r="171">
      <c r="A171" s="358" t="s">
        <v>9991</v>
      </c>
      <c r="B171" s="358">
        <v>14590.0</v>
      </c>
      <c r="C171" s="11" t="s">
        <v>9590</v>
      </c>
      <c r="D171" s="74">
        <v>0.9</v>
      </c>
      <c r="E171" s="74">
        <v>0.9</v>
      </c>
      <c r="F171" s="229" t="s">
        <v>1656</v>
      </c>
      <c r="G171" s="467"/>
      <c r="H171" s="460" t="s">
        <v>9992</v>
      </c>
      <c r="I171" s="465">
        <v>6668.0</v>
      </c>
      <c r="J171" s="279" t="s">
        <v>9993</v>
      </c>
      <c r="K171" s="480"/>
      <c r="L171" s="480"/>
      <c r="M171" s="463" t="s">
        <v>9596</v>
      </c>
    </row>
    <row r="172">
      <c r="A172" s="358" t="s">
        <v>9994</v>
      </c>
      <c r="B172" s="358">
        <v>14590.0</v>
      </c>
      <c r="C172" s="11" t="s">
        <v>9590</v>
      </c>
      <c r="D172" s="74">
        <v>0.9</v>
      </c>
      <c r="E172" s="74">
        <v>0.9</v>
      </c>
      <c r="F172" s="229" t="s">
        <v>1656</v>
      </c>
      <c r="G172" s="467"/>
      <c r="H172" s="460" t="s">
        <v>9995</v>
      </c>
      <c r="I172" s="461">
        <v>7877.0</v>
      </c>
      <c r="J172" s="279" t="s">
        <v>9996</v>
      </c>
      <c r="K172" s="483"/>
      <c r="L172" s="483">
        <v>8244.0</v>
      </c>
      <c r="M172" s="463" t="s">
        <v>9596</v>
      </c>
    </row>
    <row r="173">
      <c r="A173" s="358" t="s">
        <v>9997</v>
      </c>
      <c r="B173" s="358">
        <v>14590.0</v>
      </c>
      <c r="C173" s="11" t="s">
        <v>9590</v>
      </c>
      <c r="D173" s="74">
        <v>0.9</v>
      </c>
      <c r="E173" s="74">
        <v>0.9</v>
      </c>
      <c r="F173" s="229" t="s">
        <v>1656</v>
      </c>
      <c r="G173" s="467"/>
      <c r="H173" s="460" t="s">
        <v>9998</v>
      </c>
      <c r="I173" s="461">
        <v>7877.0</v>
      </c>
      <c r="J173" s="279" t="s">
        <v>9999</v>
      </c>
      <c r="K173" s="462"/>
      <c r="L173" s="462">
        <v>489.0</v>
      </c>
      <c r="M173" s="463" t="s">
        <v>9596</v>
      </c>
    </row>
    <row r="174">
      <c r="A174" s="358" t="s">
        <v>10000</v>
      </c>
      <c r="B174" s="358">
        <v>14590.0</v>
      </c>
      <c r="C174" s="11" t="s">
        <v>9590</v>
      </c>
      <c r="D174" s="74">
        <v>0.9</v>
      </c>
      <c r="E174" s="74">
        <v>0.9</v>
      </c>
      <c r="F174" s="229" t="s">
        <v>1656</v>
      </c>
      <c r="G174" s="467"/>
      <c r="H174" s="460" t="s">
        <v>10001</v>
      </c>
      <c r="I174" s="465">
        <v>6668.0</v>
      </c>
      <c r="J174" s="279" t="s">
        <v>10002</v>
      </c>
      <c r="K174" s="462"/>
      <c r="L174" s="462">
        <v>489.0</v>
      </c>
      <c r="M174" s="463" t="s">
        <v>9596</v>
      </c>
    </row>
    <row r="175">
      <c r="A175" s="358" t="s">
        <v>10003</v>
      </c>
      <c r="B175" s="358">
        <v>14590.0</v>
      </c>
      <c r="C175" s="11" t="s">
        <v>9590</v>
      </c>
      <c r="D175" s="74">
        <v>0.9</v>
      </c>
      <c r="E175" s="74">
        <v>0.9</v>
      </c>
      <c r="F175" s="229" t="s">
        <v>1656</v>
      </c>
      <c r="G175" s="467"/>
      <c r="H175" s="183" t="s">
        <v>10004</v>
      </c>
      <c r="I175" s="464">
        <v>6671.0</v>
      </c>
      <c r="J175" s="279" t="s">
        <v>10005</v>
      </c>
      <c r="K175" s="462"/>
      <c r="L175" s="462">
        <v>489.0</v>
      </c>
      <c r="M175" s="463" t="s">
        <v>9596</v>
      </c>
    </row>
    <row r="176">
      <c r="A176" s="358" t="s">
        <v>10006</v>
      </c>
      <c r="B176" s="358">
        <v>14590.0</v>
      </c>
      <c r="C176" s="11" t="s">
        <v>9590</v>
      </c>
      <c r="D176" s="74">
        <v>0.9</v>
      </c>
      <c r="E176" s="74">
        <v>0.9</v>
      </c>
      <c r="F176" s="229" t="s">
        <v>1656</v>
      </c>
      <c r="G176" s="467"/>
      <c r="H176" s="460" t="s">
        <v>10007</v>
      </c>
      <c r="I176" s="461">
        <v>6671.0</v>
      </c>
      <c r="J176" s="279" t="s">
        <v>10008</v>
      </c>
      <c r="K176" s="462"/>
      <c r="L176" s="462">
        <v>6109.0</v>
      </c>
      <c r="M176" s="463" t="s">
        <v>9596</v>
      </c>
    </row>
    <row r="177">
      <c r="A177" s="358" t="s">
        <v>10009</v>
      </c>
      <c r="B177" s="358">
        <v>14590.0</v>
      </c>
      <c r="C177" s="11" t="s">
        <v>9590</v>
      </c>
      <c r="D177" s="74">
        <v>0.9</v>
      </c>
      <c r="E177" s="74">
        <v>0.9</v>
      </c>
      <c r="F177" s="229" t="s">
        <v>1656</v>
      </c>
      <c r="G177" s="467"/>
      <c r="H177" s="183" t="s">
        <v>10010</v>
      </c>
      <c r="I177" s="464">
        <v>5458.0</v>
      </c>
      <c r="J177" s="279" t="s">
        <v>10011</v>
      </c>
      <c r="K177" s="462"/>
      <c r="L177" s="462">
        <v>6109.0</v>
      </c>
      <c r="M177" s="463" t="s">
        <v>9596</v>
      </c>
    </row>
    <row r="178">
      <c r="A178" s="358" t="s">
        <v>10012</v>
      </c>
      <c r="B178" s="358">
        <v>14590.0</v>
      </c>
      <c r="C178" s="11" t="s">
        <v>9590</v>
      </c>
      <c r="D178" s="74">
        <v>0.9</v>
      </c>
      <c r="E178" s="74">
        <v>0.9</v>
      </c>
      <c r="F178" s="229" t="s">
        <v>1656</v>
      </c>
      <c r="G178" s="467"/>
      <c r="H178" s="460" t="s">
        <v>10013</v>
      </c>
      <c r="I178" s="461">
        <v>5458.0</v>
      </c>
      <c r="J178" s="279" t="s">
        <v>10014</v>
      </c>
      <c r="K178" s="462"/>
      <c r="L178" s="462">
        <v>6109.0</v>
      </c>
      <c r="M178" s="463" t="s">
        <v>9596</v>
      </c>
    </row>
    <row r="179">
      <c r="A179" s="358" t="s">
        <v>10015</v>
      </c>
      <c r="B179" s="358">
        <v>14590.0</v>
      </c>
      <c r="C179" s="11" t="s">
        <v>9590</v>
      </c>
      <c r="D179" s="74">
        <v>0.9</v>
      </c>
      <c r="E179" s="74">
        <v>0.9</v>
      </c>
      <c r="F179" s="229" t="s">
        <v>1656</v>
      </c>
      <c r="G179" s="467"/>
      <c r="H179" s="183" t="s">
        <v>10016</v>
      </c>
      <c r="I179" s="464">
        <v>7055.0</v>
      </c>
      <c r="J179" s="279" t="s">
        <v>10017</v>
      </c>
      <c r="K179" s="462"/>
      <c r="L179" s="462">
        <v>6109.0</v>
      </c>
      <c r="M179" s="463" t="s">
        <v>9596</v>
      </c>
    </row>
    <row r="180">
      <c r="A180" s="358" t="s">
        <v>10018</v>
      </c>
      <c r="B180" s="358">
        <v>14590.0</v>
      </c>
      <c r="C180" s="11" t="s">
        <v>9590</v>
      </c>
      <c r="D180" s="74">
        <v>0.9</v>
      </c>
      <c r="E180" s="74">
        <v>0.9</v>
      </c>
      <c r="F180" s="229" t="s">
        <v>1656</v>
      </c>
      <c r="G180" s="467"/>
      <c r="H180" s="460" t="s">
        <v>10019</v>
      </c>
      <c r="I180" s="170">
        <v>9363.0</v>
      </c>
      <c r="J180" s="279" t="s">
        <v>10020</v>
      </c>
      <c r="K180" s="462"/>
      <c r="L180" s="462">
        <v>6109.0</v>
      </c>
      <c r="M180" s="463" t="s">
        <v>9596</v>
      </c>
    </row>
    <row r="181">
      <c r="A181" s="358" t="s">
        <v>10021</v>
      </c>
      <c r="B181" s="358">
        <v>14590.0</v>
      </c>
      <c r="C181" s="11" t="s">
        <v>9590</v>
      </c>
      <c r="D181" s="74">
        <v>0.9</v>
      </c>
      <c r="E181" s="74">
        <v>0.9</v>
      </c>
      <c r="F181" s="229" t="s">
        <v>1656</v>
      </c>
      <c r="G181" s="467"/>
      <c r="H181" s="460" t="s">
        <v>10022</v>
      </c>
      <c r="I181" s="461">
        <v>7648.0</v>
      </c>
      <c r="J181" s="484" t="s">
        <v>10023</v>
      </c>
      <c r="K181" s="482"/>
      <c r="L181" s="482">
        <v>283.0</v>
      </c>
      <c r="M181" s="463" t="s">
        <v>9596</v>
      </c>
    </row>
    <row r="182">
      <c r="A182" s="358" t="s">
        <v>10024</v>
      </c>
      <c r="B182" s="358">
        <v>14590.0</v>
      </c>
      <c r="C182" s="11" t="s">
        <v>9590</v>
      </c>
      <c r="D182" s="74">
        <v>0.9</v>
      </c>
      <c r="E182" s="74">
        <v>0.9</v>
      </c>
      <c r="F182" s="229" t="s">
        <v>1656</v>
      </c>
      <c r="G182" s="467"/>
      <c r="H182" s="457" t="s">
        <v>10025</v>
      </c>
      <c r="I182" s="465">
        <v>6675.0</v>
      </c>
      <c r="J182" s="484" t="s">
        <v>10026</v>
      </c>
      <c r="K182" s="462"/>
      <c r="L182" s="462">
        <v>9307.0</v>
      </c>
      <c r="M182" s="463" t="s">
        <v>9596</v>
      </c>
    </row>
    <row r="183">
      <c r="A183" s="358" t="s">
        <v>10027</v>
      </c>
      <c r="B183" s="358">
        <v>14590.0</v>
      </c>
      <c r="C183" s="11" t="s">
        <v>9590</v>
      </c>
      <c r="D183" s="74">
        <v>0.9</v>
      </c>
      <c r="E183" s="74">
        <v>0.9</v>
      </c>
      <c r="F183" s="229" t="s">
        <v>1656</v>
      </c>
      <c r="G183" s="467"/>
      <c r="H183" s="460" t="s">
        <v>10028</v>
      </c>
      <c r="I183" s="461">
        <v>7877.0</v>
      </c>
      <c r="J183" s="484" t="s">
        <v>10029</v>
      </c>
      <c r="K183" s="482"/>
      <c r="L183" s="482">
        <v>283.0</v>
      </c>
      <c r="M183" s="463" t="s">
        <v>9596</v>
      </c>
    </row>
    <row r="184">
      <c r="A184" s="358" t="s">
        <v>10030</v>
      </c>
      <c r="B184" s="358">
        <v>14590.0</v>
      </c>
      <c r="C184" s="11" t="s">
        <v>9590</v>
      </c>
      <c r="D184" s="74">
        <v>0.9</v>
      </c>
      <c r="E184" s="74">
        <v>0.9</v>
      </c>
      <c r="F184" s="229" t="s">
        <v>1656</v>
      </c>
      <c r="G184" s="467"/>
      <c r="H184" s="460" t="s">
        <v>10031</v>
      </c>
      <c r="I184" s="461">
        <v>7877.0</v>
      </c>
      <c r="J184" s="484" t="s">
        <v>10032</v>
      </c>
      <c r="K184" s="482"/>
      <c r="L184" s="482">
        <v>283.0</v>
      </c>
      <c r="M184" s="463" t="s">
        <v>9596</v>
      </c>
    </row>
    <row r="185">
      <c r="A185" s="358" t="s">
        <v>10033</v>
      </c>
      <c r="B185" s="358">
        <v>14590.0</v>
      </c>
      <c r="C185" s="11" t="s">
        <v>9590</v>
      </c>
      <c r="D185" s="74">
        <v>0.9</v>
      </c>
      <c r="E185" s="74">
        <v>0.9</v>
      </c>
      <c r="F185" s="229" t="s">
        <v>1656</v>
      </c>
      <c r="G185" s="467"/>
      <c r="H185" s="460" t="s">
        <v>10034</v>
      </c>
      <c r="I185" s="461">
        <v>7246.0</v>
      </c>
      <c r="J185" s="484" t="s">
        <v>10035</v>
      </c>
      <c r="K185" s="479"/>
      <c r="L185" s="479"/>
      <c r="M185" s="463" t="s">
        <v>9596</v>
      </c>
    </row>
    <row r="186">
      <c r="A186" s="358" t="s">
        <v>10036</v>
      </c>
      <c r="B186" s="358">
        <v>14590.0</v>
      </c>
      <c r="C186" s="11" t="s">
        <v>9590</v>
      </c>
      <c r="D186" s="74">
        <v>0.9</v>
      </c>
      <c r="E186" s="74">
        <v>0.9</v>
      </c>
      <c r="F186" s="229" t="s">
        <v>1656</v>
      </c>
      <c r="G186" s="467"/>
      <c r="H186" s="460" t="s">
        <v>10037</v>
      </c>
      <c r="I186" s="461">
        <v>7877.0</v>
      </c>
      <c r="J186" s="484" t="s">
        <v>10038</v>
      </c>
      <c r="K186" s="479"/>
      <c r="L186" s="479"/>
      <c r="M186" s="463" t="s">
        <v>9596</v>
      </c>
    </row>
    <row r="187">
      <c r="A187" s="358" t="s">
        <v>10039</v>
      </c>
      <c r="B187" s="16">
        <v>14732.0</v>
      </c>
      <c r="C187" s="11" t="s">
        <v>9590</v>
      </c>
      <c r="D187" s="475">
        <v>0.78</v>
      </c>
      <c r="E187" s="475">
        <v>0.78</v>
      </c>
      <c r="F187" s="229" t="s">
        <v>1656</v>
      </c>
      <c r="G187" s="467"/>
      <c r="H187" s="183" t="s">
        <v>10040</v>
      </c>
      <c r="I187" s="464">
        <v>7877.0</v>
      </c>
      <c r="J187" s="485" t="s">
        <v>10041</v>
      </c>
      <c r="K187" s="482"/>
      <c r="L187" s="279">
        <v>11875.0</v>
      </c>
      <c r="M187" s="463" t="s">
        <v>9596</v>
      </c>
    </row>
    <row r="188">
      <c r="A188" s="358" t="s">
        <v>10042</v>
      </c>
      <c r="B188" s="358">
        <v>14590.0</v>
      </c>
      <c r="C188" s="11" t="s">
        <v>9590</v>
      </c>
      <c r="D188" s="74">
        <v>0.9</v>
      </c>
      <c r="E188" s="74">
        <v>0.9</v>
      </c>
      <c r="F188" s="229" t="s">
        <v>1656</v>
      </c>
      <c r="G188" s="467"/>
      <c r="H188" s="183" t="s">
        <v>10043</v>
      </c>
      <c r="I188" s="464">
        <v>7877.0</v>
      </c>
      <c r="J188" s="485" t="s">
        <v>10044</v>
      </c>
      <c r="K188" s="482"/>
      <c r="L188" s="482">
        <v>283.0</v>
      </c>
      <c r="M188" s="463" t="s">
        <v>9596</v>
      </c>
    </row>
    <row r="189">
      <c r="A189" s="358" t="s">
        <v>10045</v>
      </c>
      <c r="B189" s="358">
        <v>14590.0</v>
      </c>
      <c r="C189" s="11" t="s">
        <v>9590</v>
      </c>
      <c r="D189" s="74">
        <v>0.9</v>
      </c>
      <c r="E189" s="74">
        <v>0.9</v>
      </c>
      <c r="F189" s="229" t="s">
        <v>1656</v>
      </c>
      <c r="G189" s="467"/>
      <c r="H189" s="460" t="s">
        <v>10046</v>
      </c>
      <c r="I189" s="461">
        <v>7877.0</v>
      </c>
      <c r="J189" s="485" t="s">
        <v>10047</v>
      </c>
      <c r="K189" s="479"/>
      <c r="L189" s="280"/>
      <c r="M189" s="463" t="s">
        <v>9596</v>
      </c>
    </row>
    <row r="190">
      <c r="A190" s="358" t="s">
        <v>10048</v>
      </c>
      <c r="B190" s="358">
        <v>14590.0</v>
      </c>
      <c r="C190" s="11" t="s">
        <v>9590</v>
      </c>
      <c r="D190" s="74">
        <v>0.9</v>
      </c>
      <c r="E190" s="74">
        <v>0.9</v>
      </c>
      <c r="F190" s="229" t="s">
        <v>1656</v>
      </c>
      <c r="G190" s="467"/>
      <c r="H190" s="460" t="s">
        <v>10049</v>
      </c>
      <c r="I190" s="461">
        <v>7877.0</v>
      </c>
      <c r="J190" s="485" t="s">
        <v>10050</v>
      </c>
      <c r="K190" s="479"/>
      <c r="L190" s="280"/>
      <c r="M190" s="463" t="s">
        <v>9596</v>
      </c>
    </row>
    <row r="191">
      <c r="A191" s="358" t="s">
        <v>10051</v>
      </c>
      <c r="B191" s="358">
        <v>14590.0</v>
      </c>
      <c r="C191" s="11" t="s">
        <v>9590</v>
      </c>
      <c r="D191" s="74">
        <v>0.9</v>
      </c>
      <c r="E191" s="74">
        <v>0.9</v>
      </c>
      <c r="F191" s="229" t="s">
        <v>1656</v>
      </c>
      <c r="G191" s="467"/>
      <c r="H191" s="175" t="s">
        <v>10052</v>
      </c>
      <c r="I191" s="465">
        <v>5458.0</v>
      </c>
      <c r="J191" s="485" t="s">
        <v>10053</v>
      </c>
      <c r="K191" s="479"/>
      <c r="L191" s="280"/>
      <c r="M191" s="463" t="s">
        <v>9596</v>
      </c>
    </row>
    <row r="192">
      <c r="A192" s="358" t="s">
        <v>10054</v>
      </c>
      <c r="B192" s="358">
        <v>14590.0</v>
      </c>
      <c r="C192" s="11" t="s">
        <v>9590</v>
      </c>
      <c r="D192" s="74">
        <v>0.9</v>
      </c>
      <c r="E192" s="74">
        <v>0.9</v>
      </c>
      <c r="F192" s="229" t="s">
        <v>1656</v>
      </c>
      <c r="G192" s="467"/>
      <c r="H192" s="486" t="s">
        <v>10055</v>
      </c>
      <c r="I192" s="461">
        <v>9307.0</v>
      </c>
      <c r="J192" s="279" t="s">
        <v>10056</v>
      </c>
      <c r="K192" s="479"/>
      <c r="L192" s="280"/>
      <c r="M192" s="463" t="s">
        <v>9596</v>
      </c>
    </row>
    <row r="193">
      <c r="A193" s="358" t="s">
        <v>10057</v>
      </c>
      <c r="B193" s="358">
        <v>14590.0</v>
      </c>
      <c r="C193" s="11" t="s">
        <v>9590</v>
      </c>
      <c r="D193" s="74">
        <v>0.9</v>
      </c>
      <c r="E193" s="74">
        <v>0.9</v>
      </c>
      <c r="F193" s="229" t="s">
        <v>1656</v>
      </c>
      <c r="G193" s="467"/>
      <c r="H193" s="170" t="s">
        <v>2011</v>
      </c>
      <c r="I193" s="461">
        <v>3689.0</v>
      </c>
      <c r="J193" s="279" t="s">
        <v>10058</v>
      </c>
      <c r="K193" s="479"/>
      <c r="L193" s="280"/>
      <c r="M193" s="463" t="s">
        <v>9596</v>
      </c>
    </row>
    <row r="194">
      <c r="A194" s="358" t="s">
        <v>10059</v>
      </c>
      <c r="B194" s="358">
        <v>14590.0</v>
      </c>
      <c r="C194" s="11" t="s">
        <v>9590</v>
      </c>
      <c r="D194" s="74">
        <v>0.9</v>
      </c>
      <c r="E194" s="74">
        <v>0.9</v>
      </c>
      <c r="F194" s="229" t="s">
        <v>1656</v>
      </c>
      <c r="G194" s="467"/>
      <c r="H194" s="170" t="s">
        <v>10060</v>
      </c>
      <c r="I194" s="461">
        <v>283.0</v>
      </c>
      <c r="J194" s="279" t="s">
        <v>10061</v>
      </c>
      <c r="K194" s="479"/>
      <c r="L194" s="280"/>
      <c r="M194" s="463" t="s">
        <v>9596</v>
      </c>
    </row>
    <row r="195">
      <c r="A195" s="358" t="s">
        <v>10062</v>
      </c>
      <c r="B195" s="358">
        <v>14590.0</v>
      </c>
      <c r="C195" s="11" t="s">
        <v>9590</v>
      </c>
      <c r="D195" s="74">
        <v>0.9</v>
      </c>
      <c r="E195" s="74">
        <v>0.9</v>
      </c>
      <c r="F195" s="229" t="s">
        <v>1656</v>
      </c>
      <c r="G195" s="467"/>
      <c r="H195" s="12" t="s">
        <v>10063</v>
      </c>
      <c r="I195" s="464">
        <v>12932.0</v>
      </c>
      <c r="J195" s="279" t="s">
        <v>10064</v>
      </c>
      <c r="K195" s="479"/>
      <c r="L195" s="280"/>
      <c r="M195" s="463" t="s">
        <v>9596</v>
      </c>
    </row>
    <row r="196">
      <c r="A196" s="358" t="s">
        <v>10065</v>
      </c>
      <c r="B196" s="358">
        <v>14590.0</v>
      </c>
      <c r="C196" s="11" t="s">
        <v>9590</v>
      </c>
      <c r="D196" s="74">
        <v>0.9</v>
      </c>
      <c r="E196" s="74">
        <v>0.9</v>
      </c>
      <c r="F196" s="229" t="s">
        <v>1656</v>
      </c>
      <c r="G196" s="467"/>
      <c r="H196" s="175" t="s">
        <v>10066</v>
      </c>
      <c r="I196" s="465">
        <v>7747.0</v>
      </c>
      <c r="J196" s="279" t="s">
        <v>10067</v>
      </c>
      <c r="K196" s="479"/>
      <c r="L196" s="280"/>
      <c r="M196" s="463" t="s">
        <v>9596</v>
      </c>
    </row>
    <row r="197">
      <c r="A197" s="358" t="s">
        <v>10068</v>
      </c>
      <c r="B197" s="358">
        <v>14590.0</v>
      </c>
      <c r="C197" s="11" t="s">
        <v>9590</v>
      </c>
      <c r="D197" s="74">
        <v>0.9</v>
      </c>
      <c r="E197" s="74">
        <v>0.9</v>
      </c>
      <c r="F197" s="229" t="s">
        <v>1656</v>
      </c>
      <c r="G197" s="467"/>
      <c r="H197" s="175" t="s">
        <v>10069</v>
      </c>
      <c r="I197" s="465">
        <v>12553.0</v>
      </c>
      <c r="J197" s="279" t="s">
        <v>10070</v>
      </c>
      <c r="K197" s="479"/>
      <c r="L197" s="280"/>
      <c r="M197" s="463" t="s">
        <v>9596</v>
      </c>
    </row>
    <row r="198">
      <c r="A198" s="358" t="s">
        <v>10071</v>
      </c>
      <c r="B198" s="358">
        <v>14590.0</v>
      </c>
      <c r="C198" s="11" t="s">
        <v>9590</v>
      </c>
      <c r="D198" s="74">
        <v>0.9</v>
      </c>
      <c r="E198" s="74">
        <v>0.9</v>
      </c>
      <c r="F198" s="229" t="s">
        <v>1656</v>
      </c>
      <c r="G198" s="467"/>
      <c r="H198" s="175" t="s">
        <v>10072</v>
      </c>
      <c r="J198" s="279" t="s">
        <v>10073</v>
      </c>
      <c r="K198" s="479"/>
      <c r="L198" s="280"/>
      <c r="M198" s="463" t="s">
        <v>9596</v>
      </c>
    </row>
    <row r="199">
      <c r="A199" s="358" t="s">
        <v>10074</v>
      </c>
      <c r="B199" s="358">
        <v>14590.0</v>
      </c>
      <c r="C199" s="11" t="s">
        <v>9590</v>
      </c>
      <c r="D199" s="74">
        <v>0.9</v>
      </c>
      <c r="E199" s="74">
        <v>0.9</v>
      </c>
      <c r="F199" s="229" t="s">
        <v>1656</v>
      </c>
      <c r="G199" s="467"/>
      <c r="H199" s="170" t="s">
        <v>10075</v>
      </c>
      <c r="I199" s="461">
        <v>283.0</v>
      </c>
      <c r="J199" s="279" t="s">
        <v>10076</v>
      </c>
      <c r="K199" s="479"/>
      <c r="L199" s="280"/>
      <c r="M199" s="463" t="s">
        <v>9596</v>
      </c>
    </row>
    <row r="200">
      <c r="A200" s="358" t="s">
        <v>10077</v>
      </c>
      <c r="B200" s="358">
        <v>14590.0</v>
      </c>
      <c r="C200" s="11" t="s">
        <v>9590</v>
      </c>
      <c r="D200" s="74">
        <v>0.9</v>
      </c>
      <c r="E200" s="74">
        <v>0.9</v>
      </c>
      <c r="F200" s="229" t="s">
        <v>1656</v>
      </c>
      <c r="G200" s="467"/>
      <c r="H200" s="175" t="s">
        <v>10078</v>
      </c>
      <c r="I200" s="465">
        <v>889.0</v>
      </c>
      <c r="J200" s="279" t="s">
        <v>10079</v>
      </c>
      <c r="K200" s="479"/>
      <c r="L200" s="280"/>
      <c r="M200" s="463" t="s">
        <v>9596</v>
      </c>
    </row>
    <row r="201">
      <c r="A201" s="358" t="s">
        <v>10080</v>
      </c>
      <c r="B201" s="358">
        <v>14590.0</v>
      </c>
      <c r="C201" s="11" t="s">
        <v>9590</v>
      </c>
      <c r="D201" s="74">
        <v>0.9</v>
      </c>
      <c r="E201" s="74">
        <v>0.9</v>
      </c>
      <c r="F201" s="229" t="s">
        <v>1656</v>
      </c>
      <c r="G201" s="467"/>
      <c r="H201" s="170" t="s">
        <v>10081</v>
      </c>
      <c r="I201" s="461">
        <v>283.0</v>
      </c>
      <c r="J201" s="279" t="s">
        <v>10082</v>
      </c>
      <c r="K201" s="479"/>
      <c r="L201" s="280"/>
      <c r="M201" s="463" t="s">
        <v>9596</v>
      </c>
    </row>
    <row r="202">
      <c r="A202" s="358" t="s">
        <v>10083</v>
      </c>
      <c r="B202" s="477">
        <v>6722.0</v>
      </c>
      <c r="C202" s="11" t="s">
        <v>9590</v>
      </c>
      <c r="D202" s="475">
        <v>0.78</v>
      </c>
      <c r="E202" s="475">
        <v>0.78</v>
      </c>
      <c r="F202" s="229" t="s">
        <v>1656</v>
      </c>
      <c r="G202" s="467"/>
      <c r="H202" s="175" t="s">
        <v>10084</v>
      </c>
      <c r="I202" s="465">
        <v>14571.0</v>
      </c>
      <c r="J202" s="7" t="s">
        <v>9591</v>
      </c>
      <c r="K202" s="9">
        <v>8199.0</v>
      </c>
      <c r="L202" s="446">
        <v>6732.0</v>
      </c>
      <c r="M202" s="244" t="s">
        <v>9593</v>
      </c>
    </row>
    <row r="203">
      <c r="A203" s="358" t="s">
        <v>10085</v>
      </c>
      <c r="B203" s="358">
        <v>14649.0</v>
      </c>
      <c r="C203" s="11" t="s">
        <v>9590</v>
      </c>
      <c r="D203" s="475">
        <v>0.78</v>
      </c>
      <c r="E203" s="475">
        <v>0.78</v>
      </c>
      <c r="F203" s="229" t="s">
        <v>1656</v>
      </c>
      <c r="G203" s="467"/>
      <c r="H203" s="175" t="s">
        <v>10086</v>
      </c>
      <c r="I203" s="465">
        <v>14571.0</v>
      </c>
      <c r="J203" s="208" t="s">
        <v>9595</v>
      </c>
      <c r="K203" s="487">
        <v>6732.0</v>
      </c>
      <c r="L203" s="36"/>
      <c r="M203" s="246" t="s">
        <v>9593</v>
      </c>
    </row>
    <row r="204">
      <c r="A204" s="358" t="s">
        <v>10087</v>
      </c>
      <c r="B204" s="477">
        <v>6675.0</v>
      </c>
      <c r="C204" s="11" t="s">
        <v>9590</v>
      </c>
      <c r="D204" s="74">
        <v>0.9</v>
      </c>
      <c r="E204" s="74">
        <v>0.9</v>
      </c>
      <c r="F204" s="229" t="s">
        <v>1656</v>
      </c>
      <c r="G204" s="467"/>
      <c r="H204" s="170" t="s">
        <v>10088</v>
      </c>
      <c r="I204" s="461">
        <v>283.0</v>
      </c>
      <c r="J204" s="208" t="s">
        <v>9598</v>
      </c>
      <c r="K204" s="487">
        <v>6732.0</v>
      </c>
      <c r="L204" s="36"/>
      <c r="M204" s="246" t="s">
        <v>9593</v>
      </c>
    </row>
    <row r="205">
      <c r="A205" s="358" t="s">
        <v>10089</v>
      </c>
      <c r="B205" s="477">
        <v>7142.0</v>
      </c>
      <c r="C205" s="11" t="s">
        <v>9590</v>
      </c>
      <c r="D205" s="475">
        <v>0.78</v>
      </c>
      <c r="E205" s="475">
        <v>0.78</v>
      </c>
      <c r="F205" s="229" t="s">
        <v>1656</v>
      </c>
      <c r="G205" s="467"/>
      <c r="H205" s="170" t="s">
        <v>10090</v>
      </c>
      <c r="I205" s="461">
        <v>6970.0</v>
      </c>
      <c r="J205" s="208" t="s">
        <v>7772</v>
      </c>
      <c r="K205" s="487">
        <v>2345.0</v>
      </c>
      <c r="L205" s="36"/>
      <c r="M205" s="208" t="s">
        <v>9593</v>
      </c>
    </row>
    <row r="206">
      <c r="A206" s="358" t="s">
        <v>10091</v>
      </c>
      <c r="B206" s="477">
        <v>6779.0</v>
      </c>
      <c r="C206" s="11" t="s">
        <v>9590</v>
      </c>
      <c r="D206" s="475">
        <v>0.78</v>
      </c>
      <c r="E206" s="475">
        <v>0.78</v>
      </c>
      <c r="F206" s="229" t="s">
        <v>1656</v>
      </c>
      <c r="G206" s="467"/>
      <c r="H206" s="175" t="s">
        <v>10092</v>
      </c>
      <c r="I206" s="11">
        <v>14480.0</v>
      </c>
      <c r="J206" s="7" t="s">
        <v>7774</v>
      </c>
      <c r="K206" s="446">
        <v>930.0</v>
      </c>
      <c r="M206" s="244" t="s">
        <v>9593</v>
      </c>
    </row>
    <row r="207">
      <c r="A207" s="358" t="s">
        <v>10093</v>
      </c>
      <c r="B207" s="477">
        <v>10856.0</v>
      </c>
      <c r="C207" s="11" t="s">
        <v>9590</v>
      </c>
      <c r="D207" s="475">
        <v>0.78</v>
      </c>
      <c r="E207" s="475">
        <v>0.78</v>
      </c>
      <c r="F207" s="229" t="s">
        <v>1656</v>
      </c>
      <c r="G207" s="467"/>
      <c r="H207" s="175" t="s">
        <v>10094</v>
      </c>
      <c r="I207" s="488"/>
      <c r="J207" s="7" t="s">
        <v>7778</v>
      </c>
      <c r="K207" s="446">
        <v>7083.0</v>
      </c>
      <c r="M207" s="244" t="s">
        <v>9593</v>
      </c>
    </row>
    <row r="208">
      <c r="A208" s="358" t="s">
        <v>10095</v>
      </c>
      <c r="B208" s="477">
        <v>14478.0</v>
      </c>
      <c r="C208" s="11" t="s">
        <v>9590</v>
      </c>
      <c r="D208" s="475">
        <v>0.78</v>
      </c>
      <c r="E208" s="475">
        <v>0.78</v>
      </c>
      <c r="F208" s="229" t="s">
        <v>1656</v>
      </c>
      <c r="G208" s="467"/>
      <c r="H208" s="175" t="s">
        <v>10096</v>
      </c>
      <c r="I208" s="488"/>
      <c r="J208" s="7" t="s">
        <v>7781</v>
      </c>
      <c r="K208" s="446">
        <v>2345.0</v>
      </c>
      <c r="M208" s="244" t="s">
        <v>9593</v>
      </c>
    </row>
    <row r="209">
      <c r="A209" s="358" t="s">
        <v>10097</v>
      </c>
      <c r="B209" s="477">
        <v>14478.0</v>
      </c>
      <c r="C209" s="11" t="s">
        <v>9590</v>
      </c>
      <c r="D209" s="475">
        <v>0.78</v>
      </c>
      <c r="E209" s="475">
        <v>0.78</v>
      </c>
      <c r="F209" s="229" t="s">
        <v>1656</v>
      </c>
      <c r="G209" s="467"/>
      <c r="H209" s="170" t="s">
        <v>10098</v>
      </c>
      <c r="I209" s="461">
        <v>6729.0</v>
      </c>
      <c r="J209" s="7" t="s">
        <v>7789</v>
      </c>
      <c r="K209" s="446">
        <v>6924.0</v>
      </c>
      <c r="M209" s="244" t="s">
        <v>9593</v>
      </c>
    </row>
    <row r="210">
      <c r="A210" s="358" t="s">
        <v>10099</v>
      </c>
      <c r="B210" s="477">
        <v>9363.0</v>
      </c>
      <c r="C210" s="11" t="s">
        <v>9590</v>
      </c>
      <c r="D210" s="475">
        <v>0.78</v>
      </c>
      <c r="E210" s="475">
        <v>0.78</v>
      </c>
      <c r="F210" s="229" t="s">
        <v>1656</v>
      </c>
      <c r="G210" s="467"/>
      <c r="H210" s="175" t="s">
        <v>10100</v>
      </c>
      <c r="I210" s="488"/>
      <c r="J210" s="208" t="s">
        <v>7790</v>
      </c>
      <c r="K210" s="487">
        <v>6727.0</v>
      </c>
      <c r="L210" s="36"/>
      <c r="M210" s="246" t="s">
        <v>9593</v>
      </c>
    </row>
    <row r="211">
      <c r="A211" s="358" t="s">
        <v>10101</v>
      </c>
      <c r="B211" s="477">
        <v>9363.0</v>
      </c>
      <c r="C211" s="11" t="s">
        <v>9590</v>
      </c>
      <c r="D211" s="475">
        <v>0.78</v>
      </c>
      <c r="E211" s="475">
        <v>0.78</v>
      </c>
      <c r="F211" s="229" t="s">
        <v>1656</v>
      </c>
      <c r="G211" s="467"/>
      <c r="H211" s="170" t="s">
        <v>10102</v>
      </c>
      <c r="I211" s="461">
        <v>9701.0</v>
      </c>
      <c r="J211" s="7" t="s">
        <v>7793</v>
      </c>
      <c r="K211" s="446">
        <v>6675.0</v>
      </c>
      <c r="M211" s="244" t="s">
        <v>9593</v>
      </c>
    </row>
    <row r="212">
      <c r="A212" s="358" t="s">
        <v>10103</v>
      </c>
      <c r="B212" s="477">
        <v>7003.0</v>
      </c>
      <c r="C212" s="11" t="s">
        <v>9590</v>
      </c>
      <c r="D212" s="475">
        <v>0.78</v>
      </c>
      <c r="E212" s="475">
        <v>0.78</v>
      </c>
      <c r="F212" s="229" t="s">
        <v>1656</v>
      </c>
      <c r="G212" s="467"/>
      <c r="H212" s="175" t="s">
        <v>10104</v>
      </c>
      <c r="I212" s="465">
        <v>14563.0</v>
      </c>
      <c r="J212" s="208" t="s">
        <v>7794</v>
      </c>
      <c r="K212" s="487">
        <v>6727.0</v>
      </c>
      <c r="L212" s="36"/>
      <c r="M212" s="246" t="s">
        <v>9593</v>
      </c>
    </row>
    <row r="213">
      <c r="A213" s="358" t="s">
        <v>10105</v>
      </c>
      <c r="B213" s="477">
        <v>6988.0</v>
      </c>
      <c r="C213" s="11" t="s">
        <v>9590</v>
      </c>
      <c r="D213" s="475">
        <v>0.78</v>
      </c>
      <c r="E213" s="475">
        <v>0.78</v>
      </c>
      <c r="F213" s="229" t="s">
        <v>1656</v>
      </c>
      <c r="G213" s="467"/>
      <c r="H213" s="175" t="s">
        <v>10106</v>
      </c>
      <c r="I213" s="488"/>
      <c r="J213" s="7" t="s">
        <v>9608</v>
      </c>
      <c r="K213" s="446">
        <v>6887.0</v>
      </c>
      <c r="M213" s="244" t="s">
        <v>9593</v>
      </c>
    </row>
    <row r="214">
      <c r="A214" s="358" t="s">
        <v>10107</v>
      </c>
      <c r="B214" s="477">
        <v>9645.0</v>
      </c>
      <c r="C214" s="11" t="s">
        <v>9590</v>
      </c>
      <c r="D214" s="475">
        <v>0.78</v>
      </c>
      <c r="E214" s="475">
        <v>0.78</v>
      </c>
      <c r="F214" s="229" t="s">
        <v>1656</v>
      </c>
      <c r="G214" s="467"/>
      <c r="H214" s="12" t="s">
        <v>10108</v>
      </c>
      <c r="I214" s="12">
        <v>6936.0</v>
      </c>
      <c r="J214" s="208" t="s">
        <v>7796</v>
      </c>
      <c r="K214" s="487">
        <v>1360.0</v>
      </c>
      <c r="L214" s="36"/>
      <c r="M214" s="246" t="s">
        <v>9593</v>
      </c>
    </row>
    <row r="215">
      <c r="A215" s="358" t="s">
        <v>10109</v>
      </c>
      <c r="B215" s="358">
        <v>14590.0</v>
      </c>
      <c r="C215" s="11" t="s">
        <v>9590</v>
      </c>
      <c r="D215" s="74">
        <v>0.9</v>
      </c>
      <c r="E215" s="74">
        <v>0.9</v>
      </c>
      <c r="F215" s="229" t="s">
        <v>1656</v>
      </c>
      <c r="G215" s="467"/>
      <c r="H215" s="170" t="s">
        <v>10110</v>
      </c>
      <c r="I215" s="461">
        <v>6106.0</v>
      </c>
      <c r="J215" s="208" t="s">
        <v>7799</v>
      </c>
      <c r="K215" s="487">
        <v>4933.0</v>
      </c>
      <c r="L215" s="36"/>
      <c r="M215" s="246" t="s">
        <v>9593</v>
      </c>
    </row>
    <row r="216">
      <c r="A216" s="358" t="s">
        <v>10111</v>
      </c>
      <c r="B216" s="358">
        <v>14590.0</v>
      </c>
      <c r="C216" s="11" t="s">
        <v>9590</v>
      </c>
      <c r="D216" s="74">
        <v>0.9</v>
      </c>
      <c r="E216" s="74">
        <v>0.9</v>
      </c>
      <c r="F216" s="229" t="s">
        <v>1656</v>
      </c>
      <c r="G216" s="467"/>
      <c r="H216" s="175" t="s">
        <v>10112</v>
      </c>
      <c r="I216" s="465">
        <v>6924.0</v>
      </c>
      <c r="J216" s="7" t="s">
        <v>7803</v>
      </c>
      <c r="K216" s="446">
        <v>2345.0</v>
      </c>
      <c r="M216" s="244" t="s">
        <v>9593</v>
      </c>
    </row>
    <row r="217">
      <c r="A217" s="358" t="s">
        <v>10113</v>
      </c>
      <c r="B217" s="358">
        <v>14590.0</v>
      </c>
      <c r="C217" s="11" t="s">
        <v>9590</v>
      </c>
      <c r="D217" s="74">
        <v>0.9</v>
      </c>
      <c r="E217" s="74">
        <v>0.9</v>
      </c>
      <c r="F217" s="229" t="s">
        <v>1656</v>
      </c>
      <c r="G217" s="467"/>
      <c r="H217" s="170" t="s">
        <v>10114</v>
      </c>
      <c r="I217" s="461">
        <v>13864.0</v>
      </c>
      <c r="J217" s="7" t="s">
        <v>7804</v>
      </c>
      <c r="K217" s="446">
        <v>6727.0</v>
      </c>
      <c r="M217" s="244" t="s">
        <v>9593</v>
      </c>
    </row>
    <row r="218">
      <c r="A218" s="358" t="s">
        <v>10115</v>
      </c>
      <c r="B218" s="358">
        <v>14621.0</v>
      </c>
      <c r="C218" s="11" t="s">
        <v>9590</v>
      </c>
      <c r="D218" s="475">
        <v>0.78</v>
      </c>
      <c r="E218" s="475">
        <v>0.78</v>
      </c>
      <c r="F218" s="229" t="s">
        <v>1656</v>
      </c>
      <c r="G218" s="467"/>
      <c r="H218" s="175" t="s">
        <v>10116</v>
      </c>
      <c r="I218" s="465"/>
      <c r="J218" s="208" t="s">
        <v>7805</v>
      </c>
      <c r="K218" s="487">
        <v>6727.0</v>
      </c>
      <c r="L218" s="36"/>
      <c r="M218" s="246" t="s">
        <v>9593</v>
      </c>
    </row>
    <row r="219">
      <c r="A219" s="358" t="s">
        <v>10117</v>
      </c>
      <c r="B219" s="358">
        <v>14590.0</v>
      </c>
      <c r="C219" s="11" t="s">
        <v>9590</v>
      </c>
      <c r="D219" s="74">
        <v>0.9</v>
      </c>
      <c r="E219" s="74">
        <v>0.9</v>
      </c>
      <c r="F219" s="229" t="s">
        <v>1656</v>
      </c>
      <c r="G219" s="467"/>
      <c r="H219" s="170" t="s">
        <v>10118</v>
      </c>
      <c r="I219" s="461">
        <v>12609.0</v>
      </c>
      <c r="J219" s="208" t="s">
        <v>7807</v>
      </c>
      <c r="K219" s="487">
        <v>7040.0</v>
      </c>
      <c r="L219" s="35">
        <v>6779.0</v>
      </c>
      <c r="M219" s="246" t="s">
        <v>9593</v>
      </c>
    </row>
    <row r="220">
      <c r="A220" s="358" t="s">
        <v>10119</v>
      </c>
      <c r="B220" s="358">
        <v>14590.0</v>
      </c>
      <c r="C220" s="11" t="s">
        <v>9590</v>
      </c>
      <c r="D220" s="74">
        <v>0.9</v>
      </c>
      <c r="E220" s="74">
        <v>0.9</v>
      </c>
      <c r="F220" s="229" t="s">
        <v>1656</v>
      </c>
      <c r="G220" s="467"/>
      <c r="H220" s="170" t="s">
        <v>10120</v>
      </c>
      <c r="I220" s="170">
        <v>13829.0</v>
      </c>
      <c r="J220" s="208" t="s">
        <v>7810</v>
      </c>
      <c r="K220" s="487">
        <v>6727.0</v>
      </c>
      <c r="L220" s="36"/>
      <c r="M220" s="246" t="s">
        <v>9593</v>
      </c>
    </row>
    <row r="221">
      <c r="A221" s="358" t="s">
        <v>10121</v>
      </c>
      <c r="B221" s="477">
        <v>467.0</v>
      </c>
      <c r="C221" s="11" t="s">
        <v>9590</v>
      </c>
      <c r="D221" s="475">
        <v>0.78</v>
      </c>
      <c r="E221" s="475">
        <v>0.78</v>
      </c>
      <c r="F221" s="229" t="s">
        <v>1656</v>
      </c>
      <c r="G221" s="467"/>
      <c r="H221" s="170" t="s">
        <v>10122</v>
      </c>
      <c r="I221" s="461">
        <v>13951.0</v>
      </c>
      <c r="J221" s="208" t="s">
        <v>7811</v>
      </c>
      <c r="K221" s="487">
        <v>6727.0</v>
      </c>
      <c r="L221" s="36"/>
      <c r="M221" s="208" t="s">
        <v>9593</v>
      </c>
    </row>
    <row r="222">
      <c r="A222" s="358" t="s">
        <v>10123</v>
      </c>
      <c r="B222" s="477">
        <v>14529.0</v>
      </c>
      <c r="C222" s="11" t="s">
        <v>9590</v>
      </c>
      <c r="D222" s="475">
        <v>0.78</v>
      </c>
      <c r="E222" s="475">
        <v>0.78</v>
      </c>
      <c r="F222" s="229" t="s">
        <v>1656</v>
      </c>
      <c r="G222" s="467"/>
      <c r="H222" s="175" t="s">
        <v>10124</v>
      </c>
      <c r="I222" s="465">
        <v>12388.0</v>
      </c>
      <c r="J222" s="208" t="s">
        <v>7816</v>
      </c>
      <c r="K222" s="487">
        <v>6727.0</v>
      </c>
      <c r="L222" s="36"/>
      <c r="M222" s="246" t="s">
        <v>9593</v>
      </c>
    </row>
    <row r="223">
      <c r="A223" s="358" t="s">
        <v>10125</v>
      </c>
      <c r="B223" s="477">
        <v>4431.0</v>
      </c>
      <c r="C223" s="11" t="s">
        <v>9590</v>
      </c>
      <c r="D223" s="475">
        <v>0.78</v>
      </c>
      <c r="E223" s="475">
        <v>0.78</v>
      </c>
      <c r="F223" s="229" t="s">
        <v>1656</v>
      </c>
      <c r="G223" s="467"/>
      <c r="H223" s="170" t="s">
        <v>10126</v>
      </c>
      <c r="I223" s="461">
        <v>14030.0</v>
      </c>
      <c r="J223" s="7" t="s">
        <v>7817</v>
      </c>
      <c r="K223" s="446">
        <v>986.0</v>
      </c>
      <c r="M223" s="244" t="s">
        <v>9593</v>
      </c>
    </row>
    <row r="224">
      <c r="A224" s="358" t="s">
        <v>10127</v>
      </c>
      <c r="B224" s="477">
        <v>6697.0</v>
      </c>
      <c r="C224" s="11" t="s">
        <v>9590</v>
      </c>
      <c r="D224" s="475">
        <v>0.78</v>
      </c>
      <c r="E224" s="475">
        <v>0.78</v>
      </c>
      <c r="F224" s="229" t="s">
        <v>1656</v>
      </c>
      <c r="G224" s="467"/>
      <c r="H224" s="170" t="s">
        <v>10128</v>
      </c>
      <c r="I224" s="461">
        <v>6132.0</v>
      </c>
      <c r="J224" s="208" t="s">
        <v>7818</v>
      </c>
      <c r="K224" s="487">
        <v>986.0</v>
      </c>
      <c r="L224" s="36"/>
      <c r="M224" s="246" t="s">
        <v>9593</v>
      </c>
    </row>
    <row r="225">
      <c r="A225" s="358" t="s">
        <v>10129</v>
      </c>
      <c r="B225" s="477">
        <v>6697.0</v>
      </c>
      <c r="C225" s="11" t="s">
        <v>9590</v>
      </c>
      <c r="D225" s="475">
        <v>0.78</v>
      </c>
      <c r="E225" s="475">
        <v>0.78</v>
      </c>
      <c r="F225" s="229" t="s">
        <v>1656</v>
      </c>
      <c r="G225" s="467"/>
      <c r="H225" s="175" t="s">
        <v>10130</v>
      </c>
      <c r="I225" s="488"/>
      <c r="J225" s="338" t="s">
        <v>7822</v>
      </c>
      <c r="K225" s="223"/>
      <c r="L225" s="446">
        <v>2345.0</v>
      </c>
      <c r="M225" s="244" t="s">
        <v>9593</v>
      </c>
    </row>
    <row r="226">
      <c r="A226" s="358" t="s">
        <v>10131</v>
      </c>
      <c r="B226" s="477">
        <v>6697.0</v>
      </c>
      <c r="C226" s="11" t="s">
        <v>9590</v>
      </c>
      <c r="D226" s="475">
        <v>0.78</v>
      </c>
      <c r="E226" s="475">
        <v>0.78</v>
      </c>
      <c r="F226" s="229" t="s">
        <v>1656</v>
      </c>
      <c r="G226" s="467"/>
      <c r="H226" s="175" t="s">
        <v>10132</v>
      </c>
      <c r="I226" s="488"/>
      <c r="J226" s="208" t="s">
        <v>7828</v>
      </c>
      <c r="K226" s="487">
        <v>6671.0</v>
      </c>
      <c r="L226" s="36"/>
      <c r="M226" s="246" t="s">
        <v>9593</v>
      </c>
    </row>
    <row r="227">
      <c r="A227" s="358" t="s">
        <v>10133</v>
      </c>
      <c r="B227" s="477">
        <v>6831.0</v>
      </c>
      <c r="C227" s="11" t="s">
        <v>9590</v>
      </c>
      <c r="D227" s="475">
        <v>0.78</v>
      </c>
      <c r="E227" s="475">
        <v>0.78</v>
      </c>
      <c r="F227" s="229" t="s">
        <v>1656</v>
      </c>
      <c r="G227" s="467"/>
      <c r="H227" s="175" t="s">
        <v>10134</v>
      </c>
      <c r="I227" s="170">
        <v>14465.0</v>
      </c>
      <c r="J227" s="7" t="s">
        <v>7832</v>
      </c>
      <c r="K227" s="446">
        <v>663.0</v>
      </c>
      <c r="M227" s="244" t="s">
        <v>9593</v>
      </c>
    </row>
    <row r="228">
      <c r="A228" s="358" t="s">
        <v>10135</v>
      </c>
      <c r="B228" s="477">
        <v>14420.0</v>
      </c>
      <c r="C228" s="11" t="s">
        <v>9590</v>
      </c>
      <c r="D228" s="475">
        <v>0.78</v>
      </c>
      <c r="E228" s="475">
        <v>0.78</v>
      </c>
      <c r="F228" s="229" t="s">
        <v>1656</v>
      </c>
      <c r="G228" s="467"/>
      <c r="H228" s="170" t="s">
        <v>10136</v>
      </c>
      <c r="I228" s="461">
        <v>9746.0</v>
      </c>
      <c r="J228" s="7" t="s">
        <v>7836</v>
      </c>
      <c r="K228" s="446">
        <v>2345.0</v>
      </c>
      <c r="M228" s="244" t="s">
        <v>9593</v>
      </c>
    </row>
    <row r="229">
      <c r="A229" s="358" t="s">
        <v>10137</v>
      </c>
      <c r="B229" s="477">
        <v>14420.0</v>
      </c>
      <c r="C229" s="11" t="s">
        <v>9590</v>
      </c>
      <c r="D229" s="475">
        <v>0.78</v>
      </c>
      <c r="E229" s="475">
        <v>0.78</v>
      </c>
      <c r="F229" s="229" t="s">
        <v>1656</v>
      </c>
      <c r="G229" s="467"/>
      <c r="H229" s="170" t="s">
        <v>10138</v>
      </c>
      <c r="I229" s="461">
        <v>315.0</v>
      </c>
      <c r="J229" s="208" t="s">
        <v>7837</v>
      </c>
      <c r="K229" s="487">
        <v>1360.0</v>
      </c>
      <c r="L229" s="36"/>
      <c r="M229" s="246" t="s">
        <v>9593</v>
      </c>
    </row>
    <row r="230">
      <c r="A230" s="358" t="s">
        <v>10139</v>
      </c>
      <c r="B230" s="477">
        <v>14420.0</v>
      </c>
      <c r="C230" s="11" t="s">
        <v>9590</v>
      </c>
      <c r="D230" s="475">
        <v>0.78</v>
      </c>
      <c r="E230" s="475">
        <v>0.78</v>
      </c>
      <c r="F230" s="229" t="s">
        <v>1656</v>
      </c>
      <c r="G230" s="467"/>
      <c r="H230" s="170" t="s">
        <v>10140</v>
      </c>
      <c r="I230" s="461">
        <v>14033.0</v>
      </c>
      <c r="J230" s="208" t="s">
        <v>7838</v>
      </c>
      <c r="K230" s="487">
        <v>189.0</v>
      </c>
      <c r="L230" s="36"/>
      <c r="M230" s="246" t="s">
        <v>9593</v>
      </c>
    </row>
    <row r="231">
      <c r="A231" s="358" t="s">
        <v>10141</v>
      </c>
      <c r="B231" s="477">
        <v>8244.0</v>
      </c>
      <c r="C231" s="11" t="s">
        <v>9590</v>
      </c>
      <c r="D231" s="475">
        <v>0.78</v>
      </c>
      <c r="E231" s="475">
        <v>0.78</v>
      </c>
      <c r="F231" s="229" t="s">
        <v>1656</v>
      </c>
      <c r="G231" s="467"/>
      <c r="H231" s="170" t="s">
        <v>10142</v>
      </c>
      <c r="I231" s="461">
        <v>14248.0</v>
      </c>
      <c r="J231" s="208" t="s">
        <v>7840</v>
      </c>
      <c r="K231" s="487">
        <v>189.0</v>
      </c>
      <c r="L231" s="36"/>
      <c r="M231" s="246" t="s">
        <v>9593</v>
      </c>
    </row>
    <row r="232">
      <c r="A232" s="358" t="s">
        <v>10143</v>
      </c>
      <c r="B232" s="477">
        <v>6669.0</v>
      </c>
      <c r="C232" s="11" t="s">
        <v>9590</v>
      </c>
      <c r="D232" s="475">
        <v>0.78</v>
      </c>
      <c r="E232" s="475">
        <v>0.78</v>
      </c>
      <c r="F232" s="229" t="s">
        <v>1656</v>
      </c>
      <c r="G232" s="467"/>
      <c r="H232" s="170" t="s">
        <v>10144</v>
      </c>
      <c r="I232" s="461">
        <v>14023.0</v>
      </c>
      <c r="J232" s="7" t="s">
        <v>7841</v>
      </c>
      <c r="K232" s="446">
        <v>189.0</v>
      </c>
      <c r="M232" s="244" t="s">
        <v>9593</v>
      </c>
    </row>
    <row r="233">
      <c r="A233" s="358" t="s">
        <v>10145</v>
      </c>
      <c r="B233" s="477">
        <v>14516.0</v>
      </c>
      <c r="C233" s="11" t="s">
        <v>9590</v>
      </c>
      <c r="D233" s="475">
        <v>0.78</v>
      </c>
      <c r="E233" s="475">
        <v>0.78</v>
      </c>
      <c r="F233" s="229" t="s">
        <v>1656</v>
      </c>
      <c r="G233" s="467"/>
      <c r="H233" s="175" t="s">
        <v>10146</v>
      </c>
      <c r="I233" s="488"/>
      <c r="J233" s="208" t="s">
        <v>7842</v>
      </c>
      <c r="K233" s="487">
        <v>2345.0</v>
      </c>
      <c r="L233" s="36"/>
      <c r="M233" s="246" t="s">
        <v>9593</v>
      </c>
    </row>
    <row r="234">
      <c r="A234" s="358" t="s">
        <v>10147</v>
      </c>
      <c r="B234" s="477">
        <v>14267.0</v>
      </c>
      <c r="C234" s="11" t="s">
        <v>9590</v>
      </c>
      <c r="D234" s="475">
        <v>0.78</v>
      </c>
      <c r="E234" s="475">
        <v>0.78</v>
      </c>
      <c r="F234" s="229" t="s">
        <v>1656</v>
      </c>
      <c r="G234" s="467"/>
      <c r="H234" s="170" t="s">
        <v>10148</v>
      </c>
      <c r="I234" s="461">
        <v>6785.0</v>
      </c>
      <c r="J234" s="7" t="s">
        <v>7844</v>
      </c>
      <c r="K234" s="446">
        <v>6947.0</v>
      </c>
      <c r="M234" s="244" t="s">
        <v>9593</v>
      </c>
    </row>
    <row r="235">
      <c r="A235" s="358" t="s">
        <v>10149</v>
      </c>
      <c r="B235" s="477">
        <v>14267.0</v>
      </c>
      <c r="C235" s="11" t="s">
        <v>9590</v>
      </c>
      <c r="D235" s="475">
        <v>0.78</v>
      </c>
      <c r="E235" s="475">
        <v>0.78</v>
      </c>
      <c r="F235" s="229" t="s">
        <v>1656</v>
      </c>
      <c r="G235" s="467"/>
      <c r="H235" s="170" t="s">
        <v>10150</v>
      </c>
      <c r="I235" s="461">
        <v>11916.0</v>
      </c>
      <c r="J235" s="7" t="s">
        <v>7845</v>
      </c>
      <c r="K235" s="446">
        <v>7040.0</v>
      </c>
      <c r="L235" s="11">
        <v>467.0</v>
      </c>
      <c r="M235" s="244" t="s">
        <v>9593</v>
      </c>
    </row>
    <row r="236">
      <c r="A236" s="358" t="s">
        <v>10151</v>
      </c>
      <c r="B236" s="477">
        <v>6675.0</v>
      </c>
      <c r="C236" s="11" t="s">
        <v>9590</v>
      </c>
      <c r="D236" s="74">
        <v>0.9</v>
      </c>
      <c r="E236" s="74">
        <v>0.9</v>
      </c>
      <c r="F236" s="229" t="s">
        <v>1656</v>
      </c>
      <c r="G236" s="467"/>
      <c r="H236" s="12" t="s">
        <v>10152</v>
      </c>
      <c r="I236" s="464">
        <v>6873.0</v>
      </c>
      <c r="J236" s="208" t="s">
        <v>7848</v>
      </c>
      <c r="K236" s="487">
        <v>189.0</v>
      </c>
      <c r="L236" s="36"/>
      <c r="M236" s="246" t="s">
        <v>9593</v>
      </c>
    </row>
    <row r="237">
      <c r="A237" s="358" t="s">
        <v>10153</v>
      </c>
      <c r="B237" s="477">
        <v>189.0</v>
      </c>
      <c r="C237" s="11" t="s">
        <v>9590</v>
      </c>
      <c r="D237" s="475">
        <v>0.91</v>
      </c>
      <c r="E237" s="475">
        <v>0.91</v>
      </c>
      <c r="F237" s="229" t="s">
        <v>1656</v>
      </c>
      <c r="G237" s="467"/>
      <c r="H237" s="170" t="s">
        <v>10154</v>
      </c>
      <c r="I237" s="461">
        <v>14025.0</v>
      </c>
      <c r="J237" s="208" t="s">
        <v>7850</v>
      </c>
      <c r="K237" s="487">
        <v>189.0</v>
      </c>
      <c r="L237" s="36"/>
      <c r="M237" s="246" t="s">
        <v>9593</v>
      </c>
    </row>
    <row r="238">
      <c r="A238" s="358" t="s">
        <v>10155</v>
      </c>
      <c r="B238" s="477">
        <v>10856.0</v>
      </c>
      <c r="C238" s="11" t="s">
        <v>9590</v>
      </c>
      <c r="D238" s="475">
        <v>0.78</v>
      </c>
      <c r="E238" s="475">
        <v>0.78</v>
      </c>
      <c r="F238" s="229" t="s">
        <v>1656</v>
      </c>
      <c r="G238" s="467"/>
      <c r="H238" s="170" t="s">
        <v>10156</v>
      </c>
      <c r="I238" s="461">
        <v>6873.0</v>
      </c>
      <c r="J238" s="208" t="s">
        <v>7855</v>
      </c>
      <c r="K238" s="487">
        <v>189.0</v>
      </c>
      <c r="L238" s="36"/>
      <c r="M238" s="246" t="s">
        <v>9593</v>
      </c>
    </row>
    <row r="239">
      <c r="A239" s="358" t="s">
        <v>10157</v>
      </c>
      <c r="B239" s="477">
        <v>8002.0</v>
      </c>
      <c r="C239" s="11" t="s">
        <v>9590</v>
      </c>
      <c r="D239" s="475">
        <v>0.78</v>
      </c>
      <c r="E239" s="475">
        <v>0.78</v>
      </c>
      <c r="F239" s="229" t="s">
        <v>1656</v>
      </c>
      <c r="G239" s="467"/>
      <c r="H239" s="12" t="s">
        <v>10158</v>
      </c>
      <c r="I239" s="464">
        <v>13858.0</v>
      </c>
      <c r="J239" s="208" t="s">
        <v>7857</v>
      </c>
      <c r="K239" s="487">
        <v>6949.0</v>
      </c>
      <c r="L239" s="36"/>
      <c r="M239" s="246" t="s">
        <v>9593</v>
      </c>
    </row>
    <row r="240">
      <c r="A240" s="358" t="s">
        <v>10159</v>
      </c>
      <c r="B240" s="477">
        <v>6893.0</v>
      </c>
      <c r="C240" s="11" t="s">
        <v>9590</v>
      </c>
      <c r="D240" s="475">
        <v>0.78</v>
      </c>
      <c r="E240" s="475">
        <v>0.78</v>
      </c>
      <c r="F240" s="229" t="s">
        <v>1656</v>
      </c>
      <c r="G240" s="467"/>
      <c r="H240" s="170" t="s">
        <v>10160</v>
      </c>
      <c r="I240" s="461">
        <v>14065.0</v>
      </c>
      <c r="J240" s="7" t="s">
        <v>7858</v>
      </c>
      <c r="K240" s="446">
        <v>6675.0</v>
      </c>
      <c r="M240" s="244" t="s">
        <v>9593</v>
      </c>
    </row>
    <row r="241">
      <c r="A241" s="358" t="s">
        <v>10161</v>
      </c>
      <c r="B241" s="477">
        <v>6939.0</v>
      </c>
      <c r="C241" s="11" t="s">
        <v>9590</v>
      </c>
      <c r="D241" s="475">
        <v>0.78</v>
      </c>
      <c r="E241" s="475">
        <v>0.78</v>
      </c>
      <c r="F241" s="229" t="s">
        <v>1656</v>
      </c>
      <c r="G241" s="467"/>
      <c r="H241" s="170" t="s">
        <v>10162</v>
      </c>
      <c r="I241" s="461">
        <v>14005.0</v>
      </c>
      <c r="J241" s="208" t="s">
        <v>7859</v>
      </c>
      <c r="K241" s="487">
        <v>6772.0</v>
      </c>
      <c r="L241" s="36"/>
      <c r="M241" s="246" t="s">
        <v>9593</v>
      </c>
    </row>
    <row r="242">
      <c r="A242" s="358" t="s">
        <v>10163</v>
      </c>
      <c r="B242" s="477">
        <v>8486.0</v>
      </c>
      <c r="C242" s="11" t="s">
        <v>9590</v>
      </c>
      <c r="D242" s="475">
        <v>0.87</v>
      </c>
      <c r="E242" s="475">
        <v>0.87</v>
      </c>
      <c r="F242" s="229" t="s">
        <v>1656</v>
      </c>
      <c r="G242" s="467"/>
      <c r="H242" s="170" t="s">
        <v>10164</v>
      </c>
      <c r="I242" s="461">
        <v>13952.0</v>
      </c>
      <c r="J242" s="208" t="s">
        <v>7860</v>
      </c>
      <c r="K242" s="487">
        <v>3307.0</v>
      </c>
      <c r="L242" s="36"/>
      <c r="M242" s="246" t="s">
        <v>9593</v>
      </c>
    </row>
    <row r="243">
      <c r="A243" s="358" t="s">
        <v>10165</v>
      </c>
      <c r="B243" s="477">
        <v>6939.0</v>
      </c>
      <c r="C243" s="11" t="s">
        <v>9590</v>
      </c>
      <c r="D243" s="475">
        <v>0.78</v>
      </c>
      <c r="E243" s="475">
        <v>0.78</v>
      </c>
      <c r="F243" s="229" t="s">
        <v>1656</v>
      </c>
      <c r="G243" s="467"/>
      <c r="H243" s="170" t="s">
        <v>10166</v>
      </c>
      <c r="I243" s="489">
        <v>12553.0</v>
      </c>
      <c r="J243" s="7" t="s">
        <v>9639</v>
      </c>
      <c r="K243" s="446">
        <v>6675.0</v>
      </c>
      <c r="M243" s="244" t="s">
        <v>9593</v>
      </c>
    </row>
    <row r="244">
      <c r="A244" s="358" t="s">
        <v>10167</v>
      </c>
      <c r="B244" s="477">
        <v>14298.0</v>
      </c>
      <c r="C244" s="11" t="s">
        <v>9590</v>
      </c>
      <c r="D244" s="475">
        <v>0.8</v>
      </c>
      <c r="E244" s="475">
        <v>0.8</v>
      </c>
      <c r="F244" s="229" t="s">
        <v>1656</v>
      </c>
      <c r="G244" s="467"/>
      <c r="H244" s="175" t="s">
        <v>10167</v>
      </c>
      <c r="I244" s="465">
        <v>14298.0</v>
      </c>
      <c r="J244" s="35" t="s">
        <v>9641</v>
      </c>
      <c r="K244" s="487">
        <v>4933.0</v>
      </c>
      <c r="L244" s="36"/>
      <c r="M244" s="246" t="s">
        <v>9593</v>
      </c>
    </row>
    <row r="245">
      <c r="A245" s="358" t="s">
        <v>10168</v>
      </c>
      <c r="B245" s="477">
        <v>6939.0</v>
      </c>
      <c r="C245" s="11" t="s">
        <v>9590</v>
      </c>
      <c r="D245" s="475">
        <v>0.78</v>
      </c>
      <c r="E245" s="475">
        <v>0.78</v>
      </c>
      <c r="F245" s="229" t="s">
        <v>1656</v>
      </c>
      <c r="G245" s="467"/>
      <c r="H245" s="170" t="s">
        <v>10168</v>
      </c>
      <c r="I245" s="461">
        <v>6939.0</v>
      </c>
      <c r="J245" s="11" t="s">
        <v>9643</v>
      </c>
      <c r="K245" s="446">
        <v>4933.0</v>
      </c>
      <c r="M245" s="244" t="s">
        <v>9593</v>
      </c>
    </row>
    <row r="246">
      <c r="A246" s="358" t="s">
        <v>10169</v>
      </c>
      <c r="B246" s="358">
        <v>14534.0</v>
      </c>
      <c r="C246" s="11" t="s">
        <v>9590</v>
      </c>
      <c r="D246" s="475">
        <v>0.78</v>
      </c>
      <c r="E246" s="475">
        <v>0.78</v>
      </c>
      <c r="F246" s="229" t="s">
        <v>1656</v>
      </c>
      <c r="G246" s="467"/>
      <c r="H246" s="175" t="s">
        <v>10169</v>
      </c>
      <c r="I246" s="488"/>
      <c r="J246" s="490" t="s">
        <v>7864</v>
      </c>
      <c r="K246" s="446">
        <v>7072.0</v>
      </c>
      <c r="M246" s="244" t="s">
        <v>9593</v>
      </c>
    </row>
    <row r="247">
      <c r="A247" s="358" t="s">
        <v>10170</v>
      </c>
      <c r="B247" s="358">
        <v>14534.0</v>
      </c>
      <c r="C247" s="11" t="s">
        <v>9590</v>
      </c>
      <c r="D247" s="475">
        <v>0.78</v>
      </c>
      <c r="E247" s="475">
        <v>0.78</v>
      </c>
      <c r="F247" s="229" t="s">
        <v>1656</v>
      </c>
      <c r="G247" s="467"/>
      <c r="H247" s="175" t="s">
        <v>10170</v>
      </c>
      <c r="I247" s="465"/>
      <c r="J247" s="490" t="s">
        <v>5645</v>
      </c>
      <c r="K247" s="446">
        <v>7072.0</v>
      </c>
      <c r="M247" s="244" t="s">
        <v>9593</v>
      </c>
    </row>
    <row r="248">
      <c r="A248" s="358" t="s">
        <v>10171</v>
      </c>
      <c r="B248" s="477">
        <v>14525.0</v>
      </c>
      <c r="C248" s="11" t="s">
        <v>9590</v>
      </c>
      <c r="D248" s="475">
        <v>0.78</v>
      </c>
      <c r="E248" s="475">
        <v>0.78</v>
      </c>
      <c r="F248" s="229" t="s">
        <v>1656</v>
      </c>
      <c r="G248" s="467"/>
      <c r="H248" s="175" t="s">
        <v>10171</v>
      </c>
      <c r="I248" s="465">
        <v>14525.0</v>
      </c>
      <c r="J248" s="490" t="s">
        <v>7865</v>
      </c>
      <c r="K248" s="446">
        <v>7072.0</v>
      </c>
      <c r="M248" s="244" t="s">
        <v>9593</v>
      </c>
    </row>
    <row r="249">
      <c r="A249" s="358" t="s">
        <v>10172</v>
      </c>
      <c r="B249" s="477">
        <v>14507.0</v>
      </c>
      <c r="C249" s="11" t="s">
        <v>9590</v>
      </c>
      <c r="D249" s="475">
        <v>0.78</v>
      </c>
      <c r="E249" s="475">
        <v>0.78</v>
      </c>
      <c r="F249" s="229" t="s">
        <v>1656</v>
      </c>
      <c r="G249" s="467"/>
      <c r="H249" s="175" t="s">
        <v>10172</v>
      </c>
      <c r="I249" s="465">
        <v>14507.0</v>
      </c>
      <c r="J249" s="490" t="s">
        <v>7866</v>
      </c>
      <c r="K249" s="446">
        <v>7072.0</v>
      </c>
      <c r="M249" s="244" t="s">
        <v>9593</v>
      </c>
    </row>
    <row r="250">
      <c r="A250" s="358" t="s">
        <v>10173</v>
      </c>
      <c r="B250" s="358">
        <v>14590.0</v>
      </c>
      <c r="C250" s="11" t="s">
        <v>9590</v>
      </c>
      <c r="D250" s="74">
        <v>0.9</v>
      </c>
      <c r="E250" s="74">
        <v>0.9</v>
      </c>
      <c r="F250" s="229" t="s">
        <v>1656</v>
      </c>
      <c r="G250" s="467"/>
      <c r="H250" s="175" t="s">
        <v>10173</v>
      </c>
      <c r="I250" s="488"/>
      <c r="J250" s="490" t="s">
        <v>7867</v>
      </c>
      <c r="K250" s="446">
        <v>7072.0</v>
      </c>
      <c r="M250" s="244" t="s">
        <v>9593</v>
      </c>
    </row>
    <row r="251">
      <c r="A251" s="358" t="s">
        <v>10174</v>
      </c>
      <c r="B251" s="358">
        <v>14590.0</v>
      </c>
      <c r="C251" s="11" t="s">
        <v>9590</v>
      </c>
      <c r="D251" s="74">
        <v>0.9</v>
      </c>
      <c r="E251" s="74">
        <v>0.9</v>
      </c>
      <c r="F251" s="229" t="s">
        <v>1656</v>
      </c>
      <c r="G251" s="467"/>
      <c r="H251" s="175" t="s">
        <v>10174</v>
      </c>
      <c r="I251" s="465">
        <v>6668.0</v>
      </c>
      <c r="J251" s="491" t="s">
        <v>7868</v>
      </c>
      <c r="K251" s="487">
        <v>6750.0</v>
      </c>
      <c r="L251" s="36"/>
      <c r="M251" s="246" t="s">
        <v>9593</v>
      </c>
    </row>
    <row r="252">
      <c r="A252" s="358" t="s">
        <v>10175</v>
      </c>
      <c r="B252" s="358">
        <v>14590.0</v>
      </c>
      <c r="C252" s="11" t="s">
        <v>9590</v>
      </c>
      <c r="D252" s="74">
        <v>0.9</v>
      </c>
      <c r="E252" s="74">
        <v>0.9</v>
      </c>
      <c r="F252" s="229" t="s">
        <v>1656</v>
      </c>
      <c r="G252" s="467"/>
      <c r="H252" s="175" t="s">
        <v>10175</v>
      </c>
      <c r="I252" s="465">
        <v>6668.0</v>
      </c>
      <c r="J252" s="491" t="s">
        <v>7869</v>
      </c>
      <c r="K252" s="487">
        <v>6827.0</v>
      </c>
      <c r="L252" s="36"/>
      <c r="M252" s="246" t="s">
        <v>9593</v>
      </c>
    </row>
    <row r="253">
      <c r="A253" s="358" t="s">
        <v>10176</v>
      </c>
      <c r="B253" s="358">
        <v>14590.0</v>
      </c>
      <c r="C253" s="11" t="s">
        <v>9590</v>
      </c>
      <c r="D253" s="74">
        <v>0.9</v>
      </c>
      <c r="E253" s="74">
        <v>0.9</v>
      </c>
      <c r="F253" s="229" t="s">
        <v>1656</v>
      </c>
      <c r="G253" s="467"/>
      <c r="H253" s="175" t="s">
        <v>10176</v>
      </c>
      <c r="I253" s="488"/>
      <c r="J253" s="490" t="s">
        <v>9652</v>
      </c>
      <c r="K253" s="446">
        <v>6658.0</v>
      </c>
      <c r="M253" s="244" t="s">
        <v>9593</v>
      </c>
    </row>
    <row r="254">
      <c r="A254" s="358" t="s">
        <v>10177</v>
      </c>
      <c r="B254" s="358">
        <v>14590.0</v>
      </c>
      <c r="C254" s="11" t="s">
        <v>9590</v>
      </c>
      <c r="D254" s="74">
        <v>0.9</v>
      </c>
      <c r="E254" s="74">
        <v>0.9</v>
      </c>
      <c r="F254" s="229" t="s">
        <v>1656</v>
      </c>
      <c r="G254" s="467"/>
      <c r="H254" s="175" t="s">
        <v>10177</v>
      </c>
      <c r="I254" s="488"/>
      <c r="J254" s="490" t="s">
        <v>9654</v>
      </c>
      <c r="K254" s="446">
        <v>6109.0</v>
      </c>
      <c r="M254" s="244" t="s">
        <v>9593</v>
      </c>
    </row>
    <row r="255">
      <c r="A255" s="358" t="s">
        <v>10178</v>
      </c>
      <c r="B255" s="358">
        <v>14590.0</v>
      </c>
      <c r="C255" s="11" t="s">
        <v>9590</v>
      </c>
      <c r="D255" s="74">
        <v>0.9</v>
      </c>
      <c r="E255" s="74">
        <v>0.9</v>
      </c>
      <c r="F255" s="229" t="s">
        <v>1656</v>
      </c>
      <c r="G255" s="467"/>
      <c r="H255" s="175" t="s">
        <v>10178</v>
      </c>
      <c r="I255" s="488"/>
      <c r="J255" s="490" t="s">
        <v>9657</v>
      </c>
      <c r="K255" s="446">
        <v>6109.0</v>
      </c>
      <c r="M255" s="244" t="s">
        <v>9593</v>
      </c>
    </row>
    <row r="256">
      <c r="A256" s="358" t="s">
        <v>10179</v>
      </c>
      <c r="B256" s="477">
        <v>189.0</v>
      </c>
      <c r="C256" s="11" t="s">
        <v>9590</v>
      </c>
      <c r="D256" s="475">
        <v>0.91</v>
      </c>
      <c r="E256" s="475">
        <v>0.91</v>
      </c>
      <c r="F256" s="229" t="s">
        <v>1656</v>
      </c>
      <c r="G256" s="467"/>
      <c r="H256" s="175" t="s">
        <v>10179</v>
      </c>
      <c r="I256" s="465">
        <v>189.0</v>
      </c>
      <c r="J256" s="490" t="s">
        <v>9659</v>
      </c>
      <c r="K256" s="446">
        <v>6658.0</v>
      </c>
      <c r="M256" s="244" t="s">
        <v>9593</v>
      </c>
    </row>
    <row r="257">
      <c r="A257" s="358" t="s">
        <v>10180</v>
      </c>
      <c r="B257" s="358">
        <v>14590.0</v>
      </c>
      <c r="C257" s="11" t="s">
        <v>9590</v>
      </c>
      <c r="D257" s="74">
        <v>0.9</v>
      </c>
      <c r="E257" s="74">
        <v>0.9</v>
      </c>
      <c r="F257" s="229" t="s">
        <v>1656</v>
      </c>
      <c r="G257" s="467"/>
      <c r="H257" s="175" t="s">
        <v>10180</v>
      </c>
      <c r="I257" s="488"/>
      <c r="J257" s="491" t="s">
        <v>9661</v>
      </c>
      <c r="K257" s="487">
        <v>7033.0</v>
      </c>
      <c r="L257" s="36"/>
      <c r="M257" s="246" t="s">
        <v>9593</v>
      </c>
    </row>
    <row r="258">
      <c r="A258" s="358" t="s">
        <v>10181</v>
      </c>
      <c r="B258" s="358">
        <v>14590.0</v>
      </c>
      <c r="C258" s="11" t="s">
        <v>9590</v>
      </c>
      <c r="D258" s="74">
        <v>0.9</v>
      </c>
      <c r="E258" s="74">
        <v>0.9</v>
      </c>
      <c r="F258" s="229" t="s">
        <v>1656</v>
      </c>
      <c r="G258" s="467"/>
      <c r="H258" s="175" t="s">
        <v>10181</v>
      </c>
      <c r="I258" s="488"/>
      <c r="J258" s="490" t="s">
        <v>9663</v>
      </c>
      <c r="K258" s="446">
        <v>7031.0</v>
      </c>
      <c r="M258" s="244" t="s">
        <v>9593</v>
      </c>
    </row>
    <row r="259">
      <c r="A259" s="358" t="s">
        <v>10182</v>
      </c>
      <c r="B259" s="358">
        <v>14590.0</v>
      </c>
      <c r="C259" s="11" t="s">
        <v>9590</v>
      </c>
      <c r="D259" s="74">
        <v>0.9</v>
      </c>
      <c r="E259" s="74">
        <v>0.9</v>
      </c>
      <c r="F259" s="229" t="s">
        <v>1656</v>
      </c>
      <c r="G259" s="467"/>
      <c r="H259" s="175" t="s">
        <v>10182</v>
      </c>
      <c r="I259" s="488"/>
      <c r="J259" s="491" t="s">
        <v>9665</v>
      </c>
      <c r="K259" s="487">
        <v>7168.0</v>
      </c>
      <c r="L259" s="35">
        <v>7098.0</v>
      </c>
      <c r="M259" s="246" t="s">
        <v>9593</v>
      </c>
    </row>
    <row r="260">
      <c r="A260" s="358" t="s">
        <v>10183</v>
      </c>
      <c r="B260" s="358">
        <v>14590.0</v>
      </c>
      <c r="C260" s="11" t="s">
        <v>9590</v>
      </c>
      <c r="D260" s="74">
        <v>0.9</v>
      </c>
      <c r="E260" s="74">
        <v>0.9</v>
      </c>
      <c r="F260" s="229" t="s">
        <v>1656</v>
      </c>
      <c r="G260" s="467"/>
      <c r="H260" s="175" t="s">
        <v>10183</v>
      </c>
      <c r="I260" s="488"/>
      <c r="J260" s="491" t="s">
        <v>9668</v>
      </c>
      <c r="K260" s="487">
        <v>7168.0</v>
      </c>
      <c r="L260" s="35">
        <v>7098.0</v>
      </c>
      <c r="M260" s="246" t="s">
        <v>9593</v>
      </c>
    </row>
    <row r="261">
      <c r="A261" s="358" t="s">
        <v>10184</v>
      </c>
      <c r="B261" s="358">
        <v>14590.0</v>
      </c>
      <c r="C261" s="11" t="s">
        <v>9590</v>
      </c>
      <c r="D261" s="74">
        <v>0.9</v>
      </c>
      <c r="E261" s="74">
        <v>0.9</v>
      </c>
      <c r="F261" s="229" t="s">
        <v>1656</v>
      </c>
      <c r="G261" s="467"/>
      <c r="H261" s="175" t="s">
        <v>10184</v>
      </c>
      <c r="I261" s="488"/>
      <c r="J261" s="491" t="s">
        <v>9671</v>
      </c>
      <c r="K261" s="492">
        <v>6780.0</v>
      </c>
      <c r="L261" s="36"/>
      <c r="M261" s="246" t="s">
        <v>9593</v>
      </c>
    </row>
    <row r="262">
      <c r="A262" s="358" t="s">
        <v>10185</v>
      </c>
      <c r="B262" s="477">
        <v>14580.0</v>
      </c>
      <c r="C262" s="11" t="s">
        <v>9590</v>
      </c>
      <c r="D262" s="475">
        <v>0.78</v>
      </c>
      <c r="E262" s="475">
        <v>0.78</v>
      </c>
      <c r="F262" s="229" t="s">
        <v>1656</v>
      </c>
      <c r="G262" s="467"/>
      <c r="H262" s="175" t="s">
        <v>10185</v>
      </c>
      <c r="I262" s="465">
        <v>14580.0</v>
      </c>
      <c r="J262" s="490" t="s">
        <v>9674</v>
      </c>
      <c r="K262" s="446">
        <v>283.0</v>
      </c>
      <c r="M262" s="244" t="s">
        <v>9593</v>
      </c>
    </row>
    <row r="263">
      <c r="A263" s="358" t="s">
        <v>10186</v>
      </c>
      <c r="B263" s="477">
        <v>14580.0</v>
      </c>
      <c r="C263" s="11" t="s">
        <v>9590</v>
      </c>
      <c r="D263" s="475">
        <v>0.78</v>
      </c>
      <c r="E263" s="475">
        <v>0.78</v>
      </c>
      <c r="F263" s="229" t="s">
        <v>1656</v>
      </c>
      <c r="G263" s="467"/>
      <c r="H263" s="175" t="s">
        <v>10186</v>
      </c>
      <c r="I263" s="465">
        <v>14580.0</v>
      </c>
      <c r="J263" s="490" t="s">
        <v>9676</v>
      </c>
      <c r="K263" s="446">
        <v>7010.0</v>
      </c>
      <c r="M263" s="244" t="s">
        <v>9593</v>
      </c>
    </row>
    <row r="264">
      <c r="A264" s="358" t="s">
        <v>10187</v>
      </c>
      <c r="B264" s="358">
        <v>14590.0</v>
      </c>
      <c r="C264" s="11" t="s">
        <v>9590</v>
      </c>
      <c r="D264" s="74">
        <v>0.9</v>
      </c>
      <c r="E264" s="74">
        <v>0.9</v>
      </c>
      <c r="F264" s="229" t="s">
        <v>1656</v>
      </c>
      <c r="G264" s="467"/>
      <c r="H264" s="175" t="s">
        <v>10187</v>
      </c>
      <c r="I264" s="488"/>
      <c r="J264" s="491" t="s">
        <v>9678</v>
      </c>
      <c r="K264" s="487">
        <v>283.0</v>
      </c>
      <c r="L264" s="36"/>
      <c r="M264" s="246" t="s">
        <v>9593</v>
      </c>
    </row>
    <row r="265">
      <c r="A265" s="358" t="s">
        <v>10188</v>
      </c>
      <c r="B265" s="358">
        <v>14590.0</v>
      </c>
      <c r="C265" s="11" t="s">
        <v>9590</v>
      </c>
      <c r="D265" s="74">
        <v>0.9</v>
      </c>
      <c r="E265" s="74">
        <v>0.9</v>
      </c>
      <c r="F265" s="229" t="s">
        <v>1656</v>
      </c>
      <c r="G265" s="467"/>
      <c r="H265" s="175" t="s">
        <v>10188</v>
      </c>
      <c r="I265" s="488"/>
      <c r="J265" s="490" t="s">
        <v>9680</v>
      </c>
      <c r="K265" s="446">
        <v>283.0</v>
      </c>
      <c r="M265" s="244" t="s">
        <v>9593</v>
      </c>
    </row>
    <row r="266">
      <c r="A266" s="358" t="s">
        <v>10189</v>
      </c>
      <c r="B266" s="358">
        <v>14590.0</v>
      </c>
      <c r="C266" s="11" t="s">
        <v>9590</v>
      </c>
      <c r="D266" s="74">
        <v>0.9</v>
      </c>
      <c r="E266" s="74">
        <v>0.9</v>
      </c>
      <c r="F266" s="229" t="s">
        <v>1656</v>
      </c>
      <c r="G266" s="467"/>
      <c r="H266" s="175" t="s">
        <v>10189</v>
      </c>
      <c r="I266" s="488"/>
      <c r="J266" s="491" t="s">
        <v>9683</v>
      </c>
      <c r="K266" s="487">
        <v>6893.0</v>
      </c>
      <c r="L266" s="36"/>
      <c r="M266" s="246" t="s">
        <v>9593</v>
      </c>
    </row>
    <row r="267">
      <c r="A267" s="358" t="s">
        <v>10190</v>
      </c>
      <c r="B267" s="477">
        <v>6924.0</v>
      </c>
      <c r="C267" s="11" t="s">
        <v>9590</v>
      </c>
      <c r="D267" s="475">
        <v>0.78</v>
      </c>
      <c r="E267" s="475">
        <v>0.78</v>
      </c>
      <c r="F267" s="229" t="s">
        <v>1656</v>
      </c>
      <c r="G267" s="467"/>
      <c r="H267" s="175" t="s">
        <v>10190</v>
      </c>
      <c r="I267" s="465">
        <v>6924.0</v>
      </c>
      <c r="J267" s="490" t="s">
        <v>9686</v>
      </c>
      <c r="K267" s="9">
        <v>7083.0</v>
      </c>
      <c r="L267" s="446">
        <v>195.0</v>
      </c>
      <c r="M267" s="244" t="s">
        <v>9593</v>
      </c>
    </row>
    <row r="268">
      <c r="A268" s="358" t="s">
        <v>10191</v>
      </c>
      <c r="B268" s="358">
        <v>14590.0</v>
      </c>
      <c r="C268" s="11" t="s">
        <v>9590</v>
      </c>
      <c r="D268" s="74">
        <v>0.9</v>
      </c>
      <c r="E268" s="74">
        <v>0.9</v>
      </c>
      <c r="F268" s="229" t="s">
        <v>1656</v>
      </c>
      <c r="G268" s="467"/>
      <c r="H268" s="175" t="s">
        <v>10191</v>
      </c>
      <c r="I268" s="465"/>
      <c r="J268" s="491" t="s">
        <v>9689</v>
      </c>
      <c r="K268" s="487">
        <v>7129.0</v>
      </c>
      <c r="L268" s="36"/>
      <c r="M268" s="246" t="s">
        <v>9593</v>
      </c>
    </row>
    <row r="269">
      <c r="A269" s="358" t="s">
        <v>10192</v>
      </c>
      <c r="B269" s="358">
        <v>14590.0</v>
      </c>
      <c r="C269" s="11" t="s">
        <v>9590</v>
      </c>
      <c r="D269" s="74">
        <v>0.9</v>
      </c>
      <c r="E269" s="74">
        <v>0.9</v>
      </c>
      <c r="F269" s="229" t="s">
        <v>1656</v>
      </c>
      <c r="G269" s="467"/>
      <c r="H269" s="175" t="s">
        <v>10192</v>
      </c>
      <c r="I269" s="488"/>
      <c r="J269" s="491" t="s">
        <v>9692</v>
      </c>
      <c r="K269" s="487">
        <v>7073.0</v>
      </c>
      <c r="L269" s="36"/>
      <c r="M269" s="246" t="s">
        <v>9593</v>
      </c>
    </row>
    <row r="270">
      <c r="A270" s="358" t="s">
        <v>10193</v>
      </c>
      <c r="B270" s="477">
        <v>10856.0</v>
      </c>
      <c r="C270" s="11" t="s">
        <v>9590</v>
      </c>
      <c r="D270" s="475">
        <v>0.78</v>
      </c>
      <c r="E270" s="475">
        <v>0.78</v>
      </c>
      <c r="F270" s="229" t="s">
        <v>1656</v>
      </c>
      <c r="G270" s="467"/>
      <c r="H270" s="12" t="s">
        <v>10193</v>
      </c>
      <c r="I270" s="464">
        <v>10856.0</v>
      </c>
      <c r="J270" s="490" t="s">
        <v>5667</v>
      </c>
      <c r="K270" s="446">
        <v>6965.0</v>
      </c>
      <c r="M270" s="244" t="s">
        <v>9593</v>
      </c>
    </row>
    <row r="271">
      <c r="A271" s="358" t="s">
        <v>10194</v>
      </c>
      <c r="B271" s="358">
        <v>14590.0</v>
      </c>
      <c r="C271" s="11" t="s">
        <v>9590</v>
      </c>
      <c r="D271" s="74">
        <v>0.9</v>
      </c>
      <c r="E271" s="74">
        <v>0.9</v>
      </c>
      <c r="F271" s="229" t="s">
        <v>1656</v>
      </c>
      <c r="G271" s="467"/>
      <c r="H271" s="175" t="s">
        <v>10194</v>
      </c>
      <c r="I271" s="488"/>
      <c r="J271" s="490" t="s">
        <v>9697</v>
      </c>
      <c r="K271" s="446">
        <v>7142.0</v>
      </c>
      <c r="M271" s="244" t="s">
        <v>9593</v>
      </c>
    </row>
    <row r="272">
      <c r="A272" s="358" t="s">
        <v>10195</v>
      </c>
      <c r="B272" s="358">
        <v>14590.0</v>
      </c>
      <c r="C272" s="11" t="s">
        <v>9590</v>
      </c>
      <c r="D272" s="74">
        <v>0.9</v>
      </c>
      <c r="E272" s="74">
        <v>0.9</v>
      </c>
      <c r="F272" s="229" t="s">
        <v>1656</v>
      </c>
      <c r="G272" s="467"/>
      <c r="H272" s="175" t="s">
        <v>10195</v>
      </c>
      <c r="I272" s="488"/>
      <c r="J272" s="490" t="s">
        <v>9700</v>
      </c>
      <c r="K272" s="446">
        <v>7876.0</v>
      </c>
      <c r="M272" s="244" t="s">
        <v>9593</v>
      </c>
    </row>
    <row r="273">
      <c r="A273" s="358" t="s">
        <v>10196</v>
      </c>
      <c r="B273" s="358">
        <v>14590.0</v>
      </c>
      <c r="C273" s="11" t="s">
        <v>9590</v>
      </c>
      <c r="D273" s="74">
        <v>0.9</v>
      </c>
      <c r="E273" s="74">
        <v>0.9</v>
      </c>
      <c r="F273" s="229" t="s">
        <v>1656</v>
      </c>
      <c r="G273" s="467"/>
      <c r="H273" s="175" t="s">
        <v>10196</v>
      </c>
      <c r="I273" s="488"/>
      <c r="J273" s="491" t="s">
        <v>9703</v>
      </c>
      <c r="K273" s="487">
        <v>7083.0</v>
      </c>
      <c r="L273" s="36"/>
      <c r="M273" s="246" t="s">
        <v>9593</v>
      </c>
    </row>
    <row r="274">
      <c r="A274" s="358" t="s">
        <v>10197</v>
      </c>
      <c r="B274" s="358">
        <v>14590.0</v>
      </c>
      <c r="C274" s="11" t="s">
        <v>9590</v>
      </c>
      <c r="D274" s="74">
        <v>0.9</v>
      </c>
      <c r="E274" s="74">
        <v>0.9</v>
      </c>
      <c r="F274" s="229" t="s">
        <v>1656</v>
      </c>
      <c r="G274" s="467"/>
      <c r="H274" s="175" t="s">
        <v>10197</v>
      </c>
      <c r="I274" s="488"/>
      <c r="J274" s="491" t="s">
        <v>9706</v>
      </c>
      <c r="K274" s="487">
        <v>7123.0</v>
      </c>
      <c r="L274" s="36"/>
      <c r="M274" s="246" t="s">
        <v>9593</v>
      </c>
    </row>
    <row r="275">
      <c r="A275" s="358" t="s">
        <v>10198</v>
      </c>
      <c r="B275" s="358">
        <v>14590.0</v>
      </c>
      <c r="C275" s="11" t="s">
        <v>9590</v>
      </c>
      <c r="D275" s="74">
        <v>0.9</v>
      </c>
      <c r="E275" s="74">
        <v>0.9</v>
      </c>
      <c r="F275" s="229" t="s">
        <v>1656</v>
      </c>
      <c r="G275" s="467"/>
      <c r="H275" s="175" t="s">
        <v>10198</v>
      </c>
      <c r="I275" s="488"/>
      <c r="J275" s="490" t="s">
        <v>9709</v>
      </c>
      <c r="K275" s="446">
        <v>7100.0</v>
      </c>
      <c r="M275" s="244" t="s">
        <v>9593</v>
      </c>
    </row>
    <row r="276">
      <c r="A276" s="358" t="s">
        <v>10199</v>
      </c>
      <c r="B276" s="358">
        <v>14590.0</v>
      </c>
      <c r="C276" s="11" t="s">
        <v>9590</v>
      </c>
      <c r="D276" s="74">
        <v>0.9</v>
      </c>
      <c r="E276" s="74">
        <v>0.9</v>
      </c>
      <c r="F276" s="229" t="s">
        <v>1656</v>
      </c>
      <c r="G276" s="467"/>
      <c r="H276" s="175" t="s">
        <v>10199</v>
      </c>
      <c r="I276" s="488"/>
      <c r="J276" s="490" t="s">
        <v>9712</v>
      </c>
      <c r="K276" s="9">
        <v>8486.0</v>
      </c>
      <c r="M276" s="244" t="s">
        <v>9593</v>
      </c>
    </row>
    <row r="277">
      <c r="A277" s="358" t="s">
        <v>10200</v>
      </c>
      <c r="B277" s="358">
        <v>14590.0</v>
      </c>
      <c r="C277" s="11" t="s">
        <v>9590</v>
      </c>
      <c r="D277" s="74">
        <v>0.9</v>
      </c>
      <c r="E277" s="74">
        <v>0.9</v>
      </c>
      <c r="F277" s="229" t="s">
        <v>1656</v>
      </c>
      <c r="G277" s="467"/>
      <c r="H277" s="175" t="s">
        <v>10200</v>
      </c>
      <c r="I277" s="488"/>
      <c r="J277" s="490" t="s">
        <v>9715</v>
      </c>
      <c r="K277" s="9">
        <v>8486.0</v>
      </c>
      <c r="L277" s="446">
        <v>6660.0</v>
      </c>
      <c r="M277" s="244" t="s">
        <v>9593</v>
      </c>
    </row>
    <row r="278">
      <c r="A278" s="358" t="s">
        <v>10201</v>
      </c>
      <c r="B278" s="477">
        <v>6924.0</v>
      </c>
      <c r="C278" s="11" t="s">
        <v>9590</v>
      </c>
      <c r="D278" s="475">
        <v>0.78</v>
      </c>
      <c r="E278" s="475">
        <v>0.78</v>
      </c>
      <c r="F278" s="229" t="s">
        <v>1656</v>
      </c>
      <c r="G278" s="467"/>
      <c r="H278" s="170" t="s">
        <v>10201</v>
      </c>
      <c r="I278" s="461">
        <v>6924.0</v>
      </c>
      <c r="J278" s="491" t="s">
        <v>9718</v>
      </c>
      <c r="K278" s="493">
        <v>7147.0</v>
      </c>
      <c r="L278" s="36"/>
      <c r="M278" s="246" t="s">
        <v>9593</v>
      </c>
    </row>
    <row r="279">
      <c r="A279" s="358" t="s">
        <v>10202</v>
      </c>
      <c r="B279" s="477">
        <v>909.0</v>
      </c>
      <c r="C279" s="11" t="s">
        <v>9590</v>
      </c>
      <c r="D279" s="475">
        <v>0.78</v>
      </c>
      <c r="E279" s="475">
        <v>0.78</v>
      </c>
      <c r="F279" s="229" t="s">
        <v>1656</v>
      </c>
      <c r="G279" s="467"/>
      <c r="H279" s="170" t="s">
        <v>10202</v>
      </c>
      <c r="I279" s="461">
        <v>909.0</v>
      </c>
      <c r="J279" s="490" t="s">
        <v>9721</v>
      </c>
      <c r="K279" s="446">
        <v>930.0</v>
      </c>
      <c r="M279" s="244" t="s">
        <v>9593</v>
      </c>
    </row>
    <row r="280">
      <c r="A280" s="358" t="s">
        <v>10203</v>
      </c>
      <c r="B280" s="358">
        <v>14590.0</v>
      </c>
      <c r="C280" s="11" t="s">
        <v>9590</v>
      </c>
      <c r="D280" s="74">
        <v>0.9</v>
      </c>
      <c r="E280" s="74">
        <v>0.9</v>
      </c>
      <c r="F280" s="229" t="s">
        <v>1656</v>
      </c>
      <c r="G280" s="467"/>
      <c r="H280" s="175" t="s">
        <v>10203</v>
      </c>
      <c r="I280" s="488"/>
      <c r="J280" s="490" t="s">
        <v>9724</v>
      </c>
      <c r="K280" s="446">
        <v>7010.0</v>
      </c>
      <c r="M280" s="244" t="s">
        <v>9593</v>
      </c>
    </row>
    <row r="281">
      <c r="A281" s="358" t="s">
        <v>10204</v>
      </c>
      <c r="B281" s="358">
        <v>14590.0</v>
      </c>
      <c r="C281" s="11" t="s">
        <v>9590</v>
      </c>
      <c r="D281" s="74">
        <v>0.9</v>
      </c>
      <c r="E281" s="74">
        <v>0.9</v>
      </c>
      <c r="F281" s="229" t="s">
        <v>1656</v>
      </c>
      <c r="G281" s="467"/>
      <c r="H281" s="175" t="s">
        <v>10204</v>
      </c>
      <c r="I281" s="488"/>
      <c r="J281" s="491" t="s">
        <v>9727</v>
      </c>
      <c r="K281" s="487">
        <v>5389.0</v>
      </c>
      <c r="L281" s="36"/>
      <c r="M281" s="246" t="s">
        <v>9593</v>
      </c>
    </row>
    <row r="282">
      <c r="A282" s="358" t="s">
        <v>10205</v>
      </c>
      <c r="B282" s="358">
        <v>14590.0</v>
      </c>
      <c r="C282" s="11" t="s">
        <v>9590</v>
      </c>
      <c r="D282" s="74">
        <v>0.9</v>
      </c>
      <c r="E282" s="74">
        <v>0.9</v>
      </c>
      <c r="F282" s="229" t="s">
        <v>1656</v>
      </c>
      <c r="G282" s="467"/>
      <c r="H282" s="175" t="s">
        <v>10205</v>
      </c>
      <c r="I282" s="488"/>
      <c r="J282" s="490" t="s">
        <v>9730</v>
      </c>
      <c r="K282" s="446">
        <v>6875.0</v>
      </c>
      <c r="M282" s="244" t="s">
        <v>9593</v>
      </c>
    </row>
    <row r="283">
      <c r="A283" s="358" t="s">
        <v>10206</v>
      </c>
      <c r="B283" s="477">
        <v>6767.0</v>
      </c>
      <c r="C283" s="11" t="s">
        <v>9590</v>
      </c>
      <c r="D283" s="475">
        <v>0.78</v>
      </c>
      <c r="E283" s="475">
        <v>0.78</v>
      </c>
      <c r="F283" s="229" t="s">
        <v>1656</v>
      </c>
      <c r="G283" s="467"/>
      <c r="H283" s="175" t="s">
        <v>10206</v>
      </c>
      <c r="I283" s="465">
        <v>6767.0</v>
      </c>
      <c r="J283" s="490" t="s">
        <v>9733</v>
      </c>
      <c r="K283" s="446">
        <v>7104.0</v>
      </c>
      <c r="M283" s="244" t="s">
        <v>9593</v>
      </c>
    </row>
    <row r="284">
      <c r="A284" s="358" t="s">
        <v>10207</v>
      </c>
      <c r="B284" s="358">
        <v>14590.0</v>
      </c>
      <c r="C284" s="11" t="s">
        <v>9590</v>
      </c>
      <c r="D284" s="74">
        <v>0.9</v>
      </c>
      <c r="E284" s="74">
        <v>0.9</v>
      </c>
      <c r="F284" s="229" t="s">
        <v>1656</v>
      </c>
      <c r="G284" s="467"/>
      <c r="H284" s="175" t="s">
        <v>10207</v>
      </c>
      <c r="I284" s="488"/>
      <c r="J284" s="490" t="s">
        <v>9736</v>
      </c>
      <c r="K284" s="446">
        <v>7073.0</v>
      </c>
      <c r="M284" s="244" t="s">
        <v>9593</v>
      </c>
    </row>
    <row r="285">
      <c r="A285" s="358" t="s">
        <v>10208</v>
      </c>
      <c r="B285" s="358">
        <v>14590.0</v>
      </c>
      <c r="C285" s="11" t="s">
        <v>9590</v>
      </c>
      <c r="D285" s="74">
        <v>0.9</v>
      </c>
      <c r="E285" s="74">
        <v>0.9</v>
      </c>
      <c r="F285" s="229" t="s">
        <v>1656</v>
      </c>
      <c r="G285" s="467"/>
      <c r="H285" s="175" t="s">
        <v>10208</v>
      </c>
      <c r="I285" s="488"/>
      <c r="J285" s="490" t="s">
        <v>9739</v>
      </c>
      <c r="K285" s="446">
        <v>6736.0</v>
      </c>
      <c r="M285" s="244" t="s">
        <v>9593</v>
      </c>
    </row>
    <row r="286">
      <c r="A286" s="358" t="s">
        <v>10209</v>
      </c>
      <c r="B286" s="358">
        <v>14590.0</v>
      </c>
      <c r="C286" s="11" t="s">
        <v>9590</v>
      </c>
      <c r="D286" s="74">
        <v>0.9</v>
      </c>
      <c r="E286" s="74">
        <v>0.9</v>
      </c>
      <c r="F286" s="229" t="s">
        <v>1656</v>
      </c>
      <c r="G286" s="467"/>
      <c r="H286" s="175" t="s">
        <v>10209</v>
      </c>
      <c r="I286" s="488"/>
      <c r="J286" s="491" t="s">
        <v>9742</v>
      </c>
      <c r="K286" s="487">
        <v>6866.0</v>
      </c>
      <c r="L286" s="36"/>
      <c r="M286" s="246" t="s">
        <v>9593</v>
      </c>
    </row>
    <row r="287">
      <c r="A287" s="358" t="s">
        <v>10210</v>
      </c>
      <c r="B287" s="358">
        <v>14590.0</v>
      </c>
      <c r="C287" s="11" t="s">
        <v>9590</v>
      </c>
      <c r="D287" s="74">
        <v>0.9</v>
      </c>
      <c r="E287" s="74">
        <v>0.9</v>
      </c>
      <c r="F287" s="229" t="s">
        <v>1656</v>
      </c>
      <c r="G287" s="467"/>
      <c r="H287" s="175" t="s">
        <v>10210</v>
      </c>
      <c r="I287" s="488"/>
      <c r="J287" s="490" t="s">
        <v>9745</v>
      </c>
      <c r="K287" s="446">
        <v>6774.0</v>
      </c>
      <c r="M287" s="244" t="s">
        <v>9593</v>
      </c>
    </row>
    <row r="288">
      <c r="A288" s="358" t="s">
        <v>10211</v>
      </c>
      <c r="B288" s="358">
        <v>14590.0</v>
      </c>
      <c r="C288" s="11" t="s">
        <v>9590</v>
      </c>
      <c r="D288" s="74">
        <v>0.9</v>
      </c>
      <c r="E288" s="74">
        <v>0.9</v>
      </c>
      <c r="F288" s="229" t="s">
        <v>1656</v>
      </c>
      <c r="G288" s="467"/>
      <c r="H288" s="175" t="s">
        <v>10211</v>
      </c>
      <c r="I288" s="488"/>
      <c r="J288" s="490" t="s">
        <v>9748</v>
      </c>
      <c r="K288" s="446">
        <v>6891.0</v>
      </c>
      <c r="M288" s="244" t="s">
        <v>9593</v>
      </c>
    </row>
    <row r="289">
      <c r="A289" s="358" t="s">
        <v>10212</v>
      </c>
      <c r="B289" s="477">
        <v>7083.0</v>
      </c>
      <c r="C289" s="11" t="s">
        <v>9590</v>
      </c>
      <c r="D289" s="475">
        <v>0.78</v>
      </c>
      <c r="E289" s="475">
        <v>0.78</v>
      </c>
      <c r="F289" s="229" t="s">
        <v>1656</v>
      </c>
      <c r="G289" s="467"/>
      <c r="H289" s="170" t="s">
        <v>10212</v>
      </c>
      <c r="I289" s="461">
        <v>7083.0</v>
      </c>
      <c r="J289" s="490" t="s">
        <v>9751</v>
      </c>
      <c r="K289" s="9">
        <v>6658.0</v>
      </c>
      <c r="L289" s="446">
        <v>6891.0</v>
      </c>
      <c r="M289" s="244" t="s">
        <v>9593</v>
      </c>
    </row>
    <row r="290">
      <c r="A290" s="358" t="s">
        <v>10213</v>
      </c>
      <c r="B290" s="477">
        <v>7083.0</v>
      </c>
      <c r="C290" s="11" t="s">
        <v>9590</v>
      </c>
      <c r="D290" s="475">
        <v>0.78</v>
      </c>
      <c r="E290" s="475">
        <v>0.78</v>
      </c>
      <c r="F290" s="229" t="s">
        <v>1656</v>
      </c>
      <c r="G290" s="467"/>
      <c r="H290" s="170" t="s">
        <v>10213</v>
      </c>
      <c r="I290" s="461">
        <v>7083.0</v>
      </c>
      <c r="J290" s="490" t="s">
        <v>9754</v>
      </c>
      <c r="K290" s="446">
        <v>5458.0</v>
      </c>
      <c r="M290" s="244" t="s">
        <v>9593</v>
      </c>
    </row>
    <row r="291">
      <c r="A291" s="358" t="s">
        <v>10214</v>
      </c>
      <c r="B291" s="477">
        <v>14337.0</v>
      </c>
      <c r="C291" s="11" t="s">
        <v>9590</v>
      </c>
      <c r="D291" s="475">
        <v>0.78</v>
      </c>
      <c r="E291" s="475">
        <v>0.78</v>
      </c>
      <c r="F291" s="229" t="s">
        <v>1656</v>
      </c>
      <c r="G291" s="467"/>
      <c r="H291" s="170" t="s">
        <v>10214</v>
      </c>
      <c r="I291" s="461">
        <v>14337.0</v>
      </c>
      <c r="J291" s="490" t="s">
        <v>9757</v>
      </c>
      <c r="K291" s="446">
        <v>5458.0</v>
      </c>
      <c r="M291" s="244" t="s">
        <v>9593</v>
      </c>
    </row>
    <row r="292">
      <c r="A292" s="358" t="s">
        <v>10215</v>
      </c>
      <c r="B292" s="477">
        <v>7083.0</v>
      </c>
      <c r="C292" s="11" t="s">
        <v>9590</v>
      </c>
      <c r="D292" s="475">
        <v>0.78</v>
      </c>
      <c r="E292" s="475">
        <v>0.78</v>
      </c>
      <c r="F292" s="229" t="s">
        <v>1656</v>
      </c>
      <c r="G292" s="467"/>
      <c r="H292" s="170" t="s">
        <v>10215</v>
      </c>
      <c r="I292" s="461">
        <v>7083.0</v>
      </c>
      <c r="J292" s="490" t="s">
        <v>9760</v>
      </c>
      <c r="K292" s="446">
        <v>5458.0</v>
      </c>
      <c r="M292" s="244" t="s">
        <v>9593</v>
      </c>
    </row>
    <row r="293">
      <c r="A293" s="358" t="s">
        <v>10216</v>
      </c>
      <c r="B293" s="477">
        <v>6928.0</v>
      </c>
      <c r="C293" s="11" t="s">
        <v>9590</v>
      </c>
      <c r="D293" s="475">
        <v>0.78</v>
      </c>
      <c r="E293" s="475">
        <v>0.78</v>
      </c>
      <c r="F293" s="229" t="s">
        <v>1656</v>
      </c>
      <c r="G293" s="467"/>
      <c r="H293" s="170" t="s">
        <v>10216</v>
      </c>
      <c r="I293" s="461">
        <v>6928.0</v>
      </c>
      <c r="J293" s="491" t="s">
        <v>9763</v>
      </c>
      <c r="K293" s="487">
        <v>7062.0</v>
      </c>
      <c r="L293" s="36"/>
      <c r="M293" s="246" t="s">
        <v>9593</v>
      </c>
    </row>
    <row r="294">
      <c r="A294" s="358" t="s">
        <v>10217</v>
      </c>
      <c r="B294" s="477">
        <v>14011.0</v>
      </c>
      <c r="C294" s="11" t="s">
        <v>9590</v>
      </c>
      <c r="D294" s="475">
        <v>0.78</v>
      </c>
      <c r="E294" s="475">
        <v>0.78</v>
      </c>
      <c r="F294" s="229" t="s">
        <v>1656</v>
      </c>
      <c r="G294" s="467"/>
      <c r="H294" s="175" t="s">
        <v>10218</v>
      </c>
      <c r="I294" s="465">
        <v>6939.0</v>
      </c>
      <c r="J294" s="491" t="s">
        <v>9766</v>
      </c>
      <c r="K294" s="487">
        <v>6530.0</v>
      </c>
      <c r="L294" s="36"/>
      <c r="M294" s="246" t="s">
        <v>9593</v>
      </c>
    </row>
    <row r="295">
      <c r="A295" s="358" t="s">
        <v>10219</v>
      </c>
      <c r="B295" s="358">
        <v>14590.0</v>
      </c>
      <c r="C295" s="11" t="s">
        <v>9590</v>
      </c>
      <c r="D295" s="74">
        <v>0.9</v>
      </c>
      <c r="E295" s="74">
        <v>0.9</v>
      </c>
      <c r="F295" s="229" t="s">
        <v>1656</v>
      </c>
      <c r="G295" s="467"/>
      <c r="H295" s="170" t="s">
        <v>10220</v>
      </c>
      <c r="I295" s="461">
        <v>6939.0</v>
      </c>
      <c r="J295" s="491" t="s">
        <v>9769</v>
      </c>
      <c r="K295" s="487">
        <v>6903.0</v>
      </c>
      <c r="L295" s="36"/>
      <c r="M295" s="246" t="s">
        <v>9593</v>
      </c>
    </row>
    <row r="296">
      <c r="A296" s="358" t="s">
        <v>10221</v>
      </c>
      <c r="B296" s="477">
        <v>14185.0</v>
      </c>
      <c r="C296" s="11" t="s">
        <v>9590</v>
      </c>
      <c r="D296" s="475">
        <v>0.78</v>
      </c>
      <c r="E296" s="475">
        <v>0.78</v>
      </c>
      <c r="F296" s="229" t="s">
        <v>1656</v>
      </c>
      <c r="G296" s="467"/>
      <c r="H296" s="12" t="s">
        <v>10222</v>
      </c>
      <c r="I296" s="464">
        <v>7003.0</v>
      </c>
      <c r="J296" s="491" t="s">
        <v>9772</v>
      </c>
      <c r="K296" s="487">
        <v>7023.0</v>
      </c>
      <c r="L296" s="36"/>
      <c r="M296" s="246" t="s">
        <v>9593</v>
      </c>
    </row>
    <row r="297">
      <c r="A297" s="358" t="s">
        <v>10223</v>
      </c>
      <c r="B297" s="358">
        <v>14590.0</v>
      </c>
      <c r="C297" s="11" t="s">
        <v>9590</v>
      </c>
      <c r="D297" s="74">
        <v>0.9</v>
      </c>
      <c r="E297" s="74">
        <v>0.9</v>
      </c>
      <c r="F297" s="229" t="s">
        <v>1656</v>
      </c>
      <c r="G297" s="467"/>
      <c r="H297" s="170" t="s">
        <v>10224</v>
      </c>
      <c r="I297" s="461">
        <v>9307.0</v>
      </c>
      <c r="J297" s="490" t="s">
        <v>9775</v>
      </c>
      <c r="K297" s="494">
        <v>6802.0</v>
      </c>
      <c r="M297" s="244" t="s">
        <v>9593</v>
      </c>
    </row>
    <row r="298">
      <c r="A298" s="358" t="s">
        <v>10225</v>
      </c>
      <c r="B298" s="358">
        <v>14590.0</v>
      </c>
      <c r="C298" s="11" t="s">
        <v>9590</v>
      </c>
      <c r="D298" s="74">
        <v>0.9</v>
      </c>
      <c r="E298" s="74">
        <v>0.9</v>
      </c>
      <c r="F298" s="229" t="s">
        <v>1656</v>
      </c>
      <c r="G298" s="467"/>
      <c r="H298" s="12" t="s">
        <v>10226</v>
      </c>
      <c r="I298" s="464">
        <v>6785.0</v>
      </c>
      <c r="J298" s="490" t="s">
        <v>9778</v>
      </c>
      <c r="K298" s="446">
        <v>5389.0</v>
      </c>
      <c r="L298" s="11">
        <v>7058.0</v>
      </c>
      <c r="M298" s="244" t="s">
        <v>9593</v>
      </c>
    </row>
    <row r="299">
      <c r="A299" s="358" t="s">
        <v>10227</v>
      </c>
      <c r="B299" s="358">
        <v>14590.0</v>
      </c>
      <c r="C299" s="11" t="s">
        <v>9590</v>
      </c>
      <c r="D299" s="74">
        <v>0.9</v>
      </c>
      <c r="E299" s="74">
        <v>0.9</v>
      </c>
      <c r="F299" s="229" t="s">
        <v>1656</v>
      </c>
      <c r="G299" s="467"/>
      <c r="H299" s="12" t="s">
        <v>10228</v>
      </c>
      <c r="I299" s="464">
        <v>10141.0</v>
      </c>
      <c r="J299" s="495" t="s">
        <v>9781</v>
      </c>
      <c r="K299" s="487">
        <v>6133.0</v>
      </c>
      <c r="L299" s="36"/>
      <c r="M299" s="246" t="s">
        <v>9593</v>
      </c>
    </row>
    <row r="300">
      <c r="A300" s="358" t="s">
        <v>10229</v>
      </c>
      <c r="B300" s="477">
        <v>14079.0</v>
      </c>
      <c r="C300" s="11" t="s">
        <v>9590</v>
      </c>
      <c r="D300" s="475">
        <v>0.78</v>
      </c>
      <c r="E300" s="475">
        <v>0.78</v>
      </c>
      <c r="F300" s="229" t="s">
        <v>1656</v>
      </c>
      <c r="G300" s="467"/>
      <c r="H300" s="170" t="s">
        <v>10230</v>
      </c>
      <c r="I300" s="461">
        <v>6109.0</v>
      </c>
      <c r="J300" s="496" t="s">
        <v>9784</v>
      </c>
      <c r="K300" s="446">
        <v>6133.0</v>
      </c>
      <c r="M300" s="244" t="s">
        <v>9593</v>
      </c>
    </row>
    <row r="301">
      <c r="A301" s="358" t="s">
        <v>10231</v>
      </c>
      <c r="B301" s="358">
        <v>14590.0</v>
      </c>
      <c r="C301" s="11" t="s">
        <v>9590</v>
      </c>
      <c r="D301" s="74">
        <v>0.9</v>
      </c>
      <c r="E301" s="74">
        <v>0.9</v>
      </c>
      <c r="F301" s="229" t="s">
        <v>1656</v>
      </c>
      <c r="G301" s="467"/>
      <c r="H301" s="12" t="s">
        <v>10232</v>
      </c>
      <c r="I301" s="464">
        <v>6109.0</v>
      </c>
      <c r="J301" s="495" t="s">
        <v>9787</v>
      </c>
      <c r="K301" s="487">
        <v>6133.0</v>
      </c>
      <c r="L301" s="36"/>
      <c r="M301" s="246" t="s">
        <v>9593</v>
      </c>
    </row>
    <row r="302">
      <c r="A302" s="358" t="s">
        <v>10233</v>
      </c>
      <c r="B302" s="358">
        <v>14590.0</v>
      </c>
      <c r="C302" s="11" t="s">
        <v>9590</v>
      </c>
      <c r="D302" s="74">
        <v>0.9</v>
      </c>
      <c r="E302" s="74">
        <v>0.9</v>
      </c>
      <c r="F302" s="229" t="s">
        <v>1656</v>
      </c>
      <c r="G302" s="467"/>
      <c r="H302" s="170" t="s">
        <v>10234</v>
      </c>
      <c r="I302" s="461">
        <v>6109.0</v>
      </c>
      <c r="J302" s="495" t="s">
        <v>9790</v>
      </c>
      <c r="K302" s="487">
        <v>6133.0</v>
      </c>
      <c r="L302" s="36"/>
      <c r="M302" s="246" t="s">
        <v>9593</v>
      </c>
    </row>
    <row r="303">
      <c r="A303" s="358" t="s">
        <v>10235</v>
      </c>
      <c r="B303" s="477">
        <v>14086.0</v>
      </c>
      <c r="C303" s="11" t="s">
        <v>9590</v>
      </c>
      <c r="D303" s="475">
        <v>0.78</v>
      </c>
      <c r="E303" s="475">
        <v>0.78</v>
      </c>
      <c r="F303" s="229" t="s">
        <v>1656</v>
      </c>
      <c r="G303" s="467"/>
      <c r="H303" s="170" t="s">
        <v>10236</v>
      </c>
      <c r="I303" s="461">
        <v>6109.0</v>
      </c>
      <c r="J303" s="496" t="s">
        <v>9793</v>
      </c>
      <c r="K303" s="446">
        <v>6658.0</v>
      </c>
      <c r="M303" s="244" t="s">
        <v>9593</v>
      </c>
    </row>
    <row r="304">
      <c r="A304" s="358" t="s">
        <v>10237</v>
      </c>
      <c r="B304" s="477">
        <v>13867.0</v>
      </c>
      <c r="C304" s="11" t="s">
        <v>9590</v>
      </c>
      <c r="D304" s="475">
        <v>0.78</v>
      </c>
      <c r="E304" s="475">
        <v>0.78</v>
      </c>
      <c r="F304" s="229" t="s">
        <v>1656</v>
      </c>
      <c r="G304" s="467"/>
      <c r="H304" s="170" t="s">
        <v>10238</v>
      </c>
      <c r="I304" s="461">
        <v>14505.0</v>
      </c>
      <c r="J304" s="496" t="s">
        <v>9796</v>
      </c>
      <c r="K304" s="446">
        <v>6658.0</v>
      </c>
      <c r="M304" s="244" t="s">
        <v>9593</v>
      </c>
    </row>
    <row r="305">
      <c r="A305" s="358" t="s">
        <v>10239</v>
      </c>
      <c r="B305" s="477">
        <v>10987.0</v>
      </c>
      <c r="C305" s="11" t="s">
        <v>9590</v>
      </c>
      <c r="D305" s="475">
        <v>0.78</v>
      </c>
      <c r="E305" s="475">
        <v>0.78</v>
      </c>
      <c r="F305" s="229" t="s">
        <v>1656</v>
      </c>
      <c r="G305" s="467"/>
      <c r="H305" s="12" t="s">
        <v>10240</v>
      </c>
      <c r="I305" s="464">
        <v>5458.0</v>
      </c>
      <c r="J305" s="496" t="s">
        <v>9799</v>
      </c>
      <c r="K305" s="446">
        <v>6658.0</v>
      </c>
      <c r="M305" s="244" t="s">
        <v>9593</v>
      </c>
    </row>
    <row r="306">
      <c r="A306" s="358" t="s">
        <v>10241</v>
      </c>
      <c r="B306" s="358">
        <v>14590.0</v>
      </c>
      <c r="C306" s="11" t="s">
        <v>9590</v>
      </c>
      <c r="D306" s="74">
        <v>0.9</v>
      </c>
      <c r="E306" s="74">
        <v>0.9</v>
      </c>
      <c r="F306" s="229" t="s">
        <v>1656</v>
      </c>
      <c r="G306" s="467"/>
      <c r="H306" s="170" t="s">
        <v>10121</v>
      </c>
      <c r="I306" s="461">
        <v>467.0</v>
      </c>
      <c r="J306" s="496" t="s">
        <v>9802</v>
      </c>
      <c r="K306" s="446">
        <v>6658.0</v>
      </c>
      <c r="M306" s="244" t="s">
        <v>9593</v>
      </c>
    </row>
    <row r="307">
      <c r="A307" s="358" t="s">
        <v>10242</v>
      </c>
      <c r="B307" s="477">
        <v>9767.0</v>
      </c>
      <c r="C307" s="11" t="s">
        <v>9590</v>
      </c>
      <c r="D307" s="475">
        <v>0.78</v>
      </c>
      <c r="E307" s="475">
        <v>0.78</v>
      </c>
      <c r="F307" s="229" t="s">
        <v>1656</v>
      </c>
      <c r="G307" s="467"/>
      <c r="H307" s="175" t="s">
        <v>10123</v>
      </c>
      <c r="I307" s="465">
        <v>14529.0</v>
      </c>
      <c r="J307" s="496" t="s">
        <v>9805</v>
      </c>
      <c r="K307" s="446">
        <v>6658.0</v>
      </c>
      <c r="M307" s="244" t="s">
        <v>9593</v>
      </c>
    </row>
    <row r="308">
      <c r="A308" s="358" t="s">
        <v>10243</v>
      </c>
      <c r="B308" s="358">
        <v>14590.0</v>
      </c>
      <c r="C308" s="11" t="s">
        <v>9590</v>
      </c>
      <c r="D308" s="74">
        <v>0.9</v>
      </c>
      <c r="E308" s="74">
        <v>0.9</v>
      </c>
      <c r="F308" s="229" t="s">
        <v>1656</v>
      </c>
      <c r="G308" s="467"/>
      <c r="H308" s="170" t="s">
        <v>10125</v>
      </c>
      <c r="I308" s="461">
        <v>4431.0</v>
      </c>
      <c r="J308" s="495" t="s">
        <v>9808</v>
      </c>
      <c r="K308" s="487">
        <v>6658.0</v>
      </c>
      <c r="L308" s="36"/>
      <c r="M308" s="246" t="s">
        <v>9593</v>
      </c>
    </row>
    <row r="309">
      <c r="A309" s="358" t="s">
        <v>10244</v>
      </c>
      <c r="B309" s="477">
        <v>13988.0</v>
      </c>
      <c r="C309" s="11" t="s">
        <v>9590</v>
      </c>
      <c r="D309" s="475">
        <v>0.78</v>
      </c>
      <c r="E309" s="475">
        <v>0.78</v>
      </c>
      <c r="F309" s="229" t="s">
        <v>1656</v>
      </c>
      <c r="G309" s="467"/>
      <c r="H309" s="170" t="s">
        <v>10127</v>
      </c>
      <c r="I309" s="461">
        <v>6697.0</v>
      </c>
      <c r="J309" s="496" t="s">
        <v>9810</v>
      </c>
      <c r="K309" s="446">
        <v>6658.0</v>
      </c>
      <c r="M309" s="244" t="s">
        <v>9593</v>
      </c>
    </row>
    <row r="310">
      <c r="A310" s="358" t="s">
        <v>10245</v>
      </c>
      <c r="B310" s="358">
        <v>14590.0</v>
      </c>
      <c r="C310" s="11" t="s">
        <v>9590</v>
      </c>
      <c r="D310" s="74">
        <v>0.9</v>
      </c>
      <c r="E310" s="74">
        <v>0.9</v>
      </c>
      <c r="F310" s="229" t="s">
        <v>1656</v>
      </c>
      <c r="G310" s="467"/>
      <c r="H310" s="170" t="s">
        <v>10129</v>
      </c>
      <c r="I310" s="461">
        <v>6697.0</v>
      </c>
      <c r="J310" s="496" t="s">
        <v>9813</v>
      </c>
      <c r="K310" s="446">
        <v>6658.0</v>
      </c>
      <c r="M310" s="244" t="s">
        <v>9593</v>
      </c>
    </row>
    <row r="311">
      <c r="A311" s="358" t="s">
        <v>10246</v>
      </c>
      <c r="B311" s="477">
        <v>13987.0</v>
      </c>
      <c r="C311" s="11" t="s">
        <v>9590</v>
      </c>
      <c r="D311" s="475">
        <v>0.78</v>
      </c>
      <c r="E311" s="475">
        <v>0.78</v>
      </c>
      <c r="F311" s="229" t="s">
        <v>1656</v>
      </c>
      <c r="G311" s="467"/>
      <c r="H311" s="170" t="s">
        <v>10131</v>
      </c>
      <c r="I311" s="461">
        <v>6697.0</v>
      </c>
      <c r="J311" s="496" t="s">
        <v>9816</v>
      </c>
      <c r="K311" s="446">
        <v>6658.0</v>
      </c>
      <c r="M311" s="244" t="s">
        <v>9593</v>
      </c>
    </row>
    <row r="312">
      <c r="A312" s="358" t="s">
        <v>10247</v>
      </c>
      <c r="B312" s="358">
        <v>14590.0</v>
      </c>
      <c r="C312" s="11" t="s">
        <v>9590</v>
      </c>
      <c r="D312" s="74">
        <v>0.9</v>
      </c>
      <c r="E312" s="74">
        <v>0.9</v>
      </c>
      <c r="F312" s="229" t="s">
        <v>1656</v>
      </c>
      <c r="G312" s="467"/>
      <c r="H312" s="175" t="s">
        <v>10133</v>
      </c>
      <c r="I312" s="465">
        <v>6831.0</v>
      </c>
      <c r="J312" s="495" t="s">
        <v>9819</v>
      </c>
      <c r="K312" s="487">
        <v>6658.0</v>
      </c>
      <c r="L312" s="36"/>
      <c r="M312" s="246" t="s">
        <v>9593</v>
      </c>
    </row>
    <row r="313">
      <c r="A313" s="358" t="s">
        <v>10248</v>
      </c>
      <c r="B313" s="358">
        <v>14590.0</v>
      </c>
      <c r="C313" s="11" t="s">
        <v>9590</v>
      </c>
      <c r="D313" s="74">
        <v>0.9</v>
      </c>
      <c r="E313" s="74">
        <v>0.9</v>
      </c>
      <c r="F313" s="229" t="s">
        <v>1656</v>
      </c>
      <c r="G313" s="467"/>
      <c r="H313" s="170" t="s">
        <v>10135</v>
      </c>
      <c r="I313" s="461">
        <v>14420.0</v>
      </c>
      <c r="J313" s="495" t="s">
        <v>9822</v>
      </c>
      <c r="K313" s="487">
        <v>6658.0</v>
      </c>
      <c r="L313" s="36"/>
      <c r="M313" s="246" t="s">
        <v>9593</v>
      </c>
    </row>
    <row r="314">
      <c r="A314" s="358" t="s">
        <v>10249</v>
      </c>
      <c r="B314" s="477">
        <v>12611.0</v>
      </c>
      <c r="C314" s="11" t="s">
        <v>9590</v>
      </c>
      <c r="D314" s="475">
        <v>0.78</v>
      </c>
      <c r="E314" s="475">
        <v>0.78</v>
      </c>
      <c r="F314" s="229" t="s">
        <v>1656</v>
      </c>
      <c r="G314" s="467"/>
      <c r="H314" s="170" t="s">
        <v>10137</v>
      </c>
      <c r="I314" s="461">
        <v>14420.0</v>
      </c>
      <c r="J314" s="127" t="s">
        <v>9825</v>
      </c>
      <c r="K314" s="487">
        <v>6771.0</v>
      </c>
      <c r="L314" s="36"/>
      <c r="M314" s="246" t="s">
        <v>9593</v>
      </c>
    </row>
    <row r="315">
      <c r="A315" s="358" t="s">
        <v>10250</v>
      </c>
      <c r="B315" s="358">
        <v>14590.0</v>
      </c>
      <c r="C315" s="11" t="s">
        <v>9590</v>
      </c>
      <c r="D315" s="74">
        <v>0.9</v>
      </c>
      <c r="E315" s="74">
        <v>0.9</v>
      </c>
      <c r="F315" s="229" t="s">
        <v>1656</v>
      </c>
      <c r="G315" s="467"/>
      <c r="H315" s="170" t="s">
        <v>10139</v>
      </c>
      <c r="I315" s="461">
        <v>14420.0</v>
      </c>
      <c r="J315" s="11" t="s">
        <v>27</v>
      </c>
      <c r="K315" s="446">
        <v>2345.0</v>
      </c>
      <c r="M315" s="7" t="s">
        <v>9593</v>
      </c>
    </row>
    <row r="316">
      <c r="A316" s="358" t="s">
        <v>10251</v>
      </c>
      <c r="B316" s="358">
        <v>14590.0</v>
      </c>
      <c r="C316" s="11" t="s">
        <v>9590</v>
      </c>
      <c r="D316" s="74">
        <v>0.9</v>
      </c>
      <c r="E316" s="74">
        <v>0.9</v>
      </c>
      <c r="F316" s="229" t="s">
        <v>1656</v>
      </c>
      <c r="G316" s="467"/>
      <c r="H316" s="175" t="s">
        <v>10141</v>
      </c>
      <c r="I316" s="465">
        <v>8244.0</v>
      </c>
      <c r="J316" s="11" t="s">
        <v>6274</v>
      </c>
      <c r="K316" s="446">
        <v>6675.0</v>
      </c>
      <c r="M316" s="244" t="s">
        <v>9593</v>
      </c>
    </row>
    <row r="317">
      <c r="A317" s="358" t="s">
        <v>10252</v>
      </c>
      <c r="B317" s="477">
        <v>14553.0</v>
      </c>
      <c r="C317" s="11" t="s">
        <v>9590</v>
      </c>
      <c r="D317" s="475">
        <v>0.78</v>
      </c>
      <c r="E317" s="475">
        <v>0.78</v>
      </c>
      <c r="F317" s="229" t="s">
        <v>1656</v>
      </c>
      <c r="G317" s="467"/>
      <c r="H317" s="175" t="s">
        <v>10143</v>
      </c>
      <c r="I317" s="465">
        <v>6669.0</v>
      </c>
      <c r="J317" s="35" t="s">
        <v>9830</v>
      </c>
      <c r="K317" s="487">
        <v>6133.0</v>
      </c>
      <c r="L317" s="36"/>
      <c r="M317" s="246" t="s">
        <v>9593</v>
      </c>
    </row>
    <row r="318">
      <c r="A318" s="358" t="s">
        <v>10253</v>
      </c>
      <c r="B318" s="358">
        <v>14590.0</v>
      </c>
      <c r="C318" s="11" t="s">
        <v>9590</v>
      </c>
      <c r="D318" s="74">
        <v>0.9</v>
      </c>
      <c r="E318" s="74">
        <v>0.9</v>
      </c>
      <c r="F318" s="229" t="s">
        <v>1656</v>
      </c>
      <c r="G318" s="467"/>
      <c r="H318" s="175" t="s">
        <v>10145</v>
      </c>
      <c r="I318" s="465">
        <v>14516.0</v>
      </c>
      <c r="J318" s="35" t="s">
        <v>9832</v>
      </c>
      <c r="K318" s="487">
        <v>6133.0</v>
      </c>
      <c r="L318" s="36"/>
      <c r="M318" s="246" t="s">
        <v>9593</v>
      </c>
    </row>
    <row r="319">
      <c r="A319" s="358" t="s">
        <v>10254</v>
      </c>
      <c r="B319" s="358">
        <v>14590.0</v>
      </c>
      <c r="C319" s="11" t="s">
        <v>9590</v>
      </c>
      <c r="D319" s="74">
        <v>0.9</v>
      </c>
      <c r="E319" s="74">
        <v>0.9</v>
      </c>
      <c r="F319" s="229" t="s">
        <v>1656</v>
      </c>
      <c r="G319" s="467"/>
      <c r="H319" s="12" t="s">
        <v>10147</v>
      </c>
      <c r="I319" s="12">
        <v>14267.0</v>
      </c>
      <c r="J319" s="11" t="s">
        <v>9835</v>
      </c>
      <c r="K319" s="446">
        <v>2345.0</v>
      </c>
      <c r="M319" s="244" t="s">
        <v>9593</v>
      </c>
    </row>
    <row r="320">
      <c r="A320" s="358" t="s">
        <v>10255</v>
      </c>
      <c r="B320" s="358">
        <v>14590.0</v>
      </c>
      <c r="C320" s="11" t="s">
        <v>9590</v>
      </c>
      <c r="D320" s="74">
        <v>0.9</v>
      </c>
      <c r="E320" s="74">
        <v>0.9</v>
      </c>
      <c r="F320" s="229" t="s">
        <v>1656</v>
      </c>
      <c r="G320" s="467"/>
      <c r="H320" s="170" t="s">
        <v>10149</v>
      </c>
      <c r="I320" s="170">
        <v>14267.0</v>
      </c>
      <c r="J320" s="35" t="s">
        <v>9838</v>
      </c>
      <c r="K320" s="487">
        <v>663.0</v>
      </c>
      <c r="L320" s="36"/>
      <c r="M320" s="246" t="s">
        <v>9593</v>
      </c>
    </row>
    <row r="321">
      <c r="A321" s="358" t="s">
        <v>10256</v>
      </c>
      <c r="B321" s="358">
        <v>14590.0</v>
      </c>
      <c r="C321" s="11" t="s">
        <v>9590</v>
      </c>
      <c r="D321" s="74">
        <v>0.9</v>
      </c>
      <c r="E321" s="74">
        <v>0.9</v>
      </c>
      <c r="F321" s="229" t="s">
        <v>1656</v>
      </c>
      <c r="G321" s="467"/>
      <c r="H321" s="175" t="s">
        <v>10151</v>
      </c>
      <c r="I321" s="465">
        <v>6675.0</v>
      </c>
      <c r="J321" s="35" t="s">
        <v>9841</v>
      </c>
      <c r="K321" s="487">
        <v>10856.0</v>
      </c>
      <c r="L321" s="36"/>
      <c r="M321" s="246" t="s">
        <v>9593</v>
      </c>
    </row>
    <row r="322">
      <c r="A322" s="358" t="s">
        <v>10257</v>
      </c>
      <c r="B322" s="358">
        <v>14590.0</v>
      </c>
      <c r="C322" s="11" t="s">
        <v>9590</v>
      </c>
      <c r="D322" s="74">
        <v>0.9</v>
      </c>
      <c r="E322" s="74">
        <v>0.9</v>
      </c>
      <c r="F322" s="229" t="s">
        <v>1656</v>
      </c>
      <c r="G322" s="467"/>
      <c r="H322" s="170" t="s">
        <v>10153</v>
      </c>
      <c r="I322" s="461">
        <v>189.0</v>
      </c>
      <c r="J322" s="35" t="s">
        <v>9844</v>
      </c>
      <c r="K322" s="487">
        <v>6675.0</v>
      </c>
      <c r="L322" s="36"/>
      <c r="M322" s="246" t="s">
        <v>9593</v>
      </c>
    </row>
    <row r="323">
      <c r="A323" s="358" t="s">
        <v>10258</v>
      </c>
      <c r="B323" s="358">
        <v>14590.0</v>
      </c>
      <c r="C323" s="11" t="s">
        <v>9590</v>
      </c>
      <c r="D323" s="74">
        <v>0.9</v>
      </c>
      <c r="E323" s="74">
        <v>0.9</v>
      </c>
      <c r="F323" s="229" t="s">
        <v>1656</v>
      </c>
      <c r="G323" s="467"/>
      <c r="H323" s="170" t="s">
        <v>10155</v>
      </c>
      <c r="I323" s="461">
        <v>10856.0</v>
      </c>
      <c r="J323" s="35" t="s">
        <v>9847</v>
      </c>
      <c r="K323" s="111">
        <v>7083.0</v>
      </c>
      <c r="L323" s="487">
        <v>195.0</v>
      </c>
      <c r="M323" s="246" t="s">
        <v>9593</v>
      </c>
    </row>
    <row r="324">
      <c r="A324" s="358" t="s">
        <v>10259</v>
      </c>
      <c r="B324" s="358">
        <v>14590.0</v>
      </c>
      <c r="C324" s="11" t="s">
        <v>9590</v>
      </c>
      <c r="D324" s="74">
        <v>0.9</v>
      </c>
      <c r="E324" s="74">
        <v>0.9</v>
      </c>
      <c r="F324" s="229" t="s">
        <v>1656</v>
      </c>
      <c r="G324" s="467"/>
      <c r="H324" s="175" t="s">
        <v>10157</v>
      </c>
      <c r="I324" s="497">
        <v>8002.0</v>
      </c>
      <c r="J324" s="11" t="s">
        <v>9850</v>
      </c>
      <c r="K324" s="498">
        <v>5389.0</v>
      </c>
      <c r="L324" s="499">
        <v>6109.0</v>
      </c>
      <c r="M324" s="244" t="s">
        <v>9593</v>
      </c>
    </row>
    <row r="325">
      <c r="A325" s="358" t="s">
        <v>10260</v>
      </c>
      <c r="B325" s="358">
        <v>14590.0</v>
      </c>
      <c r="C325" s="11" t="s">
        <v>9590</v>
      </c>
      <c r="D325" s="74">
        <v>0.9</v>
      </c>
      <c r="E325" s="74">
        <v>0.9</v>
      </c>
      <c r="F325" s="229" t="s">
        <v>1656</v>
      </c>
      <c r="G325" s="467"/>
      <c r="H325" s="170" t="s">
        <v>10159</v>
      </c>
      <c r="I325" s="461">
        <v>6893.0</v>
      </c>
      <c r="J325" s="11" t="s">
        <v>9853</v>
      </c>
      <c r="K325" s="446">
        <v>6675.0</v>
      </c>
      <c r="M325" s="244" t="s">
        <v>9593</v>
      </c>
    </row>
    <row r="326">
      <c r="A326" s="358" t="s">
        <v>10261</v>
      </c>
      <c r="B326" s="358">
        <v>14590.0</v>
      </c>
      <c r="C326" s="11" t="s">
        <v>9590</v>
      </c>
      <c r="D326" s="74">
        <v>0.9</v>
      </c>
      <c r="E326" s="74">
        <v>0.9</v>
      </c>
      <c r="F326" s="229" t="s">
        <v>1656</v>
      </c>
      <c r="G326" s="467"/>
      <c r="H326" s="175" t="s">
        <v>10262</v>
      </c>
      <c r="I326" s="16">
        <v>9363.0</v>
      </c>
      <c r="J326" s="11" t="s">
        <v>9856</v>
      </c>
      <c r="K326" s="446">
        <v>6675.0</v>
      </c>
      <c r="M326" s="244" t="s">
        <v>9593</v>
      </c>
    </row>
    <row r="327">
      <c r="A327" s="358" t="s">
        <v>10263</v>
      </c>
      <c r="B327" s="358">
        <v>14590.0</v>
      </c>
      <c r="C327" s="11" t="s">
        <v>9590</v>
      </c>
      <c r="D327" s="74">
        <v>0.9</v>
      </c>
      <c r="E327" s="74">
        <v>0.9</v>
      </c>
      <c r="F327" s="229" t="s">
        <v>1656</v>
      </c>
      <c r="G327" s="467"/>
      <c r="H327" s="175" t="s">
        <v>10264</v>
      </c>
      <c r="I327" s="16">
        <v>9363.0</v>
      </c>
      <c r="J327" s="11" t="s">
        <v>3858</v>
      </c>
      <c r="K327" s="446">
        <v>6675.0</v>
      </c>
      <c r="M327" s="244" t="s">
        <v>9593</v>
      </c>
    </row>
    <row r="328">
      <c r="A328" s="358" t="s">
        <v>10265</v>
      </c>
      <c r="B328" s="358">
        <v>14590.0</v>
      </c>
      <c r="C328" s="11" t="s">
        <v>9590</v>
      </c>
      <c r="D328" s="74">
        <v>0.9</v>
      </c>
      <c r="E328" s="74">
        <v>0.9</v>
      </c>
      <c r="F328" s="229" t="s">
        <v>1656</v>
      </c>
      <c r="G328" s="467"/>
      <c r="H328" s="170" t="s">
        <v>10266</v>
      </c>
      <c r="I328" s="461">
        <v>7003.0</v>
      </c>
      <c r="J328" s="11" t="s">
        <v>7727</v>
      </c>
      <c r="K328" s="446">
        <v>6675.0</v>
      </c>
      <c r="M328" s="244" t="s">
        <v>9593</v>
      </c>
    </row>
    <row r="329">
      <c r="A329" s="358" t="s">
        <v>10267</v>
      </c>
      <c r="B329" s="358">
        <v>14590.0</v>
      </c>
      <c r="C329" s="11" t="s">
        <v>9590</v>
      </c>
      <c r="D329" s="74">
        <v>0.9</v>
      </c>
      <c r="E329" s="74">
        <v>0.9</v>
      </c>
      <c r="F329" s="229" t="s">
        <v>1656</v>
      </c>
      <c r="G329" s="467"/>
      <c r="H329" s="170" t="s">
        <v>10268</v>
      </c>
      <c r="I329" s="461">
        <v>6988.0</v>
      </c>
      <c r="J329" s="11" t="s">
        <v>9863</v>
      </c>
      <c r="K329" s="446">
        <v>6675.0</v>
      </c>
      <c r="M329" s="244" t="s">
        <v>9593</v>
      </c>
    </row>
    <row r="330">
      <c r="A330" s="358" t="s">
        <v>10269</v>
      </c>
      <c r="B330" s="358">
        <v>14590.0</v>
      </c>
      <c r="C330" s="11" t="s">
        <v>9590</v>
      </c>
      <c r="D330" s="74">
        <v>0.9</v>
      </c>
      <c r="E330" s="74">
        <v>0.9</v>
      </c>
      <c r="F330" s="229" t="s">
        <v>1656</v>
      </c>
      <c r="G330" s="467"/>
      <c r="H330" s="170" t="s">
        <v>10270</v>
      </c>
      <c r="I330" s="461">
        <v>9645.0</v>
      </c>
      <c r="J330" s="11" t="s">
        <v>9866</v>
      </c>
      <c r="K330" s="446">
        <v>6671.0</v>
      </c>
      <c r="M330" s="244" t="s">
        <v>9593</v>
      </c>
    </row>
    <row r="331">
      <c r="A331" s="358" t="s">
        <v>10271</v>
      </c>
      <c r="B331" s="358">
        <v>14590.0</v>
      </c>
      <c r="C331" s="11" t="s">
        <v>9590</v>
      </c>
      <c r="D331" s="74">
        <v>0.9</v>
      </c>
      <c r="E331" s="74">
        <v>0.9</v>
      </c>
      <c r="F331" s="229" t="s">
        <v>1656</v>
      </c>
      <c r="G331" s="467"/>
      <c r="H331" s="175" t="s">
        <v>10272</v>
      </c>
      <c r="I331" s="465">
        <v>7142.0</v>
      </c>
      <c r="J331" s="35" t="s">
        <v>9869</v>
      </c>
      <c r="K331" s="487">
        <v>189.0</v>
      </c>
      <c r="L331" s="36"/>
      <c r="M331" s="246" t="s">
        <v>9593</v>
      </c>
    </row>
    <row r="332">
      <c r="A332" s="358" t="s">
        <v>10273</v>
      </c>
      <c r="B332" s="358">
        <v>14590.0</v>
      </c>
      <c r="C332" s="11" t="s">
        <v>9590</v>
      </c>
      <c r="D332" s="74">
        <v>0.9</v>
      </c>
      <c r="E332" s="74">
        <v>0.9</v>
      </c>
      <c r="F332" s="229" t="s">
        <v>1656</v>
      </c>
      <c r="G332" s="467"/>
      <c r="H332" s="175" t="s">
        <v>10274</v>
      </c>
      <c r="I332" s="175">
        <v>6779.0</v>
      </c>
      <c r="J332" s="35" t="s">
        <v>9872</v>
      </c>
      <c r="K332" s="487">
        <v>189.0</v>
      </c>
      <c r="L332" s="36"/>
      <c r="M332" s="246" t="s">
        <v>9593</v>
      </c>
    </row>
    <row r="333">
      <c r="A333" s="358" t="s">
        <v>10275</v>
      </c>
      <c r="B333" s="358">
        <v>14590.0</v>
      </c>
      <c r="C333" s="11" t="s">
        <v>9590</v>
      </c>
      <c r="D333" s="74">
        <v>0.9</v>
      </c>
      <c r="E333" s="74">
        <v>0.9</v>
      </c>
      <c r="F333" s="229" t="s">
        <v>1656</v>
      </c>
      <c r="G333" s="467"/>
      <c r="H333" s="170" t="s">
        <v>10276</v>
      </c>
      <c r="I333" s="170">
        <v>10856.0</v>
      </c>
      <c r="J333" s="11" t="s">
        <v>9875</v>
      </c>
      <c r="K333" s="446">
        <v>6671.0</v>
      </c>
      <c r="M333" s="244" t="s">
        <v>9593</v>
      </c>
    </row>
    <row r="334">
      <c r="A334" s="358" t="s">
        <v>10277</v>
      </c>
      <c r="B334" s="358">
        <v>14590.0</v>
      </c>
      <c r="C334" s="11" t="s">
        <v>9590</v>
      </c>
      <c r="D334" s="74">
        <v>0.9</v>
      </c>
      <c r="E334" s="74">
        <v>0.9</v>
      </c>
      <c r="F334" s="229" t="s">
        <v>1656</v>
      </c>
      <c r="G334" s="467"/>
      <c r="H334" s="175" t="s">
        <v>10278</v>
      </c>
      <c r="I334" s="465">
        <v>14478.0</v>
      </c>
      <c r="J334" s="35" t="s">
        <v>9878</v>
      </c>
      <c r="K334" s="487">
        <v>283.0</v>
      </c>
      <c r="L334" s="36"/>
      <c r="M334" s="246" t="s">
        <v>9593</v>
      </c>
    </row>
    <row r="335">
      <c r="A335" s="358" t="s">
        <v>10279</v>
      </c>
      <c r="B335" s="358">
        <v>14590.0</v>
      </c>
      <c r="C335" s="11" t="s">
        <v>9590</v>
      </c>
      <c r="D335" s="74">
        <v>0.9</v>
      </c>
      <c r="E335" s="74">
        <v>0.9</v>
      </c>
      <c r="F335" s="229" t="s">
        <v>1656</v>
      </c>
      <c r="G335" s="467"/>
      <c r="H335" s="175" t="s">
        <v>10280</v>
      </c>
      <c r="I335" s="175">
        <v>14478.0</v>
      </c>
      <c r="J335" s="35" t="s">
        <v>9881</v>
      </c>
      <c r="K335" s="487">
        <v>283.0</v>
      </c>
      <c r="L335" s="36"/>
      <c r="M335" s="246" t="s">
        <v>9593</v>
      </c>
    </row>
    <row r="336">
      <c r="A336" s="358" t="s">
        <v>10281</v>
      </c>
      <c r="B336" s="358">
        <v>14590.0</v>
      </c>
      <c r="C336" s="11" t="s">
        <v>9590</v>
      </c>
      <c r="D336" s="74">
        <v>0.9</v>
      </c>
      <c r="E336" s="74">
        <v>0.9</v>
      </c>
      <c r="F336" s="229" t="s">
        <v>1656</v>
      </c>
      <c r="G336" s="467"/>
      <c r="H336" s="175" t="s">
        <v>10220</v>
      </c>
      <c r="I336" s="465">
        <v>1104.0</v>
      </c>
      <c r="J336" s="11" t="s">
        <v>9884</v>
      </c>
      <c r="K336" s="446">
        <v>7877.0</v>
      </c>
      <c r="M336" s="244" t="s">
        <v>9593</v>
      </c>
    </row>
    <row r="337">
      <c r="A337" s="358" t="s">
        <v>10282</v>
      </c>
      <c r="B337" s="358">
        <v>14590.0</v>
      </c>
      <c r="C337" s="11" t="s">
        <v>9590</v>
      </c>
      <c r="D337" s="74">
        <v>0.9</v>
      </c>
      <c r="E337" s="74">
        <v>0.9</v>
      </c>
      <c r="F337" s="229" t="s">
        <v>1656</v>
      </c>
      <c r="G337" s="467"/>
      <c r="H337" s="170" t="s">
        <v>10283</v>
      </c>
      <c r="I337" s="461">
        <v>8486.0</v>
      </c>
      <c r="J337" s="11" t="s">
        <v>9887</v>
      </c>
      <c r="K337" s="446">
        <v>7251.0</v>
      </c>
      <c r="M337" s="244" t="s">
        <v>9593</v>
      </c>
    </row>
    <row r="338">
      <c r="A338" s="358" t="s">
        <v>10284</v>
      </c>
      <c r="B338" s="358">
        <v>14590.0</v>
      </c>
      <c r="C338" s="11" t="s">
        <v>9590</v>
      </c>
      <c r="D338" s="74">
        <v>0.9</v>
      </c>
      <c r="E338" s="74">
        <v>0.9</v>
      </c>
      <c r="F338" s="229" t="s">
        <v>1656</v>
      </c>
      <c r="G338" s="467"/>
      <c r="H338" s="175" t="s">
        <v>10285</v>
      </c>
      <c r="I338" s="175">
        <v>6675.0</v>
      </c>
      <c r="J338" s="11" t="s">
        <v>9890</v>
      </c>
      <c r="K338" s="446">
        <v>7157.0</v>
      </c>
      <c r="M338" s="244" t="s">
        <v>9593</v>
      </c>
    </row>
    <row r="339">
      <c r="A339" s="358" t="s">
        <v>10286</v>
      </c>
      <c r="B339" s="358">
        <v>14590.0</v>
      </c>
      <c r="C339" s="11" t="s">
        <v>9590</v>
      </c>
      <c r="D339" s="74">
        <v>0.9</v>
      </c>
      <c r="E339" s="74">
        <v>0.9</v>
      </c>
      <c r="F339" s="229" t="s">
        <v>1656</v>
      </c>
      <c r="G339" s="467"/>
      <c r="H339" s="500" t="s">
        <v>9592</v>
      </c>
      <c r="I339" s="501" t="s">
        <v>6157</v>
      </c>
      <c r="J339" s="11" t="s">
        <v>9893</v>
      </c>
      <c r="K339" s="446">
        <v>7877.0</v>
      </c>
      <c r="M339" s="244" t="s">
        <v>9593</v>
      </c>
    </row>
    <row r="340">
      <c r="A340" s="358" t="s">
        <v>10287</v>
      </c>
      <c r="B340" s="358">
        <v>14590.0</v>
      </c>
      <c r="C340" s="11" t="s">
        <v>9590</v>
      </c>
      <c r="D340" s="74">
        <v>0.9</v>
      </c>
      <c r="E340" s="74">
        <v>0.9</v>
      </c>
      <c r="F340" s="229" t="s">
        <v>1656</v>
      </c>
      <c r="G340" s="467"/>
      <c r="H340" s="500" t="s">
        <v>7770</v>
      </c>
      <c r="I340" s="501" t="s">
        <v>6157</v>
      </c>
      <c r="J340" s="11" t="s">
        <v>9896</v>
      </c>
      <c r="K340" s="446">
        <v>7877.0</v>
      </c>
      <c r="M340" s="244" t="s">
        <v>9593</v>
      </c>
    </row>
    <row r="341">
      <c r="A341" s="358" t="s">
        <v>10288</v>
      </c>
      <c r="B341" s="358">
        <v>14590.0</v>
      </c>
      <c r="C341" s="11" t="s">
        <v>9590</v>
      </c>
      <c r="D341" s="74">
        <v>0.9</v>
      </c>
      <c r="E341" s="74">
        <v>0.9</v>
      </c>
      <c r="F341" s="229" t="s">
        <v>1656</v>
      </c>
      <c r="G341" s="467"/>
      <c r="H341" s="500" t="s">
        <v>7771</v>
      </c>
      <c r="I341" s="501" t="s">
        <v>6157</v>
      </c>
      <c r="J341" s="11" t="s">
        <v>9899</v>
      </c>
      <c r="K341" s="446">
        <v>7877.0</v>
      </c>
      <c r="M341" s="244" t="s">
        <v>9593</v>
      </c>
    </row>
    <row r="342">
      <c r="A342" s="358" t="s">
        <v>10289</v>
      </c>
      <c r="B342" s="358">
        <v>14590.0</v>
      </c>
      <c r="C342" s="11" t="s">
        <v>9590</v>
      </c>
      <c r="D342" s="74">
        <v>0.9</v>
      </c>
      <c r="E342" s="74">
        <v>0.9</v>
      </c>
      <c r="F342" s="229" t="s">
        <v>1656</v>
      </c>
      <c r="G342" s="467"/>
      <c r="H342" s="500" t="s">
        <v>7773</v>
      </c>
      <c r="I342" s="501" t="s">
        <v>6157</v>
      </c>
      <c r="J342" s="11" t="s">
        <v>9902</v>
      </c>
      <c r="K342" s="446">
        <v>7877.0</v>
      </c>
      <c r="M342" s="244" t="s">
        <v>9593</v>
      </c>
    </row>
    <row r="343">
      <c r="A343" s="358" t="s">
        <v>10290</v>
      </c>
      <c r="B343" s="358">
        <v>14590.0</v>
      </c>
      <c r="C343" s="11" t="s">
        <v>9590</v>
      </c>
      <c r="D343" s="74">
        <v>0.9</v>
      </c>
      <c r="E343" s="74">
        <v>0.9</v>
      </c>
      <c r="F343" s="229" t="s">
        <v>1656</v>
      </c>
      <c r="G343" s="467"/>
      <c r="H343" s="500" t="s">
        <v>7775</v>
      </c>
      <c r="I343" s="501" t="s">
        <v>6157</v>
      </c>
      <c r="J343" s="35" t="s">
        <v>9905</v>
      </c>
      <c r="K343" s="487">
        <v>6675.0</v>
      </c>
      <c r="L343" s="36"/>
      <c r="M343" s="246" t="s">
        <v>9593</v>
      </c>
    </row>
    <row r="344">
      <c r="A344" s="358" t="s">
        <v>10291</v>
      </c>
      <c r="B344" s="358">
        <v>14590.0</v>
      </c>
      <c r="C344" s="11" t="s">
        <v>9590</v>
      </c>
      <c r="D344" s="74">
        <v>0.9</v>
      </c>
      <c r="E344" s="74">
        <v>0.9</v>
      </c>
      <c r="F344" s="229" t="s">
        <v>1656</v>
      </c>
      <c r="G344" s="467"/>
      <c r="H344" s="500" t="s">
        <v>7776</v>
      </c>
      <c r="I344" s="501" t="s">
        <v>6157</v>
      </c>
      <c r="J344" s="11" t="s">
        <v>9908</v>
      </c>
      <c r="K344" s="446">
        <v>195.0</v>
      </c>
      <c r="M344" s="244" t="s">
        <v>9593</v>
      </c>
    </row>
    <row r="345">
      <c r="A345" s="358" t="s">
        <v>10292</v>
      </c>
      <c r="B345" s="358">
        <v>14590.0</v>
      </c>
      <c r="C345" s="11" t="s">
        <v>9590</v>
      </c>
      <c r="D345" s="74">
        <v>0.9</v>
      </c>
      <c r="E345" s="74">
        <v>0.9</v>
      </c>
      <c r="F345" s="229" t="s">
        <v>1656</v>
      </c>
      <c r="G345" s="467"/>
      <c r="H345" s="500" t="s">
        <v>7777</v>
      </c>
      <c r="I345" s="501" t="s">
        <v>6157</v>
      </c>
      <c r="J345" s="11" t="s">
        <v>9911</v>
      </c>
      <c r="K345" s="446">
        <v>6947.0</v>
      </c>
      <c r="M345" s="244" t="s">
        <v>9593</v>
      </c>
    </row>
    <row r="346">
      <c r="A346" s="358" t="s">
        <v>10293</v>
      </c>
      <c r="B346" s="358">
        <v>14590.0</v>
      </c>
      <c r="C346" s="11" t="s">
        <v>9590</v>
      </c>
      <c r="D346" s="74">
        <v>0.9</v>
      </c>
      <c r="E346" s="74">
        <v>0.9</v>
      </c>
      <c r="F346" s="229" t="s">
        <v>1656</v>
      </c>
      <c r="G346" s="467"/>
      <c r="H346" s="500" t="s">
        <v>7779</v>
      </c>
      <c r="I346" s="501" t="s">
        <v>6157</v>
      </c>
      <c r="J346" s="11" t="s">
        <v>9914</v>
      </c>
      <c r="K346" s="446">
        <v>6977.0</v>
      </c>
      <c r="M346" s="244" t="s">
        <v>9593</v>
      </c>
    </row>
    <row r="347">
      <c r="A347" s="358" t="s">
        <v>10294</v>
      </c>
      <c r="B347" s="358">
        <v>14590.0</v>
      </c>
      <c r="C347" s="11" t="s">
        <v>9590</v>
      </c>
      <c r="D347" s="74">
        <v>0.9</v>
      </c>
      <c r="E347" s="74">
        <v>0.9</v>
      </c>
      <c r="F347" s="229" t="s">
        <v>1656</v>
      </c>
      <c r="G347" s="467"/>
      <c r="H347" s="500" t="s">
        <v>7780</v>
      </c>
      <c r="I347" s="501" t="s">
        <v>6157</v>
      </c>
      <c r="J347" s="35" t="s">
        <v>9917</v>
      </c>
      <c r="K347" s="487">
        <v>6940.0</v>
      </c>
      <c r="L347" s="36"/>
      <c r="M347" s="246" t="s">
        <v>9593</v>
      </c>
    </row>
    <row r="348">
      <c r="A348" s="358" t="s">
        <v>10295</v>
      </c>
      <c r="B348" s="358">
        <v>14590.0</v>
      </c>
      <c r="C348" s="11" t="s">
        <v>9590</v>
      </c>
      <c r="D348" s="74">
        <v>0.9</v>
      </c>
      <c r="E348" s="74">
        <v>0.9</v>
      </c>
      <c r="F348" s="229" t="s">
        <v>1656</v>
      </c>
      <c r="G348" s="467"/>
      <c r="H348" s="500" t="s">
        <v>7782</v>
      </c>
      <c r="I348" s="501" t="s">
        <v>6157</v>
      </c>
      <c r="J348" s="11" t="s">
        <v>9920</v>
      </c>
      <c r="K348" s="446">
        <v>7847.0</v>
      </c>
      <c r="M348" s="244" t="s">
        <v>9593</v>
      </c>
    </row>
    <row r="349">
      <c r="A349" s="358" t="s">
        <v>10296</v>
      </c>
      <c r="B349" s="358">
        <v>14590.0</v>
      </c>
      <c r="C349" s="11" t="s">
        <v>9590</v>
      </c>
      <c r="D349" s="74">
        <v>0.9</v>
      </c>
      <c r="E349" s="74">
        <v>0.9</v>
      </c>
      <c r="F349" s="229" t="s">
        <v>1656</v>
      </c>
      <c r="G349" s="467"/>
      <c r="H349" s="500" t="s">
        <v>7783</v>
      </c>
      <c r="I349" s="501" t="s">
        <v>6157</v>
      </c>
      <c r="J349" s="35" t="s">
        <v>9923</v>
      </c>
      <c r="K349" s="487">
        <v>6675.0</v>
      </c>
      <c r="L349" s="36"/>
      <c r="M349" s="246" t="s">
        <v>9593</v>
      </c>
    </row>
    <row r="350">
      <c r="A350" s="358" t="s">
        <v>10297</v>
      </c>
      <c r="B350" s="358">
        <v>14590.0</v>
      </c>
      <c r="C350" s="11" t="s">
        <v>9590</v>
      </c>
      <c r="D350" s="74">
        <v>0.9</v>
      </c>
      <c r="E350" s="74">
        <v>0.9</v>
      </c>
      <c r="F350" s="229" t="s">
        <v>1656</v>
      </c>
      <c r="G350" s="467"/>
      <c r="H350" s="500" t="s">
        <v>7784</v>
      </c>
      <c r="I350" s="501" t="s">
        <v>6157</v>
      </c>
      <c r="J350" s="11" t="s">
        <v>9926</v>
      </c>
      <c r="K350" s="446">
        <v>8199.0</v>
      </c>
      <c r="M350" s="244" t="s">
        <v>9593</v>
      </c>
    </row>
    <row r="351">
      <c r="A351" s="358" t="s">
        <v>10298</v>
      </c>
      <c r="B351" s="358">
        <v>14590.0</v>
      </c>
      <c r="C351" s="11" t="s">
        <v>9590</v>
      </c>
      <c r="D351" s="74">
        <v>0.9</v>
      </c>
      <c r="E351" s="74">
        <v>0.9</v>
      </c>
      <c r="F351" s="229" t="s">
        <v>1656</v>
      </c>
      <c r="G351" s="467"/>
      <c r="H351" s="500" t="s">
        <v>7785</v>
      </c>
      <c r="I351" s="501" t="s">
        <v>6157</v>
      </c>
      <c r="J351" s="35" t="s">
        <v>9929</v>
      </c>
      <c r="K351" s="487">
        <v>6669.0</v>
      </c>
      <c r="L351" s="36"/>
      <c r="M351" s="246" t="s">
        <v>9593</v>
      </c>
    </row>
    <row r="352">
      <c r="A352" s="358" t="s">
        <v>10299</v>
      </c>
      <c r="B352" s="358">
        <v>14590.0</v>
      </c>
      <c r="C352" s="11" t="s">
        <v>9590</v>
      </c>
      <c r="D352" s="74">
        <v>0.9</v>
      </c>
      <c r="E352" s="74">
        <v>0.9</v>
      </c>
      <c r="F352" s="229" t="s">
        <v>1656</v>
      </c>
      <c r="G352" s="467"/>
      <c r="H352" s="500" t="s">
        <v>7786</v>
      </c>
      <c r="I352" s="501" t="s">
        <v>6157</v>
      </c>
      <c r="J352" s="11" t="s">
        <v>9932</v>
      </c>
      <c r="K352" s="446">
        <v>8199.0</v>
      </c>
      <c r="M352" s="244" t="s">
        <v>9593</v>
      </c>
    </row>
    <row r="353">
      <c r="A353" s="358" t="s">
        <v>10300</v>
      </c>
      <c r="B353" s="358">
        <v>14590.0</v>
      </c>
      <c r="C353" s="11" t="s">
        <v>9590</v>
      </c>
      <c r="D353" s="74">
        <v>0.9</v>
      </c>
      <c r="E353" s="74">
        <v>0.9</v>
      </c>
      <c r="F353" s="229" t="s">
        <v>1656</v>
      </c>
      <c r="G353" s="467"/>
      <c r="H353" s="500" t="s">
        <v>7787</v>
      </c>
      <c r="I353" s="501" t="s">
        <v>6157</v>
      </c>
      <c r="J353" s="35" t="s">
        <v>9935</v>
      </c>
      <c r="K353" s="487">
        <v>6109.0</v>
      </c>
      <c r="L353" s="36"/>
      <c r="M353" s="246" t="s">
        <v>9593</v>
      </c>
    </row>
    <row r="354">
      <c r="A354" s="358" t="s">
        <v>10301</v>
      </c>
      <c r="B354" s="358">
        <v>14590.0</v>
      </c>
      <c r="C354" s="11" t="s">
        <v>9590</v>
      </c>
      <c r="D354" s="74">
        <v>0.9</v>
      </c>
      <c r="E354" s="74">
        <v>0.9</v>
      </c>
      <c r="F354" s="229" t="s">
        <v>1656</v>
      </c>
      <c r="G354" s="467"/>
      <c r="H354" s="500" t="s">
        <v>7788</v>
      </c>
      <c r="I354" s="501" t="s">
        <v>6157</v>
      </c>
      <c r="J354" s="35" t="s">
        <v>9938</v>
      </c>
      <c r="K354" s="487">
        <v>7149.0</v>
      </c>
      <c r="L354" s="36"/>
      <c r="M354" s="246" t="s">
        <v>9593</v>
      </c>
    </row>
    <row r="355">
      <c r="A355" s="358" t="s">
        <v>10302</v>
      </c>
      <c r="B355" s="358">
        <v>14590.0</v>
      </c>
      <c r="C355" s="11" t="s">
        <v>9590</v>
      </c>
      <c r="D355" s="74">
        <v>0.9</v>
      </c>
      <c r="E355" s="74">
        <v>0.9</v>
      </c>
      <c r="F355" s="229" t="s">
        <v>1656</v>
      </c>
      <c r="G355" s="467"/>
      <c r="H355" s="500" t="s">
        <v>7791</v>
      </c>
      <c r="I355" s="501" t="s">
        <v>6157</v>
      </c>
      <c r="J355" s="35" t="s">
        <v>9941</v>
      </c>
      <c r="K355" s="487">
        <v>7149.0</v>
      </c>
      <c r="L355" s="36"/>
      <c r="M355" s="246" t="s">
        <v>9593</v>
      </c>
    </row>
    <row r="356">
      <c r="A356" s="358" t="s">
        <v>10303</v>
      </c>
      <c r="B356" s="358">
        <v>14590.0</v>
      </c>
      <c r="C356" s="11" t="s">
        <v>9590</v>
      </c>
      <c r="D356" s="74">
        <v>0.9</v>
      </c>
      <c r="E356" s="74">
        <v>0.9</v>
      </c>
      <c r="F356" s="229" t="s">
        <v>1656</v>
      </c>
      <c r="G356" s="467"/>
      <c r="H356" s="500" t="s">
        <v>7792</v>
      </c>
      <c r="I356" s="501" t="s">
        <v>6157</v>
      </c>
      <c r="J356" s="35" t="s">
        <v>9944</v>
      </c>
      <c r="K356" s="487">
        <v>7149.0</v>
      </c>
      <c r="L356" s="36"/>
      <c r="M356" s="246" t="s">
        <v>9593</v>
      </c>
    </row>
    <row r="357">
      <c r="A357" s="358" t="s">
        <v>10304</v>
      </c>
      <c r="B357" s="358">
        <v>14590.0</v>
      </c>
      <c r="C357" s="11" t="s">
        <v>9590</v>
      </c>
      <c r="D357" s="74">
        <v>0.9</v>
      </c>
      <c r="E357" s="74">
        <v>0.9</v>
      </c>
      <c r="F357" s="229" t="s">
        <v>1656</v>
      </c>
      <c r="G357" s="467"/>
      <c r="H357" s="500" t="s">
        <v>7795</v>
      </c>
      <c r="I357" s="501" t="s">
        <v>6157</v>
      </c>
      <c r="J357" s="35" t="s">
        <v>9947</v>
      </c>
      <c r="K357" s="487">
        <v>7149.0</v>
      </c>
      <c r="L357" s="36"/>
      <c r="M357" s="246" t="s">
        <v>9593</v>
      </c>
    </row>
    <row r="358">
      <c r="A358" s="358" t="s">
        <v>10305</v>
      </c>
      <c r="B358" s="358">
        <v>14590.0</v>
      </c>
      <c r="C358" s="11" t="s">
        <v>9590</v>
      </c>
      <c r="D358" s="74">
        <v>0.9</v>
      </c>
      <c r="E358" s="74">
        <v>0.9</v>
      </c>
      <c r="F358" s="229" t="s">
        <v>1656</v>
      </c>
      <c r="G358" s="467"/>
      <c r="H358" s="500" t="s">
        <v>7797</v>
      </c>
      <c r="I358" s="501" t="s">
        <v>6157</v>
      </c>
      <c r="J358" s="35" t="s">
        <v>9950</v>
      </c>
      <c r="K358" s="487">
        <v>7149.0</v>
      </c>
      <c r="L358" s="36"/>
      <c r="M358" s="246" t="s">
        <v>9593</v>
      </c>
    </row>
    <row r="359">
      <c r="A359" s="358" t="s">
        <v>10306</v>
      </c>
      <c r="B359" s="358">
        <v>14590.0</v>
      </c>
      <c r="C359" s="11" t="s">
        <v>9590</v>
      </c>
      <c r="D359" s="74">
        <v>0.9</v>
      </c>
      <c r="E359" s="74">
        <v>0.9</v>
      </c>
      <c r="F359" s="229" t="s">
        <v>1656</v>
      </c>
      <c r="G359" s="467"/>
      <c r="H359" s="500" t="s">
        <v>7798</v>
      </c>
      <c r="I359" s="501" t="s">
        <v>6157</v>
      </c>
      <c r="J359" s="35" t="s">
        <v>9953</v>
      </c>
      <c r="K359" s="487">
        <v>7149.0</v>
      </c>
      <c r="L359" s="36"/>
      <c r="M359" s="246" t="s">
        <v>9593</v>
      </c>
    </row>
    <row r="360">
      <c r="A360" s="358" t="s">
        <v>10307</v>
      </c>
      <c r="B360" s="358">
        <v>14590.0</v>
      </c>
      <c r="C360" s="11" t="s">
        <v>9590</v>
      </c>
      <c r="D360" s="74">
        <v>0.9</v>
      </c>
      <c r="E360" s="74">
        <v>0.9</v>
      </c>
      <c r="F360" s="229" t="s">
        <v>1656</v>
      </c>
      <c r="G360" s="467"/>
      <c r="H360" s="500" t="s">
        <v>7800</v>
      </c>
      <c r="I360" s="501" t="s">
        <v>6157</v>
      </c>
      <c r="J360" s="7" t="s">
        <v>9956</v>
      </c>
      <c r="K360" s="446">
        <v>5458.0</v>
      </c>
      <c r="M360" s="244" t="s">
        <v>9593</v>
      </c>
    </row>
    <row r="361">
      <c r="A361" s="358" t="s">
        <v>10308</v>
      </c>
      <c r="B361" s="358">
        <v>14590.0</v>
      </c>
      <c r="C361" s="11" t="s">
        <v>9590</v>
      </c>
      <c r="D361" s="74">
        <v>0.9</v>
      </c>
      <c r="E361" s="74">
        <v>0.9</v>
      </c>
      <c r="F361" s="229" t="s">
        <v>1656</v>
      </c>
      <c r="G361" s="467"/>
      <c r="H361" s="500" t="s">
        <v>7801</v>
      </c>
      <c r="I361" s="501" t="s">
        <v>6157</v>
      </c>
      <c r="J361" s="7" t="s">
        <v>9959</v>
      </c>
      <c r="K361" s="446">
        <v>5458.0</v>
      </c>
      <c r="M361" s="244" t="s">
        <v>9593</v>
      </c>
    </row>
    <row r="362">
      <c r="A362" s="358" t="s">
        <v>10309</v>
      </c>
      <c r="B362" s="358">
        <v>14623.0</v>
      </c>
      <c r="C362" s="11" t="s">
        <v>9590</v>
      </c>
      <c r="D362" s="475">
        <v>0.78</v>
      </c>
      <c r="E362" s="475">
        <v>0.78</v>
      </c>
      <c r="F362" s="229" t="s">
        <v>1656</v>
      </c>
      <c r="G362" s="467"/>
      <c r="H362" s="500" t="s">
        <v>7802</v>
      </c>
      <c r="I362" s="501" t="s">
        <v>6157</v>
      </c>
      <c r="J362" s="7" t="s">
        <v>9962</v>
      </c>
      <c r="K362" s="446">
        <v>7181.0</v>
      </c>
      <c r="M362" s="244" t="s">
        <v>9593</v>
      </c>
    </row>
    <row r="363">
      <c r="A363" s="358" t="s">
        <v>10310</v>
      </c>
      <c r="B363" s="358">
        <v>14590.0</v>
      </c>
      <c r="C363" s="11" t="s">
        <v>9590</v>
      </c>
      <c r="D363" s="74">
        <v>0.9</v>
      </c>
      <c r="E363" s="74">
        <v>0.9</v>
      </c>
      <c r="F363" s="229" t="s">
        <v>1656</v>
      </c>
      <c r="G363" s="467"/>
      <c r="H363" s="500" t="s">
        <v>7806</v>
      </c>
      <c r="I363" s="501" t="s">
        <v>6157</v>
      </c>
      <c r="J363" s="7" t="s">
        <v>9965</v>
      </c>
      <c r="K363" s="446">
        <v>5458.0</v>
      </c>
      <c r="M363" s="244" t="s">
        <v>9593</v>
      </c>
    </row>
    <row r="364">
      <c r="A364" s="358" t="s">
        <v>10311</v>
      </c>
      <c r="B364" s="358">
        <v>14590.0</v>
      </c>
      <c r="C364" s="11" t="s">
        <v>9590</v>
      </c>
      <c r="D364" s="74">
        <v>0.9</v>
      </c>
      <c r="E364" s="74">
        <v>0.9</v>
      </c>
      <c r="F364" s="229" t="s">
        <v>1656</v>
      </c>
      <c r="G364" s="467"/>
      <c r="H364" s="500" t="s">
        <v>7808</v>
      </c>
      <c r="I364" s="501" t="s">
        <v>6157</v>
      </c>
      <c r="J364" s="7" t="s">
        <v>9968</v>
      </c>
      <c r="K364" s="446">
        <v>6675.0</v>
      </c>
      <c r="M364" s="244" t="s">
        <v>9593</v>
      </c>
    </row>
    <row r="365">
      <c r="A365" s="358" t="s">
        <v>10312</v>
      </c>
      <c r="B365" s="477">
        <v>13073.0</v>
      </c>
      <c r="C365" s="11" t="s">
        <v>9590</v>
      </c>
      <c r="D365" s="475">
        <v>0.78</v>
      </c>
      <c r="E365" s="475">
        <v>0.78</v>
      </c>
      <c r="F365" s="229" t="s">
        <v>1656</v>
      </c>
      <c r="G365" s="467"/>
      <c r="H365" s="500" t="s">
        <v>7809</v>
      </c>
      <c r="I365" s="501" t="s">
        <v>6157</v>
      </c>
      <c r="J365" s="208" t="s">
        <v>9971</v>
      </c>
      <c r="K365" s="487">
        <v>6831.0</v>
      </c>
      <c r="L365" s="36"/>
      <c r="M365" s="246" t="s">
        <v>9593</v>
      </c>
    </row>
    <row r="366">
      <c r="A366" s="358" t="s">
        <v>10313</v>
      </c>
      <c r="B366" s="477">
        <v>11774.0</v>
      </c>
      <c r="C366" s="11" t="s">
        <v>9590</v>
      </c>
      <c r="D366" s="475">
        <v>0.78</v>
      </c>
      <c r="E366" s="475">
        <v>0.78</v>
      </c>
      <c r="F366" s="229" t="s">
        <v>1656</v>
      </c>
      <c r="G366" s="467"/>
      <c r="H366" s="500" t="s">
        <v>7813</v>
      </c>
      <c r="I366" s="501" t="s">
        <v>6157</v>
      </c>
      <c r="J366" s="208" t="s">
        <v>9974</v>
      </c>
      <c r="K366" s="487">
        <v>499.0</v>
      </c>
      <c r="L366" s="36"/>
      <c r="M366" s="246" t="s">
        <v>9593</v>
      </c>
    </row>
    <row r="367">
      <c r="A367" s="358" t="s">
        <v>10314</v>
      </c>
      <c r="B367" s="477">
        <v>13294.0</v>
      </c>
      <c r="C367" s="11" t="s">
        <v>9590</v>
      </c>
      <c r="D367" s="475">
        <v>0.78</v>
      </c>
      <c r="E367" s="475">
        <v>0.78</v>
      </c>
      <c r="F367" s="229" t="s">
        <v>1656</v>
      </c>
      <c r="G367" s="467"/>
      <c r="H367" s="500" t="s">
        <v>7814</v>
      </c>
      <c r="I367" s="501" t="s">
        <v>6157</v>
      </c>
      <c r="J367" s="7" t="s">
        <v>9977</v>
      </c>
      <c r="K367" s="446">
        <v>6831.0</v>
      </c>
      <c r="M367" s="244" t="s">
        <v>9593</v>
      </c>
    </row>
    <row r="368">
      <c r="A368" s="358" t="s">
        <v>10315</v>
      </c>
      <c r="B368" s="477">
        <v>14605.0</v>
      </c>
      <c r="C368" s="11" t="s">
        <v>9590</v>
      </c>
      <c r="D368" s="475">
        <v>0.78</v>
      </c>
      <c r="E368" s="475">
        <v>0.78</v>
      </c>
      <c r="F368" s="229" t="s">
        <v>1656</v>
      </c>
      <c r="G368" s="467"/>
      <c r="H368" s="500" t="s">
        <v>7815</v>
      </c>
      <c r="I368" s="501" t="s">
        <v>6157</v>
      </c>
      <c r="J368" s="208" t="s">
        <v>9980</v>
      </c>
      <c r="K368" s="487">
        <v>7010.0</v>
      </c>
      <c r="L368" s="36"/>
      <c r="M368" s="246" t="s">
        <v>9593</v>
      </c>
    </row>
    <row r="369">
      <c r="A369" s="358" t="s">
        <v>10316</v>
      </c>
      <c r="B369" s="477">
        <v>13811.0</v>
      </c>
      <c r="C369" s="11" t="s">
        <v>9590</v>
      </c>
      <c r="D369" s="475">
        <v>0.78</v>
      </c>
      <c r="E369" s="475">
        <v>0.78</v>
      </c>
      <c r="F369" s="229" t="s">
        <v>1656</v>
      </c>
      <c r="G369" s="467"/>
      <c r="H369" s="500" t="s">
        <v>7819</v>
      </c>
      <c r="I369" s="501" t="s">
        <v>6157</v>
      </c>
      <c r="J369" s="208" t="s">
        <v>9983</v>
      </c>
      <c r="K369" s="487">
        <v>6109.0</v>
      </c>
      <c r="L369" s="36"/>
      <c r="M369" s="246" t="s">
        <v>9593</v>
      </c>
    </row>
    <row r="370">
      <c r="A370" s="358" t="s">
        <v>10317</v>
      </c>
      <c r="B370" s="477">
        <v>14000.0</v>
      </c>
      <c r="C370" s="11" t="s">
        <v>9590</v>
      </c>
      <c r="D370" s="475">
        <v>0.78</v>
      </c>
      <c r="E370" s="475">
        <v>0.78</v>
      </c>
      <c r="F370" s="229" t="s">
        <v>1656</v>
      </c>
      <c r="G370" s="467"/>
      <c r="H370" s="500" t="s">
        <v>9629</v>
      </c>
      <c r="I370" s="501" t="s">
        <v>6157</v>
      </c>
      <c r="J370" s="208" t="s">
        <v>9986</v>
      </c>
      <c r="K370" s="487">
        <v>11104.0</v>
      </c>
      <c r="L370" s="36"/>
      <c r="M370" s="246" t="s">
        <v>9593</v>
      </c>
    </row>
    <row r="371">
      <c r="A371" s="358" t="s">
        <v>10318</v>
      </c>
      <c r="B371" s="477">
        <v>14017.0</v>
      </c>
      <c r="C371" s="11" t="s">
        <v>9590</v>
      </c>
      <c r="D371" s="475">
        <v>0.78</v>
      </c>
      <c r="E371" s="475">
        <v>0.78</v>
      </c>
      <c r="F371" s="229" t="s">
        <v>1656</v>
      </c>
      <c r="G371" s="467"/>
      <c r="H371" s="500" t="s">
        <v>7820</v>
      </c>
      <c r="I371" s="501" t="s">
        <v>6157</v>
      </c>
      <c r="J371" s="208" t="s">
        <v>9989</v>
      </c>
      <c r="K371" s="487">
        <v>8002.0</v>
      </c>
      <c r="L371" s="36"/>
      <c r="M371" s="246" t="s">
        <v>9593</v>
      </c>
    </row>
    <row r="372">
      <c r="A372" s="358" t="s">
        <v>10319</v>
      </c>
      <c r="B372" s="477">
        <v>14018.0</v>
      </c>
      <c r="C372" s="11" t="s">
        <v>9590</v>
      </c>
      <c r="D372" s="475">
        <v>0.78</v>
      </c>
      <c r="E372" s="475">
        <v>0.78</v>
      </c>
      <c r="F372" s="229" t="s">
        <v>1656</v>
      </c>
      <c r="G372" s="467"/>
      <c r="H372" s="500" t="s">
        <v>7821</v>
      </c>
      <c r="I372" s="501" t="s">
        <v>6157</v>
      </c>
      <c r="J372" s="208" t="s">
        <v>9992</v>
      </c>
      <c r="K372" s="487">
        <v>7049.0</v>
      </c>
      <c r="L372" s="36"/>
      <c r="M372" s="246" t="s">
        <v>9593</v>
      </c>
    </row>
    <row r="373">
      <c r="A373" s="358" t="s">
        <v>10320</v>
      </c>
      <c r="B373" s="477">
        <v>13909.0</v>
      </c>
      <c r="C373" s="11" t="s">
        <v>9590</v>
      </c>
      <c r="D373" s="475">
        <v>0.78</v>
      </c>
      <c r="E373" s="475">
        <v>0.78</v>
      </c>
      <c r="F373" s="229" t="s">
        <v>1656</v>
      </c>
      <c r="G373" s="467"/>
      <c r="H373" s="500" t="s">
        <v>7823</v>
      </c>
      <c r="I373" s="501" t="s">
        <v>6157</v>
      </c>
      <c r="J373" s="7" t="s">
        <v>9995</v>
      </c>
      <c r="K373" s="446">
        <v>7877.0</v>
      </c>
      <c r="M373" s="244" t="s">
        <v>9593</v>
      </c>
    </row>
    <row r="374">
      <c r="A374" s="358" t="s">
        <v>10321</v>
      </c>
      <c r="B374" s="358">
        <v>14590.0</v>
      </c>
      <c r="C374" s="11" t="s">
        <v>9590</v>
      </c>
      <c r="D374" s="74">
        <v>0.9</v>
      </c>
      <c r="E374" s="74">
        <v>0.9</v>
      </c>
      <c r="F374" s="229" t="s">
        <v>1656</v>
      </c>
      <c r="G374" s="467"/>
      <c r="H374" s="500" t="s">
        <v>7824</v>
      </c>
      <c r="I374" s="501" t="s">
        <v>6157</v>
      </c>
      <c r="J374" s="7" t="s">
        <v>9998</v>
      </c>
      <c r="K374" s="446">
        <v>7877.0</v>
      </c>
      <c r="M374" s="244" t="s">
        <v>9593</v>
      </c>
    </row>
    <row r="375">
      <c r="A375" s="358" t="s">
        <v>10322</v>
      </c>
      <c r="B375" s="477">
        <v>12391.0</v>
      </c>
      <c r="C375" s="11" t="s">
        <v>9590</v>
      </c>
      <c r="D375" s="475">
        <v>0.78</v>
      </c>
      <c r="E375" s="475">
        <v>0.78</v>
      </c>
      <c r="F375" s="229" t="s">
        <v>1656</v>
      </c>
      <c r="G375" s="467"/>
      <c r="H375" s="500" t="s">
        <v>7825</v>
      </c>
      <c r="I375" s="501" t="s">
        <v>6157</v>
      </c>
      <c r="J375" s="208" t="s">
        <v>10001</v>
      </c>
      <c r="K375" s="487">
        <v>6671.0</v>
      </c>
      <c r="L375" s="36"/>
      <c r="M375" s="246" t="s">
        <v>9593</v>
      </c>
    </row>
    <row r="376">
      <c r="A376" s="358" t="s">
        <v>10323</v>
      </c>
      <c r="B376" s="358">
        <v>14590.0</v>
      </c>
      <c r="C376" s="11" t="s">
        <v>9590</v>
      </c>
      <c r="D376" s="74">
        <v>0.9</v>
      </c>
      <c r="E376" s="74">
        <v>0.9</v>
      </c>
      <c r="F376" s="229" t="s">
        <v>1656</v>
      </c>
      <c r="G376" s="467"/>
      <c r="H376" s="500" t="s">
        <v>7826</v>
      </c>
      <c r="I376" s="501" t="s">
        <v>6157</v>
      </c>
      <c r="J376" s="7" t="s">
        <v>10004</v>
      </c>
      <c r="K376" s="446">
        <v>6671.0</v>
      </c>
      <c r="M376" s="244" t="s">
        <v>9593</v>
      </c>
    </row>
    <row r="377">
      <c r="A377" s="358" t="s">
        <v>10324</v>
      </c>
      <c r="B377" s="477">
        <v>14510.0</v>
      </c>
      <c r="C377" s="11" t="s">
        <v>9590</v>
      </c>
      <c r="D377" s="475">
        <v>0.78</v>
      </c>
      <c r="E377" s="475">
        <v>0.78</v>
      </c>
      <c r="F377" s="229" t="s">
        <v>1656</v>
      </c>
      <c r="G377" s="467"/>
      <c r="H377" s="500" t="s">
        <v>7827</v>
      </c>
      <c r="I377" s="501" t="s">
        <v>6157</v>
      </c>
      <c r="J377" s="208" t="s">
        <v>10007</v>
      </c>
      <c r="K377" s="487">
        <v>6671.0</v>
      </c>
      <c r="L377" s="36"/>
      <c r="M377" s="246" t="s">
        <v>9593</v>
      </c>
    </row>
    <row r="378">
      <c r="A378" s="358" t="s">
        <v>10325</v>
      </c>
      <c r="B378" s="477">
        <v>9586.0</v>
      </c>
      <c r="C378" s="11" t="s">
        <v>9590</v>
      </c>
      <c r="D378" s="475">
        <v>0.78</v>
      </c>
      <c r="E378" s="475">
        <v>0.78</v>
      </c>
      <c r="F378" s="229" t="s">
        <v>1656</v>
      </c>
      <c r="G378" s="467"/>
      <c r="H378" s="500" t="s">
        <v>7829</v>
      </c>
      <c r="I378" s="501" t="s">
        <v>6157</v>
      </c>
      <c r="J378" s="7" t="s">
        <v>10010</v>
      </c>
      <c r="K378" s="446">
        <v>5458.0</v>
      </c>
      <c r="M378" s="244" t="s">
        <v>9593</v>
      </c>
    </row>
    <row r="379">
      <c r="A379" s="358" t="s">
        <v>10326</v>
      </c>
      <c r="B379" s="358">
        <v>14590.0</v>
      </c>
      <c r="C379" s="11" t="s">
        <v>9590</v>
      </c>
      <c r="D379" s="74">
        <v>0.9</v>
      </c>
      <c r="E379" s="74">
        <v>0.9</v>
      </c>
      <c r="F379" s="229" t="s">
        <v>1656</v>
      </c>
      <c r="G379" s="467"/>
      <c r="H379" s="500" t="s">
        <v>7830</v>
      </c>
      <c r="I379" s="501" t="s">
        <v>6157</v>
      </c>
      <c r="J379" s="208" t="s">
        <v>10013</v>
      </c>
      <c r="K379" s="487">
        <v>5458.0</v>
      </c>
      <c r="L379" s="36"/>
      <c r="M379" s="246" t="s">
        <v>9593</v>
      </c>
    </row>
    <row r="380">
      <c r="A380" s="358" t="s">
        <v>10327</v>
      </c>
      <c r="B380" s="477">
        <v>13815.0</v>
      </c>
      <c r="C380" s="11" t="s">
        <v>9590</v>
      </c>
      <c r="D380" s="475">
        <v>0.78</v>
      </c>
      <c r="E380" s="475">
        <v>0.78</v>
      </c>
      <c r="F380" s="229" t="s">
        <v>1656</v>
      </c>
      <c r="G380" s="467"/>
      <c r="H380" s="500" t="s">
        <v>7831</v>
      </c>
      <c r="I380" s="501" t="s">
        <v>6157</v>
      </c>
      <c r="J380" s="7" t="s">
        <v>10016</v>
      </c>
      <c r="K380" s="446">
        <v>7055.0</v>
      </c>
      <c r="M380" s="244" t="s">
        <v>9593</v>
      </c>
    </row>
    <row r="381">
      <c r="A381" s="358" t="s">
        <v>10328</v>
      </c>
      <c r="B381" s="358">
        <v>14590.0</v>
      </c>
      <c r="C381" s="11" t="s">
        <v>9590</v>
      </c>
      <c r="D381" s="74">
        <v>0.9</v>
      </c>
      <c r="E381" s="74">
        <v>0.9</v>
      </c>
      <c r="F381" s="229" t="s">
        <v>1656</v>
      </c>
      <c r="G381" s="467"/>
      <c r="H381" s="500" t="s">
        <v>7833</v>
      </c>
      <c r="I381" s="501" t="s">
        <v>6157</v>
      </c>
      <c r="J381" s="208" t="s">
        <v>10019</v>
      </c>
      <c r="K381" s="111">
        <v>9363.0</v>
      </c>
      <c r="L381" s="36"/>
      <c r="M381" s="246" t="s">
        <v>9593</v>
      </c>
    </row>
    <row r="382">
      <c r="A382" s="358" t="s">
        <v>10329</v>
      </c>
      <c r="B382" s="358">
        <v>14590.0</v>
      </c>
      <c r="C382" s="11" t="s">
        <v>9590</v>
      </c>
      <c r="D382" s="74">
        <v>0.9</v>
      </c>
      <c r="E382" s="74">
        <v>0.9</v>
      </c>
      <c r="F382" s="229" t="s">
        <v>1656</v>
      </c>
      <c r="G382" s="467"/>
      <c r="H382" s="500" t="s">
        <v>7834</v>
      </c>
      <c r="I382" s="501" t="s">
        <v>6157</v>
      </c>
      <c r="J382" s="208" t="s">
        <v>10022</v>
      </c>
      <c r="K382" s="487">
        <v>7648.0</v>
      </c>
      <c r="L382" s="36"/>
      <c r="M382" s="246" t="s">
        <v>9593</v>
      </c>
    </row>
    <row r="383">
      <c r="A383" s="358" t="s">
        <v>10330</v>
      </c>
      <c r="B383" s="477">
        <v>13895.0</v>
      </c>
      <c r="C383" s="11" t="s">
        <v>9590</v>
      </c>
      <c r="D383" s="475">
        <v>0.78</v>
      </c>
      <c r="E383" s="475">
        <v>0.78</v>
      </c>
      <c r="F383" s="229" t="s">
        <v>1656</v>
      </c>
      <c r="G383" s="467"/>
      <c r="H383" s="500" t="s">
        <v>7835</v>
      </c>
      <c r="I383" s="501" t="s">
        <v>6157</v>
      </c>
      <c r="J383" s="7" t="s">
        <v>10025</v>
      </c>
      <c r="K383" s="446">
        <v>6675.0</v>
      </c>
      <c r="M383" s="244" t="s">
        <v>9593</v>
      </c>
    </row>
    <row r="384">
      <c r="A384" s="358" t="s">
        <v>10060</v>
      </c>
      <c r="B384" s="477">
        <v>283.0</v>
      </c>
      <c r="C384" s="11" t="s">
        <v>9590</v>
      </c>
      <c r="D384" s="475">
        <v>0.78</v>
      </c>
      <c r="E384" s="475">
        <v>0.78</v>
      </c>
      <c r="F384" s="229" t="s">
        <v>1656</v>
      </c>
      <c r="G384" s="467"/>
      <c r="H384" s="500" t="s">
        <v>7839</v>
      </c>
      <c r="I384" s="501" t="s">
        <v>6157</v>
      </c>
      <c r="J384" s="7" t="s">
        <v>10028</v>
      </c>
      <c r="K384" s="446">
        <v>7877.0</v>
      </c>
      <c r="M384" s="244" t="s">
        <v>9593</v>
      </c>
    </row>
    <row r="385">
      <c r="A385" s="358" t="s">
        <v>10063</v>
      </c>
      <c r="B385" s="477">
        <v>12932.0</v>
      </c>
      <c r="C385" s="11" t="s">
        <v>9590</v>
      </c>
      <c r="D385" s="475">
        <v>0.78</v>
      </c>
      <c r="E385" s="475">
        <v>0.78</v>
      </c>
      <c r="F385" s="229" t="s">
        <v>1656</v>
      </c>
      <c r="G385" s="467"/>
      <c r="H385" s="500" t="s">
        <v>7843</v>
      </c>
      <c r="I385" s="501" t="s">
        <v>6157</v>
      </c>
      <c r="J385" s="7" t="s">
        <v>10031</v>
      </c>
      <c r="K385" s="446">
        <v>7877.0</v>
      </c>
      <c r="M385" s="244" t="s">
        <v>9593</v>
      </c>
    </row>
    <row r="386">
      <c r="A386" s="358" t="s">
        <v>10066</v>
      </c>
      <c r="B386" s="477">
        <v>7747.0</v>
      </c>
      <c r="C386" s="11" t="s">
        <v>9590</v>
      </c>
      <c r="D386" s="475">
        <v>0.78</v>
      </c>
      <c r="E386" s="475">
        <v>0.78</v>
      </c>
      <c r="F386" s="229" t="s">
        <v>1656</v>
      </c>
      <c r="G386" s="467"/>
      <c r="H386" s="500" t="s">
        <v>7846</v>
      </c>
      <c r="I386" s="501" t="s">
        <v>6157</v>
      </c>
      <c r="J386" s="208" t="s">
        <v>10034</v>
      </c>
      <c r="K386" s="487">
        <v>7246.0</v>
      </c>
      <c r="L386" s="36"/>
      <c r="M386" s="246" t="s">
        <v>9593</v>
      </c>
    </row>
    <row r="387">
      <c r="A387" s="358" t="s">
        <v>10069</v>
      </c>
      <c r="B387" s="477">
        <v>12553.0</v>
      </c>
      <c r="C387" s="11" t="s">
        <v>9590</v>
      </c>
      <c r="D387" s="475">
        <v>0.78</v>
      </c>
      <c r="E387" s="475">
        <v>0.78</v>
      </c>
      <c r="F387" s="229" t="s">
        <v>1656</v>
      </c>
      <c r="G387" s="467"/>
      <c r="H387" s="500" t="s">
        <v>7847</v>
      </c>
      <c r="I387" s="501" t="s">
        <v>6157</v>
      </c>
      <c r="J387" s="7" t="s">
        <v>10037</v>
      </c>
      <c r="K387" s="446">
        <v>7877.0</v>
      </c>
      <c r="M387" s="244" t="s">
        <v>9593</v>
      </c>
    </row>
    <row r="388">
      <c r="A388" s="358" t="s">
        <v>10072</v>
      </c>
      <c r="B388" s="358">
        <v>14590.0</v>
      </c>
      <c r="C388" s="11" t="s">
        <v>9590</v>
      </c>
      <c r="D388" s="74">
        <v>0.9</v>
      </c>
      <c r="E388" s="74">
        <v>0.9</v>
      </c>
      <c r="F388" s="229" t="s">
        <v>1656</v>
      </c>
      <c r="G388" s="467"/>
      <c r="H388" s="500" t="s">
        <v>7849</v>
      </c>
      <c r="I388" s="501" t="s">
        <v>6157</v>
      </c>
      <c r="J388" s="7" t="s">
        <v>10040</v>
      </c>
      <c r="K388" s="446">
        <v>7877.0</v>
      </c>
      <c r="M388" s="244" t="s">
        <v>9593</v>
      </c>
    </row>
    <row r="389">
      <c r="A389" s="358" t="s">
        <v>10075</v>
      </c>
      <c r="B389" s="477">
        <v>283.0</v>
      </c>
      <c r="C389" s="11" t="s">
        <v>9590</v>
      </c>
      <c r="D389" s="475">
        <v>0.78</v>
      </c>
      <c r="E389" s="475">
        <v>0.78</v>
      </c>
      <c r="F389" s="229" t="s">
        <v>1656</v>
      </c>
      <c r="G389" s="467"/>
      <c r="H389" s="500" t="s">
        <v>7851</v>
      </c>
      <c r="I389" s="501" t="s">
        <v>6157</v>
      </c>
      <c r="J389" s="7" t="s">
        <v>10043</v>
      </c>
      <c r="K389" s="446">
        <v>7877.0</v>
      </c>
      <c r="M389" s="244" t="s">
        <v>9593</v>
      </c>
    </row>
    <row r="390">
      <c r="A390" s="358" t="s">
        <v>10078</v>
      </c>
      <c r="B390" s="477">
        <v>889.0</v>
      </c>
      <c r="C390" s="11" t="s">
        <v>9590</v>
      </c>
      <c r="D390" s="475">
        <v>0.78</v>
      </c>
      <c r="E390" s="475">
        <v>0.78</v>
      </c>
      <c r="F390" s="229" t="s">
        <v>1656</v>
      </c>
      <c r="G390" s="467"/>
      <c r="H390" s="500" t="s">
        <v>9655</v>
      </c>
      <c r="I390" s="501" t="s">
        <v>6157</v>
      </c>
      <c r="J390" s="7" t="s">
        <v>10046</v>
      </c>
      <c r="K390" s="446">
        <v>7877.0</v>
      </c>
      <c r="M390" s="244" t="s">
        <v>9593</v>
      </c>
    </row>
    <row r="391">
      <c r="A391" s="358" t="s">
        <v>10081</v>
      </c>
      <c r="B391" s="477">
        <v>283.0</v>
      </c>
      <c r="C391" s="11" t="s">
        <v>9590</v>
      </c>
      <c r="D391" s="475">
        <v>0.78</v>
      </c>
      <c r="E391" s="475">
        <v>0.78</v>
      </c>
      <c r="F391" s="229" t="s">
        <v>1656</v>
      </c>
      <c r="G391" s="467"/>
      <c r="H391" s="500" t="s">
        <v>7852</v>
      </c>
      <c r="I391" s="501" t="s">
        <v>6157</v>
      </c>
      <c r="J391" s="208" t="s">
        <v>10049</v>
      </c>
      <c r="K391" s="487">
        <v>7877.0</v>
      </c>
      <c r="L391" s="36"/>
      <c r="M391" s="246" t="s">
        <v>9593</v>
      </c>
    </row>
    <row r="392">
      <c r="A392" s="358" t="s">
        <v>10084</v>
      </c>
      <c r="B392" s="477">
        <v>14571.0</v>
      </c>
      <c r="C392" s="11" t="s">
        <v>9590</v>
      </c>
      <c r="D392" s="475">
        <v>0.78</v>
      </c>
      <c r="E392" s="475">
        <v>0.78</v>
      </c>
      <c r="F392" s="229" t="s">
        <v>1656</v>
      </c>
      <c r="G392" s="467"/>
      <c r="H392" s="500" t="s">
        <v>7853</v>
      </c>
      <c r="I392" s="501" t="s">
        <v>6157</v>
      </c>
      <c r="J392" s="11" t="s">
        <v>10052</v>
      </c>
      <c r="K392" s="446">
        <v>5458.0</v>
      </c>
      <c r="M392" s="244" t="s">
        <v>9593</v>
      </c>
    </row>
    <row r="393">
      <c r="A393" s="358" t="s">
        <v>10086</v>
      </c>
      <c r="B393" s="477">
        <v>14571.0</v>
      </c>
      <c r="C393" s="11" t="s">
        <v>9590</v>
      </c>
      <c r="D393" s="475">
        <v>0.78</v>
      </c>
      <c r="E393" s="475">
        <v>0.78</v>
      </c>
      <c r="F393" s="229" t="s">
        <v>1656</v>
      </c>
      <c r="G393" s="467"/>
      <c r="H393" s="500" t="s">
        <v>7854</v>
      </c>
      <c r="I393" s="501" t="s">
        <v>6157</v>
      </c>
      <c r="J393" s="502" t="s">
        <v>10055</v>
      </c>
      <c r="K393" s="487">
        <v>9307.0</v>
      </c>
      <c r="L393" s="36"/>
      <c r="M393" s="246" t="s">
        <v>9593</v>
      </c>
    </row>
    <row r="394">
      <c r="A394" s="358" t="s">
        <v>10088</v>
      </c>
      <c r="B394" s="477">
        <v>283.0</v>
      </c>
      <c r="C394" s="11" t="s">
        <v>9590</v>
      </c>
      <c r="D394" s="475">
        <v>0.78</v>
      </c>
      <c r="E394" s="475">
        <v>0.78</v>
      </c>
      <c r="F394" s="229" t="s">
        <v>1656</v>
      </c>
      <c r="G394" s="467"/>
      <c r="H394" s="500" t="s">
        <v>7856</v>
      </c>
      <c r="I394" s="501" t="s">
        <v>6157</v>
      </c>
      <c r="J394" s="35" t="s">
        <v>2011</v>
      </c>
      <c r="K394" s="487">
        <v>3689.0</v>
      </c>
      <c r="L394" s="36"/>
      <c r="M394" s="246" t="s">
        <v>9593</v>
      </c>
    </row>
    <row r="395">
      <c r="A395" s="358" t="s">
        <v>10090</v>
      </c>
      <c r="B395" s="477">
        <v>6970.0</v>
      </c>
      <c r="C395" s="11" t="s">
        <v>9590</v>
      </c>
      <c r="D395" s="475">
        <v>0.78</v>
      </c>
      <c r="E395" s="475">
        <v>0.78</v>
      </c>
      <c r="F395" s="229" t="s">
        <v>1656</v>
      </c>
      <c r="G395" s="467"/>
      <c r="H395" s="500" t="s">
        <v>9666</v>
      </c>
      <c r="I395" s="501" t="s">
        <v>6157</v>
      </c>
      <c r="J395" s="35" t="s">
        <v>10060</v>
      </c>
      <c r="K395" s="487">
        <v>283.0</v>
      </c>
      <c r="L395" s="36"/>
      <c r="M395" s="36"/>
    </row>
    <row r="396">
      <c r="A396" s="358" t="s">
        <v>10092</v>
      </c>
      <c r="B396" s="477">
        <v>14480.0</v>
      </c>
      <c r="C396" s="11" t="s">
        <v>9590</v>
      </c>
      <c r="D396" s="475">
        <v>0.78</v>
      </c>
      <c r="E396" s="475">
        <v>0.78</v>
      </c>
      <c r="F396" s="229" t="s">
        <v>1656</v>
      </c>
      <c r="G396" s="467"/>
      <c r="H396" s="500" t="s">
        <v>9669</v>
      </c>
      <c r="I396" s="501" t="s">
        <v>6157</v>
      </c>
      <c r="J396" s="11" t="s">
        <v>10063</v>
      </c>
      <c r="K396" s="446">
        <v>12932.0</v>
      </c>
    </row>
    <row r="397">
      <c r="A397" s="358" t="s">
        <v>10094</v>
      </c>
      <c r="B397" s="358">
        <v>14590.0</v>
      </c>
      <c r="C397" s="11" t="s">
        <v>9590</v>
      </c>
      <c r="D397" s="74">
        <v>0.9</v>
      </c>
      <c r="E397" s="74">
        <v>0.9</v>
      </c>
      <c r="F397" s="229" t="s">
        <v>1656</v>
      </c>
      <c r="G397" s="467"/>
      <c r="H397" s="501" t="s">
        <v>9672</v>
      </c>
      <c r="I397" s="501" t="s">
        <v>6157</v>
      </c>
      <c r="J397" s="35" t="s">
        <v>10066</v>
      </c>
      <c r="K397" s="503"/>
      <c r="L397" s="36"/>
      <c r="M397" s="36"/>
    </row>
    <row r="398">
      <c r="A398" s="358" t="s">
        <v>10096</v>
      </c>
      <c r="B398" s="358">
        <v>14590.0</v>
      </c>
      <c r="C398" s="11" t="s">
        <v>9590</v>
      </c>
      <c r="D398" s="74">
        <v>0.9</v>
      </c>
      <c r="E398" s="74">
        <v>0.9</v>
      </c>
      <c r="F398" s="229" t="s">
        <v>1656</v>
      </c>
      <c r="G398" s="467"/>
      <c r="H398" s="500" t="s">
        <v>7861</v>
      </c>
      <c r="I398" s="501" t="s">
        <v>6157</v>
      </c>
      <c r="J398" s="35" t="s">
        <v>10069</v>
      </c>
      <c r="K398" s="503"/>
      <c r="L398" s="36"/>
      <c r="M398" s="36"/>
    </row>
    <row r="399">
      <c r="A399" s="358" t="s">
        <v>10098</v>
      </c>
      <c r="B399" s="477">
        <v>6729.0</v>
      </c>
      <c r="C399" s="11" t="s">
        <v>9590</v>
      </c>
      <c r="D399" s="475">
        <v>0.82</v>
      </c>
      <c r="E399" s="475">
        <v>0.82</v>
      </c>
      <c r="F399" s="229" t="s">
        <v>1656</v>
      </c>
      <c r="G399" s="467"/>
      <c r="H399" s="500" t="s">
        <v>7862</v>
      </c>
      <c r="I399" s="501" t="s">
        <v>6157</v>
      </c>
      <c r="J399" s="35" t="s">
        <v>10072</v>
      </c>
      <c r="K399" s="503"/>
      <c r="L399" s="36"/>
      <c r="M399" s="36"/>
    </row>
    <row r="400">
      <c r="A400" s="358" t="s">
        <v>10100</v>
      </c>
      <c r="B400" s="358">
        <v>14590.0</v>
      </c>
      <c r="C400" s="11" t="s">
        <v>9590</v>
      </c>
      <c r="D400" s="74">
        <v>0.9</v>
      </c>
      <c r="E400" s="74">
        <v>0.9</v>
      </c>
      <c r="F400" s="229" t="s">
        <v>1656</v>
      </c>
      <c r="G400" s="467"/>
      <c r="H400" s="500" t="s">
        <v>7863</v>
      </c>
      <c r="I400" s="501" t="s">
        <v>6157</v>
      </c>
      <c r="J400" s="35" t="s">
        <v>10075</v>
      </c>
      <c r="K400" s="487">
        <v>283.0</v>
      </c>
      <c r="L400" s="36"/>
      <c r="M400" s="36"/>
    </row>
    <row r="401">
      <c r="A401" s="358" t="s">
        <v>10102</v>
      </c>
      <c r="B401" s="477">
        <v>9701.0</v>
      </c>
      <c r="C401" s="11" t="s">
        <v>9590</v>
      </c>
      <c r="D401" s="475">
        <v>0.78</v>
      </c>
      <c r="E401" s="475">
        <v>0.78</v>
      </c>
      <c r="F401" s="229" t="s">
        <v>1656</v>
      </c>
      <c r="G401" s="467"/>
      <c r="H401" s="500" t="s">
        <v>9681</v>
      </c>
      <c r="I401" s="501" t="s">
        <v>6157</v>
      </c>
      <c r="J401" s="35" t="s">
        <v>10078</v>
      </c>
      <c r="K401" s="503"/>
      <c r="L401" s="36"/>
      <c r="M401" s="36"/>
    </row>
    <row r="402">
      <c r="A402" s="358" t="s">
        <v>10104</v>
      </c>
      <c r="B402" s="477">
        <v>14563.0</v>
      </c>
      <c r="C402" s="11" t="s">
        <v>9590</v>
      </c>
      <c r="D402" s="475">
        <v>0.78</v>
      </c>
      <c r="E402" s="475">
        <v>0.78</v>
      </c>
      <c r="F402" s="229" t="s">
        <v>1656</v>
      </c>
      <c r="G402" s="467"/>
      <c r="H402" s="500" t="s">
        <v>9684</v>
      </c>
      <c r="I402" s="501" t="s">
        <v>6157</v>
      </c>
      <c r="J402" s="35" t="s">
        <v>10081</v>
      </c>
      <c r="K402" s="487">
        <v>283.0</v>
      </c>
      <c r="L402" s="36"/>
      <c r="M402" s="36"/>
    </row>
    <row r="403">
      <c r="A403" s="358" t="s">
        <v>10106</v>
      </c>
      <c r="B403" s="358">
        <v>14590.0</v>
      </c>
      <c r="C403" s="11" t="s">
        <v>9590</v>
      </c>
      <c r="D403" s="74">
        <v>0.9</v>
      </c>
      <c r="E403" s="74">
        <v>0.9</v>
      </c>
      <c r="F403" s="229" t="s">
        <v>1656</v>
      </c>
      <c r="G403" s="467"/>
      <c r="H403" s="500" t="s">
        <v>9687</v>
      </c>
      <c r="I403" s="501" t="s">
        <v>6157</v>
      </c>
      <c r="J403" s="35" t="s">
        <v>10084</v>
      </c>
      <c r="K403" s="503"/>
      <c r="L403" s="36"/>
      <c r="M403" s="36"/>
    </row>
    <row r="404">
      <c r="A404" s="358" t="s">
        <v>10108</v>
      </c>
      <c r="B404" s="477">
        <v>6936.0</v>
      </c>
      <c r="C404" s="11" t="s">
        <v>9590</v>
      </c>
      <c r="D404" s="475">
        <v>0.78</v>
      </c>
      <c r="E404" s="475">
        <v>0.78</v>
      </c>
      <c r="F404" s="229" t="s">
        <v>1656</v>
      </c>
      <c r="G404" s="467"/>
      <c r="H404" s="500" t="s">
        <v>9690</v>
      </c>
      <c r="I404" s="501" t="s">
        <v>6157</v>
      </c>
      <c r="J404" s="35" t="s">
        <v>10086</v>
      </c>
      <c r="K404" s="503"/>
      <c r="L404" s="36"/>
      <c r="M404" s="36"/>
    </row>
    <row r="405">
      <c r="A405" s="358" t="s">
        <v>10110</v>
      </c>
      <c r="B405" s="477">
        <v>6106.0</v>
      </c>
      <c r="C405" s="11" t="s">
        <v>9590</v>
      </c>
      <c r="D405" s="475">
        <v>0.78</v>
      </c>
      <c r="E405" s="475">
        <v>0.78</v>
      </c>
      <c r="F405" s="229" t="s">
        <v>1656</v>
      </c>
      <c r="G405" s="467"/>
      <c r="H405" s="500" t="s">
        <v>9693</v>
      </c>
      <c r="I405" s="501" t="s">
        <v>6157</v>
      </c>
      <c r="J405" s="35" t="s">
        <v>10088</v>
      </c>
      <c r="K405" s="487">
        <v>283.0</v>
      </c>
      <c r="L405" s="36"/>
      <c r="M405" s="36"/>
    </row>
    <row r="406">
      <c r="A406" s="358" t="s">
        <v>10112</v>
      </c>
      <c r="B406" s="477">
        <v>6924.0</v>
      </c>
      <c r="C406" s="11" t="s">
        <v>9590</v>
      </c>
      <c r="D406" s="475">
        <v>0.78</v>
      </c>
      <c r="E406" s="475">
        <v>0.78</v>
      </c>
      <c r="F406" s="229" t="s">
        <v>1656</v>
      </c>
      <c r="G406" s="467"/>
      <c r="H406" s="500" t="s">
        <v>9695</v>
      </c>
      <c r="I406" s="501" t="s">
        <v>6157</v>
      </c>
      <c r="J406" s="35" t="s">
        <v>10090</v>
      </c>
      <c r="K406" s="487">
        <v>6970.0</v>
      </c>
      <c r="L406" s="36"/>
      <c r="M406" s="36"/>
    </row>
    <row r="407">
      <c r="A407" s="358" t="s">
        <v>10114</v>
      </c>
      <c r="B407" s="477">
        <v>13864.0</v>
      </c>
      <c r="C407" s="11" t="s">
        <v>9590</v>
      </c>
      <c r="D407" s="475">
        <v>0.78</v>
      </c>
      <c r="E407" s="475">
        <v>0.78</v>
      </c>
      <c r="F407" s="229" t="s">
        <v>1656</v>
      </c>
      <c r="G407" s="467"/>
      <c r="H407" s="500" t="s">
        <v>9698</v>
      </c>
      <c r="I407" s="501" t="s">
        <v>6157</v>
      </c>
      <c r="J407" s="35" t="s">
        <v>10092</v>
      </c>
      <c r="K407" s="503"/>
      <c r="L407" s="36"/>
      <c r="M407" s="36"/>
    </row>
    <row r="408">
      <c r="A408" s="358" t="s">
        <v>10116</v>
      </c>
      <c r="B408" s="358">
        <v>14590.0</v>
      </c>
      <c r="C408" s="11" t="s">
        <v>9590</v>
      </c>
      <c r="D408" s="74">
        <v>0.9</v>
      </c>
      <c r="E408" s="74">
        <v>0.9</v>
      </c>
      <c r="F408" s="229" t="s">
        <v>1656</v>
      </c>
      <c r="G408" s="467"/>
      <c r="H408" s="500" t="s">
        <v>9701</v>
      </c>
      <c r="I408" s="501" t="s">
        <v>6157</v>
      </c>
      <c r="J408" s="35" t="s">
        <v>10094</v>
      </c>
      <c r="K408" s="503"/>
      <c r="L408" s="36"/>
      <c r="M408" s="36"/>
    </row>
    <row r="409">
      <c r="A409" s="358" t="s">
        <v>10118</v>
      </c>
      <c r="B409" s="477">
        <v>12609.0</v>
      </c>
      <c r="C409" s="11" t="s">
        <v>9590</v>
      </c>
      <c r="D409" s="475">
        <v>0.78</v>
      </c>
      <c r="E409" s="475">
        <v>0.78</v>
      </c>
      <c r="F409" s="229" t="s">
        <v>1656</v>
      </c>
      <c r="G409" s="467"/>
      <c r="H409" s="500" t="s">
        <v>9704</v>
      </c>
      <c r="I409" s="501" t="s">
        <v>6157</v>
      </c>
      <c r="J409" s="35" t="s">
        <v>10096</v>
      </c>
      <c r="K409" s="503"/>
      <c r="L409" s="36"/>
      <c r="M409" s="36"/>
    </row>
    <row r="410">
      <c r="A410" s="358" t="s">
        <v>10120</v>
      </c>
      <c r="B410" s="477">
        <v>13829.0</v>
      </c>
      <c r="C410" s="11" t="s">
        <v>9590</v>
      </c>
      <c r="D410" s="475">
        <v>0.78</v>
      </c>
      <c r="E410" s="475">
        <v>0.78</v>
      </c>
      <c r="F410" s="229" t="s">
        <v>1656</v>
      </c>
      <c r="G410" s="467"/>
      <c r="H410" s="500" t="s">
        <v>9707</v>
      </c>
      <c r="I410" s="501" t="s">
        <v>6157</v>
      </c>
      <c r="J410" s="35" t="s">
        <v>10098</v>
      </c>
      <c r="K410" s="487">
        <v>6729.0</v>
      </c>
      <c r="L410" s="36"/>
      <c r="M410" s="36"/>
    </row>
    <row r="411">
      <c r="A411" s="358" t="s">
        <v>10122</v>
      </c>
      <c r="B411" s="477">
        <v>13951.0</v>
      </c>
      <c r="C411" s="11" t="s">
        <v>9590</v>
      </c>
      <c r="D411" s="475">
        <v>0.78</v>
      </c>
      <c r="E411" s="475">
        <v>0.78</v>
      </c>
      <c r="F411" s="229" t="s">
        <v>1656</v>
      </c>
      <c r="G411" s="467"/>
      <c r="H411" s="500" t="s">
        <v>9710</v>
      </c>
      <c r="I411" s="501" t="s">
        <v>6157</v>
      </c>
      <c r="J411" s="35" t="s">
        <v>10100</v>
      </c>
      <c r="K411" s="503"/>
      <c r="L411" s="36"/>
      <c r="M411" s="36"/>
    </row>
    <row r="412">
      <c r="A412" s="358" t="s">
        <v>10124</v>
      </c>
      <c r="B412" s="477">
        <v>12388.0</v>
      </c>
      <c r="C412" s="11" t="s">
        <v>9590</v>
      </c>
      <c r="D412" s="475">
        <v>0.78</v>
      </c>
      <c r="E412" s="475">
        <v>0.78</v>
      </c>
      <c r="F412" s="229" t="s">
        <v>1656</v>
      </c>
      <c r="G412" s="467"/>
      <c r="H412" s="500" t="s">
        <v>9713</v>
      </c>
      <c r="I412" s="501" t="s">
        <v>6157</v>
      </c>
      <c r="J412" s="35" t="s">
        <v>10102</v>
      </c>
      <c r="K412" s="487">
        <v>9701.0</v>
      </c>
      <c r="L412" s="36"/>
      <c r="M412" s="36"/>
    </row>
    <row r="413">
      <c r="A413" s="358" t="s">
        <v>10126</v>
      </c>
      <c r="B413" s="477">
        <v>14030.0</v>
      </c>
      <c r="C413" s="11" t="s">
        <v>9590</v>
      </c>
      <c r="D413" s="475">
        <v>0.78</v>
      </c>
      <c r="E413" s="475">
        <v>0.78</v>
      </c>
      <c r="F413" s="229" t="s">
        <v>1656</v>
      </c>
      <c r="G413" s="467"/>
      <c r="H413" s="500" t="s">
        <v>9716</v>
      </c>
      <c r="I413" s="501" t="s">
        <v>6157</v>
      </c>
      <c r="J413" s="35" t="s">
        <v>10104</v>
      </c>
      <c r="K413" s="503"/>
      <c r="L413" s="36"/>
      <c r="M413" s="36"/>
    </row>
    <row r="414">
      <c r="A414" s="358" t="s">
        <v>10128</v>
      </c>
      <c r="B414" s="477">
        <v>6132.0</v>
      </c>
      <c r="C414" s="11" t="s">
        <v>9590</v>
      </c>
      <c r="D414" s="475">
        <v>0.78</v>
      </c>
      <c r="E414" s="475">
        <v>0.78</v>
      </c>
      <c r="F414" s="229" t="s">
        <v>1656</v>
      </c>
      <c r="G414" s="467"/>
      <c r="H414" s="500" t="s">
        <v>9719</v>
      </c>
      <c r="I414" s="501" t="s">
        <v>6157</v>
      </c>
      <c r="J414" s="35" t="s">
        <v>10106</v>
      </c>
      <c r="K414" s="503"/>
      <c r="L414" s="36"/>
      <c r="M414" s="36"/>
    </row>
    <row r="415">
      <c r="A415" s="358" t="s">
        <v>10130</v>
      </c>
      <c r="B415" s="358">
        <v>14590.0</v>
      </c>
      <c r="C415" s="11" t="s">
        <v>9590</v>
      </c>
      <c r="D415" s="74">
        <v>0.9</v>
      </c>
      <c r="E415" s="74">
        <v>0.9</v>
      </c>
      <c r="F415" s="229" t="s">
        <v>1656</v>
      </c>
      <c r="G415" s="467"/>
      <c r="H415" s="500" t="s">
        <v>9722</v>
      </c>
      <c r="I415" s="501" t="s">
        <v>6157</v>
      </c>
      <c r="J415" s="11" t="s">
        <v>10108</v>
      </c>
      <c r="K415" s="9">
        <v>6936.0</v>
      </c>
    </row>
    <row r="416">
      <c r="A416" s="358" t="s">
        <v>10132</v>
      </c>
      <c r="B416" s="358">
        <v>14590.0</v>
      </c>
      <c r="C416" s="11" t="s">
        <v>9590</v>
      </c>
      <c r="D416" s="74">
        <v>0.9</v>
      </c>
      <c r="E416" s="74">
        <v>0.9</v>
      </c>
      <c r="F416" s="229" t="s">
        <v>1656</v>
      </c>
      <c r="G416" s="467"/>
      <c r="H416" s="500" t="s">
        <v>9725</v>
      </c>
      <c r="I416" s="501" t="s">
        <v>6157</v>
      </c>
      <c r="J416" s="35" t="s">
        <v>10110</v>
      </c>
      <c r="K416" s="487">
        <v>6106.0</v>
      </c>
      <c r="L416" s="36"/>
      <c r="M416" s="36"/>
    </row>
    <row r="417">
      <c r="A417" s="358" t="s">
        <v>10134</v>
      </c>
      <c r="B417" s="477">
        <v>14465.0</v>
      </c>
      <c r="C417" s="11" t="s">
        <v>9590</v>
      </c>
      <c r="D417" s="74">
        <v>0.9</v>
      </c>
      <c r="E417" s="74">
        <v>0.9</v>
      </c>
      <c r="F417" s="229" t="s">
        <v>1656</v>
      </c>
      <c r="G417" s="467"/>
      <c r="H417" s="500" t="s">
        <v>9728</v>
      </c>
      <c r="I417" s="501" t="s">
        <v>6157</v>
      </c>
      <c r="J417" s="11" t="s">
        <v>10112</v>
      </c>
      <c r="K417" s="446">
        <v>6924.0</v>
      </c>
    </row>
    <row r="418">
      <c r="A418" s="358" t="s">
        <v>10136</v>
      </c>
      <c r="B418" s="477">
        <v>9746.0</v>
      </c>
      <c r="C418" s="11" t="s">
        <v>9590</v>
      </c>
      <c r="D418" s="475">
        <v>0.78</v>
      </c>
      <c r="E418" s="475">
        <v>0.78</v>
      </c>
      <c r="F418" s="229" t="s">
        <v>1656</v>
      </c>
      <c r="G418" s="467"/>
      <c r="H418" s="500" t="s">
        <v>9731</v>
      </c>
      <c r="I418" s="501" t="s">
        <v>6157</v>
      </c>
      <c r="J418" s="35" t="s">
        <v>10114</v>
      </c>
      <c r="K418" s="487">
        <v>13864.0</v>
      </c>
      <c r="L418" s="36"/>
      <c r="M418" s="36"/>
    </row>
    <row r="419">
      <c r="A419" s="358" t="s">
        <v>10138</v>
      </c>
      <c r="B419" s="477">
        <v>315.0</v>
      </c>
      <c r="C419" s="11" t="s">
        <v>9590</v>
      </c>
      <c r="D419" s="475">
        <v>0.78</v>
      </c>
      <c r="E419" s="475">
        <v>0.78</v>
      </c>
      <c r="F419" s="229" t="s">
        <v>1656</v>
      </c>
      <c r="G419" s="467"/>
      <c r="H419" s="500" t="s">
        <v>9734</v>
      </c>
      <c r="I419" s="501" t="s">
        <v>6157</v>
      </c>
      <c r="J419" s="35" t="s">
        <v>10116</v>
      </c>
      <c r="K419" s="487"/>
      <c r="L419" s="36"/>
      <c r="M419" s="36"/>
    </row>
    <row r="420">
      <c r="A420" s="358" t="s">
        <v>10140</v>
      </c>
      <c r="B420" s="477">
        <v>14033.0</v>
      </c>
      <c r="C420" s="11" t="s">
        <v>9590</v>
      </c>
      <c r="D420" s="475">
        <v>0.78</v>
      </c>
      <c r="E420" s="475">
        <v>0.78</v>
      </c>
      <c r="F420" s="229" t="s">
        <v>1656</v>
      </c>
      <c r="G420" s="467"/>
      <c r="H420" s="500" t="s">
        <v>9737</v>
      </c>
      <c r="I420" s="501" t="s">
        <v>6157</v>
      </c>
      <c r="J420" s="35" t="s">
        <v>10118</v>
      </c>
      <c r="K420" s="487">
        <v>12609.0</v>
      </c>
      <c r="L420" s="36"/>
      <c r="M420" s="36"/>
    </row>
    <row r="421">
      <c r="A421" s="358" t="s">
        <v>10142</v>
      </c>
      <c r="B421" s="477">
        <v>14248.0</v>
      </c>
      <c r="C421" s="11" t="s">
        <v>9590</v>
      </c>
      <c r="D421" s="475">
        <v>0.78</v>
      </c>
      <c r="E421" s="475">
        <v>0.78</v>
      </c>
      <c r="F421" s="229" t="s">
        <v>1656</v>
      </c>
      <c r="G421" s="467"/>
      <c r="H421" s="500" t="s">
        <v>9740</v>
      </c>
      <c r="I421" s="501" t="s">
        <v>6157</v>
      </c>
      <c r="J421" s="35" t="s">
        <v>10120</v>
      </c>
      <c r="K421" s="111">
        <v>13829.0</v>
      </c>
      <c r="L421" s="36"/>
      <c r="M421" s="36"/>
    </row>
    <row r="422">
      <c r="A422" s="358" t="s">
        <v>10144</v>
      </c>
      <c r="B422" s="477">
        <v>14023.0</v>
      </c>
      <c r="C422" s="11" t="s">
        <v>9590</v>
      </c>
      <c r="D422" s="475">
        <v>0.78</v>
      </c>
      <c r="E422" s="475">
        <v>0.78</v>
      </c>
      <c r="F422" s="229" t="s">
        <v>1656</v>
      </c>
      <c r="G422" s="467"/>
      <c r="H422" s="500" t="s">
        <v>9743</v>
      </c>
      <c r="I422" s="501" t="s">
        <v>6157</v>
      </c>
      <c r="J422" s="35" t="s">
        <v>10122</v>
      </c>
      <c r="K422" s="487">
        <v>13951.0</v>
      </c>
      <c r="L422" s="36"/>
      <c r="M422" s="36"/>
    </row>
    <row r="423">
      <c r="A423" s="358" t="s">
        <v>10146</v>
      </c>
      <c r="B423" s="358">
        <v>14590.0</v>
      </c>
      <c r="C423" s="11" t="s">
        <v>9590</v>
      </c>
      <c r="D423" s="74">
        <v>0.9</v>
      </c>
      <c r="E423" s="74">
        <v>0.9</v>
      </c>
      <c r="F423" s="229" t="s">
        <v>1656</v>
      </c>
      <c r="G423" s="467"/>
      <c r="H423" s="500" t="s">
        <v>9746</v>
      </c>
      <c r="I423" s="501" t="s">
        <v>6157</v>
      </c>
      <c r="J423" s="35" t="s">
        <v>10124</v>
      </c>
      <c r="K423" s="503"/>
      <c r="L423" s="36"/>
      <c r="M423" s="36"/>
    </row>
    <row r="424">
      <c r="A424" s="358" t="s">
        <v>10148</v>
      </c>
      <c r="B424" s="477">
        <v>6785.0</v>
      </c>
      <c r="C424" s="11" t="s">
        <v>9590</v>
      </c>
      <c r="D424" s="475">
        <v>0.78</v>
      </c>
      <c r="E424" s="475">
        <v>0.78</v>
      </c>
      <c r="F424" s="229" t="s">
        <v>1656</v>
      </c>
      <c r="G424" s="467"/>
      <c r="H424" s="500" t="s">
        <v>9749</v>
      </c>
      <c r="I424" s="501" t="s">
        <v>6157</v>
      </c>
      <c r="J424" s="35" t="s">
        <v>10126</v>
      </c>
      <c r="K424" s="487">
        <v>14030.0</v>
      </c>
      <c r="L424" s="36"/>
      <c r="M424" s="36"/>
    </row>
    <row r="425">
      <c r="A425" s="358" t="s">
        <v>10150</v>
      </c>
      <c r="B425" s="477">
        <v>11916.0</v>
      </c>
      <c r="C425" s="11" t="s">
        <v>9590</v>
      </c>
      <c r="D425" s="475">
        <v>0.78</v>
      </c>
      <c r="E425" s="475">
        <v>0.78</v>
      </c>
      <c r="F425" s="229" t="s">
        <v>1656</v>
      </c>
      <c r="G425" s="467"/>
      <c r="H425" s="500" t="s">
        <v>9752</v>
      </c>
      <c r="I425" s="501" t="s">
        <v>6157</v>
      </c>
      <c r="J425" s="35" t="s">
        <v>10128</v>
      </c>
      <c r="K425" s="487">
        <v>6132.0</v>
      </c>
      <c r="L425" s="36"/>
      <c r="M425" s="36"/>
    </row>
    <row r="426">
      <c r="A426" s="358" t="s">
        <v>10152</v>
      </c>
      <c r="B426" s="477">
        <v>6873.0</v>
      </c>
      <c r="C426" s="11" t="s">
        <v>9590</v>
      </c>
      <c r="D426" s="475">
        <v>0.78</v>
      </c>
      <c r="E426" s="475">
        <v>0.78</v>
      </c>
      <c r="F426" s="229" t="s">
        <v>1656</v>
      </c>
      <c r="G426" s="467"/>
      <c r="H426" s="500" t="s">
        <v>9755</v>
      </c>
      <c r="I426" s="501" t="s">
        <v>6157</v>
      </c>
      <c r="J426" s="35" t="s">
        <v>10130</v>
      </c>
      <c r="K426" s="503"/>
      <c r="L426" s="36"/>
      <c r="M426" s="36"/>
    </row>
    <row r="427">
      <c r="A427" s="358" t="s">
        <v>10154</v>
      </c>
      <c r="B427" s="477">
        <v>14025.0</v>
      </c>
      <c r="C427" s="11" t="s">
        <v>9590</v>
      </c>
      <c r="D427" s="475">
        <v>0.78</v>
      </c>
      <c r="E427" s="475">
        <v>0.78</v>
      </c>
      <c r="F427" s="229" t="s">
        <v>1656</v>
      </c>
      <c r="G427" s="467"/>
      <c r="H427" s="500" t="s">
        <v>9758</v>
      </c>
      <c r="I427" s="501" t="s">
        <v>6157</v>
      </c>
      <c r="J427" s="35" t="s">
        <v>10132</v>
      </c>
      <c r="K427" s="503"/>
      <c r="L427" s="36"/>
      <c r="M427" s="36"/>
    </row>
    <row r="428">
      <c r="A428" s="358" t="s">
        <v>10156</v>
      </c>
      <c r="B428" s="477">
        <v>6873.0</v>
      </c>
      <c r="C428" s="11" t="s">
        <v>9590</v>
      </c>
      <c r="D428" s="475">
        <v>0.78</v>
      </c>
      <c r="E428" s="475">
        <v>0.78</v>
      </c>
      <c r="F428" s="229" t="s">
        <v>1656</v>
      </c>
      <c r="G428" s="467"/>
      <c r="H428" s="500" t="s">
        <v>9761</v>
      </c>
      <c r="I428" s="501" t="s">
        <v>6157</v>
      </c>
      <c r="J428" s="35" t="s">
        <v>10134</v>
      </c>
      <c r="K428" s="503"/>
      <c r="L428" s="36"/>
      <c r="M428" s="36"/>
    </row>
    <row r="429">
      <c r="A429" s="358" t="s">
        <v>10158</v>
      </c>
      <c r="B429" s="477">
        <v>13858.0</v>
      </c>
      <c r="C429" s="11" t="s">
        <v>9590</v>
      </c>
      <c r="D429" s="475">
        <v>0.78</v>
      </c>
      <c r="E429" s="475">
        <v>0.78</v>
      </c>
      <c r="F429" s="229" t="s">
        <v>1656</v>
      </c>
      <c r="G429" s="467"/>
      <c r="H429" s="500" t="s">
        <v>9764</v>
      </c>
      <c r="I429" s="501" t="s">
        <v>6157</v>
      </c>
      <c r="J429" s="35" t="s">
        <v>10136</v>
      </c>
      <c r="K429" s="487">
        <v>9746.0</v>
      </c>
      <c r="L429" s="36"/>
      <c r="M429" s="36"/>
    </row>
    <row r="430">
      <c r="A430" s="358" t="s">
        <v>10160</v>
      </c>
      <c r="B430" s="477">
        <v>14065.0</v>
      </c>
      <c r="C430" s="11" t="s">
        <v>9590</v>
      </c>
      <c r="D430" s="475">
        <v>0.78</v>
      </c>
      <c r="E430" s="475">
        <v>0.78</v>
      </c>
      <c r="F430" s="229" t="s">
        <v>1656</v>
      </c>
      <c r="G430" s="467"/>
      <c r="H430" s="500" t="s">
        <v>9767</v>
      </c>
      <c r="I430" s="501" t="s">
        <v>6157</v>
      </c>
      <c r="J430" s="35" t="s">
        <v>10138</v>
      </c>
      <c r="K430" s="487">
        <v>315.0</v>
      </c>
      <c r="L430" s="36"/>
      <c r="M430" s="36"/>
    </row>
    <row r="431">
      <c r="A431" s="358" t="s">
        <v>10162</v>
      </c>
      <c r="B431" s="477">
        <v>14005.0</v>
      </c>
      <c r="C431" s="11" t="s">
        <v>9590</v>
      </c>
      <c r="D431" s="475">
        <v>0.78</v>
      </c>
      <c r="E431" s="475">
        <v>0.78</v>
      </c>
      <c r="F431" s="229" t="s">
        <v>1656</v>
      </c>
      <c r="G431" s="467"/>
      <c r="H431" s="500" t="s">
        <v>9770</v>
      </c>
      <c r="I431" s="501" t="s">
        <v>6157</v>
      </c>
      <c r="J431" s="35" t="s">
        <v>10140</v>
      </c>
      <c r="K431" s="487">
        <v>14033.0</v>
      </c>
      <c r="L431" s="36"/>
      <c r="M431" s="36"/>
    </row>
    <row r="432">
      <c r="A432" s="358" t="s">
        <v>10164</v>
      </c>
      <c r="B432" s="477">
        <v>13952.0</v>
      </c>
      <c r="C432" s="11" t="s">
        <v>9590</v>
      </c>
      <c r="D432" s="475">
        <v>0.78</v>
      </c>
      <c r="E432" s="475">
        <v>0.78</v>
      </c>
      <c r="F432" s="229" t="s">
        <v>1656</v>
      </c>
      <c r="G432" s="467"/>
      <c r="H432" s="500" t="s">
        <v>9773</v>
      </c>
      <c r="I432" s="501" t="s">
        <v>6157</v>
      </c>
      <c r="J432" s="35" t="s">
        <v>10142</v>
      </c>
      <c r="K432" s="487">
        <v>14248.0</v>
      </c>
      <c r="L432" s="36"/>
      <c r="M432" s="36"/>
    </row>
    <row r="433">
      <c r="A433" s="358" t="s">
        <v>10166</v>
      </c>
      <c r="B433" s="477">
        <v>12553.0</v>
      </c>
      <c r="C433" s="11" t="s">
        <v>9590</v>
      </c>
      <c r="D433" s="475">
        <v>0.78</v>
      </c>
      <c r="E433" s="475">
        <v>0.78</v>
      </c>
      <c r="F433" s="229" t="s">
        <v>1656</v>
      </c>
      <c r="G433" s="467"/>
      <c r="H433" s="500" t="s">
        <v>9776</v>
      </c>
      <c r="I433" s="501" t="s">
        <v>6157</v>
      </c>
      <c r="J433" s="35" t="s">
        <v>10144</v>
      </c>
      <c r="K433" s="487">
        <v>14023.0</v>
      </c>
      <c r="L433" s="36"/>
      <c r="M433" s="36"/>
    </row>
    <row r="434">
      <c r="A434" s="358" t="s">
        <v>10331</v>
      </c>
      <c r="B434" s="477">
        <v>3689.0</v>
      </c>
      <c r="C434" s="11" t="s">
        <v>9590</v>
      </c>
      <c r="D434" s="475">
        <v>0.78</v>
      </c>
      <c r="E434" s="475">
        <v>0.78</v>
      </c>
      <c r="F434" s="229" t="s">
        <v>1656</v>
      </c>
      <c r="G434" s="467"/>
      <c r="H434" s="500" t="s">
        <v>9779</v>
      </c>
      <c r="I434" s="501" t="s">
        <v>6157</v>
      </c>
      <c r="J434" s="35" t="s">
        <v>10146</v>
      </c>
      <c r="K434" s="503"/>
      <c r="L434" s="36"/>
      <c r="M434" s="36"/>
    </row>
    <row r="435">
      <c r="A435" s="358" t="s">
        <v>10332</v>
      </c>
      <c r="B435" s="477">
        <v>9814.0</v>
      </c>
      <c r="C435" s="11" t="s">
        <v>9590</v>
      </c>
      <c r="D435" s="475">
        <v>0.78</v>
      </c>
      <c r="E435" s="475">
        <v>0.78</v>
      </c>
      <c r="F435" s="229" t="s">
        <v>1656</v>
      </c>
      <c r="G435" s="467"/>
      <c r="H435" s="500" t="s">
        <v>9782</v>
      </c>
      <c r="I435" s="501" t="s">
        <v>6157</v>
      </c>
      <c r="J435" s="35" t="s">
        <v>10148</v>
      </c>
      <c r="K435" s="487">
        <v>6785.0</v>
      </c>
      <c r="L435" s="36"/>
      <c r="M435" s="36"/>
    </row>
    <row r="436">
      <c r="A436" s="358" t="s">
        <v>10333</v>
      </c>
      <c r="B436" s="477">
        <v>7652.0</v>
      </c>
      <c r="C436" s="11" t="s">
        <v>9590</v>
      </c>
      <c r="D436" s="475">
        <v>0.78</v>
      </c>
      <c r="E436" s="475">
        <v>0.78</v>
      </c>
      <c r="F436" s="229" t="s">
        <v>1656</v>
      </c>
      <c r="G436" s="467"/>
      <c r="H436" s="500" t="s">
        <v>9785</v>
      </c>
      <c r="I436" s="501" t="s">
        <v>6157</v>
      </c>
      <c r="J436" s="35" t="s">
        <v>10150</v>
      </c>
      <c r="K436" s="487">
        <v>11916.0</v>
      </c>
      <c r="L436" s="36"/>
      <c r="M436" s="36"/>
    </row>
    <row r="437">
      <c r="A437" s="358" t="s">
        <v>10334</v>
      </c>
      <c r="B437" s="477">
        <v>12218.0</v>
      </c>
      <c r="C437" s="11" t="s">
        <v>9590</v>
      </c>
      <c r="D437" s="475">
        <v>0.78</v>
      </c>
      <c r="E437" s="475">
        <v>0.78</v>
      </c>
      <c r="F437" s="229" t="s">
        <v>1656</v>
      </c>
      <c r="G437" s="467"/>
      <c r="H437" s="500" t="s">
        <v>9788</v>
      </c>
      <c r="I437" s="501" t="s">
        <v>6157</v>
      </c>
      <c r="J437" s="35" t="s">
        <v>10152</v>
      </c>
      <c r="K437" s="487">
        <v>6873.0</v>
      </c>
      <c r="L437" s="36"/>
      <c r="M437" s="36"/>
    </row>
    <row r="438">
      <c r="A438" s="358" t="s">
        <v>10335</v>
      </c>
      <c r="B438" s="477">
        <v>10238.0</v>
      </c>
      <c r="C438" s="11" t="s">
        <v>9590</v>
      </c>
      <c r="D438" s="475">
        <v>0.78</v>
      </c>
      <c r="E438" s="475">
        <v>0.78</v>
      </c>
      <c r="F438" s="229" t="s">
        <v>1656</v>
      </c>
      <c r="G438" s="467"/>
      <c r="H438" s="500" t="s">
        <v>9791</v>
      </c>
      <c r="I438" s="501" t="s">
        <v>6157</v>
      </c>
      <c r="J438" s="35" t="s">
        <v>10154</v>
      </c>
      <c r="K438" s="487">
        <v>14025.0</v>
      </c>
      <c r="L438" s="36"/>
      <c r="M438" s="36"/>
    </row>
    <row r="439">
      <c r="A439" s="358" t="s">
        <v>10336</v>
      </c>
      <c r="B439" s="477">
        <v>10861.0</v>
      </c>
      <c r="C439" s="11" t="s">
        <v>9590</v>
      </c>
      <c r="D439" s="475">
        <v>0.82</v>
      </c>
      <c r="E439" s="475">
        <v>0.82</v>
      </c>
      <c r="F439" s="229" t="s">
        <v>1656</v>
      </c>
      <c r="G439" s="467"/>
      <c r="H439" s="500" t="s">
        <v>9794</v>
      </c>
      <c r="I439" s="501" t="s">
        <v>6157</v>
      </c>
      <c r="J439" s="35" t="s">
        <v>10156</v>
      </c>
      <c r="K439" s="487">
        <v>6873.0</v>
      </c>
      <c r="L439" s="36"/>
      <c r="M439" s="36"/>
    </row>
    <row r="440">
      <c r="A440" s="358" t="s">
        <v>10337</v>
      </c>
      <c r="B440" s="477">
        <v>10368.0</v>
      </c>
      <c r="C440" s="11" t="s">
        <v>9590</v>
      </c>
      <c r="D440" s="475">
        <v>0.78</v>
      </c>
      <c r="E440" s="475">
        <v>0.78</v>
      </c>
      <c r="F440" s="229" t="s">
        <v>1656</v>
      </c>
      <c r="G440" s="467"/>
      <c r="H440" s="500" t="s">
        <v>9797</v>
      </c>
      <c r="I440" s="501" t="s">
        <v>6157</v>
      </c>
      <c r="J440" s="11" t="s">
        <v>10158</v>
      </c>
      <c r="K440" s="446">
        <v>13858.0</v>
      </c>
    </row>
    <row r="441">
      <c r="A441" s="358" t="s">
        <v>10338</v>
      </c>
      <c r="B441" s="358">
        <v>14590.0</v>
      </c>
      <c r="C441" s="11" t="s">
        <v>9590</v>
      </c>
      <c r="D441" s="74">
        <v>0.9</v>
      </c>
      <c r="E441" s="74">
        <v>0.9</v>
      </c>
      <c r="F441" s="229" t="s">
        <v>1656</v>
      </c>
      <c r="G441" s="467"/>
      <c r="H441" s="500" t="s">
        <v>9800</v>
      </c>
      <c r="I441" s="501" t="s">
        <v>6157</v>
      </c>
      <c r="J441" s="35" t="s">
        <v>10160</v>
      </c>
      <c r="K441" s="487">
        <v>14065.0</v>
      </c>
      <c r="L441" s="36"/>
      <c r="M441" s="36"/>
    </row>
    <row r="442">
      <c r="A442" s="358" t="s">
        <v>10339</v>
      </c>
      <c r="B442" s="358">
        <v>14646.0</v>
      </c>
      <c r="C442" s="11" t="s">
        <v>9590</v>
      </c>
      <c r="D442" s="475">
        <v>0.78</v>
      </c>
      <c r="E442" s="475">
        <v>0.78</v>
      </c>
      <c r="F442" s="229" t="s">
        <v>1656</v>
      </c>
      <c r="G442" s="467"/>
      <c r="H442" s="500" t="s">
        <v>9803</v>
      </c>
      <c r="I442" s="501" t="s">
        <v>6157</v>
      </c>
      <c r="J442" s="35" t="s">
        <v>10162</v>
      </c>
      <c r="K442" s="487">
        <v>14005.0</v>
      </c>
      <c r="L442" s="36"/>
      <c r="M442" s="36"/>
    </row>
    <row r="443">
      <c r="A443" s="358" t="s">
        <v>10340</v>
      </c>
      <c r="B443" s="504"/>
      <c r="C443" s="11" t="s">
        <v>9590</v>
      </c>
      <c r="D443" s="475">
        <v>0.78</v>
      </c>
      <c r="E443" s="475">
        <v>0.78</v>
      </c>
      <c r="F443" s="229" t="s">
        <v>1656</v>
      </c>
      <c r="G443" s="467"/>
      <c r="H443" s="500" t="s">
        <v>9806</v>
      </c>
      <c r="I443" s="501" t="s">
        <v>6157</v>
      </c>
      <c r="J443" s="35" t="s">
        <v>10164</v>
      </c>
      <c r="K443" s="487">
        <v>13952.0</v>
      </c>
      <c r="L443" s="36"/>
      <c r="M443" s="36"/>
    </row>
    <row r="444">
      <c r="A444" s="358" t="s">
        <v>10341</v>
      </c>
      <c r="B444" s="504"/>
      <c r="C444" s="11" t="s">
        <v>9590</v>
      </c>
      <c r="D444" s="475">
        <v>0.78</v>
      </c>
      <c r="E444" s="475">
        <v>0.78</v>
      </c>
      <c r="F444" s="229" t="s">
        <v>1656</v>
      </c>
      <c r="G444" s="467"/>
      <c r="H444" s="501" t="s">
        <v>1956</v>
      </c>
      <c r="I444" s="501" t="s">
        <v>6157</v>
      </c>
      <c r="J444" s="35" t="s">
        <v>10166</v>
      </c>
      <c r="K444" s="301">
        <v>12553.0</v>
      </c>
      <c r="L444" s="36"/>
      <c r="M444" s="36"/>
    </row>
    <row r="445">
      <c r="A445" s="358" t="s">
        <v>10342</v>
      </c>
      <c r="B445" s="504"/>
      <c r="C445" s="11" t="s">
        <v>9590</v>
      </c>
      <c r="D445" s="475">
        <v>0.78</v>
      </c>
      <c r="E445" s="475">
        <v>0.78</v>
      </c>
      <c r="F445" s="229" t="s">
        <v>1656</v>
      </c>
      <c r="G445" s="467"/>
      <c r="H445" s="501" t="s">
        <v>9811</v>
      </c>
      <c r="I445" s="501" t="s">
        <v>6157</v>
      </c>
      <c r="J445" s="11" t="s">
        <v>10167</v>
      </c>
      <c r="K445" s="446">
        <v>14298.0</v>
      </c>
    </row>
    <row r="446">
      <c r="A446" s="358" t="s">
        <v>10343</v>
      </c>
      <c r="B446" s="504"/>
      <c r="C446" s="11" t="s">
        <v>9590</v>
      </c>
      <c r="D446" s="475">
        <v>0.78</v>
      </c>
      <c r="E446" s="475">
        <v>0.78</v>
      </c>
      <c r="F446" s="229" t="s">
        <v>1656</v>
      </c>
      <c r="G446" s="467"/>
      <c r="H446" s="501" t="s">
        <v>9814</v>
      </c>
      <c r="I446" s="501" t="s">
        <v>6157</v>
      </c>
      <c r="J446" s="35" t="s">
        <v>10168</v>
      </c>
      <c r="K446" s="487">
        <v>6939.0</v>
      </c>
      <c r="L446" s="36"/>
      <c r="M446" s="36"/>
    </row>
    <row r="447">
      <c r="A447" s="358" t="s">
        <v>10344</v>
      </c>
      <c r="B447" s="504"/>
      <c r="C447" s="11" t="s">
        <v>9590</v>
      </c>
      <c r="D447" s="475">
        <v>0.78</v>
      </c>
      <c r="E447" s="475">
        <v>0.78</v>
      </c>
      <c r="F447" s="229" t="s">
        <v>1656</v>
      </c>
      <c r="G447" s="467"/>
      <c r="H447" s="501" t="s">
        <v>9817</v>
      </c>
      <c r="I447" s="501" t="s">
        <v>6157</v>
      </c>
      <c r="J447" s="35" t="s">
        <v>10169</v>
      </c>
      <c r="K447" s="503"/>
      <c r="L447" s="36"/>
      <c r="M447" s="36"/>
    </row>
    <row r="448">
      <c r="A448" s="358" t="s">
        <v>10345</v>
      </c>
      <c r="B448" s="504"/>
      <c r="C448" s="11" t="s">
        <v>9590</v>
      </c>
      <c r="D448" s="475">
        <v>0.78</v>
      </c>
      <c r="E448" s="475">
        <v>0.78</v>
      </c>
      <c r="F448" s="229" t="s">
        <v>1656</v>
      </c>
      <c r="G448" s="467"/>
      <c r="H448" s="501" t="s">
        <v>9820</v>
      </c>
      <c r="I448" s="501" t="s">
        <v>6157</v>
      </c>
      <c r="J448" s="35" t="s">
        <v>10170</v>
      </c>
      <c r="K448" s="487"/>
      <c r="L448" s="36"/>
      <c r="M448" s="36"/>
    </row>
    <row r="449">
      <c r="A449" s="358" t="s">
        <v>10346</v>
      </c>
      <c r="B449" s="504"/>
      <c r="C449" s="11" t="s">
        <v>9590</v>
      </c>
      <c r="D449" s="475">
        <v>0.78</v>
      </c>
      <c r="E449" s="475">
        <v>0.78</v>
      </c>
      <c r="F449" s="229" t="s">
        <v>1656</v>
      </c>
      <c r="G449" s="467"/>
      <c r="H449" s="501" t="s">
        <v>9823</v>
      </c>
      <c r="I449" s="501" t="s">
        <v>6157</v>
      </c>
      <c r="J449" s="35" t="s">
        <v>10171</v>
      </c>
      <c r="K449" s="503"/>
      <c r="L449" s="36"/>
      <c r="M449" s="36"/>
    </row>
    <row r="450">
      <c r="A450" s="358" t="s">
        <v>10347</v>
      </c>
      <c r="B450" s="358">
        <v>14672.0</v>
      </c>
      <c r="C450" s="11" t="s">
        <v>9590</v>
      </c>
      <c r="D450" s="475">
        <v>0.78</v>
      </c>
      <c r="E450" s="475">
        <v>0.78</v>
      </c>
      <c r="F450" s="229" t="s">
        <v>1656</v>
      </c>
      <c r="G450" s="467"/>
      <c r="H450" s="501" t="s">
        <v>9826</v>
      </c>
      <c r="I450" s="501" t="s">
        <v>6157</v>
      </c>
      <c r="J450" s="35" t="s">
        <v>10172</v>
      </c>
      <c r="K450" s="503"/>
      <c r="L450" s="36"/>
      <c r="M450" s="36"/>
    </row>
    <row r="451">
      <c r="A451" s="358" t="s">
        <v>10348</v>
      </c>
      <c r="B451" s="477">
        <v>8482.0</v>
      </c>
      <c r="C451" s="11" t="s">
        <v>9590</v>
      </c>
      <c r="D451" s="475">
        <v>0.78</v>
      </c>
      <c r="E451" s="475">
        <v>0.78</v>
      </c>
      <c r="F451" s="229" t="s">
        <v>1656</v>
      </c>
      <c r="G451" s="467"/>
      <c r="H451" s="501" t="s">
        <v>9</v>
      </c>
      <c r="I451" s="501" t="s">
        <v>6157</v>
      </c>
      <c r="J451" s="35" t="s">
        <v>10173</v>
      </c>
      <c r="K451" s="503"/>
      <c r="L451" s="36"/>
      <c r="M451" s="36"/>
    </row>
    <row r="452">
      <c r="A452" s="358" t="s">
        <v>10055</v>
      </c>
      <c r="B452" s="477">
        <v>9307.0</v>
      </c>
      <c r="C452" s="11" t="s">
        <v>9590</v>
      </c>
      <c r="D452" s="475">
        <v>0.78</v>
      </c>
      <c r="E452" s="475">
        <v>0.78</v>
      </c>
      <c r="F452" s="229" t="s">
        <v>1656</v>
      </c>
      <c r="G452" s="467"/>
      <c r="H452" s="501" t="s">
        <v>1959</v>
      </c>
      <c r="I452" s="501" t="s">
        <v>6157</v>
      </c>
      <c r="J452" s="35" t="s">
        <v>10174</v>
      </c>
      <c r="K452" s="503"/>
      <c r="L452" s="36"/>
      <c r="M452" s="36"/>
    </row>
    <row r="453">
      <c r="A453" s="358" t="s">
        <v>10349</v>
      </c>
      <c r="B453" s="477">
        <v>12572.0</v>
      </c>
      <c r="C453" s="11" t="s">
        <v>9590</v>
      </c>
      <c r="D453" s="475">
        <v>0.78</v>
      </c>
      <c r="E453" s="475">
        <v>0.78</v>
      </c>
      <c r="F453" s="229" t="s">
        <v>1656</v>
      </c>
      <c r="G453" s="467"/>
      <c r="H453" s="501" t="s">
        <v>9462</v>
      </c>
      <c r="I453" s="501" t="s">
        <v>6157</v>
      </c>
      <c r="J453" s="35" t="s">
        <v>10175</v>
      </c>
      <c r="K453" s="503"/>
      <c r="L453" s="36"/>
      <c r="M453" s="36"/>
    </row>
    <row r="454">
      <c r="A454" s="358" t="s">
        <v>10350</v>
      </c>
      <c r="B454" s="477">
        <v>6675.0</v>
      </c>
      <c r="C454" s="11" t="s">
        <v>9590</v>
      </c>
      <c r="D454" s="74">
        <v>0.9</v>
      </c>
      <c r="E454" s="74">
        <v>0.9</v>
      </c>
      <c r="F454" s="229" t="s">
        <v>1656</v>
      </c>
      <c r="G454" s="467"/>
      <c r="H454" s="501" t="s">
        <v>9833</v>
      </c>
      <c r="I454" s="501" t="s">
        <v>6157</v>
      </c>
      <c r="J454" s="35" t="s">
        <v>10176</v>
      </c>
      <c r="K454" s="503"/>
      <c r="L454" s="36"/>
      <c r="M454" s="36"/>
    </row>
    <row r="455">
      <c r="A455" s="358" t="s">
        <v>10351</v>
      </c>
      <c r="B455" s="477">
        <v>6675.0</v>
      </c>
      <c r="C455" s="11" t="s">
        <v>9590</v>
      </c>
      <c r="D455" s="74">
        <v>0.9</v>
      </c>
      <c r="E455" s="74">
        <v>0.9</v>
      </c>
      <c r="F455" s="229" t="s">
        <v>1656</v>
      </c>
      <c r="G455" s="467"/>
      <c r="H455" s="501" t="s">
        <v>9836</v>
      </c>
      <c r="I455" s="501" t="s">
        <v>6157</v>
      </c>
      <c r="J455" s="35" t="s">
        <v>10177</v>
      </c>
      <c r="K455" s="503"/>
      <c r="L455" s="36"/>
      <c r="M455" s="36"/>
    </row>
    <row r="456">
      <c r="A456" s="358" t="s">
        <v>10352</v>
      </c>
      <c r="B456" s="477">
        <v>8274.0</v>
      </c>
      <c r="C456" s="11" t="s">
        <v>9590</v>
      </c>
      <c r="D456" s="475">
        <v>0.82</v>
      </c>
      <c r="E456" s="475">
        <v>0.82</v>
      </c>
      <c r="F456" s="229" t="s">
        <v>1656</v>
      </c>
      <c r="G456" s="467"/>
      <c r="H456" s="501" t="s">
        <v>9839</v>
      </c>
      <c r="I456" s="501" t="s">
        <v>6157</v>
      </c>
      <c r="J456" s="35" t="s">
        <v>10178</v>
      </c>
      <c r="K456" s="503"/>
      <c r="L456" s="36"/>
      <c r="M456" s="36"/>
    </row>
    <row r="457">
      <c r="A457" s="358" t="s">
        <v>10353</v>
      </c>
      <c r="B457" s="477">
        <v>8578.0</v>
      </c>
      <c r="C457" s="11" t="s">
        <v>9590</v>
      </c>
      <c r="D457" s="475">
        <v>0.78</v>
      </c>
      <c r="E457" s="475">
        <v>0.78</v>
      </c>
      <c r="F457" s="229" t="s">
        <v>1656</v>
      </c>
      <c r="G457" s="467"/>
      <c r="H457" s="501" t="s">
        <v>9842</v>
      </c>
      <c r="I457" s="501" t="s">
        <v>6157</v>
      </c>
      <c r="J457" s="11" t="s">
        <v>10179</v>
      </c>
      <c r="K457" s="446">
        <v>189.0</v>
      </c>
    </row>
    <row r="458">
      <c r="A458" s="358" t="s">
        <v>10354</v>
      </c>
      <c r="B458" s="477">
        <v>8696.0</v>
      </c>
      <c r="C458" s="11" t="s">
        <v>9590</v>
      </c>
      <c r="D458" s="475">
        <v>0.82</v>
      </c>
      <c r="E458" s="475">
        <v>0.82</v>
      </c>
      <c r="F458" s="229" t="s">
        <v>1656</v>
      </c>
      <c r="G458" s="467"/>
      <c r="H458" s="501" t="s">
        <v>9845</v>
      </c>
      <c r="I458" s="501" t="s">
        <v>6157</v>
      </c>
      <c r="J458" s="35" t="s">
        <v>10180</v>
      </c>
      <c r="K458" s="503"/>
      <c r="L458" s="36"/>
      <c r="M458" s="36"/>
    </row>
    <row r="459">
      <c r="A459" s="358" t="s">
        <v>10355</v>
      </c>
      <c r="B459" s="477">
        <v>7983.0</v>
      </c>
      <c r="C459" s="11" t="s">
        <v>9590</v>
      </c>
      <c r="D459" s="475">
        <v>0.78</v>
      </c>
      <c r="E459" s="475">
        <v>0.78</v>
      </c>
      <c r="F459" s="229" t="s">
        <v>1656</v>
      </c>
      <c r="G459" s="467"/>
      <c r="H459" s="501" t="s">
        <v>9848</v>
      </c>
      <c r="I459" s="501" t="s">
        <v>6157</v>
      </c>
      <c r="J459" s="35" t="s">
        <v>10181</v>
      </c>
      <c r="K459" s="503"/>
      <c r="L459" s="36"/>
      <c r="M459" s="36"/>
    </row>
    <row r="460">
      <c r="A460" s="358" t="s">
        <v>10356</v>
      </c>
      <c r="B460" s="477">
        <v>8252.0</v>
      </c>
      <c r="C460" s="11" t="s">
        <v>9590</v>
      </c>
      <c r="D460" s="475">
        <v>0.78</v>
      </c>
      <c r="E460" s="475">
        <v>0.78</v>
      </c>
      <c r="F460" s="229" t="s">
        <v>1656</v>
      </c>
      <c r="G460" s="467"/>
      <c r="H460" s="501" t="s">
        <v>9851</v>
      </c>
      <c r="I460" s="501" t="s">
        <v>6157</v>
      </c>
      <c r="J460" s="35" t="s">
        <v>10182</v>
      </c>
      <c r="K460" s="503"/>
      <c r="L460" s="36"/>
      <c r="M460" s="36"/>
    </row>
    <row r="461">
      <c r="A461" s="358" t="s">
        <v>10052</v>
      </c>
      <c r="B461" s="477">
        <v>5458.0</v>
      </c>
      <c r="C461" s="11" t="s">
        <v>9590</v>
      </c>
      <c r="D461" s="475">
        <v>0.78</v>
      </c>
      <c r="E461" s="475">
        <v>0.78</v>
      </c>
      <c r="F461" s="229" t="s">
        <v>1656</v>
      </c>
      <c r="G461" s="467"/>
      <c r="H461" s="501" t="s">
        <v>9854</v>
      </c>
      <c r="I461" s="501" t="s">
        <v>6157</v>
      </c>
      <c r="J461" s="35" t="s">
        <v>10183</v>
      </c>
      <c r="K461" s="503"/>
      <c r="L461" s="36"/>
      <c r="M461" s="36"/>
    </row>
    <row r="462">
      <c r="A462" s="358" t="s">
        <v>10240</v>
      </c>
      <c r="B462" s="477">
        <v>5458.0</v>
      </c>
      <c r="C462" s="11" t="s">
        <v>9590</v>
      </c>
      <c r="D462" s="475">
        <v>0.78</v>
      </c>
      <c r="E462" s="475">
        <v>0.78</v>
      </c>
      <c r="F462" s="229" t="s">
        <v>1656</v>
      </c>
      <c r="G462" s="467"/>
      <c r="H462" s="501" t="s">
        <v>9857</v>
      </c>
      <c r="I462" s="501" t="s">
        <v>6157</v>
      </c>
      <c r="J462" s="35" t="s">
        <v>10184</v>
      </c>
      <c r="K462" s="503"/>
      <c r="L462" s="36"/>
      <c r="M462" s="36"/>
    </row>
    <row r="463">
      <c r="A463" s="358" t="s">
        <v>10222</v>
      </c>
      <c r="B463" s="477">
        <v>7003.0</v>
      </c>
      <c r="C463" s="11" t="s">
        <v>9590</v>
      </c>
      <c r="D463" s="475">
        <v>0.78</v>
      </c>
      <c r="E463" s="475">
        <v>0.78</v>
      </c>
      <c r="F463" s="229" t="s">
        <v>1656</v>
      </c>
      <c r="G463" s="467"/>
      <c r="H463" s="501" t="s">
        <v>9859</v>
      </c>
      <c r="I463" s="501" t="s">
        <v>6157</v>
      </c>
      <c r="J463" s="35" t="s">
        <v>10185</v>
      </c>
      <c r="K463" s="503"/>
      <c r="L463" s="36"/>
      <c r="M463" s="36"/>
    </row>
    <row r="464">
      <c r="A464" s="358" t="s">
        <v>10224</v>
      </c>
      <c r="B464" s="477">
        <v>9307.0</v>
      </c>
      <c r="C464" s="11" t="s">
        <v>9590</v>
      </c>
      <c r="D464" s="475">
        <v>0.78</v>
      </c>
      <c r="E464" s="475">
        <v>0.78</v>
      </c>
      <c r="F464" s="229" t="s">
        <v>1656</v>
      </c>
      <c r="G464" s="467"/>
      <c r="H464" s="501" t="s">
        <v>9861</v>
      </c>
      <c r="I464" s="501" t="s">
        <v>6157</v>
      </c>
      <c r="J464" s="35" t="s">
        <v>10186</v>
      </c>
      <c r="K464" s="503"/>
      <c r="L464" s="36"/>
      <c r="M464" s="36"/>
    </row>
    <row r="465">
      <c r="A465" s="358" t="s">
        <v>10226</v>
      </c>
      <c r="B465" s="477">
        <v>6785.0</v>
      </c>
      <c r="C465" s="11" t="s">
        <v>9590</v>
      </c>
      <c r="D465" s="475">
        <v>0.78</v>
      </c>
      <c r="E465" s="475">
        <v>0.78</v>
      </c>
      <c r="F465" s="229" t="s">
        <v>1656</v>
      </c>
      <c r="G465" s="467"/>
      <c r="H465" s="501" t="s">
        <v>9864</v>
      </c>
      <c r="I465" s="501" t="s">
        <v>6157</v>
      </c>
      <c r="J465" s="35" t="s">
        <v>10187</v>
      </c>
      <c r="K465" s="503"/>
      <c r="L465" s="36"/>
      <c r="M465" s="36"/>
    </row>
    <row r="466">
      <c r="A466" s="358" t="s">
        <v>10228</v>
      </c>
      <c r="B466" s="477">
        <v>10141.0</v>
      </c>
      <c r="C466" s="11" t="s">
        <v>9590</v>
      </c>
      <c r="D466" s="475">
        <v>0.78</v>
      </c>
      <c r="E466" s="475">
        <v>0.78</v>
      </c>
      <c r="F466" s="229" t="s">
        <v>1656</v>
      </c>
      <c r="G466" s="467"/>
      <c r="H466" s="501" t="s">
        <v>9867</v>
      </c>
      <c r="I466" s="501" t="s">
        <v>6157</v>
      </c>
      <c r="J466" s="35" t="s">
        <v>10188</v>
      </c>
      <c r="K466" s="503"/>
      <c r="L466" s="36"/>
      <c r="M466" s="36"/>
    </row>
    <row r="467">
      <c r="A467" s="358" t="s">
        <v>10230</v>
      </c>
      <c r="B467" s="477">
        <v>6109.0</v>
      </c>
      <c r="C467" s="11" t="s">
        <v>9590</v>
      </c>
      <c r="D467" s="475">
        <v>0.78</v>
      </c>
      <c r="E467" s="475">
        <v>0.78</v>
      </c>
      <c r="F467" s="229" t="s">
        <v>1656</v>
      </c>
      <c r="G467" s="467"/>
      <c r="H467" s="501" t="s">
        <v>9870</v>
      </c>
      <c r="I467" s="501" t="s">
        <v>6157</v>
      </c>
      <c r="J467" s="35" t="s">
        <v>10189</v>
      </c>
      <c r="K467" s="503"/>
      <c r="L467" s="36"/>
      <c r="M467" s="36"/>
    </row>
    <row r="468">
      <c r="A468" s="358" t="s">
        <v>10232</v>
      </c>
      <c r="B468" s="477">
        <v>6109.0</v>
      </c>
      <c r="C468" s="11" t="s">
        <v>9590</v>
      </c>
      <c r="D468" s="475">
        <v>0.78</v>
      </c>
      <c r="E468" s="475">
        <v>0.78</v>
      </c>
      <c r="F468" s="229" t="s">
        <v>1656</v>
      </c>
      <c r="G468" s="467"/>
      <c r="H468" s="501" t="s">
        <v>9873</v>
      </c>
      <c r="I468" s="501" t="s">
        <v>6157</v>
      </c>
      <c r="J468" s="11" t="s">
        <v>10190</v>
      </c>
      <c r="K468" s="446">
        <v>6924.0</v>
      </c>
    </row>
    <row r="469">
      <c r="A469" s="358" t="s">
        <v>10234</v>
      </c>
      <c r="B469" s="477">
        <v>6109.0</v>
      </c>
      <c r="C469" s="11" t="s">
        <v>9590</v>
      </c>
      <c r="D469" s="475">
        <v>0.78</v>
      </c>
      <c r="E469" s="475">
        <v>0.78</v>
      </c>
      <c r="F469" s="229" t="s">
        <v>1656</v>
      </c>
      <c r="G469" s="467"/>
      <c r="H469" s="501" t="s">
        <v>9876</v>
      </c>
      <c r="I469" s="501" t="s">
        <v>6157</v>
      </c>
      <c r="J469" s="35" t="s">
        <v>10191</v>
      </c>
      <c r="K469" s="503"/>
      <c r="L469" s="36"/>
      <c r="M469" s="36"/>
    </row>
    <row r="470">
      <c r="A470" s="358" t="s">
        <v>10236</v>
      </c>
      <c r="B470" s="477">
        <v>6109.0</v>
      </c>
      <c r="C470" s="11" t="s">
        <v>9590</v>
      </c>
      <c r="D470" s="475">
        <v>0.78</v>
      </c>
      <c r="E470" s="475">
        <v>0.78</v>
      </c>
      <c r="F470" s="229" t="s">
        <v>1656</v>
      </c>
      <c r="G470" s="467"/>
      <c r="H470" s="501" t="s">
        <v>9879</v>
      </c>
      <c r="I470" s="501" t="s">
        <v>6157</v>
      </c>
      <c r="J470" s="35" t="s">
        <v>10192</v>
      </c>
      <c r="K470" s="503"/>
      <c r="L470" s="36"/>
      <c r="M470" s="36"/>
    </row>
    <row r="471">
      <c r="A471" s="358" t="s">
        <v>10238</v>
      </c>
      <c r="B471" s="477">
        <v>14505.0</v>
      </c>
      <c r="C471" s="11" t="s">
        <v>9590</v>
      </c>
      <c r="D471" s="475">
        <v>0.78</v>
      </c>
      <c r="E471" s="475">
        <v>0.78</v>
      </c>
      <c r="F471" s="229" t="s">
        <v>1656</v>
      </c>
      <c r="G471" s="467"/>
      <c r="H471" s="501" t="s">
        <v>9882</v>
      </c>
      <c r="I471" s="501" t="s">
        <v>6157</v>
      </c>
      <c r="J471" s="35" t="s">
        <v>10193</v>
      </c>
      <c r="K471" s="487">
        <v>10856.0</v>
      </c>
      <c r="L471" s="36"/>
      <c r="M471" s="36"/>
    </row>
    <row r="472">
      <c r="A472" s="358" t="s">
        <v>10357</v>
      </c>
      <c r="B472" s="477">
        <v>7734.0</v>
      </c>
      <c r="C472" s="11" t="s">
        <v>9590</v>
      </c>
      <c r="D472" s="475">
        <v>0.78</v>
      </c>
      <c r="E472" s="475">
        <v>0.78</v>
      </c>
      <c r="F472" s="229" t="s">
        <v>1656</v>
      </c>
      <c r="G472" s="467"/>
      <c r="H472" s="501" t="s">
        <v>9885</v>
      </c>
      <c r="I472" s="501" t="s">
        <v>6157</v>
      </c>
      <c r="J472" s="35" t="s">
        <v>10194</v>
      </c>
      <c r="K472" s="503"/>
      <c r="L472" s="36"/>
      <c r="M472" s="36"/>
    </row>
    <row r="473">
      <c r="A473" s="358" t="s">
        <v>10358</v>
      </c>
      <c r="B473" s="477">
        <v>7660.0</v>
      </c>
      <c r="C473" s="11" t="s">
        <v>9590</v>
      </c>
      <c r="D473" s="475">
        <v>0.78</v>
      </c>
      <c r="E473" s="475">
        <v>0.78</v>
      </c>
      <c r="F473" s="229" t="s">
        <v>1656</v>
      </c>
      <c r="G473" s="467"/>
      <c r="H473" s="501" t="s">
        <v>9888</v>
      </c>
      <c r="I473" s="501" t="s">
        <v>6157</v>
      </c>
      <c r="J473" s="35" t="s">
        <v>10195</v>
      </c>
      <c r="K473" s="503"/>
      <c r="L473" s="36"/>
      <c r="M473" s="36"/>
    </row>
    <row r="474">
      <c r="A474" s="358" t="s">
        <v>10359</v>
      </c>
      <c r="B474" s="477">
        <v>7699.0</v>
      </c>
      <c r="C474" s="11" t="s">
        <v>9590</v>
      </c>
      <c r="D474" s="475">
        <v>0.78</v>
      </c>
      <c r="E474" s="475">
        <v>0.78</v>
      </c>
      <c r="F474" s="229" t="s">
        <v>1656</v>
      </c>
      <c r="G474" s="467"/>
      <c r="H474" s="501" t="s">
        <v>9891</v>
      </c>
      <c r="I474" s="501" t="s">
        <v>6157</v>
      </c>
      <c r="J474" s="35" t="s">
        <v>10196</v>
      </c>
      <c r="K474" s="503"/>
      <c r="L474" s="36"/>
      <c r="M474" s="36"/>
    </row>
    <row r="475">
      <c r="A475" s="358" t="s">
        <v>10360</v>
      </c>
      <c r="B475" s="477">
        <v>7700.0</v>
      </c>
      <c r="C475" s="11" t="s">
        <v>9590</v>
      </c>
      <c r="D475" s="475">
        <v>0.78</v>
      </c>
      <c r="E475" s="475">
        <v>0.78</v>
      </c>
      <c r="F475" s="229" t="s">
        <v>1656</v>
      </c>
      <c r="G475" s="467"/>
      <c r="H475" s="501" t="s">
        <v>9894</v>
      </c>
      <c r="I475" s="501" t="s">
        <v>6157</v>
      </c>
      <c r="J475" s="35" t="s">
        <v>10197</v>
      </c>
      <c r="K475" s="503"/>
      <c r="L475" s="36"/>
      <c r="M475" s="36"/>
    </row>
    <row r="476">
      <c r="A476" s="358" t="s">
        <v>10361</v>
      </c>
      <c r="B476" s="477">
        <v>7628.0</v>
      </c>
      <c r="C476" s="11" t="s">
        <v>9590</v>
      </c>
      <c r="D476" s="475">
        <v>0.78</v>
      </c>
      <c r="E476" s="475">
        <v>0.78</v>
      </c>
      <c r="F476" s="229" t="s">
        <v>1656</v>
      </c>
      <c r="G476" s="467"/>
      <c r="H476" s="501" t="s">
        <v>9897</v>
      </c>
      <c r="I476" s="501" t="s">
        <v>6157</v>
      </c>
      <c r="J476" s="35" t="s">
        <v>10198</v>
      </c>
      <c r="K476" s="503"/>
      <c r="L476" s="36"/>
      <c r="M476" s="36"/>
    </row>
    <row r="477">
      <c r="A477" s="358" t="s">
        <v>10362</v>
      </c>
      <c r="B477" s="477">
        <v>7669.0</v>
      </c>
      <c r="C477" s="11" t="s">
        <v>9590</v>
      </c>
      <c r="D477" s="475">
        <v>0.78</v>
      </c>
      <c r="E477" s="475">
        <v>0.78</v>
      </c>
      <c r="F477" s="229" t="s">
        <v>1656</v>
      </c>
      <c r="G477" s="467"/>
      <c r="H477" s="501" t="s">
        <v>9900</v>
      </c>
      <c r="I477" s="501" t="s">
        <v>6157</v>
      </c>
      <c r="J477" s="35" t="s">
        <v>10199</v>
      </c>
      <c r="K477" s="503"/>
      <c r="L477" s="36"/>
      <c r="M477" s="36"/>
    </row>
    <row r="478">
      <c r="A478" s="358" t="s">
        <v>10363</v>
      </c>
      <c r="B478" s="477">
        <v>8623.0</v>
      </c>
      <c r="C478" s="11" t="s">
        <v>9590</v>
      </c>
      <c r="D478" s="475">
        <v>0.82</v>
      </c>
      <c r="E478" s="475">
        <v>0.82</v>
      </c>
      <c r="F478" s="229" t="s">
        <v>1656</v>
      </c>
      <c r="G478" s="467"/>
      <c r="H478" s="500" t="s">
        <v>9903</v>
      </c>
      <c r="I478" s="501" t="s">
        <v>6157</v>
      </c>
      <c r="J478" s="35" t="s">
        <v>10200</v>
      </c>
      <c r="K478" s="503"/>
      <c r="L478" s="36"/>
      <c r="M478" s="36"/>
    </row>
    <row r="479">
      <c r="A479" s="358" t="s">
        <v>10364</v>
      </c>
      <c r="B479" s="477">
        <v>7872.0</v>
      </c>
      <c r="C479" s="11" t="s">
        <v>9590</v>
      </c>
      <c r="D479" s="475">
        <v>0.78</v>
      </c>
      <c r="E479" s="475">
        <v>0.78</v>
      </c>
      <c r="F479" s="229" t="s">
        <v>1656</v>
      </c>
      <c r="G479" s="467"/>
      <c r="H479" s="500" t="s">
        <v>9906</v>
      </c>
      <c r="I479" s="501" t="s">
        <v>6157</v>
      </c>
      <c r="J479" s="35" t="s">
        <v>10201</v>
      </c>
      <c r="K479" s="487">
        <v>7083.0</v>
      </c>
      <c r="L479" s="36"/>
      <c r="M479" s="36"/>
    </row>
    <row r="480">
      <c r="A480" s="358" t="s">
        <v>10365</v>
      </c>
      <c r="B480" s="477">
        <v>7523.0</v>
      </c>
      <c r="C480" s="11" t="s">
        <v>9590</v>
      </c>
      <c r="D480" s="475">
        <v>0.78</v>
      </c>
      <c r="E480" s="475">
        <v>0.78</v>
      </c>
      <c r="F480" s="229" t="s">
        <v>1656</v>
      </c>
      <c r="G480" s="467"/>
      <c r="H480" s="500" t="s">
        <v>9909</v>
      </c>
      <c r="I480" s="501" t="s">
        <v>6157</v>
      </c>
      <c r="J480" s="35" t="s">
        <v>10202</v>
      </c>
      <c r="K480" s="487">
        <v>909.0</v>
      </c>
      <c r="L480" s="36"/>
      <c r="M480" s="36"/>
    </row>
    <row r="481">
      <c r="A481" s="358" t="s">
        <v>10366</v>
      </c>
      <c r="B481" s="477">
        <v>8484.0</v>
      </c>
      <c r="C481" s="11" t="s">
        <v>9590</v>
      </c>
      <c r="D481" s="475">
        <v>0.78</v>
      </c>
      <c r="E481" s="475">
        <v>0.78</v>
      </c>
      <c r="F481" s="229" t="s">
        <v>1656</v>
      </c>
      <c r="G481" s="467"/>
      <c r="H481" s="500" t="s">
        <v>9912</v>
      </c>
      <c r="I481" s="501" t="s">
        <v>6157</v>
      </c>
      <c r="J481" s="35" t="s">
        <v>10203</v>
      </c>
      <c r="K481" s="503"/>
      <c r="L481" s="36"/>
      <c r="M481" s="36"/>
    </row>
    <row r="482">
      <c r="A482" s="358" t="s">
        <v>10367</v>
      </c>
      <c r="B482" s="477">
        <v>7715.0</v>
      </c>
      <c r="C482" s="11" t="s">
        <v>9590</v>
      </c>
      <c r="D482" s="475">
        <v>0.78</v>
      </c>
      <c r="E482" s="475">
        <v>0.78</v>
      </c>
      <c r="F482" s="229" t="s">
        <v>1656</v>
      </c>
      <c r="G482" s="467"/>
      <c r="H482" s="500" t="s">
        <v>9915</v>
      </c>
      <c r="I482" s="501" t="s">
        <v>6157</v>
      </c>
      <c r="J482" s="35" t="s">
        <v>10204</v>
      </c>
      <c r="K482" s="503"/>
      <c r="L482" s="36"/>
      <c r="M482" s="36"/>
    </row>
    <row r="483">
      <c r="A483" s="358" t="s">
        <v>9956</v>
      </c>
      <c r="B483" s="477">
        <v>5458.0</v>
      </c>
      <c r="C483" s="11" t="s">
        <v>9590</v>
      </c>
      <c r="D483" s="475">
        <v>0.78</v>
      </c>
      <c r="E483" s="475">
        <v>0.78</v>
      </c>
      <c r="F483" s="229" t="s">
        <v>1656</v>
      </c>
      <c r="G483" s="467"/>
      <c r="H483" s="500" t="s">
        <v>9918</v>
      </c>
      <c r="I483" s="501" t="s">
        <v>6157</v>
      </c>
      <c r="J483" s="35" t="s">
        <v>10205</v>
      </c>
      <c r="K483" s="503"/>
      <c r="L483" s="36"/>
      <c r="M483" s="36"/>
    </row>
    <row r="484">
      <c r="A484" s="358" t="s">
        <v>9959</v>
      </c>
      <c r="B484" s="477">
        <v>5458.0</v>
      </c>
      <c r="C484" s="11" t="s">
        <v>9590</v>
      </c>
      <c r="D484" s="475">
        <v>0.78</v>
      </c>
      <c r="E484" s="475">
        <v>0.78</v>
      </c>
      <c r="F484" s="229" t="s">
        <v>1656</v>
      </c>
      <c r="G484" s="467"/>
      <c r="H484" s="500" t="s">
        <v>9921</v>
      </c>
      <c r="I484" s="501" t="s">
        <v>6157</v>
      </c>
      <c r="J484" s="35" t="s">
        <v>10206</v>
      </c>
      <c r="K484" s="503"/>
      <c r="L484" s="36"/>
      <c r="M484" s="36"/>
    </row>
    <row r="485">
      <c r="A485" s="358" t="s">
        <v>9962</v>
      </c>
      <c r="B485" s="477">
        <v>7181.0</v>
      </c>
      <c r="C485" s="11" t="s">
        <v>9590</v>
      </c>
      <c r="D485" s="475">
        <v>0.78</v>
      </c>
      <c r="E485" s="475">
        <v>0.78</v>
      </c>
      <c r="F485" s="229" t="s">
        <v>1656</v>
      </c>
      <c r="G485" s="467"/>
      <c r="H485" s="500" t="s">
        <v>9924</v>
      </c>
      <c r="I485" s="501" t="s">
        <v>6157</v>
      </c>
      <c r="J485" s="35" t="s">
        <v>10207</v>
      </c>
      <c r="K485" s="503"/>
      <c r="L485" s="36"/>
      <c r="M485" s="36"/>
    </row>
    <row r="486">
      <c r="A486" s="358" t="s">
        <v>9965</v>
      </c>
      <c r="B486" s="477">
        <v>5458.0</v>
      </c>
      <c r="C486" s="11" t="s">
        <v>9590</v>
      </c>
      <c r="D486" s="475">
        <v>0.78</v>
      </c>
      <c r="E486" s="475">
        <v>0.78</v>
      </c>
      <c r="F486" s="229" t="s">
        <v>1656</v>
      </c>
      <c r="G486" s="467"/>
      <c r="H486" s="500" t="s">
        <v>9927</v>
      </c>
      <c r="I486" s="501" t="s">
        <v>6157</v>
      </c>
      <c r="J486" s="35" t="s">
        <v>10208</v>
      </c>
      <c r="K486" s="503"/>
      <c r="L486" s="36"/>
      <c r="M486" s="36"/>
    </row>
    <row r="487">
      <c r="A487" s="358" t="s">
        <v>9968</v>
      </c>
      <c r="B487" s="477">
        <v>6675.0</v>
      </c>
      <c r="C487" s="11" t="s">
        <v>9590</v>
      </c>
      <c r="D487" s="74">
        <v>0.9</v>
      </c>
      <c r="E487" s="74">
        <v>0.9</v>
      </c>
      <c r="F487" s="229" t="s">
        <v>1656</v>
      </c>
      <c r="G487" s="467"/>
      <c r="H487" s="500" t="s">
        <v>9930</v>
      </c>
      <c r="I487" s="501" t="s">
        <v>6157</v>
      </c>
      <c r="J487" s="35" t="s">
        <v>10209</v>
      </c>
      <c r="K487" s="503"/>
      <c r="L487" s="36"/>
      <c r="M487" s="36"/>
    </row>
    <row r="488">
      <c r="A488" s="358" t="s">
        <v>9971</v>
      </c>
      <c r="B488" s="477">
        <v>6831.0</v>
      </c>
      <c r="C488" s="11" t="s">
        <v>9590</v>
      </c>
      <c r="D488" s="475">
        <v>0.78</v>
      </c>
      <c r="E488" s="475">
        <v>0.78</v>
      </c>
      <c r="F488" s="229" t="s">
        <v>1656</v>
      </c>
      <c r="G488" s="467"/>
      <c r="H488" s="501" t="s">
        <v>9933</v>
      </c>
      <c r="I488" s="501" t="s">
        <v>6157</v>
      </c>
      <c r="J488" s="35" t="s">
        <v>10210</v>
      </c>
      <c r="K488" s="503"/>
      <c r="L488" s="36"/>
      <c r="M488" s="36"/>
    </row>
    <row r="489">
      <c r="A489" s="358" t="s">
        <v>9974</v>
      </c>
      <c r="B489" s="477">
        <v>499.0</v>
      </c>
      <c r="C489" s="11" t="s">
        <v>9590</v>
      </c>
      <c r="D489" s="475">
        <v>0.78</v>
      </c>
      <c r="E489" s="475">
        <v>0.78</v>
      </c>
      <c r="F489" s="229" t="s">
        <v>1656</v>
      </c>
      <c r="G489" s="467"/>
      <c r="H489" s="501" t="s">
        <v>9936</v>
      </c>
      <c r="I489" s="501" t="s">
        <v>6157</v>
      </c>
      <c r="J489" s="35" t="s">
        <v>10211</v>
      </c>
      <c r="K489" s="503"/>
      <c r="L489" s="36"/>
      <c r="M489" s="36"/>
    </row>
    <row r="490">
      <c r="A490" s="358" t="s">
        <v>9977</v>
      </c>
      <c r="B490" s="477">
        <v>6831.0</v>
      </c>
      <c r="C490" s="11" t="s">
        <v>9590</v>
      </c>
      <c r="D490" s="475">
        <v>0.78</v>
      </c>
      <c r="E490" s="475">
        <v>0.78</v>
      </c>
      <c r="F490" s="229" t="s">
        <v>1656</v>
      </c>
      <c r="G490" s="467"/>
      <c r="H490" s="501" t="s">
        <v>9939</v>
      </c>
      <c r="I490" s="501" t="s">
        <v>6157</v>
      </c>
      <c r="J490" s="35" t="s">
        <v>10212</v>
      </c>
      <c r="K490" s="487">
        <v>7083.0</v>
      </c>
      <c r="L490" s="36"/>
      <c r="M490" s="36"/>
    </row>
    <row r="491">
      <c r="A491" s="358" t="s">
        <v>9980</v>
      </c>
      <c r="B491" s="477">
        <v>14593.0</v>
      </c>
      <c r="C491" s="11" t="s">
        <v>9590</v>
      </c>
      <c r="D491" s="475">
        <v>0.78</v>
      </c>
      <c r="E491" s="475">
        <v>0.78</v>
      </c>
      <c r="F491" s="229" t="s">
        <v>1656</v>
      </c>
      <c r="G491" s="467"/>
      <c r="H491" s="501" t="s">
        <v>9942</v>
      </c>
      <c r="I491" s="501" t="s">
        <v>6157</v>
      </c>
      <c r="J491" s="35" t="s">
        <v>10213</v>
      </c>
      <c r="K491" s="487">
        <v>7083.0</v>
      </c>
      <c r="L491" s="36"/>
      <c r="M491" s="36"/>
    </row>
    <row r="492">
      <c r="A492" s="358" t="s">
        <v>9983</v>
      </c>
      <c r="B492" s="477">
        <v>6109.0</v>
      </c>
      <c r="C492" s="11" t="s">
        <v>9590</v>
      </c>
      <c r="D492" s="475">
        <v>0.78</v>
      </c>
      <c r="E492" s="475">
        <v>0.78</v>
      </c>
      <c r="F492" s="229" t="s">
        <v>1656</v>
      </c>
      <c r="G492" s="467"/>
      <c r="H492" s="501" t="s">
        <v>9945</v>
      </c>
      <c r="I492" s="501" t="s">
        <v>6157</v>
      </c>
      <c r="J492" s="35" t="s">
        <v>10214</v>
      </c>
      <c r="K492" s="487">
        <v>14337.0</v>
      </c>
      <c r="L492" s="36"/>
      <c r="M492" s="36"/>
    </row>
    <row r="493">
      <c r="A493" s="358" t="s">
        <v>9986</v>
      </c>
      <c r="B493" s="477">
        <v>11104.0</v>
      </c>
      <c r="C493" s="11" t="s">
        <v>9590</v>
      </c>
      <c r="D493" s="475">
        <v>0.78</v>
      </c>
      <c r="E493" s="475">
        <v>0.78</v>
      </c>
      <c r="F493" s="229" t="s">
        <v>1656</v>
      </c>
      <c r="G493" s="467"/>
      <c r="H493" s="501" t="s">
        <v>9948</v>
      </c>
      <c r="I493" s="501" t="s">
        <v>6157</v>
      </c>
      <c r="J493" s="35" t="s">
        <v>10215</v>
      </c>
      <c r="K493" s="487">
        <v>7083.0</v>
      </c>
      <c r="L493" s="36"/>
      <c r="M493" s="36"/>
    </row>
    <row r="494">
      <c r="A494" s="358" t="s">
        <v>9989</v>
      </c>
      <c r="B494" s="477">
        <v>8002.0</v>
      </c>
      <c r="C494" s="11" t="s">
        <v>9590</v>
      </c>
      <c r="D494" s="475">
        <v>0.78</v>
      </c>
      <c r="E494" s="475">
        <v>0.78</v>
      </c>
      <c r="F494" s="229" t="s">
        <v>1656</v>
      </c>
      <c r="G494" s="467"/>
      <c r="H494" s="501" t="s">
        <v>9951</v>
      </c>
      <c r="I494" s="501" t="s">
        <v>6157</v>
      </c>
      <c r="J494" s="35" t="s">
        <v>10216</v>
      </c>
      <c r="K494" s="487">
        <v>6928.0</v>
      </c>
      <c r="L494" s="36"/>
      <c r="M494" s="36"/>
    </row>
    <row r="495">
      <c r="A495" s="358" t="s">
        <v>9992</v>
      </c>
      <c r="B495" s="477">
        <v>14734.0</v>
      </c>
      <c r="C495" s="11" t="s">
        <v>9590</v>
      </c>
      <c r="D495" s="475">
        <v>0.78</v>
      </c>
      <c r="E495" s="475">
        <v>0.78</v>
      </c>
      <c r="F495" s="229" t="s">
        <v>1656</v>
      </c>
      <c r="G495" s="467"/>
      <c r="H495" s="501" t="s">
        <v>9954</v>
      </c>
      <c r="I495" s="501" t="s">
        <v>6157</v>
      </c>
      <c r="J495" s="11" t="s">
        <v>10218</v>
      </c>
      <c r="K495" s="446">
        <v>6939.0</v>
      </c>
    </row>
    <row r="496">
      <c r="A496" s="358" t="s">
        <v>9995</v>
      </c>
      <c r="B496" s="477">
        <v>7877.0</v>
      </c>
      <c r="C496" s="11" t="s">
        <v>9590</v>
      </c>
      <c r="D496" s="475">
        <v>0.78</v>
      </c>
      <c r="E496" s="475">
        <v>0.78</v>
      </c>
      <c r="F496" s="229" t="s">
        <v>1656</v>
      </c>
      <c r="G496" s="467"/>
      <c r="H496" s="501" t="s">
        <v>9957</v>
      </c>
      <c r="I496" s="501" t="s">
        <v>6157</v>
      </c>
      <c r="J496" s="35" t="s">
        <v>10220</v>
      </c>
      <c r="K496" s="487">
        <v>6939.0</v>
      </c>
      <c r="L496" s="36"/>
      <c r="M496" s="36"/>
    </row>
    <row r="497">
      <c r="A497" s="358" t="s">
        <v>9998</v>
      </c>
      <c r="B497" s="477">
        <v>7877.0</v>
      </c>
      <c r="C497" s="11" t="s">
        <v>9590</v>
      </c>
      <c r="D497" s="475">
        <v>0.78</v>
      </c>
      <c r="E497" s="475">
        <v>0.78</v>
      </c>
      <c r="F497" s="229" t="s">
        <v>1656</v>
      </c>
      <c r="G497" s="467"/>
      <c r="H497" s="501" t="s">
        <v>9960</v>
      </c>
      <c r="I497" s="501" t="s">
        <v>6157</v>
      </c>
      <c r="J497" s="35" t="s">
        <v>10222</v>
      </c>
      <c r="K497" s="487">
        <v>7003.0</v>
      </c>
      <c r="M497" s="244" t="s">
        <v>9593</v>
      </c>
    </row>
    <row r="498">
      <c r="A498" s="358" t="s">
        <v>10001</v>
      </c>
      <c r="B498" s="477">
        <v>6668.0</v>
      </c>
      <c r="C498" s="11" t="s">
        <v>9590</v>
      </c>
      <c r="D498" s="475">
        <v>0.78</v>
      </c>
      <c r="E498" s="475">
        <v>0.78</v>
      </c>
      <c r="F498" s="229" t="s">
        <v>1656</v>
      </c>
      <c r="G498" s="467"/>
      <c r="H498" s="501" t="s">
        <v>9963</v>
      </c>
      <c r="I498" s="501" t="s">
        <v>6157</v>
      </c>
      <c r="J498" s="35" t="s">
        <v>10224</v>
      </c>
      <c r="K498" s="487">
        <v>9307.0</v>
      </c>
      <c r="L498" s="36"/>
      <c r="M498" s="246" t="s">
        <v>9593</v>
      </c>
    </row>
    <row r="499">
      <c r="A499" s="358" t="s">
        <v>10004</v>
      </c>
      <c r="B499" s="477">
        <v>6671.0</v>
      </c>
      <c r="C499" s="11" t="s">
        <v>9590</v>
      </c>
      <c r="D499" s="475">
        <v>0.82</v>
      </c>
      <c r="E499" s="475">
        <v>0.82</v>
      </c>
      <c r="F499" s="229" t="s">
        <v>1656</v>
      </c>
      <c r="G499" s="467"/>
      <c r="H499" s="501" t="s">
        <v>9966</v>
      </c>
      <c r="I499" s="501" t="s">
        <v>6157</v>
      </c>
      <c r="J499" s="35" t="s">
        <v>10226</v>
      </c>
      <c r="K499" s="446">
        <v>6785.0</v>
      </c>
      <c r="M499" s="244" t="s">
        <v>9593</v>
      </c>
    </row>
    <row r="500">
      <c r="A500" s="358" t="s">
        <v>10007</v>
      </c>
      <c r="B500" s="477">
        <v>6671.0</v>
      </c>
      <c r="C500" s="11" t="s">
        <v>9590</v>
      </c>
      <c r="D500" s="475">
        <v>0.82</v>
      </c>
      <c r="E500" s="475">
        <v>0.82</v>
      </c>
      <c r="F500" s="229" t="s">
        <v>1656</v>
      </c>
      <c r="G500" s="467"/>
      <c r="H500" s="501" t="s">
        <v>9969</v>
      </c>
      <c r="I500" s="501" t="s">
        <v>6157</v>
      </c>
      <c r="J500" s="35" t="s">
        <v>10228</v>
      </c>
      <c r="K500" s="446">
        <v>10141.0</v>
      </c>
      <c r="M500" s="244" t="s">
        <v>9593</v>
      </c>
    </row>
    <row r="501">
      <c r="A501" s="358" t="s">
        <v>10010</v>
      </c>
      <c r="B501" s="477">
        <v>5458.0</v>
      </c>
      <c r="C501" s="11" t="s">
        <v>9590</v>
      </c>
      <c r="D501" s="475">
        <v>0.78</v>
      </c>
      <c r="E501" s="475">
        <v>0.78</v>
      </c>
      <c r="F501" s="229" t="s">
        <v>1656</v>
      </c>
      <c r="G501" s="467"/>
      <c r="H501" s="501" t="s">
        <v>9972</v>
      </c>
      <c r="I501" s="501" t="s">
        <v>6157</v>
      </c>
      <c r="J501" s="35" t="s">
        <v>10230</v>
      </c>
      <c r="K501" s="487">
        <v>6109.0</v>
      </c>
      <c r="L501" s="36"/>
      <c r="M501" s="246" t="s">
        <v>9593</v>
      </c>
    </row>
    <row r="502">
      <c r="A502" s="358" t="s">
        <v>10013</v>
      </c>
      <c r="B502" s="477">
        <v>5458.0</v>
      </c>
      <c r="C502" s="11" t="s">
        <v>9590</v>
      </c>
      <c r="D502" s="475">
        <v>0.78</v>
      </c>
      <c r="E502" s="475">
        <v>0.78</v>
      </c>
      <c r="F502" s="229" t="s">
        <v>1656</v>
      </c>
      <c r="G502" s="467"/>
      <c r="H502" s="501" t="s">
        <v>9975</v>
      </c>
      <c r="I502" s="501" t="s">
        <v>6157</v>
      </c>
      <c r="J502" s="35" t="s">
        <v>10232</v>
      </c>
      <c r="K502" s="446">
        <v>6109.0</v>
      </c>
      <c r="M502" s="244" t="s">
        <v>9593</v>
      </c>
    </row>
    <row r="503">
      <c r="A503" s="358" t="s">
        <v>10016</v>
      </c>
      <c r="B503" s="477">
        <v>7055.0</v>
      </c>
      <c r="C503" s="11" t="s">
        <v>9590</v>
      </c>
      <c r="D503" s="475">
        <v>0.78</v>
      </c>
      <c r="E503" s="475">
        <v>0.78</v>
      </c>
      <c r="F503" s="229" t="s">
        <v>1656</v>
      </c>
      <c r="G503" s="467"/>
      <c r="H503" s="501" t="s">
        <v>9978</v>
      </c>
      <c r="I503" s="501" t="s">
        <v>6157</v>
      </c>
      <c r="J503" s="35" t="s">
        <v>10234</v>
      </c>
      <c r="K503" s="487">
        <v>6109.0</v>
      </c>
      <c r="L503" s="36"/>
      <c r="M503" s="246" t="s">
        <v>9593</v>
      </c>
    </row>
    <row r="504">
      <c r="A504" s="358" t="s">
        <v>10019</v>
      </c>
      <c r="B504" s="477">
        <v>9363.0</v>
      </c>
      <c r="C504" s="11" t="s">
        <v>9590</v>
      </c>
      <c r="D504" s="475">
        <v>0.78</v>
      </c>
      <c r="E504" s="475">
        <v>0.78</v>
      </c>
      <c r="F504" s="229" t="s">
        <v>1656</v>
      </c>
      <c r="G504" s="467"/>
      <c r="H504" s="501" t="s">
        <v>9981</v>
      </c>
      <c r="I504" s="501" t="s">
        <v>6157</v>
      </c>
      <c r="J504" s="35" t="s">
        <v>10236</v>
      </c>
      <c r="K504" s="487">
        <v>6109.0</v>
      </c>
      <c r="L504" s="36"/>
      <c r="M504" s="246" t="s">
        <v>9593</v>
      </c>
    </row>
    <row r="505">
      <c r="A505" s="358" t="s">
        <v>10022</v>
      </c>
      <c r="B505" s="477">
        <v>7648.0</v>
      </c>
      <c r="C505" s="11" t="s">
        <v>9590</v>
      </c>
      <c r="D505" s="475">
        <v>0.78</v>
      </c>
      <c r="E505" s="475">
        <v>0.78</v>
      </c>
      <c r="F505" s="229" t="s">
        <v>1656</v>
      </c>
      <c r="G505" s="467"/>
      <c r="H505" s="501" t="s">
        <v>9984</v>
      </c>
      <c r="I505" s="501" t="s">
        <v>6157</v>
      </c>
      <c r="J505" s="35" t="s">
        <v>10238</v>
      </c>
      <c r="K505" s="487">
        <v>6109.0</v>
      </c>
      <c r="L505" s="36"/>
      <c r="M505" s="246" t="s">
        <v>9593</v>
      </c>
    </row>
    <row r="506">
      <c r="A506" s="358" t="s">
        <v>10025</v>
      </c>
      <c r="B506" s="477">
        <v>6675.0</v>
      </c>
      <c r="C506" s="11" t="s">
        <v>9590</v>
      </c>
      <c r="D506" s="74">
        <v>0.9</v>
      </c>
      <c r="E506" s="74">
        <v>0.9</v>
      </c>
      <c r="F506" s="229" t="s">
        <v>1656</v>
      </c>
      <c r="G506" s="467"/>
      <c r="H506" s="501" t="s">
        <v>9987</v>
      </c>
      <c r="I506" s="501" t="s">
        <v>6157</v>
      </c>
      <c r="J506" s="35" t="s">
        <v>10240</v>
      </c>
      <c r="K506" s="487">
        <v>5458.0</v>
      </c>
      <c r="L506" s="36"/>
      <c r="M506" s="246" t="s">
        <v>9593</v>
      </c>
    </row>
    <row r="507">
      <c r="A507" s="358" t="s">
        <v>10028</v>
      </c>
      <c r="B507" s="477">
        <v>7877.0</v>
      </c>
      <c r="C507" s="11" t="s">
        <v>9590</v>
      </c>
      <c r="D507" s="475">
        <v>0.78</v>
      </c>
      <c r="E507" s="475">
        <v>0.78</v>
      </c>
      <c r="F507" s="229" t="s">
        <v>1656</v>
      </c>
      <c r="G507" s="467"/>
      <c r="H507" s="501" t="s">
        <v>9990</v>
      </c>
      <c r="I507" s="501" t="s">
        <v>6157</v>
      </c>
      <c r="J507" s="35" t="s">
        <v>10121</v>
      </c>
      <c r="K507" s="487">
        <v>467.0</v>
      </c>
      <c r="L507" s="36"/>
      <c r="M507" s="36"/>
    </row>
    <row r="508">
      <c r="A508" s="358" t="s">
        <v>10031</v>
      </c>
      <c r="B508" s="477">
        <v>7877.0</v>
      </c>
      <c r="C508" s="11" t="s">
        <v>9590</v>
      </c>
      <c r="D508" s="475">
        <v>0.78</v>
      </c>
      <c r="E508" s="475">
        <v>0.78</v>
      </c>
      <c r="F508" s="229" t="s">
        <v>1656</v>
      </c>
      <c r="G508" s="467"/>
      <c r="H508" s="501" t="s">
        <v>9993</v>
      </c>
      <c r="I508" s="501" t="s">
        <v>6157</v>
      </c>
      <c r="J508" s="35" t="s">
        <v>10123</v>
      </c>
      <c r="K508" s="503"/>
      <c r="L508" s="36"/>
      <c r="M508" s="36"/>
    </row>
    <row r="509">
      <c r="A509" s="358" t="s">
        <v>10034</v>
      </c>
      <c r="B509" s="477">
        <v>7246.0</v>
      </c>
      <c r="C509" s="11" t="s">
        <v>9590</v>
      </c>
      <c r="D509" s="475">
        <v>0.78</v>
      </c>
      <c r="E509" s="475">
        <v>0.78</v>
      </c>
      <c r="F509" s="229" t="s">
        <v>1656</v>
      </c>
      <c r="G509" s="467"/>
      <c r="H509" s="501" t="s">
        <v>9996</v>
      </c>
      <c r="I509" s="501" t="s">
        <v>6157</v>
      </c>
      <c r="J509" s="35" t="s">
        <v>10125</v>
      </c>
      <c r="K509" s="487">
        <v>4431.0</v>
      </c>
      <c r="L509" s="36"/>
      <c r="M509" s="36"/>
    </row>
    <row r="510">
      <c r="A510" s="358" t="s">
        <v>10037</v>
      </c>
      <c r="B510" s="477">
        <v>7877.0</v>
      </c>
      <c r="C510" s="11" t="s">
        <v>9590</v>
      </c>
      <c r="D510" s="475">
        <v>0.78</v>
      </c>
      <c r="E510" s="475">
        <v>0.78</v>
      </c>
      <c r="F510" s="229" t="s">
        <v>1656</v>
      </c>
      <c r="G510" s="467"/>
      <c r="H510" s="501" t="s">
        <v>9999</v>
      </c>
      <c r="I510" s="501" t="s">
        <v>6157</v>
      </c>
      <c r="J510" s="35" t="s">
        <v>10127</v>
      </c>
      <c r="K510" s="487">
        <v>6697.0</v>
      </c>
      <c r="L510" s="36"/>
      <c r="M510" s="36"/>
    </row>
    <row r="511">
      <c r="A511" s="358" t="s">
        <v>10040</v>
      </c>
      <c r="B511" s="477">
        <v>7877.0</v>
      </c>
      <c r="C511" s="11" t="s">
        <v>9590</v>
      </c>
      <c r="D511" s="475">
        <v>0.78</v>
      </c>
      <c r="E511" s="475">
        <v>0.78</v>
      </c>
      <c r="F511" s="229" t="s">
        <v>1656</v>
      </c>
      <c r="G511" s="467"/>
      <c r="H511" s="501" t="s">
        <v>10002</v>
      </c>
      <c r="I511" s="501" t="s">
        <v>6157</v>
      </c>
      <c r="J511" s="35" t="s">
        <v>10129</v>
      </c>
      <c r="K511" s="487">
        <v>6697.0</v>
      </c>
      <c r="L511" s="36"/>
      <c r="M511" s="36"/>
    </row>
    <row r="512">
      <c r="A512" s="358" t="s">
        <v>10368</v>
      </c>
      <c r="B512" s="477">
        <v>8096.0</v>
      </c>
      <c r="C512" s="11" t="s">
        <v>9590</v>
      </c>
      <c r="D512" s="475">
        <v>0.78</v>
      </c>
      <c r="E512" s="475">
        <v>0.78</v>
      </c>
      <c r="F512" s="229" t="s">
        <v>1656</v>
      </c>
      <c r="G512" s="467"/>
      <c r="H512" s="501" t="s">
        <v>10005</v>
      </c>
      <c r="I512" s="501" t="s">
        <v>6157</v>
      </c>
      <c r="J512" s="35" t="s">
        <v>10131</v>
      </c>
      <c r="K512" s="487">
        <v>6697.0</v>
      </c>
      <c r="L512" s="36"/>
      <c r="M512" s="36"/>
    </row>
    <row r="513">
      <c r="A513" s="358" t="s">
        <v>10043</v>
      </c>
      <c r="B513" s="477">
        <v>7877.0</v>
      </c>
      <c r="C513" s="11" t="s">
        <v>9590</v>
      </c>
      <c r="D513" s="475">
        <v>0.78</v>
      </c>
      <c r="E513" s="475">
        <v>0.78</v>
      </c>
      <c r="F513" s="229" t="s">
        <v>1656</v>
      </c>
      <c r="G513" s="467"/>
      <c r="H513" s="501" t="s">
        <v>10008</v>
      </c>
      <c r="I513" s="501" t="s">
        <v>6157</v>
      </c>
      <c r="J513" s="35" t="s">
        <v>10133</v>
      </c>
      <c r="K513" s="503"/>
      <c r="L513" s="36"/>
      <c r="M513" s="36"/>
    </row>
    <row r="514">
      <c r="A514" s="358" t="s">
        <v>10046</v>
      </c>
      <c r="B514" s="477">
        <v>7877.0</v>
      </c>
      <c r="C514" s="11" t="s">
        <v>9590</v>
      </c>
      <c r="D514" s="475">
        <v>0.78</v>
      </c>
      <c r="E514" s="475">
        <v>0.78</v>
      </c>
      <c r="F514" s="229" t="s">
        <v>1656</v>
      </c>
      <c r="G514" s="467"/>
      <c r="H514" s="501" t="s">
        <v>10011</v>
      </c>
      <c r="I514" s="501" t="s">
        <v>6157</v>
      </c>
      <c r="J514" s="35" t="s">
        <v>10135</v>
      </c>
      <c r="K514" s="487">
        <v>14420.0</v>
      </c>
      <c r="L514" s="36"/>
      <c r="M514" s="36"/>
    </row>
    <row r="515">
      <c r="A515" s="358" t="s">
        <v>10049</v>
      </c>
      <c r="B515" s="477">
        <v>7877.0</v>
      </c>
      <c r="C515" s="11" t="s">
        <v>9590</v>
      </c>
      <c r="D515" s="475">
        <v>0.78</v>
      </c>
      <c r="E515" s="475">
        <v>0.78</v>
      </c>
      <c r="F515" s="229" t="s">
        <v>1656</v>
      </c>
      <c r="G515" s="467"/>
      <c r="H515" s="501" t="s">
        <v>10014</v>
      </c>
      <c r="I515" s="501" t="s">
        <v>6157</v>
      </c>
      <c r="J515" s="35" t="s">
        <v>10137</v>
      </c>
      <c r="K515" s="487">
        <v>14420.0</v>
      </c>
      <c r="L515" s="36"/>
      <c r="M515" s="36"/>
    </row>
    <row r="516">
      <c r="A516" s="358" t="s">
        <v>9863</v>
      </c>
      <c r="B516" s="477">
        <v>6675.0</v>
      </c>
      <c r="C516" s="11" t="s">
        <v>9590</v>
      </c>
      <c r="D516" s="74">
        <v>0.9</v>
      </c>
      <c r="E516" s="74">
        <v>0.9</v>
      </c>
      <c r="F516" s="229" t="s">
        <v>1656</v>
      </c>
      <c r="G516" s="467"/>
      <c r="H516" s="501" t="s">
        <v>10017</v>
      </c>
      <c r="I516" s="501" t="s">
        <v>6157</v>
      </c>
      <c r="J516" s="35" t="s">
        <v>10139</v>
      </c>
      <c r="K516" s="487">
        <v>14420.0</v>
      </c>
      <c r="L516" s="36"/>
      <c r="M516" s="36"/>
    </row>
    <row r="517">
      <c r="A517" s="358" t="s">
        <v>9866</v>
      </c>
      <c r="B517" s="477">
        <v>6671.0</v>
      </c>
      <c r="C517" s="11" t="s">
        <v>9590</v>
      </c>
      <c r="D517" s="475">
        <v>0.82</v>
      </c>
      <c r="E517" s="475">
        <v>0.82</v>
      </c>
      <c r="F517" s="229" t="s">
        <v>1656</v>
      </c>
      <c r="G517" s="467"/>
      <c r="H517" s="501" t="s">
        <v>10020</v>
      </c>
      <c r="I517" s="501" t="s">
        <v>6157</v>
      </c>
      <c r="J517" s="35" t="s">
        <v>10141</v>
      </c>
      <c r="K517" s="503"/>
      <c r="L517" s="36"/>
      <c r="M517" s="36"/>
    </row>
    <row r="518">
      <c r="A518" s="358" t="s">
        <v>9884</v>
      </c>
      <c r="B518" s="477">
        <v>7877.0</v>
      </c>
      <c r="C518" s="11" t="s">
        <v>9590</v>
      </c>
      <c r="D518" s="475">
        <v>0.78</v>
      </c>
      <c r="E518" s="475">
        <v>0.78</v>
      </c>
      <c r="F518" s="229" t="s">
        <v>1656</v>
      </c>
      <c r="G518" s="467"/>
      <c r="H518" s="505" t="s">
        <v>10023</v>
      </c>
      <c r="I518" s="501" t="s">
        <v>6157</v>
      </c>
      <c r="J518" s="35" t="s">
        <v>10143</v>
      </c>
      <c r="K518" s="503"/>
      <c r="L518" s="36"/>
      <c r="M518" s="36"/>
    </row>
    <row r="519">
      <c r="A519" s="358" t="s">
        <v>9887</v>
      </c>
      <c r="B519" s="477">
        <v>7251.0</v>
      </c>
      <c r="C519" s="11" t="s">
        <v>9590</v>
      </c>
      <c r="D519" s="475">
        <v>0.78</v>
      </c>
      <c r="E519" s="475">
        <v>0.78</v>
      </c>
      <c r="F519" s="229" t="s">
        <v>1656</v>
      </c>
      <c r="G519" s="467"/>
      <c r="H519" s="505" t="s">
        <v>10026</v>
      </c>
      <c r="I519" s="501" t="s">
        <v>6157</v>
      </c>
      <c r="J519" s="35" t="s">
        <v>10145</v>
      </c>
      <c r="K519" s="503"/>
      <c r="L519" s="36"/>
      <c r="M519" s="36"/>
    </row>
    <row r="520">
      <c r="A520" s="358" t="s">
        <v>9890</v>
      </c>
      <c r="B520" s="477">
        <v>7157.0</v>
      </c>
      <c r="C520" s="11" t="s">
        <v>9590</v>
      </c>
      <c r="D520" s="475">
        <v>0.78</v>
      </c>
      <c r="E520" s="475">
        <v>0.78</v>
      </c>
      <c r="F520" s="229" t="s">
        <v>1656</v>
      </c>
      <c r="G520" s="467"/>
      <c r="H520" s="505" t="s">
        <v>10029</v>
      </c>
      <c r="I520" s="501" t="s">
        <v>6157</v>
      </c>
      <c r="J520" s="35" t="s">
        <v>10147</v>
      </c>
      <c r="K520" s="11">
        <v>14267.0</v>
      </c>
      <c r="L520" s="36"/>
      <c r="M520" s="36"/>
    </row>
    <row r="521">
      <c r="A521" s="358" t="s">
        <v>9893</v>
      </c>
      <c r="B521" s="477">
        <v>7877.0</v>
      </c>
      <c r="C521" s="11" t="s">
        <v>9590</v>
      </c>
      <c r="D521" s="475">
        <v>0.78</v>
      </c>
      <c r="E521" s="475">
        <v>0.78</v>
      </c>
      <c r="F521" s="229" t="s">
        <v>1656</v>
      </c>
      <c r="G521" s="467"/>
      <c r="H521" s="505" t="s">
        <v>10032</v>
      </c>
      <c r="I521" s="501" t="s">
        <v>6157</v>
      </c>
      <c r="J521" s="35" t="s">
        <v>10149</v>
      </c>
      <c r="K521" s="11">
        <v>14267.0</v>
      </c>
      <c r="L521" s="36"/>
      <c r="M521" s="36"/>
    </row>
    <row r="522">
      <c r="A522" s="358" t="s">
        <v>9896</v>
      </c>
      <c r="B522" s="477">
        <v>7877.0</v>
      </c>
      <c r="C522" s="11" t="s">
        <v>9590</v>
      </c>
      <c r="D522" s="475">
        <v>0.78</v>
      </c>
      <c r="E522" s="475">
        <v>0.78</v>
      </c>
      <c r="F522" s="229" t="s">
        <v>1656</v>
      </c>
      <c r="G522" s="467"/>
      <c r="H522" s="505" t="s">
        <v>10035</v>
      </c>
      <c r="I522" s="501" t="s">
        <v>6157</v>
      </c>
      <c r="J522" s="35" t="s">
        <v>10151</v>
      </c>
      <c r="K522" s="503"/>
      <c r="L522" s="36"/>
      <c r="M522" s="36"/>
    </row>
    <row r="523">
      <c r="A523" s="358" t="s">
        <v>9899</v>
      </c>
      <c r="B523" s="477">
        <v>7877.0</v>
      </c>
      <c r="C523" s="11" t="s">
        <v>9590</v>
      </c>
      <c r="D523" s="475">
        <v>0.78</v>
      </c>
      <c r="E523" s="475">
        <v>0.78</v>
      </c>
      <c r="F523" s="229" t="s">
        <v>1656</v>
      </c>
      <c r="G523" s="467"/>
      <c r="H523" s="505" t="s">
        <v>10038</v>
      </c>
      <c r="I523" s="501" t="s">
        <v>6157</v>
      </c>
      <c r="J523" s="35" t="s">
        <v>10153</v>
      </c>
      <c r="K523" s="487">
        <v>189.0</v>
      </c>
      <c r="L523" s="36"/>
      <c r="M523" s="36"/>
    </row>
    <row r="524">
      <c r="A524" s="358" t="s">
        <v>9902</v>
      </c>
      <c r="B524" s="477">
        <v>7877.0</v>
      </c>
      <c r="C524" s="11" t="s">
        <v>9590</v>
      </c>
      <c r="D524" s="475">
        <v>0.78</v>
      </c>
      <c r="E524" s="475">
        <v>0.78</v>
      </c>
      <c r="F524" s="229" t="s">
        <v>1656</v>
      </c>
      <c r="G524" s="467"/>
      <c r="H524" s="506" t="s">
        <v>10041</v>
      </c>
      <c r="I524" s="501" t="s">
        <v>6157</v>
      </c>
      <c r="J524" s="35" t="s">
        <v>10155</v>
      </c>
      <c r="K524" s="487">
        <v>189.0</v>
      </c>
      <c r="L524" s="36"/>
      <c r="M524" s="36"/>
    </row>
    <row r="525">
      <c r="A525" s="358" t="s">
        <v>9869</v>
      </c>
      <c r="B525" s="477">
        <v>189.0</v>
      </c>
      <c r="C525" s="11" t="s">
        <v>9590</v>
      </c>
      <c r="D525" s="475">
        <v>0.91</v>
      </c>
      <c r="E525" s="475">
        <v>0.91</v>
      </c>
      <c r="F525" s="229" t="s">
        <v>1656</v>
      </c>
      <c r="G525" s="467"/>
      <c r="H525" s="506" t="s">
        <v>10044</v>
      </c>
      <c r="I525" s="501" t="s">
        <v>6157</v>
      </c>
      <c r="J525" s="35" t="s">
        <v>10157</v>
      </c>
      <c r="K525" s="17"/>
      <c r="L525" s="36"/>
      <c r="M525" s="36"/>
    </row>
    <row r="526">
      <c r="A526" s="358" t="s">
        <v>9905</v>
      </c>
      <c r="B526" s="477">
        <v>6675.0</v>
      </c>
      <c r="C526" s="11" t="s">
        <v>9590</v>
      </c>
      <c r="D526" s="74">
        <v>0.9</v>
      </c>
      <c r="E526" s="74">
        <v>0.9</v>
      </c>
      <c r="F526" s="229" t="s">
        <v>1656</v>
      </c>
      <c r="G526" s="467"/>
      <c r="H526" s="506" t="s">
        <v>10047</v>
      </c>
      <c r="I526" s="501" t="s">
        <v>6157</v>
      </c>
      <c r="J526" s="35" t="s">
        <v>10159</v>
      </c>
      <c r="K526" s="487">
        <v>6893.0</v>
      </c>
      <c r="L526" s="36"/>
      <c r="M526" s="36"/>
    </row>
    <row r="527">
      <c r="A527" s="358" t="s">
        <v>9908</v>
      </c>
      <c r="B527" s="477">
        <v>195.0</v>
      </c>
      <c r="C527" s="11" t="s">
        <v>9590</v>
      </c>
      <c r="D527" s="475">
        <v>0.78</v>
      </c>
      <c r="E527" s="475">
        <v>0.78</v>
      </c>
      <c r="F527" s="229" t="s">
        <v>1656</v>
      </c>
      <c r="G527" s="467"/>
      <c r="H527" s="506" t="s">
        <v>10050</v>
      </c>
      <c r="I527" s="501" t="s">
        <v>6157</v>
      </c>
      <c r="J527" s="11" t="s">
        <v>10262</v>
      </c>
      <c r="K527" s="446"/>
    </row>
    <row r="528">
      <c r="A528" s="358" t="s">
        <v>9911</v>
      </c>
      <c r="B528" s="477">
        <v>6947.0</v>
      </c>
      <c r="C528" s="11" t="s">
        <v>9590</v>
      </c>
      <c r="D528" s="475">
        <v>0.78</v>
      </c>
      <c r="E528" s="475">
        <v>0.78</v>
      </c>
      <c r="F528" s="229" t="s">
        <v>1656</v>
      </c>
      <c r="G528" s="467"/>
      <c r="H528" s="506" t="s">
        <v>10053</v>
      </c>
      <c r="I528" s="501" t="s">
        <v>6157</v>
      </c>
      <c r="J528" s="11" t="s">
        <v>10264</v>
      </c>
      <c r="K528" s="507"/>
    </row>
    <row r="529">
      <c r="A529" s="358" t="s">
        <v>9914</v>
      </c>
      <c r="B529" s="477">
        <v>6977.0</v>
      </c>
      <c r="C529" s="11" t="s">
        <v>9590</v>
      </c>
      <c r="D529" s="475">
        <v>0.78</v>
      </c>
      <c r="E529" s="475">
        <v>0.78</v>
      </c>
      <c r="F529" s="229" t="s">
        <v>1656</v>
      </c>
      <c r="G529" s="467"/>
      <c r="H529" s="501" t="s">
        <v>10056</v>
      </c>
      <c r="I529" s="501" t="s">
        <v>6157</v>
      </c>
      <c r="J529" s="11" t="s">
        <v>10266</v>
      </c>
      <c r="K529" s="446">
        <v>7003.0</v>
      </c>
    </row>
    <row r="530">
      <c r="A530" s="358" t="s">
        <v>9917</v>
      </c>
      <c r="B530" s="477">
        <v>6940.0</v>
      </c>
      <c r="C530" s="11" t="s">
        <v>9590</v>
      </c>
      <c r="D530" s="475">
        <v>0.78</v>
      </c>
      <c r="E530" s="475">
        <v>0.78</v>
      </c>
      <c r="F530" s="229" t="s">
        <v>1656</v>
      </c>
      <c r="G530" s="467"/>
      <c r="H530" s="501" t="s">
        <v>10058</v>
      </c>
      <c r="I530" s="501" t="s">
        <v>6157</v>
      </c>
      <c r="J530" s="11" t="s">
        <v>10268</v>
      </c>
      <c r="K530" s="446">
        <v>6988.0</v>
      </c>
    </row>
    <row r="531">
      <c r="A531" s="358" t="s">
        <v>9920</v>
      </c>
      <c r="B531" s="477">
        <v>7847.0</v>
      </c>
      <c r="C531" s="11" t="s">
        <v>9590</v>
      </c>
      <c r="D531" s="475">
        <v>0.78</v>
      </c>
      <c r="E531" s="475">
        <v>0.78</v>
      </c>
      <c r="F531" s="229" t="s">
        <v>1656</v>
      </c>
      <c r="G531" s="467"/>
      <c r="H531" s="501" t="s">
        <v>10061</v>
      </c>
      <c r="I531" s="501" t="s">
        <v>6157</v>
      </c>
      <c r="J531" s="11" t="s">
        <v>10270</v>
      </c>
      <c r="K531" s="446">
        <v>9645.0</v>
      </c>
    </row>
    <row r="532">
      <c r="A532" s="358" t="s">
        <v>10369</v>
      </c>
      <c r="B532" s="477">
        <v>9670.0</v>
      </c>
      <c r="C532" s="11" t="s">
        <v>9590</v>
      </c>
      <c r="D532" s="475">
        <v>0.78</v>
      </c>
      <c r="E532" s="475">
        <v>0.78</v>
      </c>
      <c r="F532" s="229" t="s">
        <v>1656</v>
      </c>
      <c r="G532" s="467"/>
      <c r="H532" s="501" t="s">
        <v>10064</v>
      </c>
      <c r="I532" s="501" t="s">
        <v>6157</v>
      </c>
      <c r="J532" s="11" t="s">
        <v>10272</v>
      </c>
      <c r="K532" s="446">
        <v>7142.0</v>
      </c>
    </row>
    <row r="533">
      <c r="A533" s="358" t="s">
        <v>10370</v>
      </c>
      <c r="B533" s="477">
        <v>7523.0</v>
      </c>
      <c r="C533" s="11" t="s">
        <v>9590</v>
      </c>
      <c r="D533" s="475">
        <v>0.78</v>
      </c>
      <c r="E533" s="475">
        <v>0.78</v>
      </c>
      <c r="F533" s="229" t="s">
        <v>1656</v>
      </c>
      <c r="G533" s="467"/>
      <c r="H533" s="501" t="s">
        <v>10067</v>
      </c>
      <c r="I533" s="501" t="s">
        <v>6157</v>
      </c>
      <c r="J533" s="11" t="s">
        <v>10274</v>
      </c>
      <c r="K533" s="10"/>
    </row>
    <row r="534">
      <c r="A534" s="358" t="s">
        <v>9872</v>
      </c>
      <c r="B534" s="477">
        <v>189.0</v>
      </c>
      <c r="C534" s="11" t="s">
        <v>9590</v>
      </c>
      <c r="D534" s="475">
        <v>0.91</v>
      </c>
      <c r="E534" s="475">
        <v>0.91</v>
      </c>
      <c r="F534" s="229" t="s">
        <v>1656</v>
      </c>
      <c r="G534" s="467"/>
      <c r="H534" s="501" t="s">
        <v>10070</v>
      </c>
      <c r="I534" s="501" t="s">
        <v>6157</v>
      </c>
      <c r="J534" s="11" t="s">
        <v>10276</v>
      </c>
      <c r="K534" s="9">
        <v>10856.0</v>
      </c>
    </row>
    <row r="535">
      <c r="A535" s="358" t="s">
        <v>9923</v>
      </c>
      <c r="B535" s="477">
        <v>6675.0</v>
      </c>
      <c r="C535" s="11" t="s">
        <v>9590</v>
      </c>
      <c r="D535" s="74">
        <v>0.9</v>
      </c>
      <c r="E535" s="74">
        <v>0.9</v>
      </c>
      <c r="F535" s="229" t="s">
        <v>1656</v>
      </c>
      <c r="G535" s="467"/>
      <c r="H535" s="501" t="s">
        <v>10073</v>
      </c>
      <c r="I535" s="501" t="s">
        <v>6157</v>
      </c>
      <c r="J535" s="11" t="s">
        <v>10278</v>
      </c>
      <c r="K535" s="507"/>
    </row>
    <row r="536">
      <c r="A536" s="358" t="s">
        <v>9926</v>
      </c>
      <c r="B536" s="477">
        <v>8199.0</v>
      </c>
      <c r="C536" s="11" t="s">
        <v>9590</v>
      </c>
      <c r="D536" s="475">
        <v>0.82</v>
      </c>
      <c r="E536" s="475">
        <v>0.82</v>
      </c>
      <c r="F536" s="229" t="s">
        <v>1656</v>
      </c>
      <c r="G536" s="467"/>
      <c r="H536" s="501" t="s">
        <v>10076</v>
      </c>
      <c r="I536" s="501" t="s">
        <v>6157</v>
      </c>
      <c r="J536" s="11" t="s">
        <v>10280</v>
      </c>
    </row>
    <row r="537">
      <c r="A537" s="358" t="s">
        <v>9932</v>
      </c>
      <c r="B537" s="477">
        <v>8199.0</v>
      </c>
      <c r="C537" s="11" t="s">
        <v>9590</v>
      </c>
      <c r="D537" s="475">
        <v>0.82</v>
      </c>
      <c r="E537" s="475">
        <v>0.82</v>
      </c>
      <c r="F537" s="229" t="s">
        <v>1656</v>
      </c>
      <c r="G537" s="467"/>
      <c r="H537" s="501" t="s">
        <v>10079</v>
      </c>
      <c r="I537" s="501" t="s">
        <v>6157</v>
      </c>
      <c r="J537" s="11" t="s">
        <v>10220</v>
      </c>
      <c r="K537" s="507"/>
    </row>
    <row r="538">
      <c r="A538" s="358" t="s">
        <v>9935</v>
      </c>
      <c r="B538" s="477">
        <v>6109.0</v>
      </c>
      <c r="C538" s="11" t="s">
        <v>9590</v>
      </c>
      <c r="D538" s="475">
        <v>0.78</v>
      </c>
      <c r="E538" s="475">
        <v>0.78</v>
      </c>
      <c r="F538" s="229" t="s">
        <v>1656</v>
      </c>
      <c r="G538" s="467"/>
      <c r="H538" s="501" t="s">
        <v>10082</v>
      </c>
      <c r="I538" s="501" t="s">
        <v>6157</v>
      </c>
      <c r="J538" s="11" t="s">
        <v>10283</v>
      </c>
      <c r="K538" s="446">
        <v>8486.0</v>
      </c>
    </row>
    <row r="539">
      <c r="A539" s="358" t="s">
        <v>9875</v>
      </c>
      <c r="B539" s="477">
        <v>6671.0</v>
      </c>
      <c r="C539" s="11" t="s">
        <v>9590</v>
      </c>
      <c r="D539" s="475">
        <v>0.82</v>
      </c>
      <c r="E539" s="475">
        <v>0.82</v>
      </c>
      <c r="F539" s="229" t="s">
        <v>1656</v>
      </c>
      <c r="G539" s="467"/>
      <c r="H539" s="327" t="s">
        <v>7822</v>
      </c>
      <c r="I539" s="106" t="s">
        <v>6157</v>
      </c>
      <c r="J539" s="11" t="s">
        <v>10285</v>
      </c>
      <c r="K539" s="9">
        <v>6675.0</v>
      </c>
    </row>
    <row r="540">
      <c r="A540" s="358" t="s">
        <v>9938</v>
      </c>
      <c r="B540" s="477">
        <v>7149.0</v>
      </c>
      <c r="C540" s="11" t="s">
        <v>9590</v>
      </c>
      <c r="D540" s="475">
        <v>0.78</v>
      </c>
      <c r="E540" s="475">
        <v>0.78</v>
      </c>
      <c r="F540" s="229" t="s">
        <v>1656</v>
      </c>
      <c r="G540" s="467"/>
      <c r="H540" s="175" t="s">
        <v>10083</v>
      </c>
      <c r="I540" s="175">
        <v>6722.0</v>
      </c>
      <c r="K540" s="10"/>
    </row>
    <row r="541">
      <c r="A541" s="358" t="s">
        <v>9941</v>
      </c>
      <c r="B541" s="477">
        <v>7149.0</v>
      </c>
      <c r="C541" s="11" t="s">
        <v>9590</v>
      </c>
      <c r="D541" s="475">
        <v>0.78</v>
      </c>
      <c r="E541" s="475">
        <v>0.78</v>
      </c>
      <c r="F541" s="229" t="s">
        <v>1656</v>
      </c>
      <c r="H541" s="175" t="s">
        <v>9928</v>
      </c>
      <c r="I541" s="465">
        <v>14529.0</v>
      </c>
      <c r="K541" s="507"/>
    </row>
    <row r="542">
      <c r="A542" s="358" t="s">
        <v>9944</v>
      </c>
      <c r="B542" s="477">
        <v>7149.0</v>
      </c>
      <c r="C542" s="11" t="s">
        <v>9590</v>
      </c>
      <c r="D542" s="475">
        <v>0.78</v>
      </c>
      <c r="E542" s="475">
        <v>0.78</v>
      </c>
      <c r="F542" s="229" t="s">
        <v>1656</v>
      </c>
      <c r="H542" s="175" t="s">
        <v>9880</v>
      </c>
      <c r="I542" s="488"/>
      <c r="K542" s="507"/>
    </row>
    <row r="543">
      <c r="A543" s="358" t="s">
        <v>9947</v>
      </c>
      <c r="B543" s="477">
        <v>7149.0</v>
      </c>
      <c r="C543" s="11" t="s">
        <v>9590</v>
      </c>
      <c r="D543" s="475">
        <v>0.78</v>
      </c>
      <c r="E543" s="475">
        <v>0.78</v>
      </c>
      <c r="F543" s="229" t="s">
        <v>1656</v>
      </c>
      <c r="H543" s="175" t="s">
        <v>10024</v>
      </c>
      <c r="I543" s="488"/>
      <c r="K543" s="507"/>
    </row>
    <row r="544">
      <c r="A544" s="358" t="s">
        <v>9950</v>
      </c>
      <c r="B544" s="477">
        <v>7149.0</v>
      </c>
      <c r="C544" s="11" t="s">
        <v>9590</v>
      </c>
      <c r="D544" s="475">
        <v>0.78</v>
      </c>
      <c r="E544" s="475">
        <v>0.78</v>
      </c>
      <c r="F544" s="229" t="s">
        <v>1656</v>
      </c>
      <c r="H544" s="175" t="s">
        <v>9834</v>
      </c>
      <c r="I544" s="488"/>
      <c r="K544" s="507"/>
    </row>
    <row r="545">
      <c r="A545" s="358" t="s">
        <v>9878</v>
      </c>
      <c r="B545" s="477">
        <v>283.0</v>
      </c>
      <c r="C545" s="11" t="s">
        <v>9590</v>
      </c>
      <c r="D545" s="475">
        <v>0.78</v>
      </c>
      <c r="E545" s="475">
        <v>0.78</v>
      </c>
      <c r="F545" s="229" t="s">
        <v>1656</v>
      </c>
      <c r="H545" s="175" t="s">
        <v>9976</v>
      </c>
      <c r="I545" s="488"/>
      <c r="K545" s="507"/>
    </row>
    <row r="546">
      <c r="A546" s="358" t="s">
        <v>9953</v>
      </c>
      <c r="B546" s="477">
        <v>7149.0</v>
      </c>
      <c r="C546" s="11" t="s">
        <v>9590</v>
      </c>
      <c r="D546" s="475">
        <v>0.78</v>
      </c>
      <c r="E546" s="475">
        <v>0.78</v>
      </c>
      <c r="F546" s="229" t="s">
        <v>1656</v>
      </c>
      <c r="H546" s="175" t="s">
        <v>10027</v>
      </c>
      <c r="I546" s="488"/>
      <c r="K546" s="507"/>
    </row>
    <row r="547">
      <c r="A547" s="358" t="s">
        <v>9881</v>
      </c>
      <c r="B547" s="477">
        <v>6811.0</v>
      </c>
      <c r="C547" s="11" t="s">
        <v>9590</v>
      </c>
      <c r="D547" s="475">
        <v>0.78</v>
      </c>
      <c r="E547" s="475">
        <v>0.78</v>
      </c>
      <c r="F547" s="229" t="s">
        <v>1656</v>
      </c>
      <c r="H547" s="175" t="s">
        <v>9837</v>
      </c>
      <c r="I547" s="488"/>
      <c r="K547" s="507"/>
    </row>
    <row r="548">
      <c r="A548" s="358" t="s">
        <v>9847</v>
      </c>
      <c r="B548" s="477">
        <v>7083.0</v>
      </c>
      <c r="C548" s="11" t="s">
        <v>9590</v>
      </c>
      <c r="D548" s="475">
        <v>0.78</v>
      </c>
      <c r="E548" s="475">
        <v>0.78</v>
      </c>
      <c r="F548" s="229" t="s">
        <v>1656</v>
      </c>
      <c r="H548" s="175" t="s">
        <v>9931</v>
      </c>
      <c r="I548" s="488"/>
      <c r="K548" s="507"/>
    </row>
    <row r="549">
      <c r="A549" s="358" t="s">
        <v>9850</v>
      </c>
      <c r="B549" s="477">
        <v>5389.0</v>
      </c>
      <c r="C549" s="11" t="s">
        <v>9590</v>
      </c>
      <c r="D549" s="475">
        <v>0.78</v>
      </c>
      <c r="E549" s="475">
        <v>0.78</v>
      </c>
      <c r="F549" s="229" t="s">
        <v>1656</v>
      </c>
      <c r="H549" s="175" t="s">
        <v>9979</v>
      </c>
      <c r="I549" s="488"/>
      <c r="K549" s="507"/>
    </row>
    <row r="550">
      <c r="A550" s="358" t="s">
        <v>3858</v>
      </c>
      <c r="B550" s="477">
        <v>6675.0</v>
      </c>
      <c r="C550" s="11" t="s">
        <v>9590</v>
      </c>
      <c r="D550" s="74">
        <v>0.9</v>
      </c>
      <c r="E550" s="74">
        <v>0.9</v>
      </c>
      <c r="F550" s="229" t="s">
        <v>1656</v>
      </c>
      <c r="H550" s="175" t="s">
        <v>9883</v>
      </c>
      <c r="I550" s="488"/>
      <c r="K550" s="507"/>
    </row>
    <row r="551">
      <c r="A551" s="358" t="s">
        <v>10371</v>
      </c>
      <c r="B551" s="358">
        <v>14504.0</v>
      </c>
      <c r="C551" s="11" t="s">
        <v>9590</v>
      </c>
      <c r="D551" s="475">
        <v>0.78</v>
      </c>
      <c r="E551" s="475">
        <v>0.78</v>
      </c>
      <c r="F551" s="229" t="s">
        <v>1656</v>
      </c>
      <c r="H551" s="175" t="s">
        <v>9934</v>
      </c>
      <c r="I551" s="488"/>
      <c r="K551" s="507"/>
    </row>
    <row r="552">
      <c r="A552" s="358" t="s">
        <v>10372</v>
      </c>
      <c r="B552" s="11">
        <v>14734.0</v>
      </c>
      <c r="C552" s="11" t="s">
        <v>9590</v>
      </c>
      <c r="D552" s="475">
        <v>0.78</v>
      </c>
      <c r="E552" s="475">
        <v>0.78</v>
      </c>
      <c r="F552" s="229" t="s">
        <v>1656</v>
      </c>
      <c r="H552" s="175" t="s">
        <v>9982</v>
      </c>
      <c r="I552" s="488"/>
      <c r="K552" s="507"/>
    </row>
    <row r="553">
      <c r="A553" s="358" t="s">
        <v>9835</v>
      </c>
      <c r="B553" s="477">
        <v>2345.0</v>
      </c>
      <c r="C553" s="11" t="s">
        <v>9590</v>
      </c>
      <c r="D553" s="74">
        <v>0.9</v>
      </c>
      <c r="E553" s="74">
        <v>0.9</v>
      </c>
      <c r="F553" s="229" t="s">
        <v>1656</v>
      </c>
      <c r="H553" s="175" t="s">
        <v>9840</v>
      </c>
      <c r="I553" s="488"/>
      <c r="K553" s="507"/>
    </row>
    <row r="554">
      <c r="A554" s="358" t="s">
        <v>9838</v>
      </c>
      <c r="B554" s="477">
        <v>663.0</v>
      </c>
      <c r="C554" s="11" t="s">
        <v>9590</v>
      </c>
      <c r="D554" s="475">
        <v>0.82</v>
      </c>
      <c r="E554" s="475">
        <v>0.82</v>
      </c>
      <c r="F554" s="229" t="s">
        <v>1656</v>
      </c>
      <c r="H554" s="175" t="s">
        <v>9886</v>
      </c>
      <c r="I554" s="488"/>
      <c r="K554" s="507"/>
    </row>
    <row r="555">
      <c r="A555" s="358" t="s">
        <v>9841</v>
      </c>
      <c r="B555" s="477">
        <v>10856.0</v>
      </c>
      <c r="C555" s="11" t="s">
        <v>9590</v>
      </c>
      <c r="D555" s="475">
        <v>0.78</v>
      </c>
      <c r="E555" s="475">
        <v>0.78</v>
      </c>
      <c r="F555" s="229" t="s">
        <v>1656</v>
      </c>
      <c r="H555" s="175" t="s">
        <v>10071</v>
      </c>
      <c r="I555" s="488"/>
      <c r="K555" s="507"/>
    </row>
    <row r="556">
      <c r="A556" s="358" t="s">
        <v>9844</v>
      </c>
      <c r="B556" s="477">
        <v>6675.0</v>
      </c>
      <c r="C556" s="11" t="s">
        <v>9590</v>
      </c>
      <c r="D556" s="74">
        <v>0.9</v>
      </c>
      <c r="E556" s="74">
        <v>0.9</v>
      </c>
      <c r="F556" s="229" t="s">
        <v>1656</v>
      </c>
      <c r="H556" s="175" t="s">
        <v>9792</v>
      </c>
      <c r="I556" s="488"/>
      <c r="K556" s="507"/>
    </row>
    <row r="557">
      <c r="A557" s="358" t="s">
        <v>9830</v>
      </c>
      <c r="B557" s="477">
        <v>6133.0</v>
      </c>
      <c r="C557" s="11" t="s">
        <v>9590</v>
      </c>
      <c r="D557" s="475">
        <v>0.82</v>
      </c>
      <c r="E557" s="475">
        <v>0.82</v>
      </c>
      <c r="F557" s="229" t="s">
        <v>1656</v>
      </c>
      <c r="H557" s="175" t="s">
        <v>9985</v>
      </c>
      <c r="I557" s="488"/>
      <c r="K557" s="507"/>
    </row>
    <row r="558">
      <c r="A558" s="358" t="s">
        <v>9832</v>
      </c>
      <c r="B558" s="477">
        <v>5389.0</v>
      </c>
      <c r="C558" s="11" t="s">
        <v>9590</v>
      </c>
      <c r="D558" s="475">
        <v>0.78</v>
      </c>
      <c r="E558" s="475">
        <v>0.78</v>
      </c>
      <c r="F558" s="229" t="s">
        <v>1656</v>
      </c>
      <c r="H558" s="175" t="s">
        <v>9988</v>
      </c>
      <c r="I558" s="465">
        <v>14580.0</v>
      </c>
      <c r="K558" s="507"/>
    </row>
    <row r="559">
      <c r="A559" s="358" t="s">
        <v>9787</v>
      </c>
      <c r="B559" s="477">
        <v>6133.0</v>
      </c>
      <c r="C559" s="11" t="s">
        <v>9590</v>
      </c>
      <c r="D559" s="475">
        <v>0.82</v>
      </c>
      <c r="E559" s="475">
        <v>0.82</v>
      </c>
      <c r="F559" s="229" t="s">
        <v>1656</v>
      </c>
      <c r="H559" s="175" t="s">
        <v>10030</v>
      </c>
      <c r="I559" s="488"/>
      <c r="K559" s="507"/>
    </row>
    <row r="560">
      <c r="A560" s="358" t="s">
        <v>9790</v>
      </c>
      <c r="B560" s="477">
        <v>6133.0</v>
      </c>
      <c r="C560" s="11" t="s">
        <v>9590</v>
      </c>
      <c r="D560" s="475">
        <v>0.82</v>
      </c>
      <c r="E560" s="475">
        <v>0.82</v>
      </c>
      <c r="F560" s="229" t="s">
        <v>1656</v>
      </c>
      <c r="H560" s="175" t="s">
        <v>9889</v>
      </c>
      <c r="I560" s="488"/>
      <c r="K560" s="507"/>
    </row>
    <row r="561">
      <c r="A561" s="358" t="s">
        <v>9819</v>
      </c>
      <c r="B561" s="477">
        <v>6658.0</v>
      </c>
      <c r="C561" s="11" t="s">
        <v>9590</v>
      </c>
      <c r="D561" s="74">
        <v>0.85</v>
      </c>
      <c r="E561" s="74">
        <v>0.85</v>
      </c>
      <c r="F561" s="229" t="s">
        <v>1656</v>
      </c>
      <c r="H561" s="175" t="s">
        <v>9937</v>
      </c>
      <c r="I561" s="488"/>
      <c r="K561" s="507"/>
    </row>
    <row r="562">
      <c r="A562" s="358" t="s">
        <v>9822</v>
      </c>
      <c r="B562" s="477">
        <v>6658.0</v>
      </c>
      <c r="C562" s="11" t="s">
        <v>9590</v>
      </c>
      <c r="D562" s="74">
        <v>0.85</v>
      </c>
      <c r="E562" s="74">
        <v>0.85</v>
      </c>
      <c r="F562" s="229" t="s">
        <v>1656</v>
      </c>
      <c r="H562" s="175" t="s">
        <v>9991</v>
      </c>
      <c r="I562" s="488"/>
      <c r="K562" s="507"/>
    </row>
    <row r="563">
      <c r="A563" s="358" t="s">
        <v>9802</v>
      </c>
      <c r="B563" s="477">
        <v>6658.0</v>
      </c>
      <c r="C563" s="11" t="s">
        <v>9590</v>
      </c>
      <c r="D563" s="74">
        <v>0.85</v>
      </c>
      <c r="E563" s="74">
        <v>0.85</v>
      </c>
      <c r="F563" s="229" t="s">
        <v>1656</v>
      </c>
      <c r="H563" s="175" t="s">
        <v>9892</v>
      </c>
      <c r="I563" s="488"/>
      <c r="K563" s="507"/>
    </row>
    <row r="564">
      <c r="A564" s="358" t="s">
        <v>27</v>
      </c>
      <c r="B564" s="477">
        <v>2345.0</v>
      </c>
      <c r="C564" s="11" t="s">
        <v>9590</v>
      </c>
      <c r="D564" s="74">
        <v>0.9</v>
      </c>
      <c r="E564" s="74">
        <v>0.9</v>
      </c>
      <c r="F564" s="229" t="s">
        <v>1656</v>
      </c>
      <c r="H564" s="175" t="s">
        <v>9843</v>
      </c>
      <c r="I564" s="488"/>
      <c r="K564" s="507"/>
    </row>
    <row r="565">
      <c r="A565" s="358" t="s">
        <v>9825</v>
      </c>
      <c r="B565" s="477">
        <v>6771.0</v>
      </c>
      <c r="C565" s="11" t="s">
        <v>9590</v>
      </c>
      <c r="D565" s="475">
        <v>0.78</v>
      </c>
      <c r="E565" s="475">
        <v>0.78</v>
      </c>
      <c r="F565" s="229" t="s">
        <v>1656</v>
      </c>
      <c r="H565" s="175" t="s">
        <v>9940</v>
      </c>
      <c r="I565" s="488"/>
      <c r="K565" s="507"/>
    </row>
    <row r="566">
      <c r="A566" s="358" t="s">
        <v>9793</v>
      </c>
      <c r="B566" s="477">
        <v>6658.0</v>
      </c>
      <c r="C566" s="11" t="s">
        <v>9590</v>
      </c>
      <c r="D566" s="74">
        <v>0.85</v>
      </c>
      <c r="E566" s="74">
        <v>0.85</v>
      </c>
      <c r="F566" s="229" t="s">
        <v>1656</v>
      </c>
      <c r="H566" s="175" t="s">
        <v>9943</v>
      </c>
      <c r="I566" s="488"/>
      <c r="K566" s="507"/>
    </row>
    <row r="567">
      <c r="A567" s="358" t="s">
        <v>9796</v>
      </c>
      <c r="B567" s="477">
        <v>6658.0</v>
      </c>
      <c r="C567" s="11" t="s">
        <v>9590</v>
      </c>
      <c r="D567" s="74">
        <v>0.85</v>
      </c>
      <c r="E567" s="74">
        <v>0.85</v>
      </c>
      <c r="F567" s="229" t="s">
        <v>1656</v>
      </c>
      <c r="H567" s="175" t="s">
        <v>10033</v>
      </c>
      <c r="I567" s="488"/>
      <c r="K567" s="507"/>
    </row>
    <row r="568">
      <c r="A568" s="358" t="s">
        <v>9799</v>
      </c>
      <c r="B568" s="477">
        <v>6658.0</v>
      </c>
      <c r="C568" s="11" t="s">
        <v>9590</v>
      </c>
      <c r="D568" s="74">
        <v>0.85</v>
      </c>
      <c r="E568" s="74">
        <v>0.85</v>
      </c>
      <c r="F568" s="229" t="s">
        <v>1656</v>
      </c>
      <c r="H568" s="175" t="s">
        <v>9895</v>
      </c>
      <c r="I568" s="488"/>
      <c r="K568" s="507"/>
    </row>
    <row r="569">
      <c r="A569" s="358" t="s">
        <v>9805</v>
      </c>
      <c r="B569" s="477">
        <v>6658.0</v>
      </c>
      <c r="C569" s="11" t="s">
        <v>9590</v>
      </c>
      <c r="D569" s="74">
        <v>0.85</v>
      </c>
      <c r="E569" s="74">
        <v>0.85</v>
      </c>
      <c r="F569" s="229" t="s">
        <v>1656</v>
      </c>
      <c r="H569" s="175" t="s">
        <v>9846</v>
      </c>
      <c r="I569" s="488"/>
      <c r="K569" s="507"/>
    </row>
    <row r="570">
      <c r="A570" s="358" t="s">
        <v>9808</v>
      </c>
      <c r="B570" s="477">
        <v>6658.0</v>
      </c>
      <c r="C570" s="11" t="s">
        <v>9590</v>
      </c>
      <c r="D570" s="74">
        <v>0.85</v>
      </c>
      <c r="E570" s="74">
        <v>0.85</v>
      </c>
      <c r="F570" s="229" t="s">
        <v>1656</v>
      </c>
      <c r="H570" s="175" t="s">
        <v>9795</v>
      </c>
      <c r="I570" s="488"/>
      <c r="K570" s="507"/>
    </row>
    <row r="571">
      <c r="A571" s="358" t="s">
        <v>9810</v>
      </c>
      <c r="B571" s="477">
        <v>6658.0</v>
      </c>
      <c r="C571" s="11" t="s">
        <v>9590</v>
      </c>
      <c r="D571" s="74">
        <v>0.85</v>
      </c>
      <c r="E571" s="74">
        <v>0.85</v>
      </c>
      <c r="F571" s="229" t="s">
        <v>1656</v>
      </c>
      <c r="H571" s="175" t="s">
        <v>9849</v>
      </c>
      <c r="I571" s="488"/>
      <c r="K571" s="507"/>
    </row>
    <row r="572">
      <c r="A572" s="358" t="s">
        <v>9813</v>
      </c>
      <c r="B572" s="477">
        <v>6658.0</v>
      </c>
      <c r="C572" s="11" t="s">
        <v>9590</v>
      </c>
      <c r="D572" s="74">
        <v>0.85</v>
      </c>
      <c r="E572" s="74">
        <v>0.85</v>
      </c>
      <c r="F572" s="229" t="s">
        <v>1656</v>
      </c>
      <c r="H572" s="175" t="s">
        <v>10036</v>
      </c>
      <c r="I572" s="488"/>
      <c r="K572" s="507"/>
    </row>
    <row r="573">
      <c r="A573" s="358" t="s">
        <v>9816</v>
      </c>
      <c r="B573" s="477">
        <v>6658.0</v>
      </c>
      <c r="C573" s="11" t="s">
        <v>9590</v>
      </c>
      <c r="D573" s="74">
        <v>0.85</v>
      </c>
      <c r="E573" s="74">
        <v>0.85</v>
      </c>
      <c r="F573" s="229" t="s">
        <v>1656</v>
      </c>
      <c r="H573" s="175" t="s">
        <v>9898</v>
      </c>
      <c r="I573" s="488"/>
      <c r="K573" s="507"/>
    </row>
    <row r="574">
      <c r="A574" s="358" t="s">
        <v>9781</v>
      </c>
      <c r="B574" s="477">
        <v>6133.0</v>
      </c>
      <c r="C574" s="11" t="s">
        <v>9590</v>
      </c>
      <c r="D574" s="475">
        <v>0.82</v>
      </c>
      <c r="E574" s="475">
        <v>0.82</v>
      </c>
      <c r="F574" s="229" t="s">
        <v>1656</v>
      </c>
      <c r="H574" s="175" t="s">
        <v>9994</v>
      </c>
      <c r="I574" s="488"/>
      <c r="K574" s="507"/>
    </row>
    <row r="575">
      <c r="A575" s="358" t="s">
        <v>10373</v>
      </c>
      <c r="B575" s="477">
        <v>4933.0</v>
      </c>
      <c r="C575" s="11" t="s">
        <v>9590</v>
      </c>
      <c r="D575" s="475">
        <v>0.78</v>
      </c>
      <c r="E575" s="475">
        <v>0.78</v>
      </c>
      <c r="F575" s="229" t="s">
        <v>1656</v>
      </c>
      <c r="H575" s="175" t="s">
        <v>10039</v>
      </c>
      <c r="I575" s="488"/>
      <c r="K575" s="507"/>
    </row>
    <row r="576">
      <c r="A576" s="358" t="s">
        <v>7864</v>
      </c>
      <c r="B576" s="477">
        <v>7072.0</v>
      </c>
      <c r="C576" s="11" t="s">
        <v>9590</v>
      </c>
      <c r="D576" s="475">
        <v>0.78</v>
      </c>
      <c r="E576" s="475">
        <v>0.78</v>
      </c>
      <c r="F576" s="229" t="s">
        <v>1656</v>
      </c>
      <c r="H576" s="175" t="s">
        <v>9997</v>
      </c>
      <c r="I576" s="488"/>
      <c r="K576" s="507"/>
    </row>
    <row r="577">
      <c r="A577" s="358" t="s">
        <v>5645</v>
      </c>
      <c r="B577" s="477">
        <v>7072.0</v>
      </c>
      <c r="C577" s="11" t="s">
        <v>9590</v>
      </c>
      <c r="D577" s="475">
        <v>0.78</v>
      </c>
      <c r="E577" s="475">
        <v>0.78</v>
      </c>
      <c r="F577" s="229" t="s">
        <v>1656</v>
      </c>
      <c r="H577" s="175" t="s">
        <v>10074</v>
      </c>
      <c r="I577" s="488"/>
      <c r="K577" s="507"/>
    </row>
    <row r="578">
      <c r="A578" s="358" t="s">
        <v>7865</v>
      </c>
      <c r="B578" s="477">
        <v>7072.0</v>
      </c>
      <c r="C578" s="11" t="s">
        <v>9590</v>
      </c>
      <c r="D578" s="475">
        <v>0.78</v>
      </c>
      <c r="E578" s="475">
        <v>0.78</v>
      </c>
      <c r="F578" s="229" t="s">
        <v>1656</v>
      </c>
      <c r="H578" s="175" t="s">
        <v>9852</v>
      </c>
      <c r="I578" s="488"/>
      <c r="K578" s="507"/>
    </row>
    <row r="579">
      <c r="A579" s="358" t="s">
        <v>7866</v>
      </c>
      <c r="B579" s="477">
        <v>7072.0</v>
      </c>
      <c r="C579" s="11" t="s">
        <v>9590</v>
      </c>
      <c r="D579" s="475">
        <v>0.78</v>
      </c>
      <c r="E579" s="475">
        <v>0.78</v>
      </c>
      <c r="F579" s="229" t="s">
        <v>1656</v>
      </c>
      <c r="H579" s="175" t="s">
        <v>9901</v>
      </c>
      <c r="I579" s="488"/>
      <c r="K579" s="507"/>
    </row>
    <row r="580">
      <c r="A580" s="358" t="s">
        <v>7867</v>
      </c>
      <c r="B580" s="477">
        <v>7072.0</v>
      </c>
      <c r="C580" s="11" t="s">
        <v>9590</v>
      </c>
      <c r="D580" s="475">
        <v>0.78</v>
      </c>
      <c r="E580" s="475">
        <v>0.78</v>
      </c>
      <c r="F580" s="229" t="s">
        <v>1656</v>
      </c>
      <c r="H580" s="175" t="s">
        <v>9798</v>
      </c>
      <c r="I580" s="488"/>
      <c r="K580" s="507"/>
    </row>
    <row r="581">
      <c r="A581" s="358" t="s">
        <v>7868</v>
      </c>
      <c r="B581" s="477">
        <v>6750.0</v>
      </c>
      <c r="C581" s="11" t="s">
        <v>9590</v>
      </c>
      <c r="D581" s="475">
        <v>0.78</v>
      </c>
      <c r="E581" s="475">
        <v>0.78</v>
      </c>
      <c r="F581" s="229" t="s">
        <v>1656</v>
      </c>
      <c r="H581" s="175" t="s">
        <v>9946</v>
      </c>
      <c r="I581" s="488"/>
      <c r="K581" s="507"/>
    </row>
    <row r="582">
      <c r="A582" s="358" t="s">
        <v>7869</v>
      </c>
      <c r="B582" s="477">
        <v>6827.0</v>
      </c>
      <c r="C582" s="11" t="s">
        <v>9590</v>
      </c>
      <c r="D582" s="475">
        <v>0.78</v>
      </c>
      <c r="E582" s="475">
        <v>0.78</v>
      </c>
      <c r="F582" s="229" t="s">
        <v>1656</v>
      </c>
      <c r="H582" s="175" t="s">
        <v>10000</v>
      </c>
      <c r="I582" s="488"/>
      <c r="K582" s="507"/>
    </row>
    <row r="583">
      <c r="A583" s="358" t="s">
        <v>9652</v>
      </c>
      <c r="B583" s="477">
        <v>6658.0</v>
      </c>
      <c r="C583" s="11" t="s">
        <v>9590</v>
      </c>
      <c r="D583" s="74">
        <v>0.85</v>
      </c>
      <c r="E583" s="74">
        <v>0.85</v>
      </c>
      <c r="F583" s="229" t="s">
        <v>1656</v>
      </c>
      <c r="H583" s="175" t="s">
        <v>10042</v>
      </c>
      <c r="I583" s="488"/>
      <c r="K583" s="507"/>
    </row>
    <row r="584">
      <c r="A584" s="358" t="s">
        <v>9654</v>
      </c>
      <c r="B584" s="477">
        <v>6109.0</v>
      </c>
      <c r="C584" s="11" t="s">
        <v>9590</v>
      </c>
      <c r="D584" s="475">
        <v>0.78</v>
      </c>
      <c r="E584" s="475">
        <v>0.78</v>
      </c>
      <c r="F584" s="229" t="s">
        <v>1656</v>
      </c>
      <c r="H584" s="175" t="s">
        <v>9949</v>
      </c>
      <c r="I584" s="488"/>
      <c r="K584" s="507"/>
    </row>
    <row r="585">
      <c r="A585" s="358" t="s">
        <v>9657</v>
      </c>
      <c r="B585" s="477">
        <v>6109.0</v>
      </c>
      <c r="C585" s="11" t="s">
        <v>9590</v>
      </c>
      <c r="D585" s="475">
        <v>0.78</v>
      </c>
      <c r="E585" s="475">
        <v>0.78</v>
      </c>
      <c r="F585" s="229" t="s">
        <v>1656</v>
      </c>
      <c r="H585" s="175" t="s">
        <v>10045</v>
      </c>
      <c r="I585" s="488"/>
      <c r="K585" s="507"/>
    </row>
    <row r="586">
      <c r="A586" s="358" t="s">
        <v>9659</v>
      </c>
      <c r="B586" s="477">
        <v>6658.0</v>
      </c>
      <c r="C586" s="11" t="s">
        <v>9590</v>
      </c>
      <c r="D586" s="74">
        <v>0.85</v>
      </c>
      <c r="E586" s="74">
        <v>0.85</v>
      </c>
      <c r="F586" s="229" t="s">
        <v>1656</v>
      </c>
      <c r="H586" s="175" t="s">
        <v>9952</v>
      </c>
      <c r="I586" s="488"/>
      <c r="K586" s="507"/>
    </row>
    <row r="587">
      <c r="A587" s="358" t="s">
        <v>9661</v>
      </c>
      <c r="B587" s="477">
        <v>7033.0</v>
      </c>
      <c r="C587" s="11" t="s">
        <v>9590</v>
      </c>
      <c r="D587" s="475">
        <v>0.78</v>
      </c>
      <c r="E587" s="475">
        <v>0.78</v>
      </c>
      <c r="F587" s="229" t="s">
        <v>1656</v>
      </c>
      <c r="H587" s="175" t="s">
        <v>9801</v>
      </c>
      <c r="I587" s="488"/>
      <c r="K587" s="507"/>
    </row>
    <row r="588">
      <c r="A588" s="358" t="s">
        <v>9663</v>
      </c>
      <c r="B588" s="477">
        <v>7031.0</v>
      </c>
      <c r="C588" s="11" t="s">
        <v>9590</v>
      </c>
      <c r="D588" s="475">
        <v>0.78</v>
      </c>
      <c r="E588" s="475">
        <v>0.78</v>
      </c>
      <c r="F588" s="229" t="s">
        <v>1656</v>
      </c>
      <c r="H588" s="175" t="s">
        <v>9955</v>
      </c>
      <c r="I588" s="488"/>
      <c r="K588" s="507"/>
    </row>
    <row r="589">
      <c r="A589" s="358" t="s">
        <v>9665</v>
      </c>
      <c r="B589" s="477">
        <v>7168.0</v>
      </c>
      <c r="C589" s="11" t="s">
        <v>9590</v>
      </c>
      <c r="D589" s="475">
        <v>0.78</v>
      </c>
      <c r="E589" s="475">
        <v>0.78</v>
      </c>
      <c r="F589" s="229" t="s">
        <v>1656</v>
      </c>
      <c r="H589" s="175" t="s">
        <v>9855</v>
      </c>
      <c r="I589" s="488"/>
      <c r="K589" s="507"/>
    </row>
    <row r="590">
      <c r="A590" s="358" t="s">
        <v>9668</v>
      </c>
      <c r="B590" s="477">
        <v>7168.0</v>
      </c>
      <c r="C590" s="11" t="s">
        <v>9590</v>
      </c>
      <c r="D590" s="475">
        <v>0.78</v>
      </c>
      <c r="E590" s="475">
        <v>0.78</v>
      </c>
      <c r="F590" s="229" t="s">
        <v>1656</v>
      </c>
      <c r="H590" s="175" t="s">
        <v>10048</v>
      </c>
      <c r="I590" s="488"/>
      <c r="K590" s="507"/>
    </row>
    <row r="591">
      <c r="A591" s="358" t="s">
        <v>9671</v>
      </c>
      <c r="B591" s="477">
        <v>6780.0</v>
      </c>
      <c r="C591" s="11" t="s">
        <v>9590</v>
      </c>
      <c r="D591" s="475">
        <v>0.78</v>
      </c>
      <c r="E591" s="475">
        <v>0.78</v>
      </c>
      <c r="F591" s="229" t="s">
        <v>1656</v>
      </c>
      <c r="H591" s="175" t="s">
        <v>9858</v>
      </c>
      <c r="I591" s="488"/>
      <c r="K591" s="507"/>
    </row>
    <row r="592">
      <c r="A592" s="358" t="s">
        <v>9674</v>
      </c>
      <c r="B592" s="477">
        <v>283.0</v>
      </c>
      <c r="C592" s="11" t="s">
        <v>9590</v>
      </c>
      <c r="D592" s="475">
        <v>0.78</v>
      </c>
      <c r="E592" s="475">
        <v>0.78</v>
      </c>
      <c r="F592" s="229" t="s">
        <v>1656</v>
      </c>
      <c r="H592" s="175" t="s">
        <v>9958</v>
      </c>
      <c r="I592" s="488"/>
      <c r="K592" s="507"/>
    </row>
    <row r="593">
      <c r="A593" s="358" t="s">
        <v>9676</v>
      </c>
      <c r="B593" s="477">
        <v>7010.0</v>
      </c>
      <c r="C593" s="11" t="s">
        <v>9590</v>
      </c>
      <c r="D593" s="475">
        <v>0.82</v>
      </c>
      <c r="E593" s="475">
        <v>0.82</v>
      </c>
      <c r="F593" s="229" t="s">
        <v>1656</v>
      </c>
      <c r="H593" s="175" t="s">
        <v>9904</v>
      </c>
      <c r="I593" s="488"/>
      <c r="K593" s="507"/>
    </row>
    <row r="594">
      <c r="A594" s="358" t="s">
        <v>9680</v>
      </c>
      <c r="B594" s="477">
        <v>283.0</v>
      </c>
      <c r="C594" s="11" t="s">
        <v>9590</v>
      </c>
      <c r="D594" s="475">
        <v>0.78</v>
      </c>
      <c r="E594" s="475">
        <v>0.78</v>
      </c>
      <c r="F594" s="229" t="s">
        <v>1656</v>
      </c>
      <c r="H594" s="175" t="s">
        <v>10077</v>
      </c>
      <c r="I594" s="488"/>
      <c r="K594" s="507"/>
    </row>
    <row r="595">
      <c r="A595" s="358" t="s">
        <v>9683</v>
      </c>
      <c r="B595" s="477">
        <v>6893.0</v>
      </c>
      <c r="C595" s="11" t="s">
        <v>9590</v>
      </c>
      <c r="D595" s="475">
        <v>0.78</v>
      </c>
      <c r="E595" s="475">
        <v>0.78</v>
      </c>
      <c r="F595" s="229" t="s">
        <v>1656</v>
      </c>
      <c r="H595" s="175" t="s">
        <v>9907</v>
      </c>
      <c r="I595" s="488"/>
      <c r="K595" s="507"/>
    </row>
    <row r="596">
      <c r="A596" s="358" t="s">
        <v>10374</v>
      </c>
      <c r="B596" s="477">
        <v>7083.0</v>
      </c>
      <c r="C596" s="11" t="s">
        <v>9590</v>
      </c>
      <c r="D596" s="475">
        <v>0.78</v>
      </c>
      <c r="E596" s="475">
        <v>0.78</v>
      </c>
      <c r="F596" s="229" t="s">
        <v>1656</v>
      </c>
      <c r="H596" s="175" t="s">
        <v>9860</v>
      </c>
      <c r="I596" s="488"/>
      <c r="K596" s="507"/>
    </row>
    <row r="597">
      <c r="A597" s="358" t="s">
        <v>9689</v>
      </c>
      <c r="B597" s="477">
        <v>7129.0</v>
      </c>
      <c r="C597" s="11" t="s">
        <v>9590</v>
      </c>
      <c r="D597" s="475">
        <v>0.78</v>
      </c>
      <c r="E597" s="475">
        <v>0.78</v>
      </c>
      <c r="F597" s="229" t="s">
        <v>1656</v>
      </c>
      <c r="H597" s="175" t="s">
        <v>9862</v>
      </c>
      <c r="I597" s="488"/>
      <c r="K597" s="507"/>
    </row>
    <row r="598">
      <c r="A598" s="358" t="s">
        <v>9692</v>
      </c>
      <c r="B598" s="477">
        <v>7073.0</v>
      </c>
      <c r="C598" s="11" t="s">
        <v>9590</v>
      </c>
      <c r="D598" s="475">
        <v>0.78</v>
      </c>
      <c r="E598" s="475">
        <v>0.78</v>
      </c>
      <c r="F598" s="229" t="s">
        <v>1656</v>
      </c>
      <c r="H598" s="175" t="s">
        <v>10003</v>
      </c>
      <c r="I598" s="488"/>
      <c r="K598" s="507"/>
    </row>
    <row r="599">
      <c r="A599" s="358" t="s">
        <v>5667</v>
      </c>
      <c r="B599" s="477">
        <v>6965.0</v>
      </c>
      <c r="C599" s="11" t="s">
        <v>9590</v>
      </c>
      <c r="D599" s="475">
        <v>0.78</v>
      </c>
      <c r="E599" s="475">
        <v>0.78</v>
      </c>
      <c r="F599" s="229" t="s">
        <v>1656</v>
      </c>
      <c r="H599" s="175" t="s">
        <v>9865</v>
      </c>
      <c r="I599" s="488"/>
      <c r="K599" s="507"/>
    </row>
    <row r="600">
      <c r="A600" s="358" t="s">
        <v>9697</v>
      </c>
      <c r="B600" s="477">
        <v>7142.0</v>
      </c>
      <c r="C600" s="11" t="s">
        <v>9590</v>
      </c>
      <c r="D600" s="475">
        <v>0.78</v>
      </c>
      <c r="E600" s="475">
        <v>0.78</v>
      </c>
      <c r="F600" s="229" t="s">
        <v>1656</v>
      </c>
      <c r="H600" s="175" t="s">
        <v>10006</v>
      </c>
      <c r="I600" s="488"/>
      <c r="K600" s="507"/>
    </row>
    <row r="601">
      <c r="A601" s="358" t="s">
        <v>9700</v>
      </c>
      <c r="B601" s="477">
        <v>7876.0</v>
      </c>
      <c r="C601" s="11" t="s">
        <v>9590</v>
      </c>
      <c r="D601" s="475">
        <v>0.78</v>
      </c>
      <c r="E601" s="475">
        <v>0.78</v>
      </c>
      <c r="F601" s="229" t="s">
        <v>1656</v>
      </c>
      <c r="H601" s="175" t="s">
        <v>10009</v>
      </c>
      <c r="I601" s="488"/>
      <c r="K601" s="507"/>
    </row>
    <row r="602">
      <c r="A602" s="358" t="s">
        <v>9703</v>
      </c>
      <c r="B602" s="477">
        <v>7083.0</v>
      </c>
      <c r="C602" s="11" t="s">
        <v>9590</v>
      </c>
      <c r="D602" s="475">
        <v>0.78</v>
      </c>
      <c r="E602" s="475">
        <v>0.78</v>
      </c>
      <c r="F602" s="229" t="s">
        <v>1656</v>
      </c>
      <c r="H602" s="175" t="s">
        <v>9804</v>
      </c>
      <c r="I602" s="488"/>
      <c r="K602" s="507"/>
    </row>
    <row r="603">
      <c r="A603" s="358" t="s">
        <v>9706</v>
      </c>
      <c r="B603" s="477">
        <v>7123.0</v>
      </c>
      <c r="C603" s="11" t="s">
        <v>9590</v>
      </c>
      <c r="D603" s="475">
        <v>0.78</v>
      </c>
      <c r="E603" s="475">
        <v>0.78</v>
      </c>
      <c r="F603" s="229" t="s">
        <v>1656</v>
      </c>
      <c r="H603" s="175" t="s">
        <v>9807</v>
      </c>
      <c r="I603" s="488"/>
      <c r="K603" s="507"/>
    </row>
    <row r="604">
      <c r="A604" s="358" t="s">
        <v>9709</v>
      </c>
      <c r="B604" s="477">
        <v>7100.0</v>
      </c>
      <c r="C604" s="11" t="s">
        <v>9590</v>
      </c>
      <c r="D604" s="475">
        <v>0.78</v>
      </c>
      <c r="E604" s="475">
        <v>0.78</v>
      </c>
      <c r="F604" s="229" t="s">
        <v>1656</v>
      </c>
      <c r="H604" s="175" t="s">
        <v>10051</v>
      </c>
      <c r="I604" s="488"/>
      <c r="K604" s="507"/>
    </row>
    <row r="605">
      <c r="A605" s="358" t="s">
        <v>9712</v>
      </c>
      <c r="B605" s="477">
        <v>8486.0</v>
      </c>
      <c r="C605" s="11" t="s">
        <v>9590</v>
      </c>
      <c r="D605" s="475">
        <v>0.87</v>
      </c>
      <c r="E605" s="475">
        <v>0.87</v>
      </c>
      <c r="F605" s="229" t="s">
        <v>1656</v>
      </c>
      <c r="H605" s="175" t="s">
        <v>10054</v>
      </c>
      <c r="I605" s="488"/>
      <c r="K605" s="507"/>
    </row>
    <row r="606">
      <c r="A606" s="358" t="s">
        <v>9715</v>
      </c>
      <c r="B606" s="477">
        <v>8486.0</v>
      </c>
      <c r="C606" s="11" t="s">
        <v>9590</v>
      </c>
      <c r="D606" s="475">
        <v>0.87</v>
      </c>
      <c r="E606" s="475">
        <v>0.87</v>
      </c>
      <c r="F606" s="229" t="s">
        <v>1656</v>
      </c>
      <c r="H606" s="175" t="s">
        <v>10057</v>
      </c>
      <c r="I606" s="488"/>
      <c r="K606" s="507"/>
    </row>
    <row r="607">
      <c r="A607" s="358" t="s">
        <v>10375</v>
      </c>
      <c r="B607" s="477">
        <v>7520.0</v>
      </c>
      <c r="C607" s="11" t="s">
        <v>9590</v>
      </c>
      <c r="D607" s="475">
        <v>0.78</v>
      </c>
      <c r="E607" s="475">
        <v>0.78</v>
      </c>
      <c r="F607" s="229" t="s">
        <v>1656</v>
      </c>
      <c r="H607" s="175" t="s">
        <v>9910</v>
      </c>
      <c r="I607" s="488"/>
      <c r="K607" s="507"/>
    </row>
    <row r="608">
      <c r="A608" s="358" t="s">
        <v>9718</v>
      </c>
      <c r="B608" s="477">
        <v>7147.0</v>
      </c>
      <c r="C608" s="11" t="s">
        <v>9590</v>
      </c>
      <c r="D608" s="475">
        <v>0.78</v>
      </c>
      <c r="E608" s="475">
        <v>0.78</v>
      </c>
      <c r="F608" s="229" t="s">
        <v>1656</v>
      </c>
      <c r="H608" s="175" t="s">
        <v>9809</v>
      </c>
      <c r="I608" s="488"/>
      <c r="K608" s="507"/>
    </row>
    <row r="609">
      <c r="A609" s="358" t="s">
        <v>9721</v>
      </c>
      <c r="B609" s="477">
        <v>930.0</v>
      </c>
      <c r="C609" s="11" t="s">
        <v>9590</v>
      </c>
      <c r="D609" s="475">
        <v>0.78</v>
      </c>
      <c r="E609" s="475">
        <v>0.78</v>
      </c>
      <c r="F609" s="229" t="s">
        <v>1656</v>
      </c>
      <c r="H609" s="175" t="s">
        <v>9913</v>
      </c>
      <c r="I609" s="488"/>
      <c r="K609" s="507"/>
    </row>
    <row r="610">
      <c r="A610" s="358" t="s">
        <v>9724</v>
      </c>
      <c r="B610" s="477">
        <v>7010.0</v>
      </c>
      <c r="C610" s="11" t="s">
        <v>9590</v>
      </c>
      <c r="D610" s="475">
        <v>0.82</v>
      </c>
      <c r="E610" s="475">
        <v>0.82</v>
      </c>
      <c r="F610" s="229" t="s">
        <v>1656</v>
      </c>
      <c r="H610" s="175" t="s">
        <v>10059</v>
      </c>
      <c r="I610" s="488"/>
      <c r="K610" s="507"/>
    </row>
    <row r="611">
      <c r="A611" s="358" t="s">
        <v>9727</v>
      </c>
      <c r="B611" s="477">
        <v>5389.0</v>
      </c>
      <c r="C611" s="11" t="s">
        <v>9590</v>
      </c>
      <c r="D611" s="475">
        <v>0.78</v>
      </c>
      <c r="E611" s="475">
        <v>0.78</v>
      </c>
      <c r="F611" s="229" t="s">
        <v>1656</v>
      </c>
      <c r="H611" s="175" t="s">
        <v>10012</v>
      </c>
      <c r="I611" s="488"/>
      <c r="K611" s="507"/>
    </row>
    <row r="612">
      <c r="A612" s="358" t="s">
        <v>9730</v>
      </c>
      <c r="B612" s="477">
        <v>6875.0</v>
      </c>
      <c r="C612" s="11" t="s">
        <v>9590</v>
      </c>
      <c r="D612" s="475">
        <v>0.78</v>
      </c>
      <c r="E612" s="475">
        <v>0.78</v>
      </c>
      <c r="F612" s="229" t="s">
        <v>1656</v>
      </c>
      <c r="H612" s="175" t="s">
        <v>9812</v>
      </c>
      <c r="I612" s="488"/>
      <c r="K612" s="507"/>
    </row>
    <row r="613">
      <c r="A613" s="358" t="s">
        <v>9733</v>
      </c>
      <c r="B613" s="477">
        <v>7104.0</v>
      </c>
      <c r="C613" s="11" t="s">
        <v>9590</v>
      </c>
      <c r="D613" s="475">
        <v>0.82</v>
      </c>
      <c r="E613" s="475">
        <v>0.82</v>
      </c>
      <c r="F613" s="229" t="s">
        <v>1656</v>
      </c>
      <c r="H613" s="175" t="s">
        <v>10080</v>
      </c>
      <c r="I613" s="488"/>
      <c r="K613" s="507"/>
    </row>
    <row r="614">
      <c r="A614" s="358" t="s">
        <v>9736</v>
      </c>
      <c r="B614" s="477">
        <v>7073.0</v>
      </c>
      <c r="C614" s="11" t="s">
        <v>9590</v>
      </c>
      <c r="D614" s="475">
        <v>0.78</v>
      </c>
      <c r="E614" s="475">
        <v>0.78</v>
      </c>
      <c r="F614" s="229" t="s">
        <v>1656</v>
      </c>
      <c r="H614" s="175" t="s">
        <v>10015</v>
      </c>
      <c r="I614" s="488"/>
      <c r="K614" s="507"/>
    </row>
    <row r="615">
      <c r="A615" s="358" t="s">
        <v>9739</v>
      </c>
      <c r="B615" s="477">
        <v>6736.0</v>
      </c>
      <c r="C615" s="11" t="s">
        <v>9590</v>
      </c>
      <c r="D615" s="475">
        <v>0.78</v>
      </c>
      <c r="E615" s="475">
        <v>0.78</v>
      </c>
      <c r="F615" s="229" t="s">
        <v>1656</v>
      </c>
      <c r="H615" s="175" t="s">
        <v>9815</v>
      </c>
      <c r="I615" s="488"/>
      <c r="K615" s="507"/>
    </row>
    <row r="616">
      <c r="A616" s="358" t="s">
        <v>9742</v>
      </c>
      <c r="B616" s="477">
        <v>6866.0</v>
      </c>
      <c r="C616" s="11" t="s">
        <v>9590</v>
      </c>
      <c r="D616" s="475">
        <v>0.78</v>
      </c>
      <c r="E616" s="475">
        <v>0.78</v>
      </c>
      <c r="F616" s="229" t="s">
        <v>1656</v>
      </c>
      <c r="H616" s="175" t="s">
        <v>9868</v>
      </c>
      <c r="I616" s="488"/>
      <c r="K616" s="507"/>
    </row>
    <row r="617">
      <c r="A617" s="358" t="s">
        <v>9745</v>
      </c>
      <c r="B617" s="477">
        <v>6774.0</v>
      </c>
      <c r="C617" s="11" t="s">
        <v>9590</v>
      </c>
      <c r="D617" s="475">
        <v>0.78</v>
      </c>
      <c r="E617" s="475">
        <v>0.78</v>
      </c>
      <c r="F617" s="229" t="s">
        <v>1656</v>
      </c>
      <c r="H617" s="175" t="s">
        <v>9916</v>
      </c>
      <c r="I617" s="488"/>
      <c r="K617" s="507"/>
    </row>
    <row r="618">
      <c r="A618" s="358" t="s">
        <v>9748</v>
      </c>
      <c r="B618" s="477">
        <v>6891.0</v>
      </c>
      <c r="C618" s="11" t="s">
        <v>9590</v>
      </c>
      <c r="D618" s="475">
        <v>0.78</v>
      </c>
      <c r="E618" s="475">
        <v>0.78</v>
      </c>
      <c r="F618" s="229" t="s">
        <v>1656</v>
      </c>
      <c r="H618" s="175" t="s">
        <v>10018</v>
      </c>
      <c r="I618" s="488"/>
      <c r="K618" s="507"/>
    </row>
    <row r="619">
      <c r="A619" s="358" t="s">
        <v>9751</v>
      </c>
      <c r="B619" s="477">
        <v>6658.0</v>
      </c>
      <c r="C619" s="11" t="s">
        <v>9590</v>
      </c>
      <c r="D619" s="74">
        <v>0.85</v>
      </c>
      <c r="E619" s="74">
        <v>0.85</v>
      </c>
      <c r="F619" s="229" t="s">
        <v>1656</v>
      </c>
      <c r="H619" s="175" t="s">
        <v>9818</v>
      </c>
      <c r="I619" s="465">
        <v>14594.0</v>
      </c>
      <c r="K619" s="507"/>
    </row>
    <row r="620">
      <c r="A620" s="358" t="s">
        <v>9754</v>
      </c>
      <c r="B620" s="477">
        <v>5458.0</v>
      </c>
      <c r="C620" s="11" t="s">
        <v>9590</v>
      </c>
      <c r="D620" s="475">
        <v>0.78</v>
      </c>
      <c r="E620" s="475">
        <v>0.78</v>
      </c>
      <c r="F620" s="229" t="s">
        <v>1656</v>
      </c>
      <c r="H620" s="175" t="s">
        <v>9919</v>
      </c>
      <c r="I620" s="488"/>
      <c r="K620" s="507"/>
    </row>
    <row r="621">
      <c r="A621" s="358" t="s">
        <v>9757</v>
      </c>
      <c r="B621" s="477">
        <v>5458.0</v>
      </c>
      <c r="C621" s="11" t="s">
        <v>9590</v>
      </c>
      <c r="D621" s="475">
        <v>0.78</v>
      </c>
      <c r="E621" s="475">
        <v>0.78</v>
      </c>
      <c r="F621" s="229" t="s">
        <v>1656</v>
      </c>
      <c r="H621" s="175" t="s">
        <v>9821</v>
      </c>
      <c r="I621" s="488"/>
      <c r="K621" s="507"/>
    </row>
    <row r="622">
      <c r="A622" s="358" t="s">
        <v>9760</v>
      </c>
      <c r="B622" s="477">
        <v>5458.0</v>
      </c>
      <c r="C622" s="11" t="s">
        <v>9590</v>
      </c>
      <c r="D622" s="475">
        <v>0.78</v>
      </c>
      <c r="E622" s="475">
        <v>0.78</v>
      </c>
      <c r="F622" s="229" t="s">
        <v>1656</v>
      </c>
      <c r="H622" s="175" t="s">
        <v>9922</v>
      </c>
      <c r="I622" s="488"/>
      <c r="K622" s="507"/>
    </row>
    <row r="623">
      <c r="A623" s="358" t="s">
        <v>9763</v>
      </c>
      <c r="B623" s="477">
        <v>7062.0</v>
      </c>
      <c r="C623" s="11" t="s">
        <v>9590</v>
      </c>
      <c r="D623" s="475">
        <v>0.78</v>
      </c>
      <c r="E623" s="475">
        <v>0.78</v>
      </c>
      <c r="F623" s="229" t="s">
        <v>1656</v>
      </c>
      <c r="H623" s="175" t="s">
        <v>9824</v>
      </c>
      <c r="I623" s="488"/>
      <c r="K623" s="507"/>
    </row>
    <row r="624">
      <c r="A624" s="358" t="s">
        <v>9766</v>
      </c>
      <c r="B624" s="477">
        <v>6530.0</v>
      </c>
      <c r="C624" s="11" t="s">
        <v>9590</v>
      </c>
      <c r="D624" s="475">
        <v>0.78</v>
      </c>
      <c r="E624" s="475">
        <v>0.78</v>
      </c>
      <c r="F624" s="229" t="s">
        <v>1656</v>
      </c>
      <c r="H624" s="175" t="s">
        <v>9961</v>
      </c>
      <c r="I624" s="488"/>
      <c r="K624" s="507"/>
    </row>
    <row r="625">
      <c r="A625" s="358" t="s">
        <v>9769</v>
      </c>
      <c r="B625" s="477">
        <v>7124.0</v>
      </c>
      <c r="C625" s="11" t="s">
        <v>9590</v>
      </c>
      <c r="D625" s="475">
        <v>0.78</v>
      </c>
      <c r="E625" s="475">
        <v>0.78</v>
      </c>
      <c r="F625" s="229" t="s">
        <v>1656</v>
      </c>
      <c r="H625" s="175" t="s">
        <v>9871</v>
      </c>
      <c r="I625" s="488"/>
      <c r="K625" s="507"/>
    </row>
    <row r="626">
      <c r="A626" s="358" t="s">
        <v>9772</v>
      </c>
      <c r="B626" s="477">
        <v>7023.0</v>
      </c>
      <c r="C626" s="11" t="s">
        <v>9590</v>
      </c>
      <c r="D626" s="475">
        <v>0.78</v>
      </c>
      <c r="E626" s="475">
        <v>0.78</v>
      </c>
      <c r="F626" s="229" t="s">
        <v>1656</v>
      </c>
      <c r="H626" s="175" t="s">
        <v>9827</v>
      </c>
      <c r="I626" s="488"/>
      <c r="K626" s="507"/>
    </row>
    <row r="627">
      <c r="A627" s="358" t="s">
        <v>9775</v>
      </c>
      <c r="B627" s="477">
        <v>6802.0</v>
      </c>
      <c r="C627" s="11" t="s">
        <v>9590</v>
      </c>
      <c r="D627" s="475">
        <v>0.78</v>
      </c>
      <c r="E627" s="475">
        <v>0.78</v>
      </c>
      <c r="F627" s="229" t="s">
        <v>1656</v>
      </c>
      <c r="H627" s="175" t="s">
        <v>10021</v>
      </c>
      <c r="I627" s="488"/>
      <c r="K627" s="507"/>
    </row>
    <row r="628">
      <c r="A628" s="358" t="s">
        <v>9778</v>
      </c>
      <c r="B628" s="477">
        <v>5389.0</v>
      </c>
      <c r="C628" s="11" t="s">
        <v>9590</v>
      </c>
      <c r="D628" s="475">
        <v>0.78</v>
      </c>
      <c r="E628" s="475">
        <v>0.78</v>
      </c>
      <c r="F628" s="229" t="s">
        <v>1656</v>
      </c>
      <c r="H628" s="175" t="s">
        <v>9964</v>
      </c>
      <c r="I628" s="488"/>
      <c r="K628" s="507"/>
    </row>
    <row r="629">
      <c r="A629" s="358" t="s">
        <v>9639</v>
      </c>
      <c r="B629" s="477">
        <v>6675.0</v>
      </c>
      <c r="C629" s="11" t="s">
        <v>9590</v>
      </c>
      <c r="D629" s="74">
        <v>0.9</v>
      </c>
      <c r="E629" s="74">
        <v>0.9</v>
      </c>
      <c r="F629" s="229" t="s">
        <v>1656</v>
      </c>
      <c r="H629" s="175" t="s">
        <v>9967</v>
      </c>
      <c r="I629" s="488"/>
      <c r="K629" s="507"/>
    </row>
    <row r="630">
      <c r="A630" s="358" t="s">
        <v>9595</v>
      </c>
      <c r="B630" s="477">
        <v>6732.0</v>
      </c>
      <c r="C630" s="11" t="s">
        <v>9590</v>
      </c>
      <c r="D630" s="475">
        <v>0.78</v>
      </c>
      <c r="E630" s="475">
        <v>0.78</v>
      </c>
      <c r="F630" s="229" t="s">
        <v>1656</v>
      </c>
      <c r="H630" s="175" t="s">
        <v>9874</v>
      </c>
      <c r="I630" s="465">
        <v>14580.0</v>
      </c>
      <c r="K630" s="507"/>
    </row>
    <row r="631">
      <c r="A631" s="358" t="s">
        <v>7857</v>
      </c>
      <c r="B631" s="477">
        <v>6949.0</v>
      </c>
      <c r="C631" s="11" t="s">
        <v>9590</v>
      </c>
      <c r="D631" s="475">
        <v>0.78</v>
      </c>
      <c r="E631" s="475">
        <v>0.78</v>
      </c>
      <c r="F631" s="229" t="s">
        <v>1656</v>
      </c>
      <c r="H631" s="175" t="s">
        <v>9925</v>
      </c>
      <c r="I631" s="488"/>
      <c r="K631" s="507"/>
    </row>
    <row r="632">
      <c r="A632" s="358" t="s">
        <v>7860</v>
      </c>
      <c r="B632" s="477">
        <v>3307.0</v>
      </c>
      <c r="C632" s="11" t="s">
        <v>9590</v>
      </c>
      <c r="D632" s="475">
        <v>0.78</v>
      </c>
      <c r="E632" s="475">
        <v>0.78</v>
      </c>
      <c r="F632" s="229" t="s">
        <v>1656</v>
      </c>
      <c r="H632" s="175" t="s">
        <v>9828</v>
      </c>
      <c r="I632" s="488"/>
      <c r="K632" s="507"/>
    </row>
    <row r="633">
      <c r="A633" s="358" t="s">
        <v>7855</v>
      </c>
      <c r="B633" s="477">
        <v>189.0</v>
      </c>
      <c r="C633" s="11" t="s">
        <v>9590</v>
      </c>
      <c r="D633" s="475">
        <v>0.91</v>
      </c>
      <c r="E633" s="475">
        <v>0.91</v>
      </c>
      <c r="F633" s="229" t="s">
        <v>1656</v>
      </c>
      <c r="H633" s="175" t="s">
        <v>9829</v>
      </c>
      <c r="I633" s="488"/>
      <c r="K633" s="507"/>
    </row>
    <row r="634">
      <c r="A634" s="358" t="s">
        <v>7837</v>
      </c>
      <c r="B634" s="477">
        <v>1360.0</v>
      </c>
      <c r="C634" s="11" t="s">
        <v>9590</v>
      </c>
      <c r="D634" s="475">
        <v>0.78</v>
      </c>
      <c r="E634" s="475">
        <v>0.78</v>
      </c>
      <c r="F634" s="229" t="s">
        <v>1656</v>
      </c>
      <c r="H634" s="175" t="s">
        <v>10062</v>
      </c>
      <c r="I634" s="488"/>
      <c r="K634" s="507"/>
    </row>
    <row r="635">
      <c r="A635" s="358" t="s">
        <v>7781</v>
      </c>
      <c r="B635" s="477">
        <v>2345.0</v>
      </c>
      <c r="C635" s="11" t="s">
        <v>9590</v>
      </c>
      <c r="D635" s="74">
        <v>0.9</v>
      </c>
      <c r="E635" s="74">
        <v>0.9</v>
      </c>
      <c r="F635" s="229" t="s">
        <v>1656</v>
      </c>
      <c r="H635" s="175" t="s">
        <v>10065</v>
      </c>
      <c r="I635" s="488"/>
      <c r="K635" s="507"/>
    </row>
    <row r="636">
      <c r="A636" s="358" t="s">
        <v>7844</v>
      </c>
      <c r="B636" s="477">
        <v>6947.0</v>
      </c>
      <c r="C636" s="11" t="s">
        <v>9590</v>
      </c>
      <c r="D636" s="475">
        <v>0.78</v>
      </c>
      <c r="E636" s="475">
        <v>0.78</v>
      </c>
      <c r="F636" s="229" t="s">
        <v>1656</v>
      </c>
      <c r="H636" s="175" t="s">
        <v>9831</v>
      </c>
      <c r="I636" s="488"/>
      <c r="K636" s="507"/>
    </row>
    <row r="637">
      <c r="A637" s="358" t="s">
        <v>7803</v>
      </c>
      <c r="B637" s="477">
        <v>2345.0</v>
      </c>
      <c r="C637" s="11" t="s">
        <v>9590</v>
      </c>
      <c r="D637" s="74">
        <v>0.9</v>
      </c>
      <c r="E637" s="74">
        <v>0.9</v>
      </c>
      <c r="F637" s="229" t="s">
        <v>1656</v>
      </c>
      <c r="H637" s="175" t="s">
        <v>9970</v>
      </c>
      <c r="I637" s="488"/>
      <c r="K637" s="507"/>
    </row>
    <row r="638">
      <c r="A638" s="358" t="s">
        <v>9591</v>
      </c>
      <c r="B638" s="477">
        <v>8199.0</v>
      </c>
      <c r="C638" s="11" t="s">
        <v>9590</v>
      </c>
      <c r="D638" s="475">
        <v>0.82</v>
      </c>
      <c r="E638" s="475">
        <v>0.82</v>
      </c>
      <c r="F638" s="229" t="s">
        <v>1656</v>
      </c>
      <c r="H638" s="175" t="s">
        <v>10068</v>
      </c>
      <c r="I638" s="488"/>
      <c r="K638" s="507"/>
    </row>
    <row r="639">
      <c r="A639" s="358" t="s">
        <v>7805</v>
      </c>
      <c r="B639" s="477">
        <v>5566.0</v>
      </c>
      <c r="C639" s="11" t="s">
        <v>9590</v>
      </c>
      <c r="D639" s="74">
        <v>0.85</v>
      </c>
      <c r="E639" s="74">
        <v>0.85</v>
      </c>
      <c r="F639" s="229" t="s">
        <v>1656</v>
      </c>
      <c r="H639" s="175" t="s">
        <v>9877</v>
      </c>
      <c r="I639" s="488"/>
      <c r="K639" s="507"/>
    </row>
    <row r="640">
      <c r="A640" s="358" t="s">
        <v>7811</v>
      </c>
      <c r="B640" s="477">
        <v>5566.0</v>
      </c>
      <c r="C640" s="11" t="s">
        <v>9590</v>
      </c>
      <c r="D640" s="74">
        <v>0.85</v>
      </c>
      <c r="E640" s="74">
        <v>0.85</v>
      </c>
      <c r="F640" s="229" t="s">
        <v>1656</v>
      </c>
      <c r="H640" s="175" t="s">
        <v>9973</v>
      </c>
      <c r="I640" s="488"/>
      <c r="K640" s="507"/>
    </row>
    <row r="641">
      <c r="A641" s="358" t="s">
        <v>7848</v>
      </c>
      <c r="B641" s="477">
        <v>5566.0</v>
      </c>
      <c r="C641" s="11" t="s">
        <v>9590</v>
      </c>
      <c r="D641" s="74">
        <v>0.85</v>
      </c>
      <c r="E641" s="74">
        <v>0.85</v>
      </c>
      <c r="F641" s="229" t="s">
        <v>1656</v>
      </c>
      <c r="H641" s="198" t="s">
        <v>10368</v>
      </c>
      <c r="I641" s="199">
        <v>8096.0</v>
      </c>
      <c r="K641" s="507"/>
    </row>
    <row r="642">
      <c r="A642" s="358" t="s">
        <v>7790</v>
      </c>
      <c r="B642" s="477">
        <v>5566.0</v>
      </c>
      <c r="C642" s="11" t="s">
        <v>9590</v>
      </c>
      <c r="D642" s="74">
        <v>0.85</v>
      </c>
      <c r="E642" s="74">
        <v>0.85</v>
      </c>
      <c r="F642" s="229" t="s">
        <v>1656</v>
      </c>
      <c r="H642" s="198" t="s">
        <v>10376</v>
      </c>
      <c r="I642" s="199">
        <v>8097.0</v>
      </c>
      <c r="K642" s="507"/>
    </row>
    <row r="643">
      <c r="A643" s="358" t="s">
        <v>7793</v>
      </c>
      <c r="B643" s="477">
        <v>6675.0</v>
      </c>
      <c r="C643" s="11" t="s">
        <v>9590</v>
      </c>
      <c r="D643" s="74">
        <v>0.9</v>
      </c>
      <c r="E643" s="74">
        <v>0.9</v>
      </c>
      <c r="F643" s="229" t="s">
        <v>1656</v>
      </c>
      <c r="H643" s="198" t="s">
        <v>10377</v>
      </c>
      <c r="I643" s="199">
        <v>8005.0</v>
      </c>
      <c r="K643" s="507"/>
    </row>
    <row r="644">
      <c r="A644" s="358" t="s">
        <v>7859</v>
      </c>
      <c r="B644" s="477">
        <v>6772.0</v>
      </c>
      <c r="C644" s="11" t="s">
        <v>9590</v>
      </c>
      <c r="D644" s="475">
        <v>0.78</v>
      </c>
      <c r="E644" s="475">
        <v>0.78</v>
      </c>
      <c r="F644" s="229" t="s">
        <v>1656</v>
      </c>
      <c r="H644" s="198" t="s">
        <v>10378</v>
      </c>
      <c r="I644" s="199">
        <v>8483.0</v>
      </c>
      <c r="K644" s="507"/>
    </row>
    <row r="645">
      <c r="A645" s="358" t="s">
        <v>7807</v>
      </c>
      <c r="B645" s="477">
        <v>5566.0</v>
      </c>
      <c r="C645" s="11" t="s">
        <v>9590</v>
      </c>
      <c r="D645" s="74">
        <v>0.85</v>
      </c>
      <c r="E645" s="74">
        <v>0.85</v>
      </c>
      <c r="F645" s="229" t="s">
        <v>1656</v>
      </c>
      <c r="H645" s="198" t="s">
        <v>10379</v>
      </c>
      <c r="I645" s="199">
        <v>7866.0</v>
      </c>
      <c r="K645" s="507"/>
    </row>
    <row r="646">
      <c r="A646" s="358" t="s">
        <v>7840</v>
      </c>
      <c r="B646" s="477">
        <v>5566.0</v>
      </c>
      <c r="C646" s="11" t="s">
        <v>9590</v>
      </c>
      <c r="D646" s="74">
        <v>0.85</v>
      </c>
      <c r="E646" s="74">
        <v>0.85</v>
      </c>
      <c r="F646" s="229" t="s">
        <v>1656</v>
      </c>
      <c r="H646" s="198" t="s">
        <v>10380</v>
      </c>
      <c r="I646" s="199">
        <v>8537.0</v>
      </c>
      <c r="K646" s="507"/>
    </row>
    <row r="647">
      <c r="A647" s="358" t="s">
        <v>7836</v>
      </c>
      <c r="B647" s="477">
        <v>2345.0</v>
      </c>
      <c r="C647" s="11" t="s">
        <v>9590</v>
      </c>
      <c r="D647" s="74">
        <v>0.9</v>
      </c>
      <c r="E647" s="74">
        <v>0.9</v>
      </c>
      <c r="F647" s="229" t="s">
        <v>1656</v>
      </c>
      <c r="H647" s="508" t="s">
        <v>10381</v>
      </c>
      <c r="I647" s="199">
        <v>7713.0</v>
      </c>
      <c r="K647" s="507"/>
    </row>
    <row r="648">
      <c r="A648" s="358" t="s">
        <v>7772</v>
      </c>
      <c r="B648" s="477">
        <v>2345.0</v>
      </c>
      <c r="C648" s="11" t="s">
        <v>9590</v>
      </c>
      <c r="D648" s="74">
        <v>0.9</v>
      </c>
      <c r="E648" s="74">
        <v>0.9</v>
      </c>
      <c r="F648" s="229" t="s">
        <v>1656</v>
      </c>
      <c r="H648" s="508" t="s">
        <v>10359</v>
      </c>
      <c r="I648" s="199">
        <v>7699.0</v>
      </c>
      <c r="K648" s="507"/>
    </row>
    <row r="649">
      <c r="A649" s="358" t="s">
        <v>7842</v>
      </c>
      <c r="B649" s="477">
        <v>2345.0</v>
      </c>
      <c r="C649" s="11" t="s">
        <v>9590</v>
      </c>
      <c r="D649" s="74">
        <v>0.9</v>
      </c>
      <c r="E649" s="74">
        <v>0.9</v>
      </c>
      <c r="F649" s="229" t="s">
        <v>1656</v>
      </c>
      <c r="H649" s="508" t="s">
        <v>10382</v>
      </c>
      <c r="I649" s="199">
        <v>7982.0</v>
      </c>
      <c r="K649" s="507"/>
    </row>
    <row r="650">
      <c r="A650" s="358" t="s">
        <v>7816</v>
      </c>
      <c r="B650" s="477">
        <v>5566.0</v>
      </c>
      <c r="C650" s="11" t="s">
        <v>9590</v>
      </c>
      <c r="D650" s="74">
        <v>0.85</v>
      </c>
      <c r="E650" s="74">
        <v>0.85</v>
      </c>
      <c r="F650" s="229" t="s">
        <v>1656</v>
      </c>
      <c r="H650" s="508" t="s">
        <v>10360</v>
      </c>
      <c r="I650" s="199">
        <v>7700.0</v>
      </c>
      <c r="K650" s="507"/>
    </row>
    <row r="651">
      <c r="A651" s="358" t="s">
        <v>7828</v>
      </c>
      <c r="B651" s="477">
        <v>6671.0</v>
      </c>
      <c r="C651" s="11" t="s">
        <v>9590</v>
      </c>
      <c r="D651" s="475">
        <v>0.82</v>
      </c>
      <c r="E651" s="475">
        <v>0.82</v>
      </c>
      <c r="F651" s="229" t="s">
        <v>1656</v>
      </c>
      <c r="H651" s="508" t="s">
        <v>10361</v>
      </c>
      <c r="I651" s="199">
        <v>7628.0</v>
      </c>
      <c r="K651" s="507"/>
    </row>
    <row r="652">
      <c r="A652" s="358" t="s">
        <v>7799</v>
      </c>
      <c r="B652" s="477">
        <v>4933.0</v>
      </c>
      <c r="C652" s="11" t="s">
        <v>9590</v>
      </c>
      <c r="D652" s="475">
        <v>0.78</v>
      </c>
      <c r="E652" s="475">
        <v>0.78</v>
      </c>
      <c r="F652" s="229" t="s">
        <v>1656</v>
      </c>
      <c r="H652" s="508" t="s">
        <v>7348</v>
      </c>
      <c r="I652" s="199">
        <v>7780.0</v>
      </c>
      <c r="K652" s="507"/>
    </row>
    <row r="653">
      <c r="A653" s="358" t="s">
        <v>7817</v>
      </c>
      <c r="B653" s="477">
        <v>986.0</v>
      </c>
      <c r="C653" s="11" t="s">
        <v>9590</v>
      </c>
      <c r="D653" s="475">
        <v>0.78</v>
      </c>
      <c r="E653" s="475">
        <v>0.78</v>
      </c>
      <c r="F653" s="229" t="s">
        <v>1656</v>
      </c>
      <c r="H653" s="508" t="s">
        <v>10362</v>
      </c>
      <c r="I653" s="199">
        <v>7669.0</v>
      </c>
      <c r="K653" s="507"/>
    </row>
    <row r="654">
      <c r="A654" s="358" t="s">
        <v>7774</v>
      </c>
      <c r="B654" s="358">
        <v>14638.0</v>
      </c>
      <c r="C654" s="11" t="s">
        <v>9590</v>
      </c>
      <c r="D654" s="475">
        <v>0.78</v>
      </c>
      <c r="E654" s="475">
        <v>0.78</v>
      </c>
      <c r="F654" s="229" t="s">
        <v>1656</v>
      </c>
      <c r="H654" s="508" t="s">
        <v>10363</v>
      </c>
      <c r="I654" s="199">
        <v>8623.0</v>
      </c>
      <c r="K654" s="507"/>
    </row>
    <row r="655">
      <c r="A655" s="358" t="s">
        <v>10383</v>
      </c>
      <c r="B655" s="358">
        <v>14638.0</v>
      </c>
      <c r="C655" s="11" t="s">
        <v>9590</v>
      </c>
      <c r="D655" s="475">
        <v>0.78</v>
      </c>
      <c r="E655" s="475">
        <v>0.78</v>
      </c>
      <c r="F655" s="229" t="s">
        <v>1656</v>
      </c>
      <c r="H655" s="508" t="s">
        <v>10364</v>
      </c>
      <c r="I655" s="199">
        <v>7872.0</v>
      </c>
      <c r="K655" s="507"/>
    </row>
    <row r="656">
      <c r="A656" s="358" t="s">
        <v>10384</v>
      </c>
      <c r="B656" s="504"/>
      <c r="C656" s="11" t="s">
        <v>9590</v>
      </c>
      <c r="D656" s="475">
        <v>0.78</v>
      </c>
      <c r="E656" s="475">
        <v>0.78</v>
      </c>
      <c r="F656" s="229" t="s">
        <v>1656</v>
      </c>
      <c r="H656" s="508" t="s">
        <v>10385</v>
      </c>
      <c r="I656" s="199">
        <v>8531.0</v>
      </c>
      <c r="K656" s="507"/>
    </row>
    <row r="657">
      <c r="A657" s="358" t="s">
        <v>10386</v>
      </c>
      <c r="B657" s="11">
        <v>14734.0</v>
      </c>
      <c r="C657" s="11" t="s">
        <v>9590</v>
      </c>
      <c r="D657" s="475">
        <v>0.78</v>
      </c>
      <c r="E657" s="475">
        <v>0.78</v>
      </c>
      <c r="F657" s="229" t="s">
        <v>1656</v>
      </c>
      <c r="H657" s="508" t="s">
        <v>10365</v>
      </c>
      <c r="I657" s="199">
        <v>7523.0</v>
      </c>
      <c r="K657" s="507"/>
    </row>
    <row r="658">
      <c r="A658" s="358" t="s">
        <v>10387</v>
      </c>
      <c r="B658" s="504"/>
      <c r="C658" s="11" t="s">
        <v>9590</v>
      </c>
      <c r="D658" s="475">
        <v>0.78</v>
      </c>
      <c r="E658" s="475">
        <v>0.78</v>
      </c>
      <c r="F658" s="229" t="s">
        <v>1656</v>
      </c>
      <c r="H658" s="508" t="s">
        <v>10366</v>
      </c>
      <c r="I658" s="199">
        <v>8484.0</v>
      </c>
      <c r="K658" s="507"/>
    </row>
    <row r="659">
      <c r="A659" s="358" t="s">
        <v>7778</v>
      </c>
      <c r="B659" s="477">
        <v>7083.0</v>
      </c>
      <c r="C659" s="11" t="s">
        <v>9590</v>
      </c>
      <c r="D659" s="475">
        <v>0.78</v>
      </c>
      <c r="E659" s="475">
        <v>0.78</v>
      </c>
      <c r="F659" s="229" t="s">
        <v>1656</v>
      </c>
      <c r="H659" s="508" t="s">
        <v>10388</v>
      </c>
      <c r="I659" s="199">
        <v>8532.0</v>
      </c>
      <c r="K659" s="507"/>
    </row>
    <row r="660">
      <c r="A660" s="358" t="s">
        <v>9608</v>
      </c>
      <c r="B660" s="477">
        <v>6887.0</v>
      </c>
      <c r="C660" s="11" t="s">
        <v>9590</v>
      </c>
      <c r="D660" s="475">
        <v>0.78</v>
      </c>
      <c r="E660" s="475">
        <v>0.78</v>
      </c>
      <c r="F660" s="229" t="s">
        <v>1656</v>
      </c>
      <c r="H660" s="508" t="s">
        <v>10367</v>
      </c>
      <c r="I660" s="199">
        <v>7715.0</v>
      </c>
      <c r="K660" s="507"/>
    </row>
    <row r="661">
      <c r="A661" s="358" t="s">
        <v>10389</v>
      </c>
      <c r="B661" s="358">
        <v>14658.0</v>
      </c>
      <c r="C661" s="11" t="s">
        <v>9590</v>
      </c>
      <c r="D661" s="475">
        <v>0.78</v>
      </c>
      <c r="E661" s="475">
        <v>0.78</v>
      </c>
      <c r="F661" s="229" t="s">
        <v>1656</v>
      </c>
      <c r="H661" s="508" t="s">
        <v>10390</v>
      </c>
      <c r="I661" s="199">
        <v>7654.0</v>
      </c>
      <c r="K661" s="507"/>
    </row>
    <row r="662">
      <c r="A662" s="358" t="s">
        <v>10391</v>
      </c>
      <c r="B662" s="504"/>
      <c r="C662" s="11" t="s">
        <v>9590</v>
      </c>
      <c r="D662" s="475">
        <v>0.78</v>
      </c>
      <c r="E662" s="475">
        <v>0.78</v>
      </c>
      <c r="F662" s="229" t="s">
        <v>1656</v>
      </c>
      <c r="H662" s="198" t="s">
        <v>10375</v>
      </c>
      <c r="I662" s="199">
        <v>7520.0</v>
      </c>
      <c r="K662" s="507"/>
    </row>
    <row r="663">
      <c r="A663" s="358" t="s">
        <v>7810</v>
      </c>
      <c r="B663" s="477">
        <v>5566.0</v>
      </c>
      <c r="C663" s="11" t="s">
        <v>9590</v>
      </c>
      <c r="D663" s="74">
        <v>0.85</v>
      </c>
      <c r="E663" s="74">
        <v>0.85</v>
      </c>
      <c r="F663" s="229" t="s">
        <v>1656</v>
      </c>
      <c r="H663" s="198" t="s">
        <v>10358</v>
      </c>
      <c r="I663" s="199">
        <v>7660.0</v>
      </c>
      <c r="K663" s="507"/>
    </row>
    <row r="664">
      <c r="A664" s="358" t="s">
        <v>7789</v>
      </c>
      <c r="B664" s="477">
        <v>6924.0</v>
      </c>
      <c r="C664" s="11" t="s">
        <v>9590</v>
      </c>
      <c r="D664" s="475">
        <v>0.78</v>
      </c>
      <c r="E664" s="475">
        <v>0.78</v>
      </c>
      <c r="F664" s="229" t="s">
        <v>1656</v>
      </c>
      <c r="H664" s="198" t="s">
        <v>10357</v>
      </c>
      <c r="I664" s="199">
        <v>7734.0</v>
      </c>
      <c r="K664" s="507"/>
    </row>
    <row r="665">
      <c r="A665" s="358" t="s">
        <v>10392</v>
      </c>
      <c r="B665" s="504"/>
      <c r="C665" s="11" t="s">
        <v>9590</v>
      </c>
      <c r="D665" s="475">
        <v>0.78</v>
      </c>
      <c r="E665" s="475">
        <v>0.78</v>
      </c>
      <c r="F665" s="229" t="s">
        <v>1656</v>
      </c>
      <c r="H665" s="198" t="s">
        <v>10393</v>
      </c>
      <c r="I665" s="198"/>
      <c r="K665" s="507"/>
    </row>
    <row r="666">
      <c r="A666" s="358" t="s">
        <v>7858</v>
      </c>
      <c r="B666" s="477">
        <v>6675.0</v>
      </c>
      <c r="C666" s="11" t="s">
        <v>9590</v>
      </c>
      <c r="D666" s="74">
        <v>0.9</v>
      </c>
      <c r="E666" s="74">
        <v>0.9</v>
      </c>
      <c r="F666" s="229" t="s">
        <v>1656</v>
      </c>
      <c r="H666" s="509" t="s">
        <v>7346</v>
      </c>
      <c r="I666" s="199">
        <v>8272.0</v>
      </c>
      <c r="K666" s="507"/>
    </row>
    <row r="667">
      <c r="A667" s="358" t="s">
        <v>7804</v>
      </c>
      <c r="B667" s="477">
        <v>6727.0</v>
      </c>
      <c r="C667" s="11" t="s">
        <v>9590</v>
      </c>
      <c r="D667" s="475">
        <v>0.78</v>
      </c>
      <c r="E667" s="475">
        <v>0.78</v>
      </c>
      <c r="F667" s="229" t="s">
        <v>1656</v>
      </c>
      <c r="H667" s="510" t="s">
        <v>10394</v>
      </c>
      <c r="I667" s="199">
        <v>8252.0</v>
      </c>
      <c r="K667" s="507"/>
    </row>
    <row r="668">
      <c r="A668" s="358" t="s">
        <v>9598</v>
      </c>
      <c r="B668" s="477">
        <v>6732.0</v>
      </c>
      <c r="C668" s="11" t="s">
        <v>9590</v>
      </c>
      <c r="D668" s="475">
        <v>0.78</v>
      </c>
      <c r="E668" s="475">
        <v>0.78</v>
      </c>
      <c r="F668" s="229" t="s">
        <v>1656</v>
      </c>
      <c r="H668" s="510" t="s">
        <v>10395</v>
      </c>
      <c r="I668" s="199">
        <v>8253.0</v>
      </c>
      <c r="K668" s="507"/>
    </row>
    <row r="669">
      <c r="A669" s="358" t="s">
        <v>10396</v>
      </c>
      <c r="B669" s="504"/>
      <c r="C669" s="11" t="s">
        <v>9590</v>
      </c>
      <c r="D669" s="475">
        <v>0.78</v>
      </c>
      <c r="E669" s="475">
        <v>0.78</v>
      </c>
      <c r="F669" s="229" t="s">
        <v>1656</v>
      </c>
      <c r="H669" s="510" t="s">
        <v>10355</v>
      </c>
      <c r="I669" s="199">
        <v>7983.0</v>
      </c>
      <c r="K669" s="507"/>
    </row>
    <row r="670">
      <c r="A670" s="358" t="s">
        <v>7794</v>
      </c>
      <c r="B670" s="477">
        <v>6727.0</v>
      </c>
      <c r="C670" s="11" t="s">
        <v>9590</v>
      </c>
      <c r="D670" s="475">
        <v>0.78</v>
      </c>
      <c r="E670" s="475">
        <v>0.78</v>
      </c>
      <c r="F670" s="229" t="s">
        <v>1656</v>
      </c>
      <c r="H670" s="510" t="s">
        <v>10354</v>
      </c>
      <c r="I670" s="199">
        <v>8696.0</v>
      </c>
      <c r="K670" s="507"/>
    </row>
    <row r="671">
      <c r="A671" s="358" t="s">
        <v>9592</v>
      </c>
      <c r="B671" s="358">
        <v>14681.0</v>
      </c>
      <c r="C671" s="11" t="s">
        <v>9590</v>
      </c>
      <c r="D671" s="475">
        <v>0.78</v>
      </c>
      <c r="E671" s="475">
        <v>0.78</v>
      </c>
      <c r="F671" s="229" t="s">
        <v>1656</v>
      </c>
      <c r="H671" s="198" t="s">
        <v>10353</v>
      </c>
      <c r="I671" s="199">
        <v>8578.0</v>
      </c>
      <c r="K671" s="507"/>
    </row>
    <row r="672">
      <c r="A672" s="358" t="s">
        <v>10397</v>
      </c>
      <c r="B672" s="504"/>
      <c r="C672" s="11" t="s">
        <v>9590</v>
      </c>
      <c r="D672" s="475">
        <v>0.78</v>
      </c>
      <c r="E672" s="475">
        <v>0.78</v>
      </c>
      <c r="F672" s="229" t="s">
        <v>1656</v>
      </c>
      <c r="H672" s="198" t="s">
        <v>2012</v>
      </c>
      <c r="I672" s="199">
        <v>8255.0</v>
      </c>
      <c r="K672" s="507"/>
    </row>
    <row r="673">
      <c r="A673" s="358" t="s">
        <v>10398</v>
      </c>
      <c r="B673" s="358">
        <v>14607.0</v>
      </c>
      <c r="C673" s="11" t="s">
        <v>9590</v>
      </c>
      <c r="D673" s="475">
        <v>0.78</v>
      </c>
      <c r="E673" s="475">
        <v>0.78</v>
      </c>
      <c r="F673" s="229" t="s">
        <v>1656</v>
      </c>
      <c r="H673" s="198" t="s">
        <v>10352</v>
      </c>
      <c r="I673" s="199">
        <v>8274.0</v>
      </c>
      <c r="K673" s="507"/>
    </row>
    <row r="674">
      <c r="A674" s="358" t="s">
        <v>10399</v>
      </c>
      <c r="B674" s="504"/>
      <c r="C674" s="11" t="s">
        <v>9590</v>
      </c>
      <c r="D674" s="475">
        <v>0.78</v>
      </c>
      <c r="E674" s="475">
        <v>0.78</v>
      </c>
      <c r="F674" s="229" t="s">
        <v>1656</v>
      </c>
      <c r="H674" s="198" t="s">
        <v>10400</v>
      </c>
      <c r="I674" s="199">
        <v>8482.0</v>
      </c>
      <c r="K674" s="507"/>
    </row>
    <row r="675">
      <c r="A675" s="358" t="s">
        <v>10401</v>
      </c>
      <c r="B675" s="504"/>
      <c r="C675" s="11" t="s">
        <v>9590</v>
      </c>
      <c r="D675" s="475">
        <v>0.78</v>
      </c>
      <c r="E675" s="475">
        <v>0.78</v>
      </c>
      <c r="F675" s="229" t="s">
        <v>1656</v>
      </c>
      <c r="H675" s="198" t="s">
        <v>10402</v>
      </c>
      <c r="I675" s="199">
        <v>8575.0</v>
      </c>
      <c r="K675" s="507"/>
    </row>
    <row r="676">
      <c r="A676" s="358" t="s">
        <v>7850</v>
      </c>
      <c r="B676" s="477">
        <v>5566.0</v>
      </c>
      <c r="C676" s="11" t="s">
        <v>9590</v>
      </c>
      <c r="D676" s="74">
        <v>0.85</v>
      </c>
      <c r="E676" s="74">
        <v>0.85</v>
      </c>
      <c r="F676" s="229" t="s">
        <v>1656</v>
      </c>
      <c r="H676" s="198" t="s">
        <v>10403</v>
      </c>
      <c r="I676" s="199">
        <v>9596.0</v>
      </c>
      <c r="K676" s="507"/>
    </row>
    <row r="677">
      <c r="A677" s="358" t="s">
        <v>7845</v>
      </c>
      <c r="B677" s="477">
        <v>7040.0</v>
      </c>
      <c r="C677" s="11" t="s">
        <v>9590</v>
      </c>
      <c r="D677" s="475">
        <v>0.78</v>
      </c>
      <c r="E677" s="475">
        <v>0.78</v>
      </c>
      <c r="F677" s="229" t="s">
        <v>1656</v>
      </c>
      <c r="H677" s="198" t="s">
        <v>10404</v>
      </c>
      <c r="I677" s="199">
        <v>9572.0</v>
      </c>
      <c r="K677" s="507"/>
    </row>
    <row r="678">
      <c r="A678" s="358" t="s">
        <v>10405</v>
      </c>
      <c r="B678" s="504"/>
      <c r="C678" s="11" t="s">
        <v>9590</v>
      </c>
      <c r="D678" s="475">
        <v>0.78</v>
      </c>
      <c r="E678" s="475">
        <v>0.78</v>
      </c>
      <c r="F678" s="229" t="s">
        <v>1656</v>
      </c>
      <c r="H678" s="198" t="s">
        <v>10406</v>
      </c>
      <c r="I678" s="199">
        <v>9573.0</v>
      </c>
      <c r="K678" s="507"/>
    </row>
    <row r="679">
      <c r="A679" s="358" t="s">
        <v>7838</v>
      </c>
      <c r="B679" s="477">
        <v>5566.0</v>
      </c>
      <c r="C679" s="11" t="s">
        <v>9590</v>
      </c>
      <c r="D679" s="74">
        <v>0.85</v>
      </c>
      <c r="E679" s="74">
        <v>0.85</v>
      </c>
      <c r="F679" s="229" t="s">
        <v>1656</v>
      </c>
      <c r="H679" s="198" t="s">
        <v>10407</v>
      </c>
      <c r="I679" s="199">
        <v>9602.0</v>
      </c>
      <c r="K679" s="507"/>
    </row>
    <row r="680">
      <c r="A680" s="358" t="s">
        <v>10408</v>
      </c>
      <c r="B680" s="358">
        <v>14752.0</v>
      </c>
      <c r="C680" s="11" t="s">
        <v>9590</v>
      </c>
      <c r="D680" s="475">
        <v>0.78</v>
      </c>
      <c r="E680" s="475">
        <v>0.78</v>
      </c>
      <c r="F680" s="229" t="s">
        <v>1656</v>
      </c>
      <c r="H680" s="511" t="s">
        <v>10348</v>
      </c>
      <c r="I680" s="199">
        <v>8482.0</v>
      </c>
      <c r="K680" s="507"/>
    </row>
    <row r="681">
      <c r="A681" s="358" t="s">
        <v>7796</v>
      </c>
      <c r="B681" s="477">
        <v>1360.0</v>
      </c>
      <c r="C681" s="11" t="s">
        <v>9590</v>
      </c>
      <c r="D681" s="475">
        <v>0.78</v>
      </c>
      <c r="E681" s="475">
        <v>0.78</v>
      </c>
      <c r="F681" s="229" t="s">
        <v>1656</v>
      </c>
      <c r="H681" s="7" t="s">
        <v>10369</v>
      </c>
      <c r="I681" s="199">
        <v>9670.0</v>
      </c>
      <c r="K681" s="507"/>
    </row>
    <row r="682">
      <c r="A682" s="358" t="s">
        <v>10409</v>
      </c>
      <c r="B682" s="358">
        <v>14661.0</v>
      </c>
      <c r="C682" s="11" t="s">
        <v>9590</v>
      </c>
      <c r="D682" s="475">
        <v>0.78</v>
      </c>
      <c r="E682" s="475">
        <v>0.78</v>
      </c>
      <c r="F682" s="229" t="s">
        <v>1656</v>
      </c>
      <c r="H682" s="7" t="s">
        <v>10370</v>
      </c>
      <c r="I682" s="199">
        <v>7523.0</v>
      </c>
      <c r="K682" s="507"/>
    </row>
    <row r="683">
      <c r="A683" s="358" t="s">
        <v>7841</v>
      </c>
      <c r="B683" s="477">
        <v>189.0</v>
      </c>
      <c r="C683" s="11" t="s">
        <v>9590</v>
      </c>
      <c r="D683" s="475">
        <v>0.91</v>
      </c>
      <c r="E683" s="475">
        <v>0.91</v>
      </c>
      <c r="F683" s="229" t="s">
        <v>1656</v>
      </c>
      <c r="H683" s="7" t="s">
        <v>10410</v>
      </c>
      <c r="I683" s="199">
        <v>9685.0</v>
      </c>
      <c r="K683" s="507"/>
    </row>
    <row r="684">
      <c r="A684" s="358" t="s">
        <v>10411</v>
      </c>
      <c r="B684" s="358">
        <v>14607.0</v>
      </c>
      <c r="C684" s="11" t="s">
        <v>9590</v>
      </c>
      <c r="D684" s="475">
        <v>0.78</v>
      </c>
      <c r="E684" s="475">
        <v>0.78</v>
      </c>
      <c r="F684" s="229" t="s">
        <v>1656</v>
      </c>
      <c r="H684" s="198" t="s">
        <v>10412</v>
      </c>
      <c r="I684" s="199">
        <v>9825.0</v>
      </c>
      <c r="K684" s="507"/>
    </row>
    <row r="685">
      <c r="A685" s="358" t="s">
        <v>10413</v>
      </c>
      <c r="B685" s="504"/>
      <c r="C685" s="11" t="s">
        <v>9590</v>
      </c>
      <c r="D685" s="475">
        <v>0.78</v>
      </c>
      <c r="E685" s="475">
        <v>0.78</v>
      </c>
      <c r="F685" s="229" t="s">
        <v>1656</v>
      </c>
      <c r="H685" s="198" t="s">
        <v>10414</v>
      </c>
      <c r="I685" s="199">
        <v>9727.0</v>
      </c>
      <c r="K685" s="507"/>
    </row>
    <row r="686">
      <c r="A686" s="358" t="s">
        <v>10415</v>
      </c>
      <c r="B686" s="512">
        <v>14540.0</v>
      </c>
      <c r="C686" s="11" t="s">
        <v>9590</v>
      </c>
      <c r="D686" s="475">
        <v>0.78</v>
      </c>
      <c r="E686" s="475">
        <v>0.78</v>
      </c>
      <c r="F686" s="229" t="s">
        <v>1656</v>
      </c>
      <c r="H686" s="198" t="s">
        <v>10416</v>
      </c>
      <c r="I686" s="199">
        <v>9843.0</v>
      </c>
      <c r="K686" s="507"/>
    </row>
    <row r="687">
      <c r="A687" s="358" t="s">
        <v>10417</v>
      </c>
      <c r="B687" s="504"/>
      <c r="C687" s="11" t="s">
        <v>9590</v>
      </c>
      <c r="D687" s="475">
        <v>0.78</v>
      </c>
      <c r="E687" s="475">
        <v>0.78</v>
      </c>
      <c r="F687" s="229" t="s">
        <v>1656</v>
      </c>
      <c r="H687" s="198" t="s">
        <v>10418</v>
      </c>
      <c r="I687" s="199">
        <v>9545.0</v>
      </c>
      <c r="K687" s="507"/>
    </row>
    <row r="688">
      <c r="A688" s="358" t="s">
        <v>10419</v>
      </c>
      <c r="B688" s="358"/>
      <c r="C688" s="11" t="s">
        <v>9590</v>
      </c>
      <c r="D688" s="475">
        <v>0.78</v>
      </c>
      <c r="E688" s="475">
        <v>0.78</v>
      </c>
      <c r="F688" s="229" t="s">
        <v>1656</v>
      </c>
      <c r="H688" s="198" t="s">
        <v>10420</v>
      </c>
      <c r="I688" s="199">
        <v>10056.0</v>
      </c>
      <c r="K688" s="507"/>
    </row>
    <row r="689">
      <c r="A689" s="358" t="s">
        <v>7818</v>
      </c>
      <c r="B689" s="477">
        <v>986.0</v>
      </c>
      <c r="C689" s="11" t="s">
        <v>9590</v>
      </c>
      <c r="D689" s="475">
        <v>0.78</v>
      </c>
      <c r="E689" s="475">
        <v>0.78</v>
      </c>
      <c r="F689" s="229" t="s">
        <v>1656</v>
      </c>
      <c r="H689" s="198" t="s">
        <v>10421</v>
      </c>
      <c r="I689" s="199">
        <v>10134.0</v>
      </c>
      <c r="K689" s="507"/>
    </row>
    <row r="690">
      <c r="A690" s="358" t="s">
        <v>10422</v>
      </c>
      <c r="B690" s="504"/>
      <c r="C690" s="11" t="s">
        <v>9590</v>
      </c>
      <c r="D690" s="475">
        <v>0.78</v>
      </c>
      <c r="E690" s="475">
        <v>0.78</v>
      </c>
      <c r="F690" s="229" t="s">
        <v>1656</v>
      </c>
      <c r="H690" s="198" t="s">
        <v>10336</v>
      </c>
      <c r="I690" s="199">
        <v>10861.0</v>
      </c>
      <c r="K690" s="507"/>
    </row>
    <row r="691">
      <c r="A691" s="358" t="s">
        <v>10423</v>
      </c>
      <c r="B691" s="358">
        <v>14735.0</v>
      </c>
      <c r="C691" s="11" t="s">
        <v>9590</v>
      </c>
      <c r="D691" s="475">
        <v>0.78</v>
      </c>
      <c r="E691" s="475">
        <v>0.78</v>
      </c>
      <c r="F691" s="229" t="s">
        <v>1656</v>
      </c>
      <c r="H691" s="198" t="s">
        <v>10424</v>
      </c>
      <c r="I691" s="199">
        <v>9663.0</v>
      </c>
      <c r="K691" s="507"/>
    </row>
    <row r="692">
      <c r="A692" s="358" t="s">
        <v>7832</v>
      </c>
      <c r="B692" s="477">
        <v>663.0</v>
      </c>
      <c r="C692" s="11" t="s">
        <v>9590</v>
      </c>
      <c r="D692" s="475">
        <v>0.82</v>
      </c>
      <c r="E692" s="475">
        <v>0.82</v>
      </c>
      <c r="F692" s="229" t="s">
        <v>1656</v>
      </c>
      <c r="H692" s="198" t="s">
        <v>10425</v>
      </c>
      <c r="I692" s="199">
        <v>9568.0</v>
      </c>
      <c r="K692" s="507"/>
    </row>
    <row r="693">
      <c r="A693" s="358" t="s">
        <v>10426</v>
      </c>
      <c r="B693" s="504"/>
      <c r="C693" s="11" t="s">
        <v>9590</v>
      </c>
      <c r="D693" s="475">
        <v>0.78</v>
      </c>
      <c r="E693" s="475">
        <v>0.78</v>
      </c>
      <c r="F693" s="229" t="s">
        <v>1656</v>
      </c>
      <c r="H693" s="198" t="s">
        <v>10427</v>
      </c>
      <c r="I693" s="199">
        <v>9768.0</v>
      </c>
      <c r="K693" s="507"/>
    </row>
    <row r="694">
      <c r="A694" s="358" t="s">
        <v>10428</v>
      </c>
      <c r="B694" s="16">
        <v>14658.0</v>
      </c>
      <c r="C694" s="11" t="s">
        <v>9590</v>
      </c>
      <c r="D694" s="475">
        <v>0.78</v>
      </c>
      <c r="E694" s="475">
        <v>0.78</v>
      </c>
      <c r="F694" s="229" t="s">
        <v>1656</v>
      </c>
      <c r="H694" s="198" t="s">
        <v>10337</v>
      </c>
      <c r="I694" s="199">
        <v>10368.0</v>
      </c>
      <c r="K694" s="507"/>
    </row>
    <row r="695">
      <c r="A695" s="358" t="s">
        <v>10429</v>
      </c>
      <c r="B695" s="504"/>
      <c r="C695" s="11" t="s">
        <v>9590</v>
      </c>
      <c r="D695" s="475">
        <v>0.78</v>
      </c>
      <c r="E695" s="475">
        <v>0.78</v>
      </c>
      <c r="F695" s="229" t="s">
        <v>1656</v>
      </c>
      <c r="H695" s="198" t="s">
        <v>10430</v>
      </c>
      <c r="I695" s="199">
        <v>12163.0</v>
      </c>
      <c r="K695" s="507"/>
    </row>
    <row r="696">
      <c r="A696" s="358" t="s">
        <v>10431</v>
      </c>
      <c r="B696" s="358">
        <v>14575.0</v>
      </c>
      <c r="C696" s="11" t="s">
        <v>9590</v>
      </c>
      <c r="D696" s="74">
        <v>0.85</v>
      </c>
      <c r="E696" s="74">
        <v>0.85</v>
      </c>
      <c r="F696" s="229" t="s">
        <v>1656</v>
      </c>
      <c r="H696" s="198" t="s">
        <v>10432</v>
      </c>
      <c r="I696" s="199">
        <v>12015.0</v>
      </c>
      <c r="K696" s="507"/>
    </row>
    <row r="697">
      <c r="A697" s="358" t="s">
        <v>10433</v>
      </c>
      <c r="B697" s="358"/>
      <c r="C697" s="11" t="s">
        <v>9590</v>
      </c>
      <c r="D697" s="475">
        <v>0.78</v>
      </c>
      <c r="E697" s="475">
        <v>0.78</v>
      </c>
      <c r="F697" s="229" t="s">
        <v>1656</v>
      </c>
      <c r="H697" s="511" t="s">
        <v>10333</v>
      </c>
      <c r="I697" s="199">
        <v>7652.0</v>
      </c>
      <c r="K697" s="507"/>
    </row>
    <row r="698">
      <c r="A698" s="358" t="s">
        <v>10434</v>
      </c>
      <c r="B698" s="504"/>
      <c r="C698" s="11" t="s">
        <v>9590</v>
      </c>
      <c r="D698" s="475">
        <v>0.78</v>
      </c>
      <c r="E698" s="475">
        <v>0.78</v>
      </c>
      <c r="F698" s="229" t="s">
        <v>1656</v>
      </c>
      <c r="H698" s="511" t="s">
        <v>10435</v>
      </c>
      <c r="I698" s="199">
        <v>10253.0</v>
      </c>
      <c r="K698" s="507"/>
    </row>
    <row r="699">
      <c r="A699" s="358" t="s">
        <v>10436</v>
      </c>
      <c r="B699" s="504"/>
      <c r="C699" s="11" t="s">
        <v>9590</v>
      </c>
      <c r="D699" s="475">
        <v>0.78</v>
      </c>
      <c r="E699" s="475">
        <v>0.78</v>
      </c>
      <c r="F699" s="229" t="s">
        <v>1656</v>
      </c>
      <c r="H699" s="511" t="s">
        <v>10437</v>
      </c>
      <c r="I699" s="199">
        <v>10352.0</v>
      </c>
      <c r="K699" s="507"/>
    </row>
    <row r="700">
      <c r="A700" s="358">
        <v>7734.0</v>
      </c>
      <c r="B700" s="358"/>
      <c r="C700" s="11" t="s">
        <v>9590</v>
      </c>
      <c r="D700" s="475">
        <v>0.78</v>
      </c>
      <c r="E700" s="475">
        <v>0.78</v>
      </c>
      <c r="F700" s="229" t="s">
        <v>1656</v>
      </c>
      <c r="H700" s="511" t="s">
        <v>10438</v>
      </c>
      <c r="I700" s="199">
        <v>12221.0</v>
      </c>
      <c r="K700" s="507"/>
    </row>
    <row r="701">
      <c r="A701" s="11" t="s">
        <v>220</v>
      </c>
      <c r="B701" s="11">
        <v>14663.0</v>
      </c>
      <c r="C701" s="11" t="s">
        <v>9590</v>
      </c>
      <c r="D701" s="475">
        <v>0.78</v>
      </c>
      <c r="E701" s="475">
        <v>0.78</v>
      </c>
      <c r="F701" s="229" t="s">
        <v>1656</v>
      </c>
      <c r="H701" s="511" t="s">
        <v>10334</v>
      </c>
      <c r="I701" s="199">
        <v>12218.0</v>
      </c>
      <c r="K701" s="507"/>
    </row>
    <row r="702">
      <c r="A702" s="11" t="s">
        <v>503</v>
      </c>
      <c r="B702" s="11">
        <v>14727.0</v>
      </c>
      <c r="C702" s="11" t="s">
        <v>9590</v>
      </c>
      <c r="D702" s="475">
        <v>0.78</v>
      </c>
      <c r="E702" s="475">
        <v>0.78</v>
      </c>
      <c r="F702" s="229" t="s">
        <v>1656</v>
      </c>
      <c r="H702" s="511" t="s">
        <v>10439</v>
      </c>
      <c r="I702" s="199">
        <v>11554.0</v>
      </c>
      <c r="K702" s="507"/>
    </row>
    <row r="703">
      <c r="A703" s="11" t="s">
        <v>10440</v>
      </c>
      <c r="B703" s="11">
        <v>14727.0</v>
      </c>
      <c r="C703" s="11" t="s">
        <v>9590</v>
      </c>
      <c r="D703" s="475">
        <v>0.78</v>
      </c>
      <c r="E703" s="475">
        <v>0.78</v>
      </c>
      <c r="F703" s="229" t="s">
        <v>1656</v>
      </c>
      <c r="H703" s="511" t="s">
        <v>10441</v>
      </c>
      <c r="I703" s="199">
        <v>12296.0</v>
      </c>
      <c r="K703" s="507"/>
    </row>
    <row r="704">
      <c r="A704" s="11" t="s">
        <v>10442</v>
      </c>
      <c r="C704" s="11" t="s">
        <v>9590</v>
      </c>
      <c r="D704" s="475">
        <v>0.78</v>
      </c>
      <c r="E704" s="475">
        <v>0.78</v>
      </c>
      <c r="F704" s="229" t="s">
        <v>1656</v>
      </c>
      <c r="H704" s="511"/>
      <c r="I704" s="199"/>
      <c r="K704" s="507"/>
    </row>
    <row r="705">
      <c r="A705" s="358" t="s">
        <v>10443</v>
      </c>
      <c r="B705" s="11">
        <v>14771.0</v>
      </c>
      <c r="C705" s="11" t="s">
        <v>9590</v>
      </c>
      <c r="D705" s="475">
        <v>0.78</v>
      </c>
      <c r="E705" s="475">
        <v>0.78</v>
      </c>
      <c r="F705" s="229" t="s">
        <v>1656</v>
      </c>
      <c r="H705" s="511"/>
      <c r="I705" s="199"/>
      <c r="K705" s="507"/>
    </row>
    <row r="706">
      <c r="A706" s="358" t="s">
        <v>10444</v>
      </c>
      <c r="B706" s="11"/>
      <c r="C706" s="11" t="s">
        <v>9590</v>
      </c>
      <c r="D706" s="475">
        <v>0.78</v>
      </c>
      <c r="E706" s="475">
        <v>0.78</v>
      </c>
      <c r="F706" s="229" t="s">
        <v>1656</v>
      </c>
      <c r="H706" s="511"/>
      <c r="I706" s="199"/>
      <c r="K706" s="507"/>
    </row>
    <row r="707">
      <c r="A707" s="358" t="s">
        <v>10445</v>
      </c>
      <c r="B707" s="11"/>
      <c r="C707" s="11" t="s">
        <v>9590</v>
      </c>
      <c r="D707" s="475">
        <v>0.78</v>
      </c>
      <c r="E707" s="475">
        <v>0.78</v>
      </c>
      <c r="F707" s="229" t="s">
        <v>1656</v>
      </c>
      <c r="H707" s="511"/>
      <c r="I707" s="199"/>
      <c r="K707" s="507"/>
    </row>
    <row r="708">
      <c r="A708" s="358" t="s">
        <v>10446</v>
      </c>
      <c r="B708" s="11"/>
      <c r="C708" s="11" t="s">
        <v>9590</v>
      </c>
      <c r="D708" s="475">
        <v>0.78</v>
      </c>
      <c r="E708" s="475">
        <v>0.78</v>
      </c>
      <c r="F708" s="229" t="s">
        <v>1656</v>
      </c>
      <c r="H708" s="511"/>
      <c r="I708" s="199"/>
      <c r="K708" s="507"/>
    </row>
    <row r="709">
      <c r="A709" s="358" t="s">
        <v>10447</v>
      </c>
      <c r="B709" s="11"/>
      <c r="C709" s="11" t="s">
        <v>9590</v>
      </c>
      <c r="D709" s="475">
        <v>0.78</v>
      </c>
      <c r="E709" s="475">
        <v>0.78</v>
      </c>
      <c r="F709" s="229" t="s">
        <v>1656</v>
      </c>
      <c r="H709" s="511"/>
      <c r="I709" s="199"/>
      <c r="K709" s="507"/>
    </row>
    <row r="710">
      <c r="A710" s="358" t="s">
        <v>10448</v>
      </c>
      <c r="B710" s="11"/>
      <c r="C710" s="11" t="s">
        <v>9590</v>
      </c>
      <c r="D710" s="475">
        <v>0.78</v>
      </c>
      <c r="E710" s="475">
        <v>0.78</v>
      </c>
      <c r="F710" s="229" t="s">
        <v>1656</v>
      </c>
      <c r="H710" s="511"/>
      <c r="I710" s="199"/>
      <c r="K710" s="507"/>
    </row>
    <row r="711">
      <c r="A711" s="358" t="s">
        <v>10449</v>
      </c>
      <c r="B711" s="11"/>
      <c r="C711" s="11" t="s">
        <v>9590</v>
      </c>
      <c r="D711" s="475">
        <v>0.78</v>
      </c>
      <c r="E711" s="475">
        <v>0.78</v>
      </c>
      <c r="F711" s="229" t="s">
        <v>1656</v>
      </c>
      <c r="H711" s="511"/>
      <c r="I711" s="199"/>
      <c r="K711" s="507"/>
    </row>
    <row r="712">
      <c r="A712" s="358" t="s">
        <v>10450</v>
      </c>
      <c r="B712" s="11"/>
      <c r="C712" s="11" t="s">
        <v>9590</v>
      </c>
      <c r="D712" s="475">
        <v>0.78</v>
      </c>
      <c r="E712" s="475">
        <v>0.78</v>
      </c>
      <c r="F712" s="229" t="s">
        <v>1656</v>
      </c>
      <c r="H712" s="511"/>
      <c r="I712" s="199"/>
      <c r="K712" s="507"/>
    </row>
    <row r="713">
      <c r="A713" s="358" t="s">
        <v>10451</v>
      </c>
      <c r="B713" s="11"/>
      <c r="C713" s="11" t="s">
        <v>9590</v>
      </c>
      <c r="D713" s="475">
        <v>0.78</v>
      </c>
      <c r="E713" s="475">
        <v>0.78</v>
      </c>
      <c r="F713" s="229" t="s">
        <v>1656</v>
      </c>
      <c r="H713" s="511"/>
      <c r="I713" s="199"/>
      <c r="K713" s="507"/>
    </row>
    <row r="714">
      <c r="A714" s="358" t="s">
        <v>10452</v>
      </c>
      <c r="B714" s="11"/>
      <c r="C714" s="11" t="s">
        <v>9590</v>
      </c>
      <c r="D714" s="475">
        <v>0.78</v>
      </c>
      <c r="E714" s="475">
        <v>0.78</v>
      </c>
      <c r="F714" s="229" t="s">
        <v>1656</v>
      </c>
      <c r="H714" s="511"/>
      <c r="I714" s="199"/>
      <c r="K714" s="507"/>
    </row>
    <row r="715">
      <c r="A715" s="358" t="s">
        <v>10453</v>
      </c>
      <c r="B715" s="11"/>
      <c r="C715" s="11" t="s">
        <v>9590</v>
      </c>
      <c r="D715" s="475">
        <v>0.78</v>
      </c>
      <c r="E715" s="475">
        <v>0.78</v>
      </c>
      <c r="F715" s="229" t="s">
        <v>1656</v>
      </c>
      <c r="H715" s="511"/>
      <c r="I715" s="199"/>
      <c r="K715" s="507"/>
    </row>
    <row r="716">
      <c r="A716" s="358" t="s">
        <v>10454</v>
      </c>
      <c r="B716" s="11"/>
      <c r="C716" s="11" t="s">
        <v>9590</v>
      </c>
      <c r="D716" s="475">
        <v>0.78</v>
      </c>
      <c r="E716" s="475">
        <v>0.78</v>
      </c>
      <c r="F716" s="229" t="s">
        <v>1656</v>
      </c>
      <c r="H716" s="511"/>
      <c r="I716" s="199"/>
      <c r="K716" s="507"/>
    </row>
    <row r="717">
      <c r="A717" s="358" t="s">
        <v>10455</v>
      </c>
      <c r="B717" s="11"/>
      <c r="C717" s="11" t="s">
        <v>9590</v>
      </c>
      <c r="D717" s="475">
        <v>0.78</v>
      </c>
      <c r="E717" s="475">
        <v>0.78</v>
      </c>
      <c r="F717" s="229" t="s">
        <v>1656</v>
      </c>
      <c r="H717" s="511"/>
      <c r="I717" s="199"/>
      <c r="K717" s="507"/>
    </row>
    <row r="718">
      <c r="A718" s="358" t="s">
        <v>10456</v>
      </c>
      <c r="B718" s="11"/>
      <c r="C718" s="11" t="s">
        <v>9590</v>
      </c>
      <c r="D718" s="475">
        <v>0.78</v>
      </c>
      <c r="E718" s="475">
        <v>0.78</v>
      </c>
      <c r="F718" s="229" t="s">
        <v>1656</v>
      </c>
      <c r="H718" s="511"/>
      <c r="I718" s="199"/>
      <c r="K718" s="507"/>
    </row>
    <row r="719">
      <c r="A719" s="358" t="s">
        <v>10457</v>
      </c>
      <c r="B719" s="11"/>
      <c r="C719" s="11" t="s">
        <v>9590</v>
      </c>
      <c r="D719" s="475">
        <v>0.78</v>
      </c>
      <c r="E719" s="475">
        <v>0.78</v>
      </c>
      <c r="F719" s="229" t="s">
        <v>1656</v>
      </c>
      <c r="H719" s="511"/>
      <c r="I719" s="199"/>
      <c r="K719" s="507"/>
    </row>
    <row r="720">
      <c r="A720" s="358" t="s">
        <v>10458</v>
      </c>
      <c r="B720" s="11"/>
      <c r="C720" s="11" t="s">
        <v>9590</v>
      </c>
      <c r="D720" s="475">
        <v>0.78</v>
      </c>
      <c r="E720" s="475">
        <v>0.78</v>
      </c>
      <c r="F720" s="229" t="s">
        <v>1656</v>
      </c>
      <c r="H720" s="511"/>
      <c r="I720" s="199"/>
      <c r="K720" s="507"/>
    </row>
    <row r="721">
      <c r="A721" s="358" t="s">
        <v>10459</v>
      </c>
      <c r="B721" s="11"/>
      <c r="C721" s="11" t="s">
        <v>9590</v>
      </c>
      <c r="D721" s="475">
        <v>0.78</v>
      </c>
      <c r="E721" s="475">
        <v>0.78</v>
      </c>
      <c r="F721" s="229" t="s">
        <v>1656</v>
      </c>
      <c r="H721" s="511"/>
      <c r="I721" s="199"/>
      <c r="K721" s="507"/>
    </row>
    <row r="722">
      <c r="A722" s="358" t="s">
        <v>10460</v>
      </c>
      <c r="B722" s="11"/>
      <c r="C722" s="11" t="s">
        <v>9590</v>
      </c>
      <c r="D722" s="475">
        <v>0.78</v>
      </c>
      <c r="E722" s="475">
        <v>0.78</v>
      </c>
      <c r="F722" s="229" t="s">
        <v>1656</v>
      </c>
      <c r="H722" s="511"/>
      <c r="I722" s="199"/>
      <c r="K722" s="507"/>
    </row>
    <row r="723">
      <c r="A723" s="358" t="s">
        <v>10461</v>
      </c>
      <c r="B723" s="11"/>
      <c r="C723" s="11" t="s">
        <v>9590</v>
      </c>
      <c r="D723" s="475">
        <v>0.78</v>
      </c>
      <c r="E723" s="475">
        <v>0.78</v>
      </c>
      <c r="F723" s="229" t="s">
        <v>1656</v>
      </c>
      <c r="H723" s="511"/>
      <c r="I723" s="199"/>
      <c r="K723" s="507"/>
    </row>
    <row r="724">
      <c r="A724" s="358" t="s">
        <v>10462</v>
      </c>
      <c r="B724" s="11"/>
      <c r="C724" s="11" t="s">
        <v>9590</v>
      </c>
      <c r="D724" s="475">
        <v>0.78</v>
      </c>
      <c r="E724" s="475">
        <v>0.78</v>
      </c>
      <c r="F724" s="229" t="s">
        <v>1656</v>
      </c>
      <c r="H724" s="511"/>
      <c r="I724" s="199"/>
      <c r="K724" s="507"/>
    </row>
    <row r="725">
      <c r="A725" s="358" t="s">
        <v>10463</v>
      </c>
      <c r="B725" s="11"/>
      <c r="C725" s="11" t="s">
        <v>9590</v>
      </c>
      <c r="D725" s="475">
        <v>0.78</v>
      </c>
      <c r="E725" s="475">
        <v>0.78</v>
      </c>
      <c r="F725" s="229" t="s">
        <v>1656</v>
      </c>
      <c r="H725" s="511"/>
      <c r="I725" s="199"/>
      <c r="K725" s="507"/>
    </row>
    <row r="726">
      <c r="A726" s="358" t="s">
        <v>10464</v>
      </c>
      <c r="B726" s="11"/>
      <c r="C726" s="11" t="s">
        <v>9590</v>
      </c>
      <c r="D726" s="475">
        <v>0.78</v>
      </c>
      <c r="E726" s="475">
        <v>0.78</v>
      </c>
      <c r="F726" s="229" t="s">
        <v>1656</v>
      </c>
      <c r="H726" s="511"/>
      <c r="I726" s="199"/>
      <c r="K726" s="507"/>
    </row>
    <row r="727">
      <c r="A727" s="358" t="s">
        <v>10465</v>
      </c>
      <c r="B727" s="11"/>
      <c r="C727" s="11" t="s">
        <v>9590</v>
      </c>
      <c r="D727" s="475">
        <v>0.78</v>
      </c>
      <c r="E727" s="475">
        <v>0.78</v>
      </c>
      <c r="F727" s="229" t="s">
        <v>1656</v>
      </c>
      <c r="H727" s="511"/>
      <c r="I727" s="199"/>
      <c r="K727" s="507"/>
    </row>
    <row r="728">
      <c r="A728" s="358" t="s">
        <v>10466</v>
      </c>
      <c r="B728" s="11"/>
      <c r="C728" s="11" t="s">
        <v>9590</v>
      </c>
      <c r="D728" s="475">
        <v>0.78</v>
      </c>
      <c r="E728" s="475">
        <v>0.78</v>
      </c>
      <c r="F728" s="229" t="s">
        <v>1656</v>
      </c>
      <c r="H728" s="511"/>
      <c r="I728" s="199"/>
      <c r="K728" s="507"/>
    </row>
    <row r="729">
      <c r="A729" s="358" t="s">
        <v>10467</v>
      </c>
      <c r="B729" s="11"/>
      <c r="C729" s="11" t="s">
        <v>9590</v>
      </c>
      <c r="D729" s="475">
        <v>0.78</v>
      </c>
      <c r="E729" s="475">
        <v>0.78</v>
      </c>
      <c r="F729" s="229" t="s">
        <v>1656</v>
      </c>
      <c r="H729" s="511"/>
      <c r="I729" s="199"/>
      <c r="K729" s="507"/>
    </row>
    <row r="730">
      <c r="A730" s="358" t="s">
        <v>10468</v>
      </c>
      <c r="B730" s="11"/>
      <c r="C730" s="11" t="s">
        <v>9590</v>
      </c>
      <c r="D730" s="475">
        <v>0.78</v>
      </c>
      <c r="E730" s="475">
        <v>0.78</v>
      </c>
      <c r="F730" s="229" t="s">
        <v>1656</v>
      </c>
      <c r="H730" s="511"/>
      <c r="I730" s="199"/>
      <c r="K730" s="507"/>
    </row>
    <row r="731">
      <c r="A731" s="358" t="s">
        <v>10469</v>
      </c>
      <c r="B731" s="11"/>
      <c r="C731" s="11" t="s">
        <v>9590</v>
      </c>
      <c r="D731" s="475">
        <v>0.78</v>
      </c>
      <c r="E731" s="475">
        <v>0.78</v>
      </c>
      <c r="F731" s="229" t="s">
        <v>1656</v>
      </c>
      <c r="H731" s="511"/>
      <c r="I731" s="199"/>
      <c r="K731" s="507"/>
    </row>
    <row r="732">
      <c r="A732" s="358" t="s">
        <v>10470</v>
      </c>
      <c r="B732" s="11"/>
      <c r="C732" s="11" t="s">
        <v>9590</v>
      </c>
      <c r="D732" s="475">
        <v>0.78</v>
      </c>
      <c r="E732" s="475">
        <v>0.78</v>
      </c>
      <c r="F732" s="229" t="s">
        <v>1656</v>
      </c>
      <c r="H732" s="511"/>
      <c r="I732" s="199"/>
      <c r="K732" s="507"/>
    </row>
    <row r="733">
      <c r="A733" s="358" t="s">
        <v>10471</v>
      </c>
      <c r="B733" s="11"/>
      <c r="C733" s="11" t="s">
        <v>9590</v>
      </c>
      <c r="D733" s="475">
        <v>0.78</v>
      </c>
      <c r="E733" s="475">
        <v>0.78</v>
      </c>
      <c r="F733" s="229" t="s">
        <v>1656</v>
      </c>
      <c r="H733" s="511"/>
      <c r="I733" s="199"/>
      <c r="K733" s="507"/>
    </row>
    <row r="734">
      <c r="A734" s="358" t="s">
        <v>10472</v>
      </c>
      <c r="B734" s="11"/>
      <c r="C734" s="11" t="s">
        <v>9590</v>
      </c>
      <c r="D734" s="475">
        <v>0.78</v>
      </c>
      <c r="E734" s="475">
        <v>0.78</v>
      </c>
      <c r="F734" s="229" t="s">
        <v>1656</v>
      </c>
      <c r="H734" s="511"/>
      <c r="I734" s="199"/>
      <c r="K734" s="507"/>
    </row>
    <row r="735">
      <c r="A735" s="358" t="s">
        <v>10473</v>
      </c>
      <c r="B735" s="11"/>
      <c r="C735" s="11" t="s">
        <v>9590</v>
      </c>
      <c r="D735" s="475">
        <v>0.78</v>
      </c>
      <c r="E735" s="475">
        <v>0.78</v>
      </c>
      <c r="F735" s="229" t="s">
        <v>1656</v>
      </c>
      <c r="H735" s="511"/>
      <c r="I735" s="199"/>
      <c r="K735" s="507"/>
    </row>
    <row r="736">
      <c r="A736" s="358" t="s">
        <v>10474</v>
      </c>
      <c r="B736" s="11"/>
      <c r="C736" s="11" t="s">
        <v>9590</v>
      </c>
      <c r="D736" s="475">
        <v>0.78</v>
      </c>
      <c r="E736" s="475">
        <v>0.78</v>
      </c>
      <c r="F736" s="229" t="s">
        <v>1656</v>
      </c>
      <c r="H736" s="511"/>
      <c r="I736" s="199"/>
      <c r="K736" s="507"/>
    </row>
    <row r="737">
      <c r="A737" s="358" t="s">
        <v>10475</v>
      </c>
      <c r="B737" s="11"/>
      <c r="C737" s="11" t="s">
        <v>9590</v>
      </c>
      <c r="D737" s="475">
        <v>0.78</v>
      </c>
      <c r="E737" s="475">
        <v>0.78</v>
      </c>
      <c r="F737" s="229" t="s">
        <v>1656</v>
      </c>
      <c r="H737" s="511"/>
      <c r="I737" s="199"/>
      <c r="K737" s="507"/>
    </row>
    <row r="738">
      <c r="A738" s="358" t="s">
        <v>10476</v>
      </c>
      <c r="B738" s="11"/>
      <c r="C738" s="11" t="s">
        <v>9590</v>
      </c>
      <c r="D738" s="475">
        <v>0.78</v>
      </c>
      <c r="E738" s="475">
        <v>0.78</v>
      </c>
      <c r="F738" s="229" t="s">
        <v>1656</v>
      </c>
      <c r="H738" s="511"/>
      <c r="I738" s="199"/>
      <c r="K738" s="507"/>
    </row>
    <row r="739">
      <c r="A739" s="358" t="s">
        <v>10477</v>
      </c>
      <c r="B739" s="11"/>
      <c r="C739" s="11" t="s">
        <v>9590</v>
      </c>
      <c r="D739" s="475">
        <v>0.78</v>
      </c>
      <c r="E739" s="475">
        <v>0.78</v>
      </c>
      <c r="F739" s="229" t="s">
        <v>1656</v>
      </c>
      <c r="H739" s="511"/>
      <c r="I739" s="199"/>
      <c r="K739" s="507"/>
    </row>
    <row r="740">
      <c r="A740" s="358" t="s">
        <v>10478</v>
      </c>
      <c r="B740" s="11"/>
      <c r="C740" s="11" t="s">
        <v>9590</v>
      </c>
      <c r="D740" s="475">
        <v>0.78</v>
      </c>
      <c r="E740" s="475">
        <v>0.78</v>
      </c>
      <c r="F740" s="229" t="s">
        <v>1656</v>
      </c>
      <c r="H740" s="511"/>
      <c r="I740" s="199"/>
      <c r="K740" s="507"/>
    </row>
    <row r="741">
      <c r="A741" s="358" t="s">
        <v>10479</v>
      </c>
      <c r="B741" s="11"/>
      <c r="C741" s="11" t="s">
        <v>9590</v>
      </c>
      <c r="D741" s="475">
        <v>0.78</v>
      </c>
      <c r="E741" s="475">
        <v>0.78</v>
      </c>
      <c r="F741" s="229" t="s">
        <v>1656</v>
      </c>
      <c r="H741" s="511"/>
      <c r="I741" s="199"/>
      <c r="K741" s="507"/>
    </row>
    <row r="742">
      <c r="A742" s="358" t="s">
        <v>10480</v>
      </c>
      <c r="B742" s="11"/>
      <c r="C742" s="11" t="s">
        <v>9590</v>
      </c>
      <c r="D742" s="475">
        <v>0.78</v>
      </c>
      <c r="E742" s="475">
        <v>0.78</v>
      </c>
      <c r="F742" s="229" t="s">
        <v>1656</v>
      </c>
      <c r="H742" s="511"/>
      <c r="I742" s="199"/>
      <c r="K742" s="507"/>
    </row>
    <row r="743">
      <c r="A743" s="358" t="s">
        <v>10481</v>
      </c>
      <c r="B743" s="11"/>
      <c r="C743" s="11" t="s">
        <v>9590</v>
      </c>
      <c r="D743" s="475">
        <v>0.78</v>
      </c>
      <c r="E743" s="475">
        <v>0.78</v>
      </c>
      <c r="F743" s="229" t="s">
        <v>1656</v>
      </c>
      <c r="H743" s="511"/>
      <c r="I743" s="199"/>
      <c r="K743" s="507"/>
    </row>
    <row r="744">
      <c r="A744" s="358" t="s">
        <v>10482</v>
      </c>
      <c r="B744" s="11"/>
      <c r="C744" s="11" t="s">
        <v>9590</v>
      </c>
      <c r="D744" s="475">
        <v>0.78</v>
      </c>
      <c r="E744" s="475">
        <v>0.78</v>
      </c>
      <c r="F744" s="229" t="s">
        <v>1656</v>
      </c>
      <c r="H744" s="511"/>
      <c r="I744" s="199"/>
      <c r="K744" s="507"/>
    </row>
    <row r="745">
      <c r="A745" s="358" t="s">
        <v>10483</v>
      </c>
      <c r="B745" s="11"/>
      <c r="C745" s="11" t="s">
        <v>9590</v>
      </c>
      <c r="D745" s="475">
        <v>0.78</v>
      </c>
      <c r="E745" s="475">
        <v>0.78</v>
      </c>
      <c r="F745" s="229" t="s">
        <v>1656</v>
      </c>
      <c r="H745" s="511"/>
      <c r="I745" s="199"/>
      <c r="K745" s="507"/>
    </row>
    <row r="746">
      <c r="A746" s="358" t="s">
        <v>10484</v>
      </c>
      <c r="B746" s="11"/>
      <c r="C746" s="11" t="s">
        <v>9590</v>
      </c>
      <c r="D746" s="475">
        <v>0.78</v>
      </c>
      <c r="E746" s="475">
        <v>0.78</v>
      </c>
      <c r="F746" s="229" t="s">
        <v>1656</v>
      </c>
      <c r="H746" s="511"/>
      <c r="I746" s="199"/>
      <c r="K746" s="507"/>
    </row>
    <row r="747">
      <c r="A747" s="358" t="s">
        <v>10485</v>
      </c>
      <c r="B747" s="11"/>
      <c r="C747" s="11" t="s">
        <v>9590</v>
      </c>
      <c r="D747" s="475">
        <v>0.78</v>
      </c>
      <c r="E747" s="475">
        <v>0.78</v>
      </c>
      <c r="F747" s="229" t="s">
        <v>1656</v>
      </c>
      <c r="H747" s="511"/>
      <c r="I747" s="199"/>
      <c r="K747" s="507"/>
    </row>
    <row r="748">
      <c r="A748" s="358" t="s">
        <v>10486</v>
      </c>
      <c r="B748" s="11"/>
      <c r="C748" s="11" t="s">
        <v>9590</v>
      </c>
      <c r="D748" s="475">
        <v>0.78</v>
      </c>
      <c r="E748" s="475">
        <v>0.78</v>
      </c>
      <c r="F748" s="229" t="s">
        <v>1656</v>
      </c>
      <c r="H748" s="511"/>
      <c r="I748" s="199"/>
      <c r="K748" s="507"/>
    </row>
    <row r="749">
      <c r="A749" s="358" t="s">
        <v>10487</v>
      </c>
      <c r="B749" s="11"/>
      <c r="C749" s="11" t="s">
        <v>9590</v>
      </c>
      <c r="D749" s="475">
        <v>0.78</v>
      </c>
      <c r="E749" s="475">
        <v>0.78</v>
      </c>
      <c r="F749" s="229" t="s">
        <v>1656</v>
      </c>
      <c r="H749" s="511"/>
      <c r="I749" s="199"/>
      <c r="K749" s="507"/>
    </row>
    <row r="750">
      <c r="A750" s="358" t="s">
        <v>10488</v>
      </c>
      <c r="B750" s="11"/>
      <c r="C750" s="11" t="s">
        <v>9590</v>
      </c>
      <c r="D750" s="475">
        <v>0.78</v>
      </c>
      <c r="E750" s="475">
        <v>0.78</v>
      </c>
      <c r="F750" s="229" t="s">
        <v>1656</v>
      </c>
      <c r="H750" s="511"/>
      <c r="I750" s="199"/>
      <c r="K750" s="507"/>
    </row>
    <row r="751">
      <c r="A751" s="358" t="s">
        <v>10489</v>
      </c>
      <c r="B751" s="11"/>
      <c r="C751" s="11" t="s">
        <v>9590</v>
      </c>
      <c r="D751" s="475">
        <v>0.78</v>
      </c>
      <c r="E751" s="475">
        <v>0.78</v>
      </c>
      <c r="F751" s="229" t="s">
        <v>1656</v>
      </c>
      <c r="H751" s="511"/>
      <c r="I751" s="199"/>
      <c r="K751" s="507"/>
    </row>
    <row r="752">
      <c r="A752" s="358" t="s">
        <v>10490</v>
      </c>
      <c r="B752" s="11"/>
      <c r="C752" s="11" t="s">
        <v>9590</v>
      </c>
      <c r="D752" s="475">
        <v>0.78</v>
      </c>
      <c r="E752" s="475">
        <v>0.78</v>
      </c>
      <c r="F752" s="229" t="s">
        <v>1656</v>
      </c>
      <c r="H752" s="511"/>
      <c r="I752" s="199"/>
      <c r="K752" s="507"/>
    </row>
    <row r="753">
      <c r="A753" s="358" t="s">
        <v>10491</v>
      </c>
      <c r="B753" s="11"/>
      <c r="C753" s="11" t="s">
        <v>9590</v>
      </c>
      <c r="D753" s="475">
        <v>0.78</v>
      </c>
      <c r="E753" s="475">
        <v>0.78</v>
      </c>
      <c r="F753" s="229" t="s">
        <v>1656</v>
      </c>
      <c r="H753" s="511"/>
      <c r="I753" s="199"/>
      <c r="K753" s="507"/>
    </row>
    <row r="754">
      <c r="A754" s="358" t="s">
        <v>10492</v>
      </c>
      <c r="B754" s="11"/>
      <c r="C754" s="11" t="s">
        <v>9590</v>
      </c>
      <c r="D754" s="475">
        <v>0.78</v>
      </c>
      <c r="E754" s="475">
        <v>0.78</v>
      </c>
      <c r="F754" s="229" t="s">
        <v>1656</v>
      </c>
      <c r="H754" s="511"/>
      <c r="I754" s="199"/>
      <c r="K754" s="507"/>
    </row>
    <row r="755">
      <c r="A755" s="358" t="s">
        <v>10493</v>
      </c>
      <c r="B755" s="11"/>
      <c r="C755" s="11" t="s">
        <v>9590</v>
      </c>
      <c r="D755" s="475">
        <v>0.78</v>
      </c>
      <c r="E755" s="475">
        <v>0.78</v>
      </c>
      <c r="F755" s="229" t="s">
        <v>1656</v>
      </c>
      <c r="H755" s="511"/>
      <c r="I755" s="199"/>
      <c r="K755" s="507"/>
    </row>
    <row r="756">
      <c r="A756" s="358" t="s">
        <v>10494</v>
      </c>
      <c r="B756" s="11"/>
      <c r="C756" s="11" t="s">
        <v>9590</v>
      </c>
      <c r="D756" s="475">
        <v>0.78</v>
      </c>
      <c r="E756" s="475">
        <v>0.78</v>
      </c>
      <c r="F756" s="229" t="s">
        <v>1656</v>
      </c>
      <c r="H756" s="511"/>
      <c r="I756" s="199"/>
      <c r="K756" s="507"/>
    </row>
    <row r="757">
      <c r="A757" s="358" t="s">
        <v>10495</v>
      </c>
      <c r="B757" s="11"/>
      <c r="C757" s="11" t="s">
        <v>9590</v>
      </c>
      <c r="D757" s="475">
        <v>0.78</v>
      </c>
      <c r="E757" s="475">
        <v>0.78</v>
      </c>
      <c r="F757" s="229" t="s">
        <v>1656</v>
      </c>
      <c r="H757" s="511"/>
      <c r="I757" s="199"/>
      <c r="K757" s="507"/>
    </row>
    <row r="758">
      <c r="A758" s="358" t="s">
        <v>10496</v>
      </c>
      <c r="B758" s="11"/>
      <c r="C758" s="11" t="s">
        <v>9590</v>
      </c>
      <c r="D758" s="475">
        <v>0.78</v>
      </c>
      <c r="E758" s="475">
        <v>0.78</v>
      </c>
      <c r="F758" s="229" t="s">
        <v>1656</v>
      </c>
      <c r="H758" s="511"/>
      <c r="I758" s="199"/>
      <c r="K758" s="507"/>
    </row>
    <row r="759">
      <c r="A759" s="358" t="s">
        <v>10497</v>
      </c>
      <c r="B759" s="11"/>
      <c r="C759" s="11" t="s">
        <v>9590</v>
      </c>
      <c r="D759" s="475">
        <v>0.78</v>
      </c>
      <c r="E759" s="475">
        <v>0.78</v>
      </c>
      <c r="F759" s="229" t="s">
        <v>1656</v>
      </c>
      <c r="H759" s="511"/>
      <c r="I759" s="199"/>
      <c r="K759" s="507"/>
    </row>
    <row r="760">
      <c r="A760" s="358" t="s">
        <v>10498</v>
      </c>
      <c r="B760" s="11"/>
      <c r="C760" s="11" t="s">
        <v>9590</v>
      </c>
      <c r="D760" s="475">
        <v>0.78</v>
      </c>
      <c r="E760" s="475">
        <v>0.78</v>
      </c>
      <c r="F760" s="229" t="s">
        <v>1656</v>
      </c>
      <c r="H760" s="511"/>
      <c r="I760" s="199"/>
      <c r="K760" s="507"/>
    </row>
    <row r="761">
      <c r="A761" s="358" t="s">
        <v>10499</v>
      </c>
      <c r="B761" s="11"/>
      <c r="C761" s="11" t="s">
        <v>9590</v>
      </c>
      <c r="D761" s="475">
        <v>0.78</v>
      </c>
      <c r="E761" s="475">
        <v>0.78</v>
      </c>
      <c r="F761" s="229" t="s">
        <v>1656</v>
      </c>
      <c r="H761" s="511"/>
      <c r="I761" s="199"/>
      <c r="K761" s="507"/>
    </row>
    <row r="762">
      <c r="A762" s="358" t="s">
        <v>10500</v>
      </c>
      <c r="B762" s="11"/>
      <c r="C762" s="11" t="s">
        <v>9590</v>
      </c>
      <c r="D762" s="475">
        <v>0.78</v>
      </c>
      <c r="E762" s="475">
        <v>0.78</v>
      </c>
      <c r="F762" s="229" t="s">
        <v>1656</v>
      </c>
      <c r="H762" s="511"/>
      <c r="I762" s="199"/>
      <c r="K762" s="507"/>
    </row>
    <row r="763">
      <c r="A763" s="358" t="s">
        <v>10501</v>
      </c>
      <c r="B763" s="11"/>
      <c r="C763" s="11" t="s">
        <v>9590</v>
      </c>
      <c r="D763" s="475">
        <v>0.78</v>
      </c>
      <c r="E763" s="475">
        <v>0.78</v>
      </c>
      <c r="F763" s="229" t="s">
        <v>1656</v>
      </c>
      <c r="H763" s="511"/>
      <c r="I763" s="199"/>
      <c r="K763" s="507"/>
    </row>
    <row r="764">
      <c r="A764" s="358" t="s">
        <v>10502</v>
      </c>
      <c r="B764" s="11"/>
      <c r="C764" s="11" t="s">
        <v>9590</v>
      </c>
      <c r="D764" s="475">
        <v>0.78</v>
      </c>
      <c r="E764" s="475">
        <v>0.78</v>
      </c>
      <c r="F764" s="229" t="s">
        <v>1656</v>
      </c>
      <c r="H764" s="511"/>
      <c r="I764" s="199"/>
      <c r="K764" s="507"/>
    </row>
    <row r="765">
      <c r="A765" s="358" t="s">
        <v>10503</v>
      </c>
      <c r="B765" s="11"/>
      <c r="C765" s="11" t="s">
        <v>9590</v>
      </c>
      <c r="D765" s="475">
        <v>0.78</v>
      </c>
      <c r="E765" s="475">
        <v>0.78</v>
      </c>
      <c r="F765" s="229" t="s">
        <v>1656</v>
      </c>
      <c r="H765" s="511"/>
      <c r="I765" s="199"/>
      <c r="K765" s="507"/>
    </row>
    <row r="766">
      <c r="A766" s="358" t="s">
        <v>10504</v>
      </c>
      <c r="B766" s="11"/>
      <c r="C766" s="11" t="s">
        <v>9590</v>
      </c>
      <c r="D766" s="475">
        <v>0.78</v>
      </c>
      <c r="E766" s="475">
        <v>0.78</v>
      </c>
      <c r="F766" s="229" t="s">
        <v>1656</v>
      </c>
      <c r="H766" s="511"/>
      <c r="I766" s="199"/>
      <c r="K766" s="507"/>
    </row>
    <row r="767">
      <c r="A767" s="358" t="s">
        <v>10505</v>
      </c>
      <c r="B767" s="11"/>
      <c r="C767" s="11" t="s">
        <v>9590</v>
      </c>
      <c r="D767" s="475">
        <v>0.78</v>
      </c>
      <c r="E767" s="475">
        <v>0.78</v>
      </c>
      <c r="F767" s="229" t="s">
        <v>1656</v>
      </c>
      <c r="H767" s="511"/>
      <c r="I767" s="199"/>
      <c r="K767" s="507"/>
    </row>
    <row r="768">
      <c r="A768" s="358" t="s">
        <v>10506</v>
      </c>
      <c r="B768" s="11"/>
      <c r="C768" s="11" t="s">
        <v>9590</v>
      </c>
      <c r="D768" s="475">
        <v>0.78</v>
      </c>
      <c r="E768" s="475">
        <v>0.78</v>
      </c>
      <c r="F768" s="229" t="s">
        <v>1656</v>
      </c>
      <c r="H768" s="511"/>
      <c r="I768" s="199"/>
      <c r="K768" s="507"/>
    </row>
    <row r="769">
      <c r="A769" s="358" t="s">
        <v>10507</v>
      </c>
      <c r="B769" s="11"/>
      <c r="C769" s="11" t="s">
        <v>9590</v>
      </c>
      <c r="D769" s="475">
        <v>0.78</v>
      </c>
      <c r="E769" s="475">
        <v>0.78</v>
      </c>
      <c r="F769" s="229" t="s">
        <v>1656</v>
      </c>
      <c r="H769" s="511"/>
      <c r="I769" s="199"/>
      <c r="K769" s="507"/>
    </row>
    <row r="770">
      <c r="A770" s="358" t="s">
        <v>10508</v>
      </c>
      <c r="B770" s="11"/>
      <c r="C770" s="11" t="s">
        <v>9590</v>
      </c>
      <c r="D770" s="475">
        <v>0.78</v>
      </c>
      <c r="E770" s="475">
        <v>0.78</v>
      </c>
      <c r="F770" s="229" t="s">
        <v>1656</v>
      </c>
      <c r="H770" s="511"/>
      <c r="I770" s="199"/>
      <c r="K770" s="507"/>
    </row>
    <row r="771">
      <c r="A771" s="358" t="s">
        <v>10509</v>
      </c>
      <c r="B771" s="11"/>
      <c r="C771" s="11" t="s">
        <v>9590</v>
      </c>
      <c r="D771" s="475">
        <v>0.78</v>
      </c>
      <c r="E771" s="475">
        <v>0.78</v>
      </c>
      <c r="F771" s="229" t="s">
        <v>1656</v>
      </c>
      <c r="H771" s="511"/>
      <c r="I771" s="199"/>
      <c r="K771" s="507"/>
    </row>
    <row r="772">
      <c r="A772" s="358" t="s">
        <v>10510</v>
      </c>
      <c r="B772" s="11"/>
      <c r="C772" s="11" t="s">
        <v>9590</v>
      </c>
      <c r="D772" s="475">
        <v>0.78</v>
      </c>
      <c r="E772" s="475">
        <v>0.78</v>
      </c>
      <c r="F772" s="229" t="s">
        <v>1656</v>
      </c>
      <c r="H772" s="511"/>
      <c r="I772" s="199"/>
      <c r="K772" s="507"/>
    </row>
    <row r="773">
      <c r="A773" s="358" t="s">
        <v>10511</v>
      </c>
      <c r="B773" s="11"/>
      <c r="C773" s="11" t="s">
        <v>9590</v>
      </c>
      <c r="D773" s="475">
        <v>0.78</v>
      </c>
      <c r="E773" s="475">
        <v>0.78</v>
      </c>
      <c r="F773" s="229" t="s">
        <v>1656</v>
      </c>
      <c r="H773" s="511"/>
      <c r="I773" s="199"/>
      <c r="K773" s="507"/>
    </row>
    <row r="774">
      <c r="A774" s="358" t="s">
        <v>10512</v>
      </c>
      <c r="B774" s="11"/>
      <c r="C774" s="11" t="s">
        <v>9590</v>
      </c>
      <c r="D774" s="475">
        <v>0.78</v>
      </c>
      <c r="E774" s="475">
        <v>0.78</v>
      </c>
      <c r="F774" s="229" t="s">
        <v>1656</v>
      </c>
      <c r="H774" s="511"/>
      <c r="I774" s="199"/>
      <c r="K774" s="507"/>
    </row>
    <row r="775">
      <c r="A775" s="358" t="s">
        <v>10513</v>
      </c>
      <c r="B775" s="11"/>
      <c r="C775" s="11" t="s">
        <v>9590</v>
      </c>
      <c r="D775" s="475">
        <v>0.78</v>
      </c>
      <c r="E775" s="475">
        <v>0.78</v>
      </c>
      <c r="F775" s="229" t="s">
        <v>1656</v>
      </c>
      <c r="H775" s="511"/>
      <c r="I775" s="199"/>
      <c r="K775" s="507"/>
    </row>
    <row r="776">
      <c r="A776" s="358" t="s">
        <v>10514</v>
      </c>
      <c r="B776" s="11"/>
      <c r="C776" s="11" t="s">
        <v>9590</v>
      </c>
      <c r="D776" s="475">
        <v>0.78</v>
      </c>
      <c r="E776" s="475">
        <v>0.78</v>
      </c>
      <c r="F776" s="229" t="s">
        <v>1656</v>
      </c>
      <c r="H776" s="511"/>
      <c r="I776" s="199"/>
      <c r="K776" s="507"/>
    </row>
    <row r="777">
      <c r="A777" s="358" t="s">
        <v>10515</v>
      </c>
      <c r="B777" s="11"/>
      <c r="C777" s="11" t="s">
        <v>9590</v>
      </c>
      <c r="D777" s="475">
        <v>0.78</v>
      </c>
      <c r="E777" s="475">
        <v>0.78</v>
      </c>
      <c r="F777" s="229" t="s">
        <v>1656</v>
      </c>
      <c r="H777" s="511"/>
      <c r="I777" s="199"/>
      <c r="K777" s="507"/>
    </row>
    <row r="778">
      <c r="A778" s="358" t="s">
        <v>10516</v>
      </c>
      <c r="B778" s="11"/>
      <c r="C778" s="11" t="s">
        <v>9590</v>
      </c>
      <c r="D778" s="475">
        <v>0.78</v>
      </c>
      <c r="E778" s="475">
        <v>0.78</v>
      </c>
      <c r="F778" s="229" t="s">
        <v>1656</v>
      </c>
      <c r="H778" s="511"/>
      <c r="I778" s="199"/>
      <c r="K778" s="507"/>
    </row>
    <row r="779">
      <c r="A779" s="358" t="s">
        <v>10517</v>
      </c>
      <c r="B779" s="11"/>
      <c r="C779" s="11" t="s">
        <v>9590</v>
      </c>
      <c r="D779" s="475">
        <v>0.78</v>
      </c>
      <c r="E779" s="475">
        <v>0.78</v>
      </c>
      <c r="F779" s="229" t="s">
        <v>1656</v>
      </c>
      <c r="H779" s="511"/>
      <c r="I779" s="199"/>
      <c r="K779" s="507"/>
    </row>
    <row r="780">
      <c r="A780" s="358" t="s">
        <v>10518</v>
      </c>
      <c r="B780" s="11"/>
      <c r="C780" s="11" t="s">
        <v>9590</v>
      </c>
      <c r="D780" s="475">
        <v>0.78</v>
      </c>
      <c r="E780" s="475">
        <v>0.78</v>
      </c>
      <c r="F780" s="229" t="s">
        <v>1656</v>
      </c>
      <c r="H780" s="511"/>
      <c r="I780" s="199"/>
      <c r="K780" s="507"/>
    </row>
    <row r="781">
      <c r="A781" s="358" t="s">
        <v>10519</v>
      </c>
      <c r="B781" s="11"/>
      <c r="C781" s="11" t="s">
        <v>9590</v>
      </c>
      <c r="D781" s="475">
        <v>0.78</v>
      </c>
      <c r="E781" s="475">
        <v>0.78</v>
      </c>
      <c r="F781" s="229" t="s">
        <v>1656</v>
      </c>
      <c r="H781" s="511"/>
      <c r="I781" s="199"/>
      <c r="K781" s="507"/>
    </row>
    <row r="782">
      <c r="A782" s="358" t="s">
        <v>10520</v>
      </c>
      <c r="B782" s="11"/>
      <c r="C782" s="11" t="s">
        <v>9590</v>
      </c>
      <c r="D782" s="475">
        <v>0.78</v>
      </c>
      <c r="E782" s="475">
        <v>0.78</v>
      </c>
      <c r="F782" s="229" t="s">
        <v>1656</v>
      </c>
      <c r="H782" s="511"/>
      <c r="I782" s="199"/>
      <c r="K782" s="507"/>
    </row>
    <row r="783">
      <c r="A783" s="358" t="s">
        <v>10521</v>
      </c>
      <c r="B783" s="11"/>
      <c r="C783" s="11" t="s">
        <v>9590</v>
      </c>
      <c r="D783" s="475">
        <v>0.78</v>
      </c>
      <c r="E783" s="475">
        <v>0.78</v>
      </c>
      <c r="F783" s="229" t="s">
        <v>1656</v>
      </c>
      <c r="H783" s="511"/>
      <c r="I783" s="199"/>
      <c r="K783" s="507"/>
    </row>
    <row r="784">
      <c r="A784" s="358" t="s">
        <v>10522</v>
      </c>
      <c r="B784" s="11"/>
      <c r="C784" s="11" t="s">
        <v>9590</v>
      </c>
      <c r="D784" s="475">
        <v>0.78</v>
      </c>
      <c r="E784" s="475">
        <v>0.78</v>
      </c>
      <c r="F784" s="229" t="s">
        <v>1656</v>
      </c>
      <c r="H784" s="511"/>
      <c r="I784" s="199"/>
      <c r="K784" s="507"/>
    </row>
    <row r="785">
      <c r="A785" s="358" t="s">
        <v>10523</v>
      </c>
      <c r="B785" s="11"/>
      <c r="C785" s="11" t="s">
        <v>9590</v>
      </c>
      <c r="D785" s="475">
        <v>0.78</v>
      </c>
      <c r="E785" s="475">
        <v>0.78</v>
      </c>
      <c r="F785" s="229" t="s">
        <v>1656</v>
      </c>
      <c r="H785" s="511"/>
      <c r="I785" s="199"/>
      <c r="K785" s="507"/>
    </row>
    <row r="786">
      <c r="A786" s="358" t="s">
        <v>10524</v>
      </c>
      <c r="B786" s="11"/>
      <c r="C786" s="11" t="s">
        <v>9590</v>
      </c>
      <c r="D786" s="475">
        <v>0.78</v>
      </c>
      <c r="E786" s="475">
        <v>0.78</v>
      </c>
      <c r="F786" s="229" t="s">
        <v>1656</v>
      </c>
      <c r="H786" s="511"/>
      <c r="I786" s="199"/>
      <c r="K786" s="507"/>
    </row>
    <row r="787">
      <c r="A787" s="358" t="s">
        <v>10525</v>
      </c>
      <c r="B787" s="11"/>
      <c r="C787" s="11" t="s">
        <v>9590</v>
      </c>
      <c r="D787" s="475">
        <v>0.78</v>
      </c>
      <c r="E787" s="475">
        <v>0.78</v>
      </c>
      <c r="F787" s="229" t="s">
        <v>1656</v>
      </c>
      <c r="H787" s="511"/>
      <c r="I787" s="199"/>
      <c r="K787" s="507"/>
    </row>
    <row r="788">
      <c r="A788" s="358" t="s">
        <v>10526</v>
      </c>
      <c r="B788" s="11"/>
      <c r="C788" s="11" t="s">
        <v>9590</v>
      </c>
      <c r="D788" s="475">
        <v>0.78</v>
      </c>
      <c r="E788" s="475">
        <v>0.78</v>
      </c>
      <c r="F788" s="229" t="s">
        <v>1656</v>
      </c>
      <c r="H788" s="511"/>
      <c r="I788" s="199"/>
      <c r="K788" s="507"/>
    </row>
    <row r="789">
      <c r="A789" s="358" t="s">
        <v>10527</v>
      </c>
      <c r="B789" s="11"/>
      <c r="C789" s="11" t="s">
        <v>9590</v>
      </c>
      <c r="D789" s="475">
        <v>0.78</v>
      </c>
      <c r="E789" s="475">
        <v>0.78</v>
      </c>
      <c r="F789" s="229" t="s">
        <v>1656</v>
      </c>
      <c r="H789" s="511"/>
      <c r="I789" s="199"/>
      <c r="K789" s="507"/>
    </row>
    <row r="790">
      <c r="A790" s="358" t="s">
        <v>10528</v>
      </c>
      <c r="B790" s="11"/>
      <c r="C790" s="11" t="s">
        <v>9590</v>
      </c>
      <c r="D790" s="475">
        <v>0.78</v>
      </c>
      <c r="E790" s="475">
        <v>0.78</v>
      </c>
      <c r="F790" s="229" t="s">
        <v>1656</v>
      </c>
      <c r="H790" s="511"/>
      <c r="I790" s="199"/>
      <c r="K790" s="507"/>
    </row>
    <row r="791">
      <c r="A791" s="358" t="s">
        <v>10529</v>
      </c>
      <c r="B791" s="11"/>
      <c r="C791" s="11" t="s">
        <v>9590</v>
      </c>
      <c r="D791" s="475">
        <v>0.78</v>
      </c>
      <c r="E791" s="475">
        <v>0.78</v>
      </c>
      <c r="F791" s="229" t="s">
        <v>1656</v>
      </c>
      <c r="H791" s="511"/>
      <c r="I791" s="199"/>
      <c r="K791" s="507"/>
    </row>
    <row r="792">
      <c r="A792" s="358" t="s">
        <v>10530</v>
      </c>
      <c r="B792" s="11"/>
      <c r="C792" s="11" t="s">
        <v>9590</v>
      </c>
      <c r="D792" s="475">
        <v>0.78</v>
      </c>
      <c r="E792" s="475">
        <v>0.78</v>
      </c>
      <c r="F792" s="229" t="s">
        <v>1656</v>
      </c>
      <c r="H792" s="511"/>
      <c r="I792" s="199"/>
      <c r="K792" s="507"/>
    </row>
    <row r="793">
      <c r="A793" s="358" t="s">
        <v>10531</v>
      </c>
      <c r="B793" s="11"/>
      <c r="C793" s="11" t="s">
        <v>9590</v>
      </c>
      <c r="D793" s="475">
        <v>0.78</v>
      </c>
      <c r="E793" s="475">
        <v>0.78</v>
      </c>
      <c r="F793" s="229" t="s">
        <v>1656</v>
      </c>
      <c r="H793" s="511"/>
      <c r="I793" s="199"/>
      <c r="K793" s="507"/>
    </row>
    <row r="794">
      <c r="A794" s="358" t="s">
        <v>10532</v>
      </c>
      <c r="B794" s="11"/>
      <c r="C794" s="11" t="s">
        <v>9590</v>
      </c>
      <c r="D794" s="475">
        <v>0.78</v>
      </c>
      <c r="E794" s="475">
        <v>0.78</v>
      </c>
      <c r="F794" s="229" t="s">
        <v>1656</v>
      </c>
      <c r="H794" s="511"/>
      <c r="I794" s="199"/>
      <c r="K794" s="507"/>
    </row>
    <row r="795">
      <c r="A795" s="358" t="s">
        <v>10533</v>
      </c>
      <c r="B795" s="11"/>
      <c r="C795" s="11" t="s">
        <v>9590</v>
      </c>
      <c r="D795" s="475">
        <v>0.78</v>
      </c>
      <c r="E795" s="475">
        <v>0.78</v>
      </c>
      <c r="F795" s="229" t="s">
        <v>1656</v>
      </c>
      <c r="H795" s="511"/>
      <c r="I795" s="199"/>
      <c r="K795" s="507"/>
    </row>
    <row r="796">
      <c r="A796" s="358" t="s">
        <v>10534</v>
      </c>
      <c r="B796" s="11"/>
      <c r="C796" s="11" t="s">
        <v>9590</v>
      </c>
      <c r="D796" s="475">
        <v>0.78</v>
      </c>
      <c r="E796" s="475">
        <v>0.78</v>
      </c>
      <c r="F796" s="229" t="s">
        <v>1656</v>
      </c>
      <c r="H796" s="511"/>
      <c r="I796" s="199"/>
      <c r="K796" s="507"/>
    </row>
    <row r="797">
      <c r="A797" s="358" t="s">
        <v>10535</v>
      </c>
      <c r="B797" s="11"/>
      <c r="C797" s="11" t="s">
        <v>9590</v>
      </c>
      <c r="D797" s="475">
        <v>0.78</v>
      </c>
      <c r="E797" s="475">
        <v>0.78</v>
      </c>
      <c r="F797" s="229" t="s">
        <v>1656</v>
      </c>
      <c r="H797" s="511"/>
      <c r="I797" s="199"/>
      <c r="K797" s="507"/>
    </row>
    <row r="798">
      <c r="A798" s="358" t="s">
        <v>10536</v>
      </c>
      <c r="B798" s="11"/>
      <c r="C798" s="11" t="s">
        <v>9590</v>
      </c>
      <c r="D798" s="475">
        <v>0.78</v>
      </c>
      <c r="E798" s="475">
        <v>0.78</v>
      </c>
      <c r="F798" s="229" t="s">
        <v>1656</v>
      </c>
      <c r="H798" s="511"/>
      <c r="I798" s="199"/>
      <c r="K798" s="507"/>
    </row>
    <row r="799">
      <c r="A799" s="358" t="s">
        <v>10537</v>
      </c>
      <c r="B799" s="11"/>
      <c r="C799" s="11" t="s">
        <v>9590</v>
      </c>
      <c r="D799" s="475">
        <v>0.78</v>
      </c>
      <c r="E799" s="475">
        <v>0.78</v>
      </c>
      <c r="F799" s="229" t="s">
        <v>1656</v>
      </c>
      <c r="H799" s="511"/>
      <c r="I799" s="199"/>
      <c r="K799" s="507"/>
    </row>
    <row r="800">
      <c r="A800" s="358" t="s">
        <v>10538</v>
      </c>
      <c r="B800" s="11"/>
      <c r="C800" s="11" t="s">
        <v>9590</v>
      </c>
      <c r="D800" s="475">
        <v>0.78</v>
      </c>
      <c r="E800" s="475">
        <v>0.78</v>
      </c>
      <c r="F800" s="229" t="s">
        <v>1656</v>
      </c>
      <c r="H800" s="511"/>
      <c r="I800" s="199"/>
      <c r="K800" s="507"/>
    </row>
    <row r="801">
      <c r="A801" s="358" t="s">
        <v>10539</v>
      </c>
      <c r="B801" s="11"/>
      <c r="C801" s="11" t="s">
        <v>9590</v>
      </c>
      <c r="D801" s="475">
        <v>0.78</v>
      </c>
      <c r="E801" s="475">
        <v>0.78</v>
      </c>
      <c r="F801" s="229" t="s">
        <v>1656</v>
      </c>
      <c r="H801" s="511"/>
      <c r="I801" s="199"/>
      <c r="K801" s="507"/>
    </row>
    <row r="802">
      <c r="A802" s="358" t="s">
        <v>10540</v>
      </c>
      <c r="B802" s="11"/>
      <c r="C802" s="11" t="s">
        <v>9590</v>
      </c>
      <c r="D802" s="475">
        <v>0.78</v>
      </c>
      <c r="E802" s="475">
        <v>0.78</v>
      </c>
      <c r="F802" s="229" t="s">
        <v>1656</v>
      </c>
      <c r="H802" s="511"/>
      <c r="I802" s="199"/>
      <c r="K802" s="507"/>
    </row>
    <row r="803">
      <c r="A803" s="358" t="s">
        <v>10541</v>
      </c>
      <c r="B803" s="11"/>
      <c r="C803" s="11" t="s">
        <v>9590</v>
      </c>
      <c r="D803" s="475">
        <v>0.78</v>
      </c>
      <c r="E803" s="475">
        <v>0.78</v>
      </c>
      <c r="F803" s="229" t="s">
        <v>1656</v>
      </c>
      <c r="H803" s="511"/>
      <c r="I803" s="199"/>
      <c r="K803" s="507"/>
    </row>
    <row r="804">
      <c r="A804" s="358" t="s">
        <v>10542</v>
      </c>
      <c r="B804" s="11"/>
      <c r="C804" s="11" t="s">
        <v>9590</v>
      </c>
      <c r="D804" s="475">
        <v>0.78</v>
      </c>
      <c r="E804" s="475">
        <v>0.78</v>
      </c>
      <c r="F804" s="229" t="s">
        <v>1656</v>
      </c>
      <c r="H804" s="511"/>
      <c r="I804" s="199"/>
      <c r="K804" s="507"/>
    </row>
  </sheetData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/>
  </sheetViews>
  <sheetFormatPr customHeight="1" defaultColWidth="12.63" defaultRowHeight="15.75"/>
  <sheetData>
    <row r="1">
      <c r="A1" s="11" t="s">
        <v>4271</v>
      </c>
      <c r="B1" s="192" t="s">
        <v>10543</v>
      </c>
      <c r="C1" s="11" t="s">
        <v>4272</v>
      </c>
      <c r="F1" s="11" t="str">
        <f>"Empty codes:"&amp; COUNTBLANK(C2:C56)</f>
        <v>Empty codes:0</v>
      </c>
    </row>
    <row r="2">
      <c r="A2" s="11" t="s">
        <v>3547</v>
      </c>
      <c r="B2" s="223"/>
      <c r="C2" s="11">
        <v>6675.0</v>
      </c>
    </row>
    <row r="3">
      <c r="A3" s="11" t="s">
        <v>3548</v>
      </c>
      <c r="B3" s="223"/>
      <c r="C3" s="11">
        <v>6675.0</v>
      </c>
      <c r="I3" s="39">
        <v>1236.0</v>
      </c>
      <c r="J3" s="174" t="s">
        <v>74</v>
      </c>
      <c r="K3" s="39">
        <v>53.0</v>
      </c>
    </row>
    <row r="4">
      <c r="A4" s="11" t="s">
        <v>3549</v>
      </c>
      <c r="B4" s="223"/>
      <c r="C4" s="11">
        <v>7010.0</v>
      </c>
      <c r="I4" s="39">
        <v>1236.0</v>
      </c>
      <c r="J4" s="174" t="s">
        <v>68</v>
      </c>
      <c r="K4" s="39">
        <v>44.0</v>
      </c>
    </row>
    <row r="5">
      <c r="A5" s="11" t="s">
        <v>3550</v>
      </c>
      <c r="B5" s="223"/>
      <c r="C5" s="11">
        <v>2345.0</v>
      </c>
      <c r="I5" s="39">
        <v>1236.0</v>
      </c>
      <c r="J5" s="174" t="s">
        <v>71</v>
      </c>
      <c r="K5" s="39">
        <v>9.0</v>
      </c>
    </row>
    <row r="6">
      <c r="A6" s="11" t="s">
        <v>3551</v>
      </c>
      <c r="B6" s="223"/>
      <c r="C6" s="11">
        <v>2345.0</v>
      </c>
      <c r="I6" s="39">
        <v>1236.0</v>
      </c>
      <c r="J6" s="174" t="s">
        <v>3549</v>
      </c>
      <c r="K6" s="39">
        <v>5.0</v>
      </c>
    </row>
    <row r="7">
      <c r="A7" s="11" t="s">
        <v>3552</v>
      </c>
      <c r="B7" s="223"/>
      <c r="C7" s="11">
        <v>663.0</v>
      </c>
      <c r="I7" s="39">
        <v>1236.0</v>
      </c>
      <c r="J7" s="174" t="s">
        <v>65</v>
      </c>
      <c r="K7" s="39">
        <v>2.0</v>
      </c>
    </row>
    <row r="8">
      <c r="A8" s="11" t="s">
        <v>3553</v>
      </c>
      <c r="B8" s="223"/>
      <c r="C8" s="11">
        <v>7040.0</v>
      </c>
      <c r="I8" s="39">
        <v>1236.0</v>
      </c>
      <c r="J8" s="174" t="s">
        <v>72</v>
      </c>
      <c r="K8" s="39">
        <v>1.0</v>
      </c>
    </row>
    <row r="9">
      <c r="A9" s="11" t="s">
        <v>3704</v>
      </c>
      <c r="B9" s="223"/>
      <c r="C9" s="11">
        <v>7132.0</v>
      </c>
      <c r="I9" s="39">
        <v>1236.0</v>
      </c>
      <c r="J9" s="174" t="s">
        <v>3548</v>
      </c>
      <c r="K9" s="39">
        <v>2.0</v>
      </c>
    </row>
    <row r="10">
      <c r="A10" s="11" t="s">
        <v>3705</v>
      </c>
      <c r="B10" s="223"/>
      <c r="C10" s="11">
        <v>189.0</v>
      </c>
      <c r="I10" s="39">
        <v>1236.0</v>
      </c>
      <c r="J10" s="174" t="s">
        <v>73</v>
      </c>
      <c r="K10" s="39">
        <v>1.0</v>
      </c>
    </row>
    <row r="11">
      <c r="A11" s="11" t="s">
        <v>65</v>
      </c>
      <c r="B11" s="223"/>
      <c r="C11" s="11">
        <v>14248.0</v>
      </c>
      <c r="D11" s="11">
        <v>189.0</v>
      </c>
      <c r="I11" s="39">
        <v>1236.0</v>
      </c>
      <c r="J11" s="174" t="s">
        <v>3553</v>
      </c>
      <c r="K11" s="39">
        <v>1.0</v>
      </c>
    </row>
    <row r="12">
      <c r="A12" s="11" t="s">
        <v>66</v>
      </c>
      <c r="B12" s="223"/>
      <c r="C12" s="11">
        <v>6671.0</v>
      </c>
      <c r="I12" s="39">
        <v>1236.0</v>
      </c>
      <c r="J12" s="174" t="s">
        <v>3547</v>
      </c>
      <c r="K12" s="39">
        <v>2.0</v>
      </c>
    </row>
    <row r="13">
      <c r="A13" s="11" t="s">
        <v>67</v>
      </c>
      <c r="B13" s="223"/>
      <c r="C13" s="11">
        <v>6132.0</v>
      </c>
    </row>
    <row r="14">
      <c r="A14" s="11" t="s">
        <v>68</v>
      </c>
      <c r="B14" s="223"/>
      <c r="C14" s="11">
        <v>5125.0</v>
      </c>
    </row>
    <row r="15">
      <c r="A15" s="11" t="s">
        <v>69</v>
      </c>
      <c r="B15" s="223"/>
      <c r="C15" s="11">
        <v>930.0</v>
      </c>
    </row>
    <row r="16">
      <c r="A16" s="11" t="s">
        <v>70</v>
      </c>
      <c r="B16" s="223"/>
      <c r="C16" s="11">
        <v>7168.0</v>
      </c>
    </row>
    <row r="17">
      <c r="A17" s="11" t="s">
        <v>71</v>
      </c>
      <c r="B17" s="223"/>
      <c r="C17" s="11">
        <v>7033.0</v>
      </c>
    </row>
    <row r="18">
      <c r="A18" s="11" t="s">
        <v>72</v>
      </c>
      <c r="B18" s="223"/>
      <c r="C18" s="11">
        <v>7023.0</v>
      </c>
    </row>
    <row r="19">
      <c r="A19" s="11" t="s">
        <v>73</v>
      </c>
      <c r="B19" s="223"/>
      <c r="C19" s="11">
        <v>7031.0</v>
      </c>
    </row>
    <row r="20">
      <c r="A20" s="11" t="s">
        <v>74</v>
      </c>
      <c r="B20" s="223"/>
      <c r="C20" s="11">
        <v>6729.0</v>
      </c>
      <c r="D20" s="11">
        <v>6779.0</v>
      </c>
    </row>
    <row r="21">
      <c r="A21" s="11" t="s">
        <v>75</v>
      </c>
      <c r="B21" s="223"/>
      <c r="C21" s="11">
        <v>14337.0</v>
      </c>
      <c r="D21" s="11">
        <v>2345.0</v>
      </c>
    </row>
    <row r="22">
      <c r="A22" s="11" t="s">
        <v>76</v>
      </c>
      <c r="B22" s="223"/>
      <c r="C22" s="11">
        <v>7847.0</v>
      </c>
    </row>
    <row r="23">
      <c r="A23" s="11" t="s">
        <v>77</v>
      </c>
      <c r="B23" s="223"/>
      <c r="C23" s="11">
        <v>7137.0</v>
      </c>
    </row>
    <row r="24">
      <c r="A24" s="11" t="s">
        <v>78</v>
      </c>
      <c r="B24" s="223"/>
      <c r="C24" s="11">
        <v>7246.0</v>
      </c>
    </row>
    <row r="25">
      <c r="A25" s="11" t="s">
        <v>79</v>
      </c>
      <c r="B25" s="223"/>
      <c r="C25" s="11">
        <v>10141.0</v>
      </c>
    </row>
    <row r="26">
      <c r="A26" s="11" t="s">
        <v>80</v>
      </c>
      <c r="B26" s="223"/>
      <c r="C26" s="11">
        <v>6936.0</v>
      </c>
    </row>
    <row r="27">
      <c r="A27" s="11" t="s">
        <v>81</v>
      </c>
      <c r="B27" s="223"/>
      <c r="C27" s="11">
        <v>6669.0</v>
      </c>
    </row>
    <row r="28">
      <c r="A28" s="11" t="s">
        <v>82</v>
      </c>
      <c r="B28" s="223"/>
      <c r="C28" s="11">
        <v>6669.0</v>
      </c>
    </row>
    <row r="29">
      <c r="A29" s="11" t="s">
        <v>83</v>
      </c>
      <c r="B29" s="223"/>
      <c r="C29" s="11">
        <v>6669.0</v>
      </c>
    </row>
    <row r="30">
      <c r="A30" s="11" t="s">
        <v>84</v>
      </c>
      <c r="B30" s="223"/>
      <c r="C30" s="11">
        <v>6893.0</v>
      </c>
    </row>
    <row r="31">
      <c r="A31" s="11" t="s">
        <v>85</v>
      </c>
      <c r="B31" s="223"/>
      <c r="C31" s="11">
        <v>7183.0</v>
      </c>
    </row>
    <row r="32">
      <c r="A32" s="11" t="s">
        <v>86</v>
      </c>
      <c r="B32" s="223"/>
      <c r="C32" s="11">
        <v>7186.0</v>
      </c>
    </row>
    <row r="33">
      <c r="A33" s="11" t="s">
        <v>87</v>
      </c>
      <c r="B33" s="223"/>
      <c r="C33" s="11">
        <v>3307.0</v>
      </c>
    </row>
    <row r="34">
      <c r="A34" s="11" t="s">
        <v>88</v>
      </c>
      <c r="B34" s="223"/>
      <c r="C34" s="11">
        <v>7416.0</v>
      </c>
    </row>
    <row r="35">
      <c r="A35" s="11" t="s">
        <v>89</v>
      </c>
      <c r="B35" s="223"/>
      <c r="C35" s="11">
        <v>3689.0</v>
      </c>
    </row>
    <row r="36">
      <c r="A36" s="11" t="s">
        <v>90</v>
      </c>
      <c r="B36" s="223"/>
      <c r="C36" s="11">
        <v>10856.0</v>
      </c>
    </row>
    <row r="37">
      <c r="A37" s="11" t="s">
        <v>91</v>
      </c>
      <c r="B37" s="223"/>
      <c r="C37" s="11">
        <v>315.0</v>
      </c>
    </row>
    <row r="38">
      <c r="A38" s="11" t="s">
        <v>92</v>
      </c>
      <c r="B38" s="223"/>
      <c r="C38" s="11">
        <v>7243.0</v>
      </c>
    </row>
    <row r="39">
      <c r="A39" s="11" t="s">
        <v>93</v>
      </c>
      <c r="B39" s="223"/>
      <c r="C39" s="11">
        <v>11104.0</v>
      </c>
    </row>
    <row r="40">
      <c r="A40" s="11" t="s">
        <v>94</v>
      </c>
      <c r="B40" s="223"/>
      <c r="C40" s="11">
        <v>11708.0</v>
      </c>
    </row>
    <row r="41">
      <c r="A41" s="11" t="s">
        <v>95</v>
      </c>
      <c r="B41" s="223"/>
      <c r="C41" s="11">
        <v>6875.0</v>
      </c>
    </row>
    <row r="42">
      <c r="A42" s="11" t="s">
        <v>96</v>
      </c>
      <c r="B42" s="223"/>
      <c r="C42" s="11">
        <v>9701.0</v>
      </c>
    </row>
    <row r="43">
      <c r="A43" s="11" t="s">
        <v>97</v>
      </c>
      <c r="B43" s="223"/>
      <c r="C43" s="158">
        <v>2644.0</v>
      </c>
    </row>
    <row r="44">
      <c r="A44" s="11" t="s">
        <v>98</v>
      </c>
      <c r="B44" s="223"/>
      <c r="C44" s="11">
        <v>7003.0</v>
      </c>
    </row>
    <row r="45">
      <c r="A45" s="11" t="s">
        <v>99</v>
      </c>
      <c r="B45" s="223"/>
      <c r="C45" s="11">
        <v>3616.0</v>
      </c>
    </row>
    <row r="46">
      <c r="A46" s="11" t="s">
        <v>100</v>
      </c>
      <c r="B46" s="223"/>
      <c r="C46" s="11">
        <v>10393.0</v>
      </c>
    </row>
    <row r="47">
      <c r="A47" s="11" t="s">
        <v>101</v>
      </c>
      <c r="B47" s="223"/>
      <c r="C47" s="11">
        <v>6903.0</v>
      </c>
    </row>
    <row r="48">
      <c r="A48" s="11" t="s">
        <v>102</v>
      </c>
      <c r="B48" s="223"/>
      <c r="C48" s="11">
        <v>12932.0</v>
      </c>
    </row>
    <row r="49">
      <c r="A49" s="11" t="s">
        <v>103</v>
      </c>
      <c r="B49" s="223"/>
      <c r="C49" s="11">
        <v>5458.0</v>
      </c>
    </row>
    <row r="50">
      <c r="A50" s="11" t="s">
        <v>104</v>
      </c>
      <c r="B50" s="223"/>
      <c r="C50" s="11">
        <v>12609.0</v>
      </c>
    </row>
    <row r="51">
      <c r="A51" s="11" t="s">
        <v>105</v>
      </c>
      <c r="B51" s="223"/>
      <c r="C51" s="11">
        <v>7073.0</v>
      </c>
    </row>
    <row r="52">
      <c r="A52" s="11" t="s">
        <v>3554</v>
      </c>
      <c r="B52" s="223"/>
      <c r="C52" s="11">
        <v>5458.0</v>
      </c>
    </row>
    <row r="53">
      <c r="A53" s="11" t="s">
        <v>3555</v>
      </c>
      <c r="B53" s="223"/>
      <c r="C53" s="11">
        <v>12550.0</v>
      </c>
    </row>
    <row r="54">
      <c r="A54" s="11" t="s">
        <v>3556</v>
      </c>
      <c r="B54" s="223"/>
      <c r="C54" s="11">
        <v>11708.0</v>
      </c>
    </row>
    <row r="55">
      <c r="A55" s="11" t="s">
        <v>3558</v>
      </c>
      <c r="B55" s="223"/>
      <c r="C55" s="11">
        <v>7414.0</v>
      </c>
    </row>
    <row r="56">
      <c r="A56" s="11" t="s">
        <v>3563</v>
      </c>
      <c r="B56" s="223"/>
      <c r="C56" s="11">
        <v>6772.0</v>
      </c>
    </row>
    <row r="57">
      <c r="B57" s="223"/>
    </row>
    <row r="58">
      <c r="B58" s="223"/>
    </row>
    <row r="59">
      <c r="B59" s="223"/>
    </row>
    <row r="60">
      <c r="B60" s="223"/>
    </row>
    <row r="61">
      <c r="B61" s="223"/>
    </row>
    <row r="62">
      <c r="B62" s="223"/>
    </row>
    <row r="63">
      <c r="B63" s="223"/>
    </row>
    <row r="64">
      <c r="B64" s="223"/>
    </row>
    <row r="65">
      <c r="B65" s="223"/>
    </row>
    <row r="66">
      <c r="B66" s="223"/>
    </row>
    <row r="67">
      <c r="B67" s="223"/>
    </row>
    <row r="68">
      <c r="B68" s="223"/>
    </row>
    <row r="69">
      <c r="B69" s="223"/>
    </row>
    <row r="70">
      <c r="B70" s="223"/>
    </row>
    <row r="71">
      <c r="B71" s="223"/>
    </row>
    <row r="72">
      <c r="B72" s="223"/>
    </row>
    <row r="73">
      <c r="B73" s="223"/>
    </row>
    <row r="74">
      <c r="B74" s="223"/>
    </row>
    <row r="75">
      <c r="B75" s="223"/>
    </row>
    <row r="76">
      <c r="B76" s="223"/>
    </row>
    <row r="77">
      <c r="B77" s="223"/>
    </row>
    <row r="78">
      <c r="B78" s="223"/>
    </row>
    <row r="79">
      <c r="B79" s="223"/>
    </row>
    <row r="80">
      <c r="B80" s="223"/>
    </row>
    <row r="81">
      <c r="B81" s="223"/>
    </row>
    <row r="82">
      <c r="B82" s="223"/>
    </row>
    <row r="83">
      <c r="B83" s="223"/>
    </row>
    <row r="84">
      <c r="B84" s="223"/>
    </row>
    <row r="85">
      <c r="B85" s="223"/>
    </row>
    <row r="86">
      <c r="B86" s="223"/>
    </row>
    <row r="87">
      <c r="B87" s="223"/>
    </row>
    <row r="88">
      <c r="B88" s="223"/>
    </row>
    <row r="89">
      <c r="B89" s="223"/>
    </row>
    <row r="90">
      <c r="B90" s="223"/>
    </row>
    <row r="91">
      <c r="B91" s="223"/>
    </row>
    <row r="92">
      <c r="B92" s="223"/>
    </row>
    <row r="93">
      <c r="B93" s="223"/>
    </row>
    <row r="94">
      <c r="B94" s="223"/>
    </row>
    <row r="95">
      <c r="B95" s="223"/>
    </row>
    <row r="96">
      <c r="B96" s="223"/>
    </row>
    <row r="97">
      <c r="B97" s="223"/>
    </row>
    <row r="98">
      <c r="B98" s="223"/>
    </row>
    <row r="99">
      <c r="B99" s="223"/>
    </row>
    <row r="100">
      <c r="B100" s="223"/>
    </row>
    <row r="101">
      <c r="B101" s="223"/>
    </row>
    <row r="102">
      <c r="B102" s="223"/>
    </row>
    <row r="103">
      <c r="B103" s="223"/>
    </row>
    <row r="104">
      <c r="B104" s="223"/>
    </row>
    <row r="105">
      <c r="B105" s="223"/>
    </row>
    <row r="106">
      <c r="B106" s="223"/>
    </row>
    <row r="107">
      <c r="B107" s="223"/>
    </row>
    <row r="108">
      <c r="B108" s="223"/>
    </row>
    <row r="109">
      <c r="B109" s="223"/>
    </row>
    <row r="110">
      <c r="B110" s="223"/>
    </row>
    <row r="111">
      <c r="B111" s="223"/>
    </row>
    <row r="112">
      <c r="B112" s="223"/>
    </row>
    <row r="113">
      <c r="B113" s="223"/>
    </row>
    <row r="114">
      <c r="B114" s="223"/>
    </row>
    <row r="115">
      <c r="B115" s="223"/>
    </row>
    <row r="116">
      <c r="B116" s="223"/>
    </row>
    <row r="117">
      <c r="B117" s="223"/>
    </row>
    <row r="118">
      <c r="B118" s="223"/>
    </row>
    <row r="119">
      <c r="B119" s="223"/>
    </row>
    <row r="120">
      <c r="B120" s="223"/>
    </row>
    <row r="121">
      <c r="B121" s="223"/>
    </row>
    <row r="122">
      <c r="B122" s="223"/>
    </row>
    <row r="123">
      <c r="B123" s="223"/>
    </row>
    <row r="124">
      <c r="B124" s="223"/>
    </row>
    <row r="125">
      <c r="B125" s="223"/>
    </row>
    <row r="126">
      <c r="B126" s="223"/>
    </row>
    <row r="127">
      <c r="B127" s="223"/>
    </row>
    <row r="128">
      <c r="B128" s="223"/>
    </row>
    <row r="129">
      <c r="B129" s="223"/>
    </row>
    <row r="130">
      <c r="B130" s="223"/>
    </row>
    <row r="131">
      <c r="B131" s="223"/>
    </row>
    <row r="132">
      <c r="B132" s="223"/>
    </row>
    <row r="133">
      <c r="B133" s="223"/>
    </row>
    <row r="134">
      <c r="B134" s="223"/>
    </row>
    <row r="135">
      <c r="B135" s="223"/>
    </row>
    <row r="136">
      <c r="B136" s="223"/>
    </row>
    <row r="137">
      <c r="B137" s="223"/>
    </row>
    <row r="138">
      <c r="B138" s="223"/>
    </row>
    <row r="139">
      <c r="B139" s="223"/>
    </row>
    <row r="140">
      <c r="B140" s="223"/>
    </row>
    <row r="141">
      <c r="B141" s="223"/>
    </row>
    <row r="142">
      <c r="B142" s="223"/>
    </row>
    <row r="143">
      <c r="B143" s="223"/>
    </row>
    <row r="144">
      <c r="B144" s="223"/>
    </row>
    <row r="145">
      <c r="B145" s="223"/>
    </row>
    <row r="146">
      <c r="B146" s="223"/>
    </row>
    <row r="147">
      <c r="B147" s="223"/>
    </row>
    <row r="148">
      <c r="B148" s="223"/>
    </row>
    <row r="149">
      <c r="B149" s="223"/>
    </row>
    <row r="150">
      <c r="B150" s="223"/>
    </row>
    <row r="151">
      <c r="B151" s="223"/>
    </row>
    <row r="152">
      <c r="B152" s="223"/>
    </row>
    <row r="153">
      <c r="B153" s="223"/>
    </row>
    <row r="154">
      <c r="B154" s="223"/>
    </row>
    <row r="155">
      <c r="B155" s="223"/>
    </row>
    <row r="156">
      <c r="B156" s="223"/>
    </row>
    <row r="157">
      <c r="B157" s="223"/>
    </row>
    <row r="158">
      <c r="B158" s="223"/>
    </row>
    <row r="159">
      <c r="B159" s="223"/>
    </row>
    <row r="160">
      <c r="B160" s="223"/>
    </row>
    <row r="161">
      <c r="B161" s="223"/>
    </row>
    <row r="162">
      <c r="B162" s="223"/>
    </row>
    <row r="163">
      <c r="B163" s="223"/>
    </row>
    <row r="164">
      <c r="B164" s="223"/>
    </row>
    <row r="165">
      <c r="B165" s="223"/>
    </row>
    <row r="166">
      <c r="B166" s="223"/>
    </row>
    <row r="167">
      <c r="B167" s="223"/>
    </row>
    <row r="168">
      <c r="B168" s="223"/>
    </row>
    <row r="169">
      <c r="B169" s="223"/>
    </row>
    <row r="170">
      <c r="B170" s="223"/>
    </row>
    <row r="171">
      <c r="B171" s="223"/>
    </row>
    <row r="172">
      <c r="B172" s="223"/>
    </row>
    <row r="173">
      <c r="B173" s="223"/>
    </row>
    <row r="174">
      <c r="B174" s="223"/>
    </row>
    <row r="175">
      <c r="B175" s="223"/>
    </row>
    <row r="176">
      <c r="B176" s="223"/>
    </row>
    <row r="177">
      <c r="B177" s="223"/>
    </row>
    <row r="178">
      <c r="B178" s="223"/>
    </row>
    <row r="179">
      <c r="B179" s="223"/>
    </row>
    <row r="180">
      <c r="B180" s="223"/>
    </row>
    <row r="181">
      <c r="B181" s="223"/>
    </row>
    <row r="182">
      <c r="B182" s="223"/>
    </row>
    <row r="183">
      <c r="B183" s="223"/>
    </row>
    <row r="184">
      <c r="B184" s="223"/>
    </row>
    <row r="185">
      <c r="B185" s="223"/>
    </row>
    <row r="186">
      <c r="B186" s="223"/>
    </row>
    <row r="187">
      <c r="B187" s="223"/>
    </row>
    <row r="188">
      <c r="B188" s="223"/>
    </row>
    <row r="189">
      <c r="B189" s="223"/>
    </row>
    <row r="190">
      <c r="B190" s="223"/>
    </row>
    <row r="191">
      <c r="B191" s="223"/>
    </row>
    <row r="192">
      <c r="B192" s="223"/>
    </row>
    <row r="193">
      <c r="B193" s="223"/>
    </row>
    <row r="194">
      <c r="B194" s="223"/>
    </row>
    <row r="195">
      <c r="B195" s="223"/>
    </row>
    <row r="196">
      <c r="B196" s="223"/>
    </row>
    <row r="197">
      <c r="B197" s="223"/>
    </row>
    <row r="198">
      <c r="B198" s="223"/>
    </row>
    <row r="199">
      <c r="B199" s="223"/>
    </row>
    <row r="200">
      <c r="B200" s="223"/>
    </row>
    <row r="201">
      <c r="B201" s="223"/>
    </row>
    <row r="202">
      <c r="B202" s="223"/>
    </row>
    <row r="203">
      <c r="B203" s="223"/>
    </row>
    <row r="204">
      <c r="B204" s="223"/>
    </row>
    <row r="205">
      <c r="B205" s="223"/>
    </row>
    <row r="206">
      <c r="B206" s="223"/>
    </row>
    <row r="207">
      <c r="B207" s="223"/>
    </row>
    <row r="208">
      <c r="B208" s="223"/>
    </row>
    <row r="209">
      <c r="B209" s="223"/>
    </row>
    <row r="210">
      <c r="B210" s="223"/>
    </row>
    <row r="211">
      <c r="B211" s="223"/>
    </row>
    <row r="212">
      <c r="B212" s="223"/>
    </row>
    <row r="213">
      <c r="B213" s="223"/>
    </row>
    <row r="214">
      <c r="B214" s="223"/>
    </row>
    <row r="215">
      <c r="B215" s="223"/>
    </row>
    <row r="216">
      <c r="B216" s="223"/>
    </row>
    <row r="217">
      <c r="B217" s="223"/>
    </row>
    <row r="218">
      <c r="B218" s="223"/>
    </row>
    <row r="219">
      <c r="B219" s="223"/>
    </row>
    <row r="220">
      <c r="B220" s="223"/>
    </row>
    <row r="221">
      <c r="B221" s="223"/>
    </row>
    <row r="222">
      <c r="B222" s="223"/>
    </row>
    <row r="223">
      <c r="B223" s="223"/>
    </row>
    <row r="224">
      <c r="B224" s="223"/>
    </row>
    <row r="225">
      <c r="B225" s="223"/>
    </row>
    <row r="226">
      <c r="B226" s="223"/>
    </row>
    <row r="227">
      <c r="B227" s="223"/>
    </row>
    <row r="228">
      <c r="B228" s="223"/>
    </row>
    <row r="229">
      <c r="B229" s="223"/>
    </row>
    <row r="230">
      <c r="B230" s="223"/>
    </row>
    <row r="231">
      <c r="B231" s="223"/>
    </row>
    <row r="232">
      <c r="B232" s="223"/>
    </row>
    <row r="233">
      <c r="B233" s="223"/>
    </row>
    <row r="234">
      <c r="B234" s="223"/>
    </row>
    <row r="235">
      <c r="B235" s="223"/>
    </row>
    <row r="236">
      <c r="B236" s="223"/>
    </row>
    <row r="237">
      <c r="B237" s="223"/>
    </row>
    <row r="238">
      <c r="B238" s="223"/>
    </row>
    <row r="239">
      <c r="B239" s="223"/>
    </row>
    <row r="240">
      <c r="B240" s="223"/>
    </row>
    <row r="241">
      <c r="B241" s="223"/>
    </row>
    <row r="242">
      <c r="B242" s="223"/>
    </row>
    <row r="243">
      <c r="B243" s="223"/>
    </row>
    <row r="244">
      <c r="B244" s="223"/>
    </row>
    <row r="245">
      <c r="B245" s="223"/>
    </row>
    <row r="246">
      <c r="B246" s="223"/>
    </row>
    <row r="247">
      <c r="B247" s="223"/>
    </row>
    <row r="248">
      <c r="B248" s="223"/>
    </row>
    <row r="249">
      <c r="B249" s="223"/>
    </row>
    <row r="250">
      <c r="B250" s="223"/>
    </row>
    <row r="251">
      <c r="B251" s="223"/>
    </row>
    <row r="252">
      <c r="B252" s="223"/>
    </row>
    <row r="253">
      <c r="B253" s="223"/>
    </row>
    <row r="254">
      <c r="B254" s="223"/>
    </row>
    <row r="255">
      <c r="B255" s="223"/>
    </row>
    <row r="256">
      <c r="B256" s="223"/>
    </row>
    <row r="257">
      <c r="B257" s="223"/>
    </row>
    <row r="258">
      <c r="B258" s="223"/>
    </row>
    <row r="259">
      <c r="B259" s="223"/>
    </row>
    <row r="260">
      <c r="B260" s="223"/>
    </row>
    <row r="261">
      <c r="B261" s="223"/>
    </row>
    <row r="262">
      <c r="B262" s="223"/>
    </row>
    <row r="263">
      <c r="B263" s="223"/>
    </row>
    <row r="264">
      <c r="B264" s="223"/>
    </row>
    <row r="265">
      <c r="B265" s="223"/>
    </row>
    <row r="266">
      <c r="B266" s="223"/>
    </row>
    <row r="267">
      <c r="B267" s="223"/>
    </row>
    <row r="268">
      <c r="B268" s="223"/>
    </row>
    <row r="269">
      <c r="B269" s="223"/>
    </row>
    <row r="270">
      <c r="B270" s="223"/>
    </row>
    <row r="271">
      <c r="B271" s="223"/>
    </row>
    <row r="272">
      <c r="B272" s="223"/>
    </row>
    <row r="273">
      <c r="B273" s="223"/>
    </row>
    <row r="274">
      <c r="B274" s="223"/>
    </row>
    <row r="275">
      <c r="B275" s="223"/>
    </row>
    <row r="276">
      <c r="B276" s="223"/>
    </row>
    <row r="277">
      <c r="B277" s="223"/>
    </row>
    <row r="278">
      <c r="B278" s="223"/>
    </row>
    <row r="279">
      <c r="B279" s="223"/>
    </row>
    <row r="280">
      <c r="B280" s="223"/>
    </row>
    <row r="281">
      <c r="B281" s="223"/>
    </row>
    <row r="282">
      <c r="B282" s="223"/>
    </row>
    <row r="283">
      <c r="B283" s="223"/>
    </row>
    <row r="284">
      <c r="B284" s="223"/>
    </row>
    <row r="285">
      <c r="B285" s="223"/>
    </row>
    <row r="286">
      <c r="B286" s="223"/>
    </row>
    <row r="287">
      <c r="B287" s="223"/>
    </row>
    <row r="288">
      <c r="B288" s="223"/>
    </row>
    <row r="289">
      <c r="B289" s="223"/>
    </row>
    <row r="290">
      <c r="B290" s="223"/>
    </row>
    <row r="291">
      <c r="B291" s="223"/>
    </row>
    <row r="292">
      <c r="B292" s="223"/>
    </row>
    <row r="293">
      <c r="B293" s="223"/>
    </row>
    <row r="294">
      <c r="B294" s="223"/>
    </row>
    <row r="295">
      <c r="B295" s="223"/>
    </row>
    <row r="296">
      <c r="B296" s="223"/>
    </row>
    <row r="297">
      <c r="B297" s="223"/>
    </row>
    <row r="298">
      <c r="B298" s="223"/>
    </row>
    <row r="299">
      <c r="B299" s="223"/>
    </row>
    <row r="300">
      <c r="B300" s="223"/>
    </row>
    <row r="301">
      <c r="B301" s="223"/>
    </row>
    <row r="302">
      <c r="B302" s="223"/>
    </row>
    <row r="303">
      <c r="B303" s="223"/>
    </row>
    <row r="304">
      <c r="B304" s="223"/>
    </row>
    <row r="305">
      <c r="B305" s="223"/>
    </row>
    <row r="306">
      <c r="B306" s="223"/>
    </row>
    <row r="307">
      <c r="B307" s="223"/>
    </row>
    <row r="308">
      <c r="B308" s="223"/>
    </row>
    <row r="309">
      <c r="B309" s="223"/>
    </row>
    <row r="310">
      <c r="B310" s="223"/>
    </row>
    <row r="311">
      <c r="B311" s="223"/>
    </row>
    <row r="312">
      <c r="B312" s="223"/>
    </row>
    <row r="313">
      <c r="B313" s="223"/>
    </row>
    <row r="314">
      <c r="B314" s="223"/>
    </row>
    <row r="315">
      <c r="B315" s="223"/>
    </row>
    <row r="316">
      <c r="B316" s="223"/>
    </row>
    <row r="317">
      <c r="B317" s="223"/>
    </row>
    <row r="318">
      <c r="B318" s="223"/>
    </row>
    <row r="319">
      <c r="B319" s="223"/>
    </row>
    <row r="320">
      <c r="B320" s="223"/>
    </row>
    <row r="321">
      <c r="B321" s="223"/>
    </row>
    <row r="322">
      <c r="B322" s="223"/>
    </row>
    <row r="323">
      <c r="B323" s="223"/>
    </row>
    <row r="324">
      <c r="B324" s="223"/>
    </row>
    <row r="325">
      <c r="B325" s="223"/>
    </row>
    <row r="326">
      <c r="B326" s="223"/>
    </row>
    <row r="327">
      <c r="B327" s="223"/>
    </row>
    <row r="328">
      <c r="B328" s="223"/>
    </row>
    <row r="329">
      <c r="B329" s="223"/>
    </row>
    <row r="330">
      <c r="B330" s="223"/>
    </row>
    <row r="331">
      <c r="B331" s="223"/>
    </row>
    <row r="332">
      <c r="B332" s="223"/>
    </row>
    <row r="333">
      <c r="B333" s="223"/>
    </row>
    <row r="334">
      <c r="B334" s="223"/>
    </row>
    <row r="335">
      <c r="B335" s="223"/>
    </row>
    <row r="336">
      <c r="B336" s="223"/>
    </row>
    <row r="337">
      <c r="B337" s="223"/>
    </row>
    <row r="338">
      <c r="B338" s="223"/>
    </row>
    <row r="339">
      <c r="B339" s="223"/>
    </row>
    <row r="340">
      <c r="B340" s="223"/>
    </row>
    <row r="341">
      <c r="B341" s="223"/>
    </row>
    <row r="342">
      <c r="B342" s="223"/>
    </row>
    <row r="343">
      <c r="B343" s="223"/>
    </row>
    <row r="344">
      <c r="B344" s="223"/>
    </row>
    <row r="345">
      <c r="B345" s="223"/>
    </row>
    <row r="346">
      <c r="B346" s="223"/>
    </row>
    <row r="347">
      <c r="B347" s="223"/>
    </row>
    <row r="348">
      <c r="B348" s="223"/>
    </row>
    <row r="349">
      <c r="B349" s="223"/>
    </row>
    <row r="350">
      <c r="B350" s="223"/>
    </row>
    <row r="351">
      <c r="B351" s="223"/>
    </row>
    <row r="352">
      <c r="B352" s="223"/>
    </row>
    <row r="353">
      <c r="B353" s="223"/>
    </row>
    <row r="354">
      <c r="B354" s="223"/>
    </row>
    <row r="355">
      <c r="B355" s="223"/>
    </row>
    <row r="356">
      <c r="B356" s="223"/>
    </row>
    <row r="357">
      <c r="B357" s="223"/>
    </row>
    <row r="358">
      <c r="B358" s="223"/>
    </row>
    <row r="359">
      <c r="B359" s="223"/>
    </row>
    <row r="360">
      <c r="B360" s="223"/>
    </row>
    <row r="361">
      <c r="B361" s="223"/>
    </row>
    <row r="362">
      <c r="B362" s="223"/>
    </row>
    <row r="363">
      <c r="B363" s="223"/>
    </row>
    <row r="364">
      <c r="B364" s="223"/>
    </row>
    <row r="365">
      <c r="B365" s="223"/>
    </row>
    <row r="366">
      <c r="B366" s="223"/>
    </row>
    <row r="367">
      <c r="B367" s="223"/>
    </row>
    <row r="368">
      <c r="B368" s="223"/>
    </row>
    <row r="369">
      <c r="B369" s="223"/>
    </row>
    <row r="370">
      <c r="B370" s="223"/>
    </row>
    <row r="371">
      <c r="B371" s="223"/>
    </row>
    <row r="372">
      <c r="B372" s="223"/>
    </row>
    <row r="373">
      <c r="B373" s="223"/>
    </row>
    <row r="374">
      <c r="B374" s="223"/>
    </row>
    <row r="375">
      <c r="B375" s="223"/>
    </row>
    <row r="376">
      <c r="B376" s="223"/>
    </row>
    <row r="377">
      <c r="B377" s="223"/>
    </row>
    <row r="378">
      <c r="B378" s="223"/>
    </row>
    <row r="379">
      <c r="B379" s="223"/>
    </row>
    <row r="380">
      <c r="B380" s="223"/>
    </row>
    <row r="381">
      <c r="B381" s="223"/>
    </row>
    <row r="382">
      <c r="B382" s="223"/>
    </row>
    <row r="383">
      <c r="B383" s="223"/>
    </row>
    <row r="384">
      <c r="B384" s="223"/>
    </row>
    <row r="385">
      <c r="B385" s="223"/>
    </row>
    <row r="386">
      <c r="B386" s="223"/>
    </row>
    <row r="387">
      <c r="B387" s="223"/>
    </row>
    <row r="388">
      <c r="B388" s="223"/>
    </row>
    <row r="389">
      <c r="B389" s="223"/>
    </row>
    <row r="390">
      <c r="B390" s="223"/>
    </row>
    <row r="391">
      <c r="B391" s="223"/>
    </row>
    <row r="392">
      <c r="B392" s="223"/>
    </row>
    <row r="393">
      <c r="B393" s="223"/>
    </row>
    <row r="394">
      <c r="B394" s="223"/>
    </row>
    <row r="395">
      <c r="B395" s="223"/>
    </row>
    <row r="396">
      <c r="B396" s="223"/>
    </row>
    <row r="397">
      <c r="B397" s="223"/>
    </row>
    <row r="398">
      <c r="B398" s="223"/>
    </row>
    <row r="399">
      <c r="B399" s="223"/>
    </row>
    <row r="400">
      <c r="B400" s="223"/>
    </row>
    <row r="401">
      <c r="B401" s="223"/>
    </row>
    <row r="402">
      <c r="B402" s="223"/>
    </row>
    <row r="403">
      <c r="B403" s="223"/>
    </row>
    <row r="404">
      <c r="B404" s="223"/>
    </row>
    <row r="405">
      <c r="B405" s="223"/>
    </row>
    <row r="406">
      <c r="B406" s="223"/>
    </row>
    <row r="407">
      <c r="B407" s="223"/>
    </row>
    <row r="408">
      <c r="B408" s="223"/>
    </row>
    <row r="409">
      <c r="B409" s="223"/>
    </row>
    <row r="410">
      <c r="B410" s="223"/>
    </row>
    <row r="411">
      <c r="B411" s="223"/>
    </row>
    <row r="412">
      <c r="B412" s="223"/>
    </row>
    <row r="413">
      <c r="B413" s="223"/>
    </row>
    <row r="414">
      <c r="B414" s="223"/>
    </row>
    <row r="415">
      <c r="B415" s="223"/>
    </row>
    <row r="416">
      <c r="B416" s="223"/>
    </row>
    <row r="417">
      <c r="B417" s="223"/>
    </row>
    <row r="418">
      <c r="B418" s="223"/>
    </row>
    <row r="419">
      <c r="B419" s="223"/>
    </row>
    <row r="420">
      <c r="B420" s="223"/>
    </row>
    <row r="421">
      <c r="B421" s="223"/>
    </row>
    <row r="422">
      <c r="B422" s="223"/>
    </row>
    <row r="423">
      <c r="B423" s="223"/>
    </row>
    <row r="424">
      <c r="B424" s="223"/>
    </row>
    <row r="425">
      <c r="B425" s="223"/>
    </row>
    <row r="426">
      <c r="B426" s="223"/>
    </row>
    <row r="427">
      <c r="B427" s="223"/>
    </row>
    <row r="428">
      <c r="B428" s="223"/>
    </row>
    <row r="429">
      <c r="B429" s="223"/>
    </row>
    <row r="430">
      <c r="B430" s="223"/>
    </row>
    <row r="431">
      <c r="B431" s="223"/>
    </row>
    <row r="432">
      <c r="B432" s="223"/>
    </row>
    <row r="433">
      <c r="B433" s="223"/>
    </row>
    <row r="434">
      <c r="B434" s="223"/>
    </row>
    <row r="435">
      <c r="B435" s="223"/>
    </row>
    <row r="436">
      <c r="B436" s="223"/>
    </row>
    <row r="437">
      <c r="B437" s="223"/>
    </row>
    <row r="438">
      <c r="B438" s="223"/>
    </row>
    <row r="439">
      <c r="B439" s="223"/>
    </row>
    <row r="440">
      <c r="B440" s="223"/>
    </row>
    <row r="441">
      <c r="B441" s="223"/>
    </row>
    <row r="442">
      <c r="B442" s="223"/>
    </row>
    <row r="443">
      <c r="B443" s="223"/>
    </row>
    <row r="444">
      <c r="B444" s="223"/>
    </row>
    <row r="445">
      <c r="B445" s="223"/>
    </row>
    <row r="446">
      <c r="B446" s="223"/>
    </row>
    <row r="447">
      <c r="B447" s="223"/>
    </row>
    <row r="448">
      <c r="B448" s="223"/>
    </row>
    <row r="449">
      <c r="B449" s="223"/>
    </row>
    <row r="450">
      <c r="B450" s="223"/>
    </row>
    <row r="451">
      <c r="B451" s="223"/>
    </row>
    <row r="452">
      <c r="B452" s="223"/>
    </row>
    <row r="453">
      <c r="B453" s="223"/>
    </row>
    <row r="454">
      <c r="B454" s="223"/>
    </row>
    <row r="455">
      <c r="B455" s="223"/>
    </row>
    <row r="456">
      <c r="B456" s="223"/>
    </row>
    <row r="457">
      <c r="B457" s="223"/>
    </row>
    <row r="458">
      <c r="B458" s="223"/>
    </row>
    <row r="459">
      <c r="B459" s="223"/>
    </row>
    <row r="460">
      <c r="B460" s="223"/>
    </row>
    <row r="461">
      <c r="B461" s="223"/>
    </row>
    <row r="462">
      <c r="B462" s="223"/>
    </row>
    <row r="463">
      <c r="B463" s="223"/>
    </row>
    <row r="464">
      <c r="B464" s="223"/>
    </row>
    <row r="465">
      <c r="B465" s="223"/>
    </row>
    <row r="466">
      <c r="B466" s="223"/>
    </row>
    <row r="467">
      <c r="B467" s="223"/>
    </row>
    <row r="468">
      <c r="B468" s="223"/>
    </row>
    <row r="469">
      <c r="B469" s="223"/>
    </row>
    <row r="470">
      <c r="B470" s="223"/>
    </row>
    <row r="471">
      <c r="B471" s="223"/>
    </row>
    <row r="472">
      <c r="B472" s="223"/>
    </row>
    <row r="473">
      <c r="B473" s="223"/>
    </row>
    <row r="474">
      <c r="B474" s="223"/>
    </row>
    <row r="475">
      <c r="B475" s="223"/>
    </row>
    <row r="476">
      <c r="B476" s="223"/>
    </row>
    <row r="477">
      <c r="B477" s="223"/>
    </row>
    <row r="478">
      <c r="B478" s="223"/>
    </row>
    <row r="479">
      <c r="B479" s="223"/>
    </row>
    <row r="480">
      <c r="B480" s="223"/>
    </row>
    <row r="481">
      <c r="B481" s="223"/>
    </row>
    <row r="482">
      <c r="B482" s="223"/>
    </row>
    <row r="483">
      <c r="B483" s="223"/>
    </row>
    <row r="484">
      <c r="B484" s="223"/>
    </row>
    <row r="485">
      <c r="B485" s="223"/>
    </row>
    <row r="486">
      <c r="B486" s="223"/>
    </row>
    <row r="487">
      <c r="B487" s="223"/>
    </row>
    <row r="488">
      <c r="B488" s="223"/>
    </row>
    <row r="489">
      <c r="B489" s="223"/>
    </row>
    <row r="490">
      <c r="B490" s="223"/>
    </row>
    <row r="491">
      <c r="B491" s="223"/>
    </row>
    <row r="492">
      <c r="B492" s="223"/>
    </row>
    <row r="493">
      <c r="B493" s="223"/>
    </row>
    <row r="494">
      <c r="B494" s="223"/>
    </row>
    <row r="495">
      <c r="B495" s="223"/>
    </row>
    <row r="496">
      <c r="B496" s="223"/>
    </row>
    <row r="497">
      <c r="B497" s="223"/>
    </row>
    <row r="498">
      <c r="B498" s="223"/>
    </row>
    <row r="499">
      <c r="B499" s="223"/>
    </row>
    <row r="500">
      <c r="B500" s="223"/>
    </row>
    <row r="501">
      <c r="B501" s="223"/>
    </row>
    <row r="502">
      <c r="B502" s="223"/>
    </row>
    <row r="503">
      <c r="B503" s="223"/>
    </row>
    <row r="504">
      <c r="B504" s="223"/>
    </row>
    <row r="505">
      <c r="B505" s="223"/>
    </row>
    <row r="506">
      <c r="B506" s="223"/>
    </row>
    <row r="507">
      <c r="B507" s="223"/>
    </row>
    <row r="508">
      <c r="B508" s="223"/>
    </row>
    <row r="509">
      <c r="B509" s="223"/>
    </row>
    <row r="510">
      <c r="B510" s="223"/>
    </row>
    <row r="511">
      <c r="B511" s="223"/>
    </row>
    <row r="512">
      <c r="B512" s="223"/>
    </row>
    <row r="513">
      <c r="B513" s="223"/>
    </row>
    <row r="514">
      <c r="B514" s="223"/>
    </row>
    <row r="515">
      <c r="B515" s="223"/>
    </row>
    <row r="516">
      <c r="B516" s="223"/>
    </row>
    <row r="517">
      <c r="B517" s="223"/>
    </row>
    <row r="518">
      <c r="B518" s="223"/>
    </row>
    <row r="519">
      <c r="B519" s="223"/>
    </row>
    <row r="520">
      <c r="B520" s="223"/>
    </row>
    <row r="521">
      <c r="B521" s="223"/>
    </row>
    <row r="522">
      <c r="B522" s="223"/>
    </row>
    <row r="523">
      <c r="B523" s="223"/>
    </row>
    <row r="524">
      <c r="B524" s="223"/>
    </row>
    <row r="525">
      <c r="B525" s="223"/>
    </row>
    <row r="526">
      <c r="B526" s="223"/>
    </row>
    <row r="527">
      <c r="B527" s="223"/>
    </row>
    <row r="528">
      <c r="B528" s="223"/>
    </row>
    <row r="529">
      <c r="B529" s="223"/>
    </row>
    <row r="530">
      <c r="B530" s="223"/>
    </row>
    <row r="531">
      <c r="B531" s="223"/>
    </row>
    <row r="532">
      <c r="B532" s="223"/>
    </row>
    <row r="533">
      <c r="B533" s="223"/>
    </row>
    <row r="534">
      <c r="B534" s="223"/>
    </row>
    <row r="535">
      <c r="B535" s="223"/>
    </row>
    <row r="536">
      <c r="B536" s="223"/>
    </row>
    <row r="537">
      <c r="B537" s="223"/>
    </row>
    <row r="538">
      <c r="B538" s="223"/>
    </row>
    <row r="539">
      <c r="B539" s="223"/>
    </row>
    <row r="540">
      <c r="B540" s="223"/>
    </row>
    <row r="541">
      <c r="B541" s="223"/>
    </row>
    <row r="542">
      <c r="B542" s="223"/>
    </row>
    <row r="543">
      <c r="B543" s="223"/>
    </row>
    <row r="544">
      <c r="B544" s="223"/>
    </row>
    <row r="545">
      <c r="B545" s="223"/>
    </row>
    <row r="546">
      <c r="B546" s="223"/>
    </row>
    <row r="547">
      <c r="B547" s="223"/>
    </row>
    <row r="548">
      <c r="B548" s="223"/>
    </row>
    <row r="549">
      <c r="B549" s="223"/>
    </row>
    <row r="550">
      <c r="B550" s="223"/>
    </row>
    <row r="551">
      <c r="B551" s="223"/>
    </row>
    <row r="552">
      <c r="B552" s="223"/>
    </row>
    <row r="553">
      <c r="B553" s="223"/>
    </row>
    <row r="554">
      <c r="B554" s="223"/>
    </row>
    <row r="555">
      <c r="B555" s="223"/>
    </row>
    <row r="556">
      <c r="B556" s="223"/>
    </row>
    <row r="557">
      <c r="B557" s="223"/>
    </row>
    <row r="558">
      <c r="B558" s="223"/>
    </row>
    <row r="559">
      <c r="B559" s="223"/>
    </row>
    <row r="560">
      <c r="B560" s="223"/>
    </row>
    <row r="561">
      <c r="B561" s="223"/>
    </row>
    <row r="562">
      <c r="B562" s="223"/>
    </row>
    <row r="563">
      <c r="B563" s="223"/>
    </row>
    <row r="564">
      <c r="B564" s="223"/>
    </row>
    <row r="565">
      <c r="B565" s="223"/>
    </row>
    <row r="566">
      <c r="B566" s="223"/>
    </row>
    <row r="567">
      <c r="B567" s="223"/>
    </row>
    <row r="568">
      <c r="B568" s="223"/>
    </row>
    <row r="569">
      <c r="B569" s="223"/>
    </row>
    <row r="570">
      <c r="B570" s="223"/>
    </row>
    <row r="571">
      <c r="B571" s="223"/>
    </row>
    <row r="572">
      <c r="B572" s="223"/>
    </row>
    <row r="573">
      <c r="B573" s="223"/>
    </row>
    <row r="574">
      <c r="B574" s="223"/>
    </row>
    <row r="575">
      <c r="B575" s="223"/>
    </row>
    <row r="576">
      <c r="B576" s="223"/>
    </row>
    <row r="577">
      <c r="B577" s="223"/>
    </row>
    <row r="578">
      <c r="B578" s="223"/>
    </row>
    <row r="579">
      <c r="B579" s="223"/>
    </row>
    <row r="580">
      <c r="B580" s="223"/>
    </row>
    <row r="581">
      <c r="B581" s="223"/>
    </row>
    <row r="582">
      <c r="B582" s="223"/>
    </row>
    <row r="583">
      <c r="B583" s="223"/>
    </row>
    <row r="584">
      <c r="B584" s="223"/>
    </row>
    <row r="585">
      <c r="B585" s="223"/>
    </row>
    <row r="586">
      <c r="B586" s="223"/>
    </row>
    <row r="587">
      <c r="B587" s="223"/>
    </row>
    <row r="588">
      <c r="B588" s="223"/>
    </row>
    <row r="589">
      <c r="B589" s="223"/>
    </row>
    <row r="590">
      <c r="B590" s="223"/>
    </row>
    <row r="591">
      <c r="B591" s="223"/>
    </row>
    <row r="592">
      <c r="B592" s="223"/>
    </row>
    <row r="593">
      <c r="B593" s="223"/>
    </row>
    <row r="594">
      <c r="B594" s="223"/>
    </row>
    <row r="595">
      <c r="B595" s="223"/>
    </row>
    <row r="596">
      <c r="B596" s="223"/>
    </row>
    <row r="597">
      <c r="B597" s="223"/>
    </row>
    <row r="598">
      <c r="B598" s="223"/>
    </row>
    <row r="599">
      <c r="B599" s="223"/>
    </row>
    <row r="600">
      <c r="B600" s="223"/>
    </row>
    <row r="601">
      <c r="B601" s="223"/>
    </row>
    <row r="602">
      <c r="B602" s="223"/>
    </row>
    <row r="603">
      <c r="B603" s="223"/>
    </row>
    <row r="604">
      <c r="B604" s="223"/>
    </row>
    <row r="605">
      <c r="B605" s="223"/>
    </row>
    <row r="606">
      <c r="B606" s="223"/>
    </row>
    <row r="607">
      <c r="B607" s="223"/>
    </row>
    <row r="608">
      <c r="B608" s="223"/>
    </row>
    <row r="609">
      <c r="B609" s="223"/>
    </row>
    <row r="610">
      <c r="B610" s="223"/>
    </row>
    <row r="611">
      <c r="B611" s="223"/>
    </row>
    <row r="612">
      <c r="B612" s="223"/>
    </row>
    <row r="613">
      <c r="B613" s="223"/>
    </row>
    <row r="614">
      <c r="B614" s="223"/>
    </row>
    <row r="615">
      <c r="B615" s="223"/>
    </row>
    <row r="616">
      <c r="B616" s="223"/>
    </row>
    <row r="617">
      <c r="B617" s="223"/>
    </row>
    <row r="618">
      <c r="B618" s="223"/>
    </row>
    <row r="619">
      <c r="B619" s="223"/>
    </row>
    <row r="620">
      <c r="B620" s="223"/>
    </row>
    <row r="621">
      <c r="B621" s="223"/>
    </row>
    <row r="622">
      <c r="B622" s="223"/>
    </row>
    <row r="623">
      <c r="B623" s="223"/>
    </row>
    <row r="624">
      <c r="B624" s="223"/>
    </row>
    <row r="625">
      <c r="B625" s="223"/>
    </row>
    <row r="626">
      <c r="B626" s="223"/>
    </row>
    <row r="627">
      <c r="B627" s="223"/>
    </row>
    <row r="628">
      <c r="B628" s="223"/>
    </row>
    <row r="629">
      <c r="B629" s="223"/>
    </row>
    <row r="630">
      <c r="B630" s="223"/>
    </row>
    <row r="631">
      <c r="B631" s="223"/>
    </row>
    <row r="632">
      <c r="B632" s="223"/>
    </row>
    <row r="633">
      <c r="B633" s="223"/>
    </row>
    <row r="634">
      <c r="B634" s="223"/>
    </row>
    <row r="635">
      <c r="B635" s="223"/>
    </row>
    <row r="636">
      <c r="B636" s="223"/>
    </row>
    <row r="637">
      <c r="B637" s="223"/>
    </row>
    <row r="638">
      <c r="B638" s="223"/>
    </row>
    <row r="639">
      <c r="B639" s="223"/>
    </row>
    <row r="640">
      <c r="B640" s="223"/>
    </row>
    <row r="641">
      <c r="B641" s="223"/>
    </row>
    <row r="642">
      <c r="B642" s="223"/>
    </row>
    <row r="643">
      <c r="B643" s="223"/>
    </row>
    <row r="644">
      <c r="B644" s="223"/>
    </row>
    <row r="645">
      <c r="B645" s="223"/>
    </row>
    <row r="646">
      <c r="B646" s="223"/>
    </row>
    <row r="647">
      <c r="B647" s="223"/>
    </row>
    <row r="648">
      <c r="B648" s="223"/>
    </row>
    <row r="649">
      <c r="B649" s="223"/>
    </row>
    <row r="650">
      <c r="B650" s="223"/>
    </row>
    <row r="651">
      <c r="B651" s="223"/>
    </row>
    <row r="652">
      <c r="B652" s="223"/>
    </row>
    <row r="653">
      <c r="B653" s="223"/>
    </row>
    <row r="654">
      <c r="B654" s="223"/>
    </row>
    <row r="655">
      <c r="B655" s="223"/>
    </row>
    <row r="656">
      <c r="B656" s="223"/>
    </row>
    <row r="657">
      <c r="B657" s="223"/>
    </row>
    <row r="658">
      <c r="B658" s="223"/>
    </row>
    <row r="659">
      <c r="B659" s="223"/>
    </row>
    <row r="660">
      <c r="B660" s="223"/>
    </row>
    <row r="661">
      <c r="B661" s="223"/>
    </row>
    <row r="662">
      <c r="B662" s="223"/>
    </row>
    <row r="663">
      <c r="B663" s="223"/>
    </row>
    <row r="664">
      <c r="B664" s="223"/>
    </row>
    <row r="665">
      <c r="B665" s="223"/>
    </row>
    <row r="666">
      <c r="B666" s="223"/>
    </row>
    <row r="667">
      <c r="B667" s="223"/>
    </row>
    <row r="668">
      <c r="B668" s="223"/>
    </row>
    <row r="669">
      <c r="B669" s="223"/>
    </row>
    <row r="670">
      <c r="B670" s="223"/>
    </row>
    <row r="671">
      <c r="B671" s="223"/>
    </row>
    <row r="672">
      <c r="B672" s="223"/>
    </row>
    <row r="673">
      <c r="B673" s="223"/>
    </row>
    <row r="674">
      <c r="B674" s="223"/>
    </row>
    <row r="675">
      <c r="B675" s="223"/>
    </row>
    <row r="676">
      <c r="B676" s="223"/>
    </row>
    <row r="677">
      <c r="B677" s="223"/>
    </row>
    <row r="678">
      <c r="B678" s="223"/>
    </row>
    <row r="679">
      <c r="B679" s="223"/>
    </row>
    <row r="680">
      <c r="B680" s="223"/>
    </row>
    <row r="681">
      <c r="B681" s="223"/>
    </row>
    <row r="682">
      <c r="B682" s="223"/>
    </row>
    <row r="683">
      <c r="B683" s="223"/>
    </row>
    <row r="684">
      <c r="B684" s="223"/>
    </row>
    <row r="685">
      <c r="B685" s="223"/>
    </row>
    <row r="686">
      <c r="B686" s="223"/>
    </row>
    <row r="687">
      <c r="B687" s="223"/>
    </row>
    <row r="688">
      <c r="B688" s="223"/>
    </row>
    <row r="689">
      <c r="B689" s="223"/>
    </row>
    <row r="690">
      <c r="B690" s="223"/>
    </row>
    <row r="691">
      <c r="B691" s="223"/>
    </row>
    <row r="692">
      <c r="B692" s="223"/>
    </row>
    <row r="693">
      <c r="B693" s="223"/>
    </row>
    <row r="694">
      <c r="B694" s="223"/>
    </row>
    <row r="695">
      <c r="B695" s="223"/>
    </row>
    <row r="696">
      <c r="B696" s="223"/>
    </row>
    <row r="697">
      <c r="B697" s="223"/>
    </row>
    <row r="698">
      <c r="B698" s="223"/>
    </row>
    <row r="699">
      <c r="B699" s="223"/>
    </row>
    <row r="700">
      <c r="B700" s="223"/>
    </row>
    <row r="701">
      <c r="B701" s="223"/>
    </row>
    <row r="702">
      <c r="B702" s="223"/>
    </row>
    <row r="703">
      <c r="B703" s="223"/>
    </row>
    <row r="704">
      <c r="B704" s="223"/>
    </row>
    <row r="705">
      <c r="B705" s="223"/>
    </row>
    <row r="706">
      <c r="B706" s="223"/>
    </row>
    <row r="707">
      <c r="B707" s="223"/>
    </row>
    <row r="708">
      <c r="B708" s="223"/>
    </row>
    <row r="709">
      <c r="B709" s="223"/>
    </row>
    <row r="710">
      <c r="B710" s="223"/>
    </row>
    <row r="711">
      <c r="B711" s="223"/>
    </row>
    <row r="712">
      <c r="B712" s="223"/>
    </row>
    <row r="713">
      <c r="B713" s="223"/>
    </row>
    <row r="714">
      <c r="B714" s="223"/>
    </row>
    <row r="715">
      <c r="B715" s="223"/>
    </row>
    <row r="716">
      <c r="B716" s="223"/>
    </row>
    <row r="717">
      <c r="B717" s="223"/>
    </row>
    <row r="718">
      <c r="B718" s="223"/>
    </row>
    <row r="719">
      <c r="B719" s="223"/>
    </row>
    <row r="720">
      <c r="B720" s="223"/>
    </row>
    <row r="721">
      <c r="B721" s="223"/>
    </row>
    <row r="722">
      <c r="B722" s="223"/>
    </row>
    <row r="723">
      <c r="B723" s="223"/>
    </row>
    <row r="724">
      <c r="B724" s="223"/>
    </row>
    <row r="725">
      <c r="B725" s="223"/>
    </row>
    <row r="726">
      <c r="B726" s="223"/>
    </row>
    <row r="727">
      <c r="B727" s="223"/>
    </row>
    <row r="728">
      <c r="B728" s="223"/>
    </row>
    <row r="729">
      <c r="B729" s="223"/>
    </row>
    <row r="730">
      <c r="B730" s="223"/>
    </row>
    <row r="731">
      <c r="B731" s="223"/>
    </row>
    <row r="732">
      <c r="B732" s="223"/>
    </row>
    <row r="733">
      <c r="B733" s="223"/>
    </row>
    <row r="734">
      <c r="B734" s="223"/>
    </row>
    <row r="735">
      <c r="B735" s="223"/>
    </row>
    <row r="736">
      <c r="B736" s="223"/>
    </row>
    <row r="737">
      <c r="B737" s="223"/>
    </row>
    <row r="738">
      <c r="B738" s="223"/>
    </row>
    <row r="739">
      <c r="B739" s="223"/>
    </row>
    <row r="740">
      <c r="B740" s="223"/>
    </row>
    <row r="741">
      <c r="B741" s="223"/>
    </row>
    <row r="742">
      <c r="B742" s="223"/>
    </row>
    <row r="743">
      <c r="B743" s="223"/>
    </row>
    <row r="744">
      <c r="B744" s="223"/>
    </row>
    <row r="745">
      <c r="B745" s="223"/>
    </row>
    <row r="746">
      <c r="B746" s="223"/>
    </row>
    <row r="747">
      <c r="B747" s="223"/>
    </row>
    <row r="748">
      <c r="B748" s="223"/>
    </row>
    <row r="749">
      <c r="B749" s="223"/>
    </row>
    <row r="750">
      <c r="B750" s="223"/>
    </row>
    <row r="751">
      <c r="B751" s="223"/>
    </row>
    <row r="752">
      <c r="B752" s="223"/>
    </row>
    <row r="753">
      <c r="B753" s="223"/>
    </row>
    <row r="754">
      <c r="B754" s="223"/>
    </row>
    <row r="755">
      <c r="B755" s="223"/>
    </row>
    <row r="756">
      <c r="B756" s="223"/>
    </row>
    <row r="757">
      <c r="B757" s="223"/>
    </row>
    <row r="758">
      <c r="B758" s="223"/>
    </row>
    <row r="759">
      <c r="B759" s="223"/>
    </row>
    <row r="760">
      <c r="B760" s="223"/>
    </row>
    <row r="761">
      <c r="B761" s="223"/>
    </row>
    <row r="762">
      <c r="B762" s="223"/>
    </row>
    <row r="763">
      <c r="B763" s="223"/>
    </row>
    <row r="764">
      <c r="B764" s="223"/>
    </row>
    <row r="765">
      <c r="B765" s="223"/>
    </row>
    <row r="766">
      <c r="B766" s="223"/>
    </row>
    <row r="767">
      <c r="B767" s="223"/>
    </row>
    <row r="768">
      <c r="B768" s="223"/>
    </row>
    <row r="769">
      <c r="B769" s="223"/>
    </row>
    <row r="770">
      <c r="B770" s="223"/>
    </row>
    <row r="771">
      <c r="B771" s="223"/>
    </row>
    <row r="772">
      <c r="B772" s="223"/>
    </row>
    <row r="773">
      <c r="B773" s="223"/>
    </row>
    <row r="774">
      <c r="B774" s="223"/>
    </row>
    <row r="775">
      <c r="B775" s="223"/>
    </row>
    <row r="776">
      <c r="B776" s="223"/>
    </row>
    <row r="777">
      <c r="B777" s="223"/>
    </row>
    <row r="778">
      <c r="B778" s="223"/>
    </row>
    <row r="779">
      <c r="B779" s="223"/>
    </row>
    <row r="780">
      <c r="B780" s="223"/>
    </row>
    <row r="781">
      <c r="B781" s="223"/>
    </row>
    <row r="782">
      <c r="B782" s="223"/>
    </row>
    <row r="783">
      <c r="B783" s="223"/>
    </row>
    <row r="784">
      <c r="B784" s="223"/>
    </row>
    <row r="785">
      <c r="B785" s="223"/>
    </row>
    <row r="786">
      <c r="B786" s="223"/>
    </row>
    <row r="787">
      <c r="B787" s="223"/>
    </row>
    <row r="788">
      <c r="B788" s="223"/>
    </row>
    <row r="789">
      <c r="B789" s="223"/>
    </row>
    <row r="790">
      <c r="B790" s="223"/>
    </row>
    <row r="791">
      <c r="B791" s="223"/>
    </row>
    <row r="792">
      <c r="B792" s="223"/>
    </row>
    <row r="793">
      <c r="B793" s="223"/>
    </row>
    <row r="794">
      <c r="B794" s="223"/>
    </row>
    <row r="795">
      <c r="B795" s="223"/>
    </row>
    <row r="796">
      <c r="B796" s="223"/>
    </row>
    <row r="797">
      <c r="B797" s="223"/>
    </row>
    <row r="798">
      <c r="B798" s="223"/>
    </row>
    <row r="799">
      <c r="B799" s="223"/>
    </row>
    <row r="800">
      <c r="B800" s="223"/>
    </row>
    <row r="801">
      <c r="B801" s="223"/>
    </row>
    <row r="802">
      <c r="B802" s="223"/>
    </row>
    <row r="803">
      <c r="B803" s="223"/>
    </row>
    <row r="804">
      <c r="B804" s="223"/>
    </row>
    <row r="805">
      <c r="B805" s="223"/>
    </row>
    <row r="806">
      <c r="B806" s="223"/>
    </row>
    <row r="807">
      <c r="B807" s="223"/>
    </row>
    <row r="808">
      <c r="B808" s="223"/>
    </row>
    <row r="809">
      <c r="B809" s="223"/>
    </row>
    <row r="810">
      <c r="B810" s="223"/>
    </row>
    <row r="811">
      <c r="B811" s="223"/>
    </row>
    <row r="812">
      <c r="B812" s="223"/>
    </row>
    <row r="813">
      <c r="B813" s="223"/>
    </row>
    <row r="814">
      <c r="B814" s="223"/>
    </row>
    <row r="815">
      <c r="B815" s="223"/>
    </row>
    <row r="816">
      <c r="B816" s="223"/>
    </row>
    <row r="817">
      <c r="B817" s="223"/>
    </row>
    <row r="818">
      <c r="B818" s="223"/>
    </row>
    <row r="819">
      <c r="B819" s="223"/>
    </row>
    <row r="820">
      <c r="B820" s="223"/>
    </row>
    <row r="821">
      <c r="B821" s="223"/>
    </row>
    <row r="822">
      <c r="B822" s="223"/>
    </row>
    <row r="823">
      <c r="B823" s="223"/>
    </row>
    <row r="824">
      <c r="B824" s="223"/>
    </row>
    <row r="825">
      <c r="B825" s="223"/>
    </row>
    <row r="826">
      <c r="B826" s="223"/>
    </row>
    <row r="827">
      <c r="B827" s="223"/>
    </row>
    <row r="828">
      <c r="B828" s="223"/>
    </row>
    <row r="829">
      <c r="B829" s="223"/>
    </row>
    <row r="830">
      <c r="B830" s="223"/>
    </row>
    <row r="831">
      <c r="B831" s="223"/>
    </row>
    <row r="832">
      <c r="B832" s="223"/>
    </row>
    <row r="833">
      <c r="B833" s="223"/>
    </row>
    <row r="834">
      <c r="B834" s="223"/>
    </row>
    <row r="835">
      <c r="B835" s="223"/>
    </row>
    <row r="836">
      <c r="B836" s="223"/>
    </row>
    <row r="837">
      <c r="B837" s="223"/>
    </row>
    <row r="838">
      <c r="B838" s="223"/>
    </row>
    <row r="839">
      <c r="B839" s="223"/>
    </row>
    <row r="840">
      <c r="B840" s="223"/>
    </row>
    <row r="841">
      <c r="B841" s="223"/>
    </row>
    <row r="842">
      <c r="B842" s="223"/>
    </row>
    <row r="843">
      <c r="B843" s="223"/>
    </row>
    <row r="844">
      <c r="B844" s="223"/>
    </row>
    <row r="845">
      <c r="B845" s="223"/>
    </row>
    <row r="846">
      <c r="B846" s="223"/>
    </row>
    <row r="847">
      <c r="B847" s="223"/>
    </row>
    <row r="848">
      <c r="B848" s="223"/>
    </row>
    <row r="849">
      <c r="B849" s="223"/>
    </row>
    <row r="850">
      <c r="B850" s="223"/>
    </row>
    <row r="851">
      <c r="B851" s="223"/>
    </row>
    <row r="852">
      <c r="B852" s="223"/>
    </row>
    <row r="853">
      <c r="B853" s="223"/>
    </row>
    <row r="854">
      <c r="B854" s="223"/>
    </row>
    <row r="855">
      <c r="B855" s="223"/>
    </row>
    <row r="856">
      <c r="B856" s="223"/>
    </row>
    <row r="857">
      <c r="B857" s="223"/>
    </row>
    <row r="858">
      <c r="B858" s="223"/>
    </row>
    <row r="859">
      <c r="B859" s="223"/>
    </row>
    <row r="860">
      <c r="B860" s="223"/>
    </row>
    <row r="861">
      <c r="B861" s="223"/>
    </row>
    <row r="862">
      <c r="B862" s="223"/>
    </row>
    <row r="863">
      <c r="B863" s="223"/>
    </row>
    <row r="864">
      <c r="B864" s="223"/>
    </row>
    <row r="865">
      <c r="B865" s="223"/>
    </row>
    <row r="866">
      <c r="B866" s="223"/>
    </row>
    <row r="867">
      <c r="B867" s="223"/>
    </row>
    <row r="868">
      <c r="B868" s="223"/>
    </row>
    <row r="869">
      <c r="B869" s="223"/>
    </row>
    <row r="870">
      <c r="B870" s="223"/>
    </row>
    <row r="871">
      <c r="B871" s="223"/>
    </row>
    <row r="872">
      <c r="B872" s="223"/>
    </row>
    <row r="873">
      <c r="B873" s="223"/>
    </row>
    <row r="874">
      <c r="B874" s="223"/>
    </row>
    <row r="875">
      <c r="B875" s="223"/>
    </row>
    <row r="876">
      <c r="B876" s="223"/>
    </row>
    <row r="877">
      <c r="B877" s="223"/>
    </row>
    <row r="878">
      <c r="B878" s="223"/>
    </row>
    <row r="879">
      <c r="B879" s="223"/>
    </row>
    <row r="880">
      <c r="B880" s="223"/>
    </row>
    <row r="881">
      <c r="B881" s="223"/>
    </row>
    <row r="882">
      <c r="B882" s="223"/>
    </row>
    <row r="883">
      <c r="B883" s="223"/>
    </row>
    <row r="884">
      <c r="B884" s="223"/>
    </row>
    <row r="885">
      <c r="B885" s="223"/>
    </row>
    <row r="886">
      <c r="B886" s="223"/>
    </row>
    <row r="887">
      <c r="B887" s="223"/>
    </row>
    <row r="888">
      <c r="B888" s="223"/>
    </row>
    <row r="889">
      <c r="B889" s="223"/>
    </row>
    <row r="890">
      <c r="B890" s="223"/>
    </row>
    <row r="891">
      <c r="B891" s="223"/>
    </row>
    <row r="892">
      <c r="B892" s="223"/>
    </row>
    <row r="893">
      <c r="B893" s="223"/>
    </row>
    <row r="894">
      <c r="B894" s="223"/>
    </row>
    <row r="895">
      <c r="B895" s="223"/>
    </row>
    <row r="896">
      <c r="B896" s="223"/>
    </row>
    <row r="897">
      <c r="B897" s="223"/>
    </row>
    <row r="898">
      <c r="B898" s="223"/>
    </row>
    <row r="899">
      <c r="B899" s="223"/>
    </row>
    <row r="900">
      <c r="B900" s="223"/>
    </row>
    <row r="901">
      <c r="B901" s="223"/>
    </row>
    <row r="902">
      <c r="B902" s="223"/>
    </row>
    <row r="903">
      <c r="B903" s="223"/>
    </row>
    <row r="904">
      <c r="B904" s="223"/>
    </row>
    <row r="905">
      <c r="B905" s="223"/>
    </row>
    <row r="906">
      <c r="B906" s="223"/>
    </row>
    <row r="907">
      <c r="B907" s="223"/>
    </row>
    <row r="908">
      <c r="B908" s="223"/>
    </row>
    <row r="909">
      <c r="B909" s="223"/>
    </row>
    <row r="910">
      <c r="B910" s="223"/>
    </row>
    <row r="911">
      <c r="B911" s="223"/>
    </row>
    <row r="912">
      <c r="B912" s="223"/>
    </row>
    <row r="913">
      <c r="B913" s="223"/>
    </row>
    <row r="914">
      <c r="B914" s="223"/>
    </row>
    <row r="915">
      <c r="B915" s="223"/>
    </row>
    <row r="916">
      <c r="B916" s="223"/>
    </row>
    <row r="917">
      <c r="B917" s="223"/>
    </row>
    <row r="918">
      <c r="B918" s="223"/>
    </row>
    <row r="919">
      <c r="B919" s="223"/>
    </row>
    <row r="920">
      <c r="B920" s="223"/>
    </row>
    <row r="921">
      <c r="B921" s="223"/>
    </row>
    <row r="922">
      <c r="B922" s="223"/>
    </row>
    <row r="923">
      <c r="B923" s="223"/>
    </row>
    <row r="924">
      <c r="B924" s="223"/>
    </row>
    <row r="925">
      <c r="B925" s="223"/>
    </row>
    <row r="926">
      <c r="B926" s="223"/>
    </row>
    <row r="927">
      <c r="B927" s="223"/>
    </row>
    <row r="928">
      <c r="B928" s="223"/>
    </row>
    <row r="929">
      <c r="B929" s="223"/>
    </row>
    <row r="930">
      <c r="B930" s="223"/>
    </row>
    <row r="931">
      <c r="B931" s="223"/>
    </row>
    <row r="932">
      <c r="B932" s="223"/>
    </row>
    <row r="933">
      <c r="B933" s="223"/>
    </row>
    <row r="934">
      <c r="B934" s="223"/>
    </row>
    <row r="935">
      <c r="B935" s="223"/>
    </row>
    <row r="936">
      <c r="B936" s="223"/>
    </row>
    <row r="937">
      <c r="B937" s="223"/>
    </row>
    <row r="938">
      <c r="B938" s="223"/>
    </row>
    <row r="939">
      <c r="B939" s="223"/>
    </row>
    <row r="940">
      <c r="B940" s="223"/>
    </row>
    <row r="941">
      <c r="B941" s="223"/>
    </row>
    <row r="942">
      <c r="B942" s="223"/>
    </row>
    <row r="943">
      <c r="B943" s="223"/>
    </row>
    <row r="944">
      <c r="B944" s="223"/>
    </row>
    <row r="945">
      <c r="B945" s="223"/>
    </row>
    <row r="946">
      <c r="B946" s="223"/>
    </row>
    <row r="947">
      <c r="B947" s="223"/>
    </row>
    <row r="948">
      <c r="B948" s="223"/>
    </row>
    <row r="949">
      <c r="B949" s="223"/>
    </row>
    <row r="950">
      <c r="B950" s="223"/>
    </row>
    <row r="951">
      <c r="B951" s="223"/>
    </row>
    <row r="952">
      <c r="B952" s="223"/>
    </row>
    <row r="953">
      <c r="B953" s="223"/>
    </row>
    <row r="954">
      <c r="B954" s="223"/>
    </row>
    <row r="955">
      <c r="B955" s="223"/>
    </row>
    <row r="956">
      <c r="B956" s="223"/>
    </row>
  </sheetData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20.5"/>
    <col customWidth="1" min="5" max="5" width="26.13"/>
    <col customWidth="1" min="6" max="6" width="13.0"/>
  </cols>
  <sheetData>
    <row r="1">
      <c r="A1" s="358" t="s">
        <v>44</v>
      </c>
      <c r="B1" s="113" t="s">
        <v>10544</v>
      </c>
      <c r="C1" s="57" t="s">
        <v>294</v>
      </c>
      <c r="D1" s="55" t="s">
        <v>248</v>
      </c>
      <c r="E1" s="348" t="s">
        <v>249</v>
      </c>
      <c r="F1" s="349" t="s">
        <v>250</v>
      </c>
    </row>
    <row r="2">
      <c r="A2" s="513" t="s">
        <v>10545</v>
      </c>
      <c r="B2" s="117">
        <v>930.0</v>
      </c>
      <c r="C2" s="74">
        <v>0.1</v>
      </c>
      <c r="D2" s="179">
        <v>0.75</v>
      </c>
      <c r="E2" s="179">
        <v>0.75</v>
      </c>
      <c r="F2" s="229" t="s">
        <v>1656</v>
      </c>
    </row>
    <row r="3">
      <c r="A3" s="513" t="s">
        <v>10546</v>
      </c>
      <c r="B3" s="117">
        <v>6998.0</v>
      </c>
      <c r="C3" s="74">
        <v>0.1</v>
      </c>
      <c r="D3" s="179">
        <v>0.75</v>
      </c>
      <c r="E3" s="179">
        <v>0.75</v>
      </c>
      <c r="F3" s="229" t="s">
        <v>1656</v>
      </c>
    </row>
    <row r="4">
      <c r="A4" s="513" t="s">
        <v>10547</v>
      </c>
      <c r="B4" s="117">
        <v>1360.0</v>
      </c>
      <c r="C4" s="74">
        <v>0.1</v>
      </c>
      <c r="D4" s="179">
        <v>0.75</v>
      </c>
      <c r="E4" s="179">
        <v>0.75</v>
      </c>
      <c r="F4" s="229" t="s">
        <v>1656</v>
      </c>
    </row>
    <row r="5">
      <c r="A5" s="513" t="s">
        <v>10548</v>
      </c>
      <c r="B5" s="117">
        <v>189.0</v>
      </c>
      <c r="C5" s="74">
        <v>0.1</v>
      </c>
      <c r="D5" s="514">
        <v>0.85</v>
      </c>
      <c r="E5" s="514">
        <v>0.85</v>
      </c>
      <c r="F5" s="229" t="s">
        <v>1656</v>
      </c>
    </row>
    <row r="6">
      <c r="A6" s="513" t="s">
        <v>10549</v>
      </c>
      <c r="B6" s="117">
        <v>189.0</v>
      </c>
      <c r="C6" s="74">
        <v>0.1</v>
      </c>
      <c r="D6" s="514">
        <v>0.85</v>
      </c>
      <c r="E6" s="514">
        <v>0.85</v>
      </c>
      <c r="F6" s="229" t="s">
        <v>1656</v>
      </c>
    </row>
    <row r="7">
      <c r="A7" s="513" t="s">
        <v>3429</v>
      </c>
      <c r="B7" s="117">
        <v>189.0</v>
      </c>
      <c r="C7" s="74">
        <v>0.1</v>
      </c>
      <c r="D7" s="514">
        <v>0.85</v>
      </c>
      <c r="E7" s="514">
        <v>0.85</v>
      </c>
      <c r="F7" s="229" t="s">
        <v>1656</v>
      </c>
    </row>
    <row r="8">
      <c r="A8" s="513" t="s">
        <v>10550</v>
      </c>
      <c r="B8" s="117">
        <v>189.0</v>
      </c>
      <c r="C8" s="74">
        <v>0.1</v>
      </c>
      <c r="D8" s="514">
        <v>0.85</v>
      </c>
      <c r="E8" s="514">
        <v>0.85</v>
      </c>
      <c r="F8" s="229" t="s">
        <v>1656</v>
      </c>
    </row>
    <row r="9">
      <c r="A9" s="513" t="s">
        <v>10551</v>
      </c>
      <c r="B9" s="117">
        <v>189.0</v>
      </c>
      <c r="C9" s="74">
        <v>0.1</v>
      </c>
      <c r="D9" s="514">
        <v>0.85</v>
      </c>
      <c r="E9" s="514">
        <v>0.85</v>
      </c>
      <c r="F9" s="229" t="s">
        <v>1656</v>
      </c>
    </row>
    <row r="10">
      <c r="A10" s="513" t="s">
        <v>10552</v>
      </c>
      <c r="B10" s="117">
        <v>6772.0</v>
      </c>
      <c r="C10" s="74">
        <v>0.1</v>
      </c>
      <c r="D10" s="179">
        <v>0.75</v>
      </c>
      <c r="E10" s="179">
        <v>0.75</v>
      </c>
      <c r="F10" s="229" t="s">
        <v>1656</v>
      </c>
    </row>
    <row r="11">
      <c r="A11" s="513" t="s">
        <v>10553</v>
      </c>
      <c r="B11" s="117">
        <v>6998.0</v>
      </c>
      <c r="C11" s="74">
        <v>0.1</v>
      </c>
      <c r="D11" s="179">
        <v>0.75</v>
      </c>
      <c r="E11" s="179">
        <v>0.75</v>
      </c>
      <c r="F11" s="229" t="s">
        <v>1656</v>
      </c>
    </row>
    <row r="12">
      <c r="A12" s="513" t="s">
        <v>10554</v>
      </c>
      <c r="B12" s="117">
        <v>1360.0</v>
      </c>
      <c r="C12" s="74">
        <v>0.1</v>
      </c>
      <c r="D12" s="179">
        <v>0.75</v>
      </c>
      <c r="E12" s="179">
        <v>0.75</v>
      </c>
      <c r="F12" s="229" t="s">
        <v>1656</v>
      </c>
    </row>
    <row r="13">
      <c r="A13" s="513" t="s">
        <v>10555</v>
      </c>
      <c r="B13" s="117">
        <v>136.0</v>
      </c>
      <c r="C13" s="74">
        <v>0.1</v>
      </c>
      <c r="D13" s="179">
        <v>0.75</v>
      </c>
      <c r="E13" s="179">
        <v>0.75</v>
      </c>
      <c r="F13" s="229" t="s">
        <v>1656</v>
      </c>
    </row>
    <row r="14">
      <c r="A14" s="513" t="s">
        <v>10556</v>
      </c>
      <c r="B14" s="117">
        <v>6887.0</v>
      </c>
      <c r="C14" s="74">
        <v>0.1</v>
      </c>
      <c r="D14" s="179">
        <v>0.75</v>
      </c>
      <c r="E14" s="179">
        <v>0.75</v>
      </c>
      <c r="F14" s="229" t="s">
        <v>1656</v>
      </c>
    </row>
    <row r="15">
      <c r="A15" s="513" t="s">
        <v>10557</v>
      </c>
      <c r="B15" s="117">
        <v>3920.0</v>
      </c>
      <c r="C15" s="74">
        <v>0.1</v>
      </c>
      <c r="D15" s="179">
        <v>0.75</v>
      </c>
      <c r="E15" s="179">
        <v>0.75</v>
      </c>
      <c r="F15" s="229" t="s">
        <v>1656</v>
      </c>
    </row>
    <row r="16">
      <c r="A16" s="513" t="s">
        <v>10558</v>
      </c>
      <c r="B16" s="117">
        <v>3307.0</v>
      </c>
      <c r="C16" s="74">
        <v>0.1</v>
      </c>
      <c r="D16" s="179">
        <v>0.75</v>
      </c>
      <c r="E16" s="179">
        <v>0.75</v>
      </c>
      <c r="F16" s="229" t="s">
        <v>1656</v>
      </c>
    </row>
    <row r="17">
      <c r="A17" s="513" t="s">
        <v>10559</v>
      </c>
      <c r="B17" s="117">
        <v>6727.0</v>
      </c>
      <c r="C17" s="74">
        <v>0.1</v>
      </c>
      <c r="D17" s="179">
        <v>0.75</v>
      </c>
      <c r="E17" s="179">
        <v>0.75</v>
      </c>
      <c r="F17" s="229" t="s">
        <v>1656</v>
      </c>
    </row>
    <row r="18">
      <c r="A18" s="513" t="s">
        <v>10560</v>
      </c>
      <c r="B18" s="117">
        <v>6727.0</v>
      </c>
      <c r="C18" s="74">
        <v>0.1</v>
      </c>
      <c r="D18" s="179">
        <v>0.75</v>
      </c>
      <c r="E18" s="179">
        <v>0.75</v>
      </c>
      <c r="F18" s="229" t="s">
        <v>1656</v>
      </c>
    </row>
    <row r="19">
      <c r="A19" s="513" t="s">
        <v>10561</v>
      </c>
      <c r="B19" s="117">
        <v>6727.0</v>
      </c>
      <c r="C19" s="74">
        <v>0.1</v>
      </c>
      <c r="D19" s="179">
        <v>0.75</v>
      </c>
      <c r="E19" s="179">
        <v>0.75</v>
      </c>
      <c r="F19" s="229" t="s">
        <v>1656</v>
      </c>
    </row>
    <row r="20">
      <c r="A20" s="513" t="s">
        <v>10562</v>
      </c>
      <c r="B20" s="117">
        <v>6727.0</v>
      </c>
      <c r="C20" s="74">
        <v>0.1</v>
      </c>
      <c r="D20" s="179">
        <v>0.75</v>
      </c>
      <c r="E20" s="179">
        <v>0.75</v>
      </c>
      <c r="F20" s="229" t="s">
        <v>1656</v>
      </c>
    </row>
    <row r="21">
      <c r="A21" s="513" t="s">
        <v>10563</v>
      </c>
      <c r="B21" s="117">
        <v>6727.0</v>
      </c>
      <c r="C21" s="74">
        <v>0.1</v>
      </c>
      <c r="D21" s="179">
        <v>0.75</v>
      </c>
      <c r="E21" s="179">
        <v>0.75</v>
      </c>
      <c r="F21" s="229" t="s">
        <v>1656</v>
      </c>
    </row>
    <row r="22">
      <c r="A22" s="513" t="s">
        <v>10564</v>
      </c>
      <c r="B22" s="117">
        <v>6924.0</v>
      </c>
      <c r="C22" s="74">
        <v>0.1</v>
      </c>
      <c r="D22" s="179">
        <v>0.75</v>
      </c>
      <c r="E22" s="179">
        <v>0.75</v>
      </c>
      <c r="F22" s="229" t="s">
        <v>1656</v>
      </c>
    </row>
    <row r="23">
      <c r="A23" s="513" t="s">
        <v>10565</v>
      </c>
      <c r="B23" s="117">
        <v>7040.0</v>
      </c>
      <c r="C23" s="74">
        <v>0.1</v>
      </c>
      <c r="D23" s="179">
        <v>0.75</v>
      </c>
      <c r="E23" s="179">
        <v>0.75</v>
      </c>
      <c r="F23" s="229" t="s">
        <v>1656</v>
      </c>
    </row>
    <row r="24">
      <c r="A24" s="513" t="s">
        <v>10566</v>
      </c>
      <c r="B24" s="117">
        <v>7098.0</v>
      </c>
      <c r="C24" s="74">
        <v>0.1</v>
      </c>
      <c r="D24" s="179">
        <v>0.75</v>
      </c>
      <c r="E24" s="179">
        <v>0.75</v>
      </c>
      <c r="F24" s="229" t="s">
        <v>1656</v>
      </c>
    </row>
    <row r="25">
      <c r="A25" s="513" t="s">
        <v>10567</v>
      </c>
      <c r="B25" s="117">
        <v>6929.0</v>
      </c>
      <c r="C25" s="74">
        <v>0.1</v>
      </c>
      <c r="D25" s="179">
        <v>0.75</v>
      </c>
      <c r="E25" s="179">
        <v>0.75</v>
      </c>
      <c r="F25" s="229" t="s">
        <v>1656</v>
      </c>
    </row>
    <row r="26">
      <c r="A26" s="513" t="s">
        <v>10568</v>
      </c>
      <c r="B26" s="117">
        <v>7098.0</v>
      </c>
      <c r="C26" s="74">
        <v>0.1</v>
      </c>
      <c r="D26" s="179">
        <v>0.75</v>
      </c>
      <c r="E26" s="179">
        <v>0.75</v>
      </c>
      <c r="F26" s="229" t="s">
        <v>1656</v>
      </c>
    </row>
    <row r="27">
      <c r="A27" s="513" t="s">
        <v>10569</v>
      </c>
      <c r="B27" s="117">
        <v>6908.0</v>
      </c>
      <c r="C27" s="74">
        <v>0.1</v>
      </c>
      <c r="D27" s="179">
        <v>0.75</v>
      </c>
      <c r="E27" s="179">
        <v>0.75</v>
      </c>
      <c r="F27" s="229" t="s">
        <v>1656</v>
      </c>
    </row>
    <row r="28">
      <c r="A28" s="513" t="s">
        <v>10570</v>
      </c>
      <c r="B28" s="117">
        <v>4933.0</v>
      </c>
      <c r="C28" s="74">
        <v>0.1</v>
      </c>
      <c r="D28" s="179">
        <v>0.75</v>
      </c>
      <c r="E28" s="179">
        <v>0.75</v>
      </c>
      <c r="F28" s="229" t="s">
        <v>1656</v>
      </c>
    </row>
    <row r="29">
      <c r="A29" s="513" t="s">
        <v>5917</v>
      </c>
      <c r="B29" s="117">
        <v>4933.0</v>
      </c>
      <c r="C29" s="74">
        <v>0.1</v>
      </c>
      <c r="D29" s="179">
        <v>0.75</v>
      </c>
      <c r="E29" s="179">
        <v>0.75</v>
      </c>
      <c r="F29" s="229" t="s">
        <v>1656</v>
      </c>
    </row>
    <row r="30">
      <c r="A30" s="513" t="s">
        <v>10571</v>
      </c>
      <c r="B30" s="117">
        <v>4933.0</v>
      </c>
      <c r="C30" s="74">
        <v>0.1</v>
      </c>
      <c r="D30" s="179">
        <v>0.75</v>
      </c>
      <c r="E30" s="179">
        <v>0.75</v>
      </c>
      <c r="F30" s="229" t="s">
        <v>1656</v>
      </c>
    </row>
    <row r="31">
      <c r="A31" s="513" t="s">
        <v>10572</v>
      </c>
      <c r="B31" s="117">
        <v>6965.0</v>
      </c>
      <c r="C31" s="74">
        <v>0.1</v>
      </c>
      <c r="D31" s="179">
        <v>0.75</v>
      </c>
      <c r="E31" s="179">
        <v>0.75</v>
      </c>
      <c r="F31" s="229" t="s">
        <v>1656</v>
      </c>
    </row>
    <row r="32">
      <c r="A32" s="513" t="s">
        <v>10573</v>
      </c>
      <c r="B32" s="117">
        <v>6141.0</v>
      </c>
      <c r="C32" s="74">
        <v>0.1</v>
      </c>
      <c r="D32" s="179">
        <v>0.75</v>
      </c>
      <c r="E32" s="179">
        <v>0.75</v>
      </c>
      <c r="F32" s="229" t="s">
        <v>1656</v>
      </c>
    </row>
    <row r="33">
      <c r="A33" s="513" t="s">
        <v>10574</v>
      </c>
      <c r="B33" s="117">
        <v>6141.0</v>
      </c>
      <c r="C33" s="74">
        <v>0.1</v>
      </c>
      <c r="D33" s="179">
        <v>0.75</v>
      </c>
      <c r="E33" s="179">
        <v>0.75</v>
      </c>
      <c r="F33" s="229" t="s">
        <v>1656</v>
      </c>
    </row>
    <row r="34">
      <c r="A34" s="513" t="s">
        <v>2582</v>
      </c>
      <c r="B34" s="117">
        <v>6141.0</v>
      </c>
      <c r="C34" s="74">
        <v>0.1</v>
      </c>
      <c r="D34" s="179">
        <v>0.75</v>
      </c>
      <c r="E34" s="179">
        <v>0.75</v>
      </c>
      <c r="F34" s="229" t="s">
        <v>1656</v>
      </c>
    </row>
    <row r="35">
      <c r="A35" s="513" t="s">
        <v>10575</v>
      </c>
      <c r="B35" s="117">
        <v>6141.0</v>
      </c>
      <c r="C35" s="74">
        <v>0.1</v>
      </c>
      <c r="D35" s="179">
        <v>0.75</v>
      </c>
      <c r="E35" s="179">
        <v>0.75</v>
      </c>
      <c r="F35" s="229" t="s">
        <v>1656</v>
      </c>
    </row>
    <row r="36">
      <c r="A36" s="513" t="s">
        <v>10576</v>
      </c>
      <c r="B36" s="117">
        <v>6675.0</v>
      </c>
      <c r="C36" s="74">
        <v>0.1</v>
      </c>
      <c r="D36" s="74">
        <v>0.9</v>
      </c>
      <c r="E36" s="74">
        <v>0.9</v>
      </c>
      <c r="F36" s="229" t="s">
        <v>1656</v>
      </c>
    </row>
    <row r="37">
      <c r="A37" s="513" t="s">
        <v>10577</v>
      </c>
      <c r="B37" s="117">
        <v>6675.0</v>
      </c>
      <c r="C37" s="74">
        <v>0.1</v>
      </c>
      <c r="D37" s="74">
        <v>0.9</v>
      </c>
      <c r="E37" s="74">
        <v>0.9</v>
      </c>
      <c r="F37" s="229" t="s">
        <v>1656</v>
      </c>
    </row>
    <row r="38">
      <c r="A38" s="513" t="s">
        <v>10578</v>
      </c>
      <c r="B38" s="117">
        <v>6675.0</v>
      </c>
      <c r="C38" s="74">
        <v>0.1</v>
      </c>
      <c r="D38" s="74">
        <v>0.9</v>
      </c>
      <c r="E38" s="74">
        <v>0.9</v>
      </c>
      <c r="F38" s="229" t="s">
        <v>1656</v>
      </c>
    </row>
    <row r="39">
      <c r="A39" s="513" t="s">
        <v>10579</v>
      </c>
      <c r="B39" s="117">
        <v>6875.0</v>
      </c>
      <c r="C39" s="74">
        <v>0.1</v>
      </c>
      <c r="D39" s="179">
        <v>0.75</v>
      </c>
      <c r="E39" s="179">
        <v>0.75</v>
      </c>
      <c r="F39" s="229" t="s">
        <v>1656</v>
      </c>
    </row>
    <row r="40">
      <c r="A40" s="513" t="s">
        <v>10580</v>
      </c>
      <c r="B40" s="117">
        <v>7747.0</v>
      </c>
      <c r="C40" s="74">
        <v>0.1</v>
      </c>
      <c r="D40" s="179">
        <v>0.75</v>
      </c>
      <c r="E40" s="179">
        <v>0.75</v>
      </c>
      <c r="F40" s="229" t="s">
        <v>1656</v>
      </c>
    </row>
    <row r="41">
      <c r="A41" s="513" t="s">
        <v>10581</v>
      </c>
      <c r="B41" s="117">
        <v>6671.0</v>
      </c>
      <c r="C41" s="74">
        <v>0.1</v>
      </c>
      <c r="D41" s="179">
        <v>0.75</v>
      </c>
      <c r="E41" s="179">
        <v>0.75</v>
      </c>
      <c r="F41" s="229" t="s">
        <v>1656</v>
      </c>
    </row>
    <row r="42">
      <c r="A42" s="513" t="s">
        <v>10582</v>
      </c>
      <c r="B42" s="117">
        <v>6671.0</v>
      </c>
      <c r="C42" s="74">
        <v>0.1</v>
      </c>
      <c r="D42" s="179">
        <v>0.75</v>
      </c>
      <c r="E42" s="179">
        <v>0.75</v>
      </c>
      <c r="F42" s="229" t="s">
        <v>1656</v>
      </c>
    </row>
    <row r="43">
      <c r="A43" s="513" t="s">
        <v>10583</v>
      </c>
      <c r="B43" s="117">
        <v>6671.0</v>
      </c>
      <c r="C43" s="74">
        <v>0.1</v>
      </c>
      <c r="D43" s="179">
        <v>0.75</v>
      </c>
      <c r="E43" s="179">
        <v>0.75</v>
      </c>
      <c r="F43" s="229" t="s">
        <v>1656</v>
      </c>
    </row>
    <row r="44">
      <c r="A44" s="513" t="s">
        <v>10584</v>
      </c>
      <c r="B44" s="117">
        <v>6671.0</v>
      </c>
      <c r="C44" s="74">
        <v>0.1</v>
      </c>
      <c r="D44" s="179">
        <v>0.75</v>
      </c>
      <c r="E44" s="179">
        <v>0.75</v>
      </c>
      <c r="F44" s="229" t="s">
        <v>1656</v>
      </c>
    </row>
    <row r="45">
      <c r="A45" s="513" t="s">
        <v>1512</v>
      </c>
      <c r="B45" s="117">
        <v>6671.0</v>
      </c>
      <c r="C45" s="74">
        <v>0.1</v>
      </c>
      <c r="D45" s="179">
        <v>0.75</v>
      </c>
      <c r="E45" s="179">
        <v>0.75</v>
      </c>
      <c r="F45" s="229" t="s">
        <v>1656</v>
      </c>
    </row>
    <row r="46">
      <c r="A46" s="513" t="s">
        <v>10585</v>
      </c>
      <c r="B46" s="117">
        <v>6671.0</v>
      </c>
      <c r="C46" s="74">
        <v>0.1</v>
      </c>
      <c r="D46" s="179">
        <v>0.75</v>
      </c>
      <c r="E46" s="179">
        <v>0.75</v>
      </c>
      <c r="F46" s="229" t="s">
        <v>1656</v>
      </c>
    </row>
    <row r="47">
      <c r="A47" s="513" t="s">
        <v>10586</v>
      </c>
      <c r="B47" s="117">
        <v>6671.0</v>
      </c>
      <c r="C47" s="74">
        <v>0.1</v>
      </c>
      <c r="D47" s="179">
        <v>0.75</v>
      </c>
      <c r="E47" s="179">
        <v>0.75</v>
      </c>
      <c r="F47" s="229" t="s">
        <v>1656</v>
      </c>
    </row>
    <row r="48">
      <c r="A48" s="513" t="s">
        <v>10587</v>
      </c>
      <c r="B48" s="117">
        <v>6671.0</v>
      </c>
      <c r="C48" s="74">
        <v>0.1</v>
      </c>
      <c r="D48" s="179">
        <v>0.75</v>
      </c>
      <c r="E48" s="179">
        <v>0.75</v>
      </c>
      <c r="F48" s="229" t="s">
        <v>1656</v>
      </c>
    </row>
    <row r="49">
      <c r="A49" s="513" t="s">
        <v>10588</v>
      </c>
      <c r="B49" s="117">
        <v>6671.0</v>
      </c>
      <c r="C49" s="74">
        <v>0.1</v>
      </c>
      <c r="D49" s="179">
        <v>0.75</v>
      </c>
      <c r="E49" s="179">
        <v>0.75</v>
      </c>
      <c r="F49" s="229" t="s">
        <v>1656</v>
      </c>
    </row>
    <row r="50">
      <c r="A50" s="513" t="s">
        <v>5823</v>
      </c>
      <c r="B50" s="117">
        <v>6671.0</v>
      </c>
      <c r="C50" s="74">
        <v>0.1</v>
      </c>
      <c r="D50" s="179">
        <v>0.75</v>
      </c>
      <c r="E50" s="179">
        <v>0.75</v>
      </c>
      <c r="F50" s="229" t="s">
        <v>1656</v>
      </c>
    </row>
    <row r="51">
      <c r="A51" s="513" t="s">
        <v>10589</v>
      </c>
      <c r="B51" s="117">
        <v>7055.0</v>
      </c>
      <c r="C51" s="74">
        <v>0.1</v>
      </c>
      <c r="D51" s="179">
        <v>0.75</v>
      </c>
      <c r="E51" s="179">
        <v>0.75</v>
      </c>
      <c r="F51" s="229" t="s">
        <v>1656</v>
      </c>
    </row>
    <row r="52">
      <c r="A52" s="513" t="s">
        <v>10590</v>
      </c>
      <c r="B52" s="117">
        <v>6141.0</v>
      </c>
      <c r="C52" s="74">
        <v>0.1</v>
      </c>
      <c r="D52" s="179">
        <v>0.75</v>
      </c>
      <c r="E52" s="179">
        <v>0.75</v>
      </c>
      <c r="F52" s="229" t="s">
        <v>1656</v>
      </c>
    </row>
    <row r="53">
      <c r="A53" s="513" t="s">
        <v>10591</v>
      </c>
      <c r="B53" s="117">
        <v>6141.0</v>
      </c>
      <c r="C53" s="74">
        <v>0.1</v>
      </c>
      <c r="D53" s="179">
        <v>0.75</v>
      </c>
      <c r="E53" s="179">
        <v>0.75</v>
      </c>
      <c r="F53" s="229" t="s">
        <v>1656</v>
      </c>
    </row>
    <row r="54">
      <c r="A54" s="513" t="s">
        <v>10592</v>
      </c>
      <c r="B54" s="117">
        <v>7031.0</v>
      </c>
      <c r="C54" s="74">
        <v>0.1</v>
      </c>
      <c r="D54" s="179">
        <v>0.75</v>
      </c>
      <c r="E54" s="179">
        <v>0.75</v>
      </c>
      <c r="F54" s="229" t="s">
        <v>1656</v>
      </c>
    </row>
    <row r="55">
      <c r="A55" s="513" t="s">
        <v>10593</v>
      </c>
      <c r="B55" s="117">
        <v>7158.0</v>
      </c>
      <c r="C55" s="74">
        <v>0.1</v>
      </c>
      <c r="D55" s="179">
        <v>0.75</v>
      </c>
      <c r="E55" s="179">
        <v>0.75</v>
      </c>
      <c r="F55" s="229" t="s">
        <v>1656</v>
      </c>
    </row>
    <row r="56">
      <c r="A56" s="513" t="s">
        <v>10594</v>
      </c>
      <c r="B56" s="117">
        <v>7010.0</v>
      </c>
      <c r="C56" s="74">
        <v>0.1</v>
      </c>
      <c r="D56" s="514">
        <v>0.85</v>
      </c>
      <c r="E56" s="514">
        <v>0.85</v>
      </c>
      <c r="F56" s="229" t="s">
        <v>1656</v>
      </c>
    </row>
    <row r="57">
      <c r="A57" s="513" t="s">
        <v>10595</v>
      </c>
      <c r="B57" s="117">
        <v>6924.0</v>
      </c>
      <c r="C57" s="74">
        <v>0.1</v>
      </c>
      <c r="D57" s="179">
        <v>0.75</v>
      </c>
      <c r="E57" s="179">
        <v>0.75</v>
      </c>
      <c r="F57" s="229" t="s">
        <v>1656</v>
      </c>
    </row>
    <row r="58">
      <c r="A58" s="513" t="s">
        <v>10596</v>
      </c>
      <c r="B58" s="117">
        <v>6924.0</v>
      </c>
      <c r="C58" s="74">
        <v>0.1</v>
      </c>
      <c r="D58" s="179">
        <v>0.75</v>
      </c>
      <c r="E58" s="179">
        <v>0.75</v>
      </c>
      <c r="F58" s="229" t="s">
        <v>1656</v>
      </c>
    </row>
    <row r="59">
      <c r="A59" s="513" t="s">
        <v>10597</v>
      </c>
      <c r="B59" s="117">
        <v>8560.0</v>
      </c>
      <c r="C59" s="74">
        <v>0.1</v>
      </c>
      <c r="D59" s="179">
        <v>0.75</v>
      </c>
      <c r="E59" s="179">
        <v>0.75</v>
      </c>
      <c r="F59" s="229" t="s">
        <v>1656</v>
      </c>
    </row>
    <row r="60">
      <c r="A60" s="513" t="s">
        <v>10598</v>
      </c>
      <c r="B60" s="117">
        <v>6669.0</v>
      </c>
      <c r="C60" s="74">
        <v>0.1</v>
      </c>
      <c r="D60" s="179">
        <v>0.75</v>
      </c>
      <c r="E60" s="179">
        <v>0.75</v>
      </c>
      <c r="F60" s="229" t="s">
        <v>1656</v>
      </c>
    </row>
    <row r="61">
      <c r="A61" s="513" t="s">
        <v>10599</v>
      </c>
      <c r="B61" s="117">
        <v>6928.0</v>
      </c>
      <c r="C61" s="74">
        <v>0.1</v>
      </c>
      <c r="D61" s="179">
        <v>0.75</v>
      </c>
      <c r="E61" s="179">
        <v>0.75</v>
      </c>
      <c r="F61" s="229" t="s">
        <v>1656</v>
      </c>
    </row>
    <row r="62">
      <c r="A62" s="513" t="s">
        <v>10600</v>
      </c>
      <c r="B62" s="117">
        <v>6669.0</v>
      </c>
      <c r="C62" s="74">
        <v>0.1</v>
      </c>
      <c r="D62" s="179">
        <v>0.75</v>
      </c>
      <c r="E62" s="179">
        <v>0.75</v>
      </c>
      <c r="F62" s="229" t="s">
        <v>1656</v>
      </c>
    </row>
    <row r="63">
      <c r="A63" s="513" t="s">
        <v>10601</v>
      </c>
      <c r="B63" s="117">
        <v>136.0</v>
      </c>
      <c r="C63" s="74">
        <v>0.1</v>
      </c>
      <c r="D63" s="179">
        <v>0.75</v>
      </c>
      <c r="E63" s="179">
        <v>0.75</v>
      </c>
      <c r="F63" s="229" t="s">
        <v>1656</v>
      </c>
    </row>
    <row r="64">
      <c r="A64" s="513" t="s">
        <v>10602</v>
      </c>
      <c r="B64" s="117">
        <v>6669.0</v>
      </c>
      <c r="C64" s="74">
        <v>0.1</v>
      </c>
      <c r="D64" s="179">
        <v>0.75</v>
      </c>
      <c r="E64" s="179">
        <v>0.75</v>
      </c>
      <c r="F64" s="229" t="s">
        <v>1656</v>
      </c>
    </row>
    <row r="65">
      <c r="A65" s="513" t="s">
        <v>10603</v>
      </c>
      <c r="B65" s="117">
        <v>6887.0</v>
      </c>
      <c r="C65" s="74">
        <v>0.1</v>
      </c>
      <c r="D65" s="179">
        <v>0.75</v>
      </c>
      <c r="E65" s="179">
        <v>0.75</v>
      </c>
      <c r="F65" s="229" t="s">
        <v>1656</v>
      </c>
    </row>
    <row r="66">
      <c r="A66" s="513" t="s">
        <v>10604</v>
      </c>
      <c r="B66" s="117">
        <v>10141.0</v>
      </c>
      <c r="C66" s="74">
        <v>0.1</v>
      </c>
      <c r="D66" s="179">
        <v>0.75</v>
      </c>
      <c r="E66" s="179">
        <v>0.75</v>
      </c>
      <c r="F66" s="229" t="s">
        <v>1656</v>
      </c>
    </row>
    <row r="67">
      <c r="A67" s="513" t="s">
        <v>10605</v>
      </c>
      <c r="B67" s="117">
        <v>7168.0</v>
      </c>
      <c r="C67" s="74">
        <v>0.1</v>
      </c>
      <c r="D67" s="179">
        <v>0.75</v>
      </c>
      <c r="E67" s="179">
        <v>0.75</v>
      </c>
      <c r="F67" s="229" t="s">
        <v>1656</v>
      </c>
    </row>
    <row r="68">
      <c r="A68" s="513" t="s">
        <v>10606</v>
      </c>
      <c r="B68" s="117">
        <v>6893.0</v>
      </c>
      <c r="C68" s="74">
        <v>0.1</v>
      </c>
      <c r="D68" s="179">
        <v>0.75</v>
      </c>
      <c r="E68" s="179">
        <v>0.75</v>
      </c>
      <c r="F68" s="229" t="s">
        <v>1656</v>
      </c>
    </row>
    <row r="69">
      <c r="A69" s="513" t="s">
        <v>10607</v>
      </c>
      <c r="B69" s="117">
        <v>7051.0</v>
      </c>
      <c r="C69" s="74">
        <v>0.1</v>
      </c>
      <c r="D69" s="179">
        <v>0.75</v>
      </c>
      <c r="E69" s="179">
        <v>0.75</v>
      </c>
      <c r="F69" s="229" t="s">
        <v>1656</v>
      </c>
    </row>
    <row r="70">
      <c r="A70" s="513" t="s">
        <v>10608</v>
      </c>
      <c r="B70" s="117">
        <v>3689.0</v>
      </c>
      <c r="C70" s="74">
        <v>0.1</v>
      </c>
      <c r="D70" s="179">
        <v>0.75</v>
      </c>
      <c r="E70" s="179">
        <v>0.75</v>
      </c>
      <c r="F70" s="229" t="s">
        <v>1656</v>
      </c>
    </row>
    <row r="71">
      <c r="A71" s="513" t="s">
        <v>6034</v>
      </c>
      <c r="B71" s="117">
        <v>10856.0</v>
      </c>
      <c r="C71" s="74">
        <v>0.1</v>
      </c>
      <c r="D71" s="179">
        <v>0.75</v>
      </c>
      <c r="E71" s="179">
        <v>0.75</v>
      </c>
      <c r="F71" s="229" t="s">
        <v>1656</v>
      </c>
    </row>
    <row r="72">
      <c r="A72" s="513" t="s">
        <v>10609</v>
      </c>
      <c r="B72" s="117">
        <v>11708.0</v>
      </c>
      <c r="C72" s="74">
        <v>0.1</v>
      </c>
      <c r="D72" s="179">
        <v>0.75</v>
      </c>
      <c r="E72" s="179">
        <v>0.75</v>
      </c>
      <c r="F72" s="229" t="s">
        <v>1656</v>
      </c>
    </row>
    <row r="73">
      <c r="A73" s="513" t="s">
        <v>10610</v>
      </c>
      <c r="B73" s="117">
        <v>663.0</v>
      </c>
      <c r="C73" s="74">
        <v>0.1</v>
      </c>
      <c r="D73" s="179">
        <v>0.75</v>
      </c>
      <c r="E73" s="179">
        <v>0.75</v>
      </c>
      <c r="F73" s="229" t="s">
        <v>1656</v>
      </c>
    </row>
    <row r="74">
      <c r="A74" s="513" t="s">
        <v>10611</v>
      </c>
      <c r="B74" s="117">
        <v>9746.0</v>
      </c>
      <c r="C74" s="74">
        <v>0.1</v>
      </c>
      <c r="D74" s="179">
        <v>0.75</v>
      </c>
      <c r="E74" s="179">
        <v>0.75</v>
      </c>
      <c r="F74" s="229" t="s">
        <v>1656</v>
      </c>
    </row>
    <row r="75">
      <c r="A75" s="513" t="s">
        <v>5195</v>
      </c>
      <c r="B75" s="122">
        <v>6697.0</v>
      </c>
      <c r="C75" s="74">
        <v>0.1</v>
      </c>
      <c r="D75" s="179">
        <v>0.75</v>
      </c>
      <c r="E75" s="179">
        <v>0.75</v>
      </c>
      <c r="F75" s="229" t="s">
        <v>1656</v>
      </c>
    </row>
    <row r="76">
      <c r="A76" s="513" t="s">
        <v>10612</v>
      </c>
      <c r="B76" s="117">
        <v>7033.0</v>
      </c>
      <c r="C76" s="74">
        <v>0.1</v>
      </c>
      <c r="D76" s="179">
        <v>0.75</v>
      </c>
      <c r="E76" s="179">
        <v>0.75</v>
      </c>
      <c r="F76" s="229" t="s">
        <v>1656</v>
      </c>
    </row>
    <row r="77">
      <c r="A77" s="513" t="s">
        <v>10613</v>
      </c>
      <c r="B77" s="117">
        <v>11104.0</v>
      </c>
      <c r="C77" s="74">
        <v>0.1</v>
      </c>
      <c r="D77" s="179">
        <v>0.75</v>
      </c>
      <c r="E77" s="179">
        <v>0.75</v>
      </c>
      <c r="F77" s="229" t="s">
        <v>1656</v>
      </c>
    </row>
    <row r="78">
      <c r="A78" s="513" t="s">
        <v>10614</v>
      </c>
      <c r="B78" s="117">
        <v>7183.0</v>
      </c>
      <c r="C78" s="74">
        <v>0.1</v>
      </c>
      <c r="D78" s="179">
        <v>0.75</v>
      </c>
      <c r="E78" s="179">
        <v>0.75</v>
      </c>
      <c r="F78" s="229" t="s">
        <v>1656</v>
      </c>
    </row>
    <row r="79">
      <c r="A79" s="513" t="s">
        <v>10615</v>
      </c>
      <c r="B79" s="122">
        <v>6780.0</v>
      </c>
      <c r="C79" s="74">
        <v>0.1</v>
      </c>
      <c r="D79" s="179">
        <v>0.75</v>
      </c>
      <c r="E79" s="179">
        <v>0.75</v>
      </c>
      <c r="F79" s="229" t="s">
        <v>1656</v>
      </c>
    </row>
    <row r="80">
      <c r="A80" s="513" t="s">
        <v>10616</v>
      </c>
      <c r="B80" s="117">
        <v>7186.0</v>
      </c>
      <c r="C80" s="74">
        <v>0.1</v>
      </c>
      <c r="D80" s="179">
        <v>0.75</v>
      </c>
      <c r="E80" s="179">
        <v>0.75</v>
      </c>
      <c r="F80" s="229" t="s">
        <v>1656</v>
      </c>
    </row>
    <row r="81">
      <c r="A81" s="513" t="s">
        <v>10617</v>
      </c>
      <c r="B81" s="117">
        <v>6903.0</v>
      </c>
      <c r="C81" s="74">
        <v>0.1</v>
      </c>
      <c r="D81" s="179">
        <v>0.75</v>
      </c>
      <c r="E81" s="179">
        <v>0.75</v>
      </c>
      <c r="F81" s="229" t="s">
        <v>1656</v>
      </c>
    </row>
    <row r="82">
      <c r="A82" s="513" t="s">
        <v>10618</v>
      </c>
      <c r="B82" s="117">
        <v>14025.0</v>
      </c>
      <c r="C82" s="74">
        <v>0.1</v>
      </c>
      <c r="D82" s="179">
        <v>0.75</v>
      </c>
      <c r="E82" s="179">
        <v>0.75</v>
      </c>
      <c r="F82" s="229" t="s">
        <v>1656</v>
      </c>
    </row>
    <row r="83">
      <c r="A83" s="513" t="s">
        <v>10619</v>
      </c>
      <c r="B83" s="117">
        <v>6143.0</v>
      </c>
      <c r="C83" s="74">
        <v>0.1</v>
      </c>
      <c r="D83" s="179">
        <v>0.75</v>
      </c>
      <c r="E83" s="179">
        <v>0.75</v>
      </c>
      <c r="F83" s="229" t="s">
        <v>1656</v>
      </c>
    </row>
    <row r="84">
      <c r="A84" s="513" t="s">
        <v>10620</v>
      </c>
      <c r="B84" s="117">
        <v>6936.0</v>
      </c>
      <c r="C84" s="74">
        <v>0.1</v>
      </c>
      <c r="D84" s="179">
        <v>0.75</v>
      </c>
      <c r="E84" s="179">
        <v>0.75</v>
      </c>
      <c r="F84" s="229" t="s">
        <v>1656</v>
      </c>
    </row>
    <row r="85">
      <c r="A85" s="513" t="s">
        <v>10621</v>
      </c>
      <c r="B85" s="117">
        <v>6774.0</v>
      </c>
      <c r="C85" s="74">
        <v>0.1</v>
      </c>
      <c r="D85" s="179">
        <v>0.75</v>
      </c>
      <c r="E85" s="179">
        <v>0.75</v>
      </c>
      <c r="F85" s="229" t="s">
        <v>1656</v>
      </c>
    </row>
    <row r="86">
      <c r="A86" s="513" t="s">
        <v>10622</v>
      </c>
      <c r="B86" s="117">
        <v>14337.0</v>
      </c>
      <c r="C86" s="74">
        <v>0.1</v>
      </c>
      <c r="D86" s="179">
        <v>0.75</v>
      </c>
      <c r="E86" s="179">
        <v>0.75</v>
      </c>
      <c r="F86" s="229" t="s">
        <v>1656</v>
      </c>
    </row>
    <row r="87">
      <c r="A87" s="513" t="s">
        <v>10623</v>
      </c>
      <c r="B87" s="117">
        <v>14065.0</v>
      </c>
      <c r="C87" s="74">
        <v>0.1</v>
      </c>
      <c r="D87" s="179">
        <v>0.75</v>
      </c>
      <c r="E87" s="179">
        <v>0.75</v>
      </c>
      <c r="F87" s="229" t="s">
        <v>1656</v>
      </c>
    </row>
    <row r="88">
      <c r="A88" s="513" t="s">
        <v>10624</v>
      </c>
      <c r="B88" s="117">
        <v>7747.0</v>
      </c>
      <c r="C88" s="74">
        <v>0.1</v>
      </c>
      <c r="D88" s="179">
        <v>0.75</v>
      </c>
      <c r="E88" s="179">
        <v>0.75</v>
      </c>
      <c r="F88" s="229" t="s">
        <v>1656</v>
      </c>
    </row>
    <row r="89">
      <c r="A89" s="513" t="s">
        <v>10625</v>
      </c>
      <c r="B89" s="117">
        <v>7181.0</v>
      </c>
      <c r="C89" s="74">
        <v>0.1</v>
      </c>
      <c r="D89" s="179">
        <v>0.75</v>
      </c>
      <c r="E89" s="179">
        <v>0.75</v>
      </c>
      <c r="F89" s="229" t="s">
        <v>1656</v>
      </c>
    </row>
    <row r="90">
      <c r="A90" s="513" t="s">
        <v>10626</v>
      </c>
      <c r="B90" s="117">
        <v>6729.0</v>
      </c>
      <c r="C90" s="74">
        <v>0.1</v>
      </c>
      <c r="D90" s="514">
        <v>0.85</v>
      </c>
      <c r="E90" s="514">
        <v>0.85</v>
      </c>
      <c r="F90" s="229" t="s">
        <v>1656</v>
      </c>
    </row>
    <row r="91">
      <c r="A91" s="513" t="s">
        <v>10627</v>
      </c>
      <c r="B91" s="117">
        <v>7132.0</v>
      </c>
      <c r="C91" s="74">
        <v>0.1</v>
      </c>
      <c r="D91" s="179">
        <v>0.75</v>
      </c>
      <c r="E91" s="179">
        <v>0.75</v>
      </c>
      <c r="F91" s="229" t="s">
        <v>1656</v>
      </c>
    </row>
    <row r="92">
      <c r="A92" s="513" t="s">
        <v>10628</v>
      </c>
      <c r="B92" s="117">
        <v>7414.0</v>
      </c>
      <c r="C92" s="74">
        <v>0.1</v>
      </c>
      <c r="D92" s="179">
        <v>0.75</v>
      </c>
      <c r="E92" s="179">
        <v>0.75</v>
      </c>
      <c r="F92" s="229" t="s">
        <v>1656</v>
      </c>
    </row>
    <row r="93">
      <c r="A93" s="513" t="s">
        <v>10629</v>
      </c>
      <c r="B93" s="117">
        <v>14594.0</v>
      </c>
      <c r="C93" s="74">
        <v>0.1</v>
      </c>
      <c r="D93" s="179">
        <v>0.75</v>
      </c>
      <c r="E93" s="179">
        <v>0.75</v>
      </c>
      <c r="F93" s="229" t="s">
        <v>1656</v>
      </c>
    </row>
    <row r="94">
      <c r="A94" s="513" t="s">
        <v>5895</v>
      </c>
      <c r="B94" s="117">
        <v>7100.0</v>
      </c>
      <c r="C94" s="74">
        <v>0.1</v>
      </c>
      <c r="D94" s="179">
        <v>0.75</v>
      </c>
      <c r="E94" s="179">
        <v>0.75</v>
      </c>
      <c r="F94" s="229" t="s">
        <v>1656</v>
      </c>
    </row>
    <row r="95">
      <c r="A95" s="513" t="s">
        <v>10630</v>
      </c>
      <c r="B95" s="117">
        <v>7010.0</v>
      </c>
      <c r="C95" s="74">
        <v>0.1</v>
      </c>
      <c r="D95" s="514">
        <v>0.85</v>
      </c>
      <c r="E95" s="514">
        <v>0.85</v>
      </c>
      <c r="F95" s="229" t="s">
        <v>1656</v>
      </c>
    </row>
    <row r="96">
      <c r="A96" s="513" t="s">
        <v>10631</v>
      </c>
      <c r="B96" s="117">
        <v>11049.0</v>
      </c>
      <c r="C96" s="74">
        <v>0.1</v>
      </c>
      <c r="D96" s="179">
        <v>0.75</v>
      </c>
      <c r="E96" s="179">
        <v>0.75</v>
      </c>
      <c r="F96" s="229" t="s">
        <v>1656</v>
      </c>
    </row>
    <row r="97">
      <c r="A97" s="513" t="s">
        <v>998</v>
      </c>
      <c r="B97" s="117">
        <v>11049.0</v>
      </c>
      <c r="C97" s="74">
        <v>0.1</v>
      </c>
      <c r="D97" s="179">
        <v>0.75</v>
      </c>
      <c r="E97" s="179">
        <v>0.75</v>
      </c>
      <c r="F97" s="229" t="s">
        <v>1656</v>
      </c>
    </row>
    <row r="98">
      <c r="A98" s="513" t="s">
        <v>10632</v>
      </c>
      <c r="B98" s="117">
        <v>6722.0</v>
      </c>
      <c r="C98" s="74">
        <v>0.1</v>
      </c>
      <c r="D98" s="179">
        <v>0.75</v>
      </c>
      <c r="E98" s="179">
        <v>0.75</v>
      </c>
      <c r="F98" s="229" t="s">
        <v>1656</v>
      </c>
    </row>
    <row r="99">
      <c r="A99" s="513" t="s">
        <v>10633</v>
      </c>
      <c r="B99" s="117">
        <v>11049.0</v>
      </c>
      <c r="C99" s="74">
        <v>0.1</v>
      </c>
      <c r="D99" s="179">
        <v>0.75</v>
      </c>
      <c r="E99" s="179">
        <v>0.75</v>
      </c>
      <c r="F99" s="229" t="s">
        <v>1656</v>
      </c>
    </row>
    <row r="100">
      <c r="A100" s="513" t="s">
        <v>10634</v>
      </c>
      <c r="B100" s="117">
        <v>11049.0</v>
      </c>
      <c r="C100" s="74">
        <v>0.1</v>
      </c>
      <c r="D100" s="179">
        <v>0.75</v>
      </c>
      <c r="E100" s="179">
        <v>0.75</v>
      </c>
      <c r="F100" s="229" t="s">
        <v>1656</v>
      </c>
    </row>
    <row r="101">
      <c r="A101" s="513" t="s">
        <v>10635</v>
      </c>
      <c r="B101" s="117">
        <v>11049.0</v>
      </c>
      <c r="C101" s="74">
        <v>0.1</v>
      </c>
      <c r="D101" s="179">
        <v>0.75</v>
      </c>
      <c r="E101" s="179">
        <v>0.75</v>
      </c>
      <c r="F101" s="229" t="s">
        <v>1656</v>
      </c>
    </row>
    <row r="102">
      <c r="A102" s="513" t="s">
        <v>10636</v>
      </c>
      <c r="B102" s="117">
        <v>7003.0</v>
      </c>
      <c r="C102" s="74">
        <v>0.1</v>
      </c>
      <c r="D102" s="179">
        <v>0.75</v>
      </c>
      <c r="E102" s="179">
        <v>0.75</v>
      </c>
      <c r="F102" s="229" t="s">
        <v>1656</v>
      </c>
    </row>
    <row r="103">
      <c r="A103" s="513" t="s">
        <v>10637</v>
      </c>
      <c r="B103" s="117">
        <v>11049.0</v>
      </c>
      <c r="C103" s="74">
        <v>0.1</v>
      </c>
      <c r="D103" s="179">
        <v>0.75</v>
      </c>
      <c r="E103" s="179">
        <v>0.75</v>
      </c>
      <c r="F103" s="229" t="s">
        <v>1656</v>
      </c>
    </row>
    <row r="104">
      <c r="A104" s="513" t="s">
        <v>10638</v>
      </c>
      <c r="B104" s="117">
        <v>11049.0</v>
      </c>
      <c r="C104" s="74">
        <v>0.1</v>
      </c>
      <c r="D104" s="179">
        <v>0.75</v>
      </c>
      <c r="E104" s="179">
        <v>0.75</v>
      </c>
      <c r="F104" s="229" t="s">
        <v>1656</v>
      </c>
    </row>
    <row r="105">
      <c r="A105" s="513" t="s">
        <v>10639</v>
      </c>
      <c r="B105" s="117">
        <v>12609.0</v>
      </c>
      <c r="C105" s="74">
        <v>0.1</v>
      </c>
      <c r="D105" s="179">
        <v>0.75</v>
      </c>
      <c r="E105" s="179">
        <v>0.75</v>
      </c>
      <c r="F105" s="229" t="s">
        <v>1656</v>
      </c>
    </row>
    <row r="106">
      <c r="A106" s="513" t="s">
        <v>10640</v>
      </c>
      <c r="B106" s="117">
        <v>11049.0</v>
      </c>
      <c r="C106" s="74">
        <v>0.1</v>
      </c>
      <c r="D106" s="179">
        <v>0.75</v>
      </c>
      <c r="E106" s="179">
        <v>0.75</v>
      </c>
      <c r="F106" s="229" t="s">
        <v>1656</v>
      </c>
    </row>
    <row r="107">
      <c r="A107" s="513" t="s">
        <v>10641</v>
      </c>
      <c r="B107" s="117">
        <v>6132.0</v>
      </c>
      <c r="C107" s="74">
        <v>0.1</v>
      </c>
      <c r="D107" s="179">
        <v>0.75</v>
      </c>
      <c r="E107" s="179">
        <v>0.75</v>
      </c>
      <c r="F107" s="229" t="s">
        <v>1656</v>
      </c>
    </row>
    <row r="108">
      <c r="A108" s="513" t="s">
        <v>10642</v>
      </c>
      <c r="B108" s="117">
        <v>11049.0</v>
      </c>
      <c r="C108" s="74">
        <v>0.1</v>
      </c>
      <c r="D108" s="179">
        <v>0.75</v>
      </c>
      <c r="E108" s="179">
        <v>0.75</v>
      </c>
      <c r="F108" s="229" t="s">
        <v>1656</v>
      </c>
    </row>
    <row r="109">
      <c r="A109" s="513" t="s">
        <v>10643</v>
      </c>
      <c r="B109" s="117">
        <v>11049.0</v>
      </c>
      <c r="C109" s="74">
        <v>0.1</v>
      </c>
      <c r="D109" s="179">
        <v>0.75</v>
      </c>
      <c r="E109" s="179">
        <v>0.75</v>
      </c>
      <c r="F109" s="229" t="s">
        <v>1656</v>
      </c>
    </row>
    <row r="110">
      <c r="A110" s="513" t="s">
        <v>10644</v>
      </c>
      <c r="B110" s="117">
        <v>12078.0</v>
      </c>
      <c r="C110" s="74">
        <v>0.1</v>
      </c>
      <c r="D110" s="179">
        <v>0.75</v>
      </c>
      <c r="E110" s="179">
        <v>0.75</v>
      </c>
      <c r="F110" s="229" t="s">
        <v>1656</v>
      </c>
    </row>
    <row r="111">
      <c r="A111" s="513" t="s">
        <v>10645</v>
      </c>
      <c r="B111" s="117">
        <v>6891.0</v>
      </c>
      <c r="C111" s="74">
        <v>0.1</v>
      </c>
      <c r="D111" s="179">
        <v>0.75</v>
      </c>
      <c r="E111" s="179">
        <v>0.75</v>
      </c>
      <c r="F111" s="229" t="s">
        <v>1656</v>
      </c>
    </row>
    <row r="112">
      <c r="A112" s="513" t="s">
        <v>2210</v>
      </c>
      <c r="B112" s="117">
        <v>13858.0</v>
      </c>
      <c r="C112" s="74">
        <v>0.1</v>
      </c>
      <c r="D112" s="179">
        <v>0.75</v>
      </c>
      <c r="E112" s="179">
        <v>0.75</v>
      </c>
      <c r="F112" s="229" t="s">
        <v>1656</v>
      </c>
    </row>
    <row r="113">
      <c r="A113" s="513" t="s">
        <v>10646</v>
      </c>
      <c r="B113" s="117">
        <v>14516.0</v>
      </c>
      <c r="C113" s="74">
        <v>0.1</v>
      </c>
      <c r="D113" s="179">
        <v>0.75</v>
      </c>
      <c r="E113" s="179">
        <v>0.75</v>
      </c>
      <c r="F113" s="229" t="s">
        <v>1656</v>
      </c>
    </row>
    <row r="114">
      <c r="A114" s="513" t="s">
        <v>10647</v>
      </c>
      <c r="B114" s="117">
        <v>7229.0</v>
      </c>
      <c r="C114" s="74">
        <v>0.1</v>
      </c>
      <c r="D114" s="179">
        <v>0.75</v>
      </c>
      <c r="E114" s="179">
        <v>0.75</v>
      </c>
      <c r="F114" s="229" t="s">
        <v>1656</v>
      </c>
    </row>
    <row r="115">
      <c r="A115" s="513" t="s">
        <v>10648</v>
      </c>
      <c r="B115" s="117">
        <v>7492.0</v>
      </c>
      <c r="C115" s="74">
        <v>0.1</v>
      </c>
      <c r="D115" s="514">
        <v>0.85</v>
      </c>
      <c r="E115" s="514">
        <v>0.85</v>
      </c>
      <c r="F115" s="229" t="s">
        <v>1656</v>
      </c>
    </row>
    <row r="116">
      <c r="A116" s="513" t="s">
        <v>1248</v>
      </c>
      <c r="B116" s="117">
        <v>7492.0</v>
      </c>
      <c r="C116" s="74">
        <v>0.1</v>
      </c>
      <c r="D116" s="514">
        <v>0.85</v>
      </c>
      <c r="E116" s="514">
        <v>0.85</v>
      </c>
      <c r="F116" s="229" t="s">
        <v>1656</v>
      </c>
    </row>
    <row r="117">
      <c r="A117" s="513" t="s">
        <v>10649</v>
      </c>
      <c r="B117" s="117">
        <v>7492.0</v>
      </c>
      <c r="C117" s="74">
        <v>0.1</v>
      </c>
      <c r="D117" s="514">
        <v>0.85</v>
      </c>
      <c r="E117" s="514">
        <v>0.85</v>
      </c>
      <c r="F117" s="229" t="s">
        <v>1656</v>
      </c>
    </row>
    <row r="118">
      <c r="A118" s="513" t="s">
        <v>10650</v>
      </c>
      <c r="B118" s="117">
        <v>7492.0</v>
      </c>
      <c r="C118" s="74">
        <v>0.1</v>
      </c>
      <c r="D118" s="514">
        <v>0.85</v>
      </c>
      <c r="E118" s="514">
        <v>0.85</v>
      </c>
      <c r="F118" s="229" t="s">
        <v>1656</v>
      </c>
    </row>
    <row r="119">
      <c r="A119" s="513" t="s">
        <v>5839</v>
      </c>
      <c r="B119" s="117">
        <v>7492.0</v>
      </c>
      <c r="C119" s="74">
        <v>0.1</v>
      </c>
      <c r="D119" s="514">
        <v>0.85</v>
      </c>
      <c r="E119" s="514">
        <v>0.85</v>
      </c>
      <c r="F119" s="229" t="s">
        <v>1656</v>
      </c>
    </row>
    <row r="120">
      <c r="A120" s="513" t="s">
        <v>10651</v>
      </c>
      <c r="B120" s="117">
        <v>7492.0</v>
      </c>
      <c r="C120" s="74">
        <v>0.1</v>
      </c>
      <c r="D120" s="514">
        <v>0.85</v>
      </c>
      <c r="E120" s="514">
        <v>0.85</v>
      </c>
      <c r="F120" s="229" t="s">
        <v>1656</v>
      </c>
    </row>
    <row r="121">
      <c r="A121" s="513" t="s">
        <v>10652</v>
      </c>
      <c r="B121" s="117">
        <v>7492.0</v>
      </c>
      <c r="C121" s="74">
        <v>0.1</v>
      </c>
      <c r="D121" s="514">
        <v>0.85</v>
      </c>
      <c r="E121" s="514">
        <v>0.85</v>
      </c>
      <c r="F121" s="229" t="s">
        <v>1656</v>
      </c>
    </row>
    <row r="122">
      <c r="A122" s="513" t="s">
        <v>10653</v>
      </c>
      <c r="B122" s="117">
        <v>7492.0</v>
      </c>
      <c r="C122" s="74">
        <v>0.1</v>
      </c>
      <c r="D122" s="514">
        <v>0.85</v>
      </c>
      <c r="E122" s="514">
        <v>0.85</v>
      </c>
      <c r="F122" s="229" t="s">
        <v>1656</v>
      </c>
    </row>
    <row r="123">
      <c r="A123" s="513" t="s">
        <v>10654</v>
      </c>
      <c r="B123" s="117">
        <v>7492.0</v>
      </c>
      <c r="C123" s="74">
        <v>0.1</v>
      </c>
      <c r="D123" s="514">
        <v>0.85</v>
      </c>
      <c r="E123" s="514">
        <v>0.85</v>
      </c>
      <c r="F123" s="229" t="s">
        <v>1656</v>
      </c>
    </row>
    <row r="124">
      <c r="A124" s="513" t="s">
        <v>10655</v>
      </c>
      <c r="B124" s="117">
        <v>7492.0</v>
      </c>
      <c r="C124" s="74">
        <v>0.1</v>
      </c>
      <c r="D124" s="514">
        <v>0.85</v>
      </c>
      <c r="E124" s="514">
        <v>0.85</v>
      </c>
      <c r="F124" s="229" t="s">
        <v>1656</v>
      </c>
    </row>
    <row r="125">
      <c r="A125" s="513" t="s">
        <v>10656</v>
      </c>
      <c r="B125" s="117">
        <v>12553.0</v>
      </c>
      <c r="C125" s="74">
        <v>0.1</v>
      </c>
      <c r="D125" s="179">
        <v>0.75</v>
      </c>
      <c r="E125" s="179">
        <v>0.75</v>
      </c>
      <c r="F125" s="229" t="s">
        <v>1656</v>
      </c>
    </row>
    <row r="126">
      <c r="A126" s="513" t="s">
        <v>6010</v>
      </c>
      <c r="B126" s="131">
        <v>14055.0</v>
      </c>
      <c r="C126" s="74">
        <v>0.1</v>
      </c>
      <c r="D126" s="179">
        <v>0.75</v>
      </c>
      <c r="E126" s="179">
        <v>0.75</v>
      </c>
      <c r="F126" s="229" t="s">
        <v>1656</v>
      </c>
    </row>
    <row r="127">
      <c r="A127" s="513" t="s">
        <v>10657</v>
      </c>
      <c r="B127" s="117">
        <v>14659.0</v>
      </c>
      <c r="C127" s="74">
        <v>0.1</v>
      </c>
      <c r="D127" s="179">
        <v>0.75</v>
      </c>
      <c r="E127" s="179">
        <v>0.75</v>
      </c>
      <c r="F127" s="229" t="s">
        <v>1656</v>
      </c>
    </row>
    <row r="128">
      <c r="A128" s="513" t="s">
        <v>10658</v>
      </c>
      <c r="B128" s="117">
        <v>14248.0</v>
      </c>
      <c r="C128" s="74">
        <v>0.1</v>
      </c>
      <c r="D128" s="179">
        <v>0.75</v>
      </c>
      <c r="E128" s="179">
        <v>0.75</v>
      </c>
      <c r="F128" s="229" t="s">
        <v>1656</v>
      </c>
    </row>
    <row r="129">
      <c r="A129" s="513" t="s">
        <v>10659</v>
      </c>
      <c r="B129" s="117">
        <v>6675.0</v>
      </c>
      <c r="C129" s="74">
        <v>0.1</v>
      </c>
      <c r="D129" s="74">
        <v>0.9</v>
      </c>
      <c r="E129" s="74">
        <v>0.9</v>
      </c>
      <c r="F129" s="229" t="s">
        <v>1656</v>
      </c>
    </row>
    <row r="130">
      <c r="A130" s="513" t="s">
        <v>10660</v>
      </c>
      <c r="B130" s="117">
        <v>14580.0</v>
      </c>
      <c r="C130" s="74">
        <v>0.1</v>
      </c>
      <c r="D130" s="179">
        <v>0.75</v>
      </c>
      <c r="E130" s="179">
        <v>0.75</v>
      </c>
      <c r="F130" s="229" t="s">
        <v>1656</v>
      </c>
    </row>
    <row r="131">
      <c r="A131" s="513" t="s">
        <v>3364</v>
      </c>
      <c r="B131" s="117">
        <v>14646.0</v>
      </c>
      <c r="C131" s="74">
        <v>0.1</v>
      </c>
      <c r="D131" s="179">
        <v>0.75</v>
      </c>
      <c r="E131" s="179">
        <v>0.75</v>
      </c>
      <c r="F131" s="229" t="s">
        <v>1656</v>
      </c>
    </row>
    <row r="132">
      <c r="A132" s="513" t="s">
        <v>10661</v>
      </c>
      <c r="B132" s="37">
        <v>14480.0</v>
      </c>
      <c r="C132" s="74">
        <v>0.1</v>
      </c>
      <c r="D132" s="179">
        <v>0.75</v>
      </c>
      <c r="E132" s="179">
        <v>0.75</v>
      </c>
      <c r="F132" s="229" t="s">
        <v>1656</v>
      </c>
    </row>
    <row r="133">
      <c r="A133" s="513" t="s">
        <v>10662</v>
      </c>
      <c r="B133" s="117">
        <v>13951.0</v>
      </c>
      <c r="C133" s="74">
        <v>0.1</v>
      </c>
      <c r="D133" s="179">
        <v>0.75</v>
      </c>
      <c r="E133" s="179">
        <v>0.75</v>
      </c>
      <c r="F133" s="229" t="s">
        <v>1656</v>
      </c>
    </row>
    <row r="134">
      <c r="A134" s="513" t="s">
        <v>10663</v>
      </c>
      <c r="B134" s="117">
        <v>11049.0</v>
      </c>
      <c r="C134" s="74">
        <v>0.1</v>
      </c>
      <c r="D134" s="179">
        <v>0.75</v>
      </c>
      <c r="E134" s="179">
        <v>0.75</v>
      </c>
      <c r="F134" s="229" t="s">
        <v>1656</v>
      </c>
    </row>
    <row r="135">
      <c r="A135" s="513" t="s">
        <v>10664</v>
      </c>
      <c r="B135" s="117">
        <v>11049.0</v>
      </c>
      <c r="C135" s="74">
        <v>0.1</v>
      </c>
      <c r="D135" s="179">
        <v>0.75</v>
      </c>
      <c r="E135" s="179">
        <v>0.75</v>
      </c>
      <c r="F135" s="229" t="s">
        <v>1656</v>
      </c>
    </row>
    <row r="136">
      <c r="A136" s="513" t="s">
        <v>10665</v>
      </c>
      <c r="B136" s="117">
        <v>11049.0</v>
      </c>
      <c r="C136" s="74">
        <v>0.1</v>
      </c>
      <c r="D136" s="179">
        <v>0.75</v>
      </c>
      <c r="E136" s="179">
        <v>0.75</v>
      </c>
      <c r="F136" s="229" t="s">
        <v>1656</v>
      </c>
    </row>
    <row r="137">
      <c r="A137" s="513" t="s">
        <v>10666</v>
      </c>
      <c r="B137" s="117">
        <v>11049.0</v>
      </c>
      <c r="C137" s="74">
        <v>0.1</v>
      </c>
      <c r="D137" s="179">
        <v>0.75</v>
      </c>
      <c r="E137" s="179">
        <v>0.75</v>
      </c>
      <c r="F137" s="229" t="s">
        <v>1656</v>
      </c>
    </row>
    <row r="138">
      <c r="A138" s="513" t="s">
        <v>10667</v>
      </c>
      <c r="B138" s="117">
        <v>11049.0</v>
      </c>
      <c r="C138" s="74">
        <v>0.1</v>
      </c>
      <c r="D138" s="179">
        <v>0.75</v>
      </c>
      <c r="E138" s="179">
        <v>0.75</v>
      </c>
      <c r="F138" s="229" t="s">
        <v>1656</v>
      </c>
    </row>
    <row r="139">
      <c r="A139" s="513" t="s">
        <v>10668</v>
      </c>
      <c r="B139" s="117">
        <v>11049.0</v>
      </c>
      <c r="C139" s="74">
        <v>0.1</v>
      </c>
      <c r="D139" s="179">
        <v>0.75</v>
      </c>
      <c r="E139" s="179">
        <v>0.75</v>
      </c>
      <c r="F139" s="229" t="s">
        <v>1656</v>
      </c>
    </row>
    <row r="140">
      <c r="A140" s="513" t="s">
        <v>10669</v>
      </c>
      <c r="B140" s="117">
        <v>11049.0</v>
      </c>
      <c r="C140" s="74">
        <v>0.1</v>
      </c>
      <c r="D140" s="179">
        <v>0.75</v>
      </c>
      <c r="E140" s="179">
        <v>0.75</v>
      </c>
      <c r="F140" s="229" t="s">
        <v>1656</v>
      </c>
    </row>
    <row r="141">
      <c r="A141" s="513" t="s">
        <v>10670</v>
      </c>
      <c r="B141" s="117">
        <v>11049.0</v>
      </c>
      <c r="C141" s="74">
        <v>0.1</v>
      </c>
      <c r="D141" s="179">
        <v>0.75</v>
      </c>
      <c r="E141" s="179">
        <v>0.75</v>
      </c>
      <c r="F141" s="229" t="s">
        <v>1656</v>
      </c>
    </row>
    <row r="142">
      <c r="A142" s="513" t="s">
        <v>1558</v>
      </c>
      <c r="B142" s="117">
        <v>11049.0</v>
      </c>
      <c r="C142" s="74">
        <v>0.1</v>
      </c>
      <c r="D142" s="179">
        <v>0.75</v>
      </c>
      <c r="E142" s="179">
        <v>0.75</v>
      </c>
      <c r="F142" s="229" t="s">
        <v>1656</v>
      </c>
    </row>
    <row r="143">
      <c r="A143" s="513" t="s">
        <v>10671</v>
      </c>
      <c r="B143" s="117">
        <v>11049.0</v>
      </c>
      <c r="C143" s="74">
        <v>0.1</v>
      </c>
      <c r="D143" s="179">
        <v>0.75</v>
      </c>
      <c r="E143" s="179">
        <v>0.75</v>
      </c>
      <c r="F143" s="229" t="s">
        <v>1656</v>
      </c>
    </row>
    <row r="144">
      <c r="A144" s="513" t="s">
        <v>10672</v>
      </c>
      <c r="B144" s="117">
        <v>11049.0</v>
      </c>
      <c r="C144" s="74">
        <v>0.1</v>
      </c>
      <c r="D144" s="179">
        <v>0.75</v>
      </c>
      <c r="E144" s="179">
        <v>0.75</v>
      </c>
      <c r="F144" s="229" t="s">
        <v>1656</v>
      </c>
    </row>
    <row r="145">
      <c r="A145" s="513" t="s">
        <v>10673</v>
      </c>
      <c r="B145" s="117">
        <v>11049.0</v>
      </c>
      <c r="C145" s="74">
        <v>0.1</v>
      </c>
      <c r="D145" s="179">
        <v>0.75</v>
      </c>
      <c r="E145" s="179">
        <v>0.75</v>
      </c>
      <c r="F145" s="229" t="s">
        <v>1656</v>
      </c>
    </row>
    <row r="146">
      <c r="A146" s="513" t="s">
        <v>10674</v>
      </c>
      <c r="B146" s="117">
        <v>11049.0</v>
      </c>
      <c r="C146" s="74">
        <v>0.1</v>
      </c>
      <c r="D146" s="179">
        <v>0.75</v>
      </c>
      <c r="E146" s="179">
        <v>0.75</v>
      </c>
      <c r="F146" s="229" t="s">
        <v>1656</v>
      </c>
    </row>
    <row r="147">
      <c r="A147" s="513" t="s">
        <v>10675</v>
      </c>
      <c r="B147" s="117">
        <v>11049.0</v>
      </c>
      <c r="C147" s="74">
        <v>0.1</v>
      </c>
      <c r="D147" s="179">
        <v>0.75</v>
      </c>
      <c r="E147" s="179">
        <v>0.75</v>
      </c>
      <c r="F147" s="229" t="s">
        <v>1656</v>
      </c>
    </row>
    <row r="148">
      <c r="A148" s="513" t="s">
        <v>10676</v>
      </c>
      <c r="B148" s="117">
        <v>11049.0</v>
      </c>
      <c r="C148" s="74">
        <v>0.1</v>
      </c>
      <c r="D148" s="179">
        <v>0.75</v>
      </c>
      <c r="E148" s="179">
        <v>0.75</v>
      </c>
      <c r="F148" s="229" t="s">
        <v>1656</v>
      </c>
    </row>
    <row r="149">
      <c r="A149" s="513" t="s">
        <v>10677</v>
      </c>
      <c r="B149" s="117">
        <v>11049.0</v>
      </c>
      <c r="C149" s="74">
        <v>0.1</v>
      </c>
      <c r="D149" s="179">
        <v>0.75</v>
      </c>
      <c r="E149" s="179">
        <v>0.75</v>
      </c>
      <c r="F149" s="229" t="s">
        <v>1656</v>
      </c>
    </row>
    <row r="150">
      <c r="A150" s="513" t="s">
        <v>10678</v>
      </c>
      <c r="B150" s="117">
        <v>13829.0</v>
      </c>
      <c r="C150" s="74">
        <v>0.1</v>
      </c>
      <c r="D150" s="179">
        <v>0.75</v>
      </c>
      <c r="E150" s="179">
        <v>0.75</v>
      </c>
      <c r="F150" s="229" t="s">
        <v>1656</v>
      </c>
    </row>
    <row r="151">
      <c r="A151" s="513" t="s">
        <v>10679</v>
      </c>
      <c r="B151" s="515"/>
      <c r="C151" s="74">
        <v>0.1</v>
      </c>
      <c r="D151" s="179">
        <v>0.75</v>
      </c>
      <c r="E151" s="179">
        <v>0.75</v>
      </c>
      <c r="F151" s="229" t="s">
        <v>1656</v>
      </c>
    </row>
    <row r="152">
      <c r="A152" s="513" t="s">
        <v>10680</v>
      </c>
      <c r="B152" s="515"/>
      <c r="C152" s="74">
        <v>0.1</v>
      </c>
      <c r="D152" s="179">
        <v>0.75</v>
      </c>
      <c r="E152" s="179">
        <v>0.75</v>
      </c>
      <c r="F152" s="229" t="s">
        <v>1656</v>
      </c>
    </row>
    <row r="153">
      <c r="A153" s="513" t="s">
        <v>10681</v>
      </c>
      <c r="B153" s="117">
        <v>6732.0</v>
      </c>
      <c r="C153" s="74">
        <v>0.1</v>
      </c>
      <c r="D153" s="179">
        <v>0.75</v>
      </c>
      <c r="E153" s="179">
        <v>0.75</v>
      </c>
      <c r="F153" s="229" t="s">
        <v>1656</v>
      </c>
    </row>
    <row r="154">
      <c r="A154" s="513" t="s">
        <v>2217</v>
      </c>
      <c r="B154" s="117">
        <v>6732.0</v>
      </c>
      <c r="C154" s="74">
        <v>0.1</v>
      </c>
      <c r="D154" s="179">
        <v>0.75</v>
      </c>
      <c r="E154" s="179">
        <v>0.75</v>
      </c>
      <c r="F154" s="229" t="s">
        <v>1656</v>
      </c>
    </row>
    <row r="155">
      <c r="A155" s="513" t="s">
        <v>10682</v>
      </c>
      <c r="B155" s="515"/>
      <c r="C155" s="74">
        <v>0.1</v>
      </c>
      <c r="D155" s="179">
        <v>0.75</v>
      </c>
      <c r="E155" s="179">
        <v>0.75</v>
      </c>
      <c r="F155" s="229" t="s">
        <v>1656</v>
      </c>
    </row>
    <row r="156">
      <c r="A156" s="513" t="s">
        <v>10683</v>
      </c>
      <c r="B156" s="515"/>
      <c r="C156" s="74">
        <v>0.1</v>
      </c>
      <c r="D156" s="179">
        <v>0.75</v>
      </c>
      <c r="E156" s="179">
        <v>0.75</v>
      </c>
      <c r="F156" s="229" t="s">
        <v>1656</v>
      </c>
    </row>
    <row r="157">
      <c r="A157" s="513" t="s">
        <v>10684</v>
      </c>
      <c r="B157" s="117">
        <v>12932.0</v>
      </c>
      <c r="C157" s="74">
        <v>0.1</v>
      </c>
      <c r="D157" s="179">
        <v>0.75</v>
      </c>
      <c r="E157" s="179">
        <v>0.75</v>
      </c>
      <c r="F157" s="229" t="s">
        <v>1656</v>
      </c>
    </row>
    <row r="158">
      <c r="A158" s="513" t="s">
        <v>10685</v>
      </c>
      <c r="B158" s="117">
        <v>6947.0</v>
      </c>
      <c r="C158" s="74">
        <v>0.1</v>
      </c>
      <c r="D158" s="179">
        <v>0.75</v>
      </c>
      <c r="E158" s="179">
        <v>0.75</v>
      </c>
      <c r="F158" s="229" t="s">
        <v>1656</v>
      </c>
    </row>
    <row r="159">
      <c r="A159" s="513" t="s">
        <v>10686</v>
      </c>
      <c r="B159" s="515"/>
      <c r="C159" s="74">
        <v>0.1</v>
      </c>
      <c r="D159" s="179">
        <v>0.75</v>
      </c>
      <c r="E159" s="179">
        <v>0.75</v>
      </c>
      <c r="F159" s="229" t="s">
        <v>1656</v>
      </c>
    </row>
    <row r="160">
      <c r="A160" s="513" t="s">
        <v>10687</v>
      </c>
      <c r="B160" s="117">
        <v>14025.0</v>
      </c>
      <c r="C160" s="74">
        <v>0.1</v>
      </c>
      <c r="D160" s="179">
        <v>0.75</v>
      </c>
      <c r="E160" s="179">
        <v>0.75</v>
      </c>
      <c r="F160" s="229" t="s">
        <v>1656</v>
      </c>
    </row>
    <row r="161">
      <c r="A161" s="513" t="s">
        <v>10688</v>
      </c>
      <c r="B161" s="515"/>
      <c r="C161" s="74">
        <v>0.1</v>
      </c>
      <c r="D161" s="179">
        <v>0.75</v>
      </c>
      <c r="E161" s="179">
        <v>0.75</v>
      </c>
      <c r="F161" s="229" t="s">
        <v>1656</v>
      </c>
    </row>
    <row r="162">
      <c r="A162" s="513" t="s">
        <v>10689</v>
      </c>
      <c r="B162" s="117">
        <v>6779.0</v>
      </c>
      <c r="C162" s="74">
        <v>0.1</v>
      </c>
      <c r="D162" s="179">
        <v>0.75</v>
      </c>
      <c r="E162" s="179">
        <v>0.75</v>
      </c>
      <c r="F162" s="229" t="s">
        <v>1656</v>
      </c>
    </row>
    <row r="163">
      <c r="A163" s="513" t="s">
        <v>10690</v>
      </c>
      <c r="B163" s="515"/>
      <c r="C163" s="74">
        <v>0.1</v>
      </c>
      <c r="D163" s="179">
        <v>0.75</v>
      </c>
      <c r="E163" s="179">
        <v>0.75</v>
      </c>
      <c r="F163" s="229" t="s">
        <v>1656</v>
      </c>
    </row>
    <row r="164">
      <c r="A164" s="513" t="s">
        <v>10691</v>
      </c>
      <c r="B164" s="515"/>
      <c r="C164" s="74">
        <v>0.1</v>
      </c>
      <c r="D164" s="179">
        <v>0.75</v>
      </c>
      <c r="E164" s="179">
        <v>0.75</v>
      </c>
      <c r="F164" s="229" t="s">
        <v>1656</v>
      </c>
    </row>
    <row r="165">
      <c r="A165" s="513" t="s">
        <v>10692</v>
      </c>
      <c r="B165" s="117">
        <v>3404.0</v>
      </c>
      <c r="C165" s="74">
        <v>0.1</v>
      </c>
      <c r="D165" s="179">
        <v>0.75</v>
      </c>
      <c r="E165" s="179">
        <v>0.75</v>
      </c>
      <c r="F165" s="229" t="s">
        <v>1656</v>
      </c>
    </row>
    <row r="166">
      <c r="A166" s="513" t="s">
        <v>5861</v>
      </c>
      <c r="B166" s="515"/>
      <c r="C166" s="74">
        <v>0.1</v>
      </c>
      <c r="D166" s="179">
        <v>0.75</v>
      </c>
      <c r="E166" s="179">
        <v>0.75</v>
      </c>
      <c r="F166" s="229" t="s">
        <v>1656</v>
      </c>
    </row>
    <row r="167">
      <c r="A167" s="513" t="s">
        <v>10693</v>
      </c>
      <c r="B167" s="515"/>
      <c r="C167" s="74">
        <v>0.1</v>
      </c>
      <c r="D167" s="179">
        <v>0.75</v>
      </c>
      <c r="E167" s="179">
        <v>0.75</v>
      </c>
      <c r="F167" s="229" t="s">
        <v>1656</v>
      </c>
    </row>
    <row r="168">
      <c r="A168" s="513" t="s">
        <v>10694</v>
      </c>
      <c r="B168" s="515"/>
      <c r="C168" s="74">
        <v>0.1</v>
      </c>
      <c r="D168" s="179">
        <v>0.75</v>
      </c>
      <c r="E168" s="179">
        <v>0.75</v>
      </c>
      <c r="F168" s="229" t="s">
        <v>1656</v>
      </c>
    </row>
    <row r="169">
      <c r="A169" s="513" t="s">
        <v>10695</v>
      </c>
      <c r="B169" s="117">
        <v>14575.0</v>
      </c>
      <c r="C169" s="74">
        <v>0.1</v>
      </c>
      <c r="D169" s="514">
        <v>0.85</v>
      </c>
      <c r="E169" s="514">
        <v>0.85</v>
      </c>
      <c r="F169" s="229" t="s">
        <v>1656</v>
      </c>
    </row>
    <row r="170">
      <c r="A170" s="513" t="s">
        <v>10696</v>
      </c>
      <c r="B170" s="515"/>
      <c r="C170" s="74">
        <v>0.1</v>
      </c>
      <c r="D170" s="179">
        <v>0.75</v>
      </c>
      <c r="E170" s="179">
        <v>0.75</v>
      </c>
      <c r="F170" s="229" t="s">
        <v>1656</v>
      </c>
    </row>
    <row r="171">
      <c r="A171" s="513" t="s">
        <v>10697</v>
      </c>
      <c r="B171" s="515"/>
      <c r="C171" s="74">
        <v>0.1</v>
      </c>
      <c r="D171" s="179">
        <v>0.75</v>
      </c>
      <c r="E171" s="179">
        <v>0.75</v>
      </c>
      <c r="F171" s="229" t="s">
        <v>1656</v>
      </c>
    </row>
    <row r="172">
      <c r="A172" s="513" t="s">
        <v>10698</v>
      </c>
      <c r="B172" s="515"/>
      <c r="C172" s="74">
        <v>0.1</v>
      </c>
      <c r="D172" s="179">
        <v>0.75</v>
      </c>
      <c r="E172" s="179">
        <v>0.75</v>
      </c>
      <c r="F172" s="229" t="s">
        <v>1656</v>
      </c>
    </row>
    <row r="173">
      <c r="A173" s="513" t="s">
        <v>10699</v>
      </c>
      <c r="B173" s="515"/>
      <c r="C173" s="74">
        <v>0.1</v>
      </c>
      <c r="D173" s="179">
        <v>0.75</v>
      </c>
      <c r="E173" s="179">
        <v>0.75</v>
      </c>
      <c r="F173" s="229" t="s">
        <v>1656</v>
      </c>
    </row>
    <row r="174">
      <c r="A174" s="513" t="s">
        <v>10700</v>
      </c>
      <c r="B174" s="515"/>
      <c r="C174" s="74">
        <v>0.1</v>
      </c>
      <c r="D174" s="179">
        <v>0.75</v>
      </c>
      <c r="E174" s="179">
        <v>0.75</v>
      </c>
      <c r="F174" s="229" t="s">
        <v>1656</v>
      </c>
    </row>
    <row r="175">
      <c r="A175" s="513" t="s">
        <v>10701</v>
      </c>
      <c r="B175" s="515"/>
      <c r="C175" s="74">
        <v>0.1</v>
      </c>
      <c r="D175" s="179">
        <v>0.75</v>
      </c>
      <c r="E175" s="179">
        <v>0.75</v>
      </c>
      <c r="F175" s="229" t="s">
        <v>1656</v>
      </c>
    </row>
    <row r="176">
      <c r="A176" s="513" t="s">
        <v>10702</v>
      </c>
      <c r="B176" s="515"/>
      <c r="C176" s="74">
        <v>0.1</v>
      </c>
      <c r="D176" s="179">
        <v>0.75</v>
      </c>
      <c r="E176" s="179">
        <v>0.75</v>
      </c>
      <c r="F176" s="229" t="s">
        <v>1656</v>
      </c>
    </row>
    <row r="177">
      <c r="A177" s="513" t="s">
        <v>3079</v>
      </c>
      <c r="B177" s="515"/>
      <c r="C177" s="74">
        <v>0.1</v>
      </c>
      <c r="D177" s="179">
        <v>0.75</v>
      </c>
      <c r="E177" s="179">
        <v>0.75</v>
      </c>
      <c r="F177" s="229" t="s">
        <v>1656</v>
      </c>
    </row>
    <row r="178">
      <c r="A178" s="513" t="s">
        <v>10703</v>
      </c>
      <c r="B178" s="515"/>
      <c r="C178" s="74">
        <v>0.1</v>
      </c>
      <c r="D178" s="179">
        <v>0.75</v>
      </c>
      <c r="E178" s="179">
        <v>0.75</v>
      </c>
      <c r="F178" s="229" t="s">
        <v>1656</v>
      </c>
    </row>
    <row r="179">
      <c r="A179" s="513" t="s">
        <v>10704</v>
      </c>
      <c r="B179" s="515"/>
      <c r="C179" s="74">
        <v>0.1</v>
      </c>
      <c r="D179" s="179">
        <v>0.75</v>
      </c>
      <c r="E179" s="179">
        <v>0.75</v>
      </c>
      <c r="F179" s="229" t="s">
        <v>1656</v>
      </c>
    </row>
    <row r="180">
      <c r="A180" s="513" t="s">
        <v>10705</v>
      </c>
      <c r="B180" s="515"/>
      <c r="C180" s="74">
        <v>0.1</v>
      </c>
      <c r="D180" s="179">
        <v>0.75</v>
      </c>
      <c r="E180" s="179">
        <v>0.75</v>
      </c>
      <c r="F180" s="229" t="s">
        <v>1656</v>
      </c>
    </row>
    <row r="181">
      <c r="A181" s="513" t="s">
        <v>10706</v>
      </c>
      <c r="B181" s="515"/>
      <c r="C181" s="74">
        <v>0.1</v>
      </c>
      <c r="D181" s="179">
        <v>0.75</v>
      </c>
      <c r="E181" s="179">
        <v>0.75</v>
      </c>
      <c r="F181" s="229" t="s">
        <v>1656</v>
      </c>
    </row>
    <row r="182">
      <c r="A182" s="513" t="s">
        <v>10707</v>
      </c>
      <c r="B182" s="515"/>
      <c r="C182" s="74">
        <v>0.1</v>
      </c>
      <c r="D182" s="179">
        <v>0.75</v>
      </c>
      <c r="E182" s="179">
        <v>0.75</v>
      </c>
      <c r="F182" s="229" t="s">
        <v>1656</v>
      </c>
    </row>
    <row r="183">
      <c r="A183" s="513" t="s">
        <v>10708</v>
      </c>
      <c r="B183" s="515"/>
      <c r="C183" s="74">
        <v>0.1</v>
      </c>
      <c r="D183" s="179">
        <v>0.75</v>
      </c>
      <c r="E183" s="179">
        <v>0.75</v>
      </c>
      <c r="F183" s="229" t="s">
        <v>1656</v>
      </c>
    </row>
    <row r="184">
      <c r="A184" s="513" t="s">
        <v>10709</v>
      </c>
      <c r="B184" s="515"/>
      <c r="C184" s="74">
        <v>0.1</v>
      </c>
      <c r="D184" s="179">
        <v>0.75</v>
      </c>
      <c r="E184" s="179">
        <v>0.75</v>
      </c>
      <c r="F184" s="229" t="s">
        <v>1656</v>
      </c>
    </row>
    <row r="185">
      <c r="A185" s="513" t="s">
        <v>10710</v>
      </c>
      <c r="B185" s="117"/>
      <c r="C185" s="74">
        <v>0.1</v>
      </c>
      <c r="D185" s="179">
        <v>0.75</v>
      </c>
      <c r="E185" s="179">
        <v>0.75</v>
      </c>
      <c r="F185" s="229" t="s">
        <v>1656</v>
      </c>
    </row>
    <row r="186">
      <c r="A186" s="513" t="s">
        <v>10711</v>
      </c>
      <c r="B186" s="515"/>
      <c r="C186" s="74">
        <v>0.1</v>
      </c>
      <c r="D186" s="179">
        <v>0.75</v>
      </c>
      <c r="E186" s="179">
        <v>0.75</v>
      </c>
      <c r="F186" s="229" t="s">
        <v>1656</v>
      </c>
    </row>
    <row r="187">
      <c r="A187" s="513" t="s">
        <v>10712</v>
      </c>
      <c r="B187" s="515"/>
      <c r="C187" s="74">
        <v>0.1</v>
      </c>
      <c r="D187" s="179">
        <v>0.75</v>
      </c>
      <c r="E187" s="179">
        <v>0.75</v>
      </c>
      <c r="F187" s="229" t="s">
        <v>1656</v>
      </c>
    </row>
    <row r="188">
      <c r="A188" s="513" t="s">
        <v>10713</v>
      </c>
      <c r="B188" s="117">
        <v>14638.0</v>
      </c>
      <c r="C188" s="74">
        <v>0.1</v>
      </c>
      <c r="D188" s="179">
        <v>0.75</v>
      </c>
      <c r="E188" s="179">
        <v>0.75</v>
      </c>
      <c r="F188" s="229" t="s">
        <v>1656</v>
      </c>
    </row>
    <row r="189">
      <c r="A189" s="513" t="s">
        <v>10714</v>
      </c>
      <c r="B189" s="515"/>
      <c r="C189" s="74">
        <v>0.1</v>
      </c>
      <c r="D189" s="179">
        <v>0.75</v>
      </c>
      <c r="E189" s="179">
        <v>0.75</v>
      </c>
      <c r="F189" s="229" t="s">
        <v>1656</v>
      </c>
    </row>
    <row r="190">
      <c r="A190" s="513" t="s">
        <v>10715</v>
      </c>
      <c r="B190" s="515"/>
      <c r="C190" s="74">
        <v>0.1</v>
      </c>
      <c r="D190" s="179">
        <v>0.75</v>
      </c>
      <c r="E190" s="179">
        <v>0.75</v>
      </c>
      <c r="F190" s="229" t="s">
        <v>1656</v>
      </c>
    </row>
    <row r="191">
      <c r="A191" s="513" t="s">
        <v>10716</v>
      </c>
      <c r="B191" s="117">
        <v>6668.0</v>
      </c>
      <c r="C191" s="74">
        <v>0.1</v>
      </c>
      <c r="D191" s="179">
        <v>0.75</v>
      </c>
      <c r="E191" s="179">
        <v>0.75</v>
      </c>
      <c r="F191" s="229" t="s">
        <v>1656</v>
      </c>
    </row>
    <row r="192">
      <c r="A192" s="513" t="s">
        <v>10717</v>
      </c>
      <c r="B192" s="117">
        <v>6668.0</v>
      </c>
      <c r="C192" s="74">
        <v>0.1</v>
      </c>
      <c r="D192" s="179">
        <v>0.75</v>
      </c>
      <c r="E192" s="179">
        <v>0.75</v>
      </c>
      <c r="F192" s="229" t="s">
        <v>1656</v>
      </c>
    </row>
    <row r="193">
      <c r="A193" s="513" t="s">
        <v>10718</v>
      </c>
      <c r="B193" s="515"/>
      <c r="C193" s="74">
        <v>0.1</v>
      </c>
      <c r="D193" s="179">
        <v>0.75</v>
      </c>
      <c r="E193" s="179">
        <v>0.75</v>
      </c>
      <c r="F193" s="229" t="s">
        <v>1656</v>
      </c>
    </row>
    <row r="194">
      <c r="A194" s="513" t="s">
        <v>10719</v>
      </c>
      <c r="B194" s="515"/>
      <c r="C194" s="74">
        <v>0.1</v>
      </c>
      <c r="D194" s="179">
        <v>0.75</v>
      </c>
      <c r="E194" s="179">
        <v>0.75</v>
      </c>
      <c r="F194" s="229" t="s">
        <v>1656</v>
      </c>
    </row>
    <row r="195">
      <c r="A195" s="513" t="s">
        <v>10720</v>
      </c>
      <c r="B195" s="117">
        <v>7157.0</v>
      </c>
      <c r="C195" s="74">
        <v>0.1</v>
      </c>
      <c r="D195" s="179">
        <v>0.75</v>
      </c>
      <c r="E195" s="179">
        <v>0.75</v>
      </c>
      <c r="F195" s="229" t="s">
        <v>1656</v>
      </c>
    </row>
    <row r="196">
      <c r="A196" s="513" t="s">
        <v>10721</v>
      </c>
      <c r="B196" s="515"/>
      <c r="C196" s="74">
        <v>0.1</v>
      </c>
      <c r="D196" s="179">
        <v>0.75</v>
      </c>
      <c r="E196" s="179">
        <v>0.75</v>
      </c>
      <c r="F196" s="229" t="s">
        <v>1656</v>
      </c>
    </row>
    <row r="197">
      <c r="A197" s="513" t="s">
        <v>10722</v>
      </c>
      <c r="B197" s="515"/>
      <c r="C197" s="74">
        <v>0.1</v>
      </c>
      <c r="D197" s="179">
        <v>0.75</v>
      </c>
      <c r="E197" s="179">
        <v>0.75</v>
      </c>
      <c r="F197" s="229" t="s">
        <v>1656</v>
      </c>
    </row>
    <row r="198">
      <c r="A198" s="513" t="s">
        <v>10723</v>
      </c>
      <c r="B198" s="515"/>
      <c r="C198" s="74">
        <v>0.1</v>
      </c>
      <c r="D198" s="179">
        <v>0.75</v>
      </c>
      <c r="E198" s="179">
        <v>0.75</v>
      </c>
      <c r="F198" s="229" t="s">
        <v>1656</v>
      </c>
    </row>
    <row r="199">
      <c r="A199" s="513" t="s">
        <v>10724</v>
      </c>
      <c r="B199" s="515"/>
      <c r="C199" s="74">
        <v>0.1</v>
      </c>
      <c r="D199" s="179">
        <v>0.75</v>
      </c>
      <c r="E199" s="179">
        <v>0.75</v>
      </c>
      <c r="F199" s="229" t="s">
        <v>1656</v>
      </c>
    </row>
    <row r="200">
      <c r="A200" s="513" t="s">
        <v>10725</v>
      </c>
      <c r="B200" s="515"/>
      <c r="C200" s="74">
        <v>0.1</v>
      </c>
      <c r="D200" s="179">
        <v>0.75</v>
      </c>
      <c r="E200" s="179">
        <v>0.75</v>
      </c>
      <c r="F200" s="229" t="s">
        <v>1656</v>
      </c>
    </row>
    <row r="201">
      <c r="A201" s="513" t="s">
        <v>10726</v>
      </c>
      <c r="B201" s="515"/>
      <c r="C201" s="74">
        <v>0.1</v>
      </c>
      <c r="D201" s="179">
        <v>0.75</v>
      </c>
      <c r="E201" s="179">
        <v>0.75</v>
      </c>
      <c r="F201" s="229" t="s">
        <v>1656</v>
      </c>
    </row>
    <row r="202">
      <c r="A202" s="513" t="s">
        <v>10727</v>
      </c>
      <c r="B202" s="515"/>
      <c r="C202" s="74">
        <v>0.1</v>
      </c>
      <c r="D202" s="179">
        <v>0.75</v>
      </c>
      <c r="E202" s="179">
        <v>0.75</v>
      </c>
      <c r="F202" s="229" t="s">
        <v>1656</v>
      </c>
    </row>
    <row r="203">
      <c r="A203" s="513" t="s">
        <v>10728</v>
      </c>
      <c r="B203" s="515"/>
      <c r="C203" s="74">
        <v>0.1</v>
      </c>
      <c r="D203" s="179">
        <v>0.75</v>
      </c>
      <c r="E203" s="179">
        <v>0.75</v>
      </c>
      <c r="F203" s="229" t="s">
        <v>1656</v>
      </c>
    </row>
    <row r="204">
      <c r="A204" s="513" t="s">
        <v>771</v>
      </c>
      <c r="B204" s="515"/>
      <c r="C204" s="74">
        <v>0.1</v>
      </c>
      <c r="D204" s="179">
        <v>0.75</v>
      </c>
      <c r="E204" s="179">
        <v>0.75</v>
      </c>
      <c r="F204" s="229" t="s">
        <v>1656</v>
      </c>
    </row>
    <row r="205">
      <c r="A205" s="513" t="s">
        <v>10729</v>
      </c>
      <c r="B205" s="515"/>
      <c r="C205" s="74">
        <v>0.1</v>
      </c>
      <c r="D205" s="179">
        <v>0.75</v>
      </c>
      <c r="E205" s="179">
        <v>0.75</v>
      </c>
      <c r="F205" s="229" t="s">
        <v>1656</v>
      </c>
    </row>
    <row r="206">
      <c r="A206" s="513" t="s">
        <v>2786</v>
      </c>
      <c r="B206" s="515"/>
      <c r="C206" s="74">
        <v>0.1</v>
      </c>
      <c r="D206" s="179">
        <v>0.75</v>
      </c>
      <c r="E206" s="179">
        <v>0.75</v>
      </c>
      <c r="F206" s="229" t="s">
        <v>1656</v>
      </c>
    </row>
    <row r="207">
      <c r="A207" s="513" t="s">
        <v>10730</v>
      </c>
      <c r="B207" s="515"/>
      <c r="C207" s="74">
        <v>0.1</v>
      </c>
      <c r="D207" s="179">
        <v>0.75</v>
      </c>
      <c r="E207" s="179">
        <v>0.75</v>
      </c>
      <c r="F207" s="229" t="s">
        <v>1656</v>
      </c>
    </row>
    <row r="208">
      <c r="A208" s="513" t="s">
        <v>10731</v>
      </c>
      <c r="B208" s="515"/>
      <c r="C208" s="74">
        <v>0.1</v>
      </c>
      <c r="D208" s="179">
        <v>0.75</v>
      </c>
      <c r="E208" s="179">
        <v>0.75</v>
      </c>
      <c r="F208" s="229" t="s">
        <v>1656</v>
      </c>
    </row>
    <row r="209">
      <c r="A209" s="513" t="s">
        <v>10732</v>
      </c>
      <c r="B209" s="515"/>
      <c r="C209" s="74">
        <v>0.1</v>
      </c>
      <c r="D209" s="179">
        <v>0.75</v>
      </c>
      <c r="E209" s="179">
        <v>0.75</v>
      </c>
      <c r="F209" s="229" t="s">
        <v>1656</v>
      </c>
    </row>
    <row r="210">
      <c r="A210" s="513" t="s">
        <v>10733</v>
      </c>
      <c r="B210" s="515"/>
      <c r="C210" s="74">
        <v>0.1</v>
      </c>
      <c r="D210" s="179">
        <v>0.75</v>
      </c>
      <c r="E210" s="179">
        <v>0.75</v>
      </c>
      <c r="F210" s="229" t="s">
        <v>1656</v>
      </c>
    </row>
    <row r="211">
      <c r="A211" s="513" t="s">
        <v>10734</v>
      </c>
      <c r="B211" s="515"/>
      <c r="C211" s="74">
        <v>0.1</v>
      </c>
      <c r="D211" s="179">
        <v>0.75</v>
      </c>
      <c r="E211" s="179">
        <v>0.75</v>
      </c>
      <c r="F211" s="229" t="s">
        <v>1656</v>
      </c>
    </row>
    <row r="212">
      <c r="A212" s="513" t="s">
        <v>10735</v>
      </c>
      <c r="B212" s="515"/>
      <c r="C212" s="74">
        <v>0.1</v>
      </c>
      <c r="D212" s="179">
        <v>0.75</v>
      </c>
      <c r="E212" s="179">
        <v>0.75</v>
      </c>
      <c r="F212" s="229" t="s">
        <v>1656</v>
      </c>
    </row>
    <row r="213">
      <c r="A213" s="513" t="s">
        <v>10736</v>
      </c>
      <c r="B213" s="515"/>
      <c r="C213" s="74">
        <v>0.1</v>
      </c>
      <c r="D213" s="179">
        <v>0.75</v>
      </c>
      <c r="E213" s="179">
        <v>0.75</v>
      </c>
      <c r="F213" s="229" t="s">
        <v>1656</v>
      </c>
    </row>
    <row r="214">
      <c r="A214" s="513" t="s">
        <v>10737</v>
      </c>
      <c r="B214" s="515"/>
      <c r="C214" s="74">
        <v>0.1</v>
      </c>
      <c r="D214" s="179">
        <v>0.75</v>
      </c>
      <c r="E214" s="179">
        <v>0.75</v>
      </c>
      <c r="F214" s="229" t="s">
        <v>1656</v>
      </c>
    </row>
    <row r="215">
      <c r="A215" s="513" t="s">
        <v>10738</v>
      </c>
      <c r="B215" s="515"/>
      <c r="C215" s="74">
        <v>0.1</v>
      </c>
      <c r="D215" s="179">
        <v>0.75</v>
      </c>
      <c r="E215" s="179">
        <v>0.75</v>
      </c>
      <c r="F215" s="229" t="s">
        <v>1656</v>
      </c>
    </row>
    <row r="216">
      <c r="A216" s="513" t="s">
        <v>10739</v>
      </c>
      <c r="B216" s="515"/>
      <c r="C216" s="74">
        <v>0.1</v>
      </c>
      <c r="D216" s="179">
        <v>0.75</v>
      </c>
      <c r="E216" s="179">
        <v>0.75</v>
      </c>
      <c r="F216" s="229" t="s">
        <v>1656</v>
      </c>
    </row>
    <row r="217">
      <c r="A217" s="513" t="s">
        <v>10740</v>
      </c>
      <c r="B217" s="117">
        <v>14663.0</v>
      </c>
      <c r="C217" s="74">
        <v>0.1</v>
      </c>
      <c r="D217" s="179">
        <v>0.75</v>
      </c>
      <c r="E217" s="179">
        <v>0.75</v>
      </c>
      <c r="F217" s="229" t="s">
        <v>1656</v>
      </c>
    </row>
    <row r="218">
      <c r="A218" s="513" t="s">
        <v>2499</v>
      </c>
      <c r="B218" s="515"/>
      <c r="C218" s="74">
        <v>0.1</v>
      </c>
      <c r="D218" s="179">
        <v>0.75</v>
      </c>
      <c r="E218" s="179">
        <v>0.75</v>
      </c>
      <c r="F218" s="229" t="s">
        <v>1656</v>
      </c>
    </row>
    <row r="219">
      <c r="A219" s="513" t="s">
        <v>10741</v>
      </c>
      <c r="B219" s="515"/>
      <c r="C219" s="74">
        <v>0.1</v>
      </c>
      <c r="D219" s="179">
        <v>0.75</v>
      </c>
      <c r="E219" s="179">
        <v>0.75</v>
      </c>
      <c r="F219" s="229" t="s">
        <v>1656</v>
      </c>
    </row>
    <row r="220">
      <c r="A220" s="513" t="s">
        <v>10742</v>
      </c>
      <c r="B220" s="515"/>
      <c r="C220" s="74">
        <v>0.1</v>
      </c>
      <c r="D220" s="179">
        <v>0.75</v>
      </c>
      <c r="E220" s="179">
        <v>0.75</v>
      </c>
      <c r="F220" s="229" t="s">
        <v>1656</v>
      </c>
    </row>
    <row r="221">
      <c r="A221" s="513" t="s">
        <v>10743</v>
      </c>
      <c r="B221" s="515"/>
      <c r="C221" s="74">
        <v>0.1</v>
      </c>
      <c r="D221" s="179">
        <v>0.75</v>
      </c>
      <c r="E221" s="179">
        <v>0.75</v>
      </c>
      <c r="F221" s="229" t="s">
        <v>1656</v>
      </c>
    </row>
    <row r="222">
      <c r="A222" s="513" t="s">
        <v>10744</v>
      </c>
      <c r="B222" s="515"/>
      <c r="C222" s="74">
        <v>0.1</v>
      </c>
      <c r="D222" s="179">
        <v>0.75</v>
      </c>
      <c r="E222" s="179">
        <v>0.75</v>
      </c>
      <c r="F222" s="229" t="s">
        <v>1656</v>
      </c>
    </row>
    <row r="223">
      <c r="A223" s="513" t="s">
        <v>10745</v>
      </c>
      <c r="B223" s="515"/>
      <c r="C223" s="74">
        <v>0.1</v>
      </c>
      <c r="D223" s="179">
        <v>0.75</v>
      </c>
      <c r="E223" s="179">
        <v>0.75</v>
      </c>
      <c r="F223" s="229" t="s">
        <v>1656</v>
      </c>
    </row>
    <row r="224">
      <c r="A224" s="513" t="s">
        <v>10746</v>
      </c>
      <c r="B224" s="117">
        <v>14727.0</v>
      </c>
      <c r="C224" s="74">
        <v>0.1</v>
      </c>
      <c r="D224" s="179">
        <v>0.75</v>
      </c>
      <c r="E224" s="179">
        <v>0.75</v>
      </c>
      <c r="F224" s="229" t="s">
        <v>1656</v>
      </c>
    </row>
    <row r="225">
      <c r="A225" s="513" t="s">
        <v>10747</v>
      </c>
      <c r="B225" s="515"/>
      <c r="C225" s="74">
        <v>0.1</v>
      </c>
      <c r="D225" s="179">
        <v>0.75</v>
      </c>
      <c r="E225" s="179">
        <v>0.75</v>
      </c>
      <c r="F225" s="229" t="s">
        <v>1656</v>
      </c>
    </row>
    <row r="226">
      <c r="A226" s="513" t="s">
        <v>10748</v>
      </c>
      <c r="B226" s="515"/>
      <c r="C226" s="74">
        <v>0.1</v>
      </c>
      <c r="D226" s="179">
        <v>0.75</v>
      </c>
      <c r="E226" s="179">
        <v>0.75</v>
      </c>
      <c r="F226" s="229" t="s">
        <v>1656</v>
      </c>
    </row>
    <row r="227">
      <c r="A227" s="513" t="s">
        <v>10749</v>
      </c>
      <c r="B227" s="515"/>
      <c r="C227" s="74">
        <v>0.1</v>
      </c>
      <c r="D227" s="179">
        <v>0.75</v>
      </c>
      <c r="E227" s="179">
        <v>0.75</v>
      </c>
      <c r="F227" s="229" t="s">
        <v>1656</v>
      </c>
    </row>
    <row r="228">
      <c r="A228" s="513" t="s">
        <v>10750</v>
      </c>
      <c r="B228" s="515"/>
      <c r="C228" s="74">
        <v>0.1</v>
      </c>
      <c r="D228" s="179">
        <v>0.75</v>
      </c>
      <c r="E228" s="179">
        <v>0.75</v>
      </c>
      <c r="F228" s="229" t="s">
        <v>1656</v>
      </c>
    </row>
    <row r="229">
      <c r="A229" s="513" t="s">
        <v>10751</v>
      </c>
      <c r="B229" s="515"/>
      <c r="C229" s="74">
        <v>0.1</v>
      </c>
      <c r="D229" s="179">
        <v>0.75</v>
      </c>
      <c r="E229" s="179">
        <v>0.75</v>
      </c>
      <c r="F229" s="229" t="s">
        <v>1656</v>
      </c>
    </row>
    <row r="230">
      <c r="A230" s="513" t="s">
        <v>3456</v>
      </c>
      <c r="B230" s="515"/>
      <c r="C230" s="74">
        <v>0.1</v>
      </c>
      <c r="D230" s="179">
        <v>0.75</v>
      </c>
      <c r="E230" s="179">
        <v>0.75</v>
      </c>
      <c r="F230" s="229" t="s">
        <v>1656</v>
      </c>
    </row>
    <row r="231">
      <c r="A231" s="513" t="s">
        <v>10752</v>
      </c>
      <c r="B231" s="515"/>
      <c r="C231" s="74">
        <v>0.1</v>
      </c>
      <c r="D231" s="179">
        <v>0.75</v>
      </c>
      <c r="E231" s="179">
        <v>0.75</v>
      </c>
      <c r="F231" s="229" t="s">
        <v>1656</v>
      </c>
    </row>
    <row r="232">
      <c r="A232" s="513" t="s">
        <v>10753</v>
      </c>
      <c r="B232" s="515"/>
      <c r="C232" s="74">
        <v>0.1</v>
      </c>
      <c r="D232" s="179">
        <v>0.75</v>
      </c>
      <c r="E232" s="179">
        <v>0.75</v>
      </c>
      <c r="F232" s="229" t="s">
        <v>1656</v>
      </c>
    </row>
    <row r="233">
      <c r="A233" s="513" t="s">
        <v>10754</v>
      </c>
      <c r="B233" s="515"/>
      <c r="C233" s="74">
        <v>0.1</v>
      </c>
      <c r="D233" s="179">
        <v>0.75</v>
      </c>
      <c r="E233" s="179">
        <v>0.75</v>
      </c>
      <c r="F233" s="229" t="s">
        <v>1656</v>
      </c>
    </row>
    <row r="234">
      <c r="A234" s="513" t="s">
        <v>10755</v>
      </c>
      <c r="B234" s="515"/>
      <c r="C234" s="74">
        <v>0.1</v>
      </c>
      <c r="D234" s="179">
        <v>0.75</v>
      </c>
      <c r="E234" s="179">
        <v>0.75</v>
      </c>
      <c r="F234" s="229" t="s">
        <v>1656</v>
      </c>
    </row>
    <row r="235">
      <c r="A235" s="513" t="s">
        <v>10756</v>
      </c>
      <c r="B235" s="515"/>
      <c r="C235" s="74">
        <v>0.1</v>
      </c>
      <c r="D235" s="179">
        <v>0.75</v>
      </c>
      <c r="E235" s="179">
        <v>0.75</v>
      </c>
      <c r="F235" s="229" t="s">
        <v>1656</v>
      </c>
    </row>
    <row r="236">
      <c r="A236" s="513" t="s">
        <v>4235</v>
      </c>
      <c r="B236" s="515"/>
      <c r="C236" s="74">
        <v>0.1</v>
      </c>
      <c r="D236" s="179">
        <v>0.75</v>
      </c>
      <c r="E236" s="179">
        <v>0.75</v>
      </c>
      <c r="F236" s="229" t="s">
        <v>1656</v>
      </c>
    </row>
    <row r="237">
      <c r="A237" s="513" t="s">
        <v>10757</v>
      </c>
      <c r="B237" s="515"/>
      <c r="C237" s="74">
        <v>0.1</v>
      </c>
      <c r="D237" s="179">
        <v>0.75</v>
      </c>
      <c r="E237" s="179">
        <v>0.75</v>
      </c>
      <c r="F237" s="229" t="s">
        <v>1656</v>
      </c>
    </row>
    <row r="238">
      <c r="A238" s="513" t="s">
        <v>10758</v>
      </c>
      <c r="B238" s="515"/>
      <c r="C238" s="74">
        <v>0.1</v>
      </c>
      <c r="D238" s="179">
        <v>0.75</v>
      </c>
      <c r="E238" s="179">
        <v>0.75</v>
      </c>
      <c r="F238" s="229" t="s">
        <v>1656</v>
      </c>
    </row>
    <row r="239">
      <c r="A239" s="513" t="s">
        <v>2422</v>
      </c>
      <c r="B239" s="515"/>
      <c r="C239" s="74">
        <v>0.1</v>
      </c>
      <c r="D239" s="179">
        <v>0.75</v>
      </c>
      <c r="E239" s="179">
        <v>0.75</v>
      </c>
      <c r="F239" s="229" t="s">
        <v>1656</v>
      </c>
    </row>
    <row r="240">
      <c r="A240" s="513" t="s">
        <v>10759</v>
      </c>
      <c r="B240" s="515"/>
      <c r="C240" s="74">
        <v>0.1</v>
      </c>
      <c r="D240" s="179">
        <v>0.75</v>
      </c>
      <c r="E240" s="179">
        <v>0.75</v>
      </c>
      <c r="F240" s="229" t="s">
        <v>1656</v>
      </c>
    </row>
    <row r="241">
      <c r="A241" s="513" t="s">
        <v>10760</v>
      </c>
      <c r="B241" s="515"/>
      <c r="C241" s="74">
        <v>0.1</v>
      </c>
      <c r="D241" s="179">
        <v>0.75</v>
      </c>
      <c r="E241" s="179">
        <v>0.75</v>
      </c>
      <c r="F241" s="229" t="s">
        <v>1656</v>
      </c>
    </row>
    <row r="242">
      <c r="A242" s="513" t="s">
        <v>10761</v>
      </c>
      <c r="B242" s="515"/>
      <c r="C242" s="74">
        <v>0.1</v>
      </c>
      <c r="D242" s="179">
        <v>0.75</v>
      </c>
      <c r="E242" s="179">
        <v>0.75</v>
      </c>
      <c r="F242" s="229" t="s">
        <v>1656</v>
      </c>
    </row>
    <row r="243">
      <c r="A243" s="513" t="s">
        <v>10762</v>
      </c>
      <c r="B243" s="515"/>
      <c r="C243" s="74">
        <v>0.1</v>
      </c>
      <c r="D243" s="179">
        <v>0.75</v>
      </c>
      <c r="E243" s="179">
        <v>0.75</v>
      </c>
      <c r="F243" s="229" t="s">
        <v>1656</v>
      </c>
    </row>
    <row r="244">
      <c r="A244" s="513" t="s">
        <v>10763</v>
      </c>
      <c r="B244" s="515"/>
      <c r="C244" s="74">
        <v>0.1</v>
      </c>
      <c r="D244" s="179">
        <v>0.75</v>
      </c>
      <c r="E244" s="179">
        <v>0.75</v>
      </c>
      <c r="F244" s="229" t="s">
        <v>1656</v>
      </c>
    </row>
    <row r="245">
      <c r="A245" s="513" t="s">
        <v>10764</v>
      </c>
      <c r="B245" s="515"/>
      <c r="C245" s="74">
        <v>0.1</v>
      </c>
      <c r="D245" s="179">
        <v>0.75</v>
      </c>
      <c r="E245" s="179">
        <v>0.75</v>
      </c>
      <c r="F245" s="229" t="s">
        <v>1656</v>
      </c>
    </row>
    <row r="246">
      <c r="A246" s="513" t="s">
        <v>10765</v>
      </c>
      <c r="B246" s="515"/>
      <c r="C246" s="74">
        <v>0.1</v>
      </c>
      <c r="D246" s="179">
        <v>0.75</v>
      </c>
      <c r="E246" s="179">
        <v>0.75</v>
      </c>
      <c r="F246" s="229" t="s">
        <v>1656</v>
      </c>
    </row>
    <row r="247">
      <c r="A247" s="513" t="s">
        <v>10766</v>
      </c>
      <c r="B247" s="515"/>
      <c r="C247" s="74">
        <v>0.1</v>
      </c>
      <c r="D247" s="179">
        <v>0.75</v>
      </c>
      <c r="E247" s="179">
        <v>0.75</v>
      </c>
      <c r="F247" s="229" t="s">
        <v>1656</v>
      </c>
    </row>
    <row r="248">
      <c r="A248" s="513" t="s">
        <v>10767</v>
      </c>
      <c r="B248" s="515"/>
      <c r="C248" s="74">
        <v>0.1</v>
      </c>
      <c r="D248" s="179">
        <v>0.75</v>
      </c>
      <c r="E248" s="179">
        <v>0.75</v>
      </c>
      <c r="F248" s="229" t="s">
        <v>1656</v>
      </c>
    </row>
    <row r="249">
      <c r="A249" s="513" t="s">
        <v>10768</v>
      </c>
      <c r="B249" s="515"/>
      <c r="C249" s="74">
        <v>0.1</v>
      </c>
      <c r="D249" s="179">
        <v>0.75</v>
      </c>
      <c r="E249" s="179">
        <v>0.75</v>
      </c>
      <c r="F249" s="229" t="s">
        <v>1656</v>
      </c>
    </row>
    <row r="250">
      <c r="A250" s="513" t="s">
        <v>10769</v>
      </c>
      <c r="B250" s="515"/>
      <c r="C250" s="74">
        <v>0.1</v>
      </c>
      <c r="D250" s="179">
        <v>0.75</v>
      </c>
      <c r="E250" s="179">
        <v>0.75</v>
      </c>
      <c r="F250" s="229" t="s">
        <v>1656</v>
      </c>
    </row>
    <row r="251">
      <c r="A251" s="513" t="s">
        <v>10770</v>
      </c>
      <c r="B251" s="515"/>
      <c r="C251" s="74">
        <v>0.1</v>
      </c>
      <c r="D251" s="179">
        <v>0.75</v>
      </c>
      <c r="E251" s="179">
        <v>0.75</v>
      </c>
      <c r="F251" s="229" t="s">
        <v>1656</v>
      </c>
    </row>
    <row r="252">
      <c r="A252" s="513" t="s">
        <v>10771</v>
      </c>
      <c r="B252" s="515"/>
      <c r="C252" s="74">
        <v>0.1</v>
      </c>
      <c r="D252" s="179">
        <v>0.75</v>
      </c>
      <c r="E252" s="179">
        <v>0.75</v>
      </c>
      <c r="F252" s="229" t="s">
        <v>1656</v>
      </c>
    </row>
    <row r="253">
      <c r="A253" s="513" t="s">
        <v>10772</v>
      </c>
      <c r="B253" s="515"/>
      <c r="C253" s="74">
        <v>0.1</v>
      </c>
      <c r="D253" s="179">
        <v>0.75</v>
      </c>
      <c r="E253" s="179">
        <v>0.75</v>
      </c>
      <c r="F253" s="229" t="s">
        <v>1656</v>
      </c>
    </row>
    <row r="254">
      <c r="A254" s="513" t="s">
        <v>10773</v>
      </c>
      <c r="B254" s="515"/>
      <c r="C254" s="74">
        <v>0.1</v>
      </c>
      <c r="D254" s="179">
        <v>0.75</v>
      </c>
      <c r="E254" s="179">
        <v>0.75</v>
      </c>
      <c r="F254" s="229" t="s">
        <v>1656</v>
      </c>
    </row>
    <row r="255">
      <c r="A255" s="513" t="s">
        <v>10774</v>
      </c>
      <c r="B255" s="515"/>
      <c r="C255" s="74">
        <v>0.1</v>
      </c>
      <c r="D255" s="179">
        <v>0.75</v>
      </c>
      <c r="E255" s="179">
        <v>0.75</v>
      </c>
      <c r="F255" s="229" t="s">
        <v>1656</v>
      </c>
    </row>
    <row r="256">
      <c r="A256" s="513" t="s">
        <v>10775</v>
      </c>
      <c r="B256" s="515"/>
      <c r="C256" s="74">
        <v>0.1</v>
      </c>
      <c r="D256" s="179">
        <v>0.75</v>
      </c>
      <c r="E256" s="179">
        <v>0.75</v>
      </c>
      <c r="F256" s="229" t="s">
        <v>1656</v>
      </c>
    </row>
    <row r="257">
      <c r="A257" s="513" t="s">
        <v>10776</v>
      </c>
      <c r="B257" s="515"/>
      <c r="C257" s="74">
        <v>0.1</v>
      </c>
      <c r="D257" s="179">
        <v>0.75</v>
      </c>
      <c r="E257" s="179">
        <v>0.75</v>
      </c>
      <c r="F257" s="229" t="s">
        <v>1656</v>
      </c>
    </row>
    <row r="258">
      <c r="A258" s="513" t="s">
        <v>10777</v>
      </c>
      <c r="B258" s="515"/>
      <c r="C258" s="74">
        <v>0.1</v>
      </c>
      <c r="D258" s="179">
        <v>0.75</v>
      </c>
      <c r="E258" s="179">
        <v>0.75</v>
      </c>
      <c r="F258" s="229" t="s">
        <v>1656</v>
      </c>
    </row>
    <row r="259">
      <c r="A259" s="513" t="s">
        <v>10778</v>
      </c>
      <c r="B259" s="515"/>
      <c r="C259" s="74">
        <v>0.1</v>
      </c>
      <c r="D259" s="179">
        <v>0.75</v>
      </c>
      <c r="E259" s="179">
        <v>0.75</v>
      </c>
      <c r="F259" s="229" t="s">
        <v>1656</v>
      </c>
    </row>
    <row r="260">
      <c r="A260" s="513" t="s">
        <v>10779</v>
      </c>
      <c r="B260" s="515"/>
      <c r="C260" s="74">
        <v>0.1</v>
      </c>
      <c r="D260" s="179">
        <v>0.75</v>
      </c>
      <c r="E260" s="179">
        <v>0.75</v>
      </c>
      <c r="F260" s="229" t="s">
        <v>1656</v>
      </c>
    </row>
    <row r="261">
      <c r="A261" s="513" t="s">
        <v>10780</v>
      </c>
      <c r="B261" s="515"/>
      <c r="C261" s="74">
        <v>0.1</v>
      </c>
      <c r="D261" s="179">
        <v>0.75</v>
      </c>
      <c r="E261" s="179">
        <v>0.75</v>
      </c>
      <c r="F261" s="229" t="s">
        <v>1656</v>
      </c>
    </row>
    <row r="262">
      <c r="A262" s="513" t="s">
        <v>10781</v>
      </c>
      <c r="B262" s="515"/>
      <c r="C262" s="74">
        <v>0.1</v>
      </c>
      <c r="D262" s="179">
        <v>0.75</v>
      </c>
      <c r="E262" s="179">
        <v>0.75</v>
      </c>
      <c r="F262" s="229" t="s">
        <v>1656</v>
      </c>
    </row>
    <row r="263">
      <c r="A263" s="513" t="s">
        <v>10782</v>
      </c>
      <c r="B263" s="515"/>
      <c r="C263" s="74">
        <v>0.1</v>
      </c>
      <c r="D263" s="179">
        <v>0.75</v>
      </c>
      <c r="E263" s="179">
        <v>0.75</v>
      </c>
      <c r="F263" s="229" t="s">
        <v>1656</v>
      </c>
    </row>
    <row r="264">
      <c r="A264" s="513" t="s">
        <v>10783</v>
      </c>
      <c r="B264" s="515"/>
      <c r="C264" s="74">
        <v>0.1</v>
      </c>
      <c r="D264" s="179">
        <v>0.75</v>
      </c>
      <c r="E264" s="179">
        <v>0.75</v>
      </c>
      <c r="F264" s="229" t="s">
        <v>1656</v>
      </c>
    </row>
    <row r="265">
      <c r="A265" s="513" t="s">
        <v>10784</v>
      </c>
      <c r="B265" s="515"/>
      <c r="C265" s="74">
        <v>0.1</v>
      </c>
      <c r="D265" s="179">
        <v>0.75</v>
      </c>
      <c r="E265" s="179">
        <v>0.75</v>
      </c>
      <c r="F265" s="229" t="s">
        <v>1656</v>
      </c>
    </row>
    <row r="266">
      <c r="A266" s="513" t="s">
        <v>10785</v>
      </c>
      <c r="B266" s="515"/>
      <c r="C266" s="74">
        <v>0.1</v>
      </c>
      <c r="D266" s="179">
        <v>0.75</v>
      </c>
      <c r="E266" s="179">
        <v>0.75</v>
      </c>
      <c r="F266" s="229" t="s">
        <v>1656</v>
      </c>
    </row>
    <row r="267">
      <c r="A267" s="513" t="s">
        <v>5264</v>
      </c>
      <c r="B267" s="515"/>
      <c r="C267" s="74">
        <v>0.1</v>
      </c>
      <c r="D267" s="179">
        <v>0.75</v>
      </c>
      <c r="E267" s="179">
        <v>0.75</v>
      </c>
      <c r="F267" s="229" t="s">
        <v>1656</v>
      </c>
    </row>
    <row r="268">
      <c r="A268" s="513" t="s">
        <v>10786</v>
      </c>
      <c r="B268" s="515"/>
      <c r="C268" s="74">
        <v>0.1</v>
      </c>
      <c r="D268" s="179">
        <v>0.75</v>
      </c>
      <c r="E268" s="179">
        <v>0.75</v>
      </c>
      <c r="F268" s="229" t="s">
        <v>1656</v>
      </c>
    </row>
    <row r="269">
      <c r="A269" s="513" t="s">
        <v>10787</v>
      </c>
      <c r="B269" s="515"/>
      <c r="C269" s="74">
        <v>0.1</v>
      </c>
      <c r="D269" s="179">
        <v>0.75</v>
      </c>
      <c r="E269" s="179">
        <v>0.75</v>
      </c>
      <c r="F269" s="229" t="s">
        <v>1656</v>
      </c>
    </row>
    <row r="270">
      <c r="A270" s="513" t="s">
        <v>10788</v>
      </c>
      <c r="B270" s="515"/>
      <c r="C270" s="74">
        <v>0.1</v>
      </c>
      <c r="D270" s="179">
        <v>0.75</v>
      </c>
      <c r="E270" s="179">
        <v>0.75</v>
      </c>
      <c r="F270" s="229" t="s">
        <v>1656</v>
      </c>
    </row>
    <row r="271">
      <c r="A271" s="513" t="s">
        <v>10789</v>
      </c>
      <c r="B271" s="515"/>
      <c r="C271" s="74">
        <v>0.1</v>
      </c>
      <c r="D271" s="179">
        <v>0.75</v>
      </c>
      <c r="E271" s="179">
        <v>0.75</v>
      </c>
      <c r="F271" s="229" t="s">
        <v>1656</v>
      </c>
    </row>
    <row r="272">
      <c r="A272" s="513" t="s">
        <v>10790</v>
      </c>
      <c r="B272" s="515"/>
      <c r="C272" s="74">
        <v>0.1</v>
      </c>
      <c r="D272" s="179">
        <v>0.75</v>
      </c>
      <c r="E272" s="179">
        <v>0.75</v>
      </c>
      <c r="F272" s="229" t="s">
        <v>1656</v>
      </c>
    </row>
    <row r="273">
      <c r="A273" s="513" t="s">
        <v>10791</v>
      </c>
      <c r="B273" s="515"/>
      <c r="C273" s="74">
        <v>0.1</v>
      </c>
      <c r="D273" s="179">
        <v>0.75</v>
      </c>
      <c r="E273" s="179">
        <v>0.75</v>
      </c>
      <c r="F273" s="229" t="s">
        <v>1656</v>
      </c>
    </row>
    <row r="274">
      <c r="A274" s="513" t="s">
        <v>10792</v>
      </c>
      <c r="B274" s="515"/>
      <c r="C274" s="74">
        <v>0.1</v>
      </c>
      <c r="D274" s="179">
        <v>0.75</v>
      </c>
      <c r="E274" s="179">
        <v>0.75</v>
      </c>
      <c r="F274" s="229" t="s">
        <v>1656</v>
      </c>
    </row>
    <row r="275">
      <c r="A275" s="513" t="s">
        <v>10793</v>
      </c>
      <c r="B275" s="515"/>
      <c r="C275" s="74">
        <v>0.1</v>
      </c>
      <c r="D275" s="179">
        <v>0.75</v>
      </c>
      <c r="E275" s="179">
        <v>0.75</v>
      </c>
      <c r="F275" s="229" t="s">
        <v>1656</v>
      </c>
    </row>
    <row r="276">
      <c r="A276" s="513" t="s">
        <v>10794</v>
      </c>
      <c r="B276" s="515"/>
      <c r="C276" s="74">
        <v>0.1</v>
      </c>
      <c r="D276" s="179">
        <v>0.75</v>
      </c>
      <c r="E276" s="179">
        <v>0.75</v>
      </c>
      <c r="F276" s="229" t="s">
        <v>1656</v>
      </c>
    </row>
    <row r="277">
      <c r="A277" s="513" t="s">
        <v>10795</v>
      </c>
      <c r="B277" s="515"/>
      <c r="C277" s="74">
        <v>0.1</v>
      </c>
      <c r="D277" s="179">
        <v>0.75</v>
      </c>
      <c r="E277" s="179">
        <v>0.75</v>
      </c>
      <c r="F277" s="229" t="s">
        <v>1656</v>
      </c>
    </row>
    <row r="278">
      <c r="A278" s="513" t="s">
        <v>10796</v>
      </c>
      <c r="B278" s="515"/>
      <c r="C278" s="74">
        <v>0.1</v>
      </c>
      <c r="D278" s="179">
        <v>0.75</v>
      </c>
      <c r="E278" s="179">
        <v>0.75</v>
      </c>
      <c r="F278" s="229" t="s">
        <v>1656</v>
      </c>
    </row>
    <row r="279">
      <c r="A279" s="513" t="s">
        <v>852</v>
      </c>
      <c r="B279" s="515"/>
      <c r="C279" s="74">
        <v>0.1</v>
      </c>
      <c r="D279" s="179">
        <v>0.75</v>
      </c>
      <c r="E279" s="179">
        <v>0.75</v>
      </c>
      <c r="F279" s="229" t="s">
        <v>1656</v>
      </c>
    </row>
    <row r="280">
      <c r="A280" s="513" t="s">
        <v>10797</v>
      </c>
      <c r="B280" s="515"/>
      <c r="C280" s="74">
        <v>0.1</v>
      </c>
      <c r="D280" s="179">
        <v>0.75</v>
      </c>
      <c r="E280" s="179">
        <v>0.75</v>
      </c>
      <c r="F280" s="229" t="s">
        <v>1656</v>
      </c>
    </row>
    <row r="281">
      <c r="A281" s="513" t="s">
        <v>10798</v>
      </c>
      <c r="B281" s="515"/>
      <c r="C281" s="74">
        <v>0.1</v>
      </c>
      <c r="D281" s="179">
        <v>0.75</v>
      </c>
      <c r="E281" s="179">
        <v>0.75</v>
      </c>
      <c r="F281" s="229" t="s">
        <v>1656</v>
      </c>
    </row>
    <row r="282">
      <c r="A282" s="513" t="s">
        <v>10799</v>
      </c>
      <c r="B282" s="515"/>
      <c r="C282" s="74">
        <v>0.1</v>
      </c>
      <c r="D282" s="179">
        <v>0.75</v>
      </c>
      <c r="E282" s="179">
        <v>0.75</v>
      </c>
      <c r="F282" s="229" t="s">
        <v>1656</v>
      </c>
    </row>
    <row r="283">
      <c r="A283" s="513" t="s">
        <v>10800</v>
      </c>
      <c r="B283" s="515"/>
      <c r="C283" s="74">
        <v>0.1</v>
      </c>
      <c r="D283" s="179">
        <v>0.75</v>
      </c>
      <c r="E283" s="179">
        <v>0.75</v>
      </c>
      <c r="F283" s="229" t="s">
        <v>1656</v>
      </c>
    </row>
    <row r="284">
      <c r="A284" s="513" t="s">
        <v>10801</v>
      </c>
      <c r="B284" s="515"/>
      <c r="C284" s="74">
        <v>0.1</v>
      </c>
      <c r="D284" s="179">
        <v>0.75</v>
      </c>
      <c r="E284" s="179">
        <v>0.75</v>
      </c>
      <c r="F284" s="229" t="s">
        <v>1656</v>
      </c>
    </row>
    <row r="285">
      <c r="A285" s="513" t="s">
        <v>10802</v>
      </c>
      <c r="B285" s="515"/>
      <c r="C285" s="74">
        <v>0.1</v>
      </c>
      <c r="D285" s="179">
        <v>0.75</v>
      </c>
      <c r="E285" s="179">
        <v>0.75</v>
      </c>
      <c r="F285" s="229" t="s">
        <v>1656</v>
      </c>
    </row>
    <row r="286">
      <c r="A286" s="513" t="s">
        <v>1267</v>
      </c>
      <c r="B286" s="515"/>
      <c r="C286" s="74">
        <v>0.1</v>
      </c>
      <c r="D286" s="179">
        <v>0.75</v>
      </c>
      <c r="E286" s="179">
        <v>0.75</v>
      </c>
      <c r="F286" s="229" t="s">
        <v>1656</v>
      </c>
    </row>
    <row r="287">
      <c r="A287" s="513" t="s">
        <v>927</v>
      </c>
      <c r="B287" s="515"/>
      <c r="C287" s="74">
        <v>0.1</v>
      </c>
      <c r="D287" s="179">
        <v>0.75</v>
      </c>
      <c r="E287" s="179">
        <v>0.75</v>
      </c>
      <c r="F287" s="229" t="s">
        <v>1656</v>
      </c>
    </row>
    <row r="288">
      <c r="A288" s="513" t="s">
        <v>10803</v>
      </c>
      <c r="B288" s="515"/>
      <c r="C288" s="74">
        <v>0.1</v>
      </c>
      <c r="D288" s="179">
        <v>0.75</v>
      </c>
      <c r="E288" s="179">
        <v>0.75</v>
      </c>
      <c r="F288" s="229" t="s">
        <v>1656</v>
      </c>
    </row>
    <row r="289">
      <c r="A289" s="513" t="s">
        <v>10804</v>
      </c>
      <c r="B289" s="515"/>
      <c r="C289" s="74">
        <v>0.1</v>
      </c>
      <c r="D289" s="179">
        <v>0.75</v>
      </c>
      <c r="E289" s="179">
        <v>0.75</v>
      </c>
      <c r="F289" s="229" t="s">
        <v>1656</v>
      </c>
    </row>
    <row r="290">
      <c r="A290" s="513" t="s">
        <v>10805</v>
      </c>
      <c r="B290" s="515"/>
      <c r="C290" s="74">
        <v>0.1</v>
      </c>
      <c r="D290" s="179">
        <v>0.75</v>
      </c>
      <c r="E290" s="179">
        <v>0.75</v>
      </c>
      <c r="F290" s="229" t="s">
        <v>1656</v>
      </c>
    </row>
    <row r="291">
      <c r="A291" s="513" t="s">
        <v>10806</v>
      </c>
      <c r="B291" s="515"/>
      <c r="C291" s="74">
        <v>0.1</v>
      </c>
      <c r="D291" s="179">
        <v>0.75</v>
      </c>
      <c r="E291" s="179">
        <v>0.75</v>
      </c>
      <c r="F291" s="229" t="s">
        <v>1656</v>
      </c>
    </row>
    <row r="292">
      <c r="A292" s="513" t="s">
        <v>10807</v>
      </c>
      <c r="B292" s="515"/>
      <c r="C292" s="74">
        <v>0.1</v>
      </c>
      <c r="D292" s="179">
        <v>0.75</v>
      </c>
      <c r="E292" s="179">
        <v>0.75</v>
      </c>
      <c r="F292" s="229" t="s">
        <v>1656</v>
      </c>
    </row>
    <row r="293">
      <c r="A293" s="513" t="s">
        <v>10808</v>
      </c>
      <c r="B293" s="515"/>
      <c r="C293" s="74">
        <v>0.1</v>
      </c>
      <c r="D293" s="179">
        <v>0.75</v>
      </c>
      <c r="E293" s="179">
        <v>0.75</v>
      </c>
      <c r="F293" s="229" t="s">
        <v>1656</v>
      </c>
    </row>
    <row r="294">
      <c r="A294" s="513" t="s">
        <v>10809</v>
      </c>
      <c r="B294" s="515"/>
      <c r="C294" s="74">
        <v>0.1</v>
      </c>
      <c r="D294" s="179">
        <v>0.75</v>
      </c>
      <c r="E294" s="179">
        <v>0.75</v>
      </c>
      <c r="F294" s="229" t="s">
        <v>1656</v>
      </c>
    </row>
    <row r="295">
      <c r="A295" s="513" t="s">
        <v>10810</v>
      </c>
      <c r="B295" s="515"/>
      <c r="C295" s="74">
        <v>0.1</v>
      </c>
      <c r="D295" s="179">
        <v>0.75</v>
      </c>
      <c r="E295" s="179">
        <v>0.75</v>
      </c>
      <c r="F295" s="229" t="s">
        <v>1656</v>
      </c>
    </row>
    <row r="296">
      <c r="A296" s="513" t="s">
        <v>2782</v>
      </c>
      <c r="B296" s="515"/>
      <c r="C296" s="74">
        <v>0.1</v>
      </c>
      <c r="D296" s="179">
        <v>0.75</v>
      </c>
      <c r="E296" s="179">
        <v>0.75</v>
      </c>
      <c r="F296" s="229" t="s">
        <v>1656</v>
      </c>
    </row>
    <row r="297">
      <c r="A297" s="513" t="s">
        <v>10811</v>
      </c>
      <c r="B297" s="515"/>
      <c r="C297" s="74">
        <v>0.1</v>
      </c>
      <c r="D297" s="179">
        <v>0.75</v>
      </c>
      <c r="E297" s="179">
        <v>0.75</v>
      </c>
      <c r="F297" s="229" t="s">
        <v>1656</v>
      </c>
    </row>
    <row r="298">
      <c r="A298" s="513" t="s">
        <v>10812</v>
      </c>
      <c r="B298" s="515"/>
      <c r="C298" s="74">
        <v>0.1</v>
      </c>
      <c r="D298" s="179">
        <v>0.75</v>
      </c>
      <c r="E298" s="179">
        <v>0.75</v>
      </c>
      <c r="F298" s="229" t="s">
        <v>1656</v>
      </c>
    </row>
    <row r="299">
      <c r="A299" s="513" t="s">
        <v>10813</v>
      </c>
      <c r="B299" s="515"/>
      <c r="C299" s="74">
        <v>0.1</v>
      </c>
      <c r="D299" s="179">
        <v>0.75</v>
      </c>
      <c r="E299" s="179">
        <v>0.75</v>
      </c>
      <c r="F299" s="229" t="s">
        <v>1656</v>
      </c>
    </row>
    <row r="300">
      <c r="A300" s="513" t="s">
        <v>10814</v>
      </c>
      <c r="B300" s="515"/>
      <c r="C300" s="74">
        <v>0.1</v>
      </c>
      <c r="D300" s="179">
        <v>0.75</v>
      </c>
      <c r="E300" s="179">
        <v>0.75</v>
      </c>
      <c r="F300" s="229" t="s">
        <v>1656</v>
      </c>
    </row>
    <row r="301">
      <c r="A301" s="513" t="s">
        <v>10815</v>
      </c>
      <c r="B301" s="515"/>
      <c r="C301" s="74">
        <v>0.1</v>
      </c>
      <c r="D301" s="179">
        <v>0.75</v>
      </c>
      <c r="E301" s="179">
        <v>0.75</v>
      </c>
      <c r="F301" s="229" t="s">
        <v>1656</v>
      </c>
    </row>
    <row r="302">
      <c r="A302" s="513" t="s">
        <v>10816</v>
      </c>
      <c r="B302" s="515"/>
      <c r="C302" s="74">
        <v>0.1</v>
      </c>
      <c r="D302" s="179">
        <v>0.75</v>
      </c>
      <c r="E302" s="179">
        <v>0.75</v>
      </c>
      <c r="F302" s="229" t="s">
        <v>1656</v>
      </c>
    </row>
    <row r="303">
      <c r="A303" s="513" t="s">
        <v>10817</v>
      </c>
      <c r="B303" s="515"/>
      <c r="C303" s="74">
        <v>0.1</v>
      </c>
      <c r="D303" s="179">
        <v>0.75</v>
      </c>
      <c r="E303" s="179">
        <v>0.75</v>
      </c>
      <c r="F303" s="229" t="s">
        <v>1656</v>
      </c>
    </row>
    <row r="304">
      <c r="A304" s="513" t="s">
        <v>10818</v>
      </c>
      <c r="B304" s="515"/>
      <c r="C304" s="74">
        <v>0.1</v>
      </c>
      <c r="D304" s="179">
        <v>0.75</v>
      </c>
      <c r="E304" s="179">
        <v>0.75</v>
      </c>
      <c r="F304" s="229" t="s">
        <v>1656</v>
      </c>
    </row>
    <row r="305">
      <c r="A305" s="513" t="s">
        <v>10819</v>
      </c>
      <c r="B305" s="515"/>
      <c r="C305" s="74">
        <v>0.1</v>
      </c>
      <c r="D305" s="179">
        <v>0.75</v>
      </c>
      <c r="E305" s="179">
        <v>0.75</v>
      </c>
      <c r="F305" s="229" t="s">
        <v>1656</v>
      </c>
    </row>
    <row r="306">
      <c r="A306" s="513" t="s">
        <v>10820</v>
      </c>
      <c r="B306" s="515"/>
      <c r="C306" s="74">
        <v>0.1</v>
      </c>
      <c r="D306" s="179">
        <v>0.75</v>
      </c>
      <c r="E306" s="179">
        <v>0.75</v>
      </c>
      <c r="F306" s="229" t="s">
        <v>1656</v>
      </c>
    </row>
    <row r="307">
      <c r="A307" s="513" t="s">
        <v>10821</v>
      </c>
      <c r="B307" s="515"/>
      <c r="C307" s="74">
        <v>0.1</v>
      </c>
      <c r="D307" s="179">
        <v>0.75</v>
      </c>
      <c r="E307" s="179">
        <v>0.75</v>
      </c>
      <c r="F307" s="229" t="s">
        <v>1656</v>
      </c>
    </row>
    <row r="308">
      <c r="A308" s="513" t="s">
        <v>10822</v>
      </c>
      <c r="B308" s="515"/>
      <c r="C308" s="74">
        <v>0.1</v>
      </c>
      <c r="D308" s="179">
        <v>0.75</v>
      </c>
      <c r="E308" s="179">
        <v>0.75</v>
      </c>
      <c r="F308" s="229" t="s">
        <v>1656</v>
      </c>
    </row>
    <row r="309">
      <c r="A309" s="513" t="s">
        <v>10823</v>
      </c>
      <c r="B309" s="515"/>
      <c r="C309" s="74">
        <v>0.1</v>
      </c>
      <c r="D309" s="179">
        <v>0.75</v>
      </c>
      <c r="E309" s="179">
        <v>0.75</v>
      </c>
      <c r="F309" s="229" t="s">
        <v>1656</v>
      </c>
    </row>
    <row r="310">
      <c r="A310" s="513" t="s">
        <v>10824</v>
      </c>
      <c r="B310" s="515"/>
      <c r="C310" s="74">
        <v>0.1</v>
      </c>
      <c r="D310" s="179">
        <v>0.75</v>
      </c>
      <c r="E310" s="179">
        <v>0.75</v>
      </c>
      <c r="F310" s="229" t="s">
        <v>1656</v>
      </c>
    </row>
    <row r="311">
      <c r="A311" s="513" t="s">
        <v>10825</v>
      </c>
      <c r="B311" s="515"/>
      <c r="C311" s="74">
        <v>0.1</v>
      </c>
      <c r="D311" s="179">
        <v>0.75</v>
      </c>
      <c r="E311" s="179">
        <v>0.75</v>
      </c>
      <c r="F311" s="229" t="s">
        <v>1656</v>
      </c>
    </row>
    <row r="312">
      <c r="A312" s="513" t="s">
        <v>10826</v>
      </c>
      <c r="B312" s="515"/>
      <c r="C312" s="74">
        <v>0.1</v>
      </c>
      <c r="D312" s="179">
        <v>0.75</v>
      </c>
      <c r="E312" s="179">
        <v>0.75</v>
      </c>
      <c r="F312" s="229" t="s">
        <v>1656</v>
      </c>
    </row>
    <row r="313">
      <c r="A313" s="513" t="s">
        <v>10827</v>
      </c>
      <c r="B313" s="515"/>
      <c r="C313" s="74">
        <v>0.1</v>
      </c>
      <c r="D313" s="179">
        <v>0.75</v>
      </c>
      <c r="E313" s="179">
        <v>0.75</v>
      </c>
      <c r="F313" s="229" t="s">
        <v>1656</v>
      </c>
    </row>
    <row r="314">
      <c r="A314" s="513" t="s">
        <v>10828</v>
      </c>
      <c r="B314" s="515"/>
      <c r="C314" s="74">
        <v>0.1</v>
      </c>
      <c r="D314" s="179">
        <v>0.75</v>
      </c>
      <c r="E314" s="179">
        <v>0.75</v>
      </c>
      <c r="F314" s="229" t="s">
        <v>1656</v>
      </c>
    </row>
    <row r="315">
      <c r="A315" s="513" t="s">
        <v>10829</v>
      </c>
      <c r="B315" s="515"/>
      <c r="C315" s="74">
        <v>0.1</v>
      </c>
      <c r="D315" s="179">
        <v>0.75</v>
      </c>
      <c r="E315" s="179">
        <v>0.75</v>
      </c>
      <c r="F315" s="229" t="s">
        <v>1656</v>
      </c>
    </row>
    <row r="316">
      <c r="A316" s="513" t="s">
        <v>10830</v>
      </c>
      <c r="B316" s="515"/>
      <c r="C316" s="74">
        <v>0.1</v>
      </c>
      <c r="D316" s="179">
        <v>0.75</v>
      </c>
      <c r="E316" s="179">
        <v>0.75</v>
      </c>
      <c r="F316" s="229" t="s">
        <v>1656</v>
      </c>
    </row>
    <row r="317">
      <c r="A317" s="513" t="s">
        <v>10831</v>
      </c>
      <c r="B317" s="515"/>
      <c r="C317" s="74">
        <v>0.1</v>
      </c>
      <c r="D317" s="179">
        <v>0.75</v>
      </c>
      <c r="E317" s="179">
        <v>0.75</v>
      </c>
      <c r="F317" s="229" t="s">
        <v>1656</v>
      </c>
    </row>
    <row r="318">
      <c r="A318" s="513" t="s">
        <v>10832</v>
      </c>
      <c r="B318" s="515"/>
      <c r="C318" s="74">
        <v>0.1</v>
      </c>
      <c r="D318" s="179">
        <v>0.75</v>
      </c>
      <c r="E318" s="179">
        <v>0.75</v>
      </c>
      <c r="F318" s="229" t="s">
        <v>1656</v>
      </c>
    </row>
    <row r="319">
      <c r="A319" s="513" t="s">
        <v>10833</v>
      </c>
      <c r="B319" s="515"/>
      <c r="C319" s="74">
        <v>0.1</v>
      </c>
      <c r="D319" s="179">
        <v>0.75</v>
      </c>
      <c r="E319" s="179">
        <v>0.75</v>
      </c>
      <c r="F319" s="229" t="s">
        <v>1656</v>
      </c>
    </row>
    <row r="320">
      <c r="A320" s="513" t="s">
        <v>10834</v>
      </c>
      <c r="B320" s="515"/>
      <c r="C320" s="74">
        <v>0.1</v>
      </c>
      <c r="D320" s="179">
        <v>0.75</v>
      </c>
      <c r="E320" s="179">
        <v>0.75</v>
      </c>
      <c r="F320" s="229" t="s">
        <v>1656</v>
      </c>
    </row>
    <row r="321">
      <c r="A321" s="513" t="s">
        <v>10835</v>
      </c>
      <c r="B321" s="515"/>
      <c r="C321" s="74">
        <v>0.1</v>
      </c>
      <c r="D321" s="179">
        <v>0.75</v>
      </c>
      <c r="E321" s="179">
        <v>0.75</v>
      </c>
      <c r="F321" s="229" t="s">
        <v>1656</v>
      </c>
    </row>
    <row r="322">
      <c r="A322" s="513" t="s">
        <v>10836</v>
      </c>
      <c r="B322" s="515"/>
      <c r="C322" s="74">
        <v>0.1</v>
      </c>
      <c r="D322" s="179">
        <v>0.75</v>
      </c>
      <c r="E322" s="179">
        <v>0.75</v>
      </c>
      <c r="F322" s="229" t="s">
        <v>1656</v>
      </c>
    </row>
    <row r="323">
      <c r="A323" s="513" t="s">
        <v>10837</v>
      </c>
      <c r="B323" s="515"/>
      <c r="C323" s="74">
        <v>0.1</v>
      </c>
      <c r="D323" s="179">
        <v>0.75</v>
      </c>
      <c r="E323" s="179">
        <v>0.75</v>
      </c>
      <c r="F323" s="229" t="s">
        <v>1656</v>
      </c>
    </row>
    <row r="324">
      <c r="A324" s="513" t="s">
        <v>10838</v>
      </c>
      <c r="B324" s="515"/>
      <c r="C324" s="74">
        <v>0.1</v>
      </c>
      <c r="D324" s="179">
        <v>0.75</v>
      </c>
      <c r="E324" s="179">
        <v>0.75</v>
      </c>
      <c r="F324" s="229" t="s">
        <v>1656</v>
      </c>
    </row>
    <row r="325">
      <c r="A325" s="513" t="s">
        <v>10839</v>
      </c>
      <c r="B325" s="515"/>
      <c r="C325" s="74">
        <v>0.1</v>
      </c>
      <c r="D325" s="179">
        <v>0.75</v>
      </c>
      <c r="E325" s="179">
        <v>0.75</v>
      </c>
      <c r="F325" s="229" t="s">
        <v>1656</v>
      </c>
    </row>
    <row r="326">
      <c r="A326" s="513" t="s">
        <v>10840</v>
      </c>
      <c r="B326" s="515"/>
      <c r="C326" s="74">
        <v>0.1</v>
      </c>
      <c r="D326" s="179">
        <v>0.75</v>
      </c>
      <c r="E326" s="179">
        <v>0.75</v>
      </c>
      <c r="F326" s="229" t="s">
        <v>1656</v>
      </c>
    </row>
    <row r="327">
      <c r="A327" s="513" t="s">
        <v>10841</v>
      </c>
      <c r="B327" s="515"/>
      <c r="C327" s="74">
        <v>0.1</v>
      </c>
      <c r="D327" s="179">
        <v>0.75</v>
      </c>
      <c r="E327" s="179">
        <v>0.75</v>
      </c>
      <c r="F327" s="229" t="s">
        <v>1656</v>
      </c>
    </row>
    <row r="328">
      <c r="A328" s="513" t="s">
        <v>10842</v>
      </c>
      <c r="B328" s="515"/>
      <c r="C328" s="74">
        <v>0.1</v>
      </c>
      <c r="D328" s="179">
        <v>0.75</v>
      </c>
      <c r="E328" s="179">
        <v>0.75</v>
      </c>
      <c r="F328" s="229" t="s">
        <v>1656</v>
      </c>
    </row>
    <row r="329">
      <c r="A329" s="513" t="s">
        <v>10843</v>
      </c>
      <c r="B329" s="515"/>
      <c r="C329" s="74">
        <v>0.1</v>
      </c>
      <c r="D329" s="179">
        <v>0.75</v>
      </c>
      <c r="E329" s="179">
        <v>0.75</v>
      </c>
      <c r="F329" s="229" t="s">
        <v>1656</v>
      </c>
    </row>
    <row r="330">
      <c r="A330" s="513" t="s">
        <v>10844</v>
      </c>
      <c r="B330" s="515"/>
      <c r="C330" s="74">
        <v>0.1</v>
      </c>
      <c r="D330" s="179">
        <v>0.75</v>
      </c>
      <c r="E330" s="179">
        <v>0.75</v>
      </c>
      <c r="F330" s="229" t="s">
        <v>1656</v>
      </c>
    </row>
    <row r="331">
      <c r="A331" s="513" t="s">
        <v>10845</v>
      </c>
      <c r="B331" s="515"/>
      <c r="C331" s="74">
        <v>0.1</v>
      </c>
      <c r="D331" s="179">
        <v>0.75</v>
      </c>
      <c r="E331" s="179">
        <v>0.75</v>
      </c>
      <c r="F331" s="229" t="s">
        <v>1656</v>
      </c>
    </row>
    <row r="332">
      <c r="A332" s="513" t="s">
        <v>10846</v>
      </c>
      <c r="B332" s="515"/>
      <c r="C332" s="74">
        <v>0.1</v>
      </c>
      <c r="D332" s="179">
        <v>0.75</v>
      </c>
      <c r="E332" s="179">
        <v>0.75</v>
      </c>
      <c r="F332" s="229" t="s">
        <v>1656</v>
      </c>
    </row>
    <row r="333">
      <c r="A333" s="513" t="s">
        <v>10847</v>
      </c>
      <c r="B333" s="515"/>
      <c r="C333" s="74">
        <v>0.1</v>
      </c>
      <c r="D333" s="179">
        <v>0.75</v>
      </c>
      <c r="E333" s="179">
        <v>0.75</v>
      </c>
      <c r="F333" s="229" t="s">
        <v>1656</v>
      </c>
    </row>
    <row r="334">
      <c r="A334" s="513" t="s">
        <v>10848</v>
      </c>
      <c r="B334" s="515"/>
      <c r="C334" s="74">
        <v>0.1</v>
      </c>
      <c r="D334" s="179">
        <v>0.75</v>
      </c>
      <c r="E334" s="179">
        <v>0.75</v>
      </c>
      <c r="F334" s="229" t="s">
        <v>1656</v>
      </c>
    </row>
    <row r="335">
      <c r="A335" s="513" t="s">
        <v>10849</v>
      </c>
      <c r="B335" s="515"/>
      <c r="C335" s="74">
        <v>0.1</v>
      </c>
      <c r="D335" s="179">
        <v>0.75</v>
      </c>
      <c r="E335" s="179">
        <v>0.75</v>
      </c>
      <c r="F335" s="229" t="s">
        <v>1656</v>
      </c>
    </row>
    <row r="336">
      <c r="A336" s="513" t="s">
        <v>10850</v>
      </c>
      <c r="B336" s="515"/>
      <c r="C336" s="74">
        <v>0.1</v>
      </c>
      <c r="D336" s="179">
        <v>0.75</v>
      </c>
      <c r="E336" s="179">
        <v>0.75</v>
      </c>
      <c r="F336" s="229" t="s">
        <v>1656</v>
      </c>
    </row>
    <row r="337">
      <c r="A337" s="513" t="s">
        <v>10851</v>
      </c>
      <c r="B337" s="515"/>
      <c r="C337" s="74">
        <v>0.1</v>
      </c>
      <c r="D337" s="179">
        <v>0.75</v>
      </c>
      <c r="E337" s="179">
        <v>0.75</v>
      </c>
      <c r="F337" s="229" t="s">
        <v>1656</v>
      </c>
    </row>
    <row r="338">
      <c r="A338" s="513" t="s">
        <v>10852</v>
      </c>
      <c r="B338" s="515"/>
      <c r="C338" s="74">
        <v>0.1</v>
      </c>
      <c r="D338" s="179">
        <v>0.75</v>
      </c>
      <c r="E338" s="179">
        <v>0.75</v>
      </c>
      <c r="F338" s="229" t="s">
        <v>1656</v>
      </c>
    </row>
    <row r="339">
      <c r="A339" s="513" t="s">
        <v>10853</v>
      </c>
      <c r="B339" s="515"/>
      <c r="C339" s="74">
        <v>0.1</v>
      </c>
      <c r="D339" s="179">
        <v>0.75</v>
      </c>
      <c r="E339" s="179">
        <v>0.75</v>
      </c>
      <c r="F339" s="229" t="s">
        <v>1656</v>
      </c>
    </row>
    <row r="340">
      <c r="A340" s="513" t="s">
        <v>10854</v>
      </c>
      <c r="B340" s="515"/>
      <c r="C340" s="74">
        <v>0.1</v>
      </c>
      <c r="D340" s="179">
        <v>0.75</v>
      </c>
      <c r="E340" s="179">
        <v>0.75</v>
      </c>
      <c r="F340" s="229" t="s">
        <v>1656</v>
      </c>
    </row>
    <row r="341">
      <c r="A341" s="513" t="s">
        <v>10855</v>
      </c>
      <c r="B341" s="515"/>
      <c r="C341" s="74">
        <v>0.1</v>
      </c>
      <c r="D341" s="179">
        <v>0.75</v>
      </c>
      <c r="E341" s="179">
        <v>0.75</v>
      </c>
      <c r="F341" s="229" t="s">
        <v>1656</v>
      </c>
    </row>
    <row r="342">
      <c r="A342" s="513" t="s">
        <v>10856</v>
      </c>
      <c r="B342" s="515"/>
      <c r="C342" s="74">
        <v>0.1</v>
      </c>
      <c r="D342" s="179">
        <v>0.75</v>
      </c>
      <c r="E342" s="179">
        <v>0.75</v>
      </c>
      <c r="F342" s="229" t="s">
        <v>1656</v>
      </c>
    </row>
    <row r="343">
      <c r="A343" s="513" t="s">
        <v>10857</v>
      </c>
      <c r="B343" s="515"/>
      <c r="C343" s="74">
        <v>0.1</v>
      </c>
      <c r="D343" s="179">
        <v>0.75</v>
      </c>
      <c r="E343" s="179">
        <v>0.75</v>
      </c>
      <c r="F343" s="229" t="s">
        <v>1656</v>
      </c>
    </row>
    <row r="344">
      <c r="A344" s="513" t="s">
        <v>10858</v>
      </c>
      <c r="B344" s="515"/>
      <c r="C344" s="74">
        <v>0.1</v>
      </c>
      <c r="D344" s="179">
        <v>0.75</v>
      </c>
      <c r="E344" s="179">
        <v>0.75</v>
      </c>
      <c r="F344" s="229" t="s">
        <v>1656</v>
      </c>
    </row>
    <row r="345">
      <c r="A345" s="513" t="s">
        <v>10859</v>
      </c>
      <c r="B345" s="515"/>
      <c r="C345" s="74">
        <v>0.1</v>
      </c>
      <c r="D345" s="179">
        <v>0.75</v>
      </c>
      <c r="E345" s="179">
        <v>0.75</v>
      </c>
      <c r="F345" s="229" t="s">
        <v>1656</v>
      </c>
    </row>
    <row r="346">
      <c r="A346" s="513" t="s">
        <v>10860</v>
      </c>
      <c r="B346" s="515"/>
      <c r="C346" s="74">
        <v>0.1</v>
      </c>
      <c r="D346" s="179">
        <v>0.75</v>
      </c>
      <c r="E346" s="179">
        <v>0.75</v>
      </c>
      <c r="F346" s="229" t="s">
        <v>1656</v>
      </c>
    </row>
    <row r="347">
      <c r="A347" s="513" t="s">
        <v>10861</v>
      </c>
      <c r="B347" s="515"/>
      <c r="C347" s="74">
        <v>0.1</v>
      </c>
      <c r="D347" s="179">
        <v>0.75</v>
      </c>
      <c r="E347" s="179">
        <v>0.75</v>
      </c>
      <c r="F347" s="229" t="s">
        <v>1656</v>
      </c>
    </row>
    <row r="348">
      <c r="A348" s="513" t="s">
        <v>10862</v>
      </c>
      <c r="B348" s="515"/>
      <c r="C348" s="74">
        <v>0.1</v>
      </c>
      <c r="D348" s="179">
        <v>0.75</v>
      </c>
      <c r="E348" s="179">
        <v>0.75</v>
      </c>
      <c r="F348" s="229" t="s">
        <v>1656</v>
      </c>
    </row>
    <row r="349">
      <c r="A349" s="513" t="s">
        <v>10863</v>
      </c>
      <c r="B349" s="515"/>
      <c r="C349" s="74">
        <v>0.1</v>
      </c>
      <c r="D349" s="179">
        <v>0.75</v>
      </c>
      <c r="E349" s="179">
        <v>0.75</v>
      </c>
      <c r="F349" s="229" t="s">
        <v>1656</v>
      </c>
    </row>
    <row r="350">
      <c r="A350" s="513" t="s">
        <v>10864</v>
      </c>
      <c r="B350" s="515"/>
      <c r="C350" s="74">
        <v>0.1</v>
      </c>
      <c r="D350" s="179">
        <v>0.75</v>
      </c>
      <c r="E350" s="179">
        <v>0.75</v>
      </c>
      <c r="F350" s="229" t="s">
        <v>1656</v>
      </c>
    </row>
    <row r="351">
      <c r="A351" s="513" t="s">
        <v>10865</v>
      </c>
      <c r="B351" s="515"/>
      <c r="C351" s="74">
        <v>0.1</v>
      </c>
      <c r="D351" s="179">
        <v>0.75</v>
      </c>
      <c r="E351" s="179">
        <v>0.75</v>
      </c>
      <c r="F351" s="229" t="s">
        <v>1656</v>
      </c>
    </row>
    <row r="352">
      <c r="A352" s="513" t="s">
        <v>10866</v>
      </c>
      <c r="B352" s="515"/>
      <c r="C352" s="74">
        <v>0.1</v>
      </c>
      <c r="D352" s="179">
        <v>0.75</v>
      </c>
      <c r="E352" s="179">
        <v>0.75</v>
      </c>
      <c r="F352" s="229" t="s">
        <v>1656</v>
      </c>
    </row>
    <row r="353">
      <c r="A353" s="513" t="s">
        <v>10867</v>
      </c>
      <c r="B353" s="515"/>
      <c r="C353" s="74">
        <v>0.1</v>
      </c>
      <c r="D353" s="179">
        <v>0.75</v>
      </c>
      <c r="E353" s="179">
        <v>0.75</v>
      </c>
      <c r="F353" s="229" t="s">
        <v>1656</v>
      </c>
    </row>
    <row r="354">
      <c r="A354" s="513" t="s">
        <v>10868</v>
      </c>
      <c r="B354" s="515"/>
      <c r="C354" s="74">
        <v>0.1</v>
      </c>
      <c r="D354" s="179">
        <v>0.75</v>
      </c>
      <c r="E354" s="179">
        <v>0.75</v>
      </c>
      <c r="F354" s="229" t="s">
        <v>1656</v>
      </c>
    </row>
    <row r="355">
      <c r="A355" s="513" t="s">
        <v>10869</v>
      </c>
      <c r="B355" s="515"/>
      <c r="C355" s="74">
        <v>0.1</v>
      </c>
      <c r="D355" s="179">
        <v>0.75</v>
      </c>
      <c r="E355" s="179">
        <v>0.75</v>
      </c>
      <c r="F355" s="229" t="s">
        <v>1656</v>
      </c>
    </row>
    <row r="356">
      <c r="A356" s="513" t="s">
        <v>10870</v>
      </c>
      <c r="B356" s="515"/>
      <c r="C356" s="74">
        <v>0.1</v>
      </c>
      <c r="D356" s="179">
        <v>0.75</v>
      </c>
      <c r="E356" s="179">
        <v>0.75</v>
      </c>
      <c r="F356" s="229" t="s">
        <v>1656</v>
      </c>
    </row>
    <row r="357">
      <c r="A357" s="513" t="s">
        <v>10871</v>
      </c>
      <c r="B357" s="515"/>
      <c r="C357" s="74">
        <v>0.1</v>
      </c>
      <c r="D357" s="179">
        <v>0.75</v>
      </c>
      <c r="E357" s="179">
        <v>0.75</v>
      </c>
      <c r="F357" s="229" t="s">
        <v>1656</v>
      </c>
    </row>
    <row r="358">
      <c r="A358" s="513" t="s">
        <v>10872</v>
      </c>
      <c r="B358" s="515"/>
      <c r="C358" s="74">
        <v>0.1</v>
      </c>
      <c r="D358" s="179">
        <v>0.75</v>
      </c>
      <c r="E358" s="179">
        <v>0.75</v>
      </c>
      <c r="F358" s="229" t="s">
        <v>1656</v>
      </c>
    </row>
    <row r="359">
      <c r="A359" s="513" t="s">
        <v>10873</v>
      </c>
      <c r="B359" s="515"/>
      <c r="C359" s="74">
        <v>0.1</v>
      </c>
      <c r="D359" s="179">
        <v>0.75</v>
      </c>
      <c r="E359" s="179">
        <v>0.75</v>
      </c>
      <c r="F359" s="229" t="s">
        <v>1656</v>
      </c>
    </row>
    <row r="360">
      <c r="A360" s="513" t="s">
        <v>10874</v>
      </c>
      <c r="B360" s="515"/>
      <c r="C360" s="74">
        <v>0.1</v>
      </c>
      <c r="D360" s="179">
        <v>0.75</v>
      </c>
      <c r="E360" s="179">
        <v>0.75</v>
      </c>
      <c r="F360" s="229" t="s">
        <v>1656</v>
      </c>
    </row>
    <row r="361">
      <c r="A361" s="513" t="s">
        <v>10875</v>
      </c>
      <c r="B361" s="515"/>
      <c r="C361" s="74">
        <v>0.1</v>
      </c>
      <c r="D361" s="179">
        <v>0.75</v>
      </c>
      <c r="E361" s="179">
        <v>0.75</v>
      </c>
      <c r="F361" s="229" t="s">
        <v>1656</v>
      </c>
    </row>
    <row r="362">
      <c r="A362" s="513" t="s">
        <v>10876</v>
      </c>
      <c r="B362" s="515"/>
      <c r="C362" s="74">
        <v>0.1</v>
      </c>
      <c r="D362" s="179">
        <v>0.75</v>
      </c>
      <c r="E362" s="179">
        <v>0.75</v>
      </c>
      <c r="F362" s="229" t="s">
        <v>1656</v>
      </c>
    </row>
    <row r="363">
      <c r="A363" s="513" t="s">
        <v>10877</v>
      </c>
      <c r="B363" s="515"/>
      <c r="C363" s="74">
        <v>0.1</v>
      </c>
      <c r="D363" s="179">
        <v>0.75</v>
      </c>
      <c r="E363" s="179">
        <v>0.75</v>
      </c>
      <c r="F363" s="229" t="s">
        <v>1656</v>
      </c>
    </row>
    <row r="364">
      <c r="A364" s="513" t="s">
        <v>10878</v>
      </c>
      <c r="B364" s="515"/>
      <c r="C364" s="74">
        <v>0.1</v>
      </c>
      <c r="D364" s="179">
        <v>0.75</v>
      </c>
      <c r="E364" s="179">
        <v>0.75</v>
      </c>
      <c r="F364" s="229" t="s">
        <v>1656</v>
      </c>
    </row>
    <row r="365">
      <c r="A365" s="513" t="s">
        <v>10879</v>
      </c>
      <c r="B365" s="515"/>
      <c r="C365" s="74">
        <v>0.1</v>
      </c>
      <c r="D365" s="179">
        <v>0.75</v>
      </c>
      <c r="E365" s="179">
        <v>0.75</v>
      </c>
      <c r="F365" s="229" t="s">
        <v>1656</v>
      </c>
    </row>
    <row r="366">
      <c r="A366" s="513" t="s">
        <v>10880</v>
      </c>
      <c r="B366" s="515"/>
      <c r="C366" s="74">
        <v>0.1</v>
      </c>
      <c r="D366" s="179">
        <v>0.75</v>
      </c>
      <c r="E366" s="179">
        <v>0.75</v>
      </c>
      <c r="F366" s="229" t="s">
        <v>1656</v>
      </c>
    </row>
    <row r="367">
      <c r="A367" s="513" t="s">
        <v>10881</v>
      </c>
      <c r="B367" s="515"/>
      <c r="C367" s="74">
        <v>0.1</v>
      </c>
      <c r="D367" s="179">
        <v>0.75</v>
      </c>
      <c r="E367" s="179">
        <v>0.75</v>
      </c>
      <c r="F367" s="229" t="s">
        <v>1656</v>
      </c>
    </row>
    <row r="368">
      <c r="A368" s="513" t="s">
        <v>10882</v>
      </c>
      <c r="B368" s="515"/>
      <c r="C368" s="74">
        <v>0.1</v>
      </c>
      <c r="D368" s="179">
        <v>0.75</v>
      </c>
      <c r="E368" s="179">
        <v>0.75</v>
      </c>
      <c r="F368" s="229" t="s">
        <v>1656</v>
      </c>
    </row>
    <row r="369">
      <c r="A369" s="513" t="s">
        <v>10883</v>
      </c>
      <c r="B369" s="515"/>
      <c r="C369" s="74">
        <v>0.1</v>
      </c>
      <c r="D369" s="179">
        <v>0.75</v>
      </c>
      <c r="E369" s="179">
        <v>0.75</v>
      </c>
      <c r="F369" s="229" t="s">
        <v>1656</v>
      </c>
    </row>
    <row r="370">
      <c r="A370" s="513" t="s">
        <v>10884</v>
      </c>
      <c r="B370" s="515"/>
      <c r="C370" s="74">
        <v>0.1</v>
      </c>
      <c r="D370" s="179">
        <v>0.75</v>
      </c>
      <c r="E370" s="179">
        <v>0.75</v>
      </c>
      <c r="F370" s="229" t="s">
        <v>1656</v>
      </c>
    </row>
    <row r="371">
      <c r="A371" s="513" t="s">
        <v>10885</v>
      </c>
      <c r="B371" s="515"/>
      <c r="C371" s="74">
        <v>0.1</v>
      </c>
      <c r="D371" s="179">
        <v>0.75</v>
      </c>
      <c r="E371" s="179">
        <v>0.75</v>
      </c>
      <c r="F371" s="229" t="s">
        <v>1656</v>
      </c>
    </row>
    <row r="372">
      <c r="A372" s="513" t="s">
        <v>10886</v>
      </c>
      <c r="B372" s="515"/>
      <c r="C372" s="74">
        <v>0.1</v>
      </c>
      <c r="D372" s="179">
        <v>0.75</v>
      </c>
      <c r="E372" s="179">
        <v>0.75</v>
      </c>
      <c r="F372" s="229" t="s">
        <v>1656</v>
      </c>
    </row>
    <row r="373">
      <c r="A373" s="513" t="s">
        <v>10887</v>
      </c>
      <c r="B373" s="515"/>
      <c r="C373" s="74">
        <v>0.1</v>
      </c>
      <c r="D373" s="179">
        <v>0.75</v>
      </c>
      <c r="E373" s="179">
        <v>0.75</v>
      </c>
      <c r="F373" s="229" t="s">
        <v>1656</v>
      </c>
    </row>
    <row r="374">
      <c r="A374" s="513" t="s">
        <v>10888</v>
      </c>
      <c r="B374" s="515"/>
      <c r="C374" s="74">
        <v>0.1</v>
      </c>
      <c r="D374" s="179">
        <v>0.75</v>
      </c>
      <c r="E374" s="179">
        <v>0.75</v>
      </c>
      <c r="F374" s="229" t="s">
        <v>1656</v>
      </c>
    </row>
    <row r="375">
      <c r="A375" s="513" t="s">
        <v>10889</v>
      </c>
      <c r="B375" s="515"/>
      <c r="C375" s="74">
        <v>0.1</v>
      </c>
      <c r="D375" s="179">
        <v>0.75</v>
      </c>
      <c r="E375" s="179">
        <v>0.75</v>
      </c>
      <c r="F375" s="229" t="s">
        <v>1656</v>
      </c>
    </row>
    <row r="376">
      <c r="A376" s="513" t="s">
        <v>10890</v>
      </c>
      <c r="B376" s="515"/>
      <c r="C376" s="74">
        <v>0.1</v>
      </c>
      <c r="D376" s="179">
        <v>0.75</v>
      </c>
      <c r="E376" s="179">
        <v>0.75</v>
      </c>
      <c r="F376" s="229" t="s">
        <v>1656</v>
      </c>
    </row>
    <row r="377">
      <c r="A377" s="513" t="s">
        <v>10891</v>
      </c>
      <c r="B377" s="515"/>
      <c r="C377" s="74">
        <v>0.1</v>
      </c>
      <c r="D377" s="179">
        <v>0.75</v>
      </c>
      <c r="E377" s="179">
        <v>0.75</v>
      </c>
      <c r="F377" s="229" t="s">
        <v>1656</v>
      </c>
    </row>
    <row r="378">
      <c r="A378" s="513" t="s">
        <v>10892</v>
      </c>
      <c r="B378" s="515"/>
      <c r="C378" s="74">
        <v>0.1</v>
      </c>
      <c r="D378" s="179">
        <v>0.75</v>
      </c>
      <c r="E378" s="179">
        <v>0.75</v>
      </c>
      <c r="F378" s="229" t="s">
        <v>1656</v>
      </c>
    </row>
    <row r="379">
      <c r="A379" s="513" t="s">
        <v>10893</v>
      </c>
      <c r="B379" s="515"/>
      <c r="C379" s="74">
        <v>0.1</v>
      </c>
      <c r="D379" s="179">
        <v>0.75</v>
      </c>
      <c r="E379" s="179">
        <v>0.75</v>
      </c>
      <c r="F379" s="229" t="s">
        <v>1656</v>
      </c>
    </row>
    <row r="380">
      <c r="A380" s="513" t="s">
        <v>10894</v>
      </c>
      <c r="B380" s="515"/>
      <c r="C380" s="74">
        <v>0.1</v>
      </c>
      <c r="D380" s="179">
        <v>0.75</v>
      </c>
      <c r="E380" s="179">
        <v>0.75</v>
      </c>
      <c r="F380" s="229" t="s">
        <v>1656</v>
      </c>
    </row>
    <row r="381">
      <c r="A381" s="513" t="s">
        <v>10895</v>
      </c>
      <c r="B381" s="515"/>
      <c r="C381" s="74">
        <v>0.1</v>
      </c>
      <c r="D381" s="179">
        <v>0.75</v>
      </c>
      <c r="E381" s="179">
        <v>0.75</v>
      </c>
      <c r="F381" s="229" t="s">
        <v>1656</v>
      </c>
    </row>
    <row r="382">
      <c r="A382" s="513" t="s">
        <v>10896</v>
      </c>
      <c r="B382" s="515"/>
      <c r="C382" s="74">
        <v>0.1</v>
      </c>
      <c r="D382" s="179">
        <v>0.75</v>
      </c>
      <c r="E382" s="179">
        <v>0.75</v>
      </c>
      <c r="F382" s="229" t="s">
        <v>1656</v>
      </c>
    </row>
    <row r="383">
      <c r="A383" s="513" t="s">
        <v>10897</v>
      </c>
      <c r="B383" s="515"/>
      <c r="C383" s="74">
        <v>0.1</v>
      </c>
      <c r="D383" s="179">
        <v>0.75</v>
      </c>
      <c r="E383" s="179">
        <v>0.75</v>
      </c>
      <c r="F383" s="229" t="s">
        <v>1656</v>
      </c>
    </row>
    <row r="384">
      <c r="A384" s="513" t="s">
        <v>10898</v>
      </c>
      <c r="B384" s="515"/>
      <c r="C384" s="74">
        <v>0.1</v>
      </c>
      <c r="D384" s="179">
        <v>0.75</v>
      </c>
      <c r="E384" s="179">
        <v>0.75</v>
      </c>
      <c r="F384" s="229" t="s">
        <v>1656</v>
      </c>
    </row>
    <row r="385">
      <c r="A385" s="513" t="s">
        <v>10899</v>
      </c>
      <c r="B385" s="515"/>
      <c r="C385" s="74">
        <v>0.1</v>
      </c>
      <c r="D385" s="179">
        <v>0.75</v>
      </c>
      <c r="E385" s="179">
        <v>0.75</v>
      </c>
      <c r="F385" s="229" t="s">
        <v>1656</v>
      </c>
    </row>
    <row r="386">
      <c r="A386" s="513" t="s">
        <v>10900</v>
      </c>
      <c r="B386" s="515"/>
      <c r="C386" s="74">
        <v>0.1</v>
      </c>
      <c r="D386" s="179">
        <v>0.75</v>
      </c>
      <c r="E386" s="179">
        <v>0.75</v>
      </c>
      <c r="F386" s="229" t="s">
        <v>1656</v>
      </c>
    </row>
    <row r="387">
      <c r="A387" s="513" t="s">
        <v>10901</v>
      </c>
      <c r="B387" s="515"/>
      <c r="C387" s="74">
        <v>0.1</v>
      </c>
      <c r="D387" s="179">
        <v>0.75</v>
      </c>
      <c r="E387" s="179">
        <v>0.75</v>
      </c>
      <c r="F387" s="229" t="s">
        <v>1656</v>
      </c>
    </row>
    <row r="388">
      <c r="A388" s="513" t="s">
        <v>10902</v>
      </c>
      <c r="B388" s="515"/>
      <c r="C388" s="74">
        <v>0.1</v>
      </c>
      <c r="D388" s="179">
        <v>0.75</v>
      </c>
      <c r="E388" s="179">
        <v>0.75</v>
      </c>
      <c r="F388" s="229" t="s">
        <v>1656</v>
      </c>
    </row>
    <row r="389">
      <c r="A389" s="513" t="s">
        <v>10903</v>
      </c>
      <c r="B389" s="515"/>
      <c r="C389" s="74">
        <v>0.1</v>
      </c>
      <c r="D389" s="179">
        <v>0.75</v>
      </c>
      <c r="E389" s="179">
        <v>0.75</v>
      </c>
      <c r="F389" s="229" t="s">
        <v>1656</v>
      </c>
    </row>
    <row r="390">
      <c r="A390" s="513" t="s">
        <v>10904</v>
      </c>
      <c r="B390" s="515"/>
      <c r="C390" s="74">
        <v>0.1</v>
      </c>
      <c r="D390" s="179">
        <v>0.75</v>
      </c>
      <c r="E390" s="179">
        <v>0.75</v>
      </c>
      <c r="F390" s="229" t="s">
        <v>1656</v>
      </c>
    </row>
    <row r="391">
      <c r="A391" s="513" t="s">
        <v>10905</v>
      </c>
      <c r="B391" s="515"/>
      <c r="C391" s="74">
        <v>0.1</v>
      </c>
      <c r="D391" s="179">
        <v>0.75</v>
      </c>
      <c r="E391" s="179">
        <v>0.75</v>
      </c>
      <c r="F391" s="229" t="s">
        <v>1656</v>
      </c>
    </row>
    <row r="392">
      <c r="A392" s="513" t="s">
        <v>10906</v>
      </c>
      <c r="B392" s="515"/>
      <c r="C392" s="74">
        <v>0.1</v>
      </c>
      <c r="D392" s="179">
        <v>0.75</v>
      </c>
      <c r="E392" s="179">
        <v>0.75</v>
      </c>
      <c r="F392" s="229" t="s">
        <v>1656</v>
      </c>
    </row>
    <row r="393">
      <c r="A393" s="513" t="s">
        <v>6035</v>
      </c>
      <c r="B393" s="515"/>
      <c r="C393" s="74">
        <v>0.1</v>
      </c>
      <c r="D393" s="179">
        <v>0.75</v>
      </c>
      <c r="E393" s="179">
        <v>0.75</v>
      </c>
      <c r="F393" s="229" t="s">
        <v>1656</v>
      </c>
    </row>
    <row r="394">
      <c r="A394" s="513" t="s">
        <v>10907</v>
      </c>
      <c r="B394" s="515"/>
      <c r="C394" s="74">
        <v>0.1</v>
      </c>
      <c r="D394" s="179">
        <v>0.75</v>
      </c>
      <c r="E394" s="179">
        <v>0.75</v>
      </c>
      <c r="F394" s="229" t="s">
        <v>1656</v>
      </c>
    </row>
    <row r="395">
      <c r="A395" s="513" t="s">
        <v>2253</v>
      </c>
      <c r="B395" s="515"/>
      <c r="C395" s="74">
        <v>0.1</v>
      </c>
      <c r="D395" s="179">
        <v>0.75</v>
      </c>
      <c r="E395" s="179">
        <v>0.75</v>
      </c>
      <c r="F395" s="229" t="s">
        <v>1656</v>
      </c>
    </row>
    <row r="396">
      <c r="A396" s="513" t="s">
        <v>10908</v>
      </c>
      <c r="B396" s="515"/>
      <c r="C396" s="74">
        <v>0.1</v>
      </c>
      <c r="D396" s="179">
        <v>0.75</v>
      </c>
      <c r="E396" s="179">
        <v>0.75</v>
      </c>
      <c r="F396" s="229" t="s">
        <v>1656</v>
      </c>
    </row>
    <row r="397">
      <c r="A397" s="513" t="s">
        <v>10909</v>
      </c>
      <c r="B397" s="515"/>
      <c r="C397" s="74">
        <v>0.1</v>
      </c>
      <c r="D397" s="179">
        <v>0.75</v>
      </c>
      <c r="E397" s="179">
        <v>0.75</v>
      </c>
      <c r="F397" s="229" t="s">
        <v>1656</v>
      </c>
    </row>
    <row r="398">
      <c r="A398" s="513" t="s">
        <v>10910</v>
      </c>
      <c r="B398" s="515"/>
      <c r="C398" s="74">
        <v>0.1</v>
      </c>
      <c r="D398" s="179">
        <v>0.75</v>
      </c>
      <c r="E398" s="179">
        <v>0.75</v>
      </c>
      <c r="F398" s="229" t="s">
        <v>1656</v>
      </c>
    </row>
    <row r="399">
      <c r="A399" s="513" t="s">
        <v>10911</v>
      </c>
      <c r="B399" s="515"/>
      <c r="C399" s="74">
        <v>0.1</v>
      </c>
      <c r="D399" s="179">
        <v>0.75</v>
      </c>
      <c r="E399" s="179">
        <v>0.75</v>
      </c>
      <c r="F399" s="229" t="s">
        <v>1656</v>
      </c>
    </row>
    <row r="400">
      <c r="A400" s="513" t="s">
        <v>10912</v>
      </c>
      <c r="B400" s="515"/>
      <c r="C400" s="74">
        <v>0.1</v>
      </c>
      <c r="D400" s="179">
        <v>0.75</v>
      </c>
      <c r="E400" s="179">
        <v>0.75</v>
      </c>
      <c r="F400" s="229" t="s">
        <v>1656</v>
      </c>
    </row>
    <row r="401">
      <c r="A401" s="513" t="s">
        <v>10913</v>
      </c>
      <c r="B401" s="515"/>
      <c r="C401" s="74">
        <v>0.1</v>
      </c>
      <c r="D401" s="179">
        <v>0.75</v>
      </c>
      <c r="E401" s="179">
        <v>0.75</v>
      </c>
      <c r="F401" s="229" t="s">
        <v>1656</v>
      </c>
    </row>
    <row r="402">
      <c r="A402" s="513" t="s">
        <v>10914</v>
      </c>
      <c r="B402" s="515"/>
      <c r="C402" s="74">
        <v>0.1</v>
      </c>
      <c r="D402" s="179">
        <v>0.75</v>
      </c>
      <c r="E402" s="179">
        <v>0.75</v>
      </c>
      <c r="F402" s="229" t="s">
        <v>1656</v>
      </c>
    </row>
    <row r="403">
      <c r="A403" s="513" t="s">
        <v>10915</v>
      </c>
      <c r="B403" s="515"/>
      <c r="C403" s="74">
        <v>0.1</v>
      </c>
      <c r="D403" s="179">
        <v>0.75</v>
      </c>
      <c r="E403" s="179">
        <v>0.75</v>
      </c>
      <c r="F403" s="229" t="s">
        <v>1656</v>
      </c>
    </row>
    <row r="404">
      <c r="A404" s="513" t="s">
        <v>10916</v>
      </c>
      <c r="B404" s="515"/>
      <c r="C404" s="74">
        <v>0.1</v>
      </c>
      <c r="D404" s="179">
        <v>0.75</v>
      </c>
      <c r="E404" s="179">
        <v>0.75</v>
      </c>
      <c r="F404" s="229" t="s">
        <v>1656</v>
      </c>
    </row>
    <row r="405">
      <c r="A405" s="513" t="s">
        <v>10917</v>
      </c>
      <c r="B405" s="515"/>
      <c r="C405" s="74">
        <v>0.1</v>
      </c>
      <c r="D405" s="179">
        <v>0.75</v>
      </c>
      <c r="E405" s="179">
        <v>0.75</v>
      </c>
      <c r="F405" s="229" t="s">
        <v>1656</v>
      </c>
    </row>
    <row r="406">
      <c r="A406" s="513" t="s">
        <v>10918</v>
      </c>
      <c r="B406" s="515"/>
      <c r="C406" s="74">
        <v>0.1</v>
      </c>
      <c r="D406" s="179">
        <v>0.75</v>
      </c>
      <c r="E406" s="179">
        <v>0.75</v>
      </c>
      <c r="F406" s="229" t="s">
        <v>1656</v>
      </c>
    </row>
    <row r="407">
      <c r="A407" s="513" t="s">
        <v>10919</v>
      </c>
      <c r="B407" s="515"/>
      <c r="C407" s="74">
        <v>0.1</v>
      </c>
      <c r="D407" s="179">
        <v>0.75</v>
      </c>
      <c r="E407" s="179">
        <v>0.75</v>
      </c>
      <c r="F407" s="229" t="s">
        <v>1656</v>
      </c>
    </row>
    <row r="408">
      <c r="A408" s="513" t="s">
        <v>10920</v>
      </c>
      <c r="B408" s="515"/>
      <c r="C408" s="74">
        <v>0.1</v>
      </c>
      <c r="D408" s="179">
        <v>0.75</v>
      </c>
      <c r="E408" s="179">
        <v>0.75</v>
      </c>
      <c r="F408" s="229" t="s">
        <v>1656</v>
      </c>
    </row>
    <row r="409">
      <c r="A409" s="513" t="s">
        <v>10921</v>
      </c>
      <c r="B409" s="515"/>
      <c r="C409" s="74">
        <v>0.1</v>
      </c>
      <c r="D409" s="179">
        <v>0.75</v>
      </c>
      <c r="E409" s="179">
        <v>0.75</v>
      </c>
      <c r="F409" s="229" t="s">
        <v>1656</v>
      </c>
    </row>
    <row r="410">
      <c r="A410" s="513" t="s">
        <v>10922</v>
      </c>
      <c r="B410" s="515"/>
      <c r="C410" s="74">
        <v>0.1</v>
      </c>
      <c r="D410" s="179">
        <v>0.75</v>
      </c>
      <c r="E410" s="179">
        <v>0.75</v>
      </c>
      <c r="F410" s="229" t="s">
        <v>1656</v>
      </c>
    </row>
    <row r="411">
      <c r="A411" s="513" t="s">
        <v>10923</v>
      </c>
      <c r="B411" s="515"/>
      <c r="C411" s="74">
        <v>0.1</v>
      </c>
      <c r="D411" s="179">
        <v>0.75</v>
      </c>
      <c r="E411" s="179">
        <v>0.75</v>
      </c>
      <c r="F411" s="229" t="s">
        <v>1656</v>
      </c>
    </row>
    <row r="412">
      <c r="A412" s="513" t="s">
        <v>10924</v>
      </c>
      <c r="B412" s="515"/>
      <c r="C412" s="74">
        <v>0.1</v>
      </c>
      <c r="D412" s="179">
        <v>0.75</v>
      </c>
      <c r="E412" s="179">
        <v>0.75</v>
      </c>
      <c r="F412" s="229" t="s">
        <v>1656</v>
      </c>
    </row>
    <row r="413">
      <c r="A413" s="513" t="s">
        <v>2345</v>
      </c>
      <c r="B413" s="515"/>
      <c r="C413" s="74">
        <v>0.1</v>
      </c>
      <c r="D413" s="179">
        <v>0.75</v>
      </c>
      <c r="E413" s="179">
        <v>0.75</v>
      </c>
      <c r="F413" s="229" t="s">
        <v>1656</v>
      </c>
    </row>
    <row r="414">
      <c r="A414" s="513" t="s">
        <v>10925</v>
      </c>
      <c r="B414" s="515"/>
      <c r="C414" s="74">
        <v>0.1</v>
      </c>
      <c r="D414" s="179">
        <v>0.75</v>
      </c>
      <c r="E414" s="179">
        <v>0.75</v>
      </c>
      <c r="F414" s="229" t="s">
        <v>1656</v>
      </c>
    </row>
    <row r="415">
      <c r="A415" s="513" t="s">
        <v>10926</v>
      </c>
      <c r="B415" s="515"/>
      <c r="C415" s="74">
        <v>0.1</v>
      </c>
      <c r="D415" s="179">
        <v>0.75</v>
      </c>
      <c r="E415" s="179">
        <v>0.75</v>
      </c>
      <c r="F415" s="229" t="s">
        <v>1656</v>
      </c>
    </row>
    <row r="416">
      <c r="A416" s="513" t="s">
        <v>10927</v>
      </c>
      <c r="B416" s="515"/>
      <c r="C416" s="74">
        <v>0.1</v>
      </c>
      <c r="D416" s="179">
        <v>0.75</v>
      </c>
      <c r="E416" s="179">
        <v>0.75</v>
      </c>
      <c r="F416" s="229" t="s">
        <v>1656</v>
      </c>
    </row>
    <row r="417">
      <c r="A417" s="513" t="s">
        <v>10928</v>
      </c>
      <c r="B417" s="515"/>
      <c r="C417" s="74">
        <v>0.1</v>
      </c>
      <c r="D417" s="179">
        <v>0.75</v>
      </c>
      <c r="E417" s="179">
        <v>0.75</v>
      </c>
      <c r="F417" s="229" t="s">
        <v>1656</v>
      </c>
    </row>
    <row r="418">
      <c r="A418" s="513" t="s">
        <v>10929</v>
      </c>
      <c r="B418" s="515"/>
      <c r="C418" s="74">
        <v>0.1</v>
      </c>
      <c r="D418" s="179">
        <v>0.75</v>
      </c>
      <c r="E418" s="179">
        <v>0.75</v>
      </c>
      <c r="F418" s="229" t="s">
        <v>1656</v>
      </c>
    </row>
    <row r="419">
      <c r="A419" s="513" t="s">
        <v>10930</v>
      </c>
      <c r="B419" s="515"/>
      <c r="C419" s="74">
        <v>0.1</v>
      </c>
      <c r="D419" s="179">
        <v>0.75</v>
      </c>
      <c r="E419" s="179">
        <v>0.75</v>
      </c>
      <c r="F419" s="229" t="s">
        <v>1656</v>
      </c>
    </row>
    <row r="420">
      <c r="A420" s="513" t="s">
        <v>10931</v>
      </c>
      <c r="B420" s="515"/>
      <c r="C420" s="74">
        <v>0.1</v>
      </c>
      <c r="D420" s="179">
        <v>0.75</v>
      </c>
      <c r="E420" s="179">
        <v>0.75</v>
      </c>
      <c r="F420" s="229" t="s">
        <v>1656</v>
      </c>
    </row>
    <row r="421">
      <c r="A421" s="513" t="s">
        <v>10932</v>
      </c>
      <c r="B421" s="515"/>
      <c r="C421" s="74">
        <v>0.1</v>
      </c>
      <c r="D421" s="179">
        <v>0.75</v>
      </c>
      <c r="E421" s="179">
        <v>0.75</v>
      </c>
      <c r="F421" s="229" t="s">
        <v>1656</v>
      </c>
    </row>
    <row r="422">
      <c r="A422" s="513" t="s">
        <v>10933</v>
      </c>
      <c r="B422" s="515"/>
      <c r="C422" s="74">
        <v>0.1</v>
      </c>
      <c r="D422" s="179">
        <v>0.75</v>
      </c>
      <c r="E422" s="179">
        <v>0.75</v>
      </c>
      <c r="F422" s="229" t="s">
        <v>1656</v>
      </c>
    </row>
    <row r="423">
      <c r="A423" s="513" t="s">
        <v>10934</v>
      </c>
      <c r="B423" s="515"/>
      <c r="C423" s="74">
        <v>0.1</v>
      </c>
      <c r="D423" s="179">
        <v>0.75</v>
      </c>
      <c r="E423" s="179">
        <v>0.75</v>
      </c>
      <c r="F423" s="229" t="s">
        <v>1656</v>
      </c>
    </row>
    <row r="424">
      <c r="A424" s="513" t="s">
        <v>10935</v>
      </c>
      <c r="B424" s="515"/>
      <c r="C424" s="74">
        <v>0.1</v>
      </c>
      <c r="D424" s="179">
        <v>0.75</v>
      </c>
      <c r="E424" s="179">
        <v>0.75</v>
      </c>
      <c r="F424" s="229" t="s">
        <v>1656</v>
      </c>
    </row>
    <row r="425">
      <c r="A425" s="513" t="s">
        <v>10936</v>
      </c>
      <c r="B425" s="515"/>
      <c r="C425" s="74">
        <v>0.1</v>
      </c>
      <c r="D425" s="179">
        <v>0.75</v>
      </c>
      <c r="E425" s="179">
        <v>0.75</v>
      </c>
      <c r="F425" s="229" t="s">
        <v>1656</v>
      </c>
    </row>
    <row r="426">
      <c r="A426" s="513" t="s">
        <v>10937</v>
      </c>
      <c r="B426" s="515"/>
      <c r="C426" s="74">
        <v>0.1</v>
      </c>
      <c r="D426" s="179">
        <v>0.75</v>
      </c>
      <c r="E426" s="179">
        <v>0.75</v>
      </c>
      <c r="F426" s="229" t="s">
        <v>1656</v>
      </c>
    </row>
    <row r="427">
      <c r="A427" s="513" t="s">
        <v>10938</v>
      </c>
      <c r="B427" s="515"/>
      <c r="C427" s="74">
        <v>0.1</v>
      </c>
      <c r="D427" s="179">
        <v>0.75</v>
      </c>
      <c r="E427" s="179">
        <v>0.75</v>
      </c>
      <c r="F427" s="229" t="s">
        <v>1656</v>
      </c>
    </row>
    <row r="428">
      <c r="A428" s="513" t="s">
        <v>10939</v>
      </c>
      <c r="B428" s="515"/>
      <c r="C428" s="74">
        <v>0.1</v>
      </c>
      <c r="D428" s="179">
        <v>0.75</v>
      </c>
      <c r="E428" s="179">
        <v>0.75</v>
      </c>
      <c r="F428" s="229" t="s">
        <v>1656</v>
      </c>
    </row>
    <row r="429">
      <c r="A429" s="513" t="s">
        <v>10940</v>
      </c>
      <c r="B429" s="515"/>
      <c r="C429" s="74">
        <v>0.1</v>
      </c>
      <c r="D429" s="179">
        <v>0.75</v>
      </c>
      <c r="E429" s="179">
        <v>0.75</v>
      </c>
      <c r="F429" s="229" t="s">
        <v>1656</v>
      </c>
    </row>
    <row r="430">
      <c r="A430" s="513" t="s">
        <v>10941</v>
      </c>
      <c r="B430" s="515"/>
      <c r="C430" s="74">
        <v>0.1</v>
      </c>
      <c r="D430" s="179">
        <v>0.75</v>
      </c>
      <c r="E430" s="179">
        <v>0.75</v>
      </c>
      <c r="F430" s="229" t="s">
        <v>1656</v>
      </c>
    </row>
    <row r="431">
      <c r="A431" s="513" t="s">
        <v>10942</v>
      </c>
      <c r="B431" s="16">
        <v>14465.0</v>
      </c>
      <c r="C431" s="74">
        <v>0.1</v>
      </c>
      <c r="D431" s="74">
        <v>0.9</v>
      </c>
      <c r="E431" s="74">
        <v>0.9</v>
      </c>
      <c r="F431" s="229" t="s">
        <v>1656</v>
      </c>
    </row>
    <row r="432">
      <c r="A432" s="513" t="s">
        <v>10943</v>
      </c>
      <c r="B432" s="515"/>
      <c r="C432" s="74">
        <v>0.1</v>
      </c>
      <c r="D432" s="179">
        <v>0.75</v>
      </c>
      <c r="E432" s="179">
        <v>0.75</v>
      </c>
      <c r="F432" s="229" t="s">
        <v>1656</v>
      </c>
    </row>
    <row r="433">
      <c r="A433" s="513" t="s">
        <v>10944</v>
      </c>
      <c r="B433" s="515"/>
      <c r="C433" s="74">
        <v>0.1</v>
      </c>
      <c r="D433" s="179">
        <v>0.75</v>
      </c>
      <c r="E433" s="179">
        <v>0.75</v>
      </c>
      <c r="F433" s="229" t="s">
        <v>1656</v>
      </c>
    </row>
    <row r="434">
      <c r="A434" s="513" t="s">
        <v>10945</v>
      </c>
      <c r="B434" s="515"/>
      <c r="C434" s="74">
        <v>0.1</v>
      </c>
      <c r="D434" s="179">
        <v>0.75</v>
      </c>
      <c r="E434" s="179">
        <v>0.75</v>
      </c>
      <c r="F434" s="229" t="s">
        <v>1656</v>
      </c>
    </row>
    <row r="435">
      <c r="A435" s="513" t="s">
        <v>10946</v>
      </c>
      <c r="B435" s="515"/>
      <c r="C435" s="74">
        <v>0.1</v>
      </c>
      <c r="D435" s="179">
        <v>0.75</v>
      </c>
      <c r="E435" s="179">
        <v>0.75</v>
      </c>
      <c r="F435" s="229" t="s">
        <v>1656</v>
      </c>
    </row>
    <row r="436">
      <c r="A436" s="513" t="s">
        <v>10947</v>
      </c>
      <c r="B436" s="515"/>
      <c r="C436" s="74">
        <v>0.1</v>
      </c>
      <c r="D436" s="179">
        <v>0.75</v>
      </c>
      <c r="E436" s="179">
        <v>0.75</v>
      </c>
      <c r="F436" s="229" t="s">
        <v>1656</v>
      </c>
    </row>
    <row r="437">
      <c r="A437" s="513" t="s">
        <v>1040</v>
      </c>
      <c r="B437" s="515"/>
      <c r="C437" s="74">
        <v>0.1</v>
      </c>
      <c r="D437" s="179">
        <v>0.75</v>
      </c>
      <c r="E437" s="179">
        <v>0.75</v>
      </c>
      <c r="F437" s="229" t="s">
        <v>1656</v>
      </c>
    </row>
    <row r="438">
      <c r="A438" s="513" t="s">
        <v>10948</v>
      </c>
      <c r="B438" s="515"/>
      <c r="C438" s="74">
        <v>0.1</v>
      </c>
      <c r="D438" s="179">
        <v>0.75</v>
      </c>
      <c r="E438" s="179">
        <v>0.75</v>
      </c>
      <c r="F438" s="229" t="s">
        <v>1656</v>
      </c>
    </row>
    <row r="439">
      <c r="A439" s="513" t="s">
        <v>10949</v>
      </c>
      <c r="B439" s="515"/>
      <c r="C439" s="74">
        <v>0.1</v>
      </c>
      <c r="D439" s="179">
        <v>0.75</v>
      </c>
      <c r="E439" s="179">
        <v>0.75</v>
      </c>
      <c r="F439" s="229" t="s">
        <v>1656</v>
      </c>
    </row>
    <row r="440">
      <c r="A440" s="513" t="s">
        <v>10950</v>
      </c>
      <c r="B440" s="515"/>
      <c r="C440" s="74">
        <v>0.1</v>
      </c>
      <c r="D440" s="179">
        <v>0.75</v>
      </c>
      <c r="E440" s="179">
        <v>0.75</v>
      </c>
      <c r="F440" s="229" t="s">
        <v>1656</v>
      </c>
    </row>
    <row r="441">
      <c r="A441" s="513" t="s">
        <v>10951</v>
      </c>
      <c r="B441" s="515"/>
      <c r="C441" s="74">
        <v>0.1</v>
      </c>
      <c r="D441" s="179">
        <v>0.75</v>
      </c>
      <c r="E441" s="179">
        <v>0.75</v>
      </c>
      <c r="F441" s="229" t="s">
        <v>1656</v>
      </c>
    </row>
    <row r="442">
      <c r="A442" s="513" t="s">
        <v>10952</v>
      </c>
      <c r="B442" s="515"/>
      <c r="C442" s="74">
        <v>0.1</v>
      </c>
      <c r="D442" s="179">
        <v>0.75</v>
      </c>
      <c r="E442" s="179">
        <v>0.75</v>
      </c>
      <c r="F442" s="229" t="s">
        <v>1656</v>
      </c>
    </row>
    <row r="443">
      <c r="A443" s="513" t="s">
        <v>10953</v>
      </c>
      <c r="B443" s="515"/>
      <c r="C443" s="74">
        <v>0.1</v>
      </c>
      <c r="D443" s="179">
        <v>0.75</v>
      </c>
      <c r="E443" s="179">
        <v>0.75</v>
      </c>
      <c r="F443" s="229" t="s">
        <v>1656</v>
      </c>
    </row>
    <row r="444">
      <c r="A444" s="513" t="s">
        <v>10954</v>
      </c>
      <c r="B444" s="515"/>
      <c r="C444" s="74">
        <v>0.1</v>
      </c>
      <c r="D444" s="179">
        <v>0.75</v>
      </c>
      <c r="E444" s="179">
        <v>0.75</v>
      </c>
      <c r="F444" s="229" t="s">
        <v>1656</v>
      </c>
    </row>
    <row r="445">
      <c r="A445" s="513" t="s">
        <v>10955</v>
      </c>
      <c r="B445" s="515"/>
      <c r="C445" s="74">
        <v>0.1</v>
      </c>
      <c r="D445" s="179">
        <v>0.75</v>
      </c>
      <c r="E445" s="179">
        <v>0.75</v>
      </c>
      <c r="F445" s="229" t="s">
        <v>1656</v>
      </c>
    </row>
    <row r="446">
      <c r="A446" s="513" t="s">
        <v>10956</v>
      </c>
      <c r="B446" s="515"/>
      <c r="C446" s="74">
        <v>0.1</v>
      </c>
      <c r="D446" s="179">
        <v>0.75</v>
      </c>
      <c r="E446" s="179">
        <v>0.75</v>
      </c>
      <c r="F446" s="229" t="s">
        <v>1656</v>
      </c>
    </row>
    <row r="447">
      <c r="A447" s="513" t="s">
        <v>10957</v>
      </c>
      <c r="B447" s="117">
        <v>6675.0</v>
      </c>
      <c r="C447" s="74">
        <v>0.1</v>
      </c>
      <c r="D447" s="74">
        <v>0.9</v>
      </c>
      <c r="E447" s="74">
        <v>0.9</v>
      </c>
      <c r="F447" s="229" t="s">
        <v>1656</v>
      </c>
    </row>
    <row r="448">
      <c r="A448" s="513" t="s">
        <v>10958</v>
      </c>
      <c r="B448" s="515"/>
      <c r="C448" s="74">
        <v>0.1</v>
      </c>
      <c r="D448" s="179">
        <v>0.75</v>
      </c>
      <c r="E448" s="179">
        <v>0.75</v>
      </c>
      <c r="F448" s="229" t="s">
        <v>1656</v>
      </c>
    </row>
    <row r="449">
      <c r="A449" s="513" t="s">
        <v>2801</v>
      </c>
      <c r="B449" s="117">
        <v>6924.0</v>
      </c>
      <c r="C449" s="74">
        <v>0.1</v>
      </c>
      <c r="D449" s="179">
        <v>0.75</v>
      </c>
      <c r="E449" s="179">
        <v>0.75</v>
      </c>
      <c r="F449" s="229" t="s">
        <v>1656</v>
      </c>
    </row>
    <row r="450">
      <c r="A450" s="513" t="s">
        <v>886</v>
      </c>
      <c r="B450" s="515"/>
      <c r="C450" s="74">
        <v>0.1</v>
      </c>
      <c r="D450" s="179">
        <v>0.75</v>
      </c>
      <c r="E450" s="179">
        <v>0.75</v>
      </c>
      <c r="F450" s="229" t="s">
        <v>1656</v>
      </c>
    </row>
    <row r="451">
      <c r="A451" s="513" t="s">
        <v>10959</v>
      </c>
      <c r="B451" s="515"/>
      <c r="C451" s="74">
        <v>0.1</v>
      </c>
      <c r="D451" s="179">
        <v>0.75</v>
      </c>
      <c r="E451" s="179">
        <v>0.75</v>
      </c>
      <c r="F451" s="229" t="s">
        <v>1656</v>
      </c>
    </row>
    <row r="452">
      <c r="A452" s="513" t="s">
        <v>10960</v>
      </c>
      <c r="B452" s="515"/>
      <c r="C452" s="74">
        <v>0.1</v>
      </c>
      <c r="D452" s="179">
        <v>0.75</v>
      </c>
      <c r="E452" s="179">
        <v>0.75</v>
      </c>
      <c r="F452" s="229" t="s">
        <v>1656</v>
      </c>
    </row>
    <row r="453">
      <c r="A453" s="513" t="s">
        <v>10961</v>
      </c>
      <c r="B453" s="515"/>
      <c r="C453" s="74">
        <v>0.1</v>
      </c>
      <c r="D453" s="179">
        <v>0.75</v>
      </c>
      <c r="E453" s="179">
        <v>0.75</v>
      </c>
      <c r="F453" s="229" t="s">
        <v>1656</v>
      </c>
    </row>
    <row r="454">
      <c r="A454" s="513" t="s">
        <v>10962</v>
      </c>
      <c r="B454" s="117">
        <v>7129.0</v>
      </c>
      <c r="C454" s="74">
        <v>0.1</v>
      </c>
      <c r="D454" s="179">
        <v>0.75</v>
      </c>
      <c r="E454" s="179">
        <v>0.75</v>
      </c>
      <c r="F454" s="229" t="s">
        <v>1656</v>
      </c>
    </row>
    <row r="455">
      <c r="A455" s="513" t="s">
        <v>10963</v>
      </c>
      <c r="B455" s="515"/>
      <c r="C455" s="74">
        <v>0.1</v>
      </c>
      <c r="D455" s="179">
        <v>0.75</v>
      </c>
      <c r="E455" s="179">
        <v>0.75</v>
      </c>
      <c r="F455" s="229" t="s">
        <v>1656</v>
      </c>
    </row>
    <row r="456">
      <c r="A456" s="513" t="s">
        <v>10964</v>
      </c>
      <c r="B456" s="117">
        <v>2345.0</v>
      </c>
      <c r="C456" s="74">
        <v>0.1</v>
      </c>
      <c r="D456" s="514">
        <v>0.85</v>
      </c>
      <c r="E456" s="514">
        <v>0.85</v>
      </c>
      <c r="F456" s="229" t="s">
        <v>1656</v>
      </c>
    </row>
    <row r="457">
      <c r="A457" s="513" t="s">
        <v>10965</v>
      </c>
      <c r="B457" s="117">
        <v>2345.0</v>
      </c>
      <c r="C457" s="74">
        <v>0.1</v>
      </c>
      <c r="D457" s="514">
        <v>0.85</v>
      </c>
      <c r="E457" s="514">
        <v>0.85</v>
      </c>
      <c r="F457" s="229" t="s">
        <v>1656</v>
      </c>
    </row>
    <row r="458">
      <c r="A458" s="513" t="s">
        <v>10966</v>
      </c>
      <c r="B458" s="117">
        <v>6530.0</v>
      </c>
      <c r="C458" s="74">
        <v>0.1</v>
      </c>
      <c r="D458" s="179">
        <v>0.75</v>
      </c>
      <c r="E458" s="179">
        <v>0.75</v>
      </c>
      <c r="F458" s="229" t="s">
        <v>1656</v>
      </c>
    </row>
    <row r="459">
      <c r="A459" s="513" t="s">
        <v>10967</v>
      </c>
      <c r="B459" s="117">
        <v>6530.0</v>
      </c>
      <c r="C459" s="74">
        <v>0.1</v>
      </c>
      <c r="D459" s="179">
        <v>0.75</v>
      </c>
      <c r="E459" s="179">
        <v>0.75</v>
      </c>
      <c r="F459" s="229" t="s">
        <v>1656</v>
      </c>
    </row>
    <row r="460">
      <c r="A460" s="513" t="s">
        <v>10968</v>
      </c>
      <c r="B460" s="117">
        <v>6530.0</v>
      </c>
      <c r="C460" s="74">
        <v>0.1</v>
      </c>
      <c r="D460" s="179">
        <v>0.75</v>
      </c>
      <c r="E460" s="179">
        <v>0.75</v>
      </c>
      <c r="F460" s="229" t="s">
        <v>1656</v>
      </c>
    </row>
    <row r="461">
      <c r="A461" s="513" t="s">
        <v>10969</v>
      </c>
      <c r="B461" s="117">
        <v>2345.0</v>
      </c>
      <c r="C461" s="74">
        <v>0.1</v>
      </c>
      <c r="D461" s="514">
        <v>0.85</v>
      </c>
      <c r="E461" s="514">
        <v>0.85</v>
      </c>
      <c r="F461" s="229" t="s">
        <v>1656</v>
      </c>
    </row>
    <row r="462">
      <c r="A462" s="513" t="s">
        <v>10970</v>
      </c>
      <c r="B462" s="117">
        <v>7105.0</v>
      </c>
      <c r="C462" s="74">
        <v>0.1</v>
      </c>
      <c r="D462" s="179">
        <v>0.75</v>
      </c>
      <c r="E462" s="179">
        <v>0.75</v>
      </c>
      <c r="F462" s="229" t="s">
        <v>1656</v>
      </c>
    </row>
    <row r="463">
      <c r="A463" s="513" t="s">
        <v>10971</v>
      </c>
      <c r="B463" s="515"/>
      <c r="C463" s="74">
        <v>0.1</v>
      </c>
      <c r="D463" s="179">
        <v>0.75</v>
      </c>
      <c r="E463" s="179">
        <v>0.75</v>
      </c>
      <c r="F463" s="229" t="s">
        <v>1656</v>
      </c>
    </row>
    <row r="464">
      <c r="A464" s="513" t="s">
        <v>3031</v>
      </c>
      <c r="B464" s="117">
        <v>2345.0</v>
      </c>
      <c r="C464" s="74">
        <v>0.1</v>
      </c>
      <c r="D464" s="514">
        <v>0.85</v>
      </c>
      <c r="E464" s="514">
        <v>0.85</v>
      </c>
      <c r="F464" s="229" t="s">
        <v>1656</v>
      </c>
    </row>
    <row r="465">
      <c r="A465" s="513" t="s">
        <v>10972</v>
      </c>
      <c r="B465" s="117">
        <v>7099.0</v>
      </c>
      <c r="C465" s="74">
        <v>0.1</v>
      </c>
      <c r="D465" s="179">
        <v>0.75</v>
      </c>
      <c r="E465" s="179">
        <v>0.75</v>
      </c>
      <c r="F465" s="229" t="s">
        <v>1656</v>
      </c>
    </row>
    <row r="466">
      <c r="A466" s="513" t="s">
        <v>10973</v>
      </c>
      <c r="B466" s="117">
        <v>7246.0</v>
      </c>
      <c r="C466" s="74">
        <v>0.1</v>
      </c>
      <c r="D466" s="179">
        <v>0.75</v>
      </c>
      <c r="E466" s="179">
        <v>0.75</v>
      </c>
      <c r="F466" s="229" t="s">
        <v>1656</v>
      </c>
    </row>
    <row r="467">
      <c r="A467" s="513" t="s">
        <v>10974</v>
      </c>
      <c r="B467" s="117">
        <v>2345.0</v>
      </c>
      <c r="C467" s="74">
        <v>0.1</v>
      </c>
      <c r="D467" s="514">
        <v>0.85</v>
      </c>
      <c r="E467" s="514">
        <v>0.85</v>
      </c>
      <c r="F467" s="229" t="s">
        <v>1656</v>
      </c>
    </row>
    <row r="468">
      <c r="A468" s="513" t="s">
        <v>5820</v>
      </c>
      <c r="B468" s="117">
        <v>2345.0</v>
      </c>
      <c r="C468" s="74">
        <v>0.1</v>
      </c>
      <c r="D468" s="514">
        <v>0.85</v>
      </c>
      <c r="E468" s="514">
        <v>0.85</v>
      </c>
      <c r="F468" s="229" t="s">
        <v>1656</v>
      </c>
    </row>
    <row r="469">
      <c r="A469" s="513" t="s">
        <v>10975</v>
      </c>
      <c r="B469" s="117">
        <v>2345.0</v>
      </c>
      <c r="C469" s="74">
        <v>0.1</v>
      </c>
      <c r="D469" s="514">
        <v>0.85</v>
      </c>
      <c r="E469" s="514">
        <v>0.85</v>
      </c>
      <c r="F469" s="229" t="s">
        <v>1656</v>
      </c>
    </row>
    <row r="470">
      <c r="A470" s="513" t="s">
        <v>10976</v>
      </c>
      <c r="B470" s="117">
        <v>2345.0</v>
      </c>
      <c r="C470" s="74">
        <v>0.1</v>
      </c>
      <c r="D470" s="514">
        <v>0.85</v>
      </c>
      <c r="E470" s="514">
        <v>0.85</v>
      </c>
      <c r="F470" s="229" t="s">
        <v>1656</v>
      </c>
    </row>
    <row r="471">
      <c r="A471" s="513" t="s">
        <v>10977</v>
      </c>
      <c r="B471" s="117">
        <v>2345.0</v>
      </c>
      <c r="C471" s="74">
        <v>0.1</v>
      </c>
      <c r="D471" s="514">
        <v>0.85</v>
      </c>
      <c r="E471" s="514">
        <v>0.85</v>
      </c>
      <c r="F471" s="229" t="s">
        <v>1656</v>
      </c>
    </row>
    <row r="472">
      <c r="A472" s="513" t="s">
        <v>10978</v>
      </c>
      <c r="B472" s="117">
        <v>2345.0</v>
      </c>
      <c r="C472" s="74">
        <v>0.1</v>
      </c>
      <c r="D472" s="514">
        <v>0.85</v>
      </c>
      <c r="E472" s="514">
        <v>0.85</v>
      </c>
      <c r="F472" s="229" t="s">
        <v>1656</v>
      </c>
    </row>
    <row r="473">
      <c r="A473" s="516" t="s">
        <v>10979</v>
      </c>
      <c r="B473" s="51">
        <v>9602.0</v>
      </c>
      <c r="C473" s="74">
        <v>0.1</v>
      </c>
      <c r="D473" s="179">
        <v>0.75</v>
      </c>
      <c r="E473" s="179">
        <v>0.75</v>
      </c>
      <c r="F473" s="229" t="s">
        <v>1656</v>
      </c>
      <c r="G473" s="117" t="s">
        <v>10980</v>
      </c>
    </row>
    <row r="474">
      <c r="A474" s="516" t="s">
        <v>10981</v>
      </c>
      <c r="B474" s="186">
        <v>8163.0</v>
      </c>
      <c r="C474" s="74">
        <v>0.1</v>
      </c>
      <c r="D474" s="179">
        <v>0.75</v>
      </c>
      <c r="E474" s="179">
        <v>0.75</v>
      </c>
      <c r="F474" s="229" t="s">
        <v>1656</v>
      </c>
      <c r="G474" s="117" t="s">
        <v>10980</v>
      </c>
    </row>
    <row r="475">
      <c r="A475" s="516" t="s">
        <v>10982</v>
      </c>
      <c r="B475" s="51">
        <v>9573.0</v>
      </c>
      <c r="C475" s="74">
        <v>0.1</v>
      </c>
      <c r="D475" s="179">
        <v>0.75</v>
      </c>
      <c r="E475" s="179">
        <v>0.75</v>
      </c>
      <c r="F475" s="229" t="s">
        <v>1656</v>
      </c>
      <c r="G475" s="117" t="s">
        <v>10980</v>
      </c>
    </row>
    <row r="476">
      <c r="A476" s="516" t="s">
        <v>10983</v>
      </c>
      <c r="B476" s="51">
        <v>9572.0</v>
      </c>
      <c r="C476" s="74">
        <v>0.1</v>
      </c>
      <c r="D476" s="179">
        <v>0.75</v>
      </c>
      <c r="E476" s="179">
        <v>0.75</v>
      </c>
      <c r="F476" s="229" t="s">
        <v>1656</v>
      </c>
      <c r="G476" s="117" t="s">
        <v>10980</v>
      </c>
    </row>
    <row r="477">
      <c r="A477" s="516" t="s">
        <v>10984</v>
      </c>
      <c r="B477" s="51">
        <v>9596.0</v>
      </c>
      <c r="C477" s="74">
        <v>0.1</v>
      </c>
      <c r="D477" s="179">
        <v>0.75</v>
      </c>
      <c r="E477" s="179">
        <v>0.75</v>
      </c>
      <c r="F477" s="229" t="s">
        <v>1656</v>
      </c>
      <c r="G477" s="117" t="s">
        <v>10980</v>
      </c>
    </row>
    <row r="478">
      <c r="A478" s="516" t="s">
        <v>10985</v>
      </c>
      <c r="B478" s="188">
        <v>12277.0</v>
      </c>
      <c r="C478" s="74">
        <v>0.1</v>
      </c>
      <c r="D478" s="179">
        <v>0.75</v>
      </c>
      <c r="E478" s="179">
        <v>0.75</v>
      </c>
      <c r="F478" s="229" t="s">
        <v>1656</v>
      </c>
      <c r="G478" s="117" t="s">
        <v>10980</v>
      </c>
    </row>
    <row r="479">
      <c r="A479" s="516" t="s">
        <v>10986</v>
      </c>
      <c r="B479" s="186">
        <v>7670.0</v>
      </c>
      <c r="C479" s="74">
        <v>0.1</v>
      </c>
      <c r="D479" s="179">
        <v>0.75</v>
      </c>
      <c r="E479" s="179">
        <v>0.75</v>
      </c>
      <c r="F479" s="229" t="s">
        <v>1656</v>
      </c>
      <c r="G479" s="117" t="s">
        <v>10980</v>
      </c>
    </row>
    <row r="480">
      <c r="A480" s="516" t="s">
        <v>10987</v>
      </c>
      <c r="B480" s="188">
        <v>12259.0</v>
      </c>
      <c r="C480" s="74">
        <v>0.1</v>
      </c>
      <c r="D480" s="179">
        <v>0.75</v>
      </c>
      <c r="E480" s="179">
        <v>0.75</v>
      </c>
      <c r="F480" s="229" t="s">
        <v>1656</v>
      </c>
      <c r="G480" s="117" t="s">
        <v>10980</v>
      </c>
    </row>
    <row r="481">
      <c r="A481" s="516" t="s">
        <v>10988</v>
      </c>
      <c r="B481" s="188">
        <v>10368.0</v>
      </c>
      <c r="C481" s="74">
        <v>0.1</v>
      </c>
      <c r="D481" s="179">
        <v>0.75</v>
      </c>
      <c r="E481" s="179">
        <v>0.75</v>
      </c>
      <c r="F481" s="229" t="s">
        <v>1656</v>
      </c>
      <c r="G481" s="117" t="s">
        <v>10980</v>
      </c>
    </row>
    <row r="482">
      <c r="A482" s="516" t="s">
        <v>10989</v>
      </c>
      <c r="B482" s="51">
        <v>8623.0</v>
      </c>
      <c r="C482" s="74">
        <v>0.1</v>
      </c>
      <c r="D482" s="514">
        <v>0.85</v>
      </c>
      <c r="E482" s="514">
        <v>0.85</v>
      </c>
      <c r="F482" s="229" t="s">
        <v>1656</v>
      </c>
      <c r="G482" s="117" t="s">
        <v>10980</v>
      </c>
    </row>
    <row r="483">
      <c r="A483" s="516" t="s">
        <v>6078</v>
      </c>
      <c r="B483" s="51">
        <v>9685.0</v>
      </c>
      <c r="C483" s="74">
        <v>0.1</v>
      </c>
      <c r="D483" s="179">
        <v>0.75</v>
      </c>
      <c r="E483" s="179">
        <v>0.75</v>
      </c>
      <c r="F483" s="229" t="s">
        <v>1656</v>
      </c>
      <c r="G483" s="117" t="s">
        <v>10980</v>
      </c>
    </row>
    <row r="484">
      <c r="A484" s="516" t="s">
        <v>10990</v>
      </c>
      <c r="B484" s="188">
        <v>11768.0</v>
      </c>
      <c r="C484" s="74">
        <v>0.1</v>
      </c>
      <c r="D484" s="179">
        <v>0.75</v>
      </c>
      <c r="E484" s="179">
        <v>0.75</v>
      </c>
      <c r="F484" s="229" t="s">
        <v>1656</v>
      </c>
      <c r="G484" s="117" t="s">
        <v>10980</v>
      </c>
    </row>
    <row r="485">
      <c r="A485" s="516" t="s">
        <v>10991</v>
      </c>
      <c r="B485" s="188">
        <v>9768.0</v>
      </c>
      <c r="C485" s="74">
        <v>0.1</v>
      </c>
      <c r="D485" s="179">
        <v>0.75</v>
      </c>
      <c r="E485" s="179">
        <v>0.75</v>
      </c>
      <c r="F485" s="229" t="s">
        <v>1656</v>
      </c>
      <c r="G485" s="117" t="s">
        <v>10980</v>
      </c>
    </row>
    <row r="486">
      <c r="A486" s="516" t="s">
        <v>10992</v>
      </c>
      <c r="B486" s="188">
        <v>12258.0</v>
      </c>
      <c r="C486" s="74">
        <v>0.1</v>
      </c>
      <c r="D486" s="179">
        <v>0.75</v>
      </c>
      <c r="E486" s="179">
        <v>0.75</v>
      </c>
      <c r="F486" s="229" t="s">
        <v>1656</v>
      </c>
      <c r="G486" s="117" t="s">
        <v>10980</v>
      </c>
    </row>
    <row r="487">
      <c r="A487" s="243" t="s">
        <v>10993</v>
      </c>
      <c r="B487" s="202"/>
      <c r="C487" s="74">
        <v>0.1</v>
      </c>
      <c r="D487" s="179">
        <v>0.75</v>
      </c>
      <c r="E487" s="179">
        <v>0.75</v>
      </c>
      <c r="F487" s="229" t="s">
        <v>1656</v>
      </c>
      <c r="G487" s="117" t="s">
        <v>10980</v>
      </c>
    </row>
    <row r="488">
      <c r="A488" s="243" t="s">
        <v>10994</v>
      </c>
      <c r="B488" s="202"/>
      <c r="C488" s="74">
        <v>0.1</v>
      </c>
      <c r="D488" s="179">
        <v>0.75</v>
      </c>
      <c r="E488" s="179">
        <v>0.75</v>
      </c>
      <c r="F488" s="229" t="s">
        <v>1656</v>
      </c>
      <c r="G488" s="117" t="s">
        <v>10980</v>
      </c>
    </row>
    <row r="489">
      <c r="A489" s="243" t="s">
        <v>10995</v>
      </c>
      <c r="B489" s="51">
        <v>11271.0</v>
      </c>
      <c r="C489" s="74">
        <v>0.1</v>
      </c>
      <c r="D489" s="179">
        <v>0.75</v>
      </c>
      <c r="E489" s="179">
        <v>0.75</v>
      </c>
      <c r="F489" s="229" t="s">
        <v>1656</v>
      </c>
      <c r="G489" s="117" t="s">
        <v>10980</v>
      </c>
    </row>
    <row r="490">
      <c r="A490" s="243" t="s">
        <v>10996</v>
      </c>
      <c r="B490" s="202"/>
      <c r="C490" s="74">
        <v>0.1</v>
      </c>
      <c r="D490" s="179">
        <v>0.75</v>
      </c>
      <c r="E490" s="179">
        <v>0.75</v>
      </c>
      <c r="F490" s="229" t="s">
        <v>1656</v>
      </c>
      <c r="G490" s="117" t="s">
        <v>10980</v>
      </c>
    </row>
    <row r="491">
      <c r="A491" s="243" t="s">
        <v>10997</v>
      </c>
      <c r="B491" s="51">
        <v>7416.0</v>
      </c>
      <c r="C491" s="74">
        <v>0.1</v>
      </c>
      <c r="D491" s="179">
        <v>0.75</v>
      </c>
      <c r="E491" s="179">
        <v>0.75</v>
      </c>
      <c r="F491" s="229" t="s">
        <v>1656</v>
      </c>
      <c r="G491" s="117" t="s">
        <v>10980</v>
      </c>
    </row>
    <row r="492">
      <c r="A492" s="243" t="s">
        <v>10998</v>
      </c>
      <c r="B492" s="202"/>
      <c r="C492" s="74">
        <v>0.1</v>
      </c>
      <c r="D492" s="179">
        <v>0.75</v>
      </c>
      <c r="E492" s="179">
        <v>0.75</v>
      </c>
      <c r="F492" s="229" t="s">
        <v>1656</v>
      </c>
      <c r="G492" s="117" t="s">
        <v>10980</v>
      </c>
    </row>
    <row r="493">
      <c r="A493" s="243" t="s">
        <v>10999</v>
      </c>
      <c r="B493" s="202">
        <v>14031.0</v>
      </c>
      <c r="C493" s="74">
        <v>0.1</v>
      </c>
      <c r="D493" s="179">
        <v>0.75</v>
      </c>
      <c r="E493" s="179">
        <v>0.75</v>
      </c>
      <c r="F493" s="229" t="s">
        <v>1656</v>
      </c>
      <c r="G493" s="117" t="s">
        <v>10980</v>
      </c>
    </row>
    <row r="494">
      <c r="A494" s="243" t="s">
        <v>11000</v>
      </c>
      <c r="B494" s="188">
        <v>13895.0</v>
      </c>
      <c r="C494" s="74">
        <v>0.1</v>
      </c>
      <c r="D494" s="179">
        <v>0.75</v>
      </c>
      <c r="E494" s="179">
        <v>0.75</v>
      </c>
      <c r="F494" s="229" t="s">
        <v>1656</v>
      </c>
      <c r="G494" s="117" t="s">
        <v>10980</v>
      </c>
    </row>
    <row r="495">
      <c r="A495" s="243" t="s">
        <v>11001</v>
      </c>
      <c r="B495" s="202"/>
      <c r="C495" s="74">
        <v>0.1</v>
      </c>
      <c r="D495" s="179">
        <v>0.75</v>
      </c>
      <c r="E495" s="179">
        <v>0.75</v>
      </c>
      <c r="F495" s="229" t="s">
        <v>1656</v>
      </c>
      <c r="G495" s="117" t="s">
        <v>10980</v>
      </c>
    </row>
    <row r="496">
      <c r="A496" s="243" t="s">
        <v>6029</v>
      </c>
      <c r="B496" s="202"/>
      <c r="C496" s="74">
        <v>0.1</v>
      </c>
      <c r="D496" s="179">
        <v>0.75</v>
      </c>
      <c r="E496" s="179">
        <v>0.75</v>
      </c>
      <c r="F496" s="229" t="s">
        <v>1656</v>
      </c>
      <c r="G496" s="117" t="s">
        <v>10980</v>
      </c>
    </row>
    <row r="497">
      <c r="A497" s="243" t="s">
        <v>11002</v>
      </c>
      <c r="B497" s="202"/>
      <c r="C497" s="74">
        <v>0.1</v>
      </c>
      <c r="D497" s="179">
        <v>0.75</v>
      </c>
      <c r="E497" s="179">
        <v>0.75</v>
      </c>
      <c r="F497" s="229" t="s">
        <v>1656</v>
      </c>
      <c r="G497" s="117" t="s">
        <v>10980</v>
      </c>
    </row>
    <row r="498">
      <c r="A498" s="243" t="s">
        <v>11003</v>
      </c>
      <c r="B498" s="202"/>
      <c r="C498" s="74">
        <v>0.1</v>
      </c>
      <c r="D498" s="179">
        <v>0.75</v>
      </c>
      <c r="E498" s="179">
        <v>0.75</v>
      </c>
      <c r="F498" s="229" t="s">
        <v>1656</v>
      </c>
      <c r="G498" s="117" t="s">
        <v>10980</v>
      </c>
    </row>
    <row r="499">
      <c r="A499" s="243" t="s">
        <v>11004</v>
      </c>
      <c r="B499" s="202"/>
      <c r="C499" s="74">
        <v>0.1</v>
      </c>
      <c r="D499" s="179">
        <v>0.75</v>
      </c>
      <c r="E499" s="179">
        <v>0.75</v>
      </c>
      <c r="F499" s="229" t="s">
        <v>1656</v>
      </c>
      <c r="G499" s="117" t="s">
        <v>10980</v>
      </c>
    </row>
    <row r="500">
      <c r="A500" s="243" t="s">
        <v>1017</v>
      </c>
      <c r="B500" s="112">
        <v>14771.0</v>
      </c>
      <c r="C500" s="74">
        <v>0.1</v>
      </c>
      <c r="D500" s="179">
        <v>0.75</v>
      </c>
      <c r="E500" s="179">
        <v>0.75</v>
      </c>
      <c r="F500" s="229" t="s">
        <v>1656</v>
      </c>
      <c r="G500" s="117" t="s">
        <v>10980</v>
      </c>
    </row>
    <row r="501">
      <c r="A501" s="243" t="s">
        <v>11005</v>
      </c>
      <c r="B501" s="51">
        <v>14173.0</v>
      </c>
      <c r="C501" s="74">
        <v>0.1</v>
      </c>
      <c r="D501" s="179">
        <v>0.75</v>
      </c>
      <c r="E501" s="179">
        <v>0.75</v>
      </c>
      <c r="F501" s="229" t="s">
        <v>1656</v>
      </c>
      <c r="G501" s="117" t="s">
        <v>10980</v>
      </c>
    </row>
    <row r="502">
      <c r="A502" s="283"/>
      <c r="B502" s="283"/>
      <c r="C502" s="283"/>
      <c r="E502" s="326"/>
      <c r="F502" s="326"/>
    </row>
    <row r="503">
      <c r="A503" s="283"/>
      <c r="B503" s="283"/>
      <c r="C503" s="283"/>
      <c r="E503" s="326"/>
      <c r="F503" s="326"/>
    </row>
    <row r="504">
      <c r="A504" s="283"/>
      <c r="B504" s="283"/>
      <c r="C504" s="283"/>
      <c r="E504" s="326"/>
      <c r="F504" s="326"/>
    </row>
    <row r="505">
      <c r="A505" s="283"/>
      <c r="B505" s="283"/>
      <c r="C505" s="283"/>
      <c r="E505" s="326"/>
      <c r="F505" s="326"/>
    </row>
    <row r="506">
      <c r="A506" s="283"/>
      <c r="B506" s="283"/>
      <c r="C506" s="283"/>
      <c r="E506" s="326"/>
      <c r="F506" s="326"/>
    </row>
    <row r="507">
      <c r="A507" s="283"/>
      <c r="B507" s="283"/>
      <c r="C507" s="283"/>
      <c r="E507" s="326"/>
      <c r="F507" s="326"/>
    </row>
    <row r="508">
      <c r="A508" s="283"/>
      <c r="B508" s="283"/>
      <c r="C508" s="283"/>
      <c r="E508" s="326"/>
      <c r="F508" s="326"/>
    </row>
    <row r="509">
      <c r="A509" s="283"/>
      <c r="B509" s="283"/>
      <c r="C509" s="283"/>
      <c r="E509" s="326"/>
      <c r="F509" s="326"/>
    </row>
    <row r="510">
      <c r="A510" s="283"/>
      <c r="B510" s="283"/>
      <c r="C510" s="283"/>
      <c r="E510" s="326"/>
      <c r="F510" s="326"/>
    </row>
    <row r="511">
      <c r="A511" s="283"/>
      <c r="B511" s="283"/>
      <c r="C511" s="283"/>
      <c r="E511" s="326"/>
      <c r="F511" s="326"/>
    </row>
    <row r="512">
      <c r="A512" s="283"/>
      <c r="B512" s="283"/>
      <c r="C512" s="283"/>
      <c r="E512" s="326"/>
      <c r="F512" s="326"/>
    </row>
    <row r="513">
      <c r="A513" s="283"/>
      <c r="B513" s="283"/>
      <c r="C513" s="283"/>
      <c r="E513" s="326"/>
      <c r="F513" s="326"/>
    </row>
    <row r="514">
      <c r="A514" s="283"/>
      <c r="B514" s="283"/>
      <c r="C514" s="283"/>
      <c r="E514" s="326"/>
      <c r="F514" s="326"/>
    </row>
    <row r="515">
      <c r="A515" s="283"/>
      <c r="B515" s="283"/>
      <c r="C515" s="283"/>
      <c r="E515" s="326"/>
      <c r="F515" s="326"/>
    </row>
    <row r="516">
      <c r="A516" s="283"/>
      <c r="B516" s="283"/>
      <c r="C516" s="283"/>
      <c r="E516" s="326"/>
      <c r="F516" s="326"/>
    </row>
    <row r="517">
      <c r="A517" s="283"/>
      <c r="B517" s="283"/>
      <c r="C517" s="283"/>
      <c r="E517" s="326"/>
      <c r="F517" s="326"/>
    </row>
    <row r="518">
      <c r="A518" s="283"/>
      <c r="B518" s="283"/>
      <c r="C518" s="283"/>
      <c r="E518" s="326"/>
      <c r="F518" s="326"/>
    </row>
    <row r="519">
      <c r="A519" s="283"/>
      <c r="B519" s="283"/>
      <c r="C519" s="283"/>
      <c r="E519" s="326"/>
      <c r="F519" s="326"/>
    </row>
    <row r="520">
      <c r="A520" s="283"/>
      <c r="B520" s="283"/>
      <c r="C520" s="283"/>
      <c r="E520" s="326"/>
      <c r="F520" s="326"/>
    </row>
    <row r="521">
      <c r="A521" s="283"/>
      <c r="B521" s="283"/>
      <c r="C521" s="283"/>
      <c r="E521" s="326"/>
      <c r="F521" s="326"/>
    </row>
    <row r="522">
      <c r="A522" s="283"/>
      <c r="B522" s="283"/>
      <c r="C522" s="283"/>
      <c r="E522" s="326"/>
      <c r="F522" s="326"/>
    </row>
    <row r="523">
      <c r="A523" s="283"/>
      <c r="B523" s="283"/>
      <c r="C523" s="283"/>
      <c r="E523" s="326"/>
      <c r="F523" s="326"/>
    </row>
    <row r="524">
      <c r="A524" s="283"/>
      <c r="B524" s="283"/>
      <c r="C524" s="283"/>
      <c r="E524" s="326"/>
      <c r="F524" s="326"/>
    </row>
    <row r="525">
      <c r="A525" s="283"/>
      <c r="B525" s="283"/>
      <c r="C525" s="283"/>
      <c r="E525" s="326"/>
      <c r="F525" s="326"/>
    </row>
    <row r="526">
      <c r="A526" s="283"/>
      <c r="B526" s="283"/>
      <c r="C526" s="283"/>
      <c r="E526" s="326"/>
      <c r="F526" s="326"/>
    </row>
    <row r="527">
      <c r="A527" s="283"/>
      <c r="B527" s="283"/>
      <c r="C527" s="283"/>
      <c r="E527" s="326"/>
      <c r="F527" s="326"/>
    </row>
    <row r="528">
      <c r="A528" s="283"/>
      <c r="B528" s="283"/>
      <c r="C528" s="283"/>
      <c r="E528" s="326"/>
      <c r="F528" s="326"/>
    </row>
    <row r="529">
      <c r="A529" s="283"/>
      <c r="B529" s="283"/>
      <c r="C529" s="283"/>
      <c r="E529" s="326"/>
      <c r="F529" s="326"/>
    </row>
    <row r="530">
      <c r="A530" s="283"/>
      <c r="B530" s="283"/>
      <c r="C530" s="283"/>
      <c r="E530" s="326"/>
      <c r="F530" s="326"/>
    </row>
    <row r="531">
      <c r="A531" s="283"/>
      <c r="B531" s="283"/>
      <c r="C531" s="283"/>
      <c r="E531" s="326"/>
      <c r="F531" s="326"/>
    </row>
    <row r="532">
      <c r="A532" s="283"/>
      <c r="B532" s="283"/>
      <c r="C532" s="283"/>
      <c r="E532" s="326"/>
      <c r="F532" s="326"/>
    </row>
    <row r="533">
      <c r="A533" s="283"/>
      <c r="B533" s="283"/>
      <c r="C533" s="283"/>
      <c r="E533" s="326"/>
      <c r="F533" s="326"/>
    </row>
    <row r="534">
      <c r="A534" s="283"/>
      <c r="B534" s="283"/>
      <c r="C534" s="283"/>
      <c r="E534" s="326"/>
      <c r="F534" s="326"/>
    </row>
    <row r="535">
      <c r="A535" s="283"/>
      <c r="B535" s="283"/>
      <c r="C535" s="283"/>
      <c r="E535" s="326"/>
      <c r="F535" s="326"/>
    </row>
    <row r="536">
      <c r="A536" s="283"/>
      <c r="B536" s="283"/>
      <c r="C536" s="283"/>
      <c r="E536" s="326"/>
      <c r="F536" s="326"/>
    </row>
    <row r="537">
      <c r="A537" s="283"/>
      <c r="B537" s="283"/>
      <c r="C537" s="283"/>
      <c r="E537" s="326"/>
      <c r="F537" s="326"/>
    </row>
    <row r="538">
      <c r="A538" s="283"/>
      <c r="B538" s="283"/>
      <c r="C538" s="283"/>
      <c r="E538" s="326"/>
      <c r="F538" s="326"/>
    </row>
    <row r="539">
      <c r="A539" s="283"/>
      <c r="B539" s="283"/>
      <c r="C539" s="283"/>
      <c r="E539" s="326"/>
      <c r="F539" s="326"/>
    </row>
    <row r="540">
      <c r="A540" s="283"/>
      <c r="B540" s="283"/>
      <c r="C540" s="283"/>
      <c r="E540" s="326"/>
      <c r="F540" s="326"/>
    </row>
    <row r="541">
      <c r="A541" s="283"/>
      <c r="B541" s="283"/>
      <c r="C541" s="283"/>
      <c r="E541" s="326"/>
      <c r="F541" s="326"/>
    </row>
    <row r="542">
      <c r="A542" s="283"/>
      <c r="B542" s="283"/>
      <c r="C542" s="283"/>
      <c r="E542" s="326"/>
      <c r="F542" s="326"/>
    </row>
    <row r="543">
      <c r="A543" s="283"/>
      <c r="B543" s="283"/>
      <c r="C543" s="283"/>
      <c r="E543" s="326"/>
      <c r="F543" s="326"/>
    </row>
    <row r="544">
      <c r="A544" s="283"/>
      <c r="B544" s="283"/>
      <c r="C544" s="283"/>
      <c r="E544" s="326"/>
      <c r="F544" s="326"/>
    </row>
    <row r="545">
      <c r="A545" s="283"/>
      <c r="B545" s="283"/>
      <c r="C545" s="283"/>
      <c r="E545" s="326"/>
      <c r="F545" s="326"/>
    </row>
    <row r="546">
      <c r="A546" s="283"/>
      <c r="B546" s="283"/>
      <c r="C546" s="283"/>
      <c r="E546" s="326"/>
      <c r="F546" s="326"/>
    </row>
    <row r="547">
      <c r="A547" s="283"/>
      <c r="B547" s="283"/>
      <c r="C547" s="283"/>
      <c r="E547" s="326"/>
      <c r="F547" s="326"/>
    </row>
    <row r="548">
      <c r="A548" s="283"/>
      <c r="B548" s="283"/>
      <c r="C548" s="283"/>
      <c r="E548" s="326"/>
      <c r="F548" s="326"/>
    </row>
    <row r="549">
      <c r="A549" s="283"/>
      <c r="B549" s="283"/>
      <c r="C549" s="283"/>
      <c r="E549" s="326"/>
      <c r="F549" s="326"/>
    </row>
    <row r="550">
      <c r="A550" s="283"/>
      <c r="B550" s="283"/>
      <c r="C550" s="283"/>
      <c r="E550" s="326"/>
      <c r="F550" s="326"/>
    </row>
    <row r="551">
      <c r="A551" s="283"/>
      <c r="B551" s="283"/>
      <c r="C551" s="283"/>
      <c r="E551" s="326"/>
      <c r="F551" s="326"/>
    </row>
    <row r="552">
      <c r="A552" s="283"/>
      <c r="B552" s="283"/>
      <c r="C552" s="283"/>
      <c r="E552" s="326"/>
      <c r="F552" s="326"/>
    </row>
    <row r="553">
      <c r="A553" s="283"/>
      <c r="B553" s="283"/>
      <c r="C553" s="283"/>
      <c r="E553" s="326"/>
      <c r="F553" s="326"/>
    </row>
    <row r="554">
      <c r="A554" s="283"/>
      <c r="B554" s="283"/>
      <c r="C554" s="283"/>
      <c r="E554" s="326"/>
      <c r="F554" s="326"/>
    </row>
    <row r="555">
      <c r="A555" s="283"/>
      <c r="B555" s="283"/>
      <c r="C555" s="283"/>
      <c r="E555" s="326"/>
      <c r="F555" s="326"/>
    </row>
    <row r="556">
      <c r="A556" s="283"/>
      <c r="B556" s="283"/>
      <c r="C556" s="283"/>
      <c r="E556" s="326"/>
      <c r="F556" s="326"/>
    </row>
    <row r="557">
      <c r="A557" s="283"/>
      <c r="B557" s="283"/>
      <c r="C557" s="283"/>
      <c r="E557" s="326"/>
      <c r="F557" s="326"/>
    </row>
    <row r="558">
      <c r="A558" s="283"/>
      <c r="B558" s="283"/>
      <c r="C558" s="283"/>
      <c r="E558" s="326"/>
      <c r="F558" s="326"/>
    </row>
    <row r="559">
      <c r="A559" s="283"/>
      <c r="B559" s="283"/>
      <c r="C559" s="283"/>
      <c r="E559" s="326"/>
      <c r="F559" s="326"/>
    </row>
    <row r="560">
      <c r="A560" s="283"/>
      <c r="B560" s="283"/>
      <c r="C560" s="283"/>
      <c r="E560" s="326"/>
      <c r="F560" s="326"/>
    </row>
    <row r="561">
      <c r="A561" s="283"/>
      <c r="B561" s="283"/>
      <c r="C561" s="283"/>
      <c r="E561" s="326"/>
      <c r="F561" s="326"/>
    </row>
    <row r="562">
      <c r="A562" s="283"/>
      <c r="B562" s="283"/>
      <c r="C562" s="283"/>
      <c r="E562" s="326"/>
      <c r="F562" s="326"/>
    </row>
    <row r="563">
      <c r="A563" s="283"/>
      <c r="B563" s="283"/>
      <c r="C563" s="283"/>
      <c r="E563" s="326"/>
      <c r="F563" s="326"/>
    </row>
    <row r="564">
      <c r="A564" s="283"/>
      <c r="B564" s="283"/>
      <c r="C564" s="283"/>
      <c r="E564" s="326"/>
      <c r="F564" s="326"/>
    </row>
    <row r="565">
      <c r="A565" s="283"/>
      <c r="B565" s="283"/>
      <c r="C565" s="283"/>
      <c r="E565" s="326"/>
      <c r="F565" s="326"/>
    </row>
    <row r="566">
      <c r="A566" s="283"/>
      <c r="B566" s="283"/>
      <c r="C566" s="283"/>
      <c r="E566" s="326"/>
      <c r="F566" s="326"/>
    </row>
    <row r="567">
      <c r="A567" s="283"/>
      <c r="B567" s="283"/>
      <c r="C567" s="283"/>
      <c r="E567" s="326"/>
      <c r="F567" s="326"/>
    </row>
    <row r="568">
      <c r="A568" s="283"/>
      <c r="B568" s="283"/>
      <c r="C568" s="283"/>
      <c r="E568" s="326"/>
      <c r="F568" s="326"/>
    </row>
    <row r="569">
      <c r="A569" s="283"/>
      <c r="B569" s="283"/>
      <c r="C569" s="283"/>
      <c r="E569" s="326"/>
      <c r="F569" s="326"/>
    </row>
    <row r="570">
      <c r="A570" s="283"/>
      <c r="B570" s="283"/>
      <c r="C570" s="283"/>
      <c r="E570" s="326"/>
      <c r="F570" s="326"/>
    </row>
    <row r="571">
      <c r="A571" s="283"/>
      <c r="B571" s="283"/>
      <c r="C571" s="283"/>
      <c r="E571" s="326"/>
      <c r="F571" s="326"/>
    </row>
    <row r="572">
      <c r="A572" s="283"/>
      <c r="B572" s="283"/>
      <c r="C572" s="283"/>
      <c r="E572" s="326"/>
      <c r="F572" s="326"/>
    </row>
    <row r="573">
      <c r="A573" s="283"/>
      <c r="B573" s="283"/>
      <c r="C573" s="283"/>
      <c r="E573" s="326"/>
      <c r="F573" s="326"/>
    </row>
    <row r="574">
      <c r="A574" s="283"/>
      <c r="B574" s="283"/>
      <c r="C574" s="283"/>
      <c r="E574" s="326"/>
      <c r="F574" s="326"/>
    </row>
    <row r="575">
      <c r="A575" s="283"/>
      <c r="B575" s="283"/>
      <c r="C575" s="283"/>
      <c r="E575" s="326"/>
      <c r="F575" s="326"/>
    </row>
    <row r="576">
      <c r="A576" s="283"/>
      <c r="B576" s="283"/>
      <c r="C576" s="283"/>
      <c r="E576" s="326"/>
      <c r="F576" s="326"/>
    </row>
    <row r="577">
      <c r="A577" s="283"/>
      <c r="B577" s="283"/>
      <c r="C577" s="283"/>
      <c r="E577" s="326"/>
      <c r="F577" s="326"/>
    </row>
    <row r="578">
      <c r="A578" s="283"/>
      <c r="B578" s="283"/>
      <c r="C578" s="283"/>
      <c r="E578" s="326"/>
      <c r="F578" s="326"/>
    </row>
    <row r="579">
      <c r="A579" s="283"/>
      <c r="B579" s="283"/>
      <c r="C579" s="283"/>
      <c r="E579" s="326"/>
      <c r="F579" s="326"/>
    </row>
    <row r="580">
      <c r="A580" s="283"/>
      <c r="B580" s="283"/>
      <c r="C580" s="283"/>
      <c r="E580" s="326"/>
      <c r="F580" s="326"/>
    </row>
    <row r="581">
      <c r="A581" s="283"/>
      <c r="B581" s="283"/>
      <c r="C581" s="283"/>
      <c r="E581" s="326"/>
      <c r="F581" s="326"/>
    </row>
    <row r="582">
      <c r="A582" s="283"/>
      <c r="B582" s="283"/>
      <c r="C582" s="283"/>
      <c r="E582" s="326"/>
      <c r="F582" s="326"/>
    </row>
    <row r="583">
      <c r="A583" s="283"/>
      <c r="B583" s="283"/>
      <c r="C583" s="283"/>
      <c r="E583" s="326"/>
      <c r="F583" s="326"/>
    </row>
    <row r="584">
      <c r="A584" s="283"/>
      <c r="B584" s="283"/>
      <c r="C584" s="283"/>
      <c r="E584" s="326"/>
      <c r="F584" s="326"/>
    </row>
    <row r="585">
      <c r="A585" s="283"/>
      <c r="B585" s="283"/>
      <c r="C585" s="283"/>
      <c r="E585" s="326"/>
      <c r="F585" s="326"/>
    </row>
    <row r="586">
      <c r="A586" s="283"/>
      <c r="B586" s="283"/>
      <c r="C586" s="283"/>
      <c r="E586" s="326"/>
      <c r="F586" s="326"/>
    </row>
    <row r="587">
      <c r="A587" s="283"/>
      <c r="B587" s="283"/>
      <c r="C587" s="283"/>
      <c r="E587" s="326"/>
      <c r="F587" s="326"/>
    </row>
    <row r="588">
      <c r="A588" s="283"/>
      <c r="B588" s="283"/>
      <c r="C588" s="283"/>
      <c r="E588" s="326"/>
      <c r="F588" s="326"/>
    </row>
    <row r="589">
      <c r="A589" s="283"/>
      <c r="B589" s="283"/>
      <c r="C589" s="283"/>
      <c r="E589" s="326"/>
      <c r="F589" s="326"/>
    </row>
    <row r="590">
      <c r="A590" s="283"/>
      <c r="B590" s="283"/>
      <c r="C590" s="283"/>
      <c r="E590" s="326"/>
      <c r="F590" s="326"/>
    </row>
    <row r="591">
      <c r="A591" s="283"/>
      <c r="B591" s="283"/>
      <c r="C591" s="283"/>
      <c r="E591" s="326"/>
      <c r="F591" s="326"/>
    </row>
    <row r="592">
      <c r="A592" s="283"/>
      <c r="B592" s="283"/>
      <c r="C592" s="283"/>
      <c r="E592" s="326"/>
      <c r="F592" s="326"/>
    </row>
    <row r="593">
      <c r="A593" s="283"/>
      <c r="B593" s="283"/>
      <c r="C593" s="283"/>
      <c r="E593" s="326"/>
      <c r="F593" s="326"/>
    </row>
    <row r="594">
      <c r="A594" s="283"/>
      <c r="B594" s="283"/>
      <c r="C594" s="283"/>
      <c r="E594" s="326"/>
      <c r="F594" s="326"/>
    </row>
    <row r="595">
      <c r="A595" s="283"/>
      <c r="B595" s="283"/>
      <c r="C595" s="283"/>
      <c r="E595" s="326"/>
      <c r="F595" s="326"/>
    </row>
    <row r="596">
      <c r="A596" s="283"/>
      <c r="B596" s="283"/>
      <c r="C596" s="283"/>
      <c r="E596" s="326"/>
      <c r="F596" s="326"/>
    </row>
    <row r="597">
      <c r="A597" s="283"/>
      <c r="B597" s="283"/>
      <c r="C597" s="283"/>
      <c r="E597" s="326"/>
      <c r="F597" s="326"/>
    </row>
    <row r="598">
      <c r="A598" s="283"/>
      <c r="B598" s="283"/>
      <c r="C598" s="283"/>
      <c r="E598" s="326"/>
      <c r="F598" s="326"/>
    </row>
    <row r="599">
      <c r="A599" s="283"/>
      <c r="B599" s="283"/>
      <c r="C599" s="283"/>
      <c r="E599" s="326"/>
      <c r="F599" s="326"/>
    </row>
    <row r="600">
      <c r="A600" s="283"/>
      <c r="B600" s="283"/>
      <c r="C600" s="283"/>
      <c r="E600" s="326"/>
      <c r="F600" s="326"/>
    </row>
    <row r="601">
      <c r="A601" s="283"/>
      <c r="B601" s="283"/>
      <c r="C601" s="283"/>
      <c r="E601" s="326"/>
      <c r="F601" s="326"/>
    </row>
    <row r="602">
      <c r="A602" s="283"/>
      <c r="B602" s="283"/>
      <c r="C602" s="283"/>
      <c r="E602" s="326"/>
      <c r="F602" s="326"/>
    </row>
    <row r="603">
      <c r="A603" s="283"/>
      <c r="B603" s="283"/>
      <c r="C603" s="283"/>
      <c r="E603" s="326"/>
      <c r="F603" s="326"/>
    </row>
    <row r="604">
      <c r="A604" s="283"/>
      <c r="B604" s="283"/>
      <c r="C604" s="283"/>
      <c r="E604" s="326"/>
      <c r="F604" s="326"/>
    </row>
    <row r="605">
      <c r="A605" s="283"/>
      <c r="B605" s="283"/>
      <c r="C605" s="283"/>
      <c r="E605" s="326"/>
      <c r="F605" s="326"/>
    </row>
    <row r="606">
      <c r="A606" s="283"/>
      <c r="B606" s="283"/>
      <c r="C606" s="283"/>
      <c r="E606" s="326"/>
      <c r="F606" s="326"/>
    </row>
    <row r="607">
      <c r="A607" s="283"/>
      <c r="B607" s="283"/>
      <c r="C607" s="283"/>
      <c r="E607" s="326"/>
      <c r="F607" s="326"/>
    </row>
    <row r="608">
      <c r="A608" s="283"/>
      <c r="B608" s="283"/>
      <c r="C608" s="283"/>
      <c r="E608" s="326"/>
      <c r="F608" s="326"/>
    </row>
    <row r="609">
      <c r="A609" s="283"/>
      <c r="B609" s="283"/>
      <c r="C609" s="283"/>
      <c r="E609" s="326"/>
      <c r="F609" s="326"/>
    </row>
    <row r="610">
      <c r="A610" s="283"/>
      <c r="B610" s="283"/>
      <c r="C610" s="283"/>
      <c r="E610" s="326"/>
      <c r="F610" s="326"/>
    </row>
    <row r="611">
      <c r="A611" s="283"/>
      <c r="B611" s="283"/>
      <c r="C611" s="283"/>
      <c r="E611" s="326"/>
      <c r="F611" s="326"/>
    </row>
    <row r="612">
      <c r="A612" s="283"/>
      <c r="B612" s="283"/>
      <c r="C612" s="283"/>
      <c r="E612" s="326"/>
      <c r="F612" s="326"/>
    </row>
    <row r="613">
      <c r="A613" s="283"/>
      <c r="B613" s="283"/>
      <c r="C613" s="283"/>
      <c r="E613" s="326"/>
      <c r="F613" s="326"/>
    </row>
    <row r="614">
      <c r="A614" s="283"/>
      <c r="B614" s="283"/>
      <c r="C614" s="283"/>
      <c r="E614" s="326"/>
      <c r="F614" s="326"/>
    </row>
    <row r="615">
      <c r="A615" s="283"/>
      <c r="B615" s="283"/>
      <c r="C615" s="283"/>
      <c r="E615" s="326"/>
      <c r="F615" s="326"/>
    </row>
    <row r="616">
      <c r="A616" s="283"/>
      <c r="B616" s="283"/>
      <c r="C616" s="283"/>
      <c r="E616" s="326"/>
      <c r="F616" s="326"/>
    </row>
    <row r="617">
      <c r="A617" s="283"/>
      <c r="B617" s="283"/>
      <c r="C617" s="283"/>
      <c r="E617" s="326"/>
      <c r="F617" s="326"/>
    </row>
    <row r="618">
      <c r="A618" s="283"/>
      <c r="B618" s="283"/>
      <c r="C618" s="283"/>
      <c r="E618" s="326"/>
      <c r="F618" s="326"/>
    </row>
    <row r="619">
      <c r="A619" s="283"/>
      <c r="B619" s="283"/>
      <c r="C619" s="283"/>
      <c r="E619" s="326"/>
      <c r="F619" s="326"/>
    </row>
    <row r="620">
      <c r="A620" s="283"/>
      <c r="B620" s="283"/>
      <c r="C620" s="283"/>
      <c r="E620" s="326"/>
      <c r="F620" s="326"/>
    </row>
    <row r="621">
      <c r="A621" s="283"/>
      <c r="B621" s="283"/>
      <c r="C621" s="283"/>
      <c r="E621" s="326"/>
      <c r="F621" s="326"/>
    </row>
    <row r="622">
      <c r="A622" s="283"/>
      <c r="B622" s="283"/>
      <c r="C622" s="283"/>
      <c r="E622" s="326"/>
      <c r="F622" s="326"/>
    </row>
    <row r="623">
      <c r="A623" s="283"/>
      <c r="B623" s="283"/>
      <c r="C623" s="283"/>
      <c r="E623" s="326"/>
      <c r="F623" s="326"/>
    </row>
    <row r="624">
      <c r="A624" s="283"/>
      <c r="B624" s="283"/>
      <c r="C624" s="283"/>
      <c r="E624" s="326"/>
      <c r="F624" s="326"/>
    </row>
    <row r="625">
      <c r="A625" s="283"/>
      <c r="B625" s="283"/>
      <c r="C625" s="283"/>
      <c r="E625" s="326"/>
      <c r="F625" s="326"/>
    </row>
    <row r="626">
      <c r="A626" s="283"/>
      <c r="B626" s="283"/>
      <c r="C626" s="283"/>
      <c r="E626" s="326"/>
      <c r="F626" s="326"/>
    </row>
    <row r="627">
      <c r="A627" s="283"/>
      <c r="B627" s="283"/>
      <c r="C627" s="283"/>
      <c r="E627" s="326"/>
      <c r="F627" s="326"/>
    </row>
    <row r="628">
      <c r="A628" s="283"/>
      <c r="B628" s="283"/>
      <c r="C628" s="283"/>
      <c r="E628" s="326"/>
      <c r="F628" s="326"/>
    </row>
    <row r="629">
      <c r="A629" s="283"/>
      <c r="B629" s="283"/>
      <c r="C629" s="283"/>
      <c r="E629" s="326"/>
      <c r="F629" s="326"/>
    </row>
    <row r="630">
      <c r="A630" s="283"/>
      <c r="B630" s="283"/>
      <c r="C630" s="283"/>
      <c r="E630" s="326"/>
      <c r="F630" s="326"/>
    </row>
    <row r="631">
      <c r="A631" s="283"/>
      <c r="B631" s="283"/>
      <c r="C631" s="283"/>
      <c r="E631" s="326"/>
      <c r="F631" s="326"/>
    </row>
    <row r="632">
      <c r="A632" s="283"/>
      <c r="B632" s="283"/>
      <c r="C632" s="283"/>
      <c r="E632" s="326"/>
      <c r="F632" s="326"/>
    </row>
    <row r="633">
      <c r="A633" s="283"/>
      <c r="B633" s="283"/>
      <c r="C633" s="283"/>
      <c r="E633" s="326"/>
      <c r="F633" s="326"/>
    </row>
    <row r="634">
      <c r="A634" s="283"/>
      <c r="B634" s="283"/>
      <c r="C634" s="283"/>
      <c r="E634" s="326"/>
      <c r="F634" s="326"/>
    </row>
    <row r="635">
      <c r="A635" s="283"/>
      <c r="B635" s="283"/>
      <c r="C635" s="283"/>
      <c r="E635" s="326"/>
      <c r="F635" s="326"/>
    </row>
    <row r="636">
      <c r="A636" s="283"/>
      <c r="B636" s="283"/>
      <c r="C636" s="283"/>
      <c r="E636" s="326"/>
      <c r="F636" s="326"/>
    </row>
    <row r="637">
      <c r="A637" s="283"/>
      <c r="B637" s="283"/>
      <c r="C637" s="283"/>
      <c r="E637" s="326"/>
      <c r="F637" s="326"/>
    </row>
    <row r="638">
      <c r="A638" s="283"/>
      <c r="B638" s="283"/>
      <c r="C638" s="283"/>
      <c r="E638" s="326"/>
      <c r="F638" s="326"/>
    </row>
    <row r="639">
      <c r="A639" s="283"/>
      <c r="B639" s="283"/>
      <c r="C639" s="283"/>
      <c r="E639" s="326"/>
      <c r="F639" s="326"/>
    </row>
    <row r="640">
      <c r="A640" s="283"/>
      <c r="B640" s="283"/>
      <c r="C640" s="283"/>
      <c r="E640" s="326"/>
      <c r="F640" s="326"/>
    </row>
    <row r="641">
      <c r="A641" s="283"/>
      <c r="B641" s="283"/>
      <c r="C641" s="283"/>
      <c r="E641" s="326"/>
      <c r="F641" s="326"/>
    </row>
    <row r="642">
      <c r="A642" s="283"/>
      <c r="B642" s="283"/>
      <c r="C642" s="283"/>
      <c r="E642" s="326"/>
      <c r="F642" s="326"/>
    </row>
    <row r="643">
      <c r="A643" s="283"/>
      <c r="B643" s="283"/>
      <c r="C643" s="283"/>
      <c r="E643" s="326"/>
      <c r="F643" s="326"/>
    </row>
    <row r="644">
      <c r="A644" s="283"/>
      <c r="B644" s="283"/>
      <c r="C644" s="283"/>
      <c r="E644" s="326"/>
      <c r="F644" s="326"/>
    </row>
    <row r="645">
      <c r="A645" s="283"/>
      <c r="B645" s="283"/>
      <c r="C645" s="283"/>
      <c r="E645" s="326"/>
      <c r="F645" s="326"/>
    </row>
    <row r="646">
      <c r="A646" s="283"/>
      <c r="B646" s="283"/>
      <c r="C646" s="283"/>
      <c r="E646" s="326"/>
      <c r="F646" s="326"/>
    </row>
    <row r="647">
      <c r="A647" s="283"/>
      <c r="B647" s="283"/>
      <c r="C647" s="283"/>
      <c r="E647" s="326"/>
      <c r="F647" s="326"/>
    </row>
    <row r="648">
      <c r="A648" s="283"/>
      <c r="B648" s="283"/>
      <c r="C648" s="283"/>
      <c r="E648" s="326"/>
      <c r="F648" s="326"/>
    </row>
    <row r="649">
      <c r="A649" s="283"/>
      <c r="B649" s="283"/>
      <c r="C649" s="283"/>
      <c r="E649" s="326"/>
      <c r="F649" s="326"/>
    </row>
    <row r="650">
      <c r="A650" s="283"/>
      <c r="B650" s="283"/>
      <c r="C650" s="283"/>
      <c r="E650" s="326"/>
      <c r="F650" s="326"/>
    </row>
    <row r="651">
      <c r="A651" s="283"/>
      <c r="B651" s="283"/>
      <c r="C651" s="283"/>
      <c r="E651" s="326"/>
      <c r="F651" s="326"/>
    </row>
    <row r="652">
      <c r="A652" s="283"/>
      <c r="B652" s="283"/>
      <c r="C652" s="283"/>
      <c r="E652" s="326"/>
      <c r="F652" s="326"/>
    </row>
    <row r="653">
      <c r="A653" s="283"/>
      <c r="B653" s="283"/>
      <c r="C653" s="283"/>
      <c r="E653" s="326"/>
      <c r="F653" s="326"/>
    </row>
    <row r="654">
      <c r="A654" s="283"/>
      <c r="B654" s="283"/>
      <c r="C654" s="283"/>
      <c r="E654" s="326"/>
      <c r="F654" s="326"/>
    </row>
    <row r="655">
      <c r="A655" s="283"/>
      <c r="B655" s="283"/>
      <c r="C655" s="283"/>
      <c r="E655" s="326"/>
      <c r="F655" s="326"/>
    </row>
    <row r="656">
      <c r="A656" s="283"/>
      <c r="B656" s="283"/>
      <c r="C656" s="283"/>
      <c r="E656" s="326"/>
      <c r="F656" s="326"/>
    </row>
    <row r="657">
      <c r="A657" s="283"/>
      <c r="B657" s="283"/>
      <c r="C657" s="283"/>
      <c r="E657" s="326"/>
      <c r="F657" s="326"/>
    </row>
    <row r="658">
      <c r="A658" s="283"/>
      <c r="B658" s="283"/>
      <c r="C658" s="283"/>
      <c r="E658" s="326"/>
      <c r="F658" s="326"/>
    </row>
    <row r="659">
      <c r="A659" s="283"/>
      <c r="B659" s="283"/>
      <c r="C659" s="283"/>
      <c r="E659" s="326"/>
      <c r="F659" s="326"/>
    </row>
    <row r="660">
      <c r="A660" s="283"/>
      <c r="B660" s="283"/>
      <c r="C660" s="283"/>
      <c r="E660" s="326"/>
      <c r="F660" s="326"/>
    </row>
    <row r="661">
      <c r="A661" s="283"/>
      <c r="B661" s="283"/>
      <c r="C661" s="283"/>
      <c r="E661" s="326"/>
      <c r="F661" s="326"/>
    </row>
    <row r="662">
      <c r="A662" s="283"/>
      <c r="B662" s="283"/>
      <c r="C662" s="283"/>
      <c r="E662" s="326"/>
      <c r="F662" s="326"/>
    </row>
    <row r="663">
      <c r="A663" s="283"/>
      <c r="B663" s="283"/>
      <c r="C663" s="283"/>
      <c r="E663" s="326"/>
      <c r="F663" s="326"/>
    </row>
    <row r="664">
      <c r="A664" s="283"/>
      <c r="B664" s="283"/>
      <c r="C664" s="283"/>
      <c r="E664" s="326"/>
      <c r="F664" s="326"/>
    </row>
    <row r="665">
      <c r="A665" s="283"/>
      <c r="B665" s="283"/>
      <c r="C665" s="283"/>
      <c r="E665" s="326"/>
      <c r="F665" s="326"/>
    </row>
    <row r="666">
      <c r="A666" s="283"/>
      <c r="B666" s="283"/>
      <c r="C666" s="283"/>
      <c r="E666" s="326"/>
      <c r="F666" s="326"/>
    </row>
    <row r="667">
      <c r="A667" s="283"/>
      <c r="B667" s="283"/>
      <c r="C667" s="283"/>
      <c r="E667" s="326"/>
      <c r="F667" s="326"/>
    </row>
    <row r="668">
      <c r="A668" s="283"/>
      <c r="B668" s="283"/>
      <c r="C668" s="283"/>
      <c r="E668" s="326"/>
      <c r="F668" s="326"/>
    </row>
    <row r="669">
      <c r="A669" s="283"/>
      <c r="B669" s="283"/>
      <c r="C669" s="283"/>
      <c r="E669" s="326"/>
      <c r="F669" s="326"/>
    </row>
    <row r="670">
      <c r="A670" s="283"/>
      <c r="B670" s="283"/>
      <c r="C670" s="283"/>
      <c r="E670" s="326"/>
      <c r="F670" s="326"/>
    </row>
    <row r="671">
      <c r="A671" s="283"/>
      <c r="B671" s="283"/>
      <c r="C671" s="283"/>
      <c r="E671" s="326"/>
      <c r="F671" s="326"/>
    </row>
    <row r="672">
      <c r="A672" s="283"/>
      <c r="B672" s="283"/>
      <c r="C672" s="283"/>
      <c r="E672" s="326"/>
      <c r="F672" s="326"/>
    </row>
    <row r="673">
      <c r="A673" s="283"/>
      <c r="B673" s="283"/>
      <c r="C673" s="283"/>
      <c r="E673" s="326"/>
      <c r="F673" s="326"/>
    </row>
    <row r="674">
      <c r="A674" s="283"/>
      <c r="B674" s="283"/>
      <c r="C674" s="283"/>
      <c r="E674" s="326"/>
      <c r="F674" s="326"/>
    </row>
    <row r="675">
      <c r="A675" s="283"/>
      <c r="B675" s="283"/>
      <c r="C675" s="283"/>
      <c r="E675" s="326"/>
      <c r="F675" s="326"/>
    </row>
    <row r="676">
      <c r="A676" s="283"/>
      <c r="B676" s="283"/>
      <c r="C676" s="283"/>
      <c r="E676" s="326"/>
      <c r="F676" s="326"/>
    </row>
    <row r="677">
      <c r="A677" s="283"/>
      <c r="B677" s="283"/>
      <c r="C677" s="283"/>
      <c r="E677" s="326"/>
      <c r="F677" s="326"/>
    </row>
    <row r="678">
      <c r="A678" s="283"/>
      <c r="B678" s="283"/>
      <c r="C678" s="283"/>
      <c r="E678" s="326"/>
      <c r="F678" s="326"/>
    </row>
    <row r="679">
      <c r="A679" s="283"/>
      <c r="B679" s="283"/>
      <c r="C679" s="283"/>
      <c r="E679" s="326"/>
      <c r="F679" s="326"/>
    </row>
    <row r="680">
      <c r="A680" s="283"/>
      <c r="B680" s="283"/>
      <c r="C680" s="283"/>
      <c r="E680" s="326"/>
      <c r="F680" s="326"/>
    </row>
    <row r="681">
      <c r="A681" s="283"/>
      <c r="B681" s="283"/>
      <c r="C681" s="283"/>
      <c r="E681" s="326"/>
      <c r="F681" s="326"/>
    </row>
    <row r="682">
      <c r="A682" s="283"/>
      <c r="B682" s="283"/>
      <c r="C682" s="283"/>
      <c r="E682" s="326"/>
      <c r="F682" s="326"/>
    </row>
    <row r="683">
      <c r="A683" s="283"/>
      <c r="B683" s="283"/>
      <c r="C683" s="283"/>
      <c r="E683" s="326"/>
      <c r="F683" s="326"/>
    </row>
    <row r="684">
      <c r="A684" s="283"/>
      <c r="B684" s="283"/>
      <c r="C684" s="283"/>
      <c r="E684" s="326"/>
      <c r="F684" s="326"/>
    </row>
    <row r="685">
      <c r="A685" s="283"/>
      <c r="B685" s="283"/>
      <c r="C685" s="283"/>
      <c r="E685" s="326"/>
      <c r="F685" s="326"/>
    </row>
    <row r="686">
      <c r="A686" s="283"/>
      <c r="B686" s="283"/>
      <c r="C686" s="283"/>
      <c r="E686" s="326"/>
      <c r="F686" s="326"/>
    </row>
    <row r="687">
      <c r="A687" s="283"/>
      <c r="B687" s="283"/>
      <c r="C687" s="283"/>
      <c r="E687" s="326"/>
      <c r="F687" s="326"/>
    </row>
    <row r="688">
      <c r="A688" s="283"/>
      <c r="B688" s="283"/>
      <c r="C688" s="283"/>
      <c r="E688" s="326"/>
      <c r="F688" s="326"/>
    </row>
    <row r="689">
      <c r="A689" s="283"/>
      <c r="B689" s="283"/>
      <c r="C689" s="283"/>
      <c r="E689" s="326"/>
      <c r="F689" s="326"/>
    </row>
    <row r="690">
      <c r="A690" s="283"/>
      <c r="B690" s="283"/>
      <c r="C690" s="283"/>
      <c r="E690" s="326"/>
      <c r="F690" s="326"/>
    </row>
    <row r="691">
      <c r="A691" s="283"/>
      <c r="B691" s="283"/>
      <c r="C691" s="283"/>
      <c r="E691" s="326"/>
      <c r="F691" s="326"/>
    </row>
    <row r="692">
      <c r="A692" s="283"/>
      <c r="B692" s="283"/>
      <c r="C692" s="283"/>
      <c r="E692" s="326"/>
      <c r="F692" s="326"/>
    </row>
    <row r="693">
      <c r="A693" s="283"/>
      <c r="B693" s="283"/>
      <c r="C693" s="283"/>
      <c r="E693" s="326"/>
      <c r="F693" s="326"/>
    </row>
    <row r="694">
      <c r="A694" s="283"/>
      <c r="B694" s="283"/>
      <c r="C694" s="283"/>
      <c r="E694" s="326"/>
      <c r="F694" s="326"/>
    </row>
    <row r="695">
      <c r="A695" s="283"/>
      <c r="B695" s="283"/>
      <c r="C695" s="283"/>
      <c r="E695" s="326"/>
      <c r="F695" s="326"/>
    </row>
    <row r="696">
      <c r="A696" s="283"/>
      <c r="B696" s="283"/>
      <c r="C696" s="283"/>
      <c r="E696" s="326"/>
      <c r="F696" s="326"/>
    </row>
    <row r="697">
      <c r="A697" s="283"/>
      <c r="B697" s="283"/>
      <c r="C697" s="283"/>
      <c r="E697" s="326"/>
      <c r="F697" s="326"/>
    </row>
    <row r="698">
      <c r="A698" s="283"/>
      <c r="B698" s="283"/>
      <c r="C698" s="283"/>
      <c r="E698" s="326"/>
      <c r="F698" s="326"/>
    </row>
    <row r="699">
      <c r="A699" s="283"/>
      <c r="B699" s="283"/>
      <c r="C699" s="283"/>
      <c r="E699" s="326"/>
      <c r="F699" s="326"/>
    </row>
    <row r="700">
      <c r="A700" s="283"/>
      <c r="B700" s="283"/>
      <c r="C700" s="283"/>
      <c r="E700" s="326"/>
      <c r="F700" s="326"/>
    </row>
    <row r="701">
      <c r="A701" s="283"/>
      <c r="B701" s="283"/>
      <c r="C701" s="283"/>
      <c r="E701" s="326"/>
      <c r="F701" s="326"/>
    </row>
    <row r="702">
      <c r="A702" s="283"/>
      <c r="B702" s="283"/>
      <c r="C702" s="283"/>
      <c r="E702" s="326"/>
      <c r="F702" s="326"/>
    </row>
    <row r="703">
      <c r="A703" s="283"/>
      <c r="B703" s="283"/>
      <c r="C703" s="283"/>
      <c r="E703" s="326"/>
      <c r="F703" s="326"/>
    </row>
    <row r="704">
      <c r="A704" s="283"/>
      <c r="B704" s="283"/>
      <c r="C704" s="283"/>
      <c r="E704" s="326"/>
      <c r="F704" s="326"/>
    </row>
    <row r="705">
      <c r="A705" s="283"/>
      <c r="B705" s="283"/>
      <c r="C705" s="283"/>
      <c r="E705" s="326"/>
      <c r="F705" s="326"/>
    </row>
    <row r="706">
      <c r="A706" s="283"/>
      <c r="B706" s="283"/>
      <c r="C706" s="283"/>
      <c r="E706" s="326"/>
      <c r="F706" s="326"/>
    </row>
    <row r="707">
      <c r="A707" s="283"/>
      <c r="B707" s="283"/>
      <c r="C707" s="283"/>
      <c r="E707" s="326"/>
      <c r="F707" s="326"/>
    </row>
    <row r="708">
      <c r="A708" s="283"/>
      <c r="B708" s="283"/>
      <c r="C708" s="283"/>
      <c r="E708" s="326"/>
      <c r="F708" s="326"/>
    </row>
    <row r="709">
      <c r="A709" s="283"/>
      <c r="B709" s="283"/>
      <c r="C709" s="283"/>
      <c r="E709" s="326"/>
      <c r="F709" s="326"/>
    </row>
    <row r="710">
      <c r="A710" s="283"/>
      <c r="B710" s="283"/>
      <c r="C710" s="283"/>
      <c r="E710" s="326"/>
      <c r="F710" s="326"/>
    </row>
    <row r="711">
      <c r="A711" s="283"/>
      <c r="B711" s="283"/>
      <c r="C711" s="283"/>
      <c r="E711" s="326"/>
      <c r="F711" s="326"/>
    </row>
    <row r="712">
      <c r="A712" s="283"/>
      <c r="B712" s="283"/>
      <c r="C712" s="283"/>
      <c r="E712" s="326"/>
      <c r="F712" s="326"/>
    </row>
    <row r="713">
      <c r="A713" s="283"/>
      <c r="B713" s="283"/>
      <c r="C713" s="283"/>
      <c r="E713" s="326"/>
      <c r="F713" s="326"/>
    </row>
    <row r="714">
      <c r="A714" s="283"/>
      <c r="B714" s="283"/>
      <c r="C714" s="283"/>
      <c r="E714" s="326"/>
      <c r="F714" s="326"/>
    </row>
    <row r="715">
      <c r="A715" s="283"/>
      <c r="B715" s="283"/>
      <c r="C715" s="283"/>
      <c r="E715" s="326"/>
      <c r="F715" s="326"/>
    </row>
    <row r="716">
      <c r="A716" s="283"/>
      <c r="B716" s="283"/>
      <c r="C716" s="283"/>
      <c r="E716" s="326"/>
      <c r="F716" s="326"/>
    </row>
    <row r="717">
      <c r="A717" s="283"/>
      <c r="B717" s="283"/>
      <c r="C717" s="283"/>
      <c r="E717" s="326"/>
      <c r="F717" s="326"/>
    </row>
    <row r="718">
      <c r="A718" s="283"/>
      <c r="B718" s="283"/>
      <c r="C718" s="283"/>
      <c r="E718" s="326"/>
      <c r="F718" s="326"/>
    </row>
    <row r="719">
      <c r="A719" s="283"/>
      <c r="B719" s="283"/>
      <c r="C719" s="283"/>
      <c r="E719" s="326"/>
      <c r="F719" s="326"/>
    </row>
    <row r="720">
      <c r="A720" s="283"/>
      <c r="B720" s="283"/>
      <c r="C720" s="283"/>
      <c r="E720" s="326"/>
      <c r="F720" s="326"/>
    </row>
    <row r="721">
      <c r="A721" s="283"/>
      <c r="B721" s="283"/>
      <c r="C721" s="283"/>
      <c r="E721" s="326"/>
      <c r="F721" s="326"/>
    </row>
    <row r="722">
      <c r="A722" s="283"/>
      <c r="B722" s="283"/>
      <c r="C722" s="283"/>
      <c r="E722" s="326"/>
      <c r="F722" s="326"/>
    </row>
    <row r="723">
      <c r="A723" s="283"/>
      <c r="B723" s="283"/>
      <c r="C723" s="283"/>
      <c r="E723" s="326"/>
      <c r="F723" s="326"/>
    </row>
    <row r="724">
      <c r="A724" s="283"/>
      <c r="B724" s="283"/>
      <c r="C724" s="283"/>
      <c r="E724" s="326"/>
      <c r="F724" s="326"/>
    </row>
    <row r="725">
      <c r="A725" s="283"/>
      <c r="B725" s="283"/>
      <c r="C725" s="283"/>
      <c r="E725" s="326"/>
      <c r="F725" s="326"/>
    </row>
    <row r="726">
      <c r="A726" s="283"/>
      <c r="B726" s="283"/>
      <c r="C726" s="283"/>
      <c r="E726" s="326"/>
      <c r="F726" s="326"/>
    </row>
    <row r="727">
      <c r="A727" s="283"/>
      <c r="B727" s="283"/>
      <c r="C727" s="283"/>
      <c r="E727" s="326"/>
      <c r="F727" s="326"/>
    </row>
    <row r="728">
      <c r="A728" s="283"/>
      <c r="B728" s="283"/>
      <c r="C728" s="283"/>
      <c r="E728" s="326"/>
      <c r="F728" s="326"/>
    </row>
    <row r="729">
      <c r="A729" s="283"/>
      <c r="B729" s="283"/>
      <c r="C729" s="283"/>
      <c r="E729" s="326"/>
      <c r="F729" s="326"/>
    </row>
    <row r="730">
      <c r="A730" s="283"/>
      <c r="B730" s="283"/>
      <c r="C730" s="283"/>
      <c r="E730" s="326"/>
      <c r="F730" s="326"/>
    </row>
    <row r="731">
      <c r="A731" s="283"/>
      <c r="B731" s="283"/>
      <c r="C731" s="283"/>
      <c r="E731" s="326"/>
      <c r="F731" s="326"/>
    </row>
    <row r="732">
      <c r="A732" s="283"/>
      <c r="B732" s="283"/>
      <c r="C732" s="283"/>
      <c r="E732" s="326"/>
      <c r="F732" s="326"/>
    </row>
    <row r="733">
      <c r="A733" s="283"/>
      <c r="B733" s="283"/>
      <c r="C733" s="283"/>
      <c r="E733" s="326"/>
      <c r="F733" s="326"/>
    </row>
    <row r="734">
      <c r="A734" s="283"/>
      <c r="B734" s="283"/>
      <c r="C734" s="283"/>
      <c r="E734" s="326"/>
      <c r="F734" s="326"/>
    </row>
    <row r="735">
      <c r="A735" s="283"/>
      <c r="B735" s="283"/>
      <c r="C735" s="283"/>
      <c r="E735" s="326"/>
      <c r="F735" s="326"/>
    </row>
    <row r="736">
      <c r="A736" s="283"/>
      <c r="B736" s="283"/>
      <c r="C736" s="283"/>
      <c r="E736" s="326"/>
      <c r="F736" s="326"/>
    </row>
    <row r="737">
      <c r="A737" s="283"/>
      <c r="B737" s="283"/>
      <c r="C737" s="283"/>
      <c r="E737" s="326"/>
      <c r="F737" s="326"/>
    </row>
    <row r="738">
      <c r="A738" s="283"/>
      <c r="B738" s="283"/>
      <c r="C738" s="283"/>
      <c r="E738" s="326"/>
      <c r="F738" s="326"/>
    </row>
    <row r="739">
      <c r="A739" s="283"/>
      <c r="B739" s="283"/>
      <c r="C739" s="283"/>
      <c r="E739" s="326"/>
      <c r="F739" s="326"/>
    </row>
    <row r="740">
      <c r="A740" s="283"/>
      <c r="B740" s="283"/>
      <c r="C740" s="283"/>
      <c r="E740" s="326"/>
      <c r="F740" s="326"/>
    </row>
    <row r="741">
      <c r="A741" s="283"/>
      <c r="B741" s="283"/>
      <c r="C741" s="283"/>
      <c r="E741" s="326"/>
      <c r="F741" s="326"/>
    </row>
    <row r="742">
      <c r="A742" s="283"/>
      <c r="B742" s="283"/>
      <c r="C742" s="283"/>
      <c r="E742" s="326"/>
      <c r="F742" s="326"/>
    </row>
    <row r="743">
      <c r="A743" s="283"/>
      <c r="B743" s="283"/>
      <c r="C743" s="283"/>
      <c r="E743" s="326"/>
      <c r="F743" s="326"/>
    </row>
    <row r="744">
      <c r="A744" s="283"/>
      <c r="B744" s="283"/>
      <c r="C744" s="283"/>
      <c r="E744" s="326"/>
      <c r="F744" s="326"/>
    </row>
    <row r="745">
      <c r="A745" s="283"/>
      <c r="B745" s="283"/>
      <c r="C745" s="283"/>
      <c r="E745" s="326"/>
      <c r="F745" s="326"/>
    </row>
    <row r="746">
      <c r="A746" s="283"/>
      <c r="B746" s="283"/>
      <c r="C746" s="283"/>
      <c r="E746" s="326"/>
      <c r="F746" s="326"/>
    </row>
    <row r="747">
      <c r="A747" s="283"/>
      <c r="B747" s="283"/>
      <c r="C747" s="283"/>
      <c r="E747" s="326"/>
      <c r="F747" s="326"/>
    </row>
    <row r="748">
      <c r="A748" s="283"/>
      <c r="B748" s="283"/>
      <c r="C748" s="283"/>
      <c r="E748" s="326"/>
      <c r="F748" s="326"/>
    </row>
    <row r="749">
      <c r="A749" s="283"/>
      <c r="B749" s="283"/>
      <c r="C749" s="283"/>
      <c r="E749" s="326"/>
      <c r="F749" s="326"/>
    </row>
    <row r="750">
      <c r="A750" s="283"/>
      <c r="B750" s="283"/>
      <c r="C750" s="283"/>
      <c r="E750" s="326"/>
      <c r="F750" s="326"/>
    </row>
    <row r="751">
      <c r="A751" s="283"/>
      <c r="B751" s="283"/>
      <c r="C751" s="283"/>
      <c r="E751" s="326"/>
      <c r="F751" s="326"/>
    </row>
    <row r="752">
      <c r="A752" s="283"/>
      <c r="B752" s="283"/>
      <c r="C752" s="283"/>
      <c r="E752" s="326"/>
      <c r="F752" s="326"/>
    </row>
    <row r="753">
      <c r="A753" s="283"/>
      <c r="B753" s="283"/>
      <c r="C753" s="283"/>
      <c r="E753" s="326"/>
      <c r="F753" s="326"/>
    </row>
    <row r="754">
      <c r="A754" s="283"/>
      <c r="B754" s="283"/>
      <c r="C754" s="283"/>
      <c r="E754" s="326"/>
      <c r="F754" s="326"/>
    </row>
    <row r="755">
      <c r="A755" s="283"/>
      <c r="B755" s="283"/>
      <c r="C755" s="283"/>
      <c r="E755" s="326"/>
      <c r="F755" s="326"/>
    </row>
    <row r="756">
      <c r="A756" s="283"/>
      <c r="B756" s="283"/>
      <c r="C756" s="283"/>
      <c r="E756" s="326"/>
      <c r="F756" s="326"/>
    </row>
    <row r="757">
      <c r="A757" s="283"/>
      <c r="B757" s="283"/>
      <c r="C757" s="283"/>
      <c r="E757" s="326"/>
      <c r="F757" s="326"/>
    </row>
    <row r="758">
      <c r="A758" s="283"/>
      <c r="B758" s="283"/>
      <c r="C758" s="283"/>
      <c r="E758" s="326"/>
      <c r="F758" s="326"/>
    </row>
    <row r="759">
      <c r="A759" s="283"/>
      <c r="B759" s="283"/>
      <c r="C759" s="283"/>
      <c r="E759" s="326"/>
      <c r="F759" s="326"/>
    </row>
    <row r="760">
      <c r="A760" s="283"/>
      <c r="B760" s="283"/>
      <c r="C760" s="283"/>
      <c r="E760" s="326"/>
      <c r="F760" s="326"/>
    </row>
    <row r="761">
      <c r="A761" s="283"/>
      <c r="B761" s="283"/>
      <c r="C761" s="283"/>
      <c r="E761" s="326"/>
      <c r="F761" s="326"/>
    </row>
    <row r="762">
      <c r="A762" s="283"/>
      <c r="B762" s="283"/>
      <c r="C762" s="283"/>
      <c r="E762" s="326"/>
      <c r="F762" s="326"/>
    </row>
    <row r="763">
      <c r="A763" s="283"/>
      <c r="B763" s="283"/>
      <c r="C763" s="283"/>
      <c r="E763" s="326"/>
      <c r="F763" s="326"/>
    </row>
    <row r="764">
      <c r="A764" s="283"/>
      <c r="B764" s="283"/>
      <c r="C764" s="283"/>
      <c r="E764" s="326"/>
      <c r="F764" s="326"/>
    </row>
    <row r="765">
      <c r="A765" s="283"/>
      <c r="B765" s="283"/>
      <c r="C765" s="283"/>
      <c r="E765" s="326"/>
      <c r="F765" s="326"/>
    </row>
    <row r="766">
      <c r="A766" s="283"/>
      <c r="B766" s="283"/>
      <c r="C766" s="283"/>
      <c r="E766" s="326"/>
      <c r="F766" s="326"/>
    </row>
    <row r="767">
      <c r="A767" s="283"/>
      <c r="B767" s="283"/>
      <c r="C767" s="283"/>
      <c r="E767" s="326"/>
      <c r="F767" s="326"/>
    </row>
    <row r="768">
      <c r="A768" s="283"/>
      <c r="B768" s="283"/>
      <c r="C768" s="283"/>
      <c r="E768" s="326"/>
      <c r="F768" s="326"/>
    </row>
    <row r="769">
      <c r="A769" s="283"/>
      <c r="B769" s="283"/>
      <c r="C769" s="283"/>
      <c r="E769" s="326"/>
      <c r="F769" s="326"/>
    </row>
    <row r="770">
      <c r="A770" s="283"/>
      <c r="B770" s="283"/>
      <c r="C770" s="283"/>
      <c r="E770" s="326"/>
      <c r="F770" s="326"/>
    </row>
    <row r="771">
      <c r="A771" s="283"/>
      <c r="B771" s="283"/>
      <c r="C771" s="283"/>
      <c r="E771" s="326"/>
      <c r="F771" s="326"/>
    </row>
    <row r="772">
      <c r="A772" s="283"/>
      <c r="B772" s="283"/>
      <c r="C772" s="283"/>
      <c r="E772" s="326"/>
      <c r="F772" s="326"/>
    </row>
    <row r="773">
      <c r="A773" s="283"/>
      <c r="B773" s="283"/>
      <c r="C773" s="283"/>
      <c r="E773" s="326"/>
      <c r="F773" s="326"/>
    </row>
    <row r="774">
      <c r="A774" s="283"/>
      <c r="B774" s="283"/>
      <c r="C774" s="283"/>
      <c r="E774" s="326"/>
      <c r="F774" s="326"/>
    </row>
    <row r="775">
      <c r="A775" s="283"/>
      <c r="B775" s="283"/>
      <c r="C775" s="283"/>
      <c r="E775" s="326"/>
      <c r="F775" s="326"/>
    </row>
    <row r="776">
      <c r="A776" s="283"/>
      <c r="B776" s="283"/>
      <c r="C776" s="283"/>
      <c r="E776" s="326"/>
      <c r="F776" s="326"/>
    </row>
    <row r="777">
      <c r="A777" s="283"/>
      <c r="B777" s="283"/>
      <c r="C777" s="283"/>
      <c r="E777" s="326"/>
      <c r="F777" s="326"/>
    </row>
    <row r="778">
      <c r="A778" s="283"/>
      <c r="B778" s="283"/>
      <c r="C778" s="283"/>
      <c r="E778" s="326"/>
      <c r="F778" s="326"/>
    </row>
    <row r="779">
      <c r="A779" s="283"/>
      <c r="B779" s="283"/>
      <c r="C779" s="283"/>
      <c r="E779" s="326"/>
      <c r="F779" s="326"/>
    </row>
    <row r="780">
      <c r="A780" s="283"/>
      <c r="B780" s="283"/>
      <c r="C780" s="283"/>
      <c r="E780" s="326"/>
      <c r="F780" s="326"/>
    </row>
    <row r="781">
      <c r="A781" s="283"/>
      <c r="B781" s="283"/>
      <c r="C781" s="283"/>
      <c r="E781" s="326"/>
      <c r="F781" s="326"/>
    </row>
    <row r="782">
      <c r="A782" s="283"/>
      <c r="B782" s="283"/>
      <c r="C782" s="283"/>
      <c r="E782" s="326"/>
      <c r="F782" s="326"/>
    </row>
    <row r="783">
      <c r="A783" s="283"/>
      <c r="B783" s="283"/>
      <c r="C783" s="283"/>
      <c r="E783" s="326"/>
      <c r="F783" s="326"/>
    </row>
    <row r="784">
      <c r="A784" s="283"/>
      <c r="B784" s="283"/>
      <c r="C784" s="283"/>
      <c r="E784" s="326"/>
      <c r="F784" s="326"/>
    </row>
    <row r="785">
      <c r="A785" s="283"/>
      <c r="B785" s="283"/>
      <c r="C785" s="283"/>
      <c r="E785" s="326"/>
      <c r="F785" s="326"/>
    </row>
    <row r="786">
      <c r="A786" s="283"/>
      <c r="B786" s="283"/>
      <c r="C786" s="283"/>
      <c r="E786" s="326"/>
      <c r="F786" s="326"/>
    </row>
    <row r="787">
      <c r="A787" s="283"/>
      <c r="B787" s="283"/>
      <c r="C787" s="283"/>
      <c r="E787" s="326"/>
      <c r="F787" s="326"/>
    </row>
    <row r="788">
      <c r="A788" s="283"/>
      <c r="B788" s="283"/>
      <c r="C788" s="283"/>
      <c r="E788" s="326"/>
      <c r="F788" s="326"/>
    </row>
    <row r="789">
      <c r="A789" s="283"/>
      <c r="B789" s="283"/>
      <c r="C789" s="283"/>
      <c r="E789" s="326"/>
      <c r="F789" s="326"/>
    </row>
    <row r="790">
      <c r="A790" s="283"/>
      <c r="B790" s="283"/>
      <c r="C790" s="283"/>
      <c r="E790" s="326"/>
      <c r="F790" s="326"/>
    </row>
    <row r="791">
      <c r="A791" s="283"/>
      <c r="B791" s="283"/>
      <c r="C791" s="283"/>
      <c r="E791" s="326"/>
      <c r="F791" s="326"/>
    </row>
    <row r="792">
      <c r="A792" s="283"/>
      <c r="B792" s="283"/>
      <c r="C792" s="283"/>
      <c r="E792" s="326"/>
      <c r="F792" s="326"/>
    </row>
    <row r="793">
      <c r="A793" s="283"/>
      <c r="B793" s="283"/>
      <c r="C793" s="283"/>
      <c r="E793" s="326"/>
      <c r="F793" s="326"/>
    </row>
    <row r="794">
      <c r="A794" s="283"/>
      <c r="B794" s="283"/>
      <c r="C794" s="283"/>
      <c r="E794" s="326"/>
      <c r="F794" s="326"/>
    </row>
    <row r="795">
      <c r="A795" s="283"/>
      <c r="B795" s="283"/>
      <c r="C795" s="283"/>
      <c r="E795" s="326"/>
      <c r="F795" s="326"/>
    </row>
    <row r="796">
      <c r="A796" s="283"/>
      <c r="B796" s="283"/>
      <c r="C796" s="283"/>
      <c r="E796" s="326"/>
      <c r="F796" s="326"/>
    </row>
    <row r="797">
      <c r="A797" s="283"/>
      <c r="B797" s="283"/>
      <c r="C797" s="283"/>
      <c r="E797" s="326"/>
      <c r="F797" s="326"/>
    </row>
    <row r="798">
      <c r="A798" s="283"/>
      <c r="B798" s="283"/>
      <c r="C798" s="283"/>
      <c r="E798" s="326"/>
      <c r="F798" s="326"/>
    </row>
    <row r="799">
      <c r="A799" s="283"/>
      <c r="B799" s="283"/>
      <c r="C799" s="283"/>
      <c r="E799" s="326"/>
      <c r="F799" s="326"/>
    </row>
    <row r="800">
      <c r="A800" s="283"/>
      <c r="B800" s="283"/>
      <c r="C800" s="283"/>
      <c r="E800" s="326"/>
      <c r="F800" s="326"/>
    </row>
    <row r="801">
      <c r="A801" s="283"/>
      <c r="B801" s="283"/>
      <c r="C801" s="283"/>
      <c r="E801" s="326"/>
      <c r="F801" s="326"/>
    </row>
    <row r="802">
      <c r="A802" s="283"/>
      <c r="B802" s="283"/>
      <c r="C802" s="283"/>
      <c r="E802" s="326"/>
      <c r="F802" s="326"/>
    </row>
    <row r="803">
      <c r="A803" s="283"/>
      <c r="B803" s="283"/>
      <c r="C803" s="283"/>
      <c r="E803" s="326"/>
      <c r="F803" s="326"/>
    </row>
    <row r="804">
      <c r="A804" s="283"/>
      <c r="B804" s="283"/>
      <c r="C804" s="283"/>
      <c r="E804" s="326"/>
      <c r="F804" s="326"/>
    </row>
    <row r="805">
      <c r="A805" s="283"/>
      <c r="B805" s="283"/>
      <c r="C805" s="283"/>
      <c r="E805" s="326"/>
      <c r="F805" s="326"/>
    </row>
    <row r="806">
      <c r="A806" s="283"/>
      <c r="B806" s="283"/>
      <c r="C806" s="283"/>
      <c r="E806" s="326"/>
      <c r="F806" s="326"/>
    </row>
    <row r="807">
      <c r="A807" s="283"/>
      <c r="B807" s="283"/>
      <c r="C807" s="283"/>
      <c r="E807" s="326"/>
      <c r="F807" s="326"/>
    </row>
    <row r="808">
      <c r="A808" s="283"/>
      <c r="B808" s="283"/>
      <c r="C808" s="283"/>
      <c r="E808" s="326"/>
      <c r="F808" s="326"/>
    </row>
    <row r="809">
      <c r="A809" s="283"/>
      <c r="B809" s="283"/>
      <c r="C809" s="283"/>
      <c r="E809" s="326"/>
      <c r="F809" s="326"/>
    </row>
    <row r="810">
      <c r="A810" s="283"/>
      <c r="B810" s="283"/>
      <c r="C810" s="283"/>
      <c r="E810" s="326"/>
      <c r="F810" s="326"/>
    </row>
    <row r="811">
      <c r="A811" s="283"/>
      <c r="B811" s="283"/>
      <c r="C811" s="283"/>
      <c r="E811" s="326"/>
      <c r="F811" s="326"/>
    </row>
    <row r="812">
      <c r="A812" s="283"/>
      <c r="B812" s="283"/>
      <c r="C812" s="283"/>
      <c r="E812" s="326"/>
      <c r="F812" s="326"/>
    </row>
    <row r="813">
      <c r="A813" s="283"/>
      <c r="B813" s="283"/>
      <c r="C813" s="283"/>
      <c r="E813" s="326"/>
      <c r="F813" s="326"/>
    </row>
    <row r="814">
      <c r="A814" s="283"/>
      <c r="B814" s="283"/>
      <c r="C814" s="283"/>
      <c r="E814" s="326"/>
      <c r="F814" s="326"/>
    </row>
    <row r="815">
      <c r="A815" s="283"/>
      <c r="B815" s="283"/>
      <c r="C815" s="283"/>
      <c r="E815" s="326"/>
      <c r="F815" s="326"/>
    </row>
    <row r="816">
      <c r="A816" s="283"/>
      <c r="B816" s="283"/>
      <c r="C816" s="283"/>
      <c r="E816" s="326"/>
      <c r="F816" s="326"/>
    </row>
    <row r="817">
      <c r="A817" s="283"/>
      <c r="B817" s="283"/>
      <c r="C817" s="283"/>
      <c r="E817" s="326"/>
      <c r="F817" s="326"/>
    </row>
    <row r="818">
      <c r="A818" s="283"/>
      <c r="B818" s="283"/>
      <c r="C818" s="283"/>
      <c r="E818" s="326"/>
      <c r="F818" s="326"/>
    </row>
    <row r="819">
      <c r="A819" s="283"/>
      <c r="B819" s="283"/>
      <c r="C819" s="283"/>
      <c r="E819" s="326"/>
      <c r="F819" s="326"/>
    </row>
    <row r="820">
      <c r="A820" s="283"/>
      <c r="B820" s="283"/>
      <c r="C820" s="283"/>
      <c r="E820" s="326"/>
      <c r="F820" s="326"/>
    </row>
    <row r="821">
      <c r="A821" s="283"/>
      <c r="B821" s="283"/>
      <c r="C821" s="283"/>
      <c r="E821" s="326"/>
      <c r="F821" s="326"/>
    </row>
    <row r="822">
      <c r="A822" s="283"/>
      <c r="B822" s="283"/>
      <c r="C822" s="283"/>
      <c r="E822" s="326"/>
      <c r="F822" s="326"/>
    </row>
    <row r="823">
      <c r="A823" s="283"/>
      <c r="B823" s="283"/>
      <c r="C823" s="283"/>
      <c r="E823" s="326"/>
      <c r="F823" s="326"/>
    </row>
    <row r="824">
      <c r="A824" s="283"/>
      <c r="B824" s="283"/>
      <c r="C824" s="283"/>
      <c r="E824" s="326"/>
      <c r="F824" s="326"/>
    </row>
    <row r="825">
      <c r="A825" s="283"/>
      <c r="B825" s="283"/>
      <c r="C825" s="283"/>
      <c r="E825" s="326"/>
      <c r="F825" s="326"/>
    </row>
    <row r="826">
      <c r="A826" s="283"/>
      <c r="B826" s="283"/>
      <c r="C826" s="283"/>
      <c r="E826" s="326"/>
      <c r="F826" s="326"/>
    </row>
    <row r="827">
      <c r="A827" s="283"/>
      <c r="B827" s="283"/>
      <c r="C827" s="283"/>
      <c r="E827" s="326"/>
      <c r="F827" s="326"/>
    </row>
    <row r="828">
      <c r="A828" s="283"/>
      <c r="B828" s="283"/>
      <c r="C828" s="283"/>
      <c r="E828" s="326"/>
      <c r="F828" s="326"/>
    </row>
    <row r="829">
      <c r="A829" s="283"/>
      <c r="B829" s="283"/>
      <c r="C829" s="283"/>
      <c r="E829" s="326"/>
      <c r="F829" s="326"/>
    </row>
    <row r="830">
      <c r="A830" s="283"/>
      <c r="B830" s="283"/>
      <c r="C830" s="283"/>
      <c r="E830" s="326"/>
      <c r="F830" s="326"/>
    </row>
    <row r="831">
      <c r="A831" s="283"/>
      <c r="B831" s="283"/>
      <c r="C831" s="283"/>
      <c r="E831" s="326"/>
      <c r="F831" s="326"/>
    </row>
    <row r="832">
      <c r="A832" s="283"/>
      <c r="B832" s="283"/>
      <c r="C832" s="283"/>
      <c r="E832" s="326"/>
      <c r="F832" s="326"/>
    </row>
    <row r="833">
      <c r="A833" s="283"/>
      <c r="B833" s="283"/>
      <c r="C833" s="283"/>
      <c r="E833" s="326"/>
      <c r="F833" s="326"/>
    </row>
    <row r="834">
      <c r="A834" s="283"/>
      <c r="B834" s="283"/>
      <c r="C834" s="283"/>
      <c r="E834" s="326"/>
      <c r="F834" s="326"/>
    </row>
    <row r="835">
      <c r="A835" s="283"/>
      <c r="B835" s="283"/>
      <c r="C835" s="283"/>
      <c r="E835" s="326"/>
      <c r="F835" s="326"/>
    </row>
    <row r="836">
      <c r="A836" s="283"/>
      <c r="B836" s="283"/>
      <c r="C836" s="283"/>
      <c r="E836" s="326"/>
      <c r="F836" s="326"/>
    </row>
    <row r="837">
      <c r="A837" s="283"/>
      <c r="B837" s="283"/>
      <c r="C837" s="283"/>
      <c r="E837" s="326"/>
      <c r="F837" s="326"/>
    </row>
    <row r="838">
      <c r="A838" s="283"/>
      <c r="B838" s="283"/>
      <c r="C838" s="283"/>
      <c r="E838" s="326"/>
      <c r="F838" s="326"/>
    </row>
    <row r="839">
      <c r="A839" s="283"/>
      <c r="B839" s="283"/>
      <c r="C839" s="283"/>
      <c r="E839" s="326"/>
      <c r="F839" s="326"/>
    </row>
    <row r="840">
      <c r="A840" s="283"/>
      <c r="B840" s="283"/>
      <c r="C840" s="283"/>
      <c r="E840" s="326"/>
      <c r="F840" s="326"/>
    </row>
    <row r="841">
      <c r="A841" s="283"/>
      <c r="B841" s="283"/>
      <c r="C841" s="283"/>
      <c r="E841" s="326"/>
      <c r="F841" s="326"/>
    </row>
    <row r="842">
      <c r="A842" s="283"/>
      <c r="B842" s="283"/>
      <c r="C842" s="283"/>
      <c r="E842" s="326"/>
      <c r="F842" s="326"/>
    </row>
    <row r="843">
      <c r="A843" s="283"/>
      <c r="B843" s="283"/>
      <c r="C843" s="283"/>
      <c r="E843" s="326"/>
      <c r="F843" s="326"/>
    </row>
    <row r="844">
      <c r="A844" s="283"/>
      <c r="B844" s="283"/>
      <c r="C844" s="283"/>
      <c r="E844" s="326"/>
      <c r="F844" s="326"/>
    </row>
    <row r="845">
      <c r="A845" s="283"/>
      <c r="B845" s="283"/>
      <c r="C845" s="283"/>
      <c r="E845" s="326"/>
      <c r="F845" s="326"/>
    </row>
    <row r="846">
      <c r="A846" s="283"/>
      <c r="B846" s="283"/>
      <c r="C846" s="283"/>
      <c r="E846" s="326"/>
      <c r="F846" s="326"/>
    </row>
    <row r="847">
      <c r="A847" s="283"/>
      <c r="B847" s="283"/>
      <c r="C847" s="283"/>
      <c r="E847" s="326"/>
      <c r="F847" s="326"/>
    </row>
    <row r="848">
      <c r="A848" s="283"/>
      <c r="B848" s="283"/>
      <c r="C848" s="283"/>
      <c r="E848" s="326"/>
      <c r="F848" s="326"/>
    </row>
    <row r="849">
      <c r="A849" s="283"/>
      <c r="B849" s="283"/>
      <c r="C849" s="283"/>
      <c r="E849" s="326"/>
      <c r="F849" s="326"/>
    </row>
    <row r="850">
      <c r="A850" s="283"/>
      <c r="B850" s="283"/>
      <c r="C850" s="283"/>
      <c r="E850" s="326"/>
      <c r="F850" s="326"/>
    </row>
    <row r="851">
      <c r="A851" s="283"/>
      <c r="B851" s="283"/>
      <c r="C851" s="283"/>
      <c r="E851" s="326"/>
      <c r="F851" s="326"/>
    </row>
    <row r="852">
      <c r="A852" s="283"/>
      <c r="B852" s="283"/>
      <c r="C852" s="283"/>
      <c r="E852" s="326"/>
      <c r="F852" s="326"/>
    </row>
    <row r="853">
      <c r="A853" s="283"/>
      <c r="B853" s="283"/>
      <c r="C853" s="283"/>
      <c r="E853" s="326"/>
      <c r="F853" s="326"/>
    </row>
    <row r="854">
      <c r="A854" s="283"/>
      <c r="B854" s="283"/>
      <c r="C854" s="283"/>
      <c r="E854" s="326"/>
      <c r="F854" s="326"/>
    </row>
    <row r="855">
      <c r="A855" s="283"/>
      <c r="B855" s="283"/>
      <c r="C855" s="283"/>
      <c r="E855" s="326"/>
      <c r="F855" s="326"/>
    </row>
    <row r="856">
      <c r="A856" s="283"/>
      <c r="B856" s="283"/>
      <c r="C856" s="283"/>
      <c r="E856" s="326"/>
      <c r="F856" s="326"/>
    </row>
    <row r="857">
      <c r="A857" s="283"/>
      <c r="B857" s="283"/>
      <c r="C857" s="283"/>
      <c r="E857" s="326"/>
      <c r="F857" s="326"/>
    </row>
    <row r="858">
      <c r="A858" s="283"/>
      <c r="B858" s="283"/>
      <c r="C858" s="283"/>
      <c r="E858" s="326"/>
      <c r="F858" s="326"/>
    </row>
    <row r="859">
      <c r="A859" s="283"/>
      <c r="B859" s="283"/>
      <c r="C859" s="283"/>
      <c r="E859" s="326"/>
      <c r="F859" s="326"/>
    </row>
    <row r="860">
      <c r="A860" s="283"/>
      <c r="B860" s="283"/>
      <c r="C860" s="283"/>
      <c r="E860" s="326"/>
      <c r="F860" s="326"/>
    </row>
    <row r="861">
      <c r="A861" s="283"/>
      <c r="B861" s="283"/>
      <c r="C861" s="283"/>
      <c r="E861" s="326"/>
      <c r="F861" s="326"/>
    </row>
    <row r="862">
      <c r="A862" s="283"/>
      <c r="B862" s="283"/>
      <c r="C862" s="283"/>
      <c r="E862" s="326"/>
      <c r="F862" s="326"/>
    </row>
    <row r="863">
      <c r="A863" s="283"/>
      <c r="B863" s="283"/>
      <c r="C863" s="283"/>
      <c r="E863" s="326"/>
      <c r="F863" s="326"/>
    </row>
    <row r="864">
      <c r="A864" s="283"/>
      <c r="B864" s="283"/>
      <c r="C864" s="283"/>
      <c r="E864" s="326"/>
      <c r="F864" s="326"/>
    </row>
    <row r="865">
      <c r="A865" s="283"/>
      <c r="B865" s="283"/>
      <c r="C865" s="283"/>
      <c r="E865" s="326"/>
      <c r="F865" s="326"/>
    </row>
    <row r="866">
      <c r="A866" s="283"/>
      <c r="B866" s="283"/>
      <c r="C866" s="283"/>
      <c r="E866" s="326"/>
      <c r="F866" s="326"/>
    </row>
    <row r="867">
      <c r="A867" s="283"/>
      <c r="B867" s="283"/>
      <c r="C867" s="283"/>
      <c r="E867" s="326"/>
      <c r="F867" s="326"/>
    </row>
    <row r="868">
      <c r="A868" s="283"/>
      <c r="B868" s="283"/>
      <c r="C868" s="283"/>
      <c r="E868" s="326"/>
      <c r="F868" s="326"/>
    </row>
    <row r="869">
      <c r="A869" s="283"/>
      <c r="B869" s="283"/>
      <c r="C869" s="283"/>
      <c r="E869" s="326"/>
      <c r="F869" s="326"/>
    </row>
    <row r="870">
      <c r="A870" s="283"/>
      <c r="B870" s="283"/>
      <c r="C870" s="283"/>
      <c r="E870" s="326"/>
      <c r="F870" s="326"/>
    </row>
    <row r="871">
      <c r="A871" s="283"/>
      <c r="B871" s="283"/>
      <c r="C871" s="283"/>
      <c r="E871" s="326"/>
      <c r="F871" s="326"/>
    </row>
    <row r="872">
      <c r="A872" s="283"/>
      <c r="B872" s="283"/>
      <c r="C872" s="283"/>
      <c r="E872" s="326"/>
      <c r="F872" s="326"/>
    </row>
    <row r="873">
      <c r="A873" s="283"/>
      <c r="B873" s="283"/>
      <c r="C873" s="283"/>
      <c r="E873" s="326"/>
      <c r="F873" s="326"/>
    </row>
    <row r="874">
      <c r="A874" s="283"/>
      <c r="B874" s="283"/>
      <c r="C874" s="283"/>
      <c r="E874" s="326"/>
      <c r="F874" s="326"/>
    </row>
    <row r="875">
      <c r="A875" s="283"/>
      <c r="B875" s="283"/>
      <c r="C875" s="283"/>
      <c r="E875" s="326"/>
      <c r="F875" s="326"/>
    </row>
    <row r="876">
      <c r="A876" s="283"/>
      <c r="B876" s="283"/>
      <c r="C876" s="283"/>
      <c r="E876" s="326"/>
      <c r="F876" s="326"/>
    </row>
    <row r="877">
      <c r="A877" s="283"/>
      <c r="B877" s="283"/>
      <c r="C877" s="283"/>
      <c r="E877" s="326"/>
      <c r="F877" s="326"/>
    </row>
    <row r="878">
      <c r="A878" s="283"/>
      <c r="B878" s="283"/>
      <c r="C878" s="283"/>
      <c r="E878" s="326"/>
      <c r="F878" s="326"/>
    </row>
    <row r="879">
      <c r="A879" s="283"/>
      <c r="B879" s="283"/>
      <c r="C879" s="283"/>
      <c r="E879" s="326"/>
      <c r="F879" s="326"/>
    </row>
    <row r="880">
      <c r="A880" s="283"/>
      <c r="B880" s="283"/>
      <c r="C880" s="283"/>
      <c r="E880" s="326"/>
      <c r="F880" s="326"/>
    </row>
    <row r="881">
      <c r="A881" s="283"/>
      <c r="B881" s="283"/>
      <c r="C881" s="283"/>
      <c r="E881" s="326"/>
      <c r="F881" s="326"/>
    </row>
    <row r="882">
      <c r="A882" s="283"/>
      <c r="B882" s="283"/>
      <c r="C882" s="283"/>
      <c r="E882" s="326"/>
      <c r="F882" s="326"/>
    </row>
    <row r="883">
      <c r="A883" s="283"/>
      <c r="B883" s="283"/>
      <c r="C883" s="283"/>
      <c r="E883" s="326"/>
      <c r="F883" s="326"/>
    </row>
    <row r="884">
      <c r="A884" s="283"/>
      <c r="B884" s="283"/>
      <c r="C884" s="283"/>
      <c r="E884" s="326"/>
      <c r="F884" s="326"/>
    </row>
    <row r="885">
      <c r="A885" s="283"/>
      <c r="B885" s="283"/>
      <c r="C885" s="283"/>
      <c r="E885" s="326"/>
      <c r="F885" s="326"/>
    </row>
    <row r="886">
      <c r="A886" s="283"/>
      <c r="B886" s="283"/>
      <c r="C886" s="283"/>
      <c r="E886" s="326"/>
      <c r="F886" s="326"/>
    </row>
    <row r="887">
      <c r="A887" s="283"/>
      <c r="B887" s="283"/>
      <c r="C887" s="283"/>
      <c r="E887" s="326"/>
      <c r="F887" s="326"/>
    </row>
    <row r="888">
      <c r="A888" s="283"/>
      <c r="B888" s="283"/>
      <c r="C888" s="283"/>
      <c r="E888" s="326"/>
      <c r="F888" s="326"/>
    </row>
    <row r="889">
      <c r="A889" s="283"/>
      <c r="B889" s="283"/>
      <c r="C889" s="283"/>
      <c r="E889" s="326"/>
      <c r="F889" s="326"/>
    </row>
    <row r="890">
      <c r="A890" s="283"/>
      <c r="B890" s="283"/>
      <c r="C890" s="283"/>
      <c r="E890" s="326"/>
      <c r="F890" s="326"/>
    </row>
    <row r="891">
      <c r="A891" s="283"/>
      <c r="B891" s="283"/>
      <c r="C891" s="283"/>
      <c r="E891" s="326"/>
      <c r="F891" s="326"/>
    </row>
    <row r="892">
      <c r="A892" s="283"/>
      <c r="B892" s="283"/>
      <c r="C892" s="283"/>
      <c r="E892" s="326"/>
      <c r="F892" s="326"/>
    </row>
    <row r="893">
      <c r="A893" s="283"/>
      <c r="B893" s="283"/>
      <c r="C893" s="283"/>
      <c r="E893" s="326"/>
      <c r="F893" s="326"/>
    </row>
    <row r="894">
      <c r="A894" s="283"/>
      <c r="B894" s="283"/>
      <c r="C894" s="283"/>
      <c r="E894" s="326"/>
      <c r="F894" s="326"/>
    </row>
    <row r="895">
      <c r="A895" s="283"/>
      <c r="B895" s="283"/>
      <c r="C895" s="283"/>
      <c r="E895" s="326"/>
      <c r="F895" s="326"/>
    </row>
    <row r="896">
      <c r="A896" s="283"/>
      <c r="B896" s="283"/>
      <c r="C896" s="283"/>
      <c r="E896" s="326"/>
      <c r="F896" s="326"/>
    </row>
    <row r="897">
      <c r="A897" s="283"/>
      <c r="B897" s="283"/>
      <c r="C897" s="283"/>
      <c r="E897" s="326"/>
      <c r="F897" s="326"/>
    </row>
    <row r="898">
      <c r="A898" s="283"/>
      <c r="B898" s="283"/>
      <c r="C898" s="283"/>
      <c r="E898" s="326"/>
      <c r="F898" s="326"/>
    </row>
    <row r="899">
      <c r="A899" s="283"/>
      <c r="B899" s="283"/>
      <c r="C899" s="283"/>
      <c r="E899" s="326"/>
      <c r="F899" s="326"/>
    </row>
    <row r="900">
      <c r="A900" s="283"/>
      <c r="B900" s="283"/>
      <c r="C900" s="283"/>
      <c r="E900" s="326"/>
      <c r="F900" s="326"/>
    </row>
    <row r="901">
      <c r="A901" s="283"/>
      <c r="B901" s="283"/>
      <c r="C901" s="283"/>
      <c r="E901" s="326"/>
      <c r="F901" s="326"/>
    </row>
    <row r="902">
      <c r="A902" s="283"/>
      <c r="B902" s="283"/>
      <c r="C902" s="283"/>
      <c r="E902" s="326"/>
      <c r="F902" s="326"/>
    </row>
    <row r="903">
      <c r="A903" s="283"/>
      <c r="B903" s="283"/>
      <c r="C903" s="283"/>
      <c r="E903" s="326"/>
      <c r="F903" s="326"/>
    </row>
    <row r="904">
      <c r="A904" s="283"/>
      <c r="B904" s="283"/>
      <c r="C904" s="283"/>
      <c r="E904" s="326"/>
      <c r="F904" s="326"/>
    </row>
    <row r="905">
      <c r="A905" s="283"/>
      <c r="B905" s="283"/>
      <c r="C905" s="283"/>
      <c r="E905" s="326"/>
      <c r="F905" s="326"/>
    </row>
    <row r="906">
      <c r="A906" s="283"/>
      <c r="B906" s="283"/>
      <c r="C906" s="283"/>
      <c r="E906" s="326"/>
      <c r="F906" s="326"/>
    </row>
    <row r="907">
      <c r="A907" s="283"/>
      <c r="B907" s="283"/>
      <c r="C907" s="283"/>
      <c r="E907" s="326"/>
      <c r="F907" s="326"/>
    </row>
    <row r="908">
      <c r="A908" s="283"/>
      <c r="B908" s="283"/>
      <c r="C908" s="283"/>
      <c r="E908" s="326"/>
      <c r="F908" s="326"/>
    </row>
    <row r="909">
      <c r="A909" s="283"/>
      <c r="B909" s="283"/>
      <c r="C909" s="283"/>
      <c r="E909" s="326"/>
      <c r="F909" s="326"/>
    </row>
    <row r="910">
      <c r="A910" s="283"/>
      <c r="B910" s="283"/>
      <c r="C910" s="283"/>
      <c r="E910" s="326"/>
      <c r="F910" s="326"/>
    </row>
    <row r="911">
      <c r="A911" s="283"/>
      <c r="B911" s="283"/>
      <c r="C911" s="283"/>
      <c r="E911" s="326"/>
      <c r="F911" s="326"/>
    </row>
    <row r="912">
      <c r="A912" s="283"/>
      <c r="B912" s="283"/>
      <c r="C912" s="283"/>
      <c r="E912" s="326"/>
      <c r="F912" s="326"/>
    </row>
    <row r="913">
      <c r="A913" s="283"/>
      <c r="B913" s="283"/>
      <c r="C913" s="283"/>
      <c r="E913" s="326"/>
      <c r="F913" s="326"/>
    </row>
    <row r="914">
      <c r="A914" s="283"/>
      <c r="B914" s="283"/>
      <c r="C914" s="283"/>
      <c r="E914" s="326"/>
      <c r="F914" s="326"/>
    </row>
    <row r="915">
      <c r="A915" s="283"/>
      <c r="B915" s="283"/>
      <c r="C915" s="283"/>
      <c r="E915" s="326"/>
      <c r="F915" s="326"/>
    </row>
    <row r="916">
      <c r="A916" s="283"/>
      <c r="B916" s="283"/>
      <c r="C916" s="283"/>
      <c r="E916" s="326"/>
      <c r="F916" s="326"/>
    </row>
    <row r="917">
      <c r="A917" s="283"/>
      <c r="B917" s="283"/>
      <c r="C917" s="283"/>
      <c r="E917" s="326"/>
      <c r="F917" s="326"/>
    </row>
    <row r="918">
      <c r="A918" s="283"/>
      <c r="B918" s="283"/>
      <c r="C918" s="283"/>
      <c r="E918" s="326"/>
      <c r="F918" s="326"/>
    </row>
    <row r="919">
      <c r="A919" s="283"/>
      <c r="B919" s="283"/>
      <c r="C919" s="283"/>
      <c r="E919" s="326"/>
      <c r="F919" s="326"/>
    </row>
    <row r="920">
      <c r="A920" s="283"/>
      <c r="B920" s="283"/>
      <c r="C920" s="283"/>
      <c r="E920" s="326"/>
      <c r="F920" s="326"/>
    </row>
    <row r="921">
      <c r="A921" s="283"/>
      <c r="B921" s="283"/>
      <c r="C921" s="283"/>
      <c r="E921" s="326"/>
      <c r="F921" s="326"/>
    </row>
    <row r="922">
      <c r="A922" s="283"/>
      <c r="B922" s="283"/>
      <c r="C922" s="283"/>
      <c r="E922" s="326"/>
      <c r="F922" s="326"/>
    </row>
    <row r="923">
      <c r="A923" s="283"/>
      <c r="B923" s="283"/>
      <c r="C923" s="283"/>
      <c r="E923" s="326"/>
      <c r="F923" s="326"/>
    </row>
    <row r="924">
      <c r="A924" s="283"/>
      <c r="B924" s="283"/>
      <c r="C924" s="283"/>
      <c r="E924" s="326"/>
      <c r="F924" s="326"/>
    </row>
    <row r="925">
      <c r="A925" s="283"/>
      <c r="B925" s="283"/>
      <c r="C925" s="283"/>
      <c r="E925" s="326"/>
      <c r="F925" s="326"/>
    </row>
    <row r="926">
      <c r="A926" s="283"/>
      <c r="B926" s="283"/>
      <c r="C926" s="283"/>
      <c r="E926" s="326"/>
      <c r="F926" s="326"/>
    </row>
    <row r="927">
      <c r="A927" s="283"/>
      <c r="B927" s="283"/>
      <c r="C927" s="283"/>
      <c r="E927" s="326"/>
      <c r="F927" s="326"/>
    </row>
    <row r="928">
      <c r="A928" s="283"/>
      <c r="B928" s="283"/>
      <c r="C928" s="283"/>
      <c r="E928" s="326"/>
      <c r="F928" s="326"/>
    </row>
    <row r="929">
      <c r="A929" s="283"/>
      <c r="B929" s="283"/>
      <c r="C929" s="283"/>
      <c r="E929" s="326"/>
      <c r="F929" s="326"/>
    </row>
    <row r="930">
      <c r="A930" s="283"/>
      <c r="B930" s="283"/>
      <c r="C930" s="283"/>
      <c r="E930" s="326"/>
      <c r="F930" s="326"/>
    </row>
    <row r="931">
      <c r="A931" s="283"/>
      <c r="B931" s="283"/>
      <c r="C931" s="283"/>
      <c r="E931" s="326"/>
      <c r="F931" s="326"/>
    </row>
    <row r="932">
      <c r="A932" s="283"/>
      <c r="B932" s="283"/>
      <c r="C932" s="283"/>
      <c r="E932" s="326"/>
      <c r="F932" s="326"/>
    </row>
    <row r="933">
      <c r="A933" s="283"/>
      <c r="B933" s="283"/>
      <c r="C933" s="283"/>
      <c r="E933" s="326"/>
      <c r="F933" s="326"/>
    </row>
    <row r="934">
      <c r="A934" s="283"/>
      <c r="B934" s="283"/>
      <c r="C934" s="283"/>
      <c r="E934" s="326"/>
      <c r="F934" s="326"/>
    </row>
    <row r="935">
      <c r="A935" s="283"/>
      <c r="B935" s="283"/>
      <c r="C935" s="283"/>
      <c r="E935" s="326"/>
      <c r="F935" s="326"/>
    </row>
    <row r="936">
      <c r="A936" s="283"/>
      <c r="B936" s="283"/>
      <c r="C936" s="283"/>
      <c r="E936" s="326"/>
      <c r="F936" s="326"/>
    </row>
    <row r="937">
      <c r="A937" s="283"/>
      <c r="B937" s="283"/>
      <c r="C937" s="283"/>
      <c r="E937" s="326"/>
      <c r="F937" s="326"/>
    </row>
    <row r="938">
      <c r="A938" s="283"/>
      <c r="B938" s="283"/>
      <c r="C938" s="283"/>
      <c r="E938" s="326"/>
      <c r="F938" s="326"/>
    </row>
    <row r="939">
      <c r="A939" s="283"/>
      <c r="B939" s="283"/>
      <c r="C939" s="283"/>
      <c r="E939" s="326"/>
      <c r="F939" s="326"/>
    </row>
    <row r="940">
      <c r="A940" s="283"/>
      <c r="B940" s="283"/>
      <c r="C940" s="283"/>
      <c r="E940" s="326"/>
      <c r="F940" s="326"/>
    </row>
    <row r="941">
      <c r="A941" s="283"/>
      <c r="B941" s="283"/>
      <c r="C941" s="283"/>
      <c r="E941" s="326"/>
      <c r="F941" s="326"/>
    </row>
    <row r="942">
      <c r="A942" s="283"/>
      <c r="B942" s="283"/>
      <c r="C942" s="283"/>
      <c r="E942" s="326"/>
      <c r="F942" s="326"/>
    </row>
    <row r="943">
      <c r="A943" s="283"/>
      <c r="B943" s="283"/>
      <c r="C943" s="283"/>
      <c r="E943" s="326"/>
      <c r="F943" s="326"/>
    </row>
    <row r="944">
      <c r="A944" s="283"/>
      <c r="B944" s="283"/>
      <c r="C944" s="283"/>
      <c r="E944" s="326"/>
      <c r="F944" s="326"/>
    </row>
    <row r="945">
      <c r="A945" s="283"/>
      <c r="B945" s="283"/>
      <c r="C945" s="283"/>
      <c r="E945" s="326"/>
      <c r="F945" s="326"/>
    </row>
    <row r="946">
      <c r="A946" s="283"/>
      <c r="B946" s="283"/>
      <c r="C946" s="283"/>
      <c r="E946" s="326"/>
      <c r="F946" s="326"/>
    </row>
    <row r="947">
      <c r="A947" s="283"/>
      <c r="B947" s="283"/>
      <c r="C947" s="283"/>
      <c r="E947" s="326"/>
      <c r="F947" s="326"/>
    </row>
    <row r="948">
      <c r="A948" s="283"/>
      <c r="B948" s="283"/>
      <c r="C948" s="283"/>
      <c r="E948" s="326"/>
      <c r="F948" s="326"/>
    </row>
    <row r="949">
      <c r="A949" s="283"/>
      <c r="B949" s="283"/>
      <c r="C949" s="283"/>
      <c r="E949" s="326"/>
      <c r="F949" s="326"/>
    </row>
    <row r="950">
      <c r="A950" s="283"/>
      <c r="B950" s="283"/>
      <c r="C950" s="283"/>
      <c r="E950" s="326"/>
      <c r="F950" s="326"/>
    </row>
    <row r="951">
      <c r="A951" s="283"/>
      <c r="B951" s="283"/>
      <c r="C951" s="283"/>
      <c r="E951" s="326"/>
      <c r="F951" s="326"/>
    </row>
    <row r="952">
      <c r="A952" s="283"/>
      <c r="B952" s="283"/>
      <c r="C952" s="283"/>
      <c r="E952" s="326"/>
      <c r="F952" s="326"/>
    </row>
    <row r="953">
      <c r="A953" s="283"/>
      <c r="B953" s="283"/>
      <c r="C953" s="283"/>
      <c r="E953" s="326"/>
      <c r="F953" s="326"/>
    </row>
    <row r="954">
      <c r="A954" s="283"/>
      <c r="B954" s="283"/>
      <c r="C954" s="283"/>
      <c r="E954" s="326"/>
      <c r="F954" s="326"/>
    </row>
    <row r="955">
      <c r="A955" s="283"/>
      <c r="B955" s="283"/>
      <c r="C955" s="283"/>
      <c r="E955" s="326"/>
      <c r="F955" s="326"/>
    </row>
    <row r="956">
      <c r="A956" s="283"/>
      <c r="B956" s="283"/>
      <c r="C956" s="283"/>
      <c r="E956" s="326"/>
      <c r="F956" s="326"/>
    </row>
    <row r="957">
      <c r="A957" s="283"/>
      <c r="B957" s="283"/>
      <c r="C957" s="283"/>
      <c r="E957" s="326"/>
      <c r="F957" s="326"/>
    </row>
    <row r="958">
      <c r="A958" s="283"/>
      <c r="B958" s="283"/>
      <c r="C958" s="283"/>
      <c r="E958" s="326"/>
      <c r="F958" s="326"/>
    </row>
    <row r="959">
      <c r="A959" s="283"/>
      <c r="B959" s="283"/>
      <c r="C959" s="283"/>
      <c r="E959" s="326"/>
      <c r="F959" s="326"/>
    </row>
    <row r="960">
      <c r="A960" s="283"/>
      <c r="B960" s="283"/>
      <c r="C960" s="283"/>
      <c r="E960" s="326"/>
      <c r="F960" s="326"/>
    </row>
    <row r="961">
      <c r="A961" s="283"/>
      <c r="B961" s="283"/>
      <c r="C961" s="283"/>
      <c r="E961" s="326"/>
      <c r="F961" s="326"/>
    </row>
    <row r="962">
      <c r="A962" s="283"/>
      <c r="B962" s="283"/>
      <c r="C962" s="283"/>
      <c r="E962" s="326"/>
      <c r="F962" s="326"/>
    </row>
    <row r="963">
      <c r="A963" s="283"/>
      <c r="B963" s="283"/>
      <c r="C963" s="283"/>
      <c r="E963" s="326"/>
      <c r="F963" s="326"/>
    </row>
    <row r="964">
      <c r="A964" s="283"/>
      <c r="B964" s="283"/>
      <c r="C964" s="283"/>
      <c r="E964" s="326"/>
      <c r="F964" s="326"/>
    </row>
    <row r="965">
      <c r="A965" s="283"/>
      <c r="B965" s="283"/>
      <c r="C965" s="283"/>
      <c r="E965" s="326"/>
      <c r="F965" s="326"/>
    </row>
    <row r="966">
      <c r="A966" s="283"/>
      <c r="B966" s="283"/>
      <c r="C966" s="283"/>
      <c r="E966" s="326"/>
      <c r="F966" s="326"/>
    </row>
    <row r="967">
      <c r="A967" s="283"/>
      <c r="B967" s="283"/>
      <c r="C967" s="283"/>
      <c r="E967" s="326"/>
      <c r="F967" s="326"/>
    </row>
    <row r="968">
      <c r="A968" s="283"/>
      <c r="B968" s="283"/>
      <c r="C968" s="283"/>
      <c r="E968" s="326"/>
      <c r="F968" s="326"/>
    </row>
    <row r="969">
      <c r="A969" s="283"/>
      <c r="B969" s="283"/>
      <c r="C969" s="283"/>
      <c r="E969" s="326"/>
      <c r="F969" s="326"/>
    </row>
    <row r="970">
      <c r="A970" s="283"/>
      <c r="B970" s="283"/>
      <c r="C970" s="283"/>
      <c r="E970" s="326"/>
      <c r="F970" s="326"/>
    </row>
    <row r="971">
      <c r="A971" s="283"/>
      <c r="B971" s="283"/>
      <c r="C971" s="283"/>
      <c r="E971" s="326"/>
      <c r="F971" s="326"/>
    </row>
  </sheetData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hidden="1" min="8" max="12" width="12.63"/>
    <col customWidth="1" hidden="1" min="13" max="14" width="14.75"/>
    <col hidden="1" min="15" max="15" width="12.63"/>
    <col customWidth="1" hidden="1" min="16" max="16" width="20.13"/>
  </cols>
  <sheetData>
    <row r="1">
      <c r="A1" s="517" t="s">
        <v>4476</v>
      </c>
      <c r="B1" s="517" t="s">
        <v>1</v>
      </c>
      <c r="C1" s="60"/>
      <c r="D1" s="60"/>
      <c r="E1" s="60"/>
      <c r="F1" s="60"/>
      <c r="G1" s="60"/>
      <c r="H1" s="60"/>
      <c r="I1" s="518" t="s">
        <v>44</v>
      </c>
      <c r="J1" s="519"/>
      <c r="K1" s="519" t="s">
        <v>1</v>
      </c>
      <c r="L1" s="520"/>
      <c r="M1" s="314" t="s">
        <v>11006</v>
      </c>
      <c r="N1" s="11" t="s">
        <v>4161</v>
      </c>
    </row>
    <row r="2">
      <c r="A2" s="521" t="s">
        <v>11007</v>
      </c>
      <c r="B2" s="21"/>
      <c r="C2" s="21"/>
      <c r="D2" s="21"/>
      <c r="E2" s="21"/>
      <c r="F2" s="21"/>
      <c r="G2" s="21"/>
      <c r="H2" s="21"/>
      <c r="I2" s="21" t="s">
        <v>1670</v>
      </c>
      <c r="J2" s="11"/>
      <c r="K2" s="11">
        <v>7244.0</v>
      </c>
      <c r="L2" s="11"/>
      <c r="M2" s="21">
        <v>1.0</v>
      </c>
      <c r="O2" s="126"/>
    </row>
    <row r="3">
      <c r="A3" s="521" t="s">
        <v>11008</v>
      </c>
      <c r="B3" s="21"/>
      <c r="C3" s="21"/>
      <c r="D3" s="21"/>
      <c r="E3" s="21"/>
      <c r="F3" s="21"/>
      <c r="G3" s="21"/>
      <c r="H3" s="21"/>
      <c r="I3" s="522" t="s">
        <v>1671</v>
      </c>
      <c r="J3" s="522"/>
      <c r="K3" s="522">
        <v>4933.0</v>
      </c>
      <c r="L3" s="522"/>
      <c r="M3" s="21" t="e">
        <v>#N/A</v>
      </c>
      <c r="O3" s="523"/>
    </row>
    <row r="4">
      <c r="A4" s="521" t="s">
        <v>1822</v>
      </c>
      <c r="B4" s="21"/>
      <c r="C4" s="21"/>
      <c r="D4" s="21"/>
      <c r="E4" s="21"/>
      <c r="F4" s="21"/>
      <c r="G4" s="21"/>
      <c r="H4" s="21"/>
      <c r="I4" s="21" t="s">
        <v>4657</v>
      </c>
      <c r="J4" s="21"/>
      <c r="K4" s="21">
        <v>5458.0</v>
      </c>
      <c r="L4" s="21"/>
      <c r="M4" s="21">
        <v>1.0</v>
      </c>
      <c r="O4" s="358" t="s">
        <v>11009</v>
      </c>
    </row>
    <row r="5">
      <c r="A5" s="521" t="s">
        <v>1825</v>
      </c>
      <c r="B5" s="21"/>
      <c r="C5" s="21"/>
      <c r="D5" s="21"/>
      <c r="E5" s="21"/>
      <c r="F5" s="21"/>
      <c r="G5" s="21"/>
      <c r="H5" s="21"/>
      <c r="I5" s="522" t="s">
        <v>7251</v>
      </c>
      <c r="J5" s="522"/>
      <c r="K5" s="522">
        <v>6671.0</v>
      </c>
      <c r="L5" s="522"/>
      <c r="M5" s="21" t="e">
        <v>#N/A</v>
      </c>
      <c r="O5" s="358"/>
    </row>
    <row r="6">
      <c r="A6" s="521" t="s">
        <v>1849</v>
      </c>
      <c r="B6" s="21">
        <v>6675.0</v>
      </c>
      <c r="C6" s="21"/>
      <c r="D6" s="21"/>
      <c r="E6" s="21"/>
      <c r="F6" s="21"/>
      <c r="G6" s="21"/>
      <c r="H6" s="21"/>
      <c r="I6" s="522" t="s">
        <v>7252</v>
      </c>
      <c r="J6" s="522"/>
      <c r="K6" s="522">
        <v>6983.0</v>
      </c>
      <c r="L6" s="522"/>
      <c r="M6" s="21" t="e">
        <v>#N/A</v>
      </c>
      <c r="O6" s="81">
        <v>6658.0</v>
      </c>
      <c r="P6" s="477">
        <v>10.0</v>
      </c>
    </row>
    <row r="7">
      <c r="A7" s="521" t="s">
        <v>1850</v>
      </c>
      <c r="B7" s="21"/>
      <c r="C7" s="21"/>
      <c r="D7" s="21"/>
      <c r="E7" s="21"/>
      <c r="F7" s="21"/>
      <c r="G7" s="21"/>
      <c r="H7" s="21"/>
      <c r="I7" s="522" t="s">
        <v>7253</v>
      </c>
      <c r="J7" s="522"/>
      <c r="K7" s="522">
        <v>6831.0</v>
      </c>
      <c r="L7" s="522"/>
      <c r="M7" s="21" t="e">
        <v>#N/A</v>
      </c>
      <c r="O7" s="81">
        <v>2345.0</v>
      </c>
      <c r="P7" s="477">
        <v>10.0</v>
      </c>
    </row>
    <row r="8">
      <c r="A8" s="521" t="s">
        <v>11010</v>
      </c>
      <c r="B8" s="21">
        <v>7747.0</v>
      </c>
      <c r="C8" s="21"/>
      <c r="D8" s="21"/>
      <c r="E8" s="21"/>
      <c r="F8" s="21"/>
      <c r="G8" s="21"/>
      <c r="H8" s="21"/>
      <c r="I8" s="522" t="s">
        <v>4648</v>
      </c>
      <c r="J8" s="522"/>
      <c r="K8" s="522">
        <v>6463.0</v>
      </c>
      <c r="L8" s="522"/>
      <c r="M8" s="21" t="e">
        <v>#N/A</v>
      </c>
      <c r="O8" s="81">
        <v>5458.0</v>
      </c>
      <c r="P8" s="477">
        <v>6.0</v>
      </c>
    </row>
    <row r="9">
      <c r="A9" s="521" t="s">
        <v>11011</v>
      </c>
      <c r="B9" s="21"/>
      <c r="C9" s="21"/>
      <c r="D9" s="21"/>
      <c r="E9" s="21"/>
      <c r="F9" s="21"/>
      <c r="G9" s="21"/>
      <c r="H9" s="21"/>
      <c r="I9" s="522" t="s">
        <v>7255</v>
      </c>
      <c r="J9" s="522"/>
      <c r="K9" s="522">
        <v>7099.0</v>
      </c>
      <c r="L9" s="522"/>
      <c r="M9" s="21" t="e">
        <v>#N/A</v>
      </c>
      <c r="O9" s="81">
        <v>663.0</v>
      </c>
      <c r="P9" s="477">
        <v>3.0</v>
      </c>
    </row>
    <row r="10">
      <c r="A10" s="521" t="s">
        <v>1674</v>
      </c>
      <c r="B10" s="21">
        <v>3307.0</v>
      </c>
      <c r="C10" s="21"/>
      <c r="D10" s="21"/>
      <c r="E10" s="21"/>
      <c r="F10" s="21"/>
      <c r="G10" s="21"/>
      <c r="H10" s="21"/>
      <c r="I10" s="522" t="s">
        <v>7256</v>
      </c>
      <c r="J10" s="522"/>
      <c r="K10" s="522">
        <v>5458.0</v>
      </c>
      <c r="L10" s="522"/>
      <c r="M10" s="21" t="e">
        <v>#N/A</v>
      </c>
      <c r="O10" s="81">
        <v>6557.0</v>
      </c>
      <c r="P10" s="477">
        <v>2.0</v>
      </c>
    </row>
    <row r="11">
      <c r="A11" s="521" t="s">
        <v>11012</v>
      </c>
      <c r="B11" s="21"/>
      <c r="C11" s="21"/>
      <c r="D11" s="21"/>
      <c r="E11" s="21"/>
      <c r="F11" s="21"/>
      <c r="G11" s="21"/>
      <c r="H11" s="21"/>
      <c r="I11" s="522" t="s">
        <v>7257</v>
      </c>
      <c r="J11" s="522"/>
      <c r="K11" s="522">
        <v>5458.0</v>
      </c>
      <c r="L11" s="522"/>
      <c r="M11" s="21" t="e">
        <v>#N/A</v>
      </c>
      <c r="O11" s="81">
        <v>189.0</v>
      </c>
      <c r="P11" s="477">
        <v>2.0</v>
      </c>
    </row>
    <row r="12">
      <c r="A12" s="521" t="s">
        <v>1716</v>
      </c>
      <c r="B12" s="21">
        <v>8002.0</v>
      </c>
      <c r="C12" s="21"/>
      <c r="D12" s="21"/>
      <c r="E12" s="21"/>
      <c r="F12" s="21"/>
      <c r="G12" s="21"/>
      <c r="H12" s="21"/>
      <c r="I12" s="522" t="s">
        <v>7258</v>
      </c>
      <c r="J12" s="522"/>
      <c r="K12" s="522">
        <v>5458.0</v>
      </c>
      <c r="L12" s="522"/>
      <c r="M12" s="21" t="e">
        <v>#N/A</v>
      </c>
      <c r="O12" s="81">
        <v>4933.0</v>
      </c>
      <c r="P12" s="477">
        <v>1.0</v>
      </c>
    </row>
    <row r="13">
      <c r="A13" s="521" t="s">
        <v>11013</v>
      </c>
      <c r="B13" s="21"/>
      <c r="C13" s="21"/>
      <c r="D13" s="21"/>
      <c r="E13" s="21"/>
      <c r="F13" s="21"/>
      <c r="G13" s="21"/>
      <c r="H13" s="21"/>
      <c r="I13" s="21" t="s">
        <v>7259</v>
      </c>
      <c r="J13" s="21"/>
      <c r="K13" s="21">
        <v>7031.0</v>
      </c>
      <c r="L13" s="21"/>
      <c r="M13" s="21">
        <v>1.0</v>
      </c>
      <c r="O13" s="81">
        <v>6671.0</v>
      </c>
      <c r="P13" s="477">
        <v>1.0</v>
      </c>
    </row>
    <row r="14">
      <c r="A14" s="521" t="s">
        <v>11014</v>
      </c>
      <c r="B14" s="21"/>
      <c r="C14" s="21"/>
      <c r="D14" s="21"/>
      <c r="E14" s="21"/>
      <c r="F14" s="21"/>
      <c r="G14" s="21"/>
      <c r="H14" s="21"/>
      <c r="I14" s="21" t="s">
        <v>4649</v>
      </c>
      <c r="J14" s="21"/>
      <c r="K14" s="21">
        <v>986.0</v>
      </c>
      <c r="L14" s="21"/>
      <c r="M14" s="21">
        <v>1.0</v>
      </c>
      <c r="O14" s="81">
        <v>6983.0</v>
      </c>
      <c r="P14" s="477">
        <v>1.0</v>
      </c>
    </row>
    <row r="15">
      <c r="A15" s="521" t="s">
        <v>1668</v>
      </c>
      <c r="B15" s="21">
        <v>14482.0</v>
      </c>
      <c r="C15" s="21"/>
      <c r="D15" s="21"/>
      <c r="E15" s="21"/>
      <c r="F15" s="21"/>
      <c r="G15" s="21"/>
      <c r="H15" s="21"/>
      <c r="I15" s="522" t="s">
        <v>4651</v>
      </c>
      <c r="J15" s="522"/>
      <c r="K15" s="522"/>
      <c r="L15" s="522"/>
      <c r="M15" s="21" t="e">
        <v>#N/A</v>
      </c>
      <c r="O15" s="81">
        <v>7099.0</v>
      </c>
      <c r="P15" s="477">
        <v>1.0</v>
      </c>
    </row>
    <row r="16">
      <c r="A16" s="521" t="s">
        <v>1669</v>
      </c>
      <c r="B16" s="21">
        <v>14516.0</v>
      </c>
      <c r="C16" s="21"/>
      <c r="D16" s="21"/>
      <c r="E16" s="21"/>
      <c r="F16" s="21"/>
      <c r="G16" s="21"/>
      <c r="H16" s="21"/>
      <c r="I16" s="522" t="s">
        <v>4652</v>
      </c>
      <c r="J16" s="522"/>
      <c r="K16" s="522"/>
      <c r="L16" s="522"/>
      <c r="M16" s="21" t="e">
        <v>#N/A</v>
      </c>
      <c r="O16" s="81">
        <v>5389.0</v>
      </c>
      <c r="P16" s="477">
        <v>1.0</v>
      </c>
    </row>
    <row r="17">
      <c r="A17" s="521" t="s">
        <v>1670</v>
      </c>
      <c r="B17" s="21">
        <v>189.0</v>
      </c>
      <c r="C17" s="21"/>
      <c r="D17" s="21"/>
      <c r="E17" s="21"/>
      <c r="F17" s="21"/>
      <c r="G17" s="21"/>
      <c r="H17" s="21"/>
      <c r="I17" s="522" t="s">
        <v>4653</v>
      </c>
      <c r="J17" s="522"/>
      <c r="K17" s="522"/>
      <c r="L17" s="522"/>
      <c r="M17" s="21" t="e">
        <v>#N/A</v>
      </c>
      <c r="O17" s="81">
        <v>6805.0</v>
      </c>
      <c r="P17" s="477">
        <v>1.0</v>
      </c>
    </row>
    <row r="18">
      <c r="A18" s="521" t="s">
        <v>1671</v>
      </c>
      <c r="B18" s="21">
        <v>6706.0</v>
      </c>
      <c r="C18" s="21"/>
      <c r="D18" s="21"/>
      <c r="E18" s="21"/>
      <c r="F18" s="21"/>
      <c r="G18" s="21"/>
      <c r="H18" s="21"/>
      <c r="I18" s="21" t="s">
        <v>4655</v>
      </c>
      <c r="J18" s="21"/>
      <c r="K18" s="21">
        <v>189.0</v>
      </c>
      <c r="L18" s="21"/>
      <c r="M18" s="21">
        <v>1.0</v>
      </c>
      <c r="O18" s="81">
        <v>7010.0</v>
      </c>
      <c r="P18" s="477">
        <v>1.0</v>
      </c>
    </row>
    <row r="19">
      <c r="A19" s="521" t="s">
        <v>1672</v>
      </c>
      <c r="B19" s="21"/>
      <c r="C19" s="21"/>
      <c r="D19" s="21"/>
      <c r="E19" s="21"/>
      <c r="F19" s="21"/>
      <c r="G19" s="21"/>
      <c r="H19" s="21"/>
      <c r="I19" s="21" t="s">
        <v>11015</v>
      </c>
      <c r="J19" s="21"/>
      <c r="K19" s="21">
        <v>6132.0</v>
      </c>
      <c r="L19" s="21"/>
      <c r="M19" s="21">
        <v>1.0</v>
      </c>
      <c r="O19" s="81">
        <v>986.0</v>
      </c>
      <c r="P19" s="477">
        <v>1.0</v>
      </c>
    </row>
    <row r="20">
      <c r="A20" s="521" t="s">
        <v>1673</v>
      </c>
      <c r="B20" s="21"/>
      <c r="C20" s="21"/>
      <c r="D20" s="21"/>
      <c r="E20" s="21"/>
      <c r="F20" s="21"/>
      <c r="G20" s="21"/>
      <c r="H20" s="21"/>
      <c r="I20" s="522" t="s">
        <v>11016</v>
      </c>
      <c r="J20" s="522"/>
      <c r="K20" s="522">
        <v>5458.0</v>
      </c>
      <c r="L20" s="522"/>
      <c r="M20" s="21" t="e">
        <v>#N/A</v>
      </c>
      <c r="O20" s="81">
        <v>6893.0</v>
      </c>
      <c r="P20" s="477">
        <v>1.0</v>
      </c>
    </row>
    <row r="21">
      <c r="A21" s="521" t="s">
        <v>4647</v>
      </c>
      <c r="B21" s="11">
        <v>14480.0</v>
      </c>
      <c r="C21" s="21"/>
      <c r="D21" s="21"/>
      <c r="E21" s="21"/>
      <c r="F21" s="21"/>
      <c r="G21" s="21"/>
      <c r="H21" s="21"/>
      <c r="I21" s="522" t="s">
        <v>11017</v>
      </c>
      <c r="J21" s="522"/>
      <c r="K21" s="522">
        <v>5458.0</v>
      </c>
      <c r="L21" s="522"/>
      <c r="M21" s="21" t="e">
        <v>#N/A</v>
      </c>
      <c r="O21" s="81">
        <v>7142.0</v>
      </c>
      <c r="P21" s="477">
        <v>1.0</v>
      </c>
    </row>
    <row r="22">
      <c r="A22" s="521" t="s">
        <v>4656</v>
      </c>
      <c r="B22" s="21"/>
      <c r="C22" s="21"/>
      <c r="D22" s="21"/>
      <c r="E22" s="21"/>
      <c r="F22" s="21"/>
      <c r="G22" s="21"/>
      <c r="H22" s="21"/>
      <c r="I22" s="522" t="s">
        <v>11018</v>
      </c>
      <c r="J22" s="522"/>
      <c r="K22" s="522">
        <v>5389.0</v>
      </c>
      <c r="L22" s="522"/>
      <c r="M22" s="21" t="e">
        <v>#N/A</v>
      </c>
      <c r="O22" s="81">
        <v>283.0</v>
      </c>
      <c r="P22" s="477">
        <v>1.0</v>
      </c>
    </row>
    <row r="23">
      <c r="A23" s="521" t="s">
        <v>4657</v>
      </c>
      <c r="B23" s="21"/>
      <c r="C23" s="21"/>
      <c r="D23" s="21"/>
      <c r="E23" s="21"/>
      <c r="F23" s="21"/>
      <c r="G23" s="21"/>
      <c r="H23" s="21"/>
      <c r="I23" s="21" t="s">
        <v>11019</v>
      </c>
      <c r="J23" s="21"/>
      <c r="K23" s="21">
        <v>5458.0</v>
      </c>
      <c r="L23" s="21"/>
      <c r="M23" s="21">
        <v>1.0</v>
      </c>
      <c r="O23" s="81">
        <v>6875.0</v>
      </c>
      <c r="P23" s="477">
        <v>1.0</v>
      </c>
    </row>
    <row r="24">
      <c r="A24" s="521" t="s">
        <v>4658</v>
      </c>
      <c r="B24" s="21"/>
      <c r="C24" s="21"/>
      <c r="D24" s="21"/>
      <c r="E24" s="21"/>
      <c r="F24" s="21"/>
      <c r="G24" s="21"/>
      <c r="H24" s="21"/>
      <c r="I24" s="21" t="s">
        <v>11020</v>
      </c>
      <c r="J24" s="21"/>
      <c r="K24" s="21">
        <v>7157.0</v>
      </c>
      <c r="L24" s="21"/>
      <c r="M24" s="21">
        <v>1.0</v>
      </c>
      <c r="O24" s="81">
        <v>7030.0</v>
      </c>
      <c r="P24" s="477">
        <v>1.0</v>
      </c>
    </row>
    <row r="25">
      <c r="A25" s="521" t="s">
        <v>4667</v>
      </c>
      <c r="B25" s="21">
        <v>7847.0</v>
      </c>
      <c r="C25" s="21"/>
      <c r="D25" s="21"/>
      <c r="E25" s="21"/>
      <c r="F25" s="21"/>
      <c r="G25" s="21"/>
      <c r="H25" s="21"/>
      <c r="I25" s="522" t="s">
        <v>11021</v>
      </c>
      <c r="J25" s="522"/>
      <c r="K25" s="522">
        <v>6805.0</v>
      </c>
      <c r="L25" s="522"/>
      <c r="M25" s="21" t="e">
        <v>#N/A</v>
      </c>
      <c r="O25" s="81">
        <v>6726.0</v>
      </c>
      <c r="P25" s="477">
        <v>1.0</v>
      </c>
    </row>
    <row r="26">
      <c r="A26" s="521" t="s">
        <v>4668</v>
      </c>
      <c r="B26" s="21"/>
      <c r="C26" s="21"/>
      <c r="D26" s="21"/>
      <c r="E26" s="21"/>
      <c r="F26" s="21"/>
      <c r="G26" s="21"/>
      <c r="H26" s="21"/>
      <c r="I26" s="21" t="s">
        <v>11022</v>
      </c>
      <c r="J26" s="21"/>
      <c r="K26" s="21">
        <v>7100.0</v>
      </c>
      <c r="L26" s="21"/>
      <c r="M26" s="21">
        <v>1.0</v>
      </c>
      <c r="O26" s="81">
        <v>7040.0</v>
      </c>
      <c r="P26" s="477">
        <v>1.0</v>
      </c>
    </row>
    <row r="27">
      <c r="A27" s="521" t="s">
        <v>4669</v>
      </c>
      <c r="B27" s="21"/>
      <c r="C27" s="21"/>
      <c r="D27" s="21"/>
      <c r="E27" s="21"/>
      <c r="F27" s="21"/>
      <c r="G27" s="21"/>
      <c r="H27" s="21"/>
      <c r="I27" s="21" t="s">
        <v>11023</v>
      </c>
      <c r="J27" s="21"/>
      <c r="K27" s="21">
        <v>7033.0</v>
      </c>
      <c r="L27" s="21"/>
      <c r="M27" s="21">
        <v>1.0</v>
      </c>
      <c r="O27" s="81">
        <v>6732.0</v>
      </c>
      <c r="P27" s="477">
        <v>1.0</v>
      </c>
    </row>
    <row r="28">
      <c r="A28" s="521" t="s">
        <v>7250</v>
      </c>
      <c r="B28" s="21"/>
      <c r="C28" s="21"/>
      <c r="D28" s="21"/>
      <c r="E28" s="21"/>
      <c r="F28" s="21"/>
      <c r="G28" s="21"/>
      <c r="H28" s="21"/>
      <c r="I28" s="522" t="s">
        <v>11024</v>
      </c>
      <c r="J28" s="522"/>
      <c r="K28" s="522">
        <v>7010.0</v>
      </c>
      <c r="L28" s="522"/>
      <c r="M28" s="21" t="e">
        <v>#N/A</v>
      </c>
      <c r="O28" s="81">
        <v>3307.0</v>
      </c>
      <c r="P28" s="477">
        <v>1.0</v>
      </c>
    </row>
    <row r="29">
      <c r="A29" s="521" t="s">
        <v>7251</v>
      </c>
      <c r="B29" s="21"/>
      <c r="C29" s="21"/>
      <c r="D29" s="21"/>
      <c r="E29" s="21"/>
      <c r="F29" s="21"/>
      <c r="G29" s="21"/>
      <c r="H29" s="21"/>
      <c r="I29" s="21" t="s">
        <v>11025</v>
      </c>
      <c r="J29" s="21"/>
      <c r="K29" s="21">
        <v>6772.0</v>
      </c>
      <c r="L29" s="21"/>
      <c r="M29" s="21">
        <v>1.0</v>
      </c>
      <c r="O29" s="81">
        <v>7051.0</v>
      </c>
      <c r="P29" s="477">
        <v>1.0</v>
      </c>
    </row>
    <row r="30">
      <c r="A30" s="521" t="s">
        <v>7252</v>
      </c>
      <c r="B30" s="21"/>
      <c r="C30" s="21"/>
      <c r="D30" s="21"/>
      <c r="E30" s="21"/>
      <c r="F30" s="21"/>
      <c r="G30" s="21"/>
      <c r="H30" s="21"/>
      <c r="I30" s="21" t="s">
        <v>11026</v>
      </c>
      <c r="J30" s="21"/>
      <c r="K30" s="21">
        <v>6887.0</v>
      </c>
      <c r="L30" s="21"/>
      <c r="M30" s="21">
        <v>1.0</v>
      </c>
      <c r="O30" s="81">
        <v>7046.0</v>
      </c>
      <c r="P30" s="477">
        <v>1.0</v>
      </c>
    </row>
    <row r="31">
      <c r="A31" s="521" t="s">
        <v>7253</v>
      </c>
      <c r="B31" s="21"/>
      <c r="C31" s="21"/>
      <c r="D31" s="21"/>
      <c r="E31" s="21"/>
      <c r="F31" s="21"/>
      <c r="G31" s="21"/>
      <c r="H31" s="21"/>
      <c r="I31" s="522" t="s">
        <v>11027</v>
      </c>
      <c r="J31" s="522"/>
      <c r="K31" s="522">
        <v>5458.0</v>
      </c>
      <c r="L31" s="522"/>
      <c r="M31" s="21" t="e">
        <v>#N/A</v>
      </c>
      <c r="O31" s="358"/>
    </row>
    <row r="32">
      <c r="A32" s="521" t="s">
        <v>4648</v>
      </c>
      <c r="B32" s="21">
        <v>6936.0</v>
      </c>
      <c r="C32" s="21"/>
      <c r="D32" s="21"/>
      <c r="E32" s="21"/>
      <c r="F32" s="21"/>
      <c r="G32" s="21"/>
      <c r="H32" s="21"/>
      <c r="I32" s="21" t="s">
        <v>11028</v>
      </c>
      <c r="J32" s="21"/>
      <c r="K32" s="21">
        <v>6772.0</v>
      </c>
      <c r="L32" s="21"/>
      <c r="M32" s="21">
        <v>1.0</v>
      </c>
      <c r="O32" s="358"/>
    </row>
    <row r="33">
      <c r="A33" s="521" t="s">
        <v>7254</v>
      </c>
      <c r="B33" s="21"/>
      <c r="C33" s="21"/>
      <c r="D33" s="21"/>
      <c r="E33" s="21"/>
      <c r="F33" s="21"/>
      <c r="G33" s="21"/>
      <c r="H33" s="21"/>
      <c r="I33" s="522" t="s">
        <v>11029</v>
      </c>
      <c r="J33" s="522"/>
      <c r="K33" s="522">
        <v>986.0</v>
      </c>
      <c r="L33" s="522"/>
      <c r="M33" s="21" t="e">
        <v>#N/A</v>
      </c>
      <c r="O33" s="358"/>
    </row>
    <row r="34">
      <c r="A34" s="521" t="s">
        <v>7255</v>
      </c>
      <c r="B34" s="21"/>
      <c r="C34" s="21"/>
      <c r="D34" s="21"/>
      <c r="E34" s="21"/>
      <c r="F34" s="21"/>
      <c r="G34" s="21"/>
      <c r="H34" s="21"/>
      <c r="I34" s="21" t="s">
        <v>11030</v>
      </c>
      <c r="J34" s="21"/>
      <c r="K34" s="21">
        <v>5125.0</v>
      </c>
      <c r="L34" s="21"/>
      <c r="M34" s="21">
        <v>1.0</v>
      </c>
      <c r="O34" s="358"/>
    </row>
    <row r="35">
      <c r="A35" s="521" t="s">
        <v>7256</v>
      </c>
      <c r="B35" s="21">
        <v>7157.0</v>
      </c>
      <c r="C35" s="21"/>
      <c r="D35" s="21"/>
      <c r="E35" s="21"/>
      <c r="F35" s="21"/>
      <c r="G35" s="21"/>
      <c r="H35" s="21"/>
      <c r="I35" s="522" t="s">
        <v>11031</v>
      </c>
      <c r="J35" s="522"/>
      <c r="K35" s="522">
        <v>6893.0</v>
      </c>
      <c r="L35" s="522"/>
      <c r="M35" s="21" t="e">
        <v>#N/A</v>
      </c>
      <c r="O35" s="358"/>
    </row>
    <row r="36">
      <c r="A36" s="521" t="s">
        <v>7257</v>
      </c>
      <c r="B36" s="21"/>
      <c r="C36" s="21"/>
      <c r="D36" s="21"/>
      <c r="E36" s="21"/>
      <c r="F36" s="21"/>
      <c r="G36" s="21"/>
      <c r="H36" s="21"/>
      <c r="I36" s="522" t="s">
        <v>11032</v>
      </c>
      <c r="J36" s="522"/>
      <c r="K36" s="522">
        <v>7142.0</v>
      </c>
      <c r="L36" s="522"/>
      <c r="M36" s="21" t="e">
        <v>#N/A</v>
      </c>
      <c r="O36" s="523"/>
    </row>
    <row r="37">
      <c r="A37" s="521" t="s">
        <v>7258</v>
      </c>
      <c r="B37" s="21"/>
      <c r="C37" s="21"/>
      <c r="D37" s="21"/>
      <c r="E37" s="21"/>
      <c r="F37" s="21"/>
      <c r="G37" s="21"/>
      <c r="H37" s="21"/>
      <c r="I37" s="21" t="s">
        <v>1816</v>
      </c>
      <c r="J37" s="21"/>
      <c r="K37" s="21">
        <v>6675.0</v>
      </c>
      <c r="L37" s="21"/>
      <c r="M37" s="21">
        <v>1.0</v>
      </c>
      <c r="O37" s="523"/>
    </row>
    <row r="38">
      <c r="A38" s="521" t="s">
        <v>7259</v>
      </c>
      <c r="B38" s="21"/>
      <c r="C38" s="21"/>
      <c r="D38" s="21"/>
      <c r="E38" s="21"/>
      <c r="F38" s="21"/>
      <c r="G38" s="21"/>
      <c r="H38" s="21"/>
      <c r="I38" s="522" t="s">
        <v>1820</v>
      </c>
      <c r="J38" s="522"/>
      <c r="K38" s="522">
        <v>6557.0</v>
      </c>
      <c r="L38" s="522"/>
      <c r="M38" s="21" t="e">
        <v>#N/A</v>
      </c>
      <c r="O38" s="523"/>
    </row>
    <row r="39">
      <c r="A39" s="428" t="s">
        <v>4649</v>
      </c>
      <c r="B39" s="21">
        <v>6811.0</v>
      </c>
      <c r="C39" s="21"/>
      <c r="D39" s="21"/>
      <c r="E39" s="21"/>
      <c r="F39" s="21"/>
      <c r="G39" s="21"/>
      <c r="H39" s="21"/>
      <c r="I39" s="522" t="s">
        <v>1821</v>
      </c>
      <c r="J39" s="522"/>
      <c r="K39" s="522">
        <v>6557.0</v>
      </c>
      <c r="L39" s="522"/>
      <c r="M39" s="21" t="e">
        <v>#N/A</v>
      </c>
      <c r="O39" s="523"/>
    </row>
    <row r="40">
      <c r="A40" s="521" t="s">
        <v>4650</v>
      </c>
      <c r="B40" s="21">
        <v>10616.0</v>
      </c>
      <c r="C40" s="21"/>
      <c r="D40" s="21"/>
      <c r="E40" s="21"/>
      <c r="F40" s="21"/>
      <c r="G40" s="21"/>
      <c r="H40" s="21"/>
      <c r="I40" s="21" t="s">
        <v>1826</v>
      </c>
      <c r="J40" s="21"/>
      <c r="K40" s="21">
        <v>2345.0</v>
      </c>
      <c r="L40" s="21"/>
      <c r="M40" s="21">
        <v>1.0</v>
      </c>
      <c r="O40" s="523"/>
    </row>
    <row r="41">
      <c r="A41" s="521" t="s">
        <v>4651</v>
      </c>
      <c r="B41" s="21">
        <v>6728.0</v>
      </c>
      <c r="C41" s="21"/>
      <c r="D41" s="21"/>
      <c r="E41" s="21"/>
      <c r="F41" s="21"/>
      <c r="G41" s="21"/>
      <c r="H41" s="21"/>
      <c r="I41" s="522" t="s">
        <v>1827</v>
      </c>
      <c r="J41" s="522"/>
      <c r="K41" s="522">
        <v>2345.0</v>
      </c>
      <c r="L41" s="522"/>
      <c r="M41" s="21" t="e">
        <v>#N/A</v>
      </c>
      <c r="O41" s="523"/>
    </row>
    <row r="42">
      <c r="A42" s="521" t="s">
        <v>4652</v>
      </c>
      <c r="B42" s="21">
        <v>7083.0</v>
      </c>
      <c r="C42" s="21"/>
      <c r="D42" s="21"/>
      <c r="E42" s="21"/>
      <c r="F42" s="21"/>
      <c r="G42" s="21"/>
      <c r="H42" s="21"/>
      <c r="I42" s="21" t="s">
        <v>1828</v>
      </c>
      <c r="J42" s="21"/>
      <c r="K42" s="21">
        <v>2345.0</v>
      </c>
      <c r="L42" s="21"/>
      <c r="M42" s="21">
        <v>1.0</v>
      </c>
      <c r="O42" s="523"/>
    </row>
    <row r="43">
      <c r="A43" s="521" t="s">
        <v>4653</v>
      </c>
      <c r="B43" s="21">
        <v>6924.0</v>
      </c>
      <c r="C43" s="21"/>
      <c r="D43" s="21"/>
      <c r="E43" s="21"/>
      <c r="F43" s="21"/>
      <c r="G43" s="21"/>
      <c r="H43" s="21"/>
      <c r="I43" s="522" t="s">
        <v>1831</v>
      </c>
      <c r="J43" s="522"/>
      <c r="K43" s="522">
        <v>2345.0</v>
      </c>
      <c r="L43" s="522"/>
      <c r="M43" s="21" t="e">
        <v>#N/A</v>
      </c>
      <c r="O43" s="523"/>
    </row>
    <row r="44">
      <c r="A44" s="521" t="s">
        <v>4654</v>
      </c>
      <c r="B44" s="21"/>
      <c r="C44" s="21"/>
      <c r="D44" s="21"/>
      <c r="E44" s="21"/>
      <c r="F44" s="21"/>
      <c r="G44" s="21"/>
      <c r="H44" s="21"/>
      <c r="I44" s="522" t="s">
        <v>1832</v>
      </c>
      <c r="J44" s="522"/>
      <c r="K44" s="522">
        <v>2345.0</v>
      </c>
      <c r="L44" s="522"/>
      <c r="M44" s="21" t="e">
        <v>#N/A</v>
      </c>
      <c r="O44" s="523"/>
    </row>
    <row r="45">
      <c r="A45" s="521" t="s">
        <v>4655</v>
      </c>
      <c r="B45" s="21">
        <v>14505.0</v>
      </c>
      <c r="C45" s="21"/>
      <c r="D45" s="21"/>
      <c r="E45" s="21"/>
      <c r="F45" s="21"/>
      <c r="G45" s="21"/>
      <c r="H45" s="21"/>
      <c r="I45" s="21" t="s">
        <v>1853</v>
      </c>
      <c r="J45" s="21"/>
      <c r="K45" s="21">
        <v>986.0</v>
      </c>
      <c r="L45" s="21"/>
      <c r="M45" s="21">
        <v>1.0</v>
      </c>
      <c r="O45" s="523"/>
    </row>
    <row r="46">
      <c r="A46" s="521" t="s">
        <v>11015</v>
      </c>
      <c r="B46" s="21"/>
      <c r="C46" s="21"/>
      <c r="D46" s="21"/>
      <c r="E46" s="21"/>
      <c r="F46" s="21"/>
      <c r="G46" s="21"/>
      <c r="H46" s="21"/>
      <c r="I46" s="21" t="s">
        <v>1856</v>
      </c>
      <c r="J46" s="21"/>
      <c r="K46" s="21">
        <v>189.0</v>
      </c>
      <c r="L46" s="21"/>
      <c r="M46" s="21">
        <v>1.0</v>
      </c>
      <c r="O46" s="523"/>
    </row>
    <row r="47">
      <c r="A47" s="521" t="s">
        <v>11033</v>
      </c>
      <c r="B47" s="21"/>
      <c r="C47" s="21"/>
      <c r="D47" s="21"/>
      <c r="E47" s="21"/>
      <c r="F47" s="21"/>
      <c r="G47" s="21"/>
      <c r="H47" s="21"/>
      <c r="I47" s="522" t="s">
        <v>1836</v>
      </c>
      <c r="J47" s="522"/>
      <c r="K47" s="522">
        <v>189.0</v>
      </c>
      <c r="L47" s="522"/>
      <c r="M47" s="21" t="e">
        <v>#N/A</v>
      </c>
      <c r="O47" s="523"/>
    </row>
    <row r="48">
      <c r="A48" s="521" t="s">
        <v>11016</v>
      </c>
      <c r="B48" s="21"/>
      <c r="C48" s="21"/>
      <c r="D48" s="21"/>
      <c r="E48" s="21"/>
      <c r="F48" s="21"/>
      <c r="G48" s="21"/>
      <c r="H48" s="21"/>
      <c r="I48" s="522" t="s">
        <v>1837</v>
      </c>
      <c r="J48" s="522"/>
      <c r="K48" s="522">
        <v>189.0</v>
      </c>
      <c r="L48" s="522"/>
      <c r="M48" s="21" t="e">
        <v>#N/A</v>
      </c>
      <c r="O48" s="523"/>
    </row>
    <row r="49">
      <c r="A49" s="521" t="s">
        <v>11017</v>
      </c>
      <c r="B49" s="21"/>
      <c r="C49" s="21"/>
      <c r="D49" s="21"/>
      <c r="E49" s="21"/>
      <c r="F49" s="21"/>
      <c r="G49" s="21"/>
      <c r="H49" s="21"/>
      <c r="I49" s="522" t="s">
        <v>1842</v>
      </c>
      <c r="J49" s="522"/>
      <c r="K49" s="522">
        <v>283.0</v>
      </c>
      <c r="L49" s="522"/>
      <c r="M49" s="21" t="e">
        <v>#N/A</v>
      </c>
      <c r="O49" s="523"/>
    </row>
    <row r="50">
      <c r="A50" s="521" t="s">
        <v>11034</v>
      </c>
      <c r="B50" s="21"/>
      <c r="C50" s="21"/>
      <c r="D50" s="21"/>
      <c r="E50" s="21"/>
      <c r="F50" s="21"/>
      <c r="G50" s="21"/>
      <c r="H50" s="21"/>
      <c r="I50" s="21" t="s">
        <v>1844</v>
      </c>
      <c r="J50" s="11"/>
      <c r="K50" s="11">
        <v>5389.0</v>
      </c>
      <c r="L50" s="11"/>
      <c r="M50" s="21">
        <v>1.0</v>
      </c>
      <c r="O50" s="523"/>
    </row>
    <row r="51">
      <c r="A51" s="521" t="s">
        <v>11018</v>
      </c>
      <c r="B51" s="21"/>
      <c r="C51" s="21"/>
      <c r="D51" s="21"/>
      <c r="E51" s="21"/>
      <c r="F51" s="21"/>
      <c r="G51" s="21"/>
      <c r="H51" s="21"/>
      <c r="I51" s="522" t="s">
        <v>1845</v>
      </c>
      <c r="J51" s="522"/>
      <c r="K51" s="522">
        <v>6875.0</v>
      </c>
      <c r="L51" s="522"/>
      <c r="M51" s="21" t="e">
        <v>#N/A</v>
      </c>
      <c r="O51" s="523"/>
    </row>
    <row r="52">
      <c r="A52" s="521" t="s">
        <v>11019</v>
      </c>
      <c r="B52" s="21"/>
      <c r="C52" s="21"/>
      <c r="D52" s="21"/>
      <c r="E52" s="21"/>
      <c r="F52" s="21"/>
      <c r="G52" s="21"/>
      <c r="H52" s="21"/>
      <c r="I52" s="522" t="s">
        <v>1847</v>
      </c>
      <c r="J52" s="522"/>
      <c r="K52" s="522">
        <v>7030.0</v>
      </c>
      <c r="L52" s="522"/>
      <c r="M52" s="21" t="e">
        <v>#N/A</v>
      </c>
      <c r="O52" s="523"/>
    </row>
    <row r="53">
      <c r="A53" s="521" t="s">
        <v>11020</v>
      </c>
      <c r="B53" s="21"/>
      <c r="C53" s="21"/>
      <c r="D53" s="21"/>
      <c r="E53" s="21"/>
      <c r="F53" s="21"/>
      <c r="G53" s="21"/>
      <c r="H53" s="21"/>
      <c r="I53" s="522" t="s">
        <v>1852</v>
      </c>
      <c r="J53" s="522"/>
      <c r="K53" s="522">
        <v>7283.0</v>
      </c>
      <c r="L53" s="522"/>
      <c r="M53" s="21" t="e">
        <v>#N/A</v>
      </c>
      <c r="O53" s="523"/>
    </row>
    <row r="54">
      <c r="A54" s="521" t="s">
        <v>11035</v>
      </c>
      <c r="B54" s="21"/>
      <c r="C54" s="21"/>
      <c r="D54" s="21"/>
      <c r="E54" s="21"/>
      <c r="F54" s="21"/>
      <c r="G54" s="21"/>
      <c r="H54" s="21"/>
      <c r="I54" s="522" t="s">
        <v>1854</v>
      </c>
      <c r="J54" s="522"/>
      <c r="K54" s="522"/>
      <c r="L54" s="522"/>
      <c r="M54" s="21" t="e">
        <v>#N/A</v>
      </c>
      <c r="O54" s="523"/>
    </row>
    <row r="55">
      <c r="A55" s="521" t="s">
        <v>11021</v>
      </c>
      <c r="B55" s="21"/>
      <c r="C55" s="21"/>
      <c r="D55" s="21"/>
      <c r="E55" s="21"/>
      <c r="F55" s="21"/>
      <c r="G55" s="21"/>
      <c r="H55" s="21"/>
      <c r="I55" s="21" t="s">
        <v>1855</v>
      </c>
      <c r="J55" s="21"/>
      <c r="K55" s="21">
        <v>7132.0</v>
      </c>
      <c r="L55" s="21"/>
      <c r="M55" s="21">
        <v>1.0</v>
      </c>
      <c r="O55" s="523"/>
    </row>
    <row r="56">
      <c r="A56" s="521" t="s">
        <v>11022</v>
      </c>
      <c r="B56" s="21"/>
      <c r="C56" s="21"/>
      <c r="D56" s="21"/>
      <c r="E56" s="21"/>
      <c r="F56" s="21"/>
      <c r="G56" s="21"/>
      <c r="H56" s="21"/>
      <c r="I56" s="522" t="s">
        <v>7262</v>
      </c>
      <c r="J56" s="522"/>
      <c r="K56" s="522"/>
      <c r="L56" s="522"/>
      <c r="M56" s="21" t="e">
        <v>#N/A</v>
      </c>
      <c r="O56" s="523"/>
    </row>
    <row r="57">
      <c r="A57" s="521" t="s">
        <v>11023</v>
      </c>
      <c r="B57" s="21"/>
      <c r="C57" s="21"/>
      <c r="D57" s="21"/>
      <c r="E57" s="21"/>
      <c r="F57" s="21"/>
      <c r="G57" s="21"/>
      <c r="H57" s="21"/>
      <c r="I57" s="21" t="s">
        <v>7266</v>
      </c>
      <c r="J57" s="21"/>
      <c r="K57" s="21">
        <v>6824.0</v>
      </c>
      <c r="L57" s="21"/>
      <c r="M57" s="21">
        <v>1.0</v>
      </c>
      <c r="O57" s="523"/>
    </row>
    <row r="58">
      <c r="A58" s="521" t="s">
        <v>11024</v>
      </c>
      <c r="B58" s="21"/>
      <c r="C58" s="21"/>
      <c r="D58" s="21"/>
      <c r="E58" s="21"/>
      <c r="F58" s="21"/>
      <c r="G58" s="21"/>
      <c r="H58" s="21"/>
      <c r="I58" s="522" t="s">
        <v>7268</v>
      </c>
      <c r="J58" s="522"/>
      <c r="K58" s="522">
        <v>6726.0</v>
      </c>
      <c r="L58" s="522"/>
      <c r="M58" s="21" t="e">
        <v>#N/A</v>
      </c>
      <c r="O58" s="523"/>
    </row>
    <row r="59">
      <c r="A59" s="521" t="s">
        <v>11036</v>
      </c>
      <c r="B59" s="21"/>
      <c r="C59" s="21"/>
      <c r="D59" s="21"/>
      <c r="E59" s="21"/>
      <c r="F59" s="21"/>
      <c r="G59" s="21"/>
      <c r="H59" s="21"/>
      <c r="I59" s="21" t="s">
        <v>56</v>
      </c>
      <c r="J59" s="21"/>
      <c r="K59" s="21">
        <v>6557.0</v>
      </c>
      <c r="L59" s="21"/>
      <c r="M59" s="21">
        <v>1.0</v>
      </c>
      <c r="O59" s="523"/>
    </row>
    <row r="60">
      <c r="A60" s="521" t="s">
        <v>11025</v>
      </c>
      <c r="B60" s="21"/>
      <c r="C60" s="21"/>
      <c r="D60" s="21"/>
      <c r="E60" s="21"/>
      <c r="F60" s="21"/>
      <c r="G60" s="21"/>
      <c r="H60" s="21"/>
      <c r="I60" s="21" t="s">
        <v>57</v>
      </c>
      <c r="J60" s="21"/>
      <c r="K60" s="21">
        <v>6557.0</v>
      </c>
      <c r="L60" s="21"/>
      <c r="M60" s="21">
        <v>1.0</v>
      </c>
      <c r="O60" s="523"/>
    </row>
    <row r="61">
      <c r="A61" s="521" t="s">
        <v>11037</v>
      </c>
      <c r="B61" s="21"/>
      <c r="C61" s="21"/>
      <c r="D61" s="21"/>
      <c r="E61" s="21"/>
      <c r="F61" s="21"/>
      <c r="G61" s="21"/>
      <c r="H61" s="21"/>
      <c r="I61" s="522" t="s">
        <v>58</v>
      </c>
      <c r="J61" s="522"/>
      <c r="K61" s="522">
        <v>7040.0</v>
      </c>
      <c r="L61" s="522"/>
      <c r="M61" s="21" t="e">
        <v>#N/A</v>
      </c>
      <c r="O61" s="523"/>
    </row>
    <row r="62">
      <c r="A62" s="521" t="s">
        <v>11038</v>
      </c>
      <c r="B62" s="21"/>
      <c r="C62" s="21"/>
      <c r="D62" s="21"/>
      <c r="E62" s="21"/>
      <c r="F62" s="21"/>
      <c r="G62" s="21"/>
      <c r="H62" s="21"/>
      <c r="I62" s="21" t="s">
        <v>62</v>
      </c>
      <c r="J62" s="21"/>
      <c r="K62" s="21">
        <v>6557.0</v>
      </c>
      <c r="L62" s="21"/>
      <c r="M62" s="21">
        <v>1.0</v>
      </c>
      <c r="O62" s="523"/>
    </row>
    <row r="63">
      <c r="A63" s="521" t="s">
        <v>11039</v>
      </c>
      <c r="B63" s="21"/>
      <c r="C63" s="21"/>
      <c r="D63" s="21"/>
      <c r="E63" s="21"/>
      <c r="F63" s="21"/>
      <c r="G63" s="21"/>
      <c r="H63" s="21"/>
      <c r="I63" s="21" t="s">
        <v>64</v>
      </c>
      <c r="J63" s="21"/>
      <c r="K63" s="21">
        <v>6557.0</v>
      </c>
      <c r="L63" s="21"/>
      <c r="M63" s="21">
        <v>1.0</v>
      </c>
      <c r="O63" s="523"/>
    </row>
    <row r="64">
      <c r="A64" s="521" t="s">
        <v>11040</v>
      </c>
      <c r="B64" s="21"/>
      <c r="C64" s="21"/>
      <c r="D64" s="21"/>
      <c r="E64" s="21"/>
      <c r="F64" s="21"/>
      <c r="G64" s="21"/>
      <c r="H64" s="21"/>
      <c r="I64" s="21" t="s">
        <v>505</v>
      </c>
      <c r="J64" s="21"/>
      <c r="K64" s="21">
        <v>2345.0</v>
      </c>
      <c r="L64" s="21"/>
      <c r="M64" s="21">
        <v>1.0</v>
      </c>
      <c r="O64" s="523"/>
    </row>
    <row r="65">
      <c r="A65" s="521" t="s">
        <v>11026</v>
      </c>
      <c r="B65" s="21"/>
      <c r="C65" s="21"/>
      <c r="D65" s="21"/>
      <c r="E65" s="21"/>
      <c r="F65" s="21"/>
      <c r="G65" s="21"/>
      <c r="H65" s="21"/>
      <c r="I65" s="21" t="s">
        <v>506</v>
      </c>
      <c r="J65" s="21"/>
      <c r="K65" s="21">
        <v>2345.0</v>
      </c>
      <c r="L65" s="21"/>
      <c r="M65" s="21">
        <v>1.0</v>
      </c>
      <c r="O65" s="523"/>
    </row>
    <row r="66">
      <c r="A66" s="521" t="s">
        <v>11041</v>
      </c>
      <c r="B66" s="21"/>
      <c r="C66" s="21"/>
      <c r="D66" s="21"/>
      <c r="E66" s="21"/>
      <c r="F66" s="21"/>
      <c r="G66" s="21"/>
      <c r="H66" s="21"/>
      <c r="I66" s="522" t="s">
        <v>507</v>
      </c>
      <c r="J66" s="522"/>
      <c r="K66" s="522">
        <v>6732.0</v>
      </c>
      <c r="L66" s="522"/>
      <c r="M66" s="21" t="e">
        <v>#N/A</v>
      </c>
      <c r="O66" s="523"/>
    </row>
    <row r="67">
      <c r="A67" s="521" t="s">
        <v>11027</v>
      </c>
      <c r="B67" s="21"/>
      <c r="C67" s="21"/>
      <c r="D67" s="21"/>
      <c r="E67" s="21"/>
      <c r="F67" s="21"/>
      <c r="G67" s="21"/>
      <c r="H67" s="21"/>
      <c r="I67" s="21" t="s">
        <v>11042</v>
      </c>
      <c r="J67" s="21"/>
      <c r="K67" s="21">
        <v>6658.0</v>
      </c>
      <c r="L67" s="21"/>
      <c r="M67" s="21" t="e">
        <v>#N/A</v>
      </c>
      <c r="O67" s="523"/>
    </row>
    <row r="68">
      <c r="A68" s="521" t="s">
        <v>11028</v>
      </c>
      <c r="B68" s="21"/>
      <c r="C68" s="21"/>
      <c r="D68" s="21"/>
      <c r="E68" s="21"/>
      <c r="F68" s="21"/>
      <c r="G68" s="21"/>
      <c r="H68" s="21"/>
      <c r="I68" s="522" t="s">
        <v>11043</v>
      </c>
      <c r="J68" s="522"/>
      <c r="K68" s="522"/>
      <c r="L68" s="522"/>
      <c r="M68" s="21" t="e">
        <v>#N/A</v>
      </c>
      <c r="O68" s="523"/>
    </row>
    <row r="69">
      <c r="A69" s="521" t="s">
        <v>11044</v>
      </c>
      <c r="B69" s="21"/>
      <c r="C69" s="21"/>
      <c r="D69" s="21"/>
      <c r="E69" s="21"/>
      <c r="F69" s="21"/>
      <c r="G69" s="21"/>
      <c r="H69" s="21"/>
      <c r="I69" s="21" t="s">
        <v>11045</v>
      </c>
      <c r="J69" s="21"/>
      <c r="K69" s="21">
        <v>6658.0</v>
      </c>
      <c r="L69" s="21"/>
      <c r="M69" s="21" t="e">
        <v>#N/A</v>
      </c>
      <c r="O69" s="523"/>
    </row>
    <row r="70">
      <c r="A70" s="521" t="s">
        <v>11046</v>
      </c>
      <c r="B70" s="21"/>
      <c r="C70" s="21"/>
      <c r="D70" s="21"/>
      <c r="E70" s="21"/>
      <c r="F70" s="21"/>
      <c r="G70" s="21"/>
      <c r="H70" s="21"/>
      <c r="I70" s="21" t="s">
        <v>11047</v>
      </c>
      <c r="J70" s="21"/>
      <c r="K70" s="21">
        <v>2345.0</v>
      </c>
      <c r="L70" s="21"/>
      <c r="M70" s="21">
        <v>1.0</v>
      </c>
      <c r="O70" s="523"/>
    </row>
    <row r="71">
      <c r="A71" s="521" t="s">
        <v>11029</v>
      </c>
      <c r="B71" s="21"/>
      <c r="C71" s="21"/>
      <c r="D71" s="21"/>
      <c r="E71" s="21"/>
      <c r="F71" s="21"/>
      <c r="G71" s="21"/>
      <c r="H71" s="21"/>
      <c r="I71" s="522" t="s">
        <v>11048</v>
      </c>
      <c r="J71" s="522"/>
      <c r="K71" s="522"/>
      <c r="L71" s="522"/>
      <c r="M71" s="21" t="e">
        <v>#N/A</v>
      </c>
      <c r="O71" s="523"/>
    </row>
    <row r="72">
      <c r="A72" s="521" t="s">
        <v>11030</v>
      </c>
      <c r="B72" s="21">
        <v>7157.0</v>
      </c>
      <c r="C72" s="21"/>
      <c r="D72" s="21"/>
      <c r="E72" s="21"/>
      <c r="F72" s="21"/>
      <c r="G72" s="21"/>
      <c r="H72" s="21"/>
      <c r="I72" s="522" t="s">
        <v>11049</v>
      </c>
      <c r="J72" s="522"/>
      <c r="K72" s="522"/>
      <c r="L72" s="522"/>
      <c r="M72" s="21" t="e">
        <v>#N/A</v>
      </c>
      <c r="O72" s="523"/>
    </row>
    <row r="73">
      <c r="A73" s="521" t="s">
        <v>11050</v>
      </c>
      <c r="B73" s="21">
        <v>7100.0</v>
      </c>
      <c r="C73" s="21"/>
      <c r="D73" s="21"/>
      <c r="E73" s="21"/>
      <c r="F73" s="21"/>
      <c r="G73" s="21"/>
      <c r="H73" s="21"/>
      <c r="I73" s="522" t="s">
        <v>11051</v>
      </c>
      <c r="J73" s="522"/>
      <c r="K73" s="522"/>
      <c r="L73" s="522"/>
      <c r="M73" s="21" t="e">
        <v>#N/A</v>
      </c>
      <c r="O73" s="523"/>
    </row>
    <row r="74">
      <c r="A74" s="521" t="s">
        <v>11031</v>
      </c>
      <c r="B74" s="21">
        <v>6875.0</v>
      </c>
      <c r="C74" s="21"/>
      <c r="D74" s="21"/>
      <c r="E74" s="21"/>
      <c r="F74" s="21"/>
      <c r="G74" s="21"/>
      <c r="H74" s="21"/>
      <c r="I74" s="522" t="s">
        <v>11052</v>
      </c>
      <c r="J74" s="522"/>
      <c r="K74" s="522">
        <v>663.0</v>
      </c>
      <c r="L74" s="522"/>
      <c r="M74" s="21" t="e">
        <v>#N/A</v>
      </c>
      <c r="O74" s="523"/>
    </row>
    <row r="75">
      <c r="A75" s="521" t="s">
        <v>11032</v>
      </c>
      <c r="B75" s="21"/>
      <c r="C75" s="21"/>
      <c r="D75" s="21"/>
      <c r="E75" s="21"/>
      <c r="F75" s="21"/>
      <c r="G75" s="21"/>
      <c r="H75" s="21"/>
      <c r="I75" s="522" t="s">
        <v>11053</v>
      </c>
      <c r="J75" s="522"/>
      <c r="K75" s="522">
        <v>663.0</v>
      </c>
      <c r="L75" s="522"/>
      <c r="M75" s="21" t="e">
        <v>#N/A</v>
      </c>
      <c r="O75" s="523"/>
    </row>
    <row r="76">
      <c r="A76" s="521" t="s">
        <v>11054</v>
      </c>
      <c r="B76" s="21"/>
      <c r="C76" s="21"/>
      <c r="D76" s="21"/>
      <c r="E76" s="21"/>
      <c r="F76" s="21"/>
      <c r="G76" s="21"/>
      <c r="H76" s="21"/>
      <c r="I76" s="21" t="s">
        <v>11055</v>
      </c>
      <c r="J76" s="21"/>
      <c r="K76" s="21">
        <v>6106.0</v>
      </c>
      <c r="L76" s="21"/>
      <c r="M76" s="21">
        <v>1.0</v>
      </c>
      <c r="O76" s="523"/>
    </row>
    <row r="77">
      <c r="A77" s="521" t="s">
        <v>11056</v>
      </c>
      <c r="B77" s="21"/>
      <c r="C77" s="21"/>
      <c r="D77" s="21"/>
      <c r="E77" s="21"/>
      <c r="F77" s="21"/>
      <c r="G77" s="21"/>
      <c r="H77" s="21"/>
      <c r="I77" s="21" t="s">
        <v>11057</v>
      </c>
      <c r="J77" s="21"/>
      <c r="K77" s="21">
        <v>6658.0</v>
      </c>
      <c r="L77" s="21"/>
      <c r="M77" s="21" t="e">
        <v>#N/A</v>
      </c>
      <c r="O77" s="523"/>
    </row>
    <row r="78">
      <c r="A78" s="521" t="s">
        <v>11058</v>
      </c>
      <c r="B78" s="21"/>
      <c r="C78" s="21"/>
      <c r="D78" s="21"/>
      <c r="E78" s="21"/>
      <c r="F78" s="21"/>
      <c r="G78" s="21"/>
      <c r="H78" s="21"/>
      <c r="I78" s="522" t="s">
        <v>11059</v>
      </c>
      <c r="J78" s="522"/>
      <c r="K78" s="522"/>
      <c r="L78" s="522"/>
      <c r="M78" s="21" t="e">
        <v>#N/A</v>
      </c>
      <c r="O78" s="523"/>
    </row>
    <row r="79">
      <c r="A79" s="521" t="s">
        <v>1816</v>
      </c>
      <c r="B79" s="21"/>
      <c r="C79" s="21"/>
      <c r="D79" s="21"/>
      <c r="E79" s="21"/>
      <c r="F79" s="21"/>
      <c r="G79" s="21"/>
      <c r="H79" s="21"/>
      <c r="I79" s="21" t="s">
        <v>11060</v>
      </c>
      <c r="J79" s="21"/>
      <c r="K79" s="21">
        <v>7100.0</v>
      </c>
      <c r="L79" s="21"/>
      <c r="M79" s="21">
        <v>1.0</v>
      </c>
      <c r="O79" s="523"/>
    </row>
    <row r="80">
      <c r="A80" s="521" t="s">
        <v>1818</v>
      </c>
      <c r="B80" s="21"/>
      <c r="C80" s="21"/>
      <c r="D80" s="21"/>
      <c r="E80" s="21"/>
      <c r="F80" s="21"/>
      <c r="G80" s="21"/>
      <c r="H80" s="21"/>
      <c r="I80" s="522" t="s">
        <v>11061</v>
      </c>
      <c r="J80" s="522"/>
      <c r="K80" s="522">
        <v>3307.0</v>
      </c>
      <c r="L80" s="522"/>
      <c r="M80" s="21" t="e">
        <v>#N/A</v>
      </c>
      <c r="O80" s="523"/>
    </row>
    <row r="81">
      <c r="A81" s="521" t="s">
        <v>1819</v>
      </c>
      <c r="B81" s="21"/>
      <c r="C81" s="21"/>
      <c r="D81" s="21"/>
      <c r="E81" s="21"/>
      <c r="F81" s="21"/>
      <c r="G81" s="21"/>
      <c r="H81" s="21"/>
      <c r="I81" s="522" t="s">
        <v>11062</v>
      </c>
      <c r="J81" s="522"/>
      <c r="K81" s="522">
        <v>7051.0</v>
      </c>
      <c r="L81" s="522"/>
      <c r="M81" s="21" t="e">
        <v>#N/A</v>
      </c>
      <c r="O81" s="523"/>
    </row>
    <row r="82">
      <c r="A82" s="521" t="s">
        <v>1820</v>
      </c>
      <c r="B82" s="21"/>
      <c r="C82" s="21"/>
      <c r="D82" s="21"/>
      <c r="E82" s="21"/>
      <c r="F82" s="21"/>
      <c r="G82" s="21"/>
      <c r="H82" s="21"/>
      <c r="I82" s="21" t="s">
        <v>11063</v>
      </c>
      <c r="J82" s="21"/>
      <c r="K82" s="21">
        <v>7023.0</v>
      </c>
      <c r="L82" s="21"/>
      <c r="M82" s="21">
        <v>1.0</v>
      </c>
      <c r="O82" s="523"/>
    </row>
    <row r="83">
      <c r="A83" s="521" t="s">
        <v>1821</v>
      </c>
      <c r="B83" s="21">
        <v>6939.0</v>
      </c>
      <c r="C83" s="21"/>
      <c r="D83" s="21"/>
      <c r="E83" s="21"/>
      <c r="F83" s="21"/>
      <c r="G83" s="21"/>
      <c r="H83" s="21"/>
      <c r="I83" s="522" t="s">
        <v>11064</v>
      </c>
      <c r="J83" s="522"/>
      <c r="K83" s="522">
        <v>7046.0</v>
      </c>
      <c r="L83" s="522"/>
      <c r="M83" s="21" t="e">
        <v>#N/A</v>
      </c>
      <c r="O83" s="523"/>
    </row>
    <row r="84">
      <c r="A84" s="521" t="s">
        <v>1840</v>
      </c>
      <c r="B84" s="21"/>
      <c r="C84" s="21"/>
      <c r="D84" s="21"/>
      <c r="E84" s="21"/>
      <c r="F84" s="21"/>
      <c r="G84" s="21"/>
      <c r="H84" s="21"/>
      <c r="I84" s="522" t="s">
        <v>11065</v>
      </c>
      <c r="J84" s="522"/>
      <c r="K84" s="522">
        <v>663.0</v>
      </c>
      <c r="L84" s="522"/>
      <c r="M84" s="21" t="e">
        <v>#N/A</v>
      </c>
      <c r="O84" s="523"/>
    </row>
    <row r="85">
      <c r="A85" s="521" t="s">
        <v>1824</v>
      </c>
      <c r="B85" s="21"/>
      <c r="C85" s="21"/>
      <c r="D85" s="21"/>
      <c r="E85" s="21"/>
      <c r="F85" s="21"/>
      <c r="G85" s="21"/>
      <c r="H85" s="21"/>
      <c r="I85" s="522" t="s">
        <v>11066</v>
      </c>
      <c r="J85" s="522"/>
      <c r="K85" s="522"/>
      <c r="L85" s="522"/>
      <c r="M85" s="21" t="e">
        <v>#N/A</v>
      </c>
      <c r="O85" s="523"/>
    </row>
    <row r="86">
      <c r="A86" s="521" t="s">
        <v>1826</v>
      </c>
      <c r="B86" s="21"/>
      <c r="C86" s="21"/>
      <c r="D86" s="21"/>
      <c r="E86" s="21"/>
      <c r="F86" s="21"/>
      <c r="G86" s="21"/>
      <c r="H86" s="21"/>
      <c r="I86" s="522" t="s">
        <v>11067</v>
      </c>
      <c r="J86" s="522"/>
      <c r="K86" s="522"/>
      <c r="L86" s="522"/>
      <c r="M86" s="21" t="e">
        <v>#N/A</v>
      </c>
      <c r="O86" s="523"/>
    </row>
    <row r="87">
      <c r="A87" s="521" t="s">
        <v>1827</v>
      </c>
      <c r="B87" s="524"/>
      <c r="C87" s="524"/>
      <c r="D87" s="524"/>
      <c r="E87" s="524"/>
      <c r="F87" s="524"/>
      <c r="G87" s="524"/>
      <c r="H87" s="524"/>
      <c r="I87" s="524" t="s">
        <v>11068</v>
      </c>
      <c r="J87" s="11"/>
      <c r="K87" s="11">
        <v>7040.0</v>
      </c>
      <c r="L87" s="11"/>
      <c r="N87" s="358"/>
      <c r="O87" s="523"/>
    </row>
    <row r="88">
      <c r="A88" s="521" t="s">
        <v>1828</v>
      </c>
      <c r="B88" s="524">
        <v>6722.0</v>
      </c>
      <c r="C88" s="524"/>
      <c r="D88" s="524"/>
      <c r="E88" s="524"/>
      <c r="F88" s="524"/>
      <c r="G88" s="524"/>
      <c r="H88" s="524"/>
      <c r="I88" s="524" t="s">
        <v>11069</v>
      </c>
      <c r="J88" s="11"/>
      <c r="K88" s="11">
        <v>7040.0</v>
      </c>
      <c r="L88" s="11"/>
      <c r="N88" s="358"/>
      <c r="O88" s="523"/>
    </row>
    <row r="89">
      <c r="A89" s="521" t="s">
        <v>1829</v>
      </c>
      <c r="B89" s="524"/>
      <c r="C89" s="524"/>
      <c r="D89" s="524"/>
      <c r="E89" s="524"/>
      <c r="F89" s="524"/>
      <c r="G89" s="524"/>
      <c r="H89" s="524"/>
      <c r="I89" s="524" t="s">
        <v>11070</v>
      </c>
      <c r="J89" s="11"/>
      <c r="K89" s="11">
        <v>7040.0</v>
      </c>
      <c r="L89" s="11"/>
      <c r="N89" s="358"/>
      <c r="O89" s="523"/>
    </row>
    <row r="90">
      <c r="A90" s="521" t="s">
        <v>1831</v>
      </c>
      <c r="B90" s="524"/>
      <c r="C90" s="524"/>
      <c r="D90" s="524"/>
      <c r="E90" s="524"/>
      <c r="F90" s="524"/>
      <c r="G90" s="524"/>
      <c r="H90" s="524"/>
      <c r="I90" s="524" t="s">
        <v>11071</v>
      </c>
      <c r="J90" s="11"/>
      <c r="K90" s="11">
        <v>7040.0</v>
      </c>
      <c r="L90" s="11"/>
      <c r="N90" s="358"/>
      <c r="O90" s="523"/>
    </row>
    <row r="91">
      <c r="A91" s="521" t="s">
        <v>1832</v>
      </c>
      <c r="B91" s="524">
        <v>7142.0</v>
      </c>
      <c r="C91" s="524"/>
      <c r="D91" s="524"/>
      <c r="E91" s="524"/>
      <c r="F91" s="524"/>
      <c r="G91" s="524"/>
      <c r="H91" s="524"/>
      <c r="I91" s="524" t="s">
        <v>2069</v>
      </c>
      <c r="J91" s="11"/>
      <c r="K91" s="11">
        <v>7040.0</v>
      </c>
      <c r="L91" s="11"/>
      <c r="N91" s="358"/>
      <c r="O91" s="523"/>
    </row>
    <row r="92">
      <c r="A92" s="521" t="s">
        <v>1833</v>
      </c>
      <c r="B92" s="524"/>
      <c r="C92" s="524"/>
      <c r="D92" s="524"/>
      <c r="E92" s="524"/>
      <c r="F92" s="524"/>
      <c r="G92" s="524"/>
      <c r="H92" s="524"/>
      <c r="I92" s="524" t="s">
        <v>11072</v>
      </c>
      <c r="J92" s="11"/>
      <c r="K92" s="11">
        <v>7040.0</v>
      </c>
      <c r="L92" s="11"/>
      <c r="N92" s="358"/>
      <c r="O92" s="523"/>
    </row>
    <row r="93">
      <c r="A93" s="521" t="s">
        <v>1834</v>
      </c>
      <c r="B93" s="524"/>
      <c r="C93" s="524"/>
      <c r="D93" s="524"/>
      <c r="E93" s="524"/>
      <c r="F93" s="524"/>
      <c r="G93" s="524"/>
      <c r="H93" s="524"/>
      <c r="I93" s="524" t="s">
        <v>7363</v>
      </c>
      <c r="J93" s="11"/>
      <c r="K93" s="11">
        <v>7040.0</v>
      </c>
      <c r="L93" s="11"/>
      <c r="N93" s="358"/>
      <c r="O93" s="523"/>
    </row>
    <row r="94">
      <c r="A94" s="521" t="s">
        <v>1853</v>
      </c>
      <c r="B94" s="524"/>
      <c r="C94" s="524"/>
      <c r="D94" s="524"/>
      <c r="E94" s="524"/>
      <c r="F94" s="524"/>
      <c r="G94" s="524"/>
      <c r="H94" s="524"/>
      <c r="I94" s="524" t="s">
        <v>7364</v>
      </c>
      <c r="J94" s="11"/>
      <c r="K94" s="11">
        <v>7040.0</v>
      </c>
      <c r="L94" s="11"/>
      <c r="N94" s="358"/>
      <c r="O94" s="523"/>
    </row>
    <row r="95">
      <c r="A95" s="521" t="s">
        <v>1835</v>
      </c>
      <c r="B95" s="524"/>
      <c r="C95" s="524"/>
      <c r="D95" s="524"/>
      <c r="E95" s="524"/>
      <c r="F95" s="524"/>
      <c r="G95" s="524"/>
      <c r="H95" s="524"/>
      <c r="I95" s="524" t="s">
        <v>7365</v>
      </c>
      <c r="J95" s="11"/>
      <c r="K95" s="11">
        <v>7040.0</v>
      </c>
      <c r="L95" s="11"/>
      <c r="O95" s="523"/>
    </row>
    <row r="96">
      <c r="A96" s="521" t="s">
        <v>1856</v>
      </c>
      <c r="B96" s="524">
        <v>14298.0</v>
      </c>
      <c r="C96" s="524"/>
      <c r="D96" s="524"/>
      <c r="E96" s="524"/>
      <c r="F96" s="524"/>
      <c r="G96" s="524"/>
      <c r="H96" s="524"/>
      <c r="I96" s="524" t="s">
        <v>7366</v>
      </c>
      <c r="J96" s="11"/>
      <c r="K96" s="11">
        <v>7040.0</v>
      </c>
      <c r="L96" s="11"/>
      <c r="O96" s="523"/>
    </row>
    <row r="97">
      <c r="A97" s="521" t="s">
        <v>1836</v>
      </c>
      <c r="B97" s="524">
        <v>5566.0</v>
      </c>
      <c r="C97" s="524"/>
      <c r="D97" s="524"/>
      <c r="E97" s="524"/>
      <c r="F97" s="524"/>
      <c r="G97" s="524"/>
      <c r="H97" s="524"/>
      <c r="I97" s="524" t="s">
        <v>7367</v>
      </c>
      <c r="J97" s="11"/>
      <c r="K97" s="11">
        <v>7040.0</v>
      </c>
      <c r="L97" s="11"/>
      <c r="M97" s="11"/>
      <c r="O97" s="523"/>
    </row>
    <row r="98">
      <c r="A98" s="521" t="s">
        <v>1837</v>
      </c>
      <c r="B98" s="524">
        <v>5566.0</v>
      </c>
      <c r="C98" s="524"/>
      <c r="D98" s="524"/>
      <c r="E98" s="524"/>
      <c r="F98" s="524"/>
      <c r="G98" s="524"/>
      <c r="H98" s="524"/>
      <c r="I98" s="524" t="s">
        <v>7368</v>
      </c>
      <c r="J98" s="11"/>
      <c r="K98" s="11">
        <v>7040.0</v>
      </c>
      <c r="L98" s="11"/>
      <c r="M98" s="11"/>
      <c r="O98" s="523"/>
    </row>
    <row r="99">
      <c r="A99" s="521" t="s">
        <v>1838</v>
      </c>
      <c r="B99" s="524">
        <v>5566.0</v>
      </c>
      <c r="C99" s="524"/>
      <c r="D99" s="524"/>
      <c r="E99" s="524"/>
      <c r="F99" s="524"/>
      <c r="G99" s="524"/>
      <c r="H99" s="524"/>
      <c r="I99" s="524" t="s">
        <v>7369</v>
      </c>
      <c r="J99" s="11"/>
      <c r="K99" s="11">
        <v>7040.0</v>
      </c>
      <c r="L99" s="11"/>
      <c r="M99" s="11"/>
      <c r="N99" s="525"/>
      <c r="O99" s="523"/>
    </row>
    <row r="100">
      <c r="A100" s="521" t="s">
        <v>1839</v>
      </c>
      <c r="B100" s="524">
        <v>5566.0</v>
      </c>
      <c r="C100" s="524"/>
      <c r="D100" s="524"/>
      <c r="E100" s="524"/>
      <c r="F100" s="524"/>
      <c r="G100" s="524"/>
      <c r="H100" s="524"/>
      <c r="I100" s="524" t="s">
        <v>7370</v>
      </c>
      <c r="J100" s="11"/>
      <c r="K100" s="11">
        <v>7040.0</v>
      </c>
      <c r="L100" s="11"/>
      <c r="M100" s="11"/>
      <c r="N100" s="525"/>
      <c r="O100" s="523"/>
    </row>
    <row r="101">
      <c r="A101" s="521" t="s">
        <v>1841</v>
      </c>
      <c r="B101" s="524">
        <v>5566.0</v>
      </c>
      <c r="C101" s="524"/>
      <c r="D101" s="524"/>
      <c r="E101" s="524"/>
      <c r="F101" s="524"/>
      <c r="G101" s="524"/>
      <c r="H101" s="524"/>
      <c r="I101" s="524" t="s">
        <v>7371</v>
      </c>
      <c r="J101" s="11"/>
      <c r="K101" s="11">
        <v>7040.0</v>
      </c>
      <c r="L101" s="11"/>
      <c r="M101" s="11"/>
      <c r="N101" s="525"/>
      <c r="O101" s="523"/>
    </row>
    <row r="102">
      <c r="A102" s="521" t="s">
        <v>1842</v>
      </c>
      <c r="B102" s="21"/>
      <c r="C102" s="21"/>
      <c r="D102" s="21"/>
      <c r="E102" s="21"/>
      <c r="F102" s="21"/>
      <c r="G102" s="21"/>
      <c r="H102" s="21"/>
      <c r="I102" s="21"/>
      <c r="M102" s="11"/>
      <c r="N102" s="525"/>
      <c r="O102" s="523"/>
    </row>
    <row r="103">
      <c r="A103" s="521" t="s">
        <v>1843</v>
      </c>
      <c r="B103" s="21"/>
      <c r="C103" s="21"/>
      <c r="D103" s="21"/>
      <c r="E103" s="21"/>
      <c r="F103" s="21"/>
      <c r="G103" s="21"/>
      <c r="H103" s="21"/>
      <c r="I103" s="21"/>
      <c r="M103" s="11"/>
      <c r="N103" s="525"/>
      <c r="O103" s="523"/>
    </row>
    <row r="104">
      <c r="A104" s="521" t="s">
        <v>1844</v>
      </c>
      <c r="B104" s="21"/>
      <c r="C104" s="21"/>
      <c r="D104" s="21"/>
      <c r="E104" s="21"/>
      <c r="F104" s="21"/>
      <c r="G104" s="21"/>
      <c r="H104" s="21"/>
      <c r="I104" s="21"/>
      <c r="M104" s="11"/>
      <c r="N104" s="11"/>
      <c r="O104" s="523"/>
    </row>
    <row r="105">
      <c r="A105" s="521" t="s">
        <v>1845</v>
      </c>
      <c r="B105" s="21"/>
      <c r="C105" s="21"/>
      <c r="D105" s="21"/>
      <c r="E105" s="21"/>
      <c r="F105" s="21"/>
      <c r="G105" s="21"/>
      <c r="H105" s="21"/>
      <c r="I105" s="21"/>
      <c r="M105" s="11"/>
      <c r="N105" s="525"/>
      <c r="O105" s="523"/>
    </row>
    <row r="106">
      <c r="A106" s="521" t="s">
        <v>1846</v>
      </c>
      <c r="B106" s="21">
        <v>7033.0</v>
      </c>
      <c r="C106" s="21"/>
      <c r="D106" s="21"/>
      <c r="E106" s="21"/>
      <c r="F106" s="21"/>
      <c r="G106" s="21"/>
      <c r="H106" s="21"/>
      <c r="I106" s="21"/>
      <c r="M106" s="11"/>
      <c r="N106" s="525"/>
      <c r="O106" s="523"/>
    </row>
    <row r="107">
      <c r="A107" s="521" t="s">
        <v>1847</v>
      </c>
      <c r="B107" s="11">
        <v>7040.0</v>
      </c>
      <c r="C107" s="11"/>
      <c r="D107" s="11"/>
      <c r="E107" s="11"/>
      <c r="F107" s="11"/>
      <c r="G107" s="11"/>
      <c r="H107" s="11"/>
      <c r="I107" s="11"/>
      <c r="M107" s="11"/>
      <c r="O107" s="523"/>
    </row>
    <row r="108">
      <c r="A108" s="521" t="s">
        <v>1848</v>
      </c>
      <c r="B108" s="11"/>
      <c r="C108" s="11"/>
      <c r="D108" s="11"/>
      <c r="E108" s="11"/>
      <c r="F108" s="11"/>
      <c r="G108" s="11"/>
      <c r="H108" s="11"/>
      <c r="I108" s="11"/>
      <c r="M108" s="11"/>
      <c r="O108" s="523"/>
    </row>
    <row r="109">
      <c r="A109" s="521" t="s">
        <v>1870</v>
      </c>
      <c r="B109" s="11"/>
      <c r="C109" s="11"/>
      <c r="D109" s="11"/>
      <c r="E109" s="11"/>
      <c r="F109" s="11"/>
      <c r="G109" s="11"/>
      <c r="H109" s="11"/>
      <c r="I109" s="11"/>
      <c r="M109" s="11"/>
      <c r="N109" s="11"/>
      <c r="O109" s="523"/>
    </row>
    <row r="110">
      <c r="A110" s="521" t="s">
        <v>1851</v>
      </c>
      <c r="B110" s="11"/>
      <c r="C110" s="11"/>
      <c r="D110" s="11"/>
      <c r="E110" s="11"/>
      <c r="F110" s="11"/>
      <c r="G110" s="11"/>
      <c r="H110" s="11"/>
      <c r="I110" s="11"/>
      <c r="M110" s="11"/>
      <c r="N110" s="11"/>
      <c r="O110" s="523"/>
    </row>
    <row r="111">
      <c r="A111" s="521" t="s">
        <v>1852</v>
      </c>
      <c r="B111" s="11"/>
      <c r="C111" s="11"/>
      <c r="D111" s="11"/>
      <c r="E111" s="11"/>
      <c r="F111" s="11"/>
      <c r="G111" s="11"/>
      <c r="H111" s="11"/>
      <c r="I111" s="11"/>
      <c r="M111" s="11"/>
      <c r="O111" s="523"/>
    </row>
    <row r="112">
      <c r="A112" s="521" t="s">
        <v>1854</v>
      </c>
      <c r="B112" s="21"/>
      <c r="C112" s="21"/>
      <c r="D112" s="21"/>
      <c r="E112" s="21"/>
      <c r="F112" s="21"/>
      <c r="G112" s="21"/>
      <c r="H112" s="21"/>
      <c r="I112" s="21"/>
      <c r="M112" s="11"/>
      <c r="O112" s="523"/>
    </row>
    <row r="113">
      <c r="A113" s="521" t="s">
        <v>1877</v>
      </c>
      <c r="B113" s="21"/>
      <c r="C113" s="21"/>
      <c r="D113" s="21"/>
      <c r="E113" s="21"/>
      <c r="F113" s="21"/>
      <c r="G113" s="21"/>
      <c r="H113" s="21"/>
      <c r="I113" s="21"/>
      <c r="M113" s="11"/>
      <c r="N113" s="11"/>
      <c r="O113" s="523"/>
    </row>
    <row r="114">
      <c r="A114" s="521" t="s">
        <v>1855</v>
      </c>
      <c r="B114" s="21"/>
      <c r="C114" s="21"/>
      <c r="D114" s="21"/>
      <c r="E114" s="21"/>
      <c r="F114" s="21"/>
      <c r="G114" s="21"/>
      <c r="H114" s="21"/>
      <c r="I114" s="21"/>
      <c r="M114" s="11"/>
      <c r="O114" s="523"/>
    </row>
    <row r="115">
      <c r="A115" s="521" t="s">
        <v>1857</v>
      </c>
      <c r="B115" s="21"/>
      <c r="C115" s="21"/>
      <c r="D115" s="21"/>
      <c r="E115" s="21"/>
      <c r="F115" s="21"/>
      <c r="G115" s="21"/>
      <c r="H115" s="21"/>
      <c r="I115" s="21"/>
      <c r="M115" s="11"/>
      <c r="O115" s="523"/>
    </row>
    <row r="116">
      <c r="A116" s="521" t="s">
        <v>7260</v>
      </c>
      <c r="B116" s="21"/>
      <c r="C116" s="21"/>
      <c r="D116" s="21"/>
      <c r="E116" s="21"/>
      <c r="F116" s="21"/>
      <c r="G116" s="21"/>
      <c r="H116" s="21"/>
      <c r="I116" s="21"/>
      <c r="M116" s="11"/>
      <c r="N116" s="11"/>
      <c r="O116" s="523"/>
    </row>
    <row r="117">
      <c r="A117" s="521" t="s">
        <v>7261</v>
      </c>
      <c r="B117" s="21"/>
      <c r="C117" s="21"/>
      <c r="D117" s="21"/>
      <c r="E117" s="21"/>
      <c r="F117" s="21"/>
      <c r="G117" s="21"/>
      <c r="H117" s="21"/>
      <c r="I117" s="21"/>
      <c r="M117" s="11"/>
      <c r="O117" s="523"/>
    </row>
    <row r="118">
      <c r="A118" s="521" t="s">
        <v>7262</v>
      </c>
      <c r="B118" s="11"/>
      <c r="C118" s="11"/>
      <c r="D118" s="11"/>
      <c r="E118" s="11"/>
      <c r="F118" s="11"/>
      <c r="G118" s="11"/>
      <c r="H118" s="11"/>
      <c r="I118" s="11"/>
      <c r="M118" s="11"/>
      <c r="O118" s="523"/>
    </row>
    <row r="119">
      <c r="A119" s="521" t="s">
        <v>7263</v>
      </c>
      <c r="B119" s="11"/>
      <c r="C119" s="11"/>
      <c r="D119" s="11"/>
      <c r="E119" s="11"/>
      <c r="F119" s="11"/>
      <c r="G119" s="11"/>
      <c r="H119" s="11"/>
      <c r="I119" s="11"/>
      <c r="M119" s="11"/>
      <c r="O119" s="523"/>
    </row>
    <row r="120">
      <c r="A120" s="521" t="s">
        <v>7264</v>
      </c>
      <c r="B120" s="11"/>
      <c r="C120" s="11"/>
      <c r="D120" s="11"/>
      <c r="E120" s="11"/>
      <c r="F120" s="11"/>
      <c r="G120" s="11"/>
      <c r="H120" s="11"/>
      <c r="I120" s="11"/>
      <c r="M120" s="11"/>
      <c r="N120" s="11"/>
      <c r="O120" s="523"/>
    </row>
    <row r="121">
      <c r="A121" s="521" t="s">
        <v>7265</v>
      </c>
      <c r="B121" s="11"/>
      <c r="C121" s="11"/>
      <c r="D121" s="11"/>
      <c r="E121" s="11"/>
      <c r="F121" s="11"/>
      <c r="G121" s="11"/>
      <c r="H121" s="11"/>
      <c r="I121" s="11"/>
      <c r="M121" s="11"/>
      <c r="O121" s="523"/>
    </row>
    <row r="122">
      <c r="A122" s="521" t="s">
        <v>7266</v>
      </c>
      <c r="B122" s="11"/>
      <c r="C122" s="11"/>
      <c r="D122" s="11"/>
      <c r="E122" s="11"/>
      <c r="F122" s="11"/>
      <c r="G122" s="11"/>
      <c r="H122" s="11"/>
      <c r="I122" s="11"/>
      <c r="M122" s="11"/>
      <c r="N122" s="11"/>
      <c r="O122" s="523"/>
    </row>
    <row r="123">
      <c r="A123" s="521" t="s">
        <v>7267</v>
      </c>
      <c r="B123" s="11"/>
      <c r="C123" s="11"/>
      <c r="D123" s="11"/>
      <c r="E123" s="11"/>
      <c r="F123" s="11"/>
      <c r="G123" s="11"/>
      <c r="H123" s="11"/>
      <c r="I123" s="11"/>
      <c r="M123" s="11"/>
      <c r="O123" s="523"/>
    </row>
    <row r="124">
      <c r="A124" s="521" t="s">
        <v>7268</v>
      </c>
      <c r="B124" s="526">
        <v>14465.0</v>
      </c>
      <c r="C124" s="11"/>
      <c r="D124" s="11"/>
      <c r="E124" s="11"/>
      <c r="F124" s="11"/>
      <c r="G124" s="11"/>
      <c r="H124" s="11"/>
      <c r="I124" s="11"/>
      <c r="M124" s="11"/>
      <c r="O124" s="523"/>
    </row>
    <row r="125">
      <c r="A125" s="521" t="s">
        <v>7269</v>
      </c>
      <c r="B125" s="11"/>
      <c r="C125" s="11"/>
      <c r="D125" s="11"/>
      <c r="E125" s="11"/>
      <c r="F125" s="11"/>
      <c r="G125" s="11"/>
      <c r="H125" s="11"/>
      <c r="I125" s="11"/>
      <c r="M125" s="11"/>
      <c r="O125" s="523"/>
    </row>
    <row r="126">
      <c r="A126" s="521" t="s">
        <v>59</v>
      </c>
      <c r="B126" s="11">
        <v>8486.0</v>
      </c>
      <c r="C126" s="11"/>
      <c r="D126" s="11"/>
      <c r="E126" s="11"/>
      <c r="F126" s="11"/>
      <c r="G126" s="11"/>
      <c r="H126" s="11"/>
      <c r="I126" s="11"/>
      <c r="M126" s="11"/>
      <c r="O126" s="523"/>
    </row>
    <row r="127">
      <c r="A127" s="521" t="s">
        <v>60</v>
      </c>
      <c r="B127" s="11">
        <v>8486.0</v>
      </c>
      <c r="C127" s="11"/>
      <c r="D127" s="11"/>
      <c r="E127" s="11"/>
      <c r="F127" s="11"/>
      <c r="G127" s="11"/>
      <c r="H127" s="11"/>
      <c r="I127" s="11"/>
      <c r="M127" s="11"/>
      <c r="O127" s="523"/>
    </row>
    <row r="128">
      <c r="A128" s="521" t="s">
        <v>61</v>
      </c>
      <c r="B128" s="11">
        <v>6829.0</v>
      </c>
      <c r="C128" s="11"/>
      <c r="D128" s="11"/>
      <c r="E128" s="11"/>
      <c r="F128" s="11"/>
      <c r="G128" s="11"/>
      <c r="H128" s="11"/>
      <c r="I128" s="11"/>
      <c r="M128" s="11"/>
      <c r="O128" s="523"/>
    </row>
    <row r="129">
      <c r="A129" s="521" t="s">
        <v>64</v>
      </c>
      <c r="B129" s="11"/>
      <c r="C129" s="11"/>
      <c r="D129" s="11"/>
      <c r="E129" s="11"/>
      <c r="F129" s="11"/>
      <c r="G129" s="11"/>
      <c r="H129" s="11"/>
      <c r="I129" s="11"/>
      <c r="M129" s="11"/>
      <c r="O129" s="523"/>
    </row>
    <row r="130">
      <c r="A130" s="521" t="s">
        <v>508</v>
      </c>
      <c r="B130" s="11"/>
      <c r="C130" s="11"/>
      <c r="D130" s="11"/>
      <c r="E130" s="11"/>
      <c r="F130" s="11"/>
      <c r="G130" s="11"/>
      <c r="H130" s="11"/>
      <c r="I130" s="11"/>
      <c r="M130" s="11"/>
      <c r="O130" s="523"/>
    </row>
    <row r="131">
      <c r="A131" s="521" t="s">
        <v>509</v>
      </c>
      <c r="B131" s="11"/>
      <c r="C131" s="11"/>
      <c r="D131" s="11"/>
      <c r="E131" s="11"/>
      <c r="F131" s="11"/>
      <c r="G131" s="11"/>
      <c r="H131" s="11"/>
      <c r="I131" s="11"/>
      <c r="M131" s="11"/>
      <c r="O131" s="523"/>
    </row>
    <row r="132">
      <c r="A132" s="521" t="s">
        <v>510</v>
      </c>
      <c r="B132" s="11"/>
      <c r="C132" s="11"/>
      <c r="D132" s="11"/>
      <c r="E132" s="11"/>
      <c r="F132" s="11"/>
      <c r="G132" s="11"/>
      <c r="H132" s="11"/>
      <c r="I132" s="11"/>
      <c r="M132" s="11"/>
      <c r="O132" s="523"/>
    </row>
    <row r="133">
      <c r="A133" s="521" t="s">
        <v>511</v>
      </c>
      <c r="B133" s="11"/>
      <c r="C133" s="11"/>
      <c r="D133" s="11"/>
      <c r="E133" s="11"/>
      <c r="F133" s="11"/>
      <c r="G133" s="11"/>
      <c r="H133" s="11"/>
      <c r="I133" s="11"/>
      <c r="M133" s="11"/>
      <c r="N133" s="11"/>
      <c r="O133" s="523"/>
    </row>
    <row r="134">
      <c r="A134" s="521" t="s">
        <v>512</v>
      </c>
      <c r="B134" s="11"/>
      <c r="C134" s="11"/>
      <c r="D134" s="11"/>
      <c r="E134" s="11"/>
      <c r="F134" s="11"/>
      <c r="G134" s="11"/>
      <c r="H134" s="11"/>
      <c r="I134" s="11"/>
      <c r="M134" s="11"/>
      <c r="O134" s="523"/>
    </row>
    <row r="135">
      <c r="A135" s="521" t="s">
        <v>11042</v>
      </c>
      <c r="B135" s="11"/>
      <c r="C135" s="11"/>
      <c r="D135" s="11"/>
      <c r="E135" s="11"/>
      <c r="F135" s="11"/>
      <c r="G135" s="11"/>
      <c r="H135" s="11"/>
      <c r="I135" s="11"/>
      <c r="M135" s="11"/>
      <c r="O135" s="523"/>
    </row>
    <row r="136">
      <c r="A136" s="527" t="s">
        <v>11043</v>
      </c>
      <c r="H136" s="11"/>
      <c r="I136" s="11"/>
      <c r="M136" s="11"/>
      <c r="N136" s="11"/>
      <c r="O136" s="523"/>
    </row>
    <row r="137">
      <c r="A137" s="527" t="s">
        <v>11073</v>
      </c>
      <c r="O137" s="523"/>
    </row>
    <row r="138">
      <c r="A138" s="527" t="s">
        <v>11045</v>
      </c>
      <c r="O138" s="523"/>
    </row>
    <row r="139">
      <c r="A139" s="527" t="s">
        <v>11047</v>
      </c>
      <c r="B139" s="11">
        <v>6939.0</v>
      </c>
      <c r="O139" s="523"/>
    </row>
    <row r="140">
      <c r="A140" s="527" t="s">
        <v>11048</v>
      </c>
      <c r="O140" s="523"/>
    </row>
    <row r="141">
      <c r="A141" s="527" t="s">
        <v>11049</v>
      </c>
      <c r="O141" s="523"/>
    </row>
    <row r="142">
      <c r="A142" s="527" t="s">
        <v>11051</v>
      </c>
      <c r="O142" s="523"/>
    </row>
    <row r="143">
      <c r="A143" s="527" t="s">
        <v>11074</v>
      </c>
      <c r="O143" s="523"/>
    </row>
    <row r="144">
      <c r="A144" s="527" t="s">
        <v>11052</v>
      </c>
      <c r="O144" s="523"/>
    </row>
    <row r="145">
      <c r="A145" s="527" t="s">
        <v>11053</v>
      </c>
      <c r="O145" s="523"/>
    </row>
    <row r="146">
      <c r="A146" s="527" t="s">
        <v>11075</v>
      </c>
      <c r="O146" s="523"/>
    </row>
    <row r="147">
      <c r="A147" s="527" t="s">
        <v>11055</v>
      </c>
      <c r="O147" s="523"/>
    </row>
    <row r="148">
      <c r="A148" s="527" t="s">
        <v>11057</v>
      </c>
      <c r="O148" s="523"/>
    </row>
    <row r="149">
      <c r="A149" s="527" t="s">
        <v>11059</v>
      </c>
      <c r="O149" s="523"/>
    </row>
    <row r="150">
      <c r="A150" s="527" t="s">
        <v>11060</v>
      </c>
      <c r="O150" s="523"/>
    </row>
    <row r="151">
      <c r="A151" s="527" t="s">
        <v>11061</v>
      </c>
      <c r="O151" s="523"/>
    </row>
    <row r="152">
      <c r="A152" s="527" t="s">
        <v>11062</v>
      </c>
      <c r="O152" s="523"/>
    </row>
    <row r="153">
      <c r="A153" s="527" t="s">
        <v>11076</v>
      </c>
      <c r="O153" s="523"/>
    </row>
    <row r="154">
      <c r="A154" s="527" t="s">
        <v>11077</v>
      </c>
      <c r="O154" s="523"/>
    </row>
    <row r="155">
      <c r="A155" s="527" t="s">
        <v>11063</v>
      </c>
      <c r="O155" s="523"/>
    </row>
    <row r="156">
      <c r="A156" s="527" t="s">
        <v>11064</v>
      </c>
      <c r="O156" s="523"/>
    </row>
    <row r="157">
      <c r="A157" s="527" t="s">
        <v>11065</v>
      </c>
      <c r="O157" s="523"/>
    </row>
    <row r="158">
      <c r="A158" s="528" t="s">
        <v>11066</v>
      </c>
      <c r="B158" s="223"/>
      <c r="C158" s="192">
        <v>7142.0</v>
      </c>
      <c r="O158" s="523"/>
    </row>
    <row r="159">
      <c r="A159" s="527" t="s">
        <v>11067</v>
      </c>
      <c r="O159" s="523"/>
    </row>
    <row r="160">
      <c r="A160" s="527" t="s">
        <v>11068</v>
      </c>
      <c r="O160" s="523"/>
    </row>
    <row r="161">
      <c r="A161" s="527" t="s">
        <v>11069</v>
      </c>
      <c r="O161" s="21"/>
    </row>
    <row r="162">
      <c r="A162" s="527" t="s">
        <v>11071</v>
      </c>
      <c r="O162" s="21"/>
    </row>
    <row r="163">
      <c r="A163" s="527" t="s">
        <v>2069</v>
      </c>
      <c r="O163" s="21"/>
    </row>
    <row r="164">
      <c r="A164" s="527" t="s">
        <v>11072</v>
      </c>
      <c r="O164" s="21"/>
    </row>
    <row r="165">
      <c r="A165" s="527" t="s">
        <v>7363</v>
      </c>
      <c r="B165" s="16">
        <v>5566.0</v>
      </c>
      <c r="O165" s="21"/>
    </row>
    <row r="166">
      <c r="A166" s="527" t="s">
        <v>7365</v>
      </c>
      <c r="B166" s="16">
        <v>5566.0</v>
      </c>
      <c r="O166" s="21"/>
    </row>
    <row r="167">
      <c r="A167" s="527" t="s">
        <v>7366</v>
      </c>
      <c r="B167" s="16">
        <v>5566.0</v>
      </c>
      <c r="O167" s="21"/>
    </row>
    <row r="168">
      <c r="A168" s="527" t="s">
        <v>7367</v>
      </c>
      <c r="B168" s="16">
        <v>5566.0</v>
      </c>
      <c r="O168" s="21"/>
    </row>
    <row r="169">
      <c r="A169" s="527" t="s">
        <v>7368</v>
      </c>
      <c r="B169" s="16">
        <v>5566.0</v>
      </c>
      <c r="O169" s="21"/>
    </row>
    <row r="170">
      <c r="A170" s="527" t="s">
        <v>7369</v>
      </c>
      <c r="B170" s="16">
        <v>5566.0</v>
      </c>
      <c r="O170" s="21"/>
    </row>
    <row r="171">
      <c r="A171" s="527" t="s">
        <v>7370</v>
      </c>
      <c r="B171" s="16">
        <v>5566.0</v>
      </c>
      <c r="O171" s="21"/>
    </row>
    <row r="172">
      <c r="A172" s="527" t="s">
        <v>7371</v>
      </c>
      <c r="B172" s="16">
        <v>5566.0</v>
      </c>
      <c r="O172" s="21"/>
    </row>
    <row r="173">
      <c r="A173" s="527" t="s">
        <v>11078</v>
      </c>
      <c r="B173" s="16"/>
      <c r="O173" s="21"/>
    </row>
    <row r="174">
      <c r="A174" s="527" t="s">
        <v>11079</v>
      </c>
      <c r="B174" s="16"/>
      <c r="O174" s="21"/>
    </row>
    <row r="175">
      <c r="A175" s="527" t="s">
        <v>7346</v>
      </c>
      <c r="O175" s="21"/>
    </row>
    <row r="176">
      <c r="A176" s="527" t="s">
        <v>7347</v>
      </c>
      <c r="O176" s="21"/>
    </row>
    <row r="177">
      <c r="A177" s="527" t="s">
        <v>7348</v>
      </c>
      <c r="O177" s="21"/>
    </row>
    <row r="178">
      <c r="A178" s="527" t="s">
        <v>10358</v>
      </c>
      <c r="O178" s="21"/>
    </row>
    <row r="179">
      <c r="A179" s="527" t="s">
        <v>11080</v>
      </c>
      <c r="O179" s="21"/>
    </row>
    <row r="180">
      <c r="A180" s="527" t="s">
        <v>11081</v>
      </c>
      <c r="O180" s="21"/>
    </row>
    <row r="181">
      <c r="A181" s="527" t="s">
        <v>7351</v>
      </c>
      <c r="O181" s="21"/>
    </row>
    <row r="182">
      <c r="A182" s="527" t="s">
        <v>7352</v>
      </c>
      <c r="B182" s="11">
        <v>6729.0</v>
      </c>
      <c r="O182" s="21"/>
    </row>
    <row r="183">
      <c r="A183" s="527" t="s">
        <v>11082</v>
      </c>
      <c r="O183" s="21"/>
    </row>
    <row r="184">
      <c r="A184" s="527" t="s">
        <v>11083</v>
      </c>
      <c r="B184" s="11">
        <v>5458.0</v>
      </c>
      <c r="O184" s="21"/>
    </row>
    <row r="185">
      <c r="A185" s="527" t="s">
        <v>11084</v>
      </c>
      <c r="O185" s="21"/>
    </row>
    <row r="186">
      <c r="A186" s="527" t="s">
        <v>11085</v>
      </c>
      <c r="B186" s="11">
        <v>6706.0</v>
      </c>
      <c r="O186" s="21"/>
    </row>
    <row r="187">
      <c r="A187" s="527" t="s">
        <v>29</v>
      </c>
      <c r="B187" s="11">
        <v>6706.0</v>
      </c>
      <c r="O187" s="21"/>
    </row>
    <row r="188">
      <c r="A188" s="527" t="s">
        <v>7372</v>
      </c>
      <c r="B188" s="11">
        <v>6706.0</v>
      </c>
      <c r="O188" s="21"/>
    </row>
    <row r="189">
      <c r="A189" s="527" t="s">
        <v>7350</v>
      </c>
      <c r="B189" s="11">
        <v>6706.0</v>
      </c>
      <c r="O189" s="21"/>
    </row>
    <row r="190">
      <c r="A190" s="529" t="s">
        <v>11086</v>
      </c>
      <c r="B190" s="7"/>
      <c r="C190" s="11" t="s">
        <v>10980</v>
      </c>
      <c r="O190" s="21"/>
    </row>
    <row r="191">
      <c r="A191" s="529" t="s">
        <v>11087</v>
      </c>
      <c r="B191" s="7"/>
      <c r="C191" s="11" t="s">
        <v>10980</v>
      </c>
      <c r="O191" s="21"/>
    </row>
    <row r="192">
      <c r="A192" s="529" t="s">
        <v>3949</v>
      </c>
      <c r="B192" s="7"/>
      <c r="C192" s="11" t="s">
        <v>10980</v>
      </c>
      <c r="O192" s="21"/>
    </row>
    <row r="193">
      <c r="A193" s="529" t="s">
        <v>11088</v>
      </c>
      <c r="B193" s="7"/>
      <c r="C193" s="11" t="s">
        <v>10980</v>
      </c>
      <c r="O193" s="21"/>
    </row>
    <row r="194">
      <c r="A194" s="529" t="s">
        <v>11089</v>
      </c>
      <c r="B194" s="5">
        <v>14504.0</v>
      </c>
      <c r="C194" s="11" t="s">
        <v>10980</v>
      </c>
      <c r="O194" s="21"/>
    </row>
    <row r="195">
      <c r="A195" s="529" t="s">
        <v>11090</v>
      </c>
      <c r="B195" s="7"/>
      <c r="C195" s="11" t="s">
        <v>10980</v>
      </c>
      <c r="O195" s="21"/>
    </row>
    <row r="196">
      <c r="A196" s="529" t="s">
        <v>11091</v>
      </c>
      <c r="B196" s="7"/>
      <c r="C196" s="11" t="s">
        <v>10980</v>
      </c>
      <c r="O196" s="21"/>
    </row>
    <row r="197">
      <c r="A197" s="529" t="s">
        <v>11092</v>
      </c>
      <c r="B197" s="7"/>
      <c r="C197" s="11" t="s">
        <v>10980</v>
      </c>
      <c r="O197" s="21"/>
    </row>
    <row r="198">
      <c r="A198" s="527"/>
      <c r="O198" s="21"/>
    </row>
    <row r="199">
      <c r="O199" s="21"/>
    </row>
    <row r="200">
      <c r="O200" s="21"/>
    </row>
    <row r="201">
      <c r="O201" s="21"/>
    </row>
    <row r="202">
      <c r="O202" s="21"/>
    </row>
    <row r="203">
      <c r="O203" s="21"/>
    </row>
    <row r="204">
      <c r="O204" s="21"/>
    </row>
    <row r="205">
      <c r="O205" s="21"/>
    </row>
    <row r="206">
      <c r="O206" s="21"/>
    </row>
    <row r="207">
      <c r="O207" s="21"/>
    </row>
    <row r="208">
      <c r="O208" s="21"/>
    </row>
    <row r="209">
      <c r="O209" s="21"/>
    </row>
    <row r="210">
      <c r="O210" s="21"/>
    </row>
    <row r="211">
      <c r="O211" s="21"/>
    </row>
    <row r="212">
      <c r="O212" s="21"/>
    </row>
    <row r="213">
      <c r="O213" s="21"/>
    </row>
    <row r="214">
      <c r="O214" s="21"/>
    </row>
    <row r="215">
      <c r="O215" s="21"/>
    </row>
    <row r="216">
      <c r="O216" s="21"/>
    </row>
    <row r="217">
      <c r="O217" s="21"/>
    </row>
    <row r="218">
      <c r="O218" s="21"/>
    </row>
    <row r="219">
      <c r="O219" s="21"/>
    </row>
    <row r="220">
      <c r="O220" s="21"/>
    </row>
    <row r="221">
      <c r="O221" s="21"/>
    </row>
    <row r="222">
      <c r="O222" s="21"/>
    </row>
    <row r="223">
      <c r="O223" s="21"/>
    </row>
    <row r="224">
      <c r="O224" s="21"/>
    </row>
    <row r="225">
      <c r="O225" s="21"/>
    </row>
    <row r="226">
      <c r="O226" s="21"/>
    </row>
    <row r="227">
      <c r="O227" s="21"/>
    </row>
    <row r="228">
      <c r="O228" s="21"/>
    </row>
    <row r="229">
      <c r="O229" s="21"/>
    </row>
    <row r="230">
      <c r="O230" s="21"/>
    </row>
    <row r="231">
      <c r="O231" s="21"/>
    </row>
    <row r="232">
      <c r="O232" s="21"/>
    </row>
    <row r="233">
      <c r="O233" s="21"/>
    </row>
    <row r="234">
      <c r="O234" s="21"/>
    </row>
    <row r="235">
      <c r="O235" s="21"/>
    </row>
    <row r="236">
      <c r="O236" s="21"/>
    </row>
    <row r="237">
      <c r="O237" s="21"/>
    </row>
    <row r="238">
      <c r="O238" s="21"/>
    </row>
    <row r="239">
      <c r="O239" s="21"/>
    </row>
    <row r="240">
      <c r="O240" s="21"/>
    </row>
    <row r="241">
      <c r="O241" s="21"/>
    </row>
    <row r="242">
      <c r="O242" s="21"/>
    </row>
    <row r="243">
      <c r="O243" s="21"/>
    </row>
    <row r="244">
      <c r="O244" s="21"/>
    </row>
  </sheetData>
  <customSheetViews>
    <customSheetView guid="{9968795E-3BFB-485F-960E-5F37103E47A5}" filter="1" showAutoFilter="1">
      <autoFilter ref="$I$1:$O$1958"/>
    </customSheetView>
    <customSheetView guid="{4BC5D1F8-6AB7-4253-A826-9AFBB6ED2B05}" filter="1" showAutoFilter="1">
      <autoFilter ref="$I$1:$O$1958"/>
    </customSheetView>
  </customSheetViews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3.25"/>
    <col customWidth="1" min="3" max="3" width="103.38"/>
    <col customWidth="1" min="4" max="4" width="16.88"/>
    <col customWidth="1" min="8" max="8" width="13.88"/>
    <col hidden="1" min="10" max="11" width="12.63"/>
  </cols>
  <sheetData>
    <row r="1">
      <c r="A1" s="358" t="s">
        <v>44</v>
      </c>
      <c r="B1" s="530" t="s">
        <v>1</v>
      </c>
      <c r="C1" s="57" t="s">
        <v>294</v>
      </c>
      <c r="D1" s="55" t="s">
        <v>248</v>
      </c>
      <c r="E1" s="348" t="s">
        <v>249</v>
      </c>
      <c r="F1" s="349" t="s">
        <v>250</v>
      </c>
      <c r="G1" s="11" t="s">
        <v>7485</v>
      </c>
      <c r="H1" s="530" t="s">
        <v>11093</v>
      </c>
      <c r="I1" s="10"/>
      <c r="J1" s="10"/>
      <c r="K1" s="10"/>
    </row>
    <row r="2" hidden="1">
      <c r="A2" s="531" t="s">
        <v>11094</v>
      </c>
      <c r="B2" s="532"/>
      <c r="C2" s="11" t="s">
        <v>11095</v>
      </c>
      <c r="D2" s="533">
        <v>0.75</v>
      </c>
      <c r="E2" s="533">
        <v>0.75</v>
      </c>
      <c r="F2" s="11" t="s">
        <v>1656</v>
      </c>
      <c r="H2" s="11" t="s">
        <v>11096</v>
      </c>
      <c r="I2" s="534" t="s">
        <v>11097</v>
      </c>
      <c r="J2" s="535">
        <v>5458.0</v>
      </c>
      <c r="K2" s="536">
        <v>3312.0</v>
      </c>
    </row>
    <row r="3" hidden="1">
      <c r="A3" s="531" t="s">
        <v>11098</v>
      </c>
      <c r="B3" s="532"/>
      <c r="C3" s="11" t="s">
        <v>11095</v>
      </c>
      <c r="D3" s="533">
        <v>0.75</v>
      </c>
      <c r="E3" s="533">
        <v>0.75</v>
      </c>
      <c r="F3" s="11" t="s">
        <v>1656</v>
      </c>
      <c r="H3" s="11" t="s">
        <v>11096</v>
      </c>
      <c r="I3" s="534" t="s">
        <v>11099</v>
      </c>
      <c r="J3" s="535">
        <v>6658.0</v>
      </c>
      <c r="K3" s="536">
        <v>3312.0</v>
      </c>
    </row>
    <row r="4" hidden="1">
      <c r="A4" s="531" t="s">
        <v>11100</v>
      </c>
      <c r="B4" s="532"/>
      <c r="C4" s="11" t="s">
        <v>11095</v>
      </c>
      <c r="D4" s="533">
        <v>0.75</v>
      </c>
      <c r="E4" s="533">
        <v>0.75</v>
      </c>
      <c r="F4" s="11" t="s">
        <v>1656</v>
      </c>
      <c r="H4" s="11" t="s">
        <v>11096</v>
      </c>
      <c r="I4" s="534" t="s">
        <v>11101</v>
      </c>
      <c r="J4" s="537">
        <v>62.0</v>
      </c>
      <c r="K4" s="536">
        <v>3312.0</v>
      </c>
    </row>
    <row r="5" hidden="1">
      <c r="A5" s="531" t="s">
        <v>11102</v>
      </c>
      <c r="B5" s="532"/>
      <c r="C5" s="11" t="s">
        <v>11095</v>
      </c>
      <c r="D5" s="533">
        <v>0.75</v>
      </c>
      <c r="E5" s="533">
        <v>0.75</v>
      </c>
      <c r="F5" s="11" t="s">
        <v>1656</v>
      </c>
      <c r="H5" s="11" t="s">
        <v>11096</v>
      </c>
      <c r="I5" s="534" t="s">
        <v>11103</v>
      </c>
      <c r="J5" s="537">
        <v>15.0</v>
      </c>
      <c r="K5" s="536">
        <v>3312.0</v>
      </c>
    </row>
    <row r="6" hidden="1">
      <c r="A6" s="531" t="s">
        <v>11104</v>
      </c>
      <c r="B6" s="532"/>
      <c r="C6" s="11" t="s">
        <v>11095</v>
      </c>
      <c r="D6" s="533">
        <v>0.75</v>
      </c>
      <c r="E6" s="533">
        <v>0.75</v>
      </c>
      <c r="F6" s="11" t="s">
        <v>1656</v>
      </c>
      <c r="H6" s="11" t="s">
        <v>11096</v>
      </c>
      <c r="I6" s="535" t="s">
        <v>9766</v>
      </c>
      <c r="J6" s="538">
        <v>663.0</v>
      </c>
      <c r="K6" s="536">
        <v>3312.0</v>
      </c>
    </row>
    <row r="7" hidden="1">
      <c r="A7" s="531" t="s">
        <v>11105</v>
      </c>
      <c r="B7" s="532"/>
      <c r="C7" s="11" t="s">
        <v>11095</v>
      </c>
      <c r="D7" s="533">
        <v>0.75</v>
      </c>
      <c r="E7" s="533">
        <v>0.75</v>
      </c>
      <c r="F7" s="11" t="s">
        <v>1656</v>
      </c>
      <c r="G7" s="10"/>
      <c r="H7" s="11" t="s">
        <v>11096</v>
      </c>
      <c r="I7" s="10"/>
      <c r="J7" s="536" t="s">
        <v>11106</v>
      </c>
      <c r="K7" s="536">
        <v>5566.0</v>
      </c>
    </row>
    <row r="8" hidden="1">
      <c r="A8" s="531" t="s">
        <v>11107</v>
      </c>
      <c r="B8" s="532"/>
      <c r="C8" s="11" t="s">
        <v>11095</v>
      </c>
      <c r="D8" s="533">
        <v>0.75</v>
      </c>
      <c r="E8" s="533">
        <v>0.75</v>
      </c>
      <c r="F8" s="11" t="s">
        <v>1656</v>
      </c>
      <c r="G8" s="10"/>
      <c r="H8" s="11" t="s">
        <v>11096</v>
      </c>
      <c r="I8" s="10"/>
      <c r="J8" s="536" t="s">
        <v>11108</v>
      </c>
      <c r="K8" s="536">
        <v>5566.0</v>
      </c>
    </row>
    <row r="9" hidden="1">
      <c r="A9" s="531" t="s">
        <v>11109</v>
      </c>
      <c r="B9" s="532"/>
      <c r="C9" s="11" t="s">
        <v>11095</v>
      </c>
      <c r="D9" s="533">
        <v>0.75</v>
      </c>
      <c r="E9" s="533">
        <v>0.75</v>
      </c>
      <c r="F9" s="11" t="s">
        <v>1656</v>
      </c>
      <c r="G9" s="10"/>
      <c r="H9" s="11" t="s">
        <v>11096</v>
      </c>
      <c r="I9" s="10"/>
      <c r="J9" s="536" t="s">
        <v>11110</v>
      </c>
      <c r="K9" s="536">
        <v>5566.0</v>
      </c>
    </row>
    <row r="10" hidden="1">
      <c r="A10" s="531" t="s">
        <v>11111</v>
      </c>
      <c r="B10" s="532"/>
      <c r="C10" s="11" t="s">
        <v>11095</v>
      </c>
      <c r="D10" s="533">
        <v>0.75</v>
      </c>
      <c r="E10" s="533">
        <v>0.75</v>
      </c>
      <c r="F10" s="11" t="s">
        <v>1656</v>
      </c>
      <c r="G10" s="10"/>
      <c r="H10" s="11" t="s">
        <v>11096</v>
      </c>
      <c r="I10" s="10"/>
      <c r="J10" s="536" t="s">
        <v>11112</v>
      </c>
      <c r="K10" s="536">
        <v>5566.0</v>
      </c>
    </row>
    <row r="11" hidden="1">
      <c r="A11" s="531" t="s">
        <v>11113</v>
      </c>
      <c r="B11" s="532"/>
      <c r="C11" s="11" t="s">
        <v>11095</v>
      </c>
      <c r="D11" s="533">
        <v>0.75</v>
      </c>
      <c r="E11" s="533">
        <v>0.75</v>
      </c>
      <c r="F11" s="11" t="s">
        <v>1656</v>
      </c>
      <c r="G11" s="10"/>
      <c r="H11" s="11" t="s">
        <v>11096</v>
      </c>
      <c r="I11" s="10"/>
      <c r="J11" s="536" t="s">
        <v>11114</v>
      </c>
      <c r="K11" s="536">
        <v>5566.0</v>
      </c>
    </row>
    <row r="12" hidden="1">
      <c r="A12" s="531" t="s">
        <v>11115</v>
      </c>
      <c r="B12" s="532"/>
      <c r="C12" s="11" t="s">
        <v>11095</v>
      </c>
      <c r="D12" s="533">
        <v>0.75</v>
      </c>
      <c r="E12" s="533">
        <v>0.75</v>
      </c>
      <c r="F12" s="11" t="s">
        <v>1656</v>
      </c>
      <c r="G12" s="10"/>
      <c r="H12" s="11" t="s">
        <v>11096</v>
      </c>
      <c r="I12" s="10"/>
      <c r="J12" s="536" t="s">
        <v>11116</v>
      </c>
      <c r="K12" s="536">
        <v>189.0</v>
      </c>
    </row>
    <row r="13" hidden="1">
      <c r="A13" s="531" t="s">
        <v>11117</v>
      </c>
      <c r="B13" s="532"/>
      <c r="C13" s="11" t="s">
        <v>11095</v>
      </c>
      <c r="D13" s="533">
        <v>0.75</v>
      </c>
      <c r="E13" s="533">
        <v>0.75</v>
      </c>
      <c r="F13" s="11" t="s">
        <v>1656</v>
      </c>
      <c r="G13" s="10"/>
      <c r="H13" s="11" t="s">
        <v>11096</v>
      </c>
      <c r="I13" s="10"/>
      <c r="J13" s="536" t="s">
        <v>11118</v>
      </c>
      <c r="K13" s="536">
        <v>189.0</v>
      </c>
    </row>
    <row r="14" hidden="1">
      <c r="A14" s="531" t="s">
        <v>11119</v>
      </c>
      <c r="B14" s="532"/>
      <c r="C14" s="11" t="s">
        <v>11095</v>
      </c>
      <c r="D14" s="533">
        <v>0.75</v>
      </c>
      <c r="E14" s="533">
        <v>0.75</v>
      </c>
      <c r="F14" s="11" t="s">
        <v>1656</v>
      </c>
      <c r="G14" s="10"/>
      <c r="H14" s="11" t="s">
        <v>11096</v>
      </c>
      <c r="I14" s="10"/>
      <c r="J14" s="536" t="s">
        <v>11120</v>
      </c>
      <c r="K14" s="536">
        <v>189.0</v>
      </c>
    </row>
    <row r="15" hidden="1">
      <c r="A15" s="531" t="s">
        <v>11121</v>
      </c>
      <c r="B15" s="532"/>
      <c r="C15" s="11" t="s">
        <v>11095</v>
      </c>
      <c r="D15" s="533">
        <v>0.75</v>
      </c>
      <c r="E15" s="533">
        <v>0.75</v>
      </c>
      <c r="F15" s="11" t="s">
        <v>1656</v>
      </c>
      <c r="G15" s="10"/>
      <c r="H15" s="11" t="s">
        <v>11096</v>
      </c>
      <c r="I15" s="10"/>
      <c r="J15" s="536" t="s">
        <v>11122</v>
      </c>
      <c r="K15" s="536">
        <v>6772.0</v>
      </c>
    </row>
    <row r="16" hidden="1">
      <c r="A16" s="531" t="s">
        <v>11123</v>
      </c>
      <c r="B16" s="532"/>
      <c r="C16" s="11" t="s">
        <v>11095</v>
      </c>
      <c r="D16" s="533">
        <v>0.75</v>
      </c>
      <c r="E16" s="533">
        <v>0.75</v>
      </c>
      <c r="F16" s="11" t="s">
        <v>1656</v>
      </c>
      <c r="G16" s="10"/>
      <c r="H16" s="11" t="s">
        <v>11096</v>
      </c>
      <c r="I16" s="10"/>
      <c r="J16" s="536" t="s">
        <v>11124</v>
      </c>
      <c r="K16" s="536">
        <v>6272.0</v>
      </c>
    </row>
    <row r="17" hidden="1">
      <c r="A17" s="531" t="s">
        <v>11125</v>
      </c>
      <c r="B17" s="532"/>
      <c r="C17" s="11" t="s">
        <v>11095</v>
      </c>
      <c r="D17" s="533">
        <v>0.75</v>
      </c>
      <c r="E17" s="533">
        <v>0.75</v>
      </c>
      <c r="F17" s="11" t="s">
        <v>1656</v>
      </c>
      <c r="G17" s="10"/>
      <c r="H17" s="11" t="s">
        <v>11096</v>
      </c>
      <c r="I17" s="10"/>
      <c r="J17" s="536" t="s">
        <v>11126</v>
      </c>
      <c r="K17" s="536">
        <v>189.0</v>
      </c>
    </row>
    <row r="18" hidden="1">
      <c r="A18" s="531" t="s">
        <v>11127</v>
      </c>
      <c r="B18" s="532"/>
      <c r="C18" s="11" t="s">
        <v>11095</v>
      </c>
      <c r="D18" s="533">
        <v>0.75</v>
      </c>
      <c r="E18" s="533">
        <v>0.75</v>
      </c>
      <c r="F18" s="11" t="s">
        <v>1656</v>
      </c>
      <c r="G18" s="10"/>
      <c r="H18" s="11" t="s">
        <v>11096</v>
      </c>
      <c r="I18" s="10"/>
      <c r="J18" s="536" t="s">
        <v>11128</v>
      </c>
      <c r="K18" s="536">
        <v>2345.0</v>
      </c>
    </row>
    <row r="19" hidden="1">
      <c r="A19" s="531" t="s">
        <v>11129</v>
      </c>
      <c r="B19" s="532"/>
      <c r="C19" s="11" t="s">
        <v>11095</v>
      </c>
      <c r="D19" s="533">
        <v>0.75</v>
      </c>
      <c r="E19" s="533">
        <v>0.75</v>
      </c>
      <c r="F19" s="11" t="s">
        <v>1656</v>
      </c>
      <c r="G19" s="10"/>
      <c r="H19" s="11" t="s">
        <v>11096</v>
      </c>
      <c r="I19" s="10"/>
      <c r="J19" s="536" t="s">
        <v>11130</v>
      </c>
      <c r="K19" s="536">
        <v>2345.0</v>
      </c>
    </row>
    <row r="20" hidden="1">
      <c r="A20" s="531" t="s">
        <v>11131</v>
      </c>
      <c r="B20" s="532"/>
      <c r="C20" s="11" t="s">
        <v>11095</v>
      </c>
      <c r="D20" s="533">
        <v>0.75</v>
      </c>
      <c r="E20" s="533">
        <v>0.75</v>
      </c>
      <c r="F20" s="11" t="s">
        <v>1656</v>
      </c>
      <c r="G20" s="10"/>
      <c r="H20" s="11" t="s">
        <v>11096</v>
      </c>
      <c r="I20" s="10"/>
      <c r="J20" s="536" t="s">
        <v>11132</v>
      </c>
      <c r="K20" s="536">
        <v>2345.0</v>
      </c>
    </row>
    <row r="21" hidden="1">
      <c r="A21" s="531" t="s">
        <v>11133</v>
      </c>
      <c r="B21" s="532"/>
      <c r="C21" s="11" t="s">
        <v>11095</v>
      </c>
      <c r="D21" s="533">
        <v>0.75</v>
      </c>
      <c r="E21" s="533">
        <v>0.75</v>
      </c>
      <c r="F21" s="11" t="s">
        <v>1656</v>
      </c>
      <c r="G21" s="10"/>
      <c r="H21" s="11" t="s">
        <v>11096</v>
      </c>
      <c r="I21" s="10"/>
      <c r="J21" s="536" t="s">
        <v>11134</v>
      </c>
      <c r="K21" s="536">
        <v>2345.0</v>
      </c>
    </row>
    <row r="22" hidden="1">
      <c r="A22" s="531" t="s">
        <v>11135</v>
      </c>
      <c r="B22" s="532"/>
      <c r="C22" s="11" t="s">
        <v>11095</v>
      </c>
      <c r="D22" s="533">
        <v>0.75</v>
      </c>
      <c r="E22" s="533">
        <v>0.75</v>
      </c>
      <c r="F22" s="11" t="s">
        <v>1656</v>
      </c>
      <c r="G22" s="10"/>
      <c r="H22" s="11" t="s">
        <v>11096</v>
      </c>
      <c r="I22" s="10"/>
      <c r="J22" s="536" t="s">
        <v>11136</v>
      </c>
      <c r="K22" s="536">
        <v>2345.0</v>
      </c>
    </row>
    <row r="23" hidden="1">
      <c r="A23" s="531" t="s">
        <v>11137</v>
      </c>
      <c r="B23" s="532"/>
      <c r="C23" s="11" t="s">
        <v>11095</v>
      </c>
      <c r="D23" s="533">
        <v>0.75</v>
      </c>
      <c r="E23" s="533">
        <v>0.75</v>
      </c>
      <c r="F23" s="11" t="s">
        <v>1656</v>
      </c>
      <c r="G23" s="10"/>
      <c r="H23" s="11" t="s">
        <v>11096</v>
      </c>
      <c r="I23" s="10"/>
      <c r="J23" s="536" t="s">
        <v>11138</v>
      </c>
      <c r="K23" s="536">
        <v>2345.0</v>
      </c>
    </row>
    <row r="24" hidden="1">
      <c r="A24" s="531" t="s">
        <v>11139</v>
      </c>
      <c r="B24" s="532"/>
      <c r="C24" s="11" t="s">
        <v>11095</v>
      </c>
      <c r="D24" s="533">
        <v>0.75</v>
      </c>
      <c r="E24" s="533">
        <v>0.75</v>
      </c>
      <c r="F24" s="11" t="s">
        <v>1656</v>
      </c>
      <c r="G24" s="10"/>
      <c r="H24" s="11" t="s">
        <v>11096</v>
      </c>
      <c r="I24" s="10"/>
      <c r="J24" s="536" t="s">
        <v>11140</v>
      </c>
      <c r="K24" s="536">
        <v>6732.0</v>
      </c>
    </row>
    <row r="25" hidden="1">
      <c r="A25" s="531" t="s">
        <v>11141</v>
      </c>
      <c r="B25" s="539"/>
      <c r="C25" s="11" t="s">
        <v>11095</v>
      </c>
      <c r="D25" s="533">
        <v>0.75</v>
      </c>
      <c r="E25" s="533">
        <v>0.75</v>
      </c>
      <c r="F25" s="11" t="s">
        <v>1656</v>
      </c>
      <c r="G25" s="10"/>
      <c r="H25" s="11" t="s">
        <v>11096</v>
      </c>
      <c r="I25" s="10"/>
      <c r="J25" s="536" t="s">
        <v>11142</v>
      </c>
      <c r="K25" s="540">
        <v>6732.0</v>
      </c>
    </row>
    <row r="26" hidden="1">
      <c r="A26" s="531" t="s">
        <v>11143</v>
      </c>
      <c r="B26" s="532"/>
      <c r="C26" s="11" t="s">
        <v>11095</v>
      </c>
      <c r="D26" s="533">
        <v>0.75</v>
      </c>
      <c r="E26" s="533">
        <v>0.75</v>
      </c>
      <c r="F26" s="11" t="s">
        <v>1656</v>
      </c>
      <c r="G26" s="10"/>
      <c r="H26" s="11" t="s">
        <v>11096</v>
      </c>
      <c r="I26" s="10"/>
      <c r="J26" s="536" t="s">
        <v>11144</v>
      </c>
      <c r="K26" s="536">
        <v>6732.0</v>
      </c>
    </row>
    <row r="27" hidden="1">
      <c r="A27" s="531" t="s">
        <v>11145</v>
      </c>
      <c r="B27" s="532"/>
      <c r="C27" s="11" t="s">
        <v>11095</v>
      </c>
      <c r="D27" s="533">
        <v>0.75</v>
      </c>
      <c r="E27" s="533">
        <v>0.75</v>
      </c>
      <c r="F27" s="11" t="s">
        <v>1656</v>
      </c>
      <c r="G27" s="10"/>
      <c r="H27" s="11" t="s">
        <v>11096</v>
      </c>
      <c r="I27" s="10"/>
      <c r="J27" s="536" t="s">
        <v>11146</v>
      </c>
      <c r="K27" s="536">
        <v>6732.0</v>
      </c>
    </row>
    <row r="28" hidden="1">
      <c r="A28" s="531" t="s">
        <v>11147</v>
      </c>
      <c r="B28" s="539"/>
      <c r="C28" s="11" t="s">
        <v>11095</v>
      </c>
      <c r="D28" s="533">
        <v>0.75</v>
      </c>
      <c r="E28" s="533">
        <v>0.75</v>
      </c>
      <c r="F28" s="11" t="s">
        <v>1656</v>
      </c>
      <c r="G28" s="10"/>
      <c r="H28" s="11" t="s">
        <v>11096</v>
      </c>
      <c r="I28" s="10"/>
      <c r="J28" s="536" t="s">
        <v>11148</v>
      </c>
      <c r="K28" s="540"/>
    </row>
    <row r="29" hidden="1">
      <c r="A29" s="531" t="s">
        <v>11149</v>
      </c>
      <c r="B29" s="532"/>
      <c r="C29" s="11" t="s">
        <v>11095</v>
      </c>
      <c r="D29" s="533">
        <v>0.75</v>
      </c>
      <c r="E29" s="533">
        <v>0.75</v>
      </c>
      <c r="F29" s="11" t="s">
        <v>1656</v>
      </c>
      <c r="G29" s="10"/>
      <c r="H29" s="11" t="s">
        <v>11096</v>
      </c>
      <c r="I29" s="10"/>
      <c r="J29" s="536" t="s">
        <v>11150</v>
      </c>
      <c r="K29" s="536">
        <v>7142.0</v>
      </c>
    </row>
    <row r="30" hidden="1">
      <c r="A30" s="531" t="s">
        <v>11151</v>
      </c>
      <c r="B30" s="532"/>
      <c r="C30" s="11" t="s">
        <v>11095</v>
      </c>
      <c r="D30" s="533">
        <v>0.75</v>
      </c>
      <c r="E30" s="533">
        <v>0.75</v>
      </c>
      <c r="F30" s="11" t="s">
        <v>1656</v>
      </c>
      <c r="G30" s="10"/>
      <c r="H30" s="11" t="s">
        <v>11096</v>
      </c>
      <c r="I30" s="10"/>
      <c r="J30" s="536" t="s">
        <v>11152</v>
      </c>
      <c r="K30" s="536">
        <v>14337.0</v>
      </c>
    </row>
    <row r="31" hidden="1">
      <c r="A31" s="531" t="s">
        <v>11153</v>
      </c>
      <c r="B31" s="532"/>
      <c r="C31" s="11" t="s">
        <v>11095</v>
      </c>
      <c r="D31" s="533">
        <v>0.75</v>
      </c>
      <c r="E31" s="533">
        <v>0.75</v>
      </c>
      <c r="F31" s="11" t="s">
        <v>1656</v>
      </c>
      <c r="G31" s="10"/>
      <c r="H31" s="11" t="s">
        <v>11096</v>
      </c>
      <c r="I31" s="10"/>
      <c r="J31" s="536" t="s">
        <v>11154</v>
      </c>
      <c r="K31" s="536">
        <v>7100.0</v>
      </c>
    </row>
    <row r="32" hidden="1">
      <c r="A32" s="531" t="s">
        <v>11155</v>
      </c>
      <c r="B32" s="532"/>
      <c r="C32" s="11" t="s">
        <v>11095</v>
      </c>
      <c r="D32" s="533">
        <v>0.75</v>
      </c>
      <c r="E32" s="533">
        <v>0.75</v>
      </c>
      <c r="F32" s="11" t="s">
        <v>1656</v>
      </c>
      <c r="G32" s="10"/>
      <c r="H32" s="11" t="s">
        <v>11096</v>
      </c>
      <c r="I32" s="10"/>
      <c r="J32" s="536" t="s">
        <v>11156</v>
      </c>
      <c r="K32" s="536">
        <v>14529.0</v>
      </c>
    </row>
    <row r="33" hidden="1">
      <c r="A33" s="531" t="s">
        <v>11157</v>
      </c>
      <c r="B33" s="532"/>
      <c r="C33" s="11" t="s">
        <v>11095</v>
      </c>
      <c r="D33" s="533">
        <v>0.75</v>
      </c>
      <c r="E33" s="533">
        <v>0.75</v>
      </c>
      <c r="F33" s="11" t="s">
        <v>1656</v>
      </c>
      <c r="G33" s="10"/>
      <c r="H33" s="11" t="s">
        <v>11096</v>
      </c>
      <c r="I33" s="10"/>
      <c r="J33" s="536" t="s">
        <v>11158</v>
      </c>
      <c r="K33" s="536">
        <v>663.0</v>
      </c>
    </row>
    <row r="34" hidden="1">
      <c r="A34" s="531" t="s">
        <v>11159</v>
      </c>
      <c r="B34" s="532"/>
      <c r="C34" s="11" t="s">
        <v>11095</v>
      </c>
      <c r="D34" s="533">
        <v>0.75</v>
      </c>
      <c r="E34" s="533">
        <v>0.75</v>
      </c>
      <c r="F34" s="11" t="s">
        <v>1656</v>
      </c>
      <c r="G34" s="10"/>
      <c r="H34" s="11" t="s">
        <v>11096</v>
      </c>
      <c r="I34" s="10"/>
      <c r="J34" s="536" t="s">
        <v>11160</v>
      </c>
      <c r="K34" s="536">
        <v>663.0</v>
      </c>
    </row>
    <row r="35" hidden="1">
      <c r="A35" s="531" t="s">
        <v>11161</v>
      </c>
      <c r="B35" s="539"/>
      <c r="C35" s="11" t="s">
        <v>11095</v>
      </c>
      <c r="D35" s="533">
        <v>0.75</v>
      </c>
      <c r="E35" s="533">
        <v>0.75</v>
      </c>
      <c r="F35" s="11" t="s">
        <v>1656</v>
      </c>
      <c r="G35" s="10"/>
      <c r="H35" s="11" t="s">
        <v>11096</v>
      </c>
      <c r="I35" s="10"/>
      <c r="J35" s="536" t="s">
        <v>11162</v>
      </c>
      <c r="K35" s="540">
        <v>189.0</v>
      </c>
    </row>
    <row r="36" hidden="1">
      <c r="A36" s="531" t="s">
        <v>11163</v>
      </c>
      <c r="B36" s="532"/>
      <c r="C36" s="11" t="s">
        <v>11095</v>
      </c>
      <c r="D36" s="533">
        <v>0.75</v>
      </c>
      <c r="E36" s="533">
        <v>0.75</v>
      </c>
      <c r="F36" s="11" t="s">
        <v>1656</v>
      </c>
      <c r="G36" s="10"/>
      <c r="H36" s="11" t="s">
        <v>11096</v>
      </c>
      <c r="I36" s="10"/>
      <c r="J36" s="536" t="s">
        <v>11164</v>
      </c>
      <c r="K36" s="536">
        <v>663.0</v>
      </c>
    </row>
    <row r="37" hidden="1">
      <c r="A37" s="531" t="s">
        <v>11165</v>
      </c>
      <c r="B37" s="532"/>
      <c r="C37" s="11" t="s">
        <v>11095</v>
      </c>
      <c r="D37" s="533">
        <v>0.75</v>
      </c>
      <c r="E37" s="533">
        <v>0.75</v>
      </c>
      <c r="F37" s="11" t="s">
        <v>1656</v>
      </c>
      <c r="G37" s="10"/>
      <c r="H37" s="11" t="s">
        <v>11096</v>
      </c>
      <c r="I37" s="10"/>
      <c r="J37" s="536" t="s">
        <v>11166</v>
      </c>
      <c r="K37" s="536">
        <v>189.0</v>
      </c>
    </row>
    <row r="38" hidden="1">
      <c r="A38" s="531" t="s">
        <v>11167</v>
      </c>
      <c r="B38" s="539"/>
      <c r="C38" s="11" t="s">
        <v>11095</v>
      </c>
      <c r="D38" s="533">
        <v>0.75</v>
      </c>
      <c r="E38" s="533">
        <v>0.75</v>
      </c>
      <c r="F38" s="11" t="s">
        <v>1656</v>
      </c>
      <c r="G38" s="10"/>
      <c r="H38" s="11" t="s">
        <v>11096</v>
      </c>
      <c r="I38" s="10"/>
      <c r="J38" s="536" t="s">
        <v>11168</v>
      </c>
      <c r="K38" s="540">
        <v>663.0</v>
      </c>
    </row>
    <row r="39" hidden="1">
      <c r="A39" s="531" t="s">
        <v>11169</v>
      </c>
      <c r="B39" s="532"/>
      <c r="C39" s="11" t="s">
        <v>11095</v>
      </c>
      <c r="D39" s="533">
        <v>0.75</v>
      </c>
      <c r="E39" s="533">
        <v>0.75</v>
      </c>
      <c r="F39" s="11" t="s">
        <v>1656</v>
      </c>
      <c r="G39" s="10"/>
      <c r="H39" s="11" t="s">
        <v>11096</v>
      </c>
      <c r="I39" s="10"/>
      <c r="J39" s="536" t="s">
        <v>11170</v>
      </c>
      <c r="K39" s="536">
        <v>663.0</v>
      </c>
    </row>
    <row r="40" hidden="1">
      <c r="A40" s="531" t="s">
        <v>11171</v>
      </c>
      <c r="B40" s="539"/>
      <c r="C40" s="11" t="s">
        <v>11095</v>
      </c>
      <c r="D40" s="533">
        <v>0.75</v>
      </c>
      <c r="E40" s="533">
        <v>0.75</v>
      </c>
      <c r="F40" s="11" t="s">
        <v>1656</v>
      </c>
      <c r="G40" s="10"/>
      <c r="H40" s="11" t="s">
        <v>11096</v>
      </c>
      <c r="I40" s="10"/>
      <c r="J40" s="536" t="s">
        <v>11172</v>
      </c>
      <c r="K40" s="540">
        <v>5458.0</v>
      </c>
    </row>
    <row r="41" hidden="1">
      <c r="A41" s="531" t="s">
        <v>11173</v>
      </c>
      <c r="B41" s="532"/>
      <c r="C41" s="11" t="s">
        <v>11095</v>
      </c>
      <c r="D41" s="533">
        <v>0.75</v>
      </c>
      <c r="E41" s="533">
        <v>0.75</v>
      </c>
      <c r="F41" s="11" t="s">
        <v>1656</v>
      </c>
      <c r="G41" s="10"/>
      <c r="H41" s="11" t="s">
        <v>11096</v>
      </c>
      <c r="I41" s="10"/>
      <c r="J41" s="536" t="s">
        <v>11174</v>
      </c>
      <c r="K41" s="536">
        <v>663.0</v>
      </c>
    </row>
    <row r="42" hidden="1">
      <c r="A42" s="531" t="s">
        <v>11175</v>
      </c>
      <c r="B42" s="532"/>
      <c r="C42" s="11" t="s">
        <v>11095</v>
      </c>
      <c r="D42" s="533">
        <v>0.75</v>
      </c>
      <c r="E42" s="533">
        <v>0.75</v>
      </c>
      <c r="F42" s="11" t="s">
        <v>1656</v>
      </c>
      <c r="G42" s="10"/>
      <c r="H42" s="11" t="s">
        <v>11096</v>
      </c>
      <c r="I42" s="10"/>
      <c r="J42" s="536" t="s">
        <v>11176</v>
      </c>
      <c r="K42" s="536">
        <v>5458.0</v>
      </c>
    </row>
    <row r="43" hidden="1">
      <c r="A43" s="531" t="s">
        <v>11177</v>
      </c>
      <c r="B43" s="532"/>
      <c r="C43" s="11" t="s">
        <v>11095</v>
      </c>
      <c r="D43" s="533">
        <v>0.75</v>
      </c>
      <c r="E43" s="533">
        <v>0.75</v>
      </c>
      <c r="F43" s="11" t="s">
        <v>1656</v>
      </c>
      <c r="G43" s="10"/>
      <c r="H43" s="11" t="s">
        <v>11096</v>
      </c>
      <c r="I43" s="10"/>
      <c r="J43" s="536" t="s">
        <v>11178</v>
      </c>
      <c r="K43" s="536">
        <v>5458.0</v>
      </c>
    </row>
    <row r="44" hidden="1">
      <c r="A44" s="531" t="s">
        <v>11179</v>
      </c>
      <c r="B44" s="532"/>
      <c r="C44" s="11" t="s">
        <v>11095</v>
      </c>
      <c r="D44" s="533">
        <v>0.75</v>
      </c>
      <c r="E44" s="533">
        <v>0.75</v>
      </c>
      <c r="F44" s="11" t="s">
        <v>1656</v>
      </c>
      <c r="G44" s="10"/>
      <c r="H44" s="11" t="s">
        <v>11096</v>
      </c>
      <c r="I44" s="10"/>
      <c r="J44" s="536" t="s">
        <v>11180</v>
      </c>
      <c r="K44" s="536">
        <v>5458.0</v>
      </c>
    </row>
    <row r="45" hidden="1">
      <c r="A45" s="531" t="s">
        <v>11181</v>
      </c>
      <c r="B45" s="532"/>
      <c r="C45" s="11" t="s">
        <v>11095</v>
      </c>
      <c r="D45" s="533">
        <v>0.75</v>
      </c>
      <c r="E45" s="533">
        <v>0.75</v>
      </c>
      <c r="F45" s="11" t="s">
        <v>1656</v>
      </c>
      <c r="G45" s="10"/>
      <c r="H45" s="11" t="s">
        <v>11096</v>
      </c>
      <c r="I45" s="10"/>
      <c r="J45" s="536" t="s">
        <v>11182</v>
      </c>
      <c r="K45" s="536">
        <v>5458.0</v>
      </c>
    </row>
    <row r="46" hidden="1">
      <c r="A46" s="531" t="s">
        <v>11183</v>
      </c>
      <c r="B46" s="539"/>
      <c r="C46" s="11" t="s">
        <v>11095</v>
      </c>
      <c r="D46" s="533">
        <v>0.75</v>
      </c>
      <c r="E46" s="533">
        <v>0.75</v>
      </c>
      <c r="F46" s="11" t="s">
        <v>1656</v>
      </c>
      <c r="G46" s="10"/>
      <c r="H46" s="11" t="s">
        <v>11096</v>
      </c>
      <c r="I46" s="10"/>
      <c r="J46" s="536" t="s">
        <v>11184</v>
      </c>
      <c r="K46" s="540">
        <v>5458.0</v>
      </c>
    </row>
    <row r="47" hidden="1">
      <c r="A47" s="531" t="s">
        <v>11185</v>
      </c>
      <c r="B47" s="539"/>
      <c r="C47" s="11" t="s">
        <v>11095</v>
      </c>
      <c r="D47" s="533">
        <v>0.75</v>
      </c>
      <c r="E47" s="533">
        <v>0.75</v>
      </c>
      <c r="F47" s="11" t="s">
        <v>1656</v>
      </c>
      <c r="G47" s="10"/>
      <c r="H47" s="11" t="s">
        <v>11096</v>
      </c>
      <c r="I47" s="10"/>
      <c r="J47" s="536" t="s">
        <v>11186</v>
      </c>
      <c r="K47" s="540">
        <v>6132.0</v>
      </c>
    </row>
    <row r="48" hidden="1">
      <c r="A48" s="531" t="s">
        <v>11187</v>
      </c>
      <c r="B48" s="539"/>
      <c r="C48" s="11" t="s">
        <v>11095</v>
      </c>
      <c r="D48" s="533">
        <v>0.75</v>
      </c>
      <c r="E48" s="533">
        <v>0.75</v>
      </c>
      <c r="F48" s="11" t="s">
        <v>1656</v>
      </c>
      <c r="G48" s="10"/>
      <c r="H48" s="11" t="s">
        <v>11096</v>
      </c>
      <c r="I48" s="10"/>
      <c r="J48" s="536" t="s">
        <v>11188</v>
      </c>
      <c r="K48" s="540">
        <v>5458.0</v>
      </c>
    </row>
    <row r="49" hidden="1">
      <c r="A49" s="531" t="s">
        <v>11189</v>
      </c>
      <c r="B49" s="539"/>
      <c r="C49" s="11" t="s">
        <v>11095</v>
      </c>
      <c r="D49" s="533">
        <v>0.75</v>
      </c>
      <c r="E49" s="533">
        <v>0.75</v>
      </c>
      <c r="F49" s="11" t="s">
        <v>1656</v>
      </c>
      <c r="G49" s="10"/>
      <c r="H49" s="11" t="s">
        <v>11096</v>
      </c>
      <c r="I49" s="10"/>
      <c r="J49" s="536" t="s">
        <v>11190</v>
      </c>
      <c r="K49" s="540">
        <v>5458.0</v>
      </c>
    </row>
    <row r="50" hidden="1">
      <c r="A50" s="531" t="s">
        <v>11191</v>
      </c>
      <c r="B50" s="532"/>
      <c r="C50" s="11" t="s">
        <v>11095</v>
      </c>
      <c r="D50" s="533">
        <v>0.75</v>
      </c>
      <c r="E50" s="533">
        <v>0.75</v>
      </c>
      <c r="F50" s="11" t="s">
        <v>1656</v>
      </c>
      <c r="G50" s="10"/>
      <c r="H50" s="11" t="s">
        <v>11096</v>
      </c>
      <c r="I50" s="10"/>
      <c r="J50" s="536" t="s">
        <v>11192</v>
      </c>
      <c r="K50" s="536">
        <v>5458.0</v>
      </c>
    </row>
    <row r="51" hidden="1">
      <c r="A51" s="531" t="s">
        <v>11193</v>
      </c>
      <c r="B51" s="532"/>
      <c r="C51" s="11" t="s">
        <v>11095</v>
      </c>
      <c r="D51" s="533">
        <v>0.75</v>
      </c>
      <c r="E51" s="533">
        <v>0.75</v>
      </c>
      <c r="F51" s="11" t="s">
        <v>1656</v>
      </c>
      <c r="G51" s="10"/>
      <c r="H51" s="11" t="s">
        <v>11096</v>
      </c>
      <c r="I51" s="10"/>
      <c r="J51" s="536" t="s">
        <v>11194</v>
      </c>
      <c r="K51" s="536">
        <v>986.0</v>
      </c>
    </row>
    <row r="52" hidden="1">
      <c r="A52" s="531" t="s">
        <v>11195</v>
      </c>
      <c r="B52" s="532"/>
      <c r="C52" s="11" t="s">
        <v>11095</v>
      </c>
      <c r="D52" s="533">
        <v>0.75</v>
      </c>
      <c r="E52" s="533">
        <v>0.75</v>
      </c>
      <c r="F52" s="11" t="s">
        <v>1656</v>
      </c>
      <c r="G52" s="10"/>
      <c r="H52" s="11" t="s">
        <v>11096</v>
      </c>
      <c r="I52" s="10"/>
      <c r="J52" s="536" t="s">
        <v>11196</v>
      </c>
      <c r="K52" s="536">
        <v>6658.0</v>
      </c>
    </row>
    <row r="53" hidden="1">
      <c r="A53" s="531" t="s">
        <v>11197</v>
      </c>
      <c r="B53" s="532"/>
      <c r="C53" s="11" t="s">
        <v>11095</v>
      </c>
      <c r="D53" s="533">
        <v>0.75</v>
      </c>
      <c r="E53" s="533">
        <v>0.75</v>
      </c>
      <c r="F53" s="11" t="s">
        <v>1656</v>
      </c>
      <c r="G53" s="10"/>
      <c r="H53" s="11" t="s">
        <v>11096</v>
      </c>
      <c r="I53" s="10"/>
      <c r="J53" s="536" t="s">
        <v>11198</v>
      </c>
      <c r="K53" s="536">
        <v>6824.0</v>
      </c>
    </row>
    <row r="54" hidden="1">
      <c r="A54" s="531" t="s">
        <v>11199</v>
      </c>
      <c r="B54" s="532"/>
      <c r="C54" s="11" t="s">
        <v>11095</v>
      </c>
      <c r="D54" s="533">
        <v>0.75</v>
      </c>
      <c r="E54" s="533">
        <v>0.75</v>
      </c>
      <c r="F54" s="11" t="s">
        <v>1656</v>
      </c>
      <c r="G54" s="10"/>
      <c r="H54" s="11" t="s">
        <v>11096</v>
      </c>
      <c r="I54" s="10"/>
      <c r="J54" s="536" t="s">
        <v>11200</v>
      </c>
      <c r="K54" s="536">
        <v>6106.0</v>
      </c>
    </row>
    <row r="55" hidden="1">
      <c r="A55" s="531" t="s">
        <v>11201</v>
      </c>
      <c r="B55" s="539"/>
      <c r="C55" s="11" t="s">
        <v>11095</v>
      </c>
      <c r="D55" s="533">
        <v>0.75</v>
      </c>
      <c r="E55" s="533">
        <v>0.75</v>
      </c>
      <c r="F55" s="11" t="s">
        <v>1656</v>
      </c>
      <c r="G55" s="10"/>
      <c r="H55" s="11" t="s">
        <v>11096</v>
      </c>
      <c r="I55" s="10"/>
      <c r="J55" s="536" t="s">
        <v>11202</v>
      </c>
      <c r="K55" s="540">
        <v>6658.0</v>
      </c>
    </row>
    <row r="56" hidden="1">
      <c r="A56" s="531" t="s">
        <v>11203</v>
      </c>
      <c r="B56" s="532"/>
      <c r="C56" s="11" t="s">
        <v>11095</v>
      </c>
      <c r="D56" s="533">
        <v>0.75</v>
      </c>
      <c r="E56" s="533">
        <v>0.75</v>
      </c>
      <c r="F56" s="11" t="s">
        <v>1656</v>
      </c>
      <c r="G56" s="10"/>
      <c r="H56" s="11" t="s">
        <v>11096</v>
      </c>
      <c r="I56" s="10"/>
      <c r="J56" s="536" t="s">
        <v>11204</v>
      </c>
      <c r="K56" s="536">
        <v>2345.0</v>
      </c>
    </row>
    <row r="57" hidden="1">
      <c r="A57" s="531" t="s">
        <v>11205</v>
      </c>
      <c r="B57" s="539"/>
      <c r="C57" s="11" t="s">
        <v>11095</v>
      </c>
      <c r="D57" s="533">
        <v>0.75</v>
      </c>
      <c r="E57" s="533">
        <v>0.75</v>
      </c>
      <c r="F57" s="11" t="s">
        <v>1656</v>
      </c>
      <c r="G57" s="10"/>
      <c r="H57" s="11" t="s">
        <v>11096</v>
      </c>
      <c r="I57" s="10"/>
      <c r="J57" s="536" t="s">
        <v>11206</v>
      </c>
      <c r="K57" s="540">
        <v>6463.0</v>
      </c>
    </row>
    <row r="58" hidden="1">
      <c r="A58" s="531" t="s">
        <v>11207</v>
      </c>
      <c r="B58" s="532"/>
      <c r="C58" s="11" t="s">
        <v>11095</v>
      </c>
      <c r="D58" s="533">
        <v>0.75</v>
      </c>
      <c r="E58" s="533">
        <v>0.75</v>
      </c>
      <c r="F58" s="11" t="s">
        <v>1656</v>
      </c>
      <c r="G58" s="10"/>
      <c r="H58" s="11" t="s">
        <v>11096</v>
      </c>
      <c r="I58" s="10"/>
      <c r="J58" s="536" t="s">
        <v>11208</v>
      </c>
      <c r="K58" s="536">
        <v>2345.0</v>
      </c>
    </row>
    <row r="59" hidden="1">
      <c r="A59" s="531" t="s">
        <v>11209</v>
      </c>
      <c r="B59" s="532"/>
      <c r="C59" s="11" t="s">
        <v>11095</v>
      </c>
      <c r="D59" s="533">
        <v>0.75</v>
      </c>
      <c r="E59" s="533">
        <v>0.75</v>
      </c>
      <c r="F59" s="11" t="s">
        <v>1656</v>
      </c>
      <c r="G59" s="10"/>
      <c r="H59" s="11" t="s">
        <v>11096</v>
      </c>
      <c r="I59" s="10"/>
      <c r="J59" s="536" t="s">
        <v>11210</v>
      </c>
      <c r="K59" s="536">
        <v>6539.0</v>
      </c>
    </row>
    <row r="60" hidden="1">
      <c r="A60" s="531" t="s">
        <v>11211</v>
      </c>
      <c r="B60" s="532"/>
      <c r="C60" s="11" t="s">
        <v>11095</v>
      </c>
      <c r="D60" s="533">
        <v>0.75</v>
      </c>
      <c r="E60" s="533">
        <v>0.75</v>
      </c>
      <c r="F60" s="11" t="s">
        <v>1656</v>
      </c>
      <c r="G60" s="10"/>
      <c r="H60" s="11" t="s">
        <v>11096</v>
      </c>
      <c r="I60" s="10"/>
      <c r="J60" s="536" t="s">
        <v>11212</v>
      </c>
      <c r="K60" s="536">
        <v>6732.0</v>
      </c>
    </row>
    <row r="61" hidden="1">
      <c r="A61" s="531" t="s">
        <v>11213</v>
      </c>
      <c r="B61" s="532"/>
      <c r="C61" s="11" t="s">
        <v>11095</v>
      </c>
      <c r="D61" s="533">
        <v>0.75</v>
      </c>
      <c r="E61" s="533">
        <v>0.75</v>
      </c>
      <c r="F61" s="11" t="s">
        <v>1656</v>
      </c>
      <c r="G61" s="10"/>
      <c r="H61" s="11" t="s">
        <v>11096</v>
      </c>
      <c r="I61" s="10"/>
      <c r="J61" s="536" t="s">
        <v>11214</v>
      </c>
      <c r="K61" s="536">
        <v>12609.0</v>
      </c>
    </row>
    <row r="62" hidden="1">
      <c r="A62" s="531" t="s">
        <v>11215</v>
      </c>
      <c r="B62" s="532"/>
      <c r="C62" s="11" t="s">
        <v>11095</v>
      </c>
      <c r="D62" s="533">
        <v>0.75</v>
      </c>
      <c r="E62" s="533">
        <v>0.75</v>
      </c>
      <c r="F62" s="11" t="s">
        <v>1656</v>
      </c>
      <c r="G62" s="10"/>
      <c r="H62" s="11" t="s">
        <v>11096</v>
      </c>
      <c r="I62" s="10"/>
      <c r="J62" s="536" t="s">
        <v>11216</v>
      </c>
      <c r="K62" s="536">
        <v>1334.0</v>
      </c>
    </row>
    <row r="63" hidden="1">
      <c r="A63" s="531" t="s">
        <v>11217</v>
      </c>
      <c r="B63" s="532"/>
      <c r="C63" s="11" t="s">
        <v>11095</v>
      </c>
      <c r="D63" s="533">
        <v>0.75</v>
      </c>
      <c r="E63" s="533">
        <v>0.75</v>
      </c>
      <c r="F63" s="11" t="s">
        <v>1656</v>
      </c>
      <c r="G63" s="10"/>
      <c r="H63" s="11" t="s">
        <v>11096</v>
      </c>
      <c r="I63" s="10"/>
      <c r="J63" s="536" t="s">
        <v>11218</v>
      </c>
      <c r="K63" s="536">
        <v>6732.0</v>
      </c>
    </row>
    <row r="64" hidden="1">
      <c r="A64" s="531" t="s">
        <v>11219</v>
      </c>
      <c r="B64" s="532"/>
      <c r="C64" s="11" t="s">
        <v>11095</v>
      </c>
      <c r="D64" s="533">
        <v>0.75</v>
      </c>
      <c r="E64" s="533">
        <v>0.75</v>
      </c>
      <c r="F64" s="11" t="s">
        <v>1656</v>
      </c>
      <c r="G64" s="10"/>
      <c r="H64" s="11" t="s">
        <v>11096</v>
      </c>
      <c r="I64" s="10"/>
      <c r="J64" s="536" t="s">
        <v>11220</v>
      </c>
      <c r="K64" s="536">
        <v>1334.0</v>
      </c>
    </row>
    <row r="65" hidden="1">
      <c r="A65" s="531" t="s">
        <v>11221</v>
      </c>
      <c r="B65" s="532"/>
      <c r="C65" s="11" t="s">
        <v>11095</v>
      </c>
      <c r="D65" s="533">
        <v>0.75</v>
      </c>
      <c r="E65" s="533">
        <v>0.75</v>
      </c>
      <c r="F65" s="11" t="s">
        <v>1656</v>
      </c>
      <c r="G65" s="10"/>
      <c r="H65" s="11" t="s">
        <v>11096</v>
      </c>
      <c r="I65" s="10"/>
      <c r="J65" s="536" t="s">
        <v>11222</v>
      </c>
      <c r="K65" s="536">
        <v>1334.0</v>
      </c>
    </row>
    <row r="66" hidden="1">
      <c r="A66" s="531" t="s">
        <v>11223</v>
      </c>
      <c r="B66" s="532"/>
      <c r="C66" s="11" t="s">
        <v>11095</v>
      </c>
      <c r="D66" s="533">
        <v>0.75</v>
      </c>
      <c r="E66" s="533">
        <v>0.75</v>
      </c>
      <c r="F66" s="11" t="s">
        <v>1656</v>
      </c>
      <c r="G66" s="10"/>
      <c r="H66" s="11" t="s">
        <v>11096</v>
      </c>
      <c r="I66" s="10"/>
      <c r="J66" s="536" t="s">
        <v>11224</v>
      </c>
      <c r="K66" s="536">
        <v>6658.0</v>
      </c>
    </row>
    <row r="67" hidden="1">
      <c r="A67" s="531" t="s">
        <v>11225</v>
      </c>
      <c r="B67" s="532"/>
      <c r="C67" s="11" t="s">
        <v>11095</v>
      </c>
      <c r="D67" s="533">
        <v>0.75</v>
      </c>
      <c r="E67" s="533">
        <v>0.75</v>
      </c>
      <c r="F67" s="11" t="s">
        <v>1656</v>
      </c>
      <c r="G67" s="10"/>
      <c r="H67" s="11" t="s">
        <v>11096</v>
      </c>
      <c r="I67" s="10"/>
      <c r="J67" s="536" t="s">
        <v>11226</v>
      </c>
      <c r="K67" s="536">
        <v>4933.0</v>
      </c>
    </row>
    <row r="68" hidden="1">
      <c r="A68" s="531" t="s">
        <v>11227</v>
      </c>
      <c r="B68" s="532"/>
      <c r="C68" s="11" t="s">
        <v>11095</v>
      </c>
      <c r="D68" s="533">
        <v>0.75</v>
      </c>
      <c r="E68" s="533">
        <v>0.75</v>
      </c>
      <c r="F68" s="11" t="s">
        <v>1656</v>
      </c>
      <c r="G68" s="10"/>
      <c r="H68" s="11" t="s">
        <v>11096</v>
      </c>
      <c r="I68" s="10"/>
      <c r="J68" s="536" t="s">
        <v>11228</v>
      </c>
      <c r="K68" s="536">
        <v>4933.0</v>
      </c>
    </row>
    <row r="69" hidden="1">
      <c r="A69" s="531" t="s">
        <v>11229</v>
      </c>
      <c r="B69" s="532"/>
      <c r="C69" s="11" t="s">
        <v>11095</v>
      </c>
      <c r="D69" s="533">
        <v>0.75</v>
      </c>
      <c r="E69" s="533">
        <v>0.75</v>
      </c>
      <c r="F69" s="11" t="s">
        <v>1656</v>
      </c>
      <c r="G69" s="10"/>
      <c r="H69" s="11" t="s">
        <v>11096</v>
      </c>
      <c r="I69" s="10"/>
      <c r="J69" s="536" t="s">
        <v>11230</v>
      </c>
      <c r="K69" s="536">
        <v>4933.0</v>
      </c>
    </row>
    <row r="70" hidden="1">
      <c r="A70" s="531" t="s">
        <v>11231</v>
      </c>
      <c r="B70" s="532"/>
      <c r="C70" s="11" t="s">
        <v>11095</v>
      </c>
      <c r="D70" s="533">
        <v>0.75</v>
      </c>
      <c r="E70" s="533">
        <v>0.75</v>
      </c>
      <c r="F70" s="11" t="s">
        <v>1656</v>
      </c>
      <c r="G70" s="10"/>
      <c r="H70" s="11" t="s">
        <v>11096</v>
      </c>
      <c r="I70" s="10"/>
      <c r="J70" s="536" t="s">
        <v>11232</v>
      </c>
      <c r="K70" s="536">
        <v>6732.0</v>
      </c>
    </row>
    <row r="71" hidden="1">
      <c r="A71" s="531" t="s">
        <v>11233</v>
      </c>
      <c r="B71" s="532"/>
      <c r="C71" s="11" t="s">
        <v>11095</v>
      </c>
      <c r="D71" s="533">
        <v>0.75</v>
      </c>
      <c r="E71" s="533">
        <v>0.75</v>
      </c>
      <c r="F71" s="11" t="s">
        <v>1656</v>
      </c>
      <c r="G71" s="10"/>
      <c r="H71" s="11" t="s">
        <v>11096</v>
      </c>
      <c r="I71" s="10"/>
      <c r="J71" s="536" t="s">
        <v>11234</v>
      </c>
      <c r="K71" s="536">
        <v>2345.0</v>
      </c>
    </row>
    <row r="72" hidden="1">
      <c r="A72" s="531" t="s">
        <v>11235</v>
      </c>
      <c r="B72" s="539"/>
      <c r="C72" s="11" t="s">
        <v>11095</v>
      </c>
      <c r="D72" s="533">
        <v>0.75</v>
      </c>
      <c r="E72" s="533">
        <v>0.75</v>
      </c>
      <c r="F72" s="11" t="s">
        <v>1656</v>
      </c>
      <c r="G72" s="10"/>
      <c r="H72" s="11" t="s">
        <v>11096</v>
      </c>
      <c r="I72" s="10"/>
      <c r="J72" s="536" t="s">
        <v>11236</v>
      </c>
      <c r="K72" s="540">
        <v>6732.0</v>
      </c>
    </row>
    <row r="73" hidden="1">
      <c r="A73" s="531" t="s">
        <v>11237</v>
      </c>
      <c r="B73" s="539"/>
      <c r="C73" s="11" t="s">
        <v>11095</v>
      </c>
      <c r="D73" s="533">
        <v>0.75</v>
      </c>
      <c r="E73" s="533">
        <v>0.75</v>
      </c>
      <c r="F73" s="11" t="s">
        <v>1656</v>
      </c>
      <c r="G73" s="10"/>
      <c r="H73" s="11" t="s">
        <v>11096</v>
      </c>
      <c r="I73" s="10"/>
      <c r="J73" s="536" t="s">
        <v>11238</v>
      </c>
      <c r="K73" s="540">
        <v>6732.0</v>
      </c>
    </row>
    <row r="74" hidden="1">
      <c r="A74" s="531" t="s">
        <v>11239</v>
      </c>
      <c r="B74" s="539"/>
      <c r="C74" s="11" t="s">
        <v>11095</v>
      </c>
      <c r="D74" s="533">
        <v>0.75</v>
      </c>
      <c r="E74" s="533">
        <v>0.75</v>
      </c>
      <c r="F74" s="11" t="s">
        <v>1656</v>
      </c>
      <c r="G74" s="10"/>
      <c r="H74" s="11" t="s">
        <v>11096</v>
      </c>
      <c r="I74" s="10"/>
      <c r="J74" s="536" t="s">
        <v>11240</v>
      </c>
      <c r="K74" s="540">
        <v>6732.0</v>
      </c>
    </row>
    <row r="75" hidden="1">
      <c r="A75" s="531" t="s">
        <v>11241</v>
      </c>
      <c r="B75" s="532"/>
      <c r="C75" s="11" t="s">
        <v>11095</v>
      </c>
      <c r="D75" s="533">
        <v>0.75</v>
      </c>
      <c r="E75" s="533">
        <v>0.75</v>
      </c>
      <c r="F75" s="11" t="s">
        <v>1656</v>
      </c>
      <c r="G75" s="10"/>
      <c r="H75" s="11" t="s">
        <v>11096</v>
      </c>
      <c r="I75" s="10"/>
      <c r="J75" s="536" t="s">
        <v>11242</v>
      </c>
      <c r="K75" s="536">
        <v>283.0</v>
      </c>
    </row>
    <row r="76" hidden="1">
      <c r="A76" s="531" t="s">
        <v>11243</v>
      </c>
      <c r="B76" s="539"/>
      <c r="C76" s="11" t="s">
        <v>11095</v>
      </c>
      <c r="D76" s="533">
        <v>0.75</v>
      </c>
      <c r="E76" s="533">
        <v>0.75</v>
      </c>
      <c r="F76" s="11" t="s">
        <v>1656</v>
      </c>
      <c r="G76" s="10"/>
      <c r="H76" s="11" t="s">
        <v>11096</v>
      </c>
      <c r="I76" s="10"/>
      <c r="J76" s="536" t="s">
        <v>11244</v>
      </c>
      <c r="K76" s="540">
        <v>283.0</v>
      </c>
    </row>
    <row r="77" hidden="1">
      <c r="A77" s="531" t="s">
        <v>11245</v>
      </c>
      <c r="B77" s="532"/>
      <c r="C77" s="11" t="s">
        <v>11095</v>
      </c>
      <c r="D77" s="533">
        <v>0.75</v>
      </c>
      <c r="E77" s="533">
        <v>0.75</v>
      </c>
      <c r="F77" s="11" t="s">
        <v>1656</v>
      </c>
      <c r="G77" s="10"/>
      <c r="H77" s="11" t="s">
        <v>11096</v>
      </c>
      <c r="I77" s="10"/>
      <c r="J77" s="536" t="s">
        <v>11246</v>
      </c>
      <c r="K77" s="536">
        <v>6811.0</v>
      </c>
    </row>
    <row r="78" hidden="1">
      <c r="A78" s="531" t="s">
        <v>11247</v>
      </c>
      <c r="B78" s="532"/>
      <c r="C78" s="11" t="s">
        <v>11095</v>
      </c>
      <c r="D78" s="533">
        <v>0.75</v>
      </c>
      <c r="E78" s="533">
        <v>0.75</v>
      </c>
      <c r="F78" s="11" t="s">
        <v>1656</v>
      </c>
      <c r="G78" s="10"/>
      <c r="H78" s="11" t="s">
        <v>11096</v>
      </c>
      <c r="I78" s="10"/>
      <c r="J78" s="536" t="s">
        <v>11248</v>
      </c>
      <c r="K78" s="536">
        <v>2345.0</v>
      </c>
    </row>
    <row r="79" hidden="1">
      <c r="A79" s="531" t="s">
        <v>11249</v>
      </c>
      <c r="B79" s="532"/>
      <c r="C79" s="11" t="s">
        <v>11095</v>
      </c>
      <c r="D79" s="533">
        <v>0.75</v>
      </c>
      <c r="E79" s="533">
        <v>0.75</v>
      </c>
      <c r="F79" s="11" t="s">
        <v>1656</v>
      </c>
      <c r="G79" s="10"/>
      <c r="H79" s="11" t="s">
        <v>11096</v>
      </c>
      <c r="I79" s="10"/>
      <c r="J79" s="536" t="s">
        <v>11250</v>
      </c>
      <c r="K79" s="536">
        <v>6727.0</v>
      </c>
    </row>
    <row r="80" hidden="1">
      <c r="A80" s="531" t="s">
        <v>11251</v>
      </c>
      <c r="B80" s="532"/>
      <c r="C80" s="11" t="s">
        <v>11095</v>
      </c>
      <c r="D80" s="533">
        <v>0.75</v>
      </c>
      <c r="E80" s="533">
        <v>0.75</v>
      </c>
      <c r="F80" s="11" t="s">
        <v>1656</v>
      </c>
      <c r="G80" s="10"/>
      <c r="H80" s="11" t="s">
        <v>11096</v>
      </c>
      <c r="I80" s="10"/>
      <c r="J80" s="536" t="s">
        <v>11252</v>
      </c>
      <c r="K80" s="536">
        <v>6732.0</v>
      </c>
    </row>
    <row r="81" hidden="1">
      <c r="A81" s="531" t="s">
        <v>11253</v>
      </c>
      <c r="B81" s="532"/>
      <c r="C81" s="11" t="s">
        <v>11095</v>
      </c>
      <c r="D81" s="533">
        <v>0.75</v>
      </c>
      <c r="E81" s="533">
        <v>0.75</v>
      </c>
      <c r="F81" s="11" t="s">
        <v>1656</v>
      </c>
      <c r="G81" s="10"/>
      <c r="H81" s="11" t="s">
        <v>11096</v>
      </c>
      <c r="I81" s="10"/>
      <c r="J81" s="536" t="s">
        <v>11254</v>
      </c>
      <c r="K81" s="536">
        <v>986.0</v>
      </c>
    </row>
    <row r="82" hidden="1">
      <c r="A82" s="531" t="s">
        <v>11255</v>
      </c>
      <c r="B82" s="532"/>
      <c r="C82" s="11" t="s">
        <v>11095</v>
      </c>
      <c r="D82" s="533">
        <v>0.75</v>
      </c>
      <c r="E82" s="533">
        <v>0.75</v>
      </c>
      <c r="F82" s="11" t="s">
        <v>1656</v>
      </c>
      <c r="G82" s="10"/>
      <c r="H82" s="11" t="s">
        <v>11096</v>
      </c>
      <c r="I82" s="10"/>
      <c r="J82" s="536" t="s">
        <v>11256</v>
      </c>
      <c r="K82" s="536">
        <v>986.0</v>
      </c>
    </row>
    <row r="83" hidden="1">
      <c r="A83" s="531" t="s">
        <v>11257</v>
      </c>
      <c r="B83" s="532"/>
      <c r="C83" s="11" t="s">
        <v>11095</v>
      </c>
      <c r="D83" s="533">
        <v>0.75</v>
      </c>
      <c r="E83" s="533">
        <v>0.75</v>
      </c>
      <c r="F83" s="11" t="s">
        <v>1656</v>
      </c>
      <c r="G83" s="10"/>
      <c r="H83" s="11" t="s">
        <v>11096</v>
      </c>
      <c r="I83" s="10"/>
      <c r="J83" s="536" t="s">
        <v>11258</v>
      </c>
      <c r="K83" s="536">
        <v>986.0</v>
      </c>
    </row>
    <row r="84" hidden="1">
      <c r="A84" s="531" t="s">
        <v>11259</v>
      </c>
      <c r="B84" s="532"/>
      <c r="C84" s="11" t="s">
        <v>11095</v>
      </c>
      <c r="D84" s="533">
        <v>0.75</v>
      </c>
      <c r="E84" s="533">
        <v>0.75</v>
      </c>
      <c r="F84" s="11" t="s">
        <v>1656</v>
      </c>
      <c r="G84" s="10"/>
      <c r="H84" s="11" t="s">
        <v>11096</v>
      </c>
      <c r="I84" s="10"/>
      <c r="J84" s="536" t="s">
        <v>11260</v>
      </c>
      <c r="K84" s="536">
        <v>2345.0</v>
      </c>
    </row>
    <row r="85" hidden="1">
      <c r="A85" s="531" t="s">
        <v>11261</v>
      </c>
      <c r="B85" s="532"/>
      <c r="C85" s="11" t="s">
        <v>11095</v>
      </c>
      <c r="D85" s="533">
        <v>0.75</v>
      </c>
      <c r="E85" s="533">
        <v>0.75</v>
      </c>
      <c r="F85" s="11" t="s">
        <v>1656</v>
      </c>
      <c r="G85" s="10"/>
      <c r="H85" s="11" t="s">
        <v>11096</v>
      </c>
      <c r="I85" s="10"/>
      <c r="J85" s="536" t="s">
        <v>11262</v>
      </c>
      <c r="K85" s="536">
        <v>2345.0</v>
      </c>
    </row>
    <row r="86" hidden="1">
      <c r="A86" s="531" t="s">
        <v>11263</v>
      </c>
      <c r="B86" s="539"/>
      <c r="C86" s="11" t="s">
        <v>11095</v>
      </c>
      <c r="D86" s="533">
        <v>0.75</v>
      </c>
      <c r="E86" s="533">
        <v>0.75</v>
      </c>
      <c r="F86" s="11" t="s">
        <v>1656</v>
      </c>
      <c r="G86" s="10"/>
      <c r="H86" s="11" t="s">
        <v>11096</v>
      </c>
      <c r="I86" s="10"/>
      <c r="J86" s="536" t="s">
        <v>11264</v>
      </c>
      <c r="K86" s="540">
        <v>986.0</v>
      </c>
    </row>
    <row r="87" hidden="1">
      <c r="A87" s="531" t="s">
        <v>11265</v>
      </c>
      <c r="B87" s="539"/>
      <c r="C87" s="11" t="s">
        <v>11095</v>
      </c>
      <c r="D87" s="533">
        <v>0.75</v>
      </c>
      <c r="E87" s="533">
        <v>0.75</v>
      </c>
      <c r="F87" s="11" t="s">
        <v>1656</v>
      </c>
      <c r="G87" s="10"/>
      <c r="H87" s="11" t="s">
        <v>11096</v>
      </c>
      <c r="I87" s="10"/>
      <c r="J87" s="536" t="s">
        <v>11266</v>
      </c>
      <c r="K87" s="540">
        <v>986.0</v>
      </c>
    </row>
    <row r="88" hidden="1">
      <c r="A88" s="531" t="s">
        <v>11267</v>
      </c>
      <c r="B88" s="539"/>
      <c r="C88" s="11" t="s">
        <v>11095</v>
      </c>
      <c r="D88" s="533">
        <v>0.75</v>
      </c>
      <c r="E88" s="533">
        <v>0.75</v>
      </c>
      <c r="F88" s="11" t="s">
        <v>1656</v>
      </c>
      <c r="G88" s="10"/>
      <c r="H88" s="11" t="s">
        <v>11096</v>
      </c>
      <c r="I88" s="10"/>
      <c r="J88" s="536" t="s">
        <v>11268</v>
      </c>
      <c r="K88" s="540">
        <v>986.0</v>
      </c>
    </row>
    <row r="89" hidden="1">
      <c r="A89" s="531" t="s">
        <v>11269</v>
      </c>
      <c r="B89" s="532"/>
      <c r="C89" s="11" t="s">
        <v>11095</v>
      </c>
      <c r="D89" s="533">
        <v>0.75</v>
      </c>
      <c r="E89" s="533">
        <v>0.75</v>
      </c>
      <c r="F89" s="11" t="s">
        <v>1656</v>
      </c>
      <c r="G89" s="10"/>
      <c r="H89" s="11" t="s">
        <v>11096</v>
      </c>
      <c r="I89" s="10"/>
      <c r="J89" s="536" t="s">
        <v>11270</v>
      </c>
      <c r="K89" s="536">
        <v>889.0</v>
      </c>
    </row>
    <row r="90" hidden="1">
      <c r="A90" s="531" t="s">
        <v>11271</v>
      </c>
      <c r="B90" s="539"/>
      <c r="C90" s="11" t="s">
        <v>11095</v>
      </c>
      <c r="D90" s="533">
        <v>0.75</v>
      </c>
      <c r="E90" s="533">
        <v>0.75</v>
      </c>
      <c r="F90" s="11" t="s">
        <v>1656</v>
      </c>
      <c r="G90" s="10"/>
      <c r="H90" s="11" t="s">
        <v>11096</v>
      </c>
      <c r="I90" s="10"/>
      <c r="J90" s="536" t="s">
        <v>11272</v>
      </c>
      <c r="K90" s="540">
        <v>986.0</v>
      </c>
    </row>
    <row r="91" hidden="1">
      <c r="A91" s="531" t="s">
        <v>11273</v>
      </c>
      <c r="B91" s="532"/>
      <c r="C91" s="11" t="s">
        <v>11095</v>
      </c>
      <c r="D91" s="533">
        <v>0.75</v>
      </c>
      <c r="E91" s="533">
        <v>0.75</v>
      </c>
      <c r="F91" s="11" t="s">
        <v>1656</v>
      </c>
      <c r="G91" s="10"/>
      <c r="H91" s="11" t="s">
        <v>11096</v>
      </c>
      <c r="I91" s="10"/>
      <c r="J91" s="536" t="s">
        <v>11274</v>
      </c>
      <c r="K91" s="536">
        <v>14593.0</v>
      </c>
    </row>
    <row r="92" hidden="1">
      <c r="A92" s="531" t="s">
        <v>11275</v>
      </c>
      <c r="B92" s="539"/>
      <c r="C92" s="11" t="s">
        <v>11095</v>
      </c>
      <c r="D92" s="533">
        <v>0.75</v>
      </c>
      <c r="E92" s="533">
        <v>0.75</v>
      </c>
      <c r="F92" s="11" t="s">
        <v>1656</v>
      </c>
      <c r="G92" s="10"/>
      <c r="H92" s="11" t="s">
        <v>11096</v>
      </c>
      <c r="I92" s="10"/>
      <c r="J92" s="536" t="s">
        <v>11276</v>
      </c>
      <c r="K92" s="540">
        <v>986.0</v>
      </c>
    </row>
    <row r="93" hidden="1">
      <c r="A93" s="531" t="s">
        <v>11277</v>
      </c>
      <c r="B93" s="539"/>
      <c r="C93" s="11" t="s">
        <v>11095</v>
      </c>
      <c r="D93" s="533">
        <v>0.75</v>
      </c>
      <c r="E93" s="533">
        <v>0.75</v>
      </c>
      <c r="F93" s="11" t="s">
        <v>1656</v>
      </c>
      <c r="G93" s="10"/>
      <c r="H93" s="11" t="s">
        <v>11096</v>
      </c>
      <c r="I93" s="10"/>
      <c r="J93" s="536" t="s">
        <v>11278</v>
      </c>
      <c r="K93" s="540">
        <v>986.0</v>
      </c>
    </row>
    <row r="94" hidden="1">
      <c r="A94" s="531" t="s">
        <v>11279</v>
      </c>
      <c r="B94" s="539"/>
      <c r="C94" s="11" t="s">
        <v>11095</v>
      </c>
      <c r="D94" s="533">
        <v>0.75</v>
      </c>
      <c r="E94" s="533">
        <v>0.75</v>
      </c>
      <c r="F94" s="11" t="s">
        <v>1656</v>
      </c>
      <c r="G94" s="10"/>
      <c r="H94" s="11" t="s">
        <v>11096</v>
      </c>
      <c r="I94" s="10"/>
      <c r="J94" s="536" t="s">
        <v>11280</v>
      </c>
      <c r="K94" s="540">
        <v>986.0</v>
      </c>
    </row>
    <row r="95" hidden="1">
      <c r="A95" s="531" t="s">
        <v>11281</v>
      </c>
      <c r="B95" s="532"/>
      <c r="C95" s="11" t="s">
        <v>11095</v>
      </c>
      <c r="D95" s="533">
        <v>0.75</v>
      </c>
      <c r="E95" s="533">
        <v>0.75</v>
      </c>
      <c r="F95" s="11" t="s">
        <v>1656</v>
      </c>
      <c r="G95" s="10"/>
      <c r="H95" s="11" t="s">
        <v>11096</v>
      </c>
      <c r="I95" s="10"/>
      <c r="J95" s="536" t="s">
        <v>11282</v>
      </c>
      <c r="K95" s="536">
        <v>986.0</v>
      </c>
    </row>
    <row r="96" hidden="1">
      <c r="A96" s="531" t="s">
        <v>11283</v>
      </c>
      <c r="B96" s="539"/>
      <c r="C96" s="11" t="s">
        <v>11095</v>
      </c>
      <c r="D96" s="533">
        <v>0.75</v>
      </c>
      <c r="E96" s="533">
        <v>0.75</v>
      </c>
      <c r="F96" s="11" t="s">
        <v>1656</v>
      </c>
      <c r="G96" s="10"/>
      <c r="H96" s="11" t="s">
        <v>11096</v>
      </c>
      <c r="I96" s="10"/>
      <c r="J96" s="536" t="s">
        <v>11284</v>
      </c>
      <c r="K96" s="540">
        <v>6712.0</v>
      </c>
    </row>
    <row r="97" hidden="1">
      <c r="A97" s="531" t="s">
        <v>11285</v>
      </c>
      <c r="B97" s="532"/>
      <c r="C97" s="11" t="s">
        <v>11095</v>
      </c>
      <c r="D97" s="533">
        <v>0.75</v>
      </c>
      <c r="E97" s="533">
        <v>0.75</v>
      </c>
      <c r="F97" s="11" t="s">
        <v>1656</v>
      </c>
      <c r="G97" s="10"/>
      <c r="H97" s="11" t="s">
        <v>11096</v>
      </c>
      <c r="I97" s="10"/>
      <c r="J97" s="536" t="s">
        <v>11286</v>
      </c>
      <c r="K97" s="536">
        <v>6712.0</v>
      </c>
    </row>
    <row r="98" hidden="1">
      <c r="A98" s="531" t="s">
        <v>11287</v>
      </c>
      <c r="B98" s="532"/>
      <c r="C98" s="11" t="s">
        <v>11095</v>
      </c>
      <c r="D98" s="533">
        <v>0.75</v>
      </c>
      <c r="E98" s="533">
        <v>0.75</v>
      </c>
      <c r="F98" s="11" t="s">
        <v>1656</v>
      </c>
      <c r="G98" s="10"/>
      <c r="H98" s="11" t="s">
        <v>11096</v>
      </c>
      <c r="I98" s="10"/>
      <c r="J98" s="536" t="s">
        <v>11288</v>
      </c>
      <c r="K98" s="536">
        <v>2345.0</v>
      </c>
    </row>
    <row r="99" hidden="1">
      <c r="A99" s="531" t="s">
        <v>11289</v>
      </c>
      <c r="B99" s="532"/>
      <c r="C99" s="11" t="s">
        <v>11095</v>
      </c>
      <c r="D99" s="533">
        <v>0.75</v>
      </c>
      <c r="E99" s="533">
        <v>0.75</v>
      </c>
      <c r="F99" s="11" t="s">
        <v>1656</v>
      </c>
      <c r="G99" s="10"/>
      <c r="H99" s="11" t="s">
        <v>11096</v>
      </c>
      <c r="I99" s="10"/>
      <c r="J99" s="536" t="s">
        <v>11290</v>
      </c>
      <c r="K99" s="536">
        <v>2345.0</v>
      </c>
    </row>
    <row r="100" hidden="1">
      <c r="A100" s="531" t="s">
        <v>11291</v>
      </c>
      <c r="B100" s="539"/>
      <c r="C100" s="11" t="s">
        <v>11095</v>
      </c>
      <c r="D100" s="533">
        <v>0.75</v>
      </c>
      <c r="E100" s="533">
        <v>0.75</v>
      </c>
      <c r="F100" s="11" t="s">
        <v>1656</v>
      </c>
      <c r="G100" s="10"/>
      <c r="H100" s="11" t="s">
        <v>11096</v>
      </c>
      <c r="I100" s="10"/>
      <c r="J100" s="536" t="s">
        <v>11292</v>
      </c>
      <c r="K100" s="540">
        <v>6629.0</v>
      </c>
    </row>
    <row r="101" hidden="1">
      <c r="A101" s="531" t="s">
        <v>11293</v>
      </c>
      <c r="B101" s="539"/>
      <c r="C101" s="11" t="s">
        <v>11095</v>
      </c>
      <c r="D101" s="533">
        <v>0.75</v>
      </c>
      <c r="E101" s="533">
        <v>0.75</v>
      </c>
      <c r="F101" s="11" t="s">
        <v>1656</v>
      </c>
      <c r="G101" s="10"/>
      <c r="H101" s="11" t="s">
        <v>11096</v>
      </c>
      <c r="I101" s="10"/>
      <c r="J101" s="536" t="s">
        <v>11294</v>
      </c>
      <c r="K101" s="540">
        <v>6629.0</v>
      </c>
    </row>
    <row r="102" hidden="1">
      <c r="A102" s="531" t="s">
        <v>11295</v>
      </c>
      <c r="B102" s="531">
        <v>9843.0</v>
      </c>
      <c r="C102" s="11" t="s">
        <v>11095</v>
      </c>
      <c r="D102" s="533">
        <v>0.75</v>
      </c>
      <c r="E102" s="533">
        <v>0.75</v>
      </c>
      <c r="F102" s="11" t="s">
        <v>1656</v>
      </c>
      <c r="G102" s="10"/>
      <c r="H102" s="11" t="s">
        <v>11096</v>
      </c>
      <c r="I102" s="10"/>
      <c r="J102" s="536" t="s">
        <v>11296</v>
      </c>
      <c r="K102" s="540">
        <v>6629.0</v>
      </c>
    </row>
    <row r="103" hidden="1">
      <c r="A103" s="531" t="s">
        <v>11297</v>
      </c>
      <c r="B103" s="531">
        <v>14079.0</v>
      </c>
      <c r="C103" s="11" t="s">
        <v>11298</v>
      </c>
      <c r="D103" s="533">
        <v>0.75</v>
      </c>
      <c r="E103" s="533">
        <v>0.75</v>
      </c>
      <c r="F103" s="11" t="s">
        <v>1656</v>
      </c>
      <c r="G103" s="10"/>
      <c r="H103" s="11" t="s">
        <v>11299</v>
      </c>
      <c r="I103" s="10"/>
      <c r="J103" s="536" t="s">
        <v>11300</v>
      </c>
      <c r="K103" s="536">
        <v>6782.0</v>
      </c>
    </row>
    <row r="104" hidden="1">
      <c r="A104" s="531" t="s">
        <v>11301</v>
      </c>
      <c r="B104" s="531">
        <v>13895.0</v>
      </c>
      <c r="C104" s="11" t="s">
        <v>11095</v>
      </c>
      <c r="D104" s="533">
        <v>0.75</v>
      </c>
      <c r="E104" s="533">
        <v>0.75</v>
      </c>
      <c r="F104" s="11" t="s">
        <v>1656</v>
      </c>
      <c r="G104" s="10"/>
      <c r="H104" s="11" t="s">
        <v>11096</v>
      </c>
      <c r="I104" s="10"/>
      <c r="J104" s="536" t="s">
        <v>11302</v>
      </c>
      <c r="K104" s="536">
        <v>2345.0</v>
      </c>
    </row>
    <row r="105" hidden="1">
      <c r="A105" s="531" t="s">
        <v>11303</v>
      </c>
      <c r="B105" s="541"/>
      <c r="C105" s="11" t="s">
        <v>11298</v>
      </c>
      <c r="D105" s="533">
        <v>0.75</v>
      </c>
      <c r="E105" s="533">
        <v>0.75</v>
      </c>
      <c r="F105" s="11" t="s">
        <v>1656</v>
      </c>
      <c r="G105" s="10"/>
      <c r="H105" s="11" t="s">
        <v>11299</v>
      </c>
      <c r="I105" s="10"/>
      <c r="J105" s="536" t="s">
        <v>11304</v>
      </c>
      <c r="K105" s="536">
        <v>2345.0</v>
      </c>
    </row>
    <row r="106" hidden="1">
      <c r="A106" s="531" t="s">
        <v>11305</v>
      </c>
      <c r="B106" s="531">
        <v>9768.0</v>
      </c>
      <c r="C106" s="11" t="s">
        <v>11298</v>
      </c>
      <c r="D106" s="533">
        <v>0.75</v>
      </c>
      <c r="E106" s="533">
        <v>0.75</v>
      </c>
      <c r="F106" s="11" t="s">
        <v>1656</v>
      </c>
      <c r="G106" s="10"/>
      <c r="H106" s="11" t="s">
        <v>11299</v>
      </c>
      <c r="I106" s="10"/>
      <c r="J106" s="536" t="s">
        <v>11306</v>
      </c>
      <c r="K106" s="536">
        <v>14505.0</v>
      </c>
    </row>
    <row r="107" hidden="1">
      <c r="A107" s="531" t="s">
        <v>11307</v>
      </c>
      <c r="B107" s="531">
        <v>10352.0</v>
      </c>
      <c r="C107" s="11" t="s">
        <v>11095</v>
      </c>
      <c r="D107" s="533">
        <v>0.75</v>
      </c>
      <c r="E107" s="533">
        <v>0.75</v>
      </c>
      <c r="F107" s="11" t="s">
        <v>1656</v>
      </c>
      <c r="G107" s="10"/>
      <c r="H107" s="11" t="s">
        <v>11096</v>
      </c>
      <c r="I107" s="10"/>
      <c r="J107" s="536" t="s">
        <v>11308</v>
      </c>
      <c r="K107" s="540">
        <v>2095.0</v>
      </c>
    </row>
    <row r="108" hidden="1">
      <c r="A108" s="531" t="s">
        <v>11309</v>
      </c>
      <c r="B108" s="531">
        <v>12609.0</v>
      </c>
      <c r="C108" s="11" t="s">
        <v>11298</v>
      </c>
      <c r="D108" s="533">
        <v>0.75</v>
      </c>
      <c r="E108" s="533">
        <v>0.75</v>
      </c>
      <c r="F108" s="11" t="s">
        <v>1656</v>
      </c>
      <c r="G108" s="10"/>
      <c r="H108" s="11" t="s">
        <v>11299</v>
      </c>
      <c r="I108" s="10"/>
      <c r="J108" s="536" t="s">
        <v>11310</v>
      </c>
      <c r="K108" s="536">
        <v>285.0</v>
      </c>
    </row>
    <row r="109" hidden="1">
      <c r="A109" s="531" t="s">
        <v>11311</v>
      </c>
      <c r="B109" s="531">
        <v>12575.0</v>
      </c>
      <c r="C109" s="11" t="s">
        <v>11095</v>
      </c>
      <c r="D109" s="533">
        <v>0.75</v>
      </c>
      <c r="E109" s="533">
        <v>0.75</v>
      </c>
      <c r="F109" s="11" t="s">
        <v>1656</v>
      </c>
      <c r="G109" s="10"/>
      <c r="H109" s="11" t="s">
        <v>11096</v>
      </c>
      <c r="I109" s="10"/>
      <c r="J109" s="536" t="s">
        <v>11312</v>
      </c>
      <c r="K109" s="536">
        <v>285.0</v>
      </c>
    </row>
    <row r="110" hidden="1">
      <c r="A110" s="531" t="s">
        <v>11313</v>
      </c>
      <c r="B110" s="531">
        <v>10368.0</v>
      </c>
      <c r="C110" s="11" t="s">
        <v>11298</v>
      </c>
      <c r="D110" s="533">
        <v>0.75</v>
      </c>
      <c r="E110" s="533">
        <v>0.75</v>
      </c>
      <c r="F110" s="11" t="s">
        <v>1656</v>
      </c>
      <c r="G110" s="10"/>
      <c r="H110" s="11" t="s">
        <v>11299</v>
      </c>
      <c r="I110" s="10"/>
      <c r="J110" s="536" t="s">
        <v>11314</v>
      </c>
      <c r="K110" s="540">
        <v>6736.0</v>
      </c>
    </row>
    <row r="111" hidden="1">
      <c r="A111" s="531" t="s">
        <v>11315</v>
      </c>
      <c r="B111" s="531">
        <v>9545.0</v>
      </c>
      <c r="C111" s="11" t="s">
        <v>11095</v>
      </c>
      <c r="D111" s="533">
        <v>0.75</v>
      </c>
      <c r="E111" s="533">
        <v>0.75</v>
      </c>
      <c r="F111" s="11" t="s">
        <v>1656</v>
      </c>
      <c r="G111" s="10"/>
      <c r="H111" s="11" t="s">
        <v>11096</v>
      </c>
      <c r="I111" s="10"/>
      <c r="J111" s="536" t="s">
        <v>11316</v>
      </c>
      <c r="K111" s="536">
        <v>6779.0</v>
      </c>
    </row>
    <row r="112" hidden="1">
      <c r="A112" s="531" t="s">
        <v>11317</v>
      </c>
      <c r="B112" s="531">
        <v>3142.0</v>
      </c>
      <c r="C112" s="11" t="s">
        <v>11298</v>
      </c>
      <c r="D112" s="533">
        <v>0.75</v>
      </c>
      <c r="E112" s="533">
        <v>0.75</v>
      </c>
      <c r="F112" s="11" t="s">
        <v>1656</v>
      </c>
      <c r="G112" s="10"/>
      <c r="H112" s="11" t="s">
        <v>11299</v>
      </c>
      <c r="I112" s="10"/>
      <c r="J112" s="536" t="s">
        <v>11318</v>
      </c>
      <c r="K112" s="540">
        <v>5458.0</v>
      </c>
    </row>
    <row r="113" hidden="1">
      <c r="A113" s="531" t="s">
        <v>11319</v>
      </c>
      <c r="B113" s="531">
        <v>12572.0</v>
      </c>
      <c r="C113" s="11" t="s">
        <v>11298</v>
      </c>
      <c r="D113" s="533">
        <v>0.75</v>
      </c>
      <c r="E113" s="533">
        <v>0.75</v>
      </c>
      <c r="F113" s="11" t="s">
        <v>1656</v>
      </c>
      <c r="G113" s="10"/>
      <c r="H113" s="11" t="s">
        <v>11299</v>
      </c>
      <c r="I113" s="10"/>
      <c r="J113" s="536" t="s">
        <v>11320</v>
      </c>
      <c r="K113" s="536">
        <v>6727.0</v>
      </c>
    </row>
    <row r="114" hidden="1">
      <c r="A114" s="531" t="s">
        <v>11321</v>
      </c>
      <c r="B114" s="531">
        <v>9568.0</v>
      </c>
      <c r="C114" s="11" t="s">
        <v>11298</v>
      </c>
      <c r="D114" s="533">
        <v>0.75</v>
      </c>
      <c r="E114" s="533">
        <v>0.75</v>
      </c>
      <c r="F114" s="11" t="s">
        <v>1656</v>
      </c>
      <c r="G114" s="10"/>
      <c r="H114" s="11" t="s">
        <v>11299</v>
      </c>
      <c r="I114" s="10"/>
      <c r="J114" s="536" t="s">
        <v>11322</v>
      </c>
      <c r="K114" s="536">
        <v>285.0</v>
      </c>
    </row>
    <row r="115" hidden="1">
      <c r="A115" s="531" t="s">
        <v>11323</v>
      </c>
      <c r="B115" s="541"/>
      <c r="C115" s="11" t="s">
        <v>11298</v>
      </c>
      <c r="D115" s="533">
        <v>0.75</v>
      </c>
      <c r="E115" s="533">
        <v>0.75</v>
      </c>
      <c r="F115" s="11" t="s">
        <v>1656</v>
      </c>
      <c r="G115" s="10"/>
      <c r="H115" s="11" t="s">
        <v>11299</v>
      </c>
      <c r="I115" s="10"/>
      <c r="J115" s="536" t="s">
        <v>11324</v>
      </c>
      <c r="K115" s="536">
        <v>6697.0</v>
      </c>
    </row>
    <row r="116" hidden="1">
      <c r="A116" s="531" t="s">
        <v>11325</v>
      </c>
      <c r="B116" s="531">
        <v>14625.0</v>
      </c>
      <c r="C116" s="11" t="s">
        <v>11298</v>
      </c>
      <c r="D116" s="533">
        <v>0.75</v>
      </c>
      <c r="E116" s="533">
        <v>0.75</v>
      </c>
      <c r="F116" s="11" t="s">
        <v>1656</v>
      </c>
      <c r="G116" s="10"/>
      <c r="H116" s="11" t="s">
        <v>11299</v>
      </c>
      <c r="I116" s="10"/>
      <c r="J116" s="536" t="s">
        <v>11326</v>
      </c>
      <c r="K116" s="536">
        <v>2345.0</v>
      </c>
    </row>
    <row r="117" hidden="1">
      <c r="A117" s="531" t="s">
        <v>11327</v>
      </c>
      <c r="B117" s="531">
        <v>9663.0</v>
      </c>
      <c r="C117" s="11" t="s">
        <v>11298</v>
      </c>
      <c r="D117" s="533">
        <v>0.75</v>
      </c>
      <c r="E117" s="533">
        <v>0.75</v>
      </c>
      <c r="F117" s="11" t="s">
        <v>1656</v>
      </c>
      <c r="G117" s="10"/>
      <c r="H117" s="11" t="s">
        <v>11299</v>
      </c>
      <c r="I117" s="10"/>
      <c r="J117" s="536" t="s">
        <v>11328</v>
      </c>
      <c r="K117" s="536">
        <v>2345.0</v>
      </c>
    </row>
    <row r="118" hidden="1">
      <c r="A118" s="531" t="s">
        <v>11329</v>
      </c>
      <c r="B118" s="531">
        <v>9814.0</v>
      </c>
      <c r="C118" s="11" t="s">
        <v>11298</v>
      </c>
      <c r="D118" s="533">
        <v>0.75</v>
      </c>
      <c r="E118" s="533">
        <v>0.75</v>
      </c>
      <c r="F118" s="11" t="s">
        <v>1656</v>
      </c>
      <c r="G118" s="10"/>
      <c r="H118" s="11" t="s">
        <v>11299</v>
      </c>
      <c r="I118" s="10"/>
      <c r="J118" s="536" t="s">
        <v>11330</v>
      </c>
      <c r="K118" s="536">
        <v>2345.0</v>
      </c>
    </row>
    <row r="119" hidden="1">
      <c r="A119" s="531" t="s">
        <v>11331</v>
      </c>
      <c r="B119" s="542">
        <v>14564.0</v>
      </c>
      <c r="C119" s="11" t="s">
        <v>11298</v>
      </c>
      <c r="D119" s="533">
        <v>0.75</v>
      </c>
      <c r="E119" s="533">
        <v>0.75</v>
      </c>
      <c r="F119" s="11" t="s">
        <v>1656</v>
      </c>
      <c r="G119" s="10"/>
      <c r="H119" s="11" t="s">
        <v>11299</v>
      </c>
      <c r="I119" s="10"/>
      <c r="J119" s="536" t="s">
        <v>11332</v>
      </c>
      <c r="K119" s="536">
        <v>2345.0</v>
      </c>
    </row>
    <row r="120" hidden="1">
      <c r="A120" s="531" t="s">
        <v>11333</v>
      </c>
      <c r="B120" s="542">
        <v>14564.0</v>
      </c>
      <c r="C120" s="11" t="s">
        <v>11298</v>
      </c>
      <c r="D120" s="533">
        <v>0.75</v>
      </c>
      <c r="E120" s="533">
        <v>0.75</v>
      </c>
      <c r="F120" s="11" t="s">
        <v>1656</v>
      </c>
      <c r="G120" s="10"/>
      <c r="H120" s="11" t="s">
        <v>11299</v>
      </c>
      <c r="I120" s="10"/>
      <c r="J120" s="536" t="s">
        <v>5638</v>
      </c>
      <c r="K120" s="536">
        <v>2345.0</v>
      </c>
    </row>
    <row r="121" hidden="1">
      <c r="A121" s="531" t="s">
        <v>11334</v>
      </c>
      <c r="B121" s="531">
        <v>14646.0</v>
      </c>
      <c r="C121" s="11" t="s">
        <v>11298</v>
      </c>
      <c r="D121" s="533">
        <v>0.75</v>
      </c>
      <c r="E121" s="533">
        <v>0.75</v>
      </c>
      <c r="F121" s="11" t="s">
        <v>1656</v>
      </c>
      <c r="G121" s="10"/>
      <c r="H121" s="11" t="s">
        <v>11299</v>
      </c>
      <c r="I121" s="10"/>
      <c r="J121" s="536" t="s">
        <v>11335</v>
      </c>
      <c r="K121" s="536">
        <v>2345.0</v>
      </c>
    </row>
    <row r="122" hidden="1">
      <c r="A122" s="531" t="s">
        <v>11336</v>
      </c>
      <c r="B122" s="543">
        <v>14621.0</v>
      </c>
      <c r="C122" s="11" t="s">
        <v>11298</v>
      </c>
      <c r="D122" s="533">
        <v>0.75</v>
      </c>
      <c r="E122" s="533">
        <v>0.75</v>
      </c>
      <c r="F122" s="11" t="s">
        <v>1656</v>
      </c>
      <c r="G122" s="10"/>
      <c r="H122" s="11" t="s">
        <v>11299</v>
      </c>
      <c r="I122" s="10"/>
      <c r="J122" s="536" t="s">
        <v>11337</v>
      </c>
      <c r="K122" s="536">
        <v>2345.0</v>
      </c>
    </row>
    <row r="123" hidden="1">
      <c r="A123" s="531" t="s">
        <v>11338</v>
      </c>
      <c r="B123" s="531">
        <v>2345.0</v>
      </c>
      <c r="C123" s="11" t="s">
        <v>11298</v>
      </c>
      <c r="D123" s="533">
        <v>0.9</v>
      </c>
      <c r="E123" s="533">
        <v>0.9</v>
      </c>
      <c r="F123" s="11" t="s">
        <v>1656</v>
      </c>
      <c r="G123" s="10"/>
      <c r="H123" s="11" t="s">
        <v>11299</v>
      </c>
      <c r="I123" s="10"/>
      <c r="J123" s="536" t="s">
        <v>11339</v>
      </c>
      <c r="K123" s="536">
        <v>2345.0</v>
      </c>
    </row>
    <row r="124" hidden="1">
      <c r="A124" s="531" t="s">
        <v>11276</v>
      </c>
      <c r="B124" s="531">
        <v>14678.0</v>
      </c>
      <c r="C124" s="11" t="s">
        <v>11298</v>
      </c>
      <c r="D124" s="533">
        <v>0.75</v>
      </c>
      <c r="E124" s="533">
        <v>0.75</v>
      </c>
      <c r="F124" s="11" t="s">
        <v>1656</v>
      </c>
      <c r="G124" s="10"/>
      <c r="H124" s="11" t="s">
        <v>11299</v>
      </c>
      <c r="I124" s="10"/>
      <c r="J124" s="536" t="s">
        <v>11340</v>
      </c>
      <c r="K124" s="536">
        <v>2345.0</v>
      </c>
    </row>
    <row r="125" hidden="1">
      <c r="A125" s="531" t="s">
        <v>11341</v>
      </c>
      <c r="B125" s="531">
        <v>189.0</v>
      </c>
      <c r="C125" s="11" t="s">
        <v>11298</v>
      </c>
      <c r="D125" s="533">
        <v>0.88</v>
      </c>
      <c r="E125" s="533">
        <v>0.88</v>
      </c>
      <c r="F125" s="11" t="s">
        <v>1656</v>
      </c>
      <c r="G125" s="10"/>
      <c r="H125" s="11" t="s">
        <v>11299</v>
      </c>
      <c r="I125" s="10"/>
      <c r="J125" s="536" t="s">
        <v>11342</v>
      </c>
      <c r="K125" s="536">
        <v>2345.0</v>
      </c>
    </row>
    <row r="126" hidden="1">
      <c r="A126" s="531" t="s">
        <v>9754</v>
      </c>
      <c r="B126" s="531">
        <v>14590.0</v>
      </c>
      <c r="C126" s="11" t="s">
        <v>11298</v>
      </c>
      <c r="D126" s="533">
        <v>0.9</v>
      </c>
      <c r="E126" s="533">
        <v>0.9</v>
      </c>
      <c r="F126" s="11" t="s">
        <v>1656</v>
      </c>
      <c r="G126" s="10"/>
      <c r="H126" s="11" t="s">
        <v>11299</v>
      </c>
      <c r="I126" s="10"/>
      <c r="J126" s="536" t="s">
        <v>11343</v>
      </c>
      <c r="K126" s="536">
        <v>6675.0</v>
      </c>
    </row>
    <row r="127" hidden="1">
      <c r="A127" s="531" t="s">
        <v>11344</v>
      </c>
      <c r="B127" s="531">
        <v>3404.0</v>
      </c>
      <c r="C127" s="11" t="s">
        <v>11298</v>
      </c>
      <c r="D127" s="533">
        <v>0.75</v>
      </c>
      <c r="E127" s="533">
        <v>0.75</v>
      </c>
      <c r="F127" s="11" t="s">
        <v>1656</v>
      </c>
      <c r="G127" s="10"/>
      <c r="H127" s="11" t="s">
        <v>11299</v>
      </c>
      <c r="I127" s="10"/>
      <c r="J127" s="536" t="s">
        <v>11345</v>
      </c>
      <c r="K127" s="540">
        <v>2345.0</v>
      </c>
    </row>
    <row r="128" hidden="1">
      <c r="A128" s="531" t="s">
        <v>11346</v>
      </c>
      <c r="B128" s="531">
        <v>14658.0</v>
      </c>
      <c r="C128" s="11" t="s">
        <v>11298</v>
      </c>
      <c r="D128" s="533">
        <v>0.75</v>
      </c>
      <c r="E128" s="533">
        <v>0.75</v>
      </c>
      <c r="F128" s="11" t="s">
        <v>1656</v>
      </c>
      <c r="G128" s="10"/>
      <c r="H128" s="11" t="s">
        <v>11299</v>
      </c>
      <c r="I128" s="10"/>
      <c r="J128" s="536" t="s">
        <v>11347</v>
      </c>
      <c r="K128" s="536">
        <v>6132.0</v>
      </c>
    </row>
    <row r="129" hidden="1">
      <c r="A129" s="531" t="s">
        <v>11268</v>
      </c>
      <c r="B129" s="531">
        <v>14590.0</v>
      </c>
      <c r="C129" s="11" t="s">
        <v>11298</v>
      </c>
      <c r="D129" s="533">
        <v>0.9</v>
      </c>
      <c r="E129" s="533">
        <v>0.9</v>
      </c>
      <c r="F129" s="11" t="s">
        <v>1656</v>
      </c>
      <c r="G129" s="10"/>
      <c r="H129" s="11" t="s">
        <v>11299</v>
      </c>
      <c r="I129" s="10"/>
      <c r="J129" s="536" t="s">
        <v>11348</v>
      </c>
      <c r="K129" s="536">
        <v>499.0</v>
      </c>
    </row>
    <row r="130" hidden="1">
      <c r="A130" s="531" t="s">
        <v>11349</v>
      </c>
      <c r="B130" s="531">
        <v>986.0</v>
      </c>
      <c r="C130" s="11" t="s">
        <v>11298</v>
      </c>
      <c r="D130" s="533">
        <v>0.85</v>
      </c>
      <c r="E130" s="533">
        <v>0.85</v>
      </c>
      <c r="F130" s="11" t="s">
        <v>1656</v>
      </c>
      <c r="G130" s="10"/>
      <c r="H130" s="11" t="s">
        <v>11299</v>
      </c>
      <c r="I130" s="10"/>
      <c r="J130" s="536" t="s">
        <v>11350</v>
      </c>
      <c r="K130" s="536">
        <v>499.0</v>
      </c>
    </row>
    <row r="131" hidden="1">
      <c r="A131" s="531" t="s">
        <v>11351</v>
      </c>
      <c r="B131" s="531">
        <v>6658.0</v>
      </c>
      <c r="C131" s="11" t="s">
        <v>11298</v>
      </c>
      <c r="D131" s="533">
        <v>0.85</v>
      </c>
      <c r="E131" s="533">
        <v>0.85</v>
      </c>
      <c r="F131" s="11" t="s">
        <v>1656</v>
      </c>
      <c r="G131" s="10"/>
      <c r="H131" s="11" t="s">
        <v>11299</v>
      </c>
      <c r="I131" s="10"/>
      <c r="J131" s="536" t="s">
        <v>11352</v>
      </c>
      <c r="K131" s="536">
        <v>285.0</v>
      </c>
    </row>
    <row r="132" hidden="1">
      <c r="A132" s="531" t="s">
        <v>7832</v>
      </c>
      <c r="B132" s="531">
        <v>3312.0</v>
      </c>
      <c r="C132" s="11" t="s">
        <v>11298</v>
      </c>
      <c r="D132" s="533">
        <v>0.75</v>
      </c>
      <c r="E132" s="533">
        <v>0.75</v>
      </c>
      <c r="F132" s="11" t="s">
        <v>1656</v>
      </c>
      <c r="G132" s="10"/>
      <c r="H132" s="11" t="s">
        <v>11299</v>
      </c>
      <c r="I132" s="10"/>
      <c r="J132" s="536" t="s">
        <v>11353</v>
      </c>
      <c r="K132" s="536">
        <v>285.0</v>
      </c>
    </row>
    <row r="133" hidden="1">
      <c r="A133" s="531" t="s">
        <v>11354</v>
      </c>
      <c r="B133" s="531">
        <v>14590.0</v>
      </c>
      <c r="C133" s="11" t="s">
        <v>11298</v>
      </c>
      <c r="D133" s="533">
        <v>0.9</v>
      </c>
      <c r="E133" s="533">
        <v>0.9</v>
      </c>
      <c r="F133" s="11" t="s">
        <v>1656</v>
      </c>
      <c r="G133" s="10"/>
      <c r="H133" s="11" t="s">
        <v>11299</v>
      </c>
      <c r="I133" s="10"/>
      <c r="J133" s="536" t="s">
        <v>11355</v>
      </c>
      <c r="K133" s="540">
        <v>5421.0</v>
      </c>
    </row>
    <row r="134" hidden="1">
      <c r="A134" s="531" t="s">
        <v>11356</v>
      </c>
      <c r="B134" s="531">
        <v>189.0</v>
      </c>
      <c r="C134" s="11" t="s">
        <v>11298</v>
      </c>
      <c r="D134" s="533">
        <v>0.88</v>
      </c>
      <c r="E134" s="533">
        <v>0.88</v>
      </c>
      <c r="F134" s="11" t="s">
        <v>1656</v>
      </c>
      <c r="G134" s="10"/>
      <c r="H134" s="11" t="s">
        <v>11299</v>
      </c>
      <c r="I134" s="10"/>
      <c r="J134" s="536" t="s">
        <v>11357</v>
      </c>
      <c r="K134" s="540">
        <v>5421.0</v>
      </c>
    </row>
    <row r="135" hidden="1">
      <c r="A135" s="531" t="s">
        <v>7784</v>
      </c>
      <c r="B135" s="531">
        <v>2345.0</v>
      </c>
      <c r="C135" s="11" t="s">
        <v>11298</v>
      </c>
      <c r="D135" s="533">
        <v>0.9</v>
      </c>
      <c r="E135" s="533">
        <v>0.9</v>
      </c>
      <c r="F135" s="11" t="s">
        <v>1656</v>
      </c>
      <c r="G135" s="10"/>
      <c r="H135" s="11" t="s">
        <v>11299</v>
      </c>
      <c r="I135" s="10"/>
      <c r="J135" s="536" t="s">
        <v>11358</v>
      </c>
      <c r="K135" s="540">
        <v>5421.0</v>
      </c>
    </row>
    <row r="136" hidden="1">
      <c r="A136" s="531" t="s">
        <v>11359</v>
      </c>
      <c r="B136" s="531">
        <v>14590.0</v>
      </c>
      <c r="C136" s="11" t="s">
        <v>11298</v>
      </c>
      <c r="D136" s="533">
        <v>0.9</v>
      </c>
      <c r="E136" s="533">
        <v>0.9</v>
      </c>
      <c r="F136" s="11" t="s">
        <v>1656</v>
      </c>
      <c r="G136" s="10"/>
      <c r="H136" s="11" t="s">
        <v>11299</v>
      </c>
      <c r="I136" s="10"/>
      <c r="J136" s="536" t="s">
        <v>11360</v>
      </c>
      <c r="K136" s="536">
        <v>6736.0</v>
      </c>
    </row>
    <row r="137" hidden="1">
      <c r="A137" s="531" t="s">
        <v>11361</v>
      </c>
      <c r="B137" s="531">
        <v>7104.0</v>
      </c>
      <c r="C137" s="11" t="s">
        <v>11298</v>
      </c>
      <c r="D137" s="533">
        <v>0.75</v>
      </c>
      <c r="E137" s="533">
        <v>0.75</v>
      </c>
      <c r="F137" s="11" t="s">
        <v>1656</v>
      </c>
      <c r="G137" s="10"/>
      <c r="H137" s="11" t="s">
        <v>11299</v>
      </c>
      <c r="I137" s="10"/>
      <c r="J137" s="536" t="s">
        <v>11362</v>
      </c>
      <c r="K137" s="536">
        <v>6658.0</v>
      </c>
    </row>
    <row r="138" hidden="1">
      <c r="A138" s="531" t="s">
        <v>11363</v>
      </c>
      <c r="B138" s="531">
        <v>986.0</v>
      </c>
      <c r="C138" s="11" t="s">
        <v>11298</v>
      </c>
      <c r="D138" s="533">
        <v>0.85</v>
      </c>
      <c r="E138" s="533">
        <v>0.85</v>
      </c>
      <c r="F138" s="11" t="s">
        <v>1656</v>
      </c>
      <c r="G138" s="10"/>
      <c r="H138" s="11" t="s">
        <v>11299</v>
      </c>
      <c r="I138" s="10"/>
      <c r="J138" s="536" t="s">
        <v>11364</v>
      </c>
      <c r="K138" s="536">
        <v>6658.0</v>
      </c>
    </row>
    <row r="139" hidden="1">
      <c r="A139" s="531" t="s">
        <v>7868</v>
      </c>
      <c r="B139" s="531">
        <v>14590.0</v>
      </c>
      <c r="C139" s="11" t="s">
        <v>11298</v>
      </c>
      <c r="D139" s="533">
        <v>0.9</v>
      </c>
      <c r="E139" s="533">
        <v>0.9</v>
      </c>
      <c r="F139" s="11" t="s">
        <v>1656</v>
      </c>
      <c r="G139" s="10"/>
      <c r="H139" s="11" t="s">
        <v>11299</v>
      </c>
      <c r="I139" s="10"/>
      <c r="J139" s="536" t="s">
        <v>11365</v>
      </c>
      <c r="K139" s="536">
        <v>6658.0</v>
      </c>
    </row>
    <row r="140" hidden="1">
      <c r="A140" s="531" t="s">
        <v>11366</v>
      </c>
      <c r="B140" s="531">
        <v>2345.0</v>
      </c>
      <c r="C140" s="11" t="s">
        <v>11298</v>
      </c>
      <c r="D140" s="533">
        <v>0.9</v>
      </c>
      <c r="E140" s="533">
        <v>0.9</v>
      </c>
      <c r="F140" s="11" t="s">
        <v>1656</v>
      </c>
      <c r="G140" s="10"/>
      <c r="H140" s="11" t="s">
        <v>11299</v>
      </c>
      <c r="I140" s="10"/>
      <c r="J140" s="536" t="s">
        <v>11367</v>
      </c>
      <c r="K140" s="536">
        <v>6697.0</v>
      </c>
    </row>
    <row r="141" hidden="1">
      <c r="A141" s="531" t="s">
        <v>11368</v>
      </c>
      <c r="B141" s="531">
        <v>14590.0</v>
      </c>
      <c r="C141" s="11" t="s">
        <v>11298</v>
      </c>
      <c r="D141" s="533">
        <v>0.9</v>
      </c>
      <c r="E141" s="533">
        <v>0.9</v>
      </c>
      <c r="F141" s="11" t="s">
        <v>1656</v>
      </c>
      <c r="G141" s="10"/>
      <c r="H141" s="11" t="s">
        <v>11299</v>
      </c>
      <c r="I141" s="10"/>
      <c r="J141" s="536" t="s">
        <v>11369</v>
      </c>
      <c r="K141" s="536">
        <v>285.0</v>
      </c>
    </row>
    <row r="142" hidden="1">
      <c r="A142" s="531" t="s">
        <v>11370</v>
      </c>
      <c r="B142" s="531">
        <v>14590.0</v>
      </c>
      <c r="C142" s="11" t="s">
        <v>11298</v>
      </c>
      <c r="D142" s="533">
        <v>0.9</v>
      </c>
      <c r="E142" s="533">
        <v>0.9</v>
      </c>
      <c r="F142" s="11" t="s">
        <v>1656</v>
      </c>
      <c r="G142" s="10"/>
      <c r="H142" s="11" t="s">
        <v>11299</v>
      </c>
      <c r="I142" s="10"/>
      <c r="J142" s="536" t="s">
        <v>11371</v>
      </c>
      <c r="K142" s="536">
        <v>285.0</v>
      </c>
    </row>
    <row r="143" hidden="1">
      <c r="A143" s="531" t="s">
        <v>11372</v>
      </c>
      <c r="B143" s="531">
        <v>14590.0</v>
      </c>
      <c r="C143" s="11" t="s">
        <v>11298</v>
      </c>
      <c r="D143" s="533">
        <v>0.9</v>
      </c>
      <c r="E143" s="533">
        <v>0.9</v>
      </c>
      <c r="F143" s="11" t="s">
        <v>1656</v>
      </c>
      <c r="G143" s="10"/>
      <c r="H143" s="11" t="s">
        <v>11299</v>
      </c>
      <c r="I143" s="10"/>
      <c r="J143" s="536" t="s">
        <v>11373</v>
      </c>
      <c r="K143" s="536">
        <v>285.0</v>
      </c>
    </row>
    <row r="144" hidden="1">
      <c r="A144" s="531" t="s">
        <v>11374</v>
      </c>
      <c r="B144" s="531">
        <v>14590.0</v>
      </c>
      <c r="C144" s="11" t="s">
        <v>11298</v>
      </c>
      <c r="D144" s="533">
        <v>0.9</v>
      </c>
      <c r="E144" s="533">
        <v>0.9</v>
      </c>
      <c r="F144" s="11" t="s">
        <v>1656</v>
      </c>
      <c r="G144" s="10"/>
      <c r="H144" s="11" t="s">
        <v>11299</v>
      </c>
      <c r="I144" s="10"/>
      <c r="J144" s="536" t="s">
        <v>11375</v>
      </c>
      <c r="K144" s="536">
        <v>285.0</v>
      </c>
    </row>
    <row r="145" hidden="1">
      <c r="A145" s="531" t="s">
        <v>11376</v>
      </c>
      <c r="B145" s="531">
        <v>14590.0</v>
      </c>
      <c r="C145" s="11" t="s">
        <v>11298</v>
      </c>
      <c r="D145" s="533">
        <v>0.9</v>
      </c>
      <c r="E145" s="533">
        <v>0.9</v>
      </c>
      <c r="F145" s="11" t="s">
        <v>1656</v>
      </c>
      <c r="G145" s="10"/>
      <c r="H145" s="11" t="s">
        <v>11299</v>
      </c>
      <c r="I145" s="10"/>
      <c r="J145" s="536" t="s">
        <v>11377</v>
      </c>
      <c r="K145" s="536">
        <v>6697.0</v>
      </c>
    </row>
    <row r="146" hidden="1">
      <c r="A146" s="531" t="s">
        <v>11378</v>
      </c>
      <c r="B146" s="531">
        <v>14590.0</v>
      </c>
      <c r="C146" s="11" t="s">
        <v>11298</v>
      </c>
      <c r="D146" s="533">
        <v>0.9</v>
      </c>
      <c r="E146" s="533">
        <v>0.9</v>
      </c>
      <c r="F146" s="11" t="s">
        <v>1656</v>
      </c>
      <c r="G146" s="10"/>
      <c r="H146" s="11" t="s">
        <v>11299</v>
      </c>
      <c r="I146" s="10"/>
      <c r="J146" s="536" t="s">
        <v>11379</v>
      </c>
      <c r="K146" s="536">
        <v>285.0</v>
      </c>
    </row>
    <row r="147" hidden="1">
      <c r="A147" s="531" t="s">
        <v>11380</v>
      </c>
      <c r="B147" s="531">
        <v>14590.0</v>
      </c>
      <c r="C147" s="11" t="s">
        <v>11298</v>
      </c>
      <c r="D147" s="533">
        <v>0.9</v>
      </c>
      <c r="E147" s="533">
        <v>0.9</v>
      </c>
      <c r="F147" s="11" t="s">
        <v>1656</v>
      </c>
      <c r="G147" s="10"/>
      <c r="H147" s="11" t="s">
        <v>11299</v>
      </c>
      <c r="I147" s="10"/>
      <c r="J147" s="536" t="s">
        <v>11381</v>
      </c>
      <c r="K147" s="536">
        <v>2345.0</v>
      </c>
    </row>
    <row r="148" hidden="1">
      <c r="A148" s="531" t="s">
        <v>11382</v>
      </c>
      <c r="B148" s="531">
        <v>14590.0</v>
      </c>
      <c r="C148" s="11" t="s">
        <v>11298</v>
      </c>
      <c r="D148" s="533">
        <v>0.9</v>
      </c>
      <c r="E148" s="533">
        <v>0.9</v>
      </c>
      <c r="F148" s="11" t="s">
        <v>1656</v>
      </c>
      <c r="G148" s="10"/>
      <c r="H148" s="11" t="s">
        <v>11299</v>
      </c>
      <c r="I148" s="10"/>
      <c r="J148" s="536" t="s">
        <v>11383</v>
      </c>
      <c r="K148" s="536">
        <v>2345.0</v>
      </c>
    </row>
    <row r="149" hidden="1">
      <c r="A149" s="531" t="s">
        <v>11384</v>
      </c>
      <c r="B149" s="531">
        <v>189.0</v>
      </c>
      <c r="C149" s="11" t="s">
        <v>11298</v>
      </c>
      <c r="D149" s="533">
        <v>0.88</v>
      </c>
      <c r="E149" s="533">
        <v>0.88</v>
      </c>
      <c r="F149" s="11" t="s">
        <v>1656</v>
      </c>
      <c r="G149" s="10"/>
      <c r="H149" s="11" t="s">
        <v>11299</v>
      </c>
      <c r="I149" s="10"/>
      <c r="J149" s="536" t="s">
        <v>11385</v>
      </c>
      <c r="K149" s="536">
        <v>2345.0</v>
      </c>
    </row>
    <row r="150" hidden="1">
      <c r="A150" s="531" t="s">
        <v>11386</v>
      </c>
      <c r="B150" s="531">
        <v>14590.0</v>
      </c>
      <c r="C150" s="11" t="s">
        <v>11298</v>
      </c>
      <c r="D150" s="533">
        <v>0.9</v>
      </c>
      <c r="E150" s="533">
        <v>0.9</v>
      </c>
      <c r="F150" s="11" t="s">
        <v>1656</v>
      </c>
      <c r="G150" s="10"/>
      <c r="H150" s="11" t="s">
        <v>11299</v>
      </c>
      <c r="I150" s="10"/>
      <c r="J150" s="536" t="s">
        <v>11387</v>
      </c>
      <c r="K150" s="536">
        <v>2345.0</v>
      </c>
    </row>
    <row r="151" hidden="1">
      <c r="A151" s="531" t="s">
        <v>11388</v>
      </c>
      <c r="B151" s="531">
        <v>6936.0</v>
      </c>
      <c r="C151" s="11" t="s">
        <v>11298</v>
      </c>
      <c r="D151" s="533">
        <v>0.75</v>
      </c>
      <c r="E151" s="533">
        <v>0.75</v>
      </c>
      <c r="F151" s="11" t="s">
        <v>1656</v>
      </c>
      <c r="G151" s="10"/>
      <c r="H151" s="11" t="s">
        <v>11299</v>
      </c>
      <c r="I151" s="10"/>
      <c r="J151" s="536" t="s">
        <v>11389</v>
      </c>
      <c r="K151" s="536">
        <v>7157.0</v>
      </c>
    </row>
    <row r="152" hidden="1">
      <c r="A152" s="531" t="s">
        <v>11390</v>
      </c>
      <c r="B152" s="531">
        <v>14590.0</v>
      </c>
      <c r="C152" s="11" t="s">
        <v>11298</v>
      </c>
      <c r="D152" s="533">
        <v>0.9</v>
      </c>
      <c r="E152" s="533">
        <v>0.9</v>
      </c>
      <c r="F152" s="11" t="s">
        <v>1656</v>
      </c>
      <c r="G152" s="10"/>
      <c r="H152" s="11" t="s">
        <v>11299</v>
      </c>
      <c r="I152" s="10"/>
      <c r="J152" s="536" t="s">
        <v>11391</v>
      </c>
      <c r="K152" s="536">
        <v>7157.0</v>
      </c>
    </row>
    <row r="153" hidden="1">
      <c r="A153" s="531" t="s">
        <v>11392</v>
      </c>
      <c r="B153" s="531">
        <v>14536.0</v>
      </c>
      <c r="C153" s="11" t="s">
        <v>11298</v>
      </c>
      <c r="D153" s="533">
        <v>0.75</v>
      </c>
      <c r="E153" s="533">
        <v>0.75</v>
      </c>
      <c r="F153" s="11" t="s">
        <v>1656</v>
      </c>
      <c r="G153" s="10"/>
      <c r="H153" s="11" t="s">
        <v>11299</v>
      </c>
      <c r="I153" s="10"/>
      <c r="J153" s="536" t="s">
        <v>11393</v>
      </c>
      <c r="K153" s="536">
        <v>6732.0</v>
      </c>
    </row>
    <row r="154" hidden="1">
      <c r="A154" s="531" t="s">
        <v>11394</v>
      </c>
      <c r="B154" s="531">
        <v>14590.0</v>
      </c>
      <c r="C154" s="11" t="s">
        <v>11298</v>
      </c>
      <c r="D154" s="533">
        <v>0.9</v>
      </c>
      <c r="E154" s="533">
        <v>0.9</v>
      </c>
      <c r="F154" s="11" t="s">
        <v>1656</v>
      </c>
      <c r="G154" s="10"/>
      <c r="H154" s="11" t="s">
        <v>11299</v>
      </c>
      <c r="I154" s="10"/>
      <c r="J154" s="536" t="s">
        <v>11395</v>
      </c>
      <c r="K154" s="536">
        <v>6732.0</v>
      </c>
    </row>
    <row r="155" hidden="1">
      <c r="A155" s="531" t="s">
        <v>11396</v>
      </c>
      <c r="B155" s="531">
        <v>3404.0</v>
      </c>
      <c r="C155" s="11" t="s">
        <v>11298</v>
      </c>
      <c r="D155" s="533">
        <v>0.75</v>
      </c>
      <c r="E155" s="533">
        <v>0.75</v>
      </c>
      <c r="F155" s="11" t="s">
        <v>1656</v>
      </c>
      <c r="G155" s="10"/>
      <c r="H155" s="11" t="s">
        <v>11299</v>
      </c>
      <c r="I155" s="10"/>
      <c r="J155" s="536" t="s">
        <v>11397</v>
      </c>
      <c r="K155" s="536">
        <v>6732.0</v>
      </c>
    </row>
    <row r="156" hidden="1">
      <c r="A156" s="531" t="s">
        <v>11398</v>
      </c>
      <c r="B156" s="531">
        <v>14482.0</v>
      </c>
      <c r="C156" s="11" t="s">
        <v>11298</v>
      </c>
      <c r="D156" s="533">
        <v>0.75</v>
      </c>
      <c r="E156" s="533">
        <v>0.75</v>
      </c>
      <c r="F156" s="11" t="s">
        <v>1656</v>
      </c>
      <c r="G156" s="10"/>
      <c r="H156" s="11" t="s">
        <v>11299</v>
      </c>
      <c r="I156" s="10"/>
      <c r="J156" s="536" t="s">
        <v>11399</v>
      </c>
      <c r="K156" s="536">
        <v>6732.0</v>
      </c>
    </row>
    <row r="157" hidden="1">
      <c r="A157" s="531" t="s">
        <v>11400</v>
      </c>
      <c r="B157" s="531">
        <v>14590.0</v>
      </c>
      <c r="C157" s="11" t="s">
        <v>11298</v>
      </c>
      <c r="D157" s="533">
        <v>0.9</v>
      </c>
      <c r="E157" s="533">
        <v>0.9</v>
      </c>
      <c r="F157" s="11" t="s">
        <v>1656</v>
      </c>
      <c r="G157" s="10"/>
      <c r="H157" s="11" t="s">
        <v>11299</v>
      </c>
      <c r="I157" s="10"/>
      <c r="J157" s="536" t="s">
        <v>11401</v>
      </c>
      <c r="K157" s="536">
        <v>6796.0</v>
      </c>
    </row>
    <row r="158" hidden="1">
      <c r="A158" s="531" t="s">
        <v>11402</v>
      </c>
      <c r="B158" s="531">
        <v>14590.0</v>
      </c>
      <c r="C158" s="11" t="s">
        <v>11298</v>
      </c>
      <c r="D158" s="533">
        <v>0.9</v>
      </c>
      <c r="E158" s="533">
        <v>0.9</v>
      </c>
      <c r="F158" s="11" t="s">
        <v>1656</v>
      </c>
      <c r="G158" s="10"/>
      <c r="H158" s="11" t="s">
        <v>11299</v>
      </c>
      <c r="I158" s="10"/>
      <c r="J158" s="536" t="s">
        <v>11403</v>
      </c>
      <c r="K158" s="536">
        <v>6796.0</v>
      </c>
    </row>
    <row r="159" hidden="1">
      <c r="A159" s="531" t="s">
        <v>3953</v>
      </c>
      <c r="B159" s="531">
        <v>6658.0</v>
      </c>
      <c r="C159" s="11" t="s">
        <v>11298</v>
      </c>
      <c r="D159" s="533">
        <v>0.85</v>
      </c>
      <c r="E159" s="533">
        <v>0.85</v>
      </c>
      <c r="F159" s="11" t="s">
        <v>1656</v>
      </c>
      <c r="G159" s="10"/>
      <c r="H159" s="11" t="s">
        <v>11299</v>
      </c>
      <c r="I159" s="10"/>
      <c r="J159" s="536" t="s">
        <v>11404</v>
      </c>
      <c r="K159" s="536">
        <v>2345.0</v>
      </c>
    </row>
    <row r="160" hidden="1">
      <c r="A160" s="531" t="s">
        <v>11405</v>
      </c>
      <c r="B160" s="531">
        <v>7168.0</v>
      </c>
      <c r="C160" s="11" t="s">
        <v>11298</v>
      </c>
      <c r="D160" s="533">
        <v>0.75</v>
      </c>
      <c r="E160" s="533">
        <v>0.75</v>
      </c>
      <c r="F160" s="11" t="s">
        <v>1656</v>
      </c>
      <c r="G160" s="10"/>
      <c r="H160" s="11" t="s">
        <v>11299</v>
      </c>
      <c r="I160" s="10"/>
      <c r="J160" s="536" t="s">
        <v>11406</v>
      </c>
      <c r="K160" s="536">
        <v>6803.0</v>
      </c>
    </row>
    <row r="161" hidden="1">
      <c r="A161" s="531" t="s">
        <v>11407</v>
      </c>
      <c r="B161" s="531">
        <v>14590.0</v>
      </c>
      <c r="C161" s="11" t="s">
        <v>11298</v>
      </c>
      <c r="D161" s="533">
        <v>0.9</v>
      </c>
      <c r="E161" s="533">
        <v>0.9</v>
      </c>
      <c r="F161" s="11" t="s">
        <v>1656</v>
      </c>
      <c r="G161" s="10"/>
      <c r="H161" s="11" t="s">
        <v>11299</v>
      </c>
      <c r="I161" s="10"/>
      <c r="J161" s="536" t="s">
        <v>11408</v>
      </c>
      <c r="K161" s="536">
        <v>2345.0</v>
      </c>
    </row>
    <row r="162" hidden="1">
      <c r="A162" s="531" t="s">
        <v>11409</v>
      </c>
      <c r="B162" s="531">
        <v>14590.0</v>
      </c>
      <c r="C162" s="11" t="s">
        <v>11298</v>
      </c>
      <c r="D162" s="533">
        <v>0.9</v>
      </c>
      <c r="E162" s="533">
        <v>0.9</v>
      </c>
      <c r="F162" s="11" t="s">
        <v>1656</v>
      </c>
      <c r="G162" s="10"/>
      <c r="H162" s="11" t="s">
        <v>11299</v>
      </c>
      <c r="I162" s="10"/>
      <c r="J162" s="536" t="s">
        <v>11410</v>
      </c>
      <c r="K162" s="536">
        <v>6805.0</v>
      </c>
    </row>
    <row r="163" hidden="1">
      <c r="A163" s="531" t="s">
        <v>7823</v>
      </c>
      <c r="B163" s="531">
        <v>6732.0</v>
      </c>
      <c r="C163" s="11" t="s">
        <v>11298</v>
      </c>
      <c r="D163" s="533">
        <v>0.8</v>
      </c>
      <c r="E163" s="533">
        <v>0.8</v>
      </c>
      <c r="F163" s="11" t="s">
        <v>1656</v>
      </c>
      <c r="G163" s="10"/>
      <c r="H163" s="11" t="s">
        <v>11299</v>
      </c>
      <c r="I163" s="10"/>
      <c r="J163" s="536" t="s">
        <v>11411</v>
      </c>
      <c r="K163" s="536">
        <v>6805.0</v>
      </c>
    </row>
    <row r="164" hidden="1">
      <c r="A164" s="531" t="s">
        <v>11412</v>
      </c>
      <c r="B164" s="531">
        <v>986.0</v>
      </c>
      <c r="C164" s="11" t="s">
        <v>11298</v>
      </c>
      <c r="D164" s="533">
        <v>0.85</v>
      </c>
      <c r="E164" s="533">
        <v>0.85</v>
      </c>
      <c r="F164" s="11" t="s">
        <v>1656</v>
      </c>
      <c r="G164" s="10"/>
      <c r="H164" s="11" t="s">
        <v>11299</v>
      </c>
      <c r="I164" s="10"/>
      <c r="J164" s="536" t="s">
        <v>11413</v>
      </c>
      <c r="K164" s="536">
        <v>6777.0</v>
      </c>
    </row>
    <row r="165" hidden="1">
      <c r="A165" s="531" t="s">
        <v>11414</v>
      </c>
      <c r="B165" s="175">
        <v>6678.0</v>
      </c>
      <c r="C165" s="11" t="s">
        <v>11298</v>
      </c>
      <c r="D165" s="533">
        <v>0.75</v>
      </c>
      <c r="E165" s="533">
        <v>0.75</v>
      </c>
      <c r="F165" s="11" t="s">
        <v>1656</v>
      </c>
      <c r="G165" s="10"/>
      <c r="H165" s="11" t="s">
        <v>11299</v>
      </c>
      <c r="I165" s="10"/>
      <c r="J165" s="536" t="s">
        <v>11415</v>
      </c>
      <c r="K165" s="536">
        <v>6777.0</v>
      </c>
    </row>
    <row r="166" hidden="1">
      <c r="A166" s="531" t="s">
        <v>11416</v>
      </c>
      <c r="B166" s="531">
        <v>14590.0</v>
      </c>
      <c r="C166" s="11" t="s">
        <v>11298</v>
      </c>
      <c r="D166" s="533">
        <v>0.9</v>
      </c>
      <c r="E166" s="533">
        <v>0.9</v>
      </c>
      <c r="F166" s="11" t="s">
        <v>1656</v>
      </c>
      <c r="G166" s="10"/>
      <c r="H166" s="11" t="s">
        <v>11299</v>
      </c>
      <c r="I166" s="10"/>
      <c r="J166" s="536" t="s">
        <v>11417</v>
      </c>
      <c r="K166" s="536">
        <v>986.0</v>
      </c>
    </row>
    <row r="167" hidden="1">
      <c r="A167" s="531" t="s">
        <v>11418</v>
      </c>
      <c r="B167" s="531">
        <v>14590.0</v>
      </c>
      <c r="C167" s="11" t="s">
        <v>11298</v>
      </c>
      <c r="D167" s="533">
        <v>0.9</v>
      </c>
      <c r="E167" s="533">
        <v>0.9</v>
      </c>
      <c r="F167" s="11" t="s">
        <v>1656</v>
      </c>
      <c r="G167" s="10"/>
      <c r="H167" s="11" t="s">
        <v>11299</v>
      </c>
      <c r="I167" s="10"/>
      <c r="J167" s="536" t="s">
        <v>11419</v>
      </c>
      <c r="K167" s="536">
        <v>986.0</v>
      </c>
    </row>
    <row r="168" hidden="1">
      <c r="A168" s="531" t="s">
        <v>9776</v>
      </c>
      <c r="B168" s="531">
        <v>7023.0</v>
      </c>
      <c r="C168" s="11" t="s">
        <v>11298</v>
      </c>
      <c r="D168" s="533">
        <v>0.75</v>
      </c>
      <c r="E168" s="533">
        <v>0.75</v>
      </c>
      <c r="F168" s="11" t="s">
        <v>1656</v>
      </c>
      <c r="G168" s="10"/>
      <c r="H168" s="11" t="s">
        <v>11299</v>
      </c>
      <c r="I168" s="10"/>
      <c r="J168" s="536" t="s">
        <v>11420</v>
      </c>
      <c r="K168" s="536">
        <v>986.0</v>
      </c>
    </row>
    <row r="169" hidden="1">
      <c r="A169" s="531" t="s">
        <v>11421</v>
      </c>
      <c r="B169" s="531">
        <v>7862.0</v>
      </c>
      <c r="C169" s="11" t="s">
        <v>11298</v>
      </c>
      <c r="D169" s="533">
        <v>0.75</v>
      </c>
      <c r="E169" s="533">
        <v>0.75</v>
      </c>
      <c r="F169" s="11" t="s">
        <v>1656</v>
      </c>
      <c r="G169" s="10"/>
      <c r="H169" s="11" t="s">
        <v>11299</v>
      </c>
      <c r="I169" s="10"/>
      <c r="J169" s="536" t="s">
        <v>11422</v>
      </c>
      <c r="K169" s="536">
        <v>986.0</v>
      </c>
    </row>
    <row r="170" hidden="1">
      <c r="A170" s="531" t="s">
        <v>11423</v>
      </c>
      <c r="B170" s="531">
        <v>14590.0</v>
      </c>
      <c r="C170" s="11" t="s">
        <v>11298</v>
      </c>
      <c r="D170" s="533">
        <v>0.9</v>
      </c>
      <c r="E170" s="533">
        <v>0.9</v>
      </c>
      <c r="F170" s="11" t="s">
        <v>1656</v>
      </c>
      <c r="G170" s="10"/>
      <c r="H170" s="11" t="s">
        <v>11299</v>
      </c>
      <c r="I170" s="10"/>
      <c r="J170" s="536" t="s">
        <v>11424</v>
      </c>
      <c r="K170" s="536">
        <v>986.0</v>
      </c>
    </row>
    <row r="171" hidden="1">
      <c r="A171" s="531" t="s">
        <v>11425</v>
      </c>
      <c r="B171" s="531">
        <v>986.0</v>
      </c>
      <c r="C171" s="11" t="s">
        <v>11298</v>
      </c>
      <c r="D171" s="533">
        <v>0.85</v>
      </c>
      <c r="E171" s="533">
        <v>0.85</v>
      </c>
      <c r="F171" s="11" t="s">
        <v>1656</v>
      </c>
      <c r="G171" s="10"/>
      <c r="H171" s="11" t="s">
        <v>11299</v>
      </c>
      <c r="I171" s="10"/>
      <c r="J171" s="536" t="s">
        <v>11426</v>
      </c>
      <c r="K171" s="536">
        <v>986.0</v>
      </c>
    </row>
    <row r="172" hidden="1">
      <c r="A172" s="531" t="s">
        <v>11427</v>
      </c>
      <c r="B172" s="531">
        <v>11774.0</v>
      </c>
      <c r="C172" s="11" t="s">
        <v>11298</v>
      </c>
      <c r="D172" s="533">
        <v>0.75</v>
      </c>
      <c r="E172" s="533">
        <v>0.75</v>
      </c>
      <c r="F172" s="11" t="s">
        <v>1656</v>
      </c>
      <c r="G172" s="10"/>
      <c r="H172" s="11" t="s">
        <v>11299</v>
      </c>
      <c r="I172" s="10"/>
      <c r="J172" s="536" t="s">
        <v>11428</v>
      </c>
      <c r="K172" s="536">
        <v>986.0</v>
      </c>
    </row>
    <row r="173" hidden="1">
      <c r="A173" s="531" t="s">
        <v>11429</v>
      </c>
      <c r="B173" s="531">
        <v>986.0</v>
      </c>
      <c r="C173" s="11" t="s">
        <v>11298</v>
      </c>
      <c r="D173" s="533">
        <v>0.85</v>
      </c>
      <c r="E173" s="533">
        <v>0.85</v>
      </c>
      <c r="F173" s="11" t="s">
        <v>1656</v>
      </c>
      <c r="G173" s="10"/>
      <c r="H173" s="11" t="s">
        <v>11299</v>
      </c>
      <c r="I173" s="10"/>
      <c r="J173" s="536" t="s">
        <v>11430</v>
      </c>
      <c r="K173" s="536">
        <v>986.0</v>
      </c>
    </row>
    <row r="174" hidden="1">
      <c r="A174" s="531" t="s">
        <v>11431</v>
      </c>
      <c r="B174" s="531">
        <v>8274.0</v>
      </c>
      <c r="C174" s="11" t="s">
        <v>11298</v>
      </c>
      <c r="D174" s="533">
        <v>0.85</v>
      </c>
      <c r="E174" s="533">
        <v>0.85</v>
      </c>
      <c r="F174" s="11" t="s">
        <v>1656</v>
      </c>
      <c r="G174" s="10"/>
      <c r="H174" s="11" t="s">
        <v>11299</v>
      </c>
      <c r="I174" s="10"/>
      <c r="J174" s="536" t="s">
        <v>11432</v>
      </c>
      <c r="K174" s="536">
        <v>986.0</v>
      </c>
    </row>
    <row r="175" hidden="1">
      <c r="A175" s="531" t="s">
        <v>11433</v>
      </c>
      <c r="B175" s="531">
        <v>14590.0</v>
      </c>
      <c r="C175" s="11" t="s">
        <v>11298</v>
      </c>
      <c r="D175" s="533">
        <v>0.9</v>
      </c>
      <c r="E175" s="533">
        <v>0.9</v>
      </c>
      <c r="F175" s="11" t="s">
        <v>1656</v>
      </c>
      <c r="G175" s="10"/>
      <c r="H175" s="11" t="s">
        <v>11299</v>
      </c>
      <c r="I175" s="10"/>
      <c r="J175" s="536" t="s">
        <v>11434</v>
      </c>
      <c r="K175" s="536">
        <v>986.0</v>
      </c>
    </row>
    <row r="176" hidden="1">
      <c r="A176" s="531" t="s">
        <v>11435</v>
      </c>
      <c r="B176" s="531">
        <v>189.0</v>
      </c>
      <c r="C176" s="11" t="s">
        <v>11298</v>
      </c>
      <c r="D176" s="533">
        <v>0.88</v>
      </c>
      <c r="E176" s="533">
        <v>0.88</v>
      </c>
      <c r="F176" s="11" t="s">
        <v>1656</v>
      </c>
      <c r="G176" s="10"/>
      <c r="H176" s="11" t="s">
        <v>11299</v>
      </c>
      <c r="I176" s="10"/>
      <c r="J176" s="536" t="s">
        <v>11436</v>
      </c>
      <c r="K176" s="536">
        <v>6778.0</v>
      </c>
    </row>
    <row r="177" hidden="1">
      <c r="A177" s="531" t="s">
        <v>11437</v>
      </c>
      <c r="B177" s="531">
        <v>2345.0</v>
      </c>
      <c r="C177" s="11" t="s">
        <v>11298</v>
      </c>
      <c r="D177" s="533">
        <v>0.9</v>
      </c>
      <c r="E177" s="533">
        <v>0.9</v>
      </c>
      <c r="F177" s="11" t="s">
        <v>1656</v>
      </c>
      <c r="G177" s="10"/>
      <c r="H177" s="11" t="s">
        <v>11299</v>
      </c>
      <c r="I177" s="10"/>
      <c r="J177" s="536" t="s">
        <v>11438</v>
      </c>
      <c r="K177" s="536">
        <v>3231.0</v>
      </c>
    </row>
    <row r="178" hidden="1">
      <c r="A178" s="531" t="s">
        <v>11234</v>
      </c>
      <c r="B178" s="531">
        <v>2345.0</v>
      </c>
      <c r="C178" s="11" t="s">
        <v>11298</v>
      </c>
      <c r="D178" s="533">
        <v>0.9</v>
      </c>
      <c r="E178" s="533">
        <v>0.9</v>
      </c>
      <c r="F178" s="11" t="s">
        <v>1656</v>
      </c>
      <c r="G178" s="10"/>
      <c r="H178" s="11" t="s">
        <v>11299</v>
      </c>
      <c r="I178" s="10"/>
      <c r="J178" s="536" t="s">
        <v>11439</v>
      </c>
      <c r="K178" s="536">
        <v>6778.0</v>
      </c>
    </row>
    <row r="179">
      <c r="A179" s="531" t="s">
        <v>11440</v>
      </c>
      <c r="B179" s="531">
        <v>6675.0</v>
      </c>
      <c r="C179" s="11" t="s">
        <v>11298</v>
      </c>
      <c r="D179" s="533">
        <v>0.9</v>
      </c>
      <c r="E179" s="533">
        <v>0.9</v>
      </c>
      <c r="F179" s="11" t="s">
        <v>1656</v>
      </c>
      <c r="G179" s="10"/>
      <c r="H179" s="11" t="s">
        <v>11299</v>
      </c>
      <c r="I179" s="10"/>
      <c r="J179" s="536" t="s">
        <v>11441</v>
      </c>
      <c r="K179" s="536">
        <v>2345.0</v>
      </c>
    </row>
    <row r="180" hidden="1">
      <c r="A180" s="531" t="s">
        <v>11442</v>
      </c>
      <c r="B180" s="544">
        <v>14649.0</v>
      </c>
      <c r="C180" s="11" t="s">
        <v>11298</v>
      </c>
      <c r="D180" s="533">
        <v>0.75</v>
      </c>
      <c r="E180" s="533">
        <v>0.75</v>
      </c>
      <c r="F180" s="11" t="s">
        <v>1656</v>
      </c>
      <c r="G180" s="10"/>
      <c r="H180" s="11" t="s">
        <v>11299</v>
      </c>
      <c r="I180" s="10"/>
      <c r="J180" s="536" t="s">
        <v>11443</v>
      </c>
      <c r="K180" s="536">
        <v>2345.0</v>
      </c>
    </row>
    <row r="181" hidden="1">
      <c r="A181" s="531" t="s">
        <v>11444</v>
      </c>
      <c r="B181" s="531">
        <v>10861.0</v>
      </c>
      <c r="C181" s="11" t="s">
        <v>11298</v>
      </c>
      <c r="D181" s="533">
        <v>0.75</v>
      </c>
      <c r="E181" s="533">
        <v>0.75</v>
      </c>
      <c r="F181" s="11" t="s">
        <v>1656</v>
      </c>
      <c r="G181" s="10"/>
      <c r="H181" s="11" t="s">
        <v>11299</v>
      </c>
      <c r="I181" s="10"/>
      <c r="J181" s="536" t="s">
        <v>11445</v>
      </c>
      <c r="K181" s="536">
        <v>2345.0</v>
      </c>
    </row>
    <row r="182" hidden="1">
      <c r="A182" s="531" t="s">
        <v>11446</v>
      </c>
      <c r="B182" s="531">
        <v>7149.0</v>
      </c>
      <c r="C182" s="11" t="s">
        <v>11298</v>
      </c>
      <c r="D182" s="533">
        <v>0.75</v>
      </c>
      <c r="E182" s="533">
        <v>0.75</v>
      </c>
      <c r="F182" s="11" t="s">
        <v>1656</v>
      </c>
      <c r="G182" s="10"/>
      <c r="H182" s="11" t="s">
        <v>11299</v>
      </c>
      <c r="I182" s="10"/>
      <c r="J182" s="536" t="s">
        <v>11447</v>
      </c>
      <c r="K182" s="536">
        <v>2345.0</v>
      </c>
    </row>
    <row r="183" hidden="1">
      <c r="A183" s="531" t="s">
        <v>11448</v>
      </c>
      <c r="B183" s="531">
        <v>315.0</v>
      </c>
      <c r="C183" s="11" t="s">
        <v>11298</v>
      </c>
      <c r="D183" s="533">
        <v>0.75</v>
      </c>
      <c r="E183" s="533">
        <v>0.75</v>
      </c>
      <c r="F183" s="11" t="s">
        <v>1656</v>
      </c>
      <c r="G183" s="10"/>
      <c r="H183" s="11" t="s">
        <v>11299</v>
      </c>
      <c r="I183" s="10"/>
      <c r="J183" s="536" t="s">
        <v>11449</v>
      </c>
      <c r="K183" s="536">
        <v>2345.0</v>
      </c>
    </row>
    <row r="184" hidden="1">
      <c r="A184" s="531" t="s">
        <v>11450</v>
      </c>
      <c r="B184" s="531">
        <v>14590.0</v>
      </c>
      <c r="C184" s="11" t="s">
        <v>11298</v>
      </c>
      <c r="D184" s="533">
        <v>0.9</v>
      </c>
      <c r="E184" s="533">
        <v>0.9</v>
      </c>
      <c r="F184" s="11" t="s">
        <v>1656</v>
      </c>
      <c r="G184" s="10"/>
      <c r="H184" s="11" t="s">
        <v>11299</v>
      </c>
      <c r="I184" s="10"/>
      <c r="J184" s="536" t="s">
        <v>11451</v>
      </c>
      <c r="K184" s="536">
        <v>2345.0</v>
      </c>
    </row>
    <row r="185" hidden="1">
      <c r="A185" s="531" t="s">
        <v>11452</v>
      </c>
      <c r="B185" s="544">
        <v>6893.0</v>
      </c>
      <c r="C185" s="11" t="s">
        <v>11298</v>
      </c>
      <c r="D185" s="533">
        <v>0.75</v>
      </c>
      <c r="E185" s="533">
        <v>0.75</v>
      </c>
      <c r="F185" s="11" t="s">
        <v>1656</v>
      </c>
      <c r="G185" s="10"/>
      <c r="H185" s="11" t="s">
        <v>11299</v>
      </c>
      <c r="I185" s="10"/>
      <c r="J185" s="536" t="s">
        <v>11453</v>
      </c>
      <c r="K185" s="536">
        <v>2345.0</v>
      </c>
    </row>
    <row r="186" hidden="1">
      <c r="A186" s="531" t="s">
        <v>11454</v>
      </c>
      <c r="B186" s="531">
        <v>986.0</v>
      </c>
      <c r="C186" s="11" t="s">
        <v>11298</v>
      </c>
      <c r="D186" s="533">
        <v>0.85</v>
      </c>
      <c r="E186" s="533">
        <v>0.85</v>
      </c>
      <c r="F186" s="11" t="s">
        <v>1656</v>
      </c>
      <c r="G186" s="10"/>
      <c r="H186" s="11" t="s">
        <v>11299</v>
      </c>
      <c r="I186" s="10"/>
      <c r="J186" s="536" t="s">
        <v>11455</v>
      </c>
      <c r="K186" s="536">
        <v>2345.0</v>
      </c>
    </row>
    <row r="187" hidden="1">
      <c r="A187" s="531" t="s">
        <v>11456</v>
      </c>
      <c r="B187" s="531">
        <v>986.0</v>
      </c>
      <c r="C187" s="11" t="s">
        <v>11298</v>
      </c>
      <c r="D187" s="533">
        <v>0.85</v>
      </c>
      <c r="E187" s="533">
        <v>0.85</v>
      </c>
      <c r="F187" s="11" t="s">
        <v>1656</v>
      </c>
      <c r="G187" s="10"/>
      <c r="H187" s="11" t="s">
        <v>11299</v>
      </c>
      <c r="I187" s="10"/>
      <c r="J187" s="536" t="s">
        <v>11457</v>
      </c>
      <c r="K187" s="536">
        <v>2345.0</v>
      </c>
    </row>
    <row r="188" hidden="1">
      <c r="A188" s="531" t="s">
        <v>9592</v>
      </c>
      <c r="B188" s="531">
        <v>2345.0</v>
      </c>
      <c r="C188" s="11" t="s">
        <v>11298</v>
      </c>
      <c r="D188" s="533">
        <v>0.9</v>
      </c>
      <c r="E188" s="533">
        <v>0.9</v>
      </c>
      <c r="F188" s="11" t="s">
        <v>1656</v>
      </c>
      <c r="G188" s="10"/>
      <c r="H188" s="11" t="s">
        <v>11299</v>
      </c>
      <c r="I188" s="10"/>
      <c r="J188" s="536" t="s">
        <v>11458</v>
      </c>
      <c r="K188" s="536">
        <v>2345.0</v>
      </c>
    </row>
    <row r="189" hidden="1">
      <c r="A189" s="531" t="s">
        <v>11326</v>
      </c>
      <c r="B189" s="531">
        <v>2345.0</v>
      </c>
      <c r="C189" s="11" t="s">
        <v>11298</v>
      </c>
      <c r="D189" s="533">
        <v>0.9</v>
      </c>
      <c r="E189" s="533">
        <v>0.9</v>
      </c>
      <c r="F189" s="11" t="s">
        <v>1656</v>
      </c>
      <c r="G189" s="10"/>
      <c r="H189" s="11" t="s">
        <v>11299</v>
      </c>
      <c r="I189" s="10"/>
      <c r="J189" s="536" t="s">
        <v>11459</v>
      </c>
      <c r="K189" s="536">
        <v>2345.0</v>
      </c>
    </row>
    <row r="190" hidden="1">
      <c r="A190" s="531" t="s">
        <v>11460</v>
      </c>
      <c r="B190" s="531">
        <v>6732.0</v>
      </c>
      <c r="C190" s="11" t="s">
        <v>11298</v>
      </c>
      <c r="D190" s="533">
        <v>0.8</v>
      </c>
      <c r="E190" s="533">
        <v>0.8</v>
      </c>
      <c r="F190" s="11" t="s">
        <v>1656</v>
      </c>
      <c r="G190" s="10"/>
      <c r="H190" s="11" t="s">
        <v>11299</v>
      </c>
      <c r="I190" s="10"/>
      <c r="J190" s="536" t="s">
        <v>11461</v>
      </c>
      <c r="K190" s="536">
        <v>4933.0</v>
      </c>
    </row>
    <row r="191" hidden="1">
      <c r="A191" s="531" t="s">
        <v>11286</v>
      </c>
      <c r="B191" s="531">
        <v>6712.0</v>
      </c>
      <c r="C191" s="11" t="s">
        <v>11298</v>
      </c>
      <c r="D191" s="533">
        <v>0.75</v>
      </c>
      <c r="E191" s="533">
        <v>0.75</v>
      </c>
      <c r="F191" s="11" t="s">
        <v>1656</v>
      </c>
      <c r="G191" s="10"/>
      <c r="H191" s="11" t="s">
        <v>11299</v>
      </c>
      <c r="I191" s="10"/>
      <c r="J191" s="536" t="s">
        <v>11462</v>
      </c>
      <c r="K191" s="536">
        <v>4933.0</v>
      </c>
    </row>
    <row r="192" hidden="1">
      <c r="A192" s="531" t="s">
        <v>11463</v>
      </c>
      <c r="B192" s="531">
        <v>5458.0</v>
      </c>
      <c r="C192" s="11" t="s">
        <v>11298</v>
      </c>
      <c r="D192" s="533">
        <v>0.75</v>
      </c>
      <c r="E192" s="533">
        <v>0.75</v>
      </c>
      <c r="F192" s="11" t="s">
        <v>1656</v>
      </c>
      <c r="G192" s="10"/>
      <c r="H192" s="11" t="s">
        <v>11299</v>
      </c>
      <c r="I192" s="10"/>
      <c r="J192" s="536" t="s">
        <v>11464</v>
      </c>
      <c r="K192" s="536">
        <v>4933.0</v>
      </c>
    </row>
    <row r="193" hidden="1">
      <c r="A193" s="531" t="s">
        <v>11288</v>
      </c>
      <c r="B193" s="531">
        <v>14590.0</v>
      </c>
      <c r="C193" s="11" t="s">
        <v>11298</v>
      </c>
      <c r="D193" s="533">
        <v>0.9</v>
      </c>
      <c r="E193" s="533">
        <v>0.9</v>
      </c>
      <c r="F193" s="11" t="s">
        <v>1656</v>
      </c>
      <c r="G193" s="10"/>
      <c r="H193" s="11" t="s">
        <v>11299</v>
      </c>
      <c r="I193" s="10"/>
      <c r="J193" s="536" t="s">
        <v>11465</v>
      </c>
      <c r="K193" s="536">
        <v>2345.0</v>
      </c>
    </row>
    <row r="194" hidden="1">
      <c r="A194" s="531" t="s">
        <v>11353</v>
      </c>
      <c r="B194" s="531">
        <v>285.0</v>
      </c>
      <c r="C194" s="11" t="s">
        <v>11298</v>
      </c>
      <c r="D194" s="533">
        <v>0.88</v>
      </c>
      <c r="E194" s="533">
        <v>0.88</v>
      </c>
      <c r="F194" s="11" t="s">
        <v>1656</v>
      </c>
      <c r="G194" s="10"/>
      <c r="H194" s="11" t="s">
        <v>11299</v>
      </c>
      <c r="I194" s="10"/>
      <c r="J194" s="536" t="s">
        <v>11466</v>
      </c>
      <c r="K194" s="536">
        <v>2345.0</v>
      </c>
    </row>
    <row r="195" hidden="1">
      <c r="A195" s="531" t="s">
        <v>11467</v>
      </c>
      <c r="B195" s="531">
        <v>195.0</v>
      </c>
      <c r="C195" s="11" t="s">
        <v>11298</v>
      </c>
      <c r="D195" s="533">
        <v>0.75</v>
      </c>
      <c r="E195" s="533">
        <v>0.75</v>
      </c>
      <c r="F195" s="11" t="s">
        <v>1656</v>
      </c>
      <c r="G195" s="10"/>
      <c r="H195" s="11" t="s">
        <v>11299</v>
      </c>
      <c r="I195" s="10"/>
      <c r="J195" s="536" t="s">
        <v>11468</v>
      </c>
      <c r="K195" s="536">
        <v>2345.0</v>
      </c>
    </row>
    <row r="196" hidden="1">
      <c r="A196" s="531" t="s">
        <v>11469</v>
      </c>
      <c r="B196" s="531">
        <v>14590.0</v>
      </c>
      <c r="C196" s="11" t="s">
        <v>11298</v>
      </c>
      <c r="D196" s="533">
        <v>0.9</v>
      </c>
      <c r="E196" s="533">
        <v>0.9</v>
      </c>
      <c r="F196" s="11" t="s">
        <v>1656</v>
      </c>
      <c r="G196" s="10"/>
      <c r="H196" s="11" t="s">
        <v>11299</v>
      </c>
      <c r="I196" s="10"/>
      <c r="J196" s="536" t="s">
        <v>11470</v>
      </c>
      <c r="K196" s="536">
        <v>2345.0</v>
      </c>
    </row>
    <row r="197" hidden="1">
      <c r="A197" s="531" t="s">
        <v>9676</v>
      </c>
      <c r="B197" s="531">
        <v>2207.0</v>
      </c>
      <c r="C197" s="11" t="s">
        <v>11298</v>
      </c>
      <c r="D197" s="533">
        <v>0.75</v>
      </c>
      <c r="E197" s="533">
        <v>0.75</v>
      </c>
      <c r="F197" s="11" t="s">
        <v>1656</v>
      </c>
      <c r="G197" s="10"/>
      <c r="H197" s="11" t="s">
        <v>11299</v>
      </c>
      <c r="I197" s="10"/>
      <c r="J197" s="536" t="s">
        <v>11471</v>
      </c>
      <c r="K197" s="536">
        <v>5421.0</v>
      </c>
    </row>
    <row r="198" hidden="1">
      <c r="A198" s="531" t="s">
        <v>7861</v>
      </c>
      <c r="B198" s="531">
        <v>14590.0</v>
      </c>
      <c r="C198" s="11" t="s">
        <v>11298</v>
      </c>
      <c r="D198" s="533">
        <v>0.9</v>
      </c>
      <c r="E198" s="533">
        <v>0.9</v>
      </c>
      <c r="F198" s="11" t="s">
        <v>1656</v>
      </c>
      <c r="G198" s="10"/>
      <c r="H198" s="11" t="s">
        <v>11299</v>
      </c>
      <c r="I198" s="10"/>
      <c r="J198" s="536" t="s">
        <v>11472</v>
      </c>
      <c r="K198" s="536">
        <v>6799.0</v>
      </c>
    </row>
    <row r="199" hidden="1">
      <c r="A199" s="531" t="s">
        <v>11360</v>
      </c>
      <c r="B199" s="531">
        <v>14590.0</v>
      </c>
      <c r="C199" s="11" t="s">
        <v>11298</v>
      </c>
      <c r="D199" s="533">
        <v>0.9</v>
      </c>
      <c r="E199" s="533">
        <v>0.9</v>
      </c>
      <c r="F199" s="11" t="s">
        <v>1656</v>
      </c>
      <c r="G199" s="10"/>
      <c r="H199" s="11" t="s">
        <v>11299</v>
      </c>
      <c r="I199" s="10"/>
      <c r="J199" s="536" t="s">
        <v>11473</v>
      </c>
      <c r="K199" s="536">
        <v>2345.0</v>
      </c>
    </row>
    <row r="200" hidden="1">
      <c r="A200" s="531" t="s">
        <v>11474</v>
      </c>
      <c r="B200" s="531">
        <v>14590.0</v>
      </c>
      <c r="C200" s="11" t="s">
        <v>11298</v>
      </c>
      <c r="D200" s="533">
        <v>0.9</v>
      </c>
      <c r="E200" s="533">
        <v>0.9</v>
      </c>
      <c r="F200" s="11" t="s">
        <v>1656</v>
      </c>
      <c r="G200" s="10"/>
      <c r="H200" s="11" t="s">
        <v>11299</v>
      </c>
      <c r="I200" s="10"/>
      <c r="J200" s="536" t="s">
        <v>11475</v>
      </c>
      <c r="K200" s="536">
        <v>2345.0</v>
      </c>
    </row>
    <row r="201" hidden="1">
      <c r="A201" s="531" t="s">
        <v>11476</v>
      </c>
      <c r="B201" s="531">
        <v>14590.0</v>
      </c>
      <c r="C201" s="11" t="s">
        <v>11298</v>
      </c>
      <c r="D201" s="533">
        <v>0.9</v>
      </c>
      <c r="E201" s="533">
        <v>0.9</v>
      </c>
      <c r="F201" s="11" t="s">
        <v>1656</v>
      </c>
      <c r="G201" s="10"/>
      <c r="H201" s="11" t="s">
        <v>11299</v>
      </c>
      <c r="I201" s="10"/>
      <c r="J201" s="536" t="s">
        <v>11477</v>
      </c>
      <c r="K201" s="536">
        <v>2345.0</v>
      </c>
    </row>
    <row r="202" hidden="1">
      <c r="A202" s="531" t="s">
        <v>11478</v>
      </c>
      <c r="B202" s="531">
        <v>14590.0</v>
      </c>
      <c r="C202" s="11" t="s">
        <v>11298</v>
      </c>
      <c r="D202" s="533">
        <v>0.9</v>
      </c>
      <c r="E202" s="533">
        <v>0.9</v>
      </c>
      <c r="F202" s="11" t="s">
        <v>1656</v>
      </c>
      <c r="G202" s="10"/>
      <c r="H202" s="11" t="s">
        <v>11299</v>
      </c>
      <c r="I202" s="10"/>
      <c r="J202" s="536" t="s">
        <v>11479</v>
      </c>
      <c r="K202" s="536">
        <v>2345.0</v>
      </c>
    </row>
    <row r="203" hidden="1">
      <c r="A203" s="531" t="s">
        <v>11480</v>
      </c>
      <c r="B203" s="531">
        <v>14590.0</v>
      </c>
      <c r="C203" s="11" t="s">
        <v>11298</v>
      </c>
      <c r="D203" s="533">
        <v>0.9</v>
      </c>
      <c r="E203" s="533">
        <v>0.9</v>
      </c>
      <c r="F203" s="11" t="s">
        <v>1656</v>
      </c>
      <c r="G203" s="10"/>
      <c r="H203" s="11" t="s">
        <v>11299</v>
      </c>
      <c r="I203" s="10"/>
      <c r="J203" s="536" t="s">
        <v>11481</v>
      </c>
      <c r="K203" s="536">
        <v>2345.0</v>
      </c>
    </row>
    <row r="204" hidden="1">
      <c r="A204" s="531" t="s">
        <v>11482</v>
      </c>
      <c r="B204" s="531">
        <v>14590.0</v>
      </c>
      <c r="C204" s="11" t="s">
        <v>11298</v>
      </c>
      <c r="D204" s="533">
        <v>0.9</v>
      </c>
      <c r="E204" s="533">
        <v>0.9</v>
      </c>
      <c r="F204" s="11" t="s">
        <v>1656</v>
      </c>
      <c r="G204" s="10"/>
      <c r="H204" s="11" t="s">
        <v>11299</v>
      </c>
      <c r="I204" s="10"/>
      <c r="J204" s="536" t="s">
        <v>11483</v>
      </c>
      <c r="K204" s="536">
        <v>2345.0</v>
      </c>
    </row>
    <row r="205" hidden="1">
      <c r="A205" s="531" t="s">
        <v>11484</v>
      </c>
      <c r="B205" s="531">
        <v>14590.0</v>
      </c>
      <c r="C205" s="11" t="s">
        <v>11298</v>
      </c>
      <c r="D205" s="533">
        <v>0.9</v>
      </c>
      <c r="E205" s="533">
        <v>0.9</v>
      </c>
      <c r="F205" s="11" t="s">
        <v>1656</v>
      </c>
      <c r="G205" s="10"/>
      <c r="H205" s="11" t="s">
        <v>11299</v>
      </c>
      <c r="I205" s="10"/>
      <c r="J205" s="536" t="s">
        <v>11485</v>
      </c>
      <c r="K205" s="536">
        <v>2345.0</v>
      </c>
    </row>
    <row r="206" hidden="1">
      <c r="A206" s="531" t="s">
        <v>11198</v>
      </c>
      <c r="B206" s="531">
        <v>14590.0</v>
      </c>
      <c r="C206" s="11" t="s">
        <v>11298</v>
      </c>
      <c r="D206" s="533">
        <v>0.9</v>
      </c>
      <c r="E206" s="533">
        <v>0.9</v>
      </c>
      <c r="F206" s="11" t="s">
        <v>1656</v>
      </c>
      <c r="G206" s="10"/>
      <c r="H206" s="11" t="s">
        <v>11299</v>
      </c>
      <c r="I206" s="10"/>
      <c r="J206" s="536" t="s">
        <v>11486</v>
      </c>
      <c r="K206" s="536">
        <v>2345.0</v>
      </c>
    </row>
    <row r="207" hidden="1">
      <c r="A207" s="531" t="s">
        <v>11408</v>
      </c>
      <c r="B207" s="531">
        <v>2345.0</v>
      </c>
      <c r="C207" s="11" t="s">
        <v>11298</v>
      </c>
      <c r="D207" s="533">
        <v>0.9</v>
      </c>
      <c r="E207" s="533">
        <v>0.9</v>
      </c>
      <c r="F207" s="11" t="s">
        <v>1656</v>
      </c>
      <c r="G207" s="10"/>
      <c r="H207" s="11" t="s">
        <v>11299</v>
      </c>
      <c r="I207" s="10"/>
      <c r="J207" s="536" t="s">
        <v>11487</v>
      </c>
      <c r="K207" s="536">
        <v>5421.0</v>
      </c>
    </row>
    <row r="208" hidden="1">
      <c r="A208" s="531" t="s">
        <v>11488</v>
      </c>
      <c r="B208" s="531">
        <v>14590.0</v>
      </c>
      <c r="C208" s="11" t="s">
        <v>11298</v>
      </c>
      <c r="D208" s="533">
        <v>0.9</v>
      </c>
      <c r="E208" s="533">
        <v>0.9</v>
      </c>
      <c r="F208" s="11" t="s">
        <v>1656</v>
      </c>
      <c r="G208" s="10"/>
      <c r="H208" s="11" t="s">
        <v>11299</v>
      </c>
      <c r="I208" s="10"/>
      <c r="J208" s="536" t="s">
        <v>11463</v>
      </c>
      <c r="K208" s="536">
        <v>5458.0</v>
      </c>
    </row>
    <row r="209" hidden="1">
      <c r="A209" s="531" t="s">
        <v>11489</v>
      </c>
      <c r="B209" s="531">
        <v>5389.0</v>
      </c>
      <c r="C209" s="11" t="s">
        <v>11298</v>
      </c>
      <c r="D209" s="533">
        <v>0.75</v>
      </c>
      <c r="E209" s="533">
        <v>0.75</v>
      </c>
      <c r="F209" s="11" t="s">
        <v>1656</v>
      </c>
      <c r="G209" s="10"/>
      <c r="H209" s="11" t="s">
        <v>11299</v>
      </c>
      <c r="I209" s="10"/>
      <c r="J209" s="536" t="s">
        <v>11490</v>
      </c>
      <c r="K209" s="536">
        <v>6732.0</v>
      </c>
    </row>
    <row r="210" hidden="1">
      <c r="A210" s="531" t="s">
        <v>11491</v>
      </c>
      <c r="B210" s="531">
        <v>2345.0</v>
      </c>
      <c r="C210" s="11" t="s">
        <v>11298</v>
      </c>
      <c r="D210" s="533">
        <v>0.9</v>
      </c>
      <c r="E210" s="533">
        <v>0.9</v>
      </c>
      <c r="F210" s="11" t="s">
        <v>1656</v>
      </c>
      <c r="G210" s="10"/>
      <c r="H210" s="11" t="s">
        <v>11299</v>
      </c>
      <c r="I210" s="10"/>
      <c r="J210" s="536" t="s">
        <v>11492</v>
      </c>
      <c r="K210" s="536">
        <v>2345.0</v>
      </c>
    </row>
    <row r="211" hidden="1">
      <c r="A211" s="531" t="s">
        <v>11493</v>
      </c>
      <c r="B211" s="531">
        <v>14590.0</v>
      </c>
      <c r="C211" s="11" t="s">
        <v>11298</v>
      </c>
      <c r="D211" s="533">
        <v>0.9</v>
      </c>
      <c r="E211" s="533">
        <v>0.9</v>
      </c>
      <c r="F211" s="11" t="s">
        <v>1656</v>
      </c>
      <c r="G211" s="10"/>
      <c r="H211" s="11" t="s">
        <v>11299</v>
      </c>
      <c r="I211" s="10"/>
      <c r="J211" s="536" t="s">
        <v>11494</v>
      </c>
      <c r="K211" s="536">
        <v>6732.0</v>
      </c>
    </row>
    <row r="212" hidden="1">
      <c r="A212" s="531" t="s">
        <v>11182</v>
      </c>
      <c r="B212" s="531">
        <v>5458.0</v>
      </c>
      <c r="C212" s="11" t="s">
        <v>11298</v>
      </c>
      <c r="D212" s="533">
        <v>0.75</v>
      </c>
      <c r="E212" s="533">
        <v>0.75</v>
      </c>
      <c r="F212" s="11" t="s">
        <v>1656</v>
      </c>
      <c r="G212" s="10"/>
      <c r="H212" s="11" t="s">
        <v>11299</v>
      </c>
      <c r="I212" s="10"/>
      <c r="J212" s="536" t="s">
        <v>11495</v>
      </c>
      <c r="K212" s="536">
        <v>6658.0</v>
      </c>
    </row>
    <row r="213" hidden="1">
      <c r="A213" s="531" t="s">
        <v>11496</v>
      </c>
      <c r="B213" s="531">
        <v>986.0</v>
      </c>
      <c r="C213" s="11" t="s">
        <v>11298</v>
      </c>
      <c r="D213" s="533">
        <v>0.85</v>
      </c>
      <c r="E213" s="533">
        <v>0.85</v>
      </c>
      <c r="F213" s="11" t="s">
        <v>1656</v>
      </c>
      <c r="G213" s="10"/>
      <c r="H213" s="11" t="s">
        <v>11299</v>
      </c>
      <c r="I213" s="10"/>
      <c r="J213" s="536" t="s">
        <v>11497</v>
      </c>
      <c r="K213" s="536">
        <v>6658.0</v>
      </c>
    </row>
    <row r="214" hidden="1">
      <c r="A214" s="531" t="s">
        <v>11498</v>
      </c>
      <c r="B214" s="531">
        <v>6732.0</v>
      </c>
      <c r="C214" s="11" t="s">
        <v>11298</v>
      </c>
      <c r="D214" s="533">
        <v>0.8</v>
      </c>
      <c r="E214" s="533">
        <v>0.8</v>
      </c>
      <c r="F214" s="11" t="s">
        <v>1656</v>
      </c>
      <c r="G214" s="10"/>
      <c r="H214" s="11" t="s">
        <v>11299</v>
      </c>
      <c r="I214" s="10"/>
      <c r="J214" s="536" t="s">
        <v>11499</v>
      </c>
      <c r="K214" s="536">
        <v>6732.0</v>
      </c>
    </row>
    <row r="215" hidden="1">
      <c r="A215" s="531" t="s">
        <v>11500</v>
      </c>
      <c r="B215" s="531">
        <v>2345.0</v>
      </c>
      <c r="C215" s="11" t="s">
        <v>11298</v>
      </c>
      <c r="D215" s="533">
        <v>0.9</v>
      </c>
      <c r="E215" s="533">
        <v>0.9</v>
      </c>
      <c r="F215" s="11" t="s">
        <v>1656</v>
      </c>
      <c r="G215" s="10"/>
      <c r="H215" s="11" t="s">
        <v>11299</v>
      </c>
      <c r="I215" s="10"/>
      <c r="J215" s="536" t="s">
        <v>11501</v>
      </c>
      <c r="K215" s="536">
        <v>6722.0</v>
      </c>
    </row>
    <row r="216" hidden="1">
      <c r="A216" s="531" t="s">
        <v>9686</v>
      </c>
      <c r="B216" s="531">
        <v>14590.0</v>
      </c>
      <c r="C216" s="11" t="s">
        <v>11298</v>
      </c>
      <c r="D216" s="533">
        <v>0.9</v>
      </c>
      <c r="E216" s="533">
        <v>0.9</v>
      </c>
      <c r="F216" s="11" t="s">
        <v>1656</v>
      </c>
      <c r="G216" s="10"/>
      <c r="H216" s="11" t="s">
        <v>11299</v>
      </c>
      <c r="I216" s="10"/>
      <c r="J216" s="536" t="s">
        <v>11502</v>
      </c>
      <c r="K216" s="536">
        <v>6722.0</v>
      </c>
    </row>
    <row r="217" hidden="1">
      <c r="A217" s="531" t="s">
        <v>11503</v>
      </c>
      <c r="B217" s="531">
        <v>986.0</v>
      </c>
      <c r="C217" s="11" t="s">
        <v>11298</v>
      </c>
      <c r="D217" s="533">
        <v>0.85</v>
      </c>
      <c r="E217" s="533">
        <v>0.85</v>
      </c>
      <c r="F217" s="11" t="s">
        <v>1656</v>
      </c>
      <c r="G217" s="10"/>
      <c r="H217" s="11" t="s">
        <v>11299</v>
      </c>
      <c r="I217" s="10"/>
      <c r="J217" s="536" t="s">
        <v>11504</v>
      </c>
      <c r="K217" s="536">
        <v>2345.0</v>
      </c>
    </row>
    <row r="218" hidden="1">
      <c r="A218" s="531" t="s">
        <v>11505</v>
      </c>
      <c r="B218" s="531">
        <v>6732.0</v>
      </c>
      <c r="C218" s="11" t="s">
        <v>11298</v>
      </c>
      <c r="D218" s="533">
        <v>0.8</v>
      </c>
      <c r="E218" s="533">
        <v>0.8</v>
      </c>
      <c r="F218" s="11" t="s">
        <v>1656</v>
      </c>
      <c r="G218" s="10"/>
      <c r="H218" s="11" t="s">
        <v>11299</v>
      </c>
      <c r="I218" s="10"/>
      <c r="J218" s="536" t="s">
        <v>11506</v>
      </c>
      <c r="K218" s="536">
        <v>2345.0</v>
      </c>
    </row>
    <row r="219" hidden="1">
      <c r="A219" s="531" t="s">
        <v>11507</v>
      </c>
      <c r="B219" s="531">
        <v>12385.0</v>
      </c>
      <c r="C219" s="11" t="s">
        <v>11298</v>
      </c>
      <c r="D219" s="533">
        <v>0.75</v>
      </c>
      <c r="E219" s="533">
        <v>0.75</v>
      </c>
      <c r="F219" s="11" t="s">
        <v>1656</v>
      </c>
      <c r="G219" s="10"/>
      <c r="H219" s="11" t="s">
        <v>11299</v>
      </c>
      <c r="I219" s="10"/>
      <c r="J219" s="536" t="s">
        <v>11508</v>
      </c>
      <c r="K219" s="536">
        <v>2345.0</v>
      </c>
    </row>
    <row r="220" hidden="1">
      <c r="A220" s="531" t="s">
        <v>11509</v>
      </c>
      <c r="B220" s="531">
        <v>14590.0</v>
      </c>
      <c r="C220" s="11" t="s">
        <v>11298</v>
      </c>
      <c r="D220" s="533">
        <v>0.9</v>
      </c>
      <c r="E220" s="533">
        <v>0.9</v>
      </c>
      <c r="F220" s="11" t="s">
        <v>1656</v>
      </c>
      <c r="G220" s="10"/>
      <c r="H220" s="11" t="s">
        <v>11299</v>
      </c>
      <c r="I220" s="10"/>
      <c r="J220" s="536" t="s">
        <v>11510</v>
      </c>
      <c r="K220" s="536">
        <v>2345.0</v>
      </c>
    </row>
    <row r="221" hidden="1">
      <c r="A221" s="531" t="s">
        <v>11246</v>
      </c>
      <c r="B221" s="531">
        <v>6811.0</v>
      </c>
      <c r="C221" s="11" t="s">
        <v>11298</v>
      </c>
      <c r="D221" s="533">
        <v>0.75</v>
      </c>
      <c r="E221" s="533">
        <v>0.75</v>
      </c>
      <c r="F221" s="11" t="s">
        <v>1656</v>
      </c>
      <c r="G221" s="10"/>
      <c r="H221" s="11" t="s">
        <v>11299</v>
      </c>
      <c r="I221" s="10"/>
      <c r="J221" s="536" t="s">
        <v>11511</v>
      </c>
      <c r="K221" s="536">
        <v>2345.0</v>
      </c>
    </row>
    <row r="222" hidden="1">
      <c r="A222" s="531" t="s">
        <v>9713</v>
      </c>
      <c r="B222" s="531">
        <v>14590.0</v>
      </c>
      <c r="C222" s="11" t="s">
        <v>11298</v>
      </c>
      <c r="D222" s="533">
        <v>0.9</v>
      </c>
      <c r="E222" s="533">
        <v>0.9</v>
      </c>
      <c r="F222" s="11" t="s">
        <v>1656</v>
      </c>
      <c r="G222" s="10"/>
      <c r="H222" s="11" t="s">
        <v>11299</v>
      </c>
      <c r="I222" s="10"/>
      <c r="J222" s="536" t="s">
        <v>11512</v>
      </c>
      <c r="K222" s="536">
        <v>2345.0</v>
      </c>
    </row>
    <row r="223" hidden="1">
      <c r="A223" s="531" t="s">
        <v>11513</v>
      </c>
      <c r="B223" s="531">
        <v>2093.0</v>
      </c>
      <c r="C223" s="11" t="s">
        <v>11298</v>
      </c>
      <c r="D223" s="533">
        <v>0.75</v>
      </c>
      <c r="E223" s="533">
        <v>0.75</v>
      </c>
      <c r="F223" s="11" t="s">
        <v>1656</v>
      </c>
      <c r="G223" s="10"/>
      <c r="H223" s="11" t="s">
        <v>11299</v>
      </c>
      <c r="I223" s="10"/>
      <c r="J223" s="536" t="s">
        <v>11437</v>
      </c>
      <c r="K223" s="536">
        <v>2345.0</v>
      </c>
    </row>
    <row r="224" hidden="1">
      <c r="A224" s="531" t="s">
        <v>11514</v>
      </c>
      <c r="B224" s="531">
        <v>2345.0</v>
      </c>
      <c r="C224" s="11" t="s">
        <v>11298</v>
      </c>
      <c r="D224" s="533">
        <v>0.9</v>
      </c>
      <c r="E224" s="533">
        <v>0.9</v>
      </c>
      <c r="F224" s="11" t="s">
        <v>1656</v>
      </c>
      <c r="G224" s="10"/>
      <c r="H224" s="11" t="s">
        <v>11299</v>
      </c>
      <c r="I224" s="10"/>
      <c r="J224" s="536" t="s">
        <v>11515</v>
      </c>
      <c r="K224" s="536">
        <v>2345.0</v>
      </c>
    </row>
    <row r="225" hidden="1">
      <c r="A225" s="531" t="s">
        <v>11516</v>
      </c>
      <c r="B225" s="531">
        <v>930.0</v>
      </c>
      <c r="C225" s="11" t="s">
        <v>11298</v>
      </c>
      <c r="D225" s="533">
        <v>0.75</v>
      </c>
      <c r="E225" s="533">
        <v>0.75</v>
      </c>
      <c r="F225" s="11" t="s">
        <v>1656</v>
      </c>
      <c r="G225" s="10"/>
      <c r="H225" s="11" t="s">
        <v>11299</v>
      </c>
      <c r="I225" s="10"/>
      <c r="J225" s="536" t="s">
        <v>11517</v>
      </c>
      <c r="K225" s="536">
        <v>2345.0</v>
      </c>
    </row>
    <row r="226" hidden="1">
      <c r="A226" s="531" t="s">
        <v>11518</v>
      </c>
      <c r="B226" s="531">
        <v>8486.0</v>
      </c>
      <c r="C226" s="11" t="s">
        <v>11298</v>
      </c>
      <c r="D226" s="533">
        <v>0.88</v>
      </c>
      <c r="E226" s="533">
        <v>0.88</v>
      </c>
      <c r="F226" s="11" t="s">
        <v>1656</v>
      </c>
      <c r="G226" s="10"/>
      <c r="H226" s="11" t="s">
        <v>11299</v>
      </c>
      <c r="I226" s="10"/>
      <c r="J226" s="536" t="s">
        <v>11519</v>
      </c>
      <c r="K226" s="536">
        <v>2345.0</v>
      </c>
    </row>
    <row r="227" hidden="1">
      <c r="A227" s="531" t="s">
        <v>11134</v>
      </c>
      <c r="B227" s="531">
        <v>2345.0</v>
      </c>
      <c r="C227" s="11" t="s">
        <v>11298</v>
      </c>
      <c r="D227" s="533">
        <v>0.9</v>
      </c>
      <c r="E227" s="533">
        <v>0.9</v>
      </c>
      <c r="F227" s="11" t="s">
        <v>1656</v>
      </c>
      <c r="G227" s="10"/>
      <c r="H227" s="11" t="s">
        <v>11299</v>
      </c>
      <c r="I227" s="10"/>
      <c r="J227" s="536" t="s">
        <v>11520</v>
      </c>
      <c r="K227" s="536">
        <v>2345.0</v>
      </c>
    </row>
    <row r="228" hidden="1">
      <c r="A228" s="531" t="s">
        <v>11521</v>
      </c>
      <c r="B228" s="531">
        <v>14590.0</v>
      </c>
      <c r="C228" s="11" t="s">
        <v>11298</v>
      </c>
      <c r="D228" s="533">
        <v>0.9</v>
      </c>
      <c r="E228" s="533">
        <v>0.9</v>
      </c>
      <c r="F228" s="11" t="s">
        <v>1656</v>
      </c>
      <c r="G228" s="10"/>
      <c r="H228" s="11" t="s">
        <v>11299</v>
      </c>
      <c r="I228" s="10"/>
      <c r="J228" s="536" t="s">
        <v>11522</v>
      </c>
      <c r="K228" s="536">
        <v>14507.0</v>
      </c>
    </row>
    <row r="229" hidden="1">
      <c r="A229" s="531" t="s">
        <v>11403</v>
      </c>
      <c r="B229" s="531">
        <v>6796.0</v>
      </c>
      <c r="C229" s="11" t="s">
        <v>11298</v>
      </c>
      <c r="D229" s="533">
        <v>0.75</v>
      </c>
      <c r="E229" s="533">
        <v>0.75</v>
      </c>
      <c r="F229" s="11" t="s">
        <v>1656</v>
      </c>
      <c r="G229" s="10"/>
      <c r="H229" s="11" t="s">
        <v>11299</v>
      </c>
      <c r="I229" s="10"/>
      <c r="J229" s="536" t="s">
        <v>11523</v>
      </c>
      <c r="K229" s="536">
        <v>2345.0</v>
      </c>
    </row>
    <row r="230" hidden="1">
      <c r="A230" s="531" t="s">
        <v>11524</v>
      </c>
      <c r="B230" s="544">
        <v>6726.0</v>
      </c>
      <c r="C230" s="11" t="s">
        <v>11298</v>
      </c>
      <c r="D230" s="533">
        <v>0.75</v>
      </c>
      <c r="E230" s="533">
        <v>0.75</v>
      </c>
      <c r="F230" s="11" t="s">
        <v>1656</v>
      </c>
      <c r="G230" s="10"/>
      <c r="H230" s="11" t="s">
        <v>11299</v>
      </c>
      <c r="I230" s="10"/>
      <c r="J230" s="536" t="s">
        <v>11525</v>
      </c>
      <c r="K230" s="536">
        <v>2345.0</v>
      </c>
    </row>
    <row r="231" hidden="1">
      <c r="A231" s="531" t="s">
        <v>11526</v>
      </c>
      <c r="B231" s="531">
        <v>14590.0</v>
      </c>
      <c r="C231" s="11" t="s">
        <v>11298</v>
      </c>
      <c r="D231" s="533">
        <v>0.9</v>
      </c>
      <c r="E231" s="533">
        <v>0.9</v>
      </c>
      <c r="F231" s="11" t="s">
        <v>1656</v>
      </c>
      <c r="G231" s="10"/>
      <c r="H231" s="11" t="s">
        <v>11299</v>
      </c>
      <c r="I231" s="10"/>
      <c r="J231" s="536" t="s">
        <v>11527</v>
      </c>
      <c r="K231" s="536">
        <v>2345.0</v>
      </c>
    </row>
    <row r="232" hidden="1">
      <c r="A232" s="531" t="s">
        <v>9743</v>
      </c>
      <c r="B232" s="531">
        <v>6726.0</v>
      </c>
      <c r="C232" s="11" t="s">
        <v>11298</v>
      </c>
      <c r="D232" s="533">
        <v>0.75</v>
      </c>
      <c r="E232" s="533">
        <v>0.75</v>
      </c>
      <c r="F232" s="11" t="s">
        <v>1656</v>
      </c>
      <c r="G232" s="10"/>
      <c r="H232" s="11" t="s">
        <v>11299</v>
      </c>
      <c r="I232" s="10"/>
      <c r="J232" s="536" t="s">
        <v>11528</v>
      </c>
      <c r="K232" s="536">
        <v>2345.0</v>
      </c>
    </row>
    <row r="233" hidden="1">
      <c r="A233" s="531" t="s">
        <v>11529</v>
      </c>
      <c r="B233" s="531">
        <v>6697.0</v>
      </c>
      <c r="C233" s="11" t="s">
        <v>11298</v>
      </c>
      <c r="D233" s="533">
        <v>0.75</v>
      </c>
      <c r="E233" s="533">
        <v>0.75</v>
      </c>
      <c r="F233" s="11" t="s">
        <v>1656</v>
      </c>
      <c r="G233" s="10"/>
      <c r="H233" s="11" t="s">
        <v>11299</v>
      </c>
      <c r="I233" s="10"/>
      <c r="J233" s="536" t="s">
        <v>11530</v>
      </c>
      <c r="K233" s="536">
        <v>2345.0</v>
      </c>
    </row>
    <row r="234" hidden="1">
      <c r="A234" s="531" t="s">
        <v>9663</v>
      </c>
      <c r="B234" s="531">
        <v>14638.0</v>
      </c>
      <c r="C234" s="11" t="s">
        <v>11298</v>
      </c>
      <c r="D234" s="533">
        <v>0.75</v>
      </c>
      <c r="E234" s="533">
        <v>0.75</v>
      </c>
      <c r="F234" s="11" t="s">
        <v>1656</v>
      </c>
      <c r="G234" s="10"/>
      <c r="H234" s="11" t="s">
        <v>11299</v>
      </c>
      <c r="I234" s="10"/>
      <c r="J234" s="536" t="s">
        <v>11531</v>
      </c>
      <c r="K234" s="536">
        <v>2345.0</v>
      </c>
    </row>
    <row r="235" hidden="1">
      <c r="A235" s="531" t="s">
        <v>11532</v>
      </c>
      <c r="B235" s="531">
        <v>14590.0</v>
      </c>
      <c r="C235" s="11" t="s">
        <v>11298</v>
      </c>
      <c r="D235" s="533">
        <v>0.9</v>
      </c>
      <c r="E235" s="533">
        <v>0.9</v>
      </c>
      <c r="F235" s="11" t="s">
        <v>1656</v>
      </c>
      <c r="G235" s="10"/>
      <c r="H235" s="11" t="s">
        <v>11299</v>
      </c>
      <c r="I235" s="10"/>
      <c r="J235" s="536" t="s">
        <v>11533</v>
      </c>
      <c r="K235" s="536">
        <v>2345.0</v>
      </c>
    </row>
    <row r="236" hidden="1">
      <c r="A236" s="531" t="s">
        <v>11534</v>
      </c>
      <c r="B236" s="531">
        <v>14590.0</v>
      </c>
      <c r="C236" s="11" t="s">
        <v>11298</v>
      </c>
      <c r="D236" s="533">
        <v>0.9</v>
      </c>
      <c r="E236" s="533">
        <v>0.9</v>
      </c>
      <c r="F236" s="11" t="s">
        <v>1656</v>
      </c>
      <c r="G236" s="10"/>
      <c r="H236" s="11" t="s">
        <v>11299</v>
      </c>
      <c r="I236" s="10"/>
      <c r="J236" s="536" t="s">
        <v>11535</v>
      </c>
      <c r="K236" s="536">
        <v>2345.0</v>
      </c>
    </row>
    <row r="237" hidden="1">
      <c r="A237" s="531" t="s">
        <v>7796</v>
      </c>
      <c r="B237" s="531">
        <v>2345.0</v>
      </c>
      <c r="C237" s="11" t="s">
        <v>11298</v>
      </c>
      <c r="D237" s="533">
        <v>0.9</v>
      </c>
      <c r="E237" s="533">
        <v>0.9</v>
      </c>
      <c r="F237" s="11" t="s">
        <v>1656</v>
      </c>
      <c r="G237" s="10"/>
      <c r="H237" s="11" t="s">
        <v>11299</v>
      </c>
      <c r="I237" s="10"/>
      <c r="J237" s="536" t="s">
        <v>11536</v>
      </c>
      <c r="K237" s="536">
        <v>2345.0</v>
      </c>
    </row>
    <row r="238" hidden="1">
      <c r="A238" s="531" t="s">
        <v>11537</v>
      </c>
      <c r="B238" s="531">
        <v>14590.0</v>
      </c>
      <c r="C238" s="11" t="s">
        <v>11298</v>
      </c>
      <c r="D238" s="533">
        <v>0.9</v>
      </c>
      <c r="E238" s="533">
        <v>0.9</v>
      </c>
      <c r="F238" s="11" t="s">
        <v>1656</v>
      </c>
      <c r="G238" s="10"/>
      <c r="H238" s="11" t="s">
        <v>11299</v>
      </c>
      <c r="I238" s="10"/>
      <c r="J238" s="536" t="s">
        <v>11538</v>
      </c>
      <c r="K238" s="536">
        <v>2345.0</v>
      </c>
    </row>
    <row r="239" hidden="1">
      <c r="A239" s="531" t="s">
        <v>11539</v>
      </c>
      <c r="B239" s="531">
        <v>10258.0</v>
      </c>
      <c r="C239" s="11" t="s">
        <v>11298</v>
      </c>
      <c r="D239" s="533">
        <v>0.75</v>
      </c>
      <c r="E239" s="533">
        <v>0.75</v>
      </c>
      <c r="F239" s="11" t="s">
        <v>1656</v>
      </c>
      <c r="G239" s="10"/>
      <c r="H239" s="11" t="s">
        <v>11299</v>
      </c>
      <c r="I239" s="10"/>
      <c r="J239" s="536" t="s">
        <v>11540</v>
      </c>
      <c r="K239" s="536">
        <v>2345.0</v>
      </c>
    </row>
    <row r="240" hidden="1">
      <c r="A240" s="531" t="s">
        <v>11541</v>
      </c>
      <c r="B240" s="531">
        <v>14534.0</v>
      </c>
      <c r="C240" s="11" t="s">
        <v>11298</v>
      </c>
      <c r="D240" s="533">
        <v>0.75</v>
      </c>
      <c r="E240" s="533">
        <v>0.75</v>
      </c>
      <c r="F240" s="11" t="s">
        <v>1656</v>
      </c>
      <c r="G240" s="10"/>
      <c r="H240" s="11" t="s">
        <v>11299</v>
      </c>
      <c r="I240" s="10"/>
      <c r="J240" s="536" t="s">
        <v>11542</v>
      </c>
      <c r="K240" s="536">
        <v>2345.0</v>
      </c>
    </row>
    <row r="241" hidden="1">
      <c r="A241" s="531" t="s">
        <v>11543</v>
      </c>
      <c r="B241" s="531">
        <v>10258.0</v>
      </c>
      <c r="C241" s="11" t="s">
        <v>11298</v>
      </c>
      <c r="D241" s="533">
        <v>0.75</v>
      </c>
      <c r="E241" s="533">
        <v>0.75</v>
      </c>
      <c r="F241" s="11" t="s">
        <v>1656</v>
      </c>
      <c r="G241" s="10"/>
      <c r="H241" s="11" t="s">
        <v>11299</v>
      </c>
      <c r="I241" s="10"/>
      <c r="J241" s="536" t="s">
        <v>11544</v>
      </c>
      <c r="K241" s="536">
        <v>2345.0</v>
      </c>
    </row>
    <row r="242" hidden="1">
      <c r="A242" s="531" t="s">
        <v>11393</v>
      </c>
      <c r="B242" s="531">
        <v>6732.0</v>
      </c>
      <c r="C242" s="11" t="s">
        <v>11298</v>
      </c>
      <c r="D242" s="533">
        <v>0.8</v>
      </c>
      <c r="E242" s="533">
        <v>0.8</v>
      </c>
      <c r="F242" s="11" t="s">
        <v>1656</v>
      </c>
      <c r="G242" s="10"/>
      <c r="H242" s="11" t="s">
        <v>11299</v>
      </c>
      <c r="I242" s="10"/>
      <c r="J242" s="536" t="s">
        <v>11545</v>
      </c>
      <c r="K242" s="536">
        <v>2345.0</v>
      </c>
    </row>
    <row r="243" hidden="1">
      <c r="A243" s="531" t="s">
        <v>11546</v>
      </c>
      <c r="B243" s="531">
        <v>14534.0</v>
      </c>
      <c r="C243" s="11" t="s">
        <v>11298</v>
      </c>
      <c r="D243" s="533">
        <v>0.75</v>
      </c>
      <c r="E243" s="533">
        <v>0.75</v>
      </c>
      <c r="F243" s="11" t="s">
        <v>1656</v>
      </c>
      <c r="G243" s="10"/>
      <c r="H243" s="11" t="s">
        <v>11299</v>
      </c>
      <c r="I243" s="10"/>
      <c r="J243" s="536" t="s">
        <v>11547</v>
      </c>
      <c r="K243" s="536">
        <v>986.0</v>
      </c>
    </row>
    <row r="244" hidden="1">
      <c r="A244" s="531" t="s">
        <v>11548</v>
      </c>
      <c r="B244" s="531">
        <v>7628.0</v>
      </c>
      <c r="C244" s="11" t="s">
        <v>11298</v>
      </c>
      <c r="D244" s="533">
        <v>0.75</v>
      </c>
      <c r="E244" s="533">
        <v>0.75</v>
      </c>
      <c r="F244" s="11" t="s">
        <v>1656</v>
      </c>
      <c r="G244" s="10"/>
      <c r="H244" s="11" t="s">
        <v>11299</v>
      </c>
      <c r="I244" s="10"/>
      <c r="J244" s="536" t="s">
        <v>11454</v>
      </c>
      <c r="K244" s="536">
        <v>986.0</v>
      </c>
    </row>
    <row r="245" hidden="1">
      <c r="A245" s="531" t="s">
        <v>7798</v>
      </c>
      <c r="B245" s="531">
        <v>2345.0</v>
      </c>
      <c r="C245" s="11" t="s">
        <v>11298</v>
      </c>
      <c r="D245" s="533">
        <v>0.9</v>
      </c>
      <c r="E245" s="533">
        <v>0.9</v>
      </c>
      <c r="F245" s="11" t="s">
        <v>1656</v>
      </c>
      <c r="G245" s="10"/>
      <c r="H245" s="11" t="s">
        <v>11299</v>
      </c>
      <c r="I245" s="10"/>
      <c r="J245" s="536" t="s">
        <v>11549</v>
      </c>
      <c r="K245" s="536">
        <v>986.0</v>
      </c>
    </row>
    <row r="246" hidden="1">
      <c r="A246" s="531" t="s">
        <v>11550</v>
      </c>
      <c r="B246" s="531">
        <v>986.0</v>
      </c>
      <c r="C246" s="11" t="s">
        <v>11298</v>
      </c>
      <c r="D246" s="533">
        <v>0.85</v>
      </c>
      <c r="E246" s="533">
        <v>0.85</v>
      </c>
      <c r="F246" s="11" t="s">
        <v>1656</v>
      </c>
      <c r="G246" s="10"/>
      <c r="H246" s="11" t="s">
        <v>11299</v>
      </c>
      <c r="I246" s="10"/>
      <c r="J246" s="536" t="s">
        <v>7814</v>
      </c>
      <c r="K246" s="536">
        <v>986.0</v>
      </c>
    </row>
    <row r="247" hidden="1">
      <c r="A247" s="531" t="s">
        <v>11551</v>
      </c>
      <c r="B247" s="531">
        <v>6873.0</v>
      </c>
      <c r="C247" s="11" t="s">
        <v>11298</v>
      </c>
      <c r="D247" s="533">
        <v>0.75</v>
      </c>
      <c r="E247" s="533">
        <v>0.75</v>
      </c>
      <c r="F247" s="11" t="s">
        <v>1656</v>
      </c>
      <c r="G247" s="10"/>
      <c r="H247" s="11" t="s">
        <v>11299</v>
      </c>
      <c r="I247" s="10"/>
      <c r="J247" s="536" t="s">
        <v>11552</v>
      </c>
      <c r="K247" s="536">
        <v>986.0</v>
      </c>
    </row>
    <row r="248" hidden="1">
      <c r="A248" s="531" t="s">
        <v>11553</v>
      </c>
      <c r="B248" s="531">
        <v>7003.0</v>
      </c>
      <c r="C248" s="11" t="s">
        <v>11298</v>
      </c>
      <c r="D248" s="533">
        <v>0.85</v>
      </c>
      <c r="E248" s="533">
        <v>0.85</v>
      </c>
      <c r="F248" s="11" t="s">
        <v>1656</v>
      </c>
      <c r="G248" s="10"/>
      <c r="H248" s="11" t="s">
        <v>11299</v>
      </c>
      <c r="I248" s="10"/>
      <c r="J248" s="536" t="s">
        <v>11554</v>
      </c>
      <c r="K248" s="536">
        <v>986.0</v>
      </c>
    </row>
    <row r="249" hidden="1">
      <c r="A249" s="531" t="s">
        <v>11555</v>
      </c>
      <c r="B249" s="531">
        <v>7142.0</v>
      </c>
      <c r="C249" s="11" t="s">
        <v>11298</v>
      </c>
      <c r="D249" s="533">
        <v>0.75</v>
      </c>
      <c r="E249" s="533">
        <v>0.75</v>
      </c>
      <c r="F249" s="11" t="s">
        <v>1656</v>
      </c>
      <c r="G249" s="10"/>
      <c r="H249" s="11" t="s">
        <v>11299</v>
      </c>
      <c r="I249" s="10"/>
      <c r="J249" s="536" t="s">
        <v>11556</v>
      </c>
      <c r="K249" s="536">
        <v>986.0</v>
      </c>
    </row>
    <row r="250" hidden="1">
      <c r="A250" s="531" t="s">
        <v>11557</v>
      </c>
      <c r="B250" s="531">
        <v>6727.0</v>
      </c>
      <c r="C250" s="11" t="s">
        <v>11298</v>
      </c>
      <c r="D250" s="533">
        <v>0.75</v>
      </c>
      <c r="E250" s="533">
        <v>0.75</v>
      </c>
      <c r="F250" s="11" t="s">
        <v>1656</v>
      </c>
      <c r="G250" s="10"/>
      <c r="H250" s="11" t="s">
        <v>11299</v>
      </c>
      <c r="I250" s="10"/>
      <c r="J250" s="536" t="s">
        <v>11558</v>
      </c>
      <c r="K250" s="536">
        <v>986.0</v>
      </c>
    </row>
    <row r="251" hidden="1">
      <c r="A251" s="531" t="s">
        <v>11559</v>
      </c>
      <c r="B251" s="531">
        <v>2345.0</v>
      </c>
      <c r="C251" s="11" t="s">
        <v>11298</v>
      </c>
      <c r="D251" s="533">
        <v>0.9</v>
      </c>
      <c r="E251" s="533">
        <v>0.9</v>
      </c>
      <c r="F251" s="11" t="s">
        <v>1656</v>
      </c>
      <c r="G251" s="10"/>
      <c r="H251" s="11" t="s">
        <v>11299</v>
      </c>
      <c r="I251" s="10"/>
      <c r="J251" s="536" t="s">
        <v>11560</v>
      </c>
      <c r="K251" s="536">
        <v>986.0</v>
      </c>
    </row>
    <row r="252" hidden="1">
      <c r="A252" s="531" t="s">
        <v>11561</v>
      </c>
      <c r="B252" s="531">
        <v>8486.0</v>
      </c>
      <c r="C252" s="11" t="s">
        <v>11298</v>
      </c>
      <c r="D252" s="533">
        <v>0.88</v>
      </c>
      <c r="E252" s="533">
        <v>0.88</v>
      </c>
      <c r="F252" s="11" t="s">
        <v>1656</v>
      </c>
      <c r="G252" s="10"/>
      <c r="H252" s="11" t="s">
        <v>11299</v>
      </c>
      <c r="I252" s="10"/>
      <c r="J252" s="536" t="s">
        <v>11562</v>
      </c>
      <c r="K252" s="536">
        <v>986.0</v>
      </c>
    </row>
    <row r="253" hidden="1">
      <c r="A253" s="531" t="s">
        <v>11563</v>
      </c>
      <c r="B253" s="531">
        <v>14590.0</v>
      </c>
      <c r="C253" s="11" t="s">
        <v>11298</v>
      </c>
      <c r="D253" s="533">
        <v>0.9</v>
      </c>
      <c r="E253" s="533">
        <v>0.9</v>
      </c>
      <c r="F253" s="11" t="s">
        <v>1656</v>
      </c>
      <c r="G253" s="10"/>
      <c r="H253" s="11" t="s">
        <v>11299</v>
      </c>
      <c r="I253" s="10"/>
      <c r="J253" s="536" t="s">
        <v>11564</v>
      </c>
      <c r="K253" s="536">
        <v>986.0</v>
      </c>
    </row>
    <row r="254" hidden="1">
      <c r="A254" s="531" t="s">
        <v>11256</v>
      </c>
      <c r="B254" s="531">
        <v>986.0</v>
      </c>
      <c r="C254" s="11" t="s">
        <v>11298</v>
      </c>
      <c r="D254" s="533">
        <v>0.85</v>
      </c>
      <c r="E254" s="533">
        <v>0.85</v>
      </c>
      <c r="F254" s="11" t="s">
        <v>1656</v>
      </c>
      <c r="G254" s="10"/>
      <c r="H254" s="11" t="s">
        <v>11299</v>
      </c>
      <c r="I254" s="10"/>
      <c r="J254" s="536" t="s">
        <v>11565</v>
      </c>
      <c r="K254" s="536">
        <v>986.0</v>
      </c>
    </row>
    <row r="255" hidden="1">
      <c r="A255" s="531" t="s">
        <v>11339</v>
      </c>
      <c r="B255" s="531">
        <v>2345.0</v>
      </c>
      <c r="C255" s="11" t="s">
        <v>11298</v>
      </c>
      <c r="D255" s="533">
        <v>0.9</v>
      </c>
      <c r="E255" s="533">
        <v>0.9</v>
      </c>
      <c r="F255" s="11" t="s">
        <v>1656</v>
      </c>
      <c r="G255" s="10"/>
      <c r="H255" s="11" t="s">
        <v>11299</v>
      </c>
      <c r="I255" s="10"/>
      <c r="J255" s="536" t="s">
        <v>11566</v>
      </c>
      <c r="K255" s="536">
        <v>986.0</v>
      </c>
    </row>
    <row r="256" hidden="1">
      <c r="A256" s="531" t="s">
        <v>7778</v>
      </c>
      <c r="B256" s="531">
        <v>2345.0</v>
      </c>
      <c r="C256" s="11" t="s">
        <v>11298</v>
      </c>
      <c r="D256" s="533">
        <v>0.9</v>
      </c>
      <c r="E256" s="533">
        <v>0.9</v>
      </c>
      <c r="F256" s="11" t="s">
        <v>1656</v>
      </c>
      <c r="G256" s="10"/>
      <c r="H256" s="11" t="s">
        <v>11299</v>
      </c>
      <c r="I256" s="10"/>
      <c r="J256" s="536" t="s">
        <v>11567</v>
      </c>
      <c r="K256" s="536">
        <v>986.0</v>
      </c>
    </row>
    <row r="257" hidden="1">
      <c r="A257" s="531" t="s">
        <v>9764</v>
      </c>
      <c r="B257" s="531">
        <v>6972.0</v>
      </c>
      <c r="C257" s="11" t="s">
        <v>11298</v>
      </c>
      <c r="D257" s="533">
        <v>0.75</v>
      </c>
      <c r="E257" s="533">
        <v>0.75</v>
      </c>
      <c r="F257" s="11" t="s">
        <v>1656</v>
      </c>
      <c r="G257" s="10"/>
      <c r="H257" s="11" t="s">
        <v>11299</v>
      </c>
      <c r="I257" s="10"/>
      <c r="J257" s="536" t="s">
        <v>11412</v>
      </c>
      <c r="K257" s="536">
        <v>986.0</v>
      </c>
    </row>
    <row r="258" hidden="1">
      <c r="A258" s="531" t="s">
        <v>11568</v>
      </c>
      <c r="B258" s="531">
        <v>14590.0</v>
      </c>
      <c r="C258" s="11" t="s">
        <v>11298</v>
      </c>
      <c r="D258" s="533">
        <v>0.9</v>
      </c>
      <c r="E258" s="533">
        <v>0.9</v>
      </c>
      <c r="F258" s="11" t="s">
        <v>1656</v>
      </c>
      <c r="G258" s="10"/>
      <c r="H258" s="11" t="s">
        <v>11299</v>
      </c>
      <c r="I258" s="10"/>
      <c r="J258" s="536" t="s">
        <v>11569</v>
      </c>
      <c r="K258" s="536">
        <v>986.0</v>
      </c>
    </row>
    <row r="259" hidden="1">
      <c r="A259" s="531" t="s">
        <v>9739</v>
      </c>
      <c r="B259" s="531"/>
      <c r="C259" s="11" t="s">
        <v>11298</v>
      </c>
      <c r="D259" s="533">
        <v>0.75</v>
      </c>
      <c r="E259" s="533">
        <v>0.75</v>
      </c>
      <c r="F259" s="11" t="s">
        <v>1656</v>
      </c>
      <c r="G259" s="10"/>
      <c r="H259" s="11" t="s">
        <v>11299</v>
      </c>
      <c r="I259" s="10"/>
      <c r="J259" s="536" t="s">
        <v>11570</v>
      </c>
      <c r="K259" s="536">
        <v>986.0</v>
      </c>
    </row>
    <row r="260" hidden="1">
      <c r="A260" s="531" t="s">
        <v>9659</v>
      </c>
      <c r="B260" s="531">
        <v>14590.0</v>
      </c>
      <c r="C260" s="11" t="s">
        <v>11298</v>
      </c>
      <c r="D260" s="533">
        <v>0.9</v>
      </c>
      <c r="E260" s="533">
        <v>0.9</v>
      </c>
      <c r="F260" s="11" t="s">
        <v>1656</v>
      </c>
      <c r="G260" s="10"/>
      <c r="H260" s="11" t="s">
        <v>11299</v>
      </c>
      <c r="I260" s="10"/>
      <c r="J260" s="536" t="s">
        <v>11571</v>
      </c>
      <c r="K260" s="536">
        <v>986.0</v>
      </c>
    </row>
    <row r="261" hidden="1">
      <c r="A261" s="531" t="s">
        <v>11128</v>
      </c>
      <c r="B261" s="531">
        <v>2345.0</v>
      </c>
      <c r="C261" s="11" t="s">
        <v>11298</v>
      </c>
      <c r="D261" s="533">
        <v>0.9</v>
      </c>
      <c r="E261" s="533">
        <v>0.9</v>
      </c>
      <c r="F261" s="11" t="s">
        <v>1656</v>
      </c>
      <c r="G261" s="10"/>
      <c r="H261" s="11" t="s">
        <v>11299</v>
      </c>
      <c r="I261" s="10"/>
      <c r="J261" s="536" t="s">
        <v>11572</v>
      </c>
      <c r="K261" s="536">
        <v>986.0</v>
      </c>
    </row>
    <row r="262" hidden="1">
      <c r="A262" s="531" t="s">
        <v>11573</v>
      </c>
      <c r="B262" s="531">
        <v>189.0</v>
      </c>
      <c r="C262" s="11" t="s">
        <v>11298</v>
      </c>
      <c r="D262" s="533">
        <v>0.88</v>
      </c>
      <c r="E262" s="533">
        <v>0.88</v>
      </c>
      <c r="F262" s="11" t="s">
        <v>1656</v>
      </c>
      <c r="G262" s="10"/>
      <c r="H262" s="11" t="s">
        <v>11299</v>
      </c>
      <c r="I262" s="10"/>
      <c r="J262" s="536" t="s">
        <v>11574</v>
      </c>
      <c r="K262" s="536">
        <v>986.0</v>
      </c>
    </row>
    <row r="263">
      <c r="A263" s="531" t="s">
        <v>10285</v>
      </c>
      <c r="B263" s="531">
        <v>6675.0</v>
      </c>
      <c r="C263" s="11" t="s">
        <v>11298</v>
      </c>
      <c r="D263" s="533">
        <v>0.9</v>
      </c>
      <c r="E263" s="533">
        <v>0.9</v>
      </c>
      <c r="F263" s="11" t="s">
        <v>1656</v>
      </c>
      <c r="G263" s="10"/>
      <c r="H263" s="11" t="s">
        <v>11299</v>
      </c>
      <c r="I263" s="10"/>
      <c r="J263" s="536" t="s">
        <v>11575</v>
      </c>
      <c r="K263" s="536">
        <v>986.0</v>
      </c>
    </row>
    <row r="264" hidden="1">
      <c r="A264" s="531" t="s">
        <v>11364</v>
      </c>
      <c r="B264" s="531">
        <v>14590.0</v>
      </c>
      <c r="C264" s="11" t="s">
        <v>11298</v>
      </c>
      <c r="D264" s="533">
        <v>0.9</v>
      </c>
      <c r="E264" s="533">
        <v>0.9</v>
      </c>
      <c r="F264" s="11" t="s">
        <v>1656</v>
      </c>
      <c r="G264" s="10"/>
      <c r="H264" s="11" t="s">
        <v>11299</v>
      </c>
      <c r="I264" s="10"/>
      <c r="J264" s="536" t="s">
        <v>11496</v>
      </c>
      <c r="K264" s="536">
        <v>986.0</v>
      </c>
    </row>
    <row r="265" hidden="1">
      <c r="A265" s="531" t="s">
        <v>11576</v>
      </c>
      <c r="B265" s="531">
        <v>6928.0</v>
      </c>
      <c r="C265" s="11" t="s">
        <v>11298</v>
      </c>
      <c r="D265" s="533">
        <v>0.75</v>
      </c>
      <c r="E265" s="533">
        <v>0.75</v>
      </c>
      <c r="F265" s="11" t="s">
        <v>1656</v>
      </c>
      <c r="G265" s="10"/>
      <c r="H265" s="11" t="s">
        <v>11299</v>
      </c>
      <c r="I265" s="10"/>
      <c r="J265" s="536" t="s">
        <v>11577</v>
      </c>
      <c r="K265" s="536">
        <v>986.0</v>
      </c>
    </row>
    <row r="266" hidden="1">
      <c r="A266" s="531" t="s">
        <v>9737</v>
      </c>
      <c r="B266" s="531">
        <v>14590.0</v>
      </c>
      <c r="C266" s="11" t="s">
        <v>11298</v>
      </c>
      <c r="D266" s="533">
        <v>0.9</v>
      </c>
      <c r="E266" s="533">
        <v>0.9</v>
      </c>
      <c r="F266" s="11" t="s">
        <v>1656</v>
      </c>
      <c r="G266" s="10"/>
      <c r="H266" s="11" t="s">
        <v>11299</v>
      </c>
      <c r="I266" s="10"/>
      <c r="J266" s="536" t="s">
        <v>11578</v>
      </c>
      <c r="K266" s="536">
        <v>986.0</v>
      </c>
    </row>
    <row r="267" hidden="1">
      <c r="A267" s="531" t="s">
        <v>11579</v>
      </c>
      <c r="B267" s="531">
        <v>14590.0</v>
      </c>
      <c r="C267" s="11" t="s">
        <v>11298</v>
      </c>
      <c r="D267" s="533">
        <v>0.9</v>
      </c>
      <c r="E267" s="533">
        <v>0.9</v>
      </c>
      <c r="F267" s="11" t="s">
        <v>1656</v>
      </c>
      <c r="G267" s="10"/>
      <c r="H267" s="11" t="s">
        <v>11299</v>
      </c>
      <c r="I267" s="10"/>
      <c r="J267" s="536" t="s">
        <v>11580</v>
      </c>
      <c r="K267" s="536">
        <v>986.0</v>
      </c>
    </row>
    <row r="268" hidden="1">
      <c r="A268" s="531" t="s">
        <v>11581</v>
      </c>
      <c r="B268" s="531">
        <v>2345.0</v>
      </c>
      <c r="C268" s="11" t="s">
        <v>11298</v>
      </c>
      <c r="D268" s="533">
        <v>0.9</v>
      </c>
      <c r="E268" s="533">
        <v>0.9</v>
      </c>
      <c r="F268" s="11" t="s">
        <v>1656</v>
      </c>
      <c r="G268" s="10"/>
      <c r="H268" s="11" t="s">
        <v>11299</v>
      </c>
      <c r="I268" s="10"/>
      <c r="J268" s="536" t="s">
        <v>11582</v>
      </c>
      <c r="K268" s="536">
        <v>986.0</v>
      </c>
    </row>
    <row r="269" hidden="1">
      <c r="A269" s="531" t="s">
        <v>11348</v>
      </c>
      <c r="B269" s="531">
        <v>14590.0</v>
      </c>
      <c r="C269" s="11" t="s">
        <v>11298</v>
      </c>
      <c r="D269" s="533">
        <v>0.9</v>
      </c>
      <c r="E269" s="533">
        <v>0.9</v>
      </c>
      <c r="F269" s="11" t="s">
        <v>1656</v>
      </c>
      <c r="G269" s="10"/>
      <c r="H269" s="11" t="s">
        <v>11299</v>
      </c>
      <c r="I269" s="10"/>
      <c r="J269" s="536" t="s">
        <v>11583</v>
      </c>
      <c r="K269" s="536">
        <v>986.0</v>
      </c>
    </row>
    <row r="270" hidden="1">
      <c r="A270" s="531" t="s">
        <v>11584</v>
      </c>
      <c r="B270" s="531">
        <v>2093.0</v>
      </c>
      <c r="C270" s="11" t="s">
        <v>11298</v>
      </c>
      <c r="D270" s="533">
        <v>0.75</v>
      </c>
      <c r="E270" s="533">
        <v>0.75</v>
      </c>
      <c r="F270" s="11" t="s">
        <v>1656</v>
      </c>
      <c r="G270" s="10"/>
      <c r="H270" s="11" t="s">
        <v>11299</v>
      </c>
      <c r="I270" s="10"/>
      <c r="J270" s="536" t="s">
        <v>11585</v>
      </c>
      <c r="K270" s="536">
        <v>9307.0</v>
      </c>
    </row>
    <row r="271" hidden="1">
      <c r="A271" s="531" t="s">
        <v>11184</v>
      </c>
      <c r="B271" s="531">
        <v>5458.0</v>
      </c>
      <c r="C271" s="11" t="s">
        <v>11298</v>
      </c>
      <c r="D271" s="533">
        <v>0.75</v>
      </c>
      <c r="E271" s="533">
        <v>0.75</v>
      </c>
      <c r="F271" s="11" t="s">
        <v>1656</v>
      </c>
      <c r="G271" s="10"/>
      <c r="H271" s="11" t="s">
        <v>11299</v>
      </c>
      <c r="I271" s="10"/>
      <c r="J271" s="536" t="s">
        <v>11586</v>
      </c>
      <c r="K271" s="536">
        <v>14516.0</v>
      </c>
    </row>
    <row r="272" hidden="1">
      <c r="A272" s="531" t="s">
        <v>11587</v>
      </c>
      <c r="B272" s="531">
        <v>14590.0</v>
      </c>
      <c r="C272" s="11" t="s">
        <v>11298</v>
      </c>
      <c r="D272" s="533">
        <v>0.9</v>
      </c>
      <c r="E272" s="533">
        <v>0.9</v>
      </c>
      <c r="F272" s="11" t="s">
        <v>1656</v>
      </c>
      <c r="G272" s="10"/>
      <c r="H272" s="11" t="s">
        <v>11299</v>
      </c>
      <c r="I272" s="10"/>
      <c r="J272" s="536" t="s">
        <v>11588</v>
      </c>
      <c r="K272" s="536">
        <v>986.0</v>
      </c>
    </row>
    <row r="273" hidden="1">
      <c r="A273" s="531" t="s">
        <v>11525</v>
      </c>
      <c r="B273" s="531">
        <v>14590.0</v>
      </c>
      <c r="C273" s="11" t="s">
        <v>11298</v>
      </c>
      <c r="D273" s="533">
        <v>0.9</v>
      </c>
      <c r="E273" s="533">
        <v>0.9</v>
      </c>
      <c r="F273" s="11" t="s">
        <v>1656</v>
      </c>
      <c r="G273" s="10"/>
      <c r="H273" s="11" t="s">
        <v>11299</v>
      </c>
      <c r="I273" s="10"/>
      <c r="J273" s="536" t="s">
        <v>11589</v>
      </c>
      <c r="K273" s="536">
        <v>2345.0</v>
      </c>
    </row>
    <row r="274" hidden="1">
      <c r="A274" s="531" t="s">
        <v>11590</v>
      </c>
      <c r="B274" s="531">
        <v>14590.0</v>
      </c>
      <c r="C274" s="11" t="s">
        <v>11298</v>
      </c>
      <c r="D274" s="533">
        <v>0.9</v>
      </c>
      <c r="E274" s="533">
        <v>0.9</v>
      </c>
      <c r="F274" s="11" t="s">
        <v>1656</v>
      </c>
      <c r="G274" s="10"/>
      <c r="H274" s="11" t="s">
        <v>11299</v>
      </c>
      <c r="I274" s="10"/>
      <c r="J274" s="536" t="s">
        <v>11500</v>
      </c>
      <c r="K274" s="536">
        <v>2345.0</v>
      </c>
    </row>
    <row r="275" hidden="1">
      <c r="A275" s="531" t="s">
        <v>11591</v>
      </c>
      <c r="B275" s="531">
        <v>6924.0</v>
      </c>
      <c r="C275" s="11" t="s">
        <v>11298</v>
      </c>
      <c r="D275" s="533">
        <v>0.75</v>
      </c>
      <c r="E275" s="533">
        <v>0.75</v>
      </c>
      <c r="F275" s="11" t="s">
        <v>1656</v>
      </c>
      <c r="G275" s="10"/>
      <c r="H275" s="11" t="s">
        <v>11299</v>
      </c>
      <c r="I275" s="10"/>
      <c r="J275" s="536" t="s">
        <v>11592</v>
      </c>
      <c r="K275" s="536">
        <v>2345.0</v>
      </c>
    </row>
    <row r="276" hidden="1">
      <c r="A276" s="531" t="s">
        <v>11192</v>
      </c>
      <c r="B276" s="531">
        <v>5458.0</v>
      </c>
      <c r="C276" s="11" t="s">
        <v>11298</v>
      </c>
      <c r="D276" s="533">
        <v>0.75</v>
      </c>
      <c r="E276" s="533">
        <v>0.75</v>
      </c>
      <c r="F276" s="11" t="s">
        <v>1656</v>
      </c>
      <c r="G276" s="10"/>
      <c r="H276" s="11" t="s">
        <v>11299</v>
      </c>
      <c r="I276" s="10"/>
      <c r="J276" s="536" t="s">
        <v>11593</v>
      </c>
      <c r="K276" s="536">
        <v>2345.0</v>
      </c>
    </row>
    <row r="277" hidden="1">
      <c r="A277" s="531" t="s">
        <v>11594</v>
      </c>
      <c r="B277" s="531">
        <v>11916.0</v>
      </c>
      <c r="C277" s="11" t="s">
        <v>11298</v>
      </c>
      <c r="D277" s="533">
        <v>0.75</v>
      </c>
      <c r="E277" s="533">
        <v>0.75</v>
      </c>
      <c r="F277" s="11" t="s">
        <v>1656</v>
      </c>
      <c r="G277" s="10"/>
      <c r="H277" s="11" t="s">
        <v>11299</v>
      </c>
      <c r="I277" s="10"/>
      <c r="J277" s="536" t="s">
        <v>11595</v>
      </c>
      <c r="K277" s="536">
        <v>2345.0</v>
      </c>
    </row>
    <row r="278" hidden="1">
      <c r="A278" s="531" t="s">
        <v>11596</v>
      </c>
      <c r="B278" s="531">
        <v>5389.0</v>
      </c>
      <c r="C278" s="11" t="s">
        <v>11298</v>
      </c>
      <c r="D278" s="533">
        <v>0.75</v>
      </c>
      <c r="E278" s="533">
        <v>0.75</v>
      </c>
      <c r="F278" s="11" t="s">
        <v>1656</v>
      </c>
      <c r="G278" s="10"/>
      <c r="H278" s="11" t="s">
        <v>11299</v>
      </c>
      <c r="I278" s="10"/>
      <c r="J278" s="536" t="s">
        <v>11597</v>
      </c>
      <c r="K278" s="536">
        <v>2345.0</v>
      </c>
    </row>
    <row r="279" hidden="1">
      <c r="A279" s="531" t="s">
        <v>11598</v>
      </c>
      <c r="B279" s="531">
        <v>2345.0</v>
      </c>
      <c r="C279" s="11" t="s">
        <v>11298</v>
      </c>
      <c r="D279" s="533">
        <v>0.9</v>
      </c>
      <c r="E279" s="533">
        <v>0.9</v>
      </c>
      <c r="F279" s="11" t="s">
        <v>1656</v>
      </c>
      <c r="G279" s="10"/>
      <c r="H279" s="11" t="s">
        <v>11299</v>
      </c>
      <c r="I279" s="10"/>
      <c r="J279" s="536" t="s">
        <v>11599</v>
      </c>
      <c r="K279" s="536">
        <v>2345.0</v>
      </c>
    </row>
    <row r="280" hidden="1">
      <c r="A280" s="531" t="s">
        <v>11144</v>
      </c>
      <c r="B280" s="531">
        <v>6732.0</v>
      </c>
      <c r="C280" s="11" t="s">
        <v>11298</v>
      </c>
      <c r="D280" s="533">
        <v>0.8</v>
      </c>
      <c r="E280" s="533">
        <v>0.8</v>
      </c>
      <c r="F280" s="11" t="s">
        <v>1656</v>
      </c>
      <c r="G280" s="10"/>
      <c r="H280" s="11" t="s">
        <v>11299</v>
      </c>
      <c r="I280" s="10"/>
      <c r="J280" s="536" t="s">
        <v>11491</v>
      </c>
      <c r="K280" s="536">
        <v>2345.0</v>
      </c>
    </row>
    <row r="281" hidden="1">
      <c r="A281" s="531" t="s">
        <v>7789</v>
      </c>
      <c r="B281" s="531">
        <v>14590.0</v>
      </c>
      <c r="C281" s="11" t="s">
        <v>11298</v>
      </c>
      <c r="D281" s="533">
        <v>0.9</v>
      </c>
      <c r="E281" s="533">
        <v>0.9</v>
      </c>
      <c r="F281" s="11" t="s">
        <v>1656</v>
      </c>
      <c r="G281" s="10"/>
      <c r="H281" s="11" t="s">
        <v>11299</v>
      </c>
      <c r="I281" s="10"/>
      <c r="J281" s="536" t="s">
        <v>11600</v>
      </c>
      <c r="K281" s="536">
        <v>2345.0</v>
      </c>
    </row>
    <row r="282" hidden="1">
      <c r="A282" s="531" t="s">
        <v>11601</v>
      </c>
      <c r="B282" s="531">
        <v>6658.0</v>
      </c>
      <c r="C282" s="11" t="s">
        <v>11298</v>
      </c>
      <c r="D282" s="533">
        <v>0.85</v>
      </c>
      <c r="E282" s="533">
        <v>0.85</v>
      </c>
      <c r="F282" s="11" t="s">
        <v>1656</v>
      </c>
      <c r="G282" s="10"/>
      <c r="H282" s="11" t="s">
        <v>11299</v>
      </c>
      <c r="I282" s="10"/>
      <c r="J282" s="536" t="s">
        <v>11602</v>
      </c>
      <c r="K282" s="536">
        <v>2345.0</v>
      </c>
    </row>
    <row r="283" hidden="1">
      <c r="A283" s="531" t="s">
        <v>11603</v>
      </c>
      <c r="B283" s="531">
        <v>14590.0</v>
      </c>
      <c r="C283" s="11" t="s">
        <v>11298</v>
      </c>
      <c r="D283" s="533">
        <v>0.9</v>
      </c>
      <c r="E283" s="533">
        <v>0.9</v>
      </c>
      <c r="F283" s="11" t="s">
        <v>1656</v>
      </c>
      <c r="G283" s="10"/>
      <c r="H283" s="11" t="s">
        <v>11299</v>
      </c>
      <c r="I283" s="10"/>
      <c r="J283" s="536" t="s">
        <v>11604</v>
      </c>
      <c r="K283" s="536">
        <v>2345.0</v>
      </c>
    </row>
    <row r="284" hidden="1">
      <c r="A284" s="531" t="s">
        <v>11045</v>
      </c>
      <c r="B284" s="531">
        <v>84.0</v>
      </c>
      <c r="C284" s="11" t="s">
        <v>11298</v>
      </c>
      <c r="D284" s="533">
        <v>0.75</v>
      </c>
      <c r="E284" s="533">
        <v>0.75</v>
      </c>
      <c r="F284" s="11" t="s">
        <v>1656</v>
      </c>
      <c r="G284" s="10"/>
      <c r="H284" s="11" t="s">
        <v>11299</v>
      </c>
      <c r="I284" s="10"/>
      <c r="J284" s="536" t="s">
        <v>11605</v>
      </c>
      <c r="K284" s="536">
        <v>2345.0</v>
      </c>
    </row>
    <row r="285" hidden="1">
      <c r="A285" s="531" t="s">
        <v>9752</v>
      </c>
      <c r="B285" s="531">
        <v>6697.0</v>
      </c>
      <c r="C285" s="11" t="s">
        <v>11298</v>
      </c>
      <c r="D285" s="533">
        <v>0.75</v>
      </c>
      <c r="E285" s="533">
        <v>0.75</v>
      </c>
      <c r="F285" s="11" t="s">
        <v>1656</v>
      </c>
      <c r="G285" s="10"/>
      <c r="H285" s="11" t="s">
        <v>11299</v>
      </c>
      <c r="I285" s="10"/>
      <c r="J285" s="536" t="s">
        <v>11606</v>
      </c>
      <c r="K285" s="536">
        <v>2345.0</v>
      </c>
    </row>
    <row r="286" hidden="1">
      <c r="A286" s="531" t="s">
        <v>11254</v>
      </c>
      <c r="B286" s="531">
        <v>986.0</v>
      </c>
      <c r="C286" s="11" t="s">
        <v>11298</v>
      </c>
      <c r="D286" s="533">
        <v>0.85</v>
      </c>
      <c r="E286" s="533">
        <v>0.85</v>
      </c>
      <c r="F286" s="11" t="s">
        <v>1656</v>
      </c>
      <c r="G286" s="10"/>
      <c r="H286" s="11" t="s">
        <v>11299</v>
      </c>
      <c r="I286" s="10"/>
      <c r="J286" s="536" t="s">
        <v>11607</v>
      </c>
      <c r="K286" s="536">
        <v>2345.0</v>
      </c>
    </row>
    <row r="287" hidden="1">
      <c r="A287" s="531" t="s">
        <v>7869</v>
      </c>
      <c r="B287" s="531">
        <v>3312.0</v>
      </c>
      <c r="C287" s="11" t="s">
        <v>11298</v>
      </c>
      <c r="D287" s="533">
        <v>0.75</v>
      </c>
      <c r="E287" s="533">
        <v>0.75</v>
      </c>
      <c r="F287" s="11" t="s">
        <v>1656</v>
      </c>
      <c r="G287" s="10"/>
      <c r="H287" s="11" t="s">
        <v>11299</v>
      </c>
      <c r="I287" s="10"/>
      <c r="J287" s="536" t="s">
        <v>11608</v>
      </c>
      <c r="K287" s="536">
        <v>2345.0</v>
      </c>
    </row>
    <row r="288" hidden="1">
      <c r="A288" s="531" t="s">
        <v>11609</v>
      </c>
      <c r="B288" s="531">
        <v>2345.0</v>
      </c>
      <c r="C288" s="11" t="s">
        <v>11298</v>
      </c>
      <c r="D288" s="533">
        <v>0.9</v>
      </c>
      <c r="E288" s="533">
        <v>0.9</v>
      </c>
      <c r="F288" s="11" t="s">
        <v>1656</v>
      </c>
      <c r="G288" s="10"/>
      <c r="H288" s="11" t="s">
        <v>11299</v>
      </c>
      <c r="I288" s="10"/>
      <c r="J288" s="536" t="s">
        <v>11409</v>
      </c>
      <c r="K288" s="536">
        <v>2345.0</v>
      </c>
    </row>
    <row r="289" hidden="1">
      <c r="A289" s="531" t="s">
        <v>11274</v>
      </c>
      <c r="B289" s="531">
        <v>14593.0</v>
      </c>
      <c r="C289" s="11" t="s">
        <v>11298</v>
      </c>
      <c r="D289" s="533">
        <v>0.75</v>
      </c>
      <c r="E289" s="533">
        <v>0.75</v>
      </c>
      <c r="F289" s="11" t="s">
        <v>1656</v>
      </c>
      <c r="G289" s="10"/>
      <c r="H289" s="11" t="s">
        <v>11299</v>
      </c>
      <c r="I289" s="10"/>
      <c r="J289" s="536" t="s">
        <v>11394</v>
      </c>
      <c r="K289" s="536">
        <v>2345.0</v>
      </c>
    </row>
    <row r="290" hidden="1">
      <c r="A290" s="531" t="s">
        <v>11610</v>
      </c>
      <c r="B290" s="531">
        <v>14590.0</v>
      </c>
      <c r="C290" s="11" t="s">
        <v>11298</v>
      </c>
      <c r="D290" s="533">
        <v>0.9</v>
      </c>
      <c r="E290" s="533">
        <v>0.9</v>
      </c>
      <c r="F290" s="11" t="s">
        <v>1656</v>
      </c>
      <c r="G290" s="10"/>
      <c r="H290" s="11" t="s">
        <v>11299</v>
      </c>
      <c r="I290" s="10"/>
      <c r="J290" s="536" t="s">
        <v>11546</v>
      </c>
      <c r="K290" s="536">
        <v>2345.0</v>
      </c>
    </row>
    <row r="291" hidden="1">
      <c r="A291" s="531" t="s">
        <v>9745</v>
      </c>
      <c r="B291" s="11">
        <v>6827.0</v>
      </c>
      <c r="C291" s="11" t="s">
        <v>11298</v>
      </c>
      <c r="D291" s="533">
        <v>0.75</v>
      </c>
      <c r="E291" s="533">
        <v>0.75</v>
      </c>
      <c r="F291" s="11" t="s">
        <v>1656</v>
      </c>
      <c r="G291" s="10"/>
      <c r="H291" s="11" t="s">
        <v>11299</v>
      </c>
      <c r="I291" s="10"/>
      <c r="J291" s="536" t="s">
        <v>11611</v>
      </c>
      <c r="K291" s="536">
        <v>2345.0</v>
      </c>
    </row>
    <row r="292" hidden="1">
      <c r="A292" s="531" t="s">
        <v>11612</v>
      </c>
      <c r="B292" s="531">
        <v>14590.0</v>
      </c>
      <c r="C292" s="11" t="s">
        <v>11298</v>
      </c>
      <c r="D292" s="533">
        <v>0.9</v>
      </c>
      <c r="E292" s="533">
        <v>0.9</v>
      </c>
      <c r="F292" s="11" t="s">
        <v>1656</v>
      </c>
      <c r="G292" s="10"/>
      <c r="H292" s="11" t="s">
        <v>11299</v>
      </c>
      <c r="I292" s="10"/>
      <c r="J292" s="536" t="s">
        <v>11613</v>
      </c>
      <c r="K292" s="536">
        <v>2345.0</v>
      </c>
    </row>
    <row r="293" hidden="1">
      <c r="A293" s="531" t="s">
        <v>11614</v>
      </c>
      <c r="B293" s="11">
        <v>6827.0</v>
      </c>
      <c r="C293" s="11" t="s">
        <v>11298</v>
      </c>
      <c r="D293" s="533">
        <v>0.75</v>
      </c>
      <c r="E293" s="533">
        <v>0.75</v>
      </c>
      <c r="F293" s="11" t="s">
        <v>1656</v>
      </c>
      <c r="G293" s="10"/>
      <c r="H293" s="11" t="s">
        <v>11299</v>
      </c>
      <c r="I293" s="10"/>
      <c r="J293" s="536" t="s">
        <v>11615</v>
      </c>
      <c r="K293" s="536">
        <v>2345.0</v>
      </c>
    </row>
    <row r="294" hidden="1">
      <c r="A294" s="531" t="s">
        <v>11110</v>
      </c>
      <c r="B294" s="11">
        <v>6827.0</v>
      </c>
      <c r="C294" s="11" t="s">
        <v>11298</v>
      </c>
      <c r="D294" s="533">
        <v>0.75</v>
      </c>
      <c r="E294" s="533">
        <v>0.75</v>
      </c>
      <c r="F294" s="11" t="s">
        <v>1656</v>
      </c>
      <c r="G294" s="10"/>
      <c r="H294" s="11" t="s">
        <v>11299</v>
      </c>
      <c r="I294" s="10"/>
      <c r="J294" s="536" t="s">
        <v>11616</v>
      </c>
      <c r="K294" s="536">
        <v>2345.0</v>
      </c>
    </row>
    <row r="295" hidden="1">
      <c r="A295" s="531" t="s">
        <v>11617</v>
      </c>
      <c r="B295" s="531">
        <v>14590.0</v>
      </c>
      <c r="C295" s="11" t="s">
        <v>11298</v>
      </c>
      <c r="D295" s="533">
        <v>0.9</v>
      </c>
      <c r="E295" s="533">
        <v>0.9</v>
      </c>
      <c r="F295" s="11" t="s">
        <v>1656</v>
      </c>
      <c r="G295" s="10"/>
      <c r="H295" s="11" t="s">
        <v>11299</v>
      </c>
      <c r="I295" s="10"/>
      <c r="J295" s="536" t="s">
        <v>11618</v>
      </c>
      <c r="K295" s="536">
        <v>2345.0</v>
      </c>
    </row>
    <row r="296" hidden="1">
      <c r="A296" s="531" t="s">
        <v>9749</v>
      </c>
      <c r="B296" s="531">
        <v>14590.0</v>
      </c>
      <c r="C296" s="11" t="s">
        <v>11298</v>
      </c>
      <c r="D296" s="533">
        <v>0.9</v>
      </c>
      <c r="E296" s="533">
        <v>0.9</v>
      </c>
      <c r="F296" s="11" t="s">
        <v>1656</v>
      </c>
      <c r="G296" s="10"/>
      <c r="H296" s="11" t="s">
        <v>11299</v>
      </c>
      <c r="I296" s="10"/>
      <c r="J296" s="536" t="s">
        <v>11619</v>
      </c>
      <c r="K296" s="536">
        <v>2345.0</v>
      </c>
    </row>
    <row r="297" hidden="1">
      <c r="A297" s="531" t="s">
        <v>9692</v>
      </c>
      <c r="B297" s="531">
        <v>14590.0</v>
      </c>
      <c r="C297" s="11" t="s">
        <v>11298</v>
      </c>
      <c r="D297" s="533">
        <v>0.9</v>
      </c>
      <c r="E297" s="533">
        <v>0.9</v>
      </c>
      <c r="F297" s="11" t="s">
        <v>1656</v>
      </c>
      <c r="G297" s="10"/>
      <c r="H297" s="11" t="s">
        <v>11299</v>
      </c>
      <c r="I297" s="10"/>
      <c r="J297" s="536" t="s">
        <v>11620</v>
      </c>
      <c r="K297" s="536">
        <v>2345.0</v>
      </c>
    </row>
    <row r="298" hidden="1">
      <c r="A298" s="531" t="s">
        <v>11202</v>
      </c>
      <c r="B298" s="531">
        <v>14590.0</v>
      </c>
      <c r="C298" s="11" t="s">
        <v>11298</v>
      </c>
      <c r="D298" s="533">
        <v>0.9</v>
      </c>
      <c r="E298" s="533">
        <v>0.9</v>
      </c>
      <c r="F298" s="11" t="s">
        <v>1656</v>
      </c>
      <c r="G298" s="10"/>
      <c r="H298" s="11" t="s">
        <v>11299</v>
      </c>
      <c r="I298" s="10"/>
      <c r="J298" s="536" t="s">
        <v>11621</v>
      </c>
      <c r="K298" s="536">
        <v>2345.0</v>
      </c>
    </row>
    <row r="299" hidden="1">
      <c r="A299" s="531" t="s">
        <v>11314</v>
      </c>
      <c r="B299" s="531">
        <v>6736.0</v>
      </c>
      <c r="C299" s="11" t="s">
        <v>11298</v>
      </c>
      <c r="D299" s="533">
        <v>0.75</v>
      </c>
      <c r="E299" s="533">
        <v>0.75</v>
      </c>
      <c r="F299" s="11" t="s">
        <v>1656</v>
      </c>
      <c r="G299" s="10"/>
      <c r="H299" s="11" t="s">
        <v>11299</v>
      </c>
      <c r="I299" s="10"/>
      <c r="J299" s="536" t="s">
        <v>11614</v>
      </c>
      <c r="K299" s="536">
        <v>2345.0</v>
      </c>
    </row>
    <row r="300" hidden="1">
      <c r="A300" s="531" t="s">
        <v>11622</v>
      </c>
      <c r="B300" s="531">
        <v>986.0</v>
      </c>
      <c r="C300" s="11" t="s">
        <v>11298</v>
      </c>
      <c r="D300" s="533">
        <v>0.85</v>
      </c>
      <c r="E300" s="533">
        <v>0.85</v>
      </c>
      <c r="F300" s="11" t="s">
        <v>1656</v>
      </c>
      <c r="G300" s="10"/>
      <c r="H300" s="11" t="s">
        <v>11299</v>
      </c>
      <c r="I300" s="10"/>
      <c r="J300" s="536" t="s">
        <v>11623</v>
      </c>
      <c r="K300" s="536">
        <v>2345.0</v>
      </c>
    </row>
    <row r="301" hidden="1">
      <c r="A301" s="531" t="s">
        <v>10264</v>
      </c>
      <c r="B301" s="531">
        <v>14590.0</v>
      </c>
      <c r="C301" s="11" t="s">
        <v>11298</v>
      </c>
      <c r="D301" s="533">
        <v>0.9</v>
      </c>
      <c r="E301" s="533">
        <v>0.9</v>
      </c>
      <c r="F301" s="11" t="s">
        <v>1656</v>
      </c>
      <c r="G301" s="10"/>
      <c r="H301" s="11" t="s">
        <v>11299</v>
      </c>
      <c r="I301" s="10"/>
      <c r="J301" s="536" t="s">
        <v>11624</v>
      </c>
      <c r="K301" s="536">
        <v>2345.0</v>
      </c>
    </row>
    <row r="302" hidden="1">
      <c r="A302" s="531" t="s">
        <v>11625</v>
      </c>
      <c r="B302" s="531">
        <v>6133.0</v>
      </c>
      <c r="C302" s="11" t="s">
        <v>11298</v>
      </c>
      <c r="D302" s="533">
        <v>0.75</v>
      </c>
      <c r="E302" s="533">
        <v>0.75</v>
      </c>
      <c r="F302" s="11" t="s">
        <v>1656</v>
      </c>
      <c r="G302" s="10"/>
      <c r="H302" s="11" t="s">
        <v>11299</v>
      </c>
      <c r="I302" s="10"/>
      <c r="J302" s="536" t="s">
        <v>11626</v>
      </c>
      <c r="K302" s="536">
        <v>2345.0</v>
      </c>
    </row>
    <row r="303" hidden="1">
      <c r="A303" s="531" t="s">
        <v>11627</v>
      </c>
      <c r="B303" s="531">
        <v>12301.0</v>
      </c>
      <c r="C303" s="11" t="s">
        <v>11298</v>
      </c>
      <c r="D303" s="533">
        <v>0.75</v>
      </c>
      <c r="E303" s="533">
        <v>0.75</v>
      </c>
      <c r="F303" s="11" t="s">
        <v>1656</v>
      </c>
      <c r="G303" s="10"/>
      <c r="H303" s="11" t="s">
        <v>11299</v>
      </c>
      <c r="I303" s="10"/>
      <c r="J303" s="536" t="s">
        <v>11628</v>
      </c>
      <c r="K303" s="536">
        <v>2345.0</v>
      </c>
    </row>
    <row r="304" hidden="1">
      <c r="A304" s="531" t="s">
        <v>11629</v>
      </c>
      <c r="B304" s="531">
        <v>986.0</v>
      </c>
      <c r="C304" s="11" t="s">
        <v>11298</v>
      </c>
      <c r="D304" s="533">
        <v>0.85</v>
      </c>
      <c r="E304" s="533">
        <v>0.85</v>
      </c>
      <c r="F304" s="11" t="s">
        <v>1656</v>
      </c>
      <c r="G304" s="10"/>
      <c r="H304" s="11" t="s">
        <v>11299</v>
      </c>
      <c r="I304" s="10"/>
      <c r="J304" s="536" t="s">
        <v>11630</v>
      </c>
      <c r="K304" s="536">
        <v>2345.0</v>
      </c>
    </row>
    <row r="305" hidden="1">
      <c r="A305" s="531" t="s">
        <v>11250</v>
      </c>
      <c r="B305" s="531">
        <v>6727.0</v>
      </c>
      <c r="C305" s="11" t="s">
        <v>11298</v>
      </c>
      <c r="D305" s="533">
        <v>0.75</v>
      </c>
      <c r="E305" s="533">
        <v>0.75</v>
      </c>
      <c r="F305" s="11" t="s">
        <v>1656</v>
      </c>
      <c r="G305" s="10"/>
      <c r="H305" s="11" t="s">
        <v>11299</v>
      </c>
      <c r="I305" s="10"/>
      <c r="J305" s="536" t="s">
        <v>11338</v>
      </c>
      <c r="K305" s="536">
        <v>2345.0</v>
      </c>
    </row>
    <row r="306" hidden="1">
      <c r="A306" s="531" t="s">
        <v>11552</v>
      </c>
      <c r="B306" s="531">
        <v>986.0</v>
      </c>
      <c r="C306" s="11" t="s">
        <v>11298</v>
      </c>
      <c r="D306" s="533">
        <v>0.85</v>
      </c>
      <c r="E306" s="533">
        <v>0.85</v>
      </c>
      <c r="F306" s="11" t="s">
        <v>1656</v>
      </c>
      <c r="G306" s="10"/>
      <c r="H306" s="11" t="s">
        <v>11299</v>
      </c>
      <c r="I306" s="10"/>
      <c r="J306" s="536" t="s">
        <v>11631</v>
      </c>
      <c r="K306" s="536">
        <v>2345.0</v>
      </c>
    </row>
    <row r="307" hidden="1">
      <c r="A307" s="531" t="s">
        <v>11355</v>
      </c>
      <c r="B307" s="531">
        <v>14590.0</v>
      </c>
      <c r="C307" s="11" t="s">
        <v>11298</v>
      </c>
      <c r="D307" s="533">
        <v>0.9</v>
      </c>
      <c r="E307" s="533">
        <v>0.9</v>
      </c>
      <c r="F307" s="11" t="s">
        <v>1656</v>
      </c>
      <c r="G307" s="10"/>
      <c r="H307" s="11" t="s">
        <v>11299</v>
      </c>
      <c r="I307" s="10"/>
      <c r="J307" s="536" t="s">
        <v>11632</v>
      </c>
      <c r="K307" s="536">
        <v>2345.0</v>
      </c>
    </row>
    <row r="308" hidden="1">
      <c r="A308" s="531" t="s">
        <v>11519</v>
      </c>
      <c r="B308" s="531">
        <v>2345.0</v>
      </c>
      <c r="C308" s="11" t="s">
        <v>11298</v>
      </c>
      <c r="D308" s="533">
        <v>0.9</v>
      </c>
      <c r="E308" s="533">
        <v>0.9</v>
      </c>
      <c r="F308" s="11" t="s">
        <v>1656</v>
      </c>
      <c r="G308" s="10"/>
      <c r="H308" s="11" t="s">
        <v>11299</v>
      </c>
      <c r="I308" s="10"/>
      <c r="J308" s="536" t="s">
        <v>11633</v>
      </c>
      <c r="K308" s="536">
        <v>2345.0</v>
      </c>
    </row>
    <row r="309" hidden="1">
      <c r="A309" s="531" t="s">
        <v>11634</v>
      </c>
      <c r="B309" s="531">
        <v>6727.0</v>
      </c>
      <c r="C309" s="11" t="s">
        <v>11298</v>
      </c>
      <c r="D309" s="533">
        <v>0.75</v>
      </c>
      <c r="E309" s="533">
        <v>0.75</v>
      </c>
      <c r="F309" s="11" t="s">
        <v>1656</v>
      </c>
      <c r="G309" s="10"/>
      <c r="H309" s="11" t="s">
        <v>11299</v>
      </c>
      <c r="I309" s="10"/>
      <c r="J309" s="536" t="s">
        <v>11635</v>
      </c>
      <c r="K309" s="536">
        <v>2345.0</v>
      </c>
    </row>
    <row r="310" hidden="1">
      <c r="A310" s="531" t="s">
        <v>11636</v>
      </c>
      <c r="B310" s="531">
        <v>14590.0</v>
      </c>
      <c r="C310" s="11" t="s">
        <v>11298</v>
      </c>
      <c r="D310" s="533">
        <v>0.9</v>
      </c>
      <c r="E310" s="533">
        <v>0.9</v>
      </c>
      <c r="F310" s="11" t="s">
        <v>1656</v>
      </c>
      <c r="G310" s="10"/>
      <c r="H310" s="11" t="s">
        <v>11299</v>
      </c>
      <c r="I310" s="10"/>
      <c r="J310" s="536" t="s">
        <v>11346</v>
      </c>
      <c r="K310" s="536">
        <v>2345.0</v>
      </c>
    </row>
    <row r="311" hidden="1">
      <c r="A311" s="531" t="s">
        <v>11637</v>
      </c>
      <c r="B311" s="531">
        <v>189.0</v>
      </c>
      <c r="C311" s="11" t="s">
        <v>11298</v>
      </c>
      <c r="D311" s="533">
        <v>0.88</v>
      </c>
      <c r="E311" s="533">
        <v>0.88</v>
      </c>
      <c r="F311" s="11" t="s">
        <v>1656</v>
      </c>
      <c r="G311" s="10"/>
      <c r="H311" s="11" t="s">
        <v>11299</v>
      </c>
      <c r="I311" s="10"/>
      <c r="J311" s="536" t="s">
        <v>11638</v>
      </c>
      <c r="K311" s="536">
        <v>2345.0</v>
      </c>
    </row>
    <row r="312" hidden="1">
      <c r="A312" s="531">
        <v>551.0</v>
      </c>
      <c r="B312" s="531">
        <v>14590.0</v>
      </c>
      <c r="C312" s="11" t="s">
        <v>11298</v>
      </c>
      <c r="D312" s="533">
        <v>0.9</v>
      </c>
      <c r="E312" s="533">
        <v>0.9</v>
      </c>
      <c r="F312" s="11" t="s">
        <v>1656</v>
      </c>
      <c r="G312" s="10"/>
      <c r="H312" s="11" t="s">
        <v>11299</v>
      </c>
      <c r="I312" s="10"/>
      <c r="J312" s="536" t="s">
        <v>11639</v>
      </c>
      <c r="K312" s="536">
        <v>2345.0</v>
      </c>
    </row>
    <row r="313" hidden="1">
      <c r="A313" s="531" t="s">
        <v>11640</v>
      </c>
      <c r="B313" s="531">
        <v>189.0</v>
      </c>
      <c r="C313" s="11" t="s">
        <v>11298</v>
      </c>
      <c r="D313" s="533">
        <v>0.88</v>
      </c>
      <c r="E313" s="533">
        <v>0.88</v>
      </c>
      <c r="F313" s="11" t="s">
        <v>1656</v>
      </c>
      <c r="G313" s="10"/>
      <c r="H313" s="11" t="s">
        <v>11299</v>
      </c>
      <c r="I313" s="10"/>
      <c r="J313" s="536" t="s">
        <v>11568</v>
      </c>
      <c r="K313" s="536">
        <v>2345.0</v>
      </c>
    </row>
    <row r="314" hidden="1">
      <c r="A314" s="531" t="s">
        <v>11641</v>
      </c>
      <c r="B314" s="531">
        <v>986.0</v>
      </c>
      <c r="C314" s="11" t="s">
        <v>11298</v>
      </c>
      <c r="D314" s="533">
        <v>0.85</v>
      </c>
      <c r="E314" s="533">
        <v>0.85</v>
      </c>
      <c r="F314" s="11" t="s">
        <v>1656</v>
      </c>
      <c r="G314" s="10"/>
      <c r="H314" s="11" t="s">
        <v>11299</v>
      </c>
      <c r="I314" s="10"/>
      <c r="J314" s="536" t="s">
        <v>11642</v>
      </c>
      <c r="K314" s="536">
        <v>2345.0</v>
      </c>
    </row>
    <row r="315" hidden="1">
      <c r="A315" s="531" t="s">
        <v>11643</v>
      </c>
      <c r="B315" s="531">
        <v>10856.0</v>
      </c>
      <c r="C315" s="11" t="s">
        <v>11298</v>
      </c>
      <c r="D315" s="533">
        <v>0.75</v>
      </c>
      <c r="E315" s="533">
        <v>0.75</v>
      </c>
      <c r="F315" s="11" t="s">
        <v>1656</v>
      </c>
      <c r="G315" s="10"/>
      <c r="H315" s="11" t="s">
        <v>11299</v>
      </c>
      <c r="I315" s="10"/>
      <c r="J315" s="536" t="s">
        <v>11644</v>
      </c>
      <c r="K315" s="536">
        <v>2345.0</v>
      </c>
    </row>
    <row r="316" hidden="1">
      <c r="A316" s="531" t="s">
        <v>11645</v>
      </c>
      <c r="B316" s="531">
        <v>13976.0</v>
      </c>
      <c r="C316" s="11" t="s">
        <v>11298</v>
      </c>
      <c r="D316" s="533">
        <v>0.75</v>
      </c>
      <c r="E316" s="533">
        <v>0.75</v>
      </c>
      <c r="F316" s="11" t="s">
        <v>1656</v>
      </c>
      <c r="G316" s="10"/>
      <c r="H316" s="11" t="s">
        <v>11299</v>
      </c>
      <c r="I316" s="10"/>
      <c r="J316" s="536" t="s">
        <v>11646</v>
      </c>
      <c r="K316" s="536">
        <v>2345.0</v>
      </c>
    </row>
    <row r="317" hidden="1">
      <c r="A317" s="531" t="s">
        <v>11647</v>
      </c>
      <c r="B317" s="531">
        <v>8486.0</v>
      </c>
      <c r="C317" s="11" t="s">
        <v>11298</v>
      </c>
      <c r="D317" s="533">
        <v>0.88</v>
      </c>
      <c r="E317" s="533">
        <v>0.88</v>
      </c>
      <c r="F317" s="11" t="s">
        <v>1656</v>
      </c>
      <c r="G317" s="10"/>
      <c r="H317" s="11" t="s">
        <v>11299</v>
      </c>
      <c r="I317" s="10"/>
      <c r="J317" s="536" t="s">
        <v>11366</v>
      </c>
      <c r="K317" s="536">
        <v>2345.0</v>
      </c>
    </row>
    <row r="318" hidden="1">
      <c r="A318" s="531" t="s">
        <v>11648</v>
      </c>
      <c r="B318" s="531">
        <v>14590.0</v>
      </c>
      <c r="C318" s="11" t="s">
        <v>11298</v>
      </c>
      <c r="D318" s="533">
        <v>0.9</v>
      </c>
      <c r="E318" s="533">
        <v>0.9</v>
      </c>
      <c r="F318" s="11" t="s">
        <v>1656</v>
      </c>
      <c r="G318" s="10"/>
      <c r="H318" s="11" t="s">
        <v>11299</v>
      </c>
      <c r="I318" s="10"/>
      <c r="J318" s="536" t="s">
        <v>11649</v>
      </c>
      <c r="K318" s="536">
        <v>2345.0</v>
      </c>
    </row>
    <row r="319" hidden="1">
      <c r="A319" s="531" t="s">
        <v>11650</v>
      </c>
      <c r="B319" s="531">
        <v>14590.0</v>
      </c>
      <c r="C319" s="11" t="s">
        <v>11298</v>
      </c>
      <c r="D319" s="533">
        <v>0.9</v>
      </c>
      <c r="E319" s="533">
        <v>0.9</v>
      </c>
      <c r="F319" s="11" t="s">
        <v>1656</v>
      </c>
      <c r="G319" s="10"/>
      <c r="H319" s="11" t="s">
        <v>11299</v>
      </c>
      <c r="I319" s="10"/>
      <c r="J319" s="536" t="s">
        <v>11651</v>
      </c>
      <c r="K319" s="536">
        <v>2345.0</v>
      </c>
    </row>
    <row r="320" hidden="1">
      <c r="A320" s="531" t="s">
        <v>11652</v>
      </c>
      <c r="B320" s="531">
        <v>14590.0</v>
      </c>
      <c r="C320" s="11" t="s">
        <v>11298</v>
      </c>
      <c r="D320" s="533">
        <v>0.9</v>
      </c>
      <c r="E320" s="533">
        <v>0.9</v>
      </c>
      <c r="F320" s="11" t="s">
        <v>1656</v>
      </c>
      <c r="G320" s="10"/>
      <c r="H320" s="11" t="s">
        <v>11299</v>
      </c>
      <c r="I320" s="10"/>
      <c r="J320" s="536" t="s">
        <v>11653</v>
      </c>
      <c r="K320" s="536">
        <v>2345.0</v>
      </c>
    </row>
    <row r="321" hidden="1">
      <c r="A321" s="531" t="s">
        <v>9687</v>
      </c>
      <c r="B321" s="531">
        <v>4933.0</v>
      </c>
      <c r="C321" s="11" t="s">
        <v>11298</v>
      </c>
      <c r="D321" s="533">
        <v>0.75</v>
      </c>
      <c r="E321" s="533">
        <v>0.75</v>
      </c>
      <c r="F321" s="11" t="s">
        <v>1656</v>
      </c>
      <c r="G321" s="10"/>
      <c r="H321" s="11" t="s">
        <v>11299</v>
      </c>
      <c r="I321" s="10"/>
      <c r="J321" s="536" t="s">
        <v>11654</v>
      </c>
      <c r="K321" s="536">
        <v>2345.0</v>
      </c>
    </row>
    <row r="322" hidden="1">
      <c r="A322" s="531" t="s">
        <v>11655</v>
      </c>
      <c r="B322" s="531">
        <v>6891.0</v>
      </c>
      <c r="C322" s="11" t="s">
        <v>11298</v>
      </c>
      <c r="D322" s="533">
        <v>0.75</v>
      </c>
      <c r="E322" s="533">
        <v>0.75</v>
      </c>
      <c r="F322" s="11" t="s">
        <v>1656</v>
      </c>
      <c r="G322" s="10"/>
      <c r="H322" s="11" t="s">
        <v>11299</v>
      </c>
      <c r="I322" s="10"/>
      <c r="J322" s="536" t="s">
        <v>11656</v>
      </c>
      <c r="K322" s="536">
        <v>2345.0</v>
      </c>
    </row>
    <row r="323" hidden="1">
      <c r="A323" s="531" t="s">
        <v>11330</v>
      </c>
      <c r="B323" s="531">
        <v>2345.0</v>
      </c>
      <c r="C323" s="11" t="s">
        <v>11298</v>
      </c>
      <c r="D323" s="533">
        <v>0.9</v>
      </c>
      <c r="E323" s="533">
        <v>0.9</v>
      </c>
      <c r="F323" s="11" t="s">
        <v>1656</v>
      </c>
      <c r="G323" s="10"/>
      <c r="H323" s="11" t="s">
        <v>11299</v>
      </c>
      <c r="I323" s="10"/>
      <c r="J323" s="536" t="s">
        <v>11657</v>
      </c>
      <c r="K323" s="536">
        <v>2345.0</v>
      </c>
    </row>
    <row r="324" hidden="1">
      <c r="A324" s="531" t="s">
        <v>11658</v>
      </c>
      <c r="B324" s="531">
        <v>14590.0</v>
      </c>
      <c r="C324" s="11" t="s">
        <v>11298</v>
      </c>
      <c r="D324" s="533">
        <v>0.9</v>
      </c>
      <c r="E324" s="533">
        <v>0.9</v>
      </c>
      <c r="F324" s="11" t="s">
        <v>1656</v>
      </c>
      <c r="G324" s="10"/>
      <c r="H324" s="11" t="s">
        <v>11299</v>
      </c>
      <c r="I324" s="10"/>
      <c r="J324" s="536" t="s">
        <v>11659</v>
      </c>
      <c r="K324" s="536">
        <v>2345.0</v>
      </c>
    </row>
    <row r="325" hidden="1">
      <c r="A325" s="531" t="s">
        <v>11048</v>
      </c>
      <c r="B325" s="531">
        <v>14590.0</v>
      </c>
      <c r="C325" s="11" t="s">
        <v>11298</v>
      </c>
      <c r="D325" s="533">
        <v>0.9</v>
      </c>
      <c r="E325" s="533">
        <v>0.9</v>
      </c>
      <c r="F325" s="11" t="s">
        <v>1656</v>
      </c>
      <c r="G325" s="10"/>
      <c r="H325" s="11" t="s">
        <v>11299</v>
      </c>
      <c r="I325" s="10"/>
      <c r="J325" s="536" t="s">
        <v>11559</v>
      </c>
      <c r="K325" s="536">
        <v>2345.0</v>
      </c>
    </row>
    <row r="326" hidden="1">
      <c r="A326" s="531" t="s">
        <v>11660</v>
      </c>
      <c r="B326" s="531">
        <v>986.0</v>
      </c>
      <c r="C326" s="11" t="s">
        <v>11298</v>
      </c>
      <c r="D326" s="533">
        <v>0.85</v>
      </c>
      <c r="E326" s="533">
        <v>0.85</v>
      </c>
      <c r="F326" s="11" t="s">
        <v>1656</v>
      </c>
      <c r="G326" s="10"/>
      <c r="H326" s="11" t="s">
        <v>11299</v>
      </c>
      <c r="I326" s="10"/>
      <c r="J326" s="536" t="s">
        <v>11598</v>
      </c>
      <c r="K326" s="536">
        <v>2345.0</v>
      </c>
    </row>
    <row r="327" hidden="1">
      <c r="A327" s="531" t="s">
        <v>11310</v>
      </c>
      <c r="B327" s="531">
        <v>285.0</v>
      </c>
      <c r="C327" s="11" t="s">
        <v>11298</v>
      </c>
      <c r="D327" s="533">
        <v>0.88</v>
      </c>
      <c r="E327" s="533">
        <v>0.88</v>
      </c>
      <c r="F327" s="11" t="s">
        <v>1656</v>
      </c>
      <c r="G327" s="10"/>
      <c r="H327" s="11" t="s">
        <v>11299</v>
      </c>
      <c r="I327" s="10"/>
      <c r="J327" s="536" t="s">
        <v>11581</v>
      </c>
      <c r="K327" s="536">
        <v>2345.0</v>
      </c>
    </row>
    <row r="328" hidden="1">
      <c r="A328" s="531" t="s">
        <v>11661</v>
      </c>
      <c r="B328" s="531">
        <v>14590.0</v>
      </c>
      <c r="C328" s="11" t="s">
        <v>11298</v>
      </c>
      <c r="D328" s="533">
        <v>0.9</v>
      </c>
      <c r="E328" s="533">
        <v>0.9</v>
      </c>
      <c r="F328" s="11" t="s">
        <v>1656</v>
      </c>
      <c r="G328" s="10"/>
      <c r="H328" s="11" t="s">
        <v>11299</v>
      </c>
      <c r="I328" s="10"/>
      <c r="J328" s="536" t="s">
        <v>11662</v>
      </c>
      <c r="K328" s="536">
        <v>2345.0</v>
      </c>
    </row>
    <row r="329" hidden="1">
      <c r="A329" s="531" t="s">
        <v>11663</v>
      </c>
      <c r="B329" s="531">
        <v>986.0</v>
      </c>
      <c r="C329" s="11" t="s">
        <v>11298</v>
      </c>
      <c r="D329" s="533">
        <v>0.85</v>
      </c>
      <c r="E329" s="533">
        <v>0.85</v>
      </c>
      <c r="F329" s="11" t="s">
        <v>1656</v>
      </c>
      <c r="G329" s="10"/>
      <c r="H329" s="11" t="s">
        <v>11299</v>
      </c>
      <c r="I329" s="10"/>
      <c r="J329" s="536" t="s">
        <v>11664</v>
      </c>
      <c r="K329" s="536">
        <v>2345.0</v>
      </c>
    </row>
    <row r="330" hidden="1">
      <c r="A330" s="531" t="s">
        <v>11665</v>
      </c>
      <c r="B330" s="531">
        <v>14590.0</v>
      </c>
      <c r="C330" s="11" t="s">
        <v>11298</v>
      </c>
      <c r="D330" s="533">
        <v>0.9</v>
      </c>
      <c r="E330" s="533">
        <v>0.9</v>
      </c>
      <c r="F330" s="11" t="s">
        <v>1656</v>
      </c>
      <c r="G330" s="10"/>
      <c r="H330" s="11" t="s">
        <v>11299</v>
      </c>
      <c r="I330" s="10"/>
      <c r="J330" s="536" t="s">
        <v>11666</v>
      </c>
      <c r="K330" s="536">
        <v>2345.0</v>
      </c>
    </row>
    <row r="331" hidden="1">
      <c r="A331" s="531" t="s">
        <v>11142</v>
      </c>
      <c r="B331" s="531">
        <v>14590.0</v>
      </c>
      <c r="C331" s="11" t="s">
        <v>11298</v>
      </c>
      <c r="D331" s="533">
        <v>0.9</v>
      </c>
      <c r="E331" s="533">
        <v>0.9</v>
      </c>
      <c r="F331" s="11" t="s">
        <v>1656</v>
      </c>
      <c r="G331" s="10"/>
      <c r="H331" s="11" t="s">
        <v>11299</v>
      </c>
      <c r="I331" s="10"/>
      <c r="J331" s="536" t="s">
        <v>11667</v>
      </c>
      <c r="K331" s="536">
        <v>2345.0</v>
      </c>
    </row>
    <row r="332" hidden="1">
      <c r="A332" s="531" t="s">
        <v>11391</v>
      </c>
      <c r="B332" s="531">
        <v>14590.0</v>
      </c>
      <c r="C332" s="11" t="s">
        <v>11298</v>
      </c>
      <c r="D332" s="533">
        <v>0.9</v>
      </c>
      <c r="E332" s="533">
        <v>0.9</v>
      </c>
      <c r="F332" s="11" t="s">
        <v>1656</v>
      </c>
      <c r="G332" s="10"/>
      <c r="H332" s="11" t="s">
        <v>11299</v>
      </c>
      <c r="I332" s="10"/>
      <c r="J332" s="536" t="s">
        <v>11668</v>
      </c>
      <c r="K332" s="536">
        <v>2345.0</v>
      </c>
    </row>
    <row r="333" hidden="1">
      <c r="A333" s="531" t="s">
        <v>11345</v>
      </c>
      <c r="B333" s="531">
        <v>2345.0</v>
      </c>
      <c r="C333" s="11" t="s">
        <v>11298</v>
      </c>
      <c r="D333" s="533">
        <v>0.9</v>
      </c>
      <c r="E333" s="533">
        <v>0.9</v>
      </c>
      <c r="F333" s="11" t="s">
        <v>1656</v>
      </c>
      <c r="G333" s="10"/>
      <c r="H333" s="11" t="s">
        <v>11299</v>
      </c>
      <c r="I333" s="10"/>
      <c r="J333" s="536" t="s">
        <v>11669</v>
      </c>
      <c r="K333" s="536">
        <v>2345.0</v>
      </c>
    </row>
    <row r="334" hidden="1">
      <c r="A334" s="531" t="s">
        <v>11670</v>
      </c>
      <c r="B334" s="531">
        <v>14590.0</v>
      </c>
      <c r="C334" s="11" t="s">
        <v>11298</v>
      </c>
      <c r="D334" s="533">
        <v>0.9</v>
      </c>
      <c r="E334" s="533">
        <v>0.9</v>
      </c>
      <c r="F334" s="11" t="s">
        <v>1656</v>
      </c>
      <c r="G334" s="10"/>
      <c r="H334" s="11" t="s">
        <v>11299</v>
      </c>
      <c r="I334" s="10"/>
      <c r="J334" s="536" t="s">
        <v>11671</v>
      </c>
      <c r="K334" s="536">
        <v>2345.0</v>
      </c>
    </row>
    <row r="335" hidden="1">
      <c r="A335" s="531" t="s">
        <v>11672</v>
      </c>
      <c r="B335" s="531">
        <v>14590.0</v>
      </c>
      <c r="C335" s="11" t="s">
        <v>11298</v>
      </c>
      <c r="D335" s="533">
        <v>0.9</v>
      </c>
      <c r="E335" s="533">
        <v>0.9</v>
      </c>
      <c r="F335" s="11" t="s">
        <v>1656</v>
      </c>
      <c r="G335" s="10"/>
      <c r="H335" s="11" t="s">
        <v>11299</v>
      </c>
      <c r="I335" s="10"/>
      <c r="J335" s="536" t="s">
        <v>11673</v>
      </c>
      <c r="K335" s="536">
        <v>2345.0</v>
      </c>
    </row>
    <row r="336" hidden="1">
      <c r="A336" s="531" t="s">
        <v>11470</v>
      </c>
      <c r="B336" s="531">
        <v>2345.0</v>
      </c>
      <c r="C336" s="11" t="s">
        <v>11298</v>
      </c>
      <c r="D336" s="533">
        <v>0.9</v>
      </c>
      <c r="E336" s="533">
        <v>0.9</v>
      </c>
      <c r="F336" s="11" t="s">
        <v>1656</v>
      </c>
      <c r="G336" s="10"/>
      <c r="H336" s="11" t="s">
        <v>11299</v>
      </c>
      <c r="I336" s="10"/>
      <c r="J336" s="536" t="s">
        <v>11674</v>
      </c>
      <c r="K336" s="536">
        <v>2345.0</v>
      </c>
    </row>
    <row r="337" hidden="1">
      <c r="A337" s="531" t="s">
        <v>11675</v>
      </c>
      <c r="B337" s="531">
        <v>14590.0</v>
      </c>
      <c r="C337" s="11" t="s">
        <v>11298</v>
      </c>
      <c r="D337" s="533">
        <v>0.9</v>
      </c>
      <c r="E337" s="533">
        <v>0.9</v>
      </c>
      <c r="F337" s="11" t="s">
        <v>1656</v>
      </c>
      <c r="G337" s="10"/>
      <c r="H337" s="11" t="s">
        <v>11299</v>
      </c>
      <c r="I337" s="10"/>
      <c r="J337" s="536" t="s">
        <v>11676</v>
      </c>
      <c r="K337" s="536">
        <v>2345.0</v>
      </c>
    </row>
    <row r="338" hidden="1">
      <c r="A338" s="531" t="s">
        <v>11232</v>
      </c>
      <c r="B338" s="531">
        <v>6732.0</v>
      </c>
      <c r="C338" s="11" t="s">
        <v>11298</v>
      </c>
      <c r="D338" s="533">
        <v>0.8</v>
      </c>
      <c r="E338" s="533">
        <v>0.8</v>
      </c>
      <c r="F338" s="11" t="s">
        <v>1656</v>
      </c>
      <c r="G338" s="10"/>
      <c r="H338" s="11" t="s">
        <v>11299</v>
      </c>
      <c r="I338" s="10"/>
      <c r="J338" s="536" t="s">
        <v>11677</v>
      </c>
      <c r="K338" s="536">
        <v>2345.0</v>
      </c>
    </row>
    <row r="339" hidden="1">
      <c r="A339" s="531" t="s">
        <v>11678</v>
      </c>
      <c r="B339" s="531">
        <v>8623.0</v>
      </c>
      <c r="C339" s="11" t="s">
        <v>11298</v>
      </c>
      <c r="D339" s="533">
        <v>0.85</v>
      </c>
      <c r="E339" s="533">
        <v>0.85</v>
      </c>
      <c r="F339" s="11" t="s">
        <v>1656</v>
      </c>
      <c r="G339" s="10"/>
      <c r="H339" s="11" t="s">
        <v>11299</v>
      </c>
      <c r="I339" s="10"/>
      <c r="J339" s="536" t="s">
        <v>11679</v>
      </c>
      <c r="K339" s="536">
        <v>2345.0</v>
      </c>
    </row>
    <row r="340" hidden="1">
      <c r="A340" s="531" t="s">
        <v>11294</v>
      </c>
      <c r="B340" s="531">
        <v>6629.0</v>
      </c>
      <c r="C340" s="11" t="s">
        <v>11298</v>
      </c>
      <c r="D340" s="533">
        <v>0.75</v>
      </c>
      <c r="E340" s="533">
        <v>0.75</v>
      </c>
      <c r="F340" s="11" t="s">
        <v>1656</v>
      </c>
      <c r="G340" s="10"/>
      <c r="H340" s="11" t="s">
        <v>11299</v>
      </c>
      <c r="I340" s="10"/>
      <c r="J340" s="536" t="s">
        <v>11680</v>
      </c>
      <c r="K340" s="536">
        <v>2345.0</v>
      </c>
    </row>
    <row r="341" hidden="1">
      <c r="A341" s="531" t="s">
        <v>11681</v>
      </c>
      <c r="B341" s="531">
        <v>14590.0</v>
      </c>
      <c r="C341" s="11" t="s">
        <v>11298</v>
      </c>
      <c r="D341" s="533">
        <v>0.9</v>
      </c>
      <c r="E341" s="533">
        <v>0.9</v>
      </c>
      <c r="F341" s="11" t="s">
        <v>1656</v>
      </c>
      <c r="G341" s="10"/>
      <c r="H341" s="11" t="s">
        <v>11299</v>
      </c>
      <c r="I341" s="10"/>
      <c r="J341" s="536" t="s">
        <v>11682</v>
      </c>
      <c r="K341" s="536">
        <v>2345.0</v>
      </c>
    </row>
    <row r="342" hidden="1">
      <c r="A342" s="531" t="s">
        <v>11683</v>
      </c>
      <c r="B342" s="531">
        <v>14590.0</v>
      </c>
      <c r="C342" s="11" t="s">
        <v>11298</v>
      </c>
      <c r="D342" s="533">
        <v>0.9</v>
      </c>
      <c r="E342" s="533">
        <v>0.9</v>
      </c>
      <c r="F342" s="11" t="s">
        <v>1656</v>
      </c>
      <c r="G342" s="10"/>
      <c r="H342" s="11" t="s">
        <v>11299</v>
      </c>
      <c r="I342" s="10"/>
      <c r="J342" s="536" t="s">
        <v>11684</v>
      </c>
      <c r="K342" s="536">
        <v>2345.0</v>
      </c>
    </row>
    <row r="343" hidden="1">
      <c r="A343" s="531" t="s">
        <v>7863</v>
      </c>
      <c r="B343" s="531">
        <v>3312.0</v>
      </c>
      <c r="C343" s="11" t="s">
        <v>11298</v>
      </c>
      <c r="D343" s="533">
        <v>0.75</v>
      </c>
      <c r="E343" s="533">
        <v>0.75</v>
      </c>
      <c r="F343" s="11" t="s">
        <v>1656</v>
      </c>
      <c r="G343" s="10"/>
      <c r="H343" s="11" t="s">
        <v>11299</v>
      </c>
      <c r="I343" s="10"/>
      <c r="J343" s="536" t="s">
        <v>11685</v>
      </c>
      <c r="K343" s="536">
        <v>2345.0</v>
      </c>
    </row>
    <row r="344" hidden="1">
      <c r="A344" s="531" t="s">
        <v>11124</v>
      </c>
      <c r="B344" s="531">
        <v>6272.0</v>
      </c>
      <c r="C344" s="11" t="s">
        <v>11298</v>
      </c>
      <c r="D344" s="533">
        <v>0.75</v>
      </c>
      <c r="E344" s="533">
        <v>0.75</v>
      </c>
      <c r="F344" s="11" t="s">
        <v>1656</v>
      </c>
      <c r="G344" s="10"/>
      <c r="H344" s="11" t="s">
        <v>11299</v>
      </c>
      <c r="I344" s="10"/>
      <c r="J344" s="536" t="s">
        <v>11686</v>
      </c>
      <c r="K344" s="536">
        <v>2345.0</v>
      </c>
    </row>
    <row r="345" hidden="1">
      <c r="A345" s="531" t="s">
        <v>11687</v>
      </c>
      <c r="B345" s="531">
        <v>189.0</v>
      </c>
      <c r="C345" s="11" t="s">
        <v>11298</v>
      </c>
      <c r="D345" s="533">
        <v>0.88</v>
      </c>
      <c r="E345" s="533">
        <v>0.88</v>
      </c>
      <c r="F345" s="11" t="s">
        <v>1656</v>
      </c>
      <c r="G345" s="10"/>
      <c r="H345" s="11" t="s">
        <v>11299</v>
      </c>
      <c r="I345" s="10"/>
      <c r="J345" s="536" t="s">
        <v>11688</v>
      </c>
      <c r="K345" s="536">
        <v>2345.0</v>
      </c>
    </row>
    <row r="346" hidden="1">
      <c r="A346" s="531" t="s">
        <v>11689</v>
      </c>
      <c r="B346" s="531">
        <v>6722.0</v>
      </c>
      <c r="C346" s="11" t="s">
        <v>11298</v>
      </c>
      <c r="D346" s="533">
        <v>0.75</v>
      </c>
      <c r="E346" s="533">
        <v>0.75</v>
      </c>
      <c r="F346" s="11" t="s">
        <v>1656</v>
      </c>
      <c r="G346" s="10"/>
      <c r="H346" s="11" t="s">
        <v>11299</v>
      </c>
      <c r="I346" s="10"/>
      <c r="J346" s="536" t="s">
        <v>11690</v>
      </c>
      <c r="K346" s="536">
        <v>2345.0</v>
      </c>
    </row>
    <row r="347" hidden="1">
      <c r="A347" s="531" t="s">
        <v>11180</v>
      </c>
      <c r="B347" s="531">
        <v>5458.0</v>
      </c>
      <c r="C347" s="11" t="s">
        <v>11298</v>
      </c>
      <c r="D347" s="533">
        <v>0.75</v>
      </c>
      <c r="E347" s="533">
        <v>0.75</v>
      </c>
      <c r="F347" s="11" t="s">
        <v>1656</v>
      </c>
      <c r="G347" s="10"/>
      <c r="H347" s="11" t="s">
        <v>11299</v>
      </c>
      <c r="I347" s="10"/>
      <c r="J347" s="536" t="s">
        <v>11691</v>
      </c>
      <c r="K347" s="536">
        <v>12388.0</v>
      </c>
    </row>
    <row r="348" hidden="1">
      <c r="A348" s="531" t="s">
        <v>11692</v>
      </c>
      <c r="B348" s="531">
        <v>14590.0</v>
      </c>
      <c r="C348" s="11" t="s">
        <v>11298</v>
      </c>
      <c r="D348" s="533">
        <v>0.9</v>
      </c>
      <c r="E348" s="533">
        <v>0.9</v>
      </c>
      <c r="F348" s="11" t="s">
        <v>1656</v>
      </c>
      <c r="G348" s="10"/>
      <c r="H348" s="11" t="s">
        <v>11299</v>
      </c>
      <c r="I348" s="10"/>
      <c r="J348" s="536" t="s">
        <v>11693</v>
      </c>
      <c r="K348" s="536">
        <v>2345.0</v>
      </c>
    </row>
    <row r="349">
      <c r="A349" s="531" t="s">
        <v>7858</v>
      </c>
      <c r="B349" s="11">
        <v>6675.0</v>
      </c>
      <c r="C349" s="11" t="s">
        <v>11298</v>
      </c>
      <c r="D349" s="533">
        <v>0.9</v>
      </c>
      <c r="E349" s="533">
        <v>0.9</v>
      </c>
      <c r="F349" s="11" t="s">
        <v>1656</v>
      </c>
      <c r="G349" s="10"/>
      <c r="H349" s="11" t="s">
        <v>11299</v>
      </c>
      <c r="I349" s="10"/>
      <c r="J349" s="536" t="s">
        <v>11514</v>
      </c>
      <c r="K349" s="536">
        <v>2345.0</v>
      </c>
    </row>
    <row r="350" hidden="1">
      <c r="A350" s="531" t="s">
        <v>11694</v>
      </c>
      <c r="B350" s="531">
        <v>14590.0</v>
      </c>
      <c r="C350" s="11" t="s">
        <v>11298</v>
      </c>
      <c r="D350" s="533">
        <v>0.9</v>
      </c>
      <c r="E350" s="533">
        <v>0.9</v>
      </c>
      <c r="F350" s="11" t="s">
        <v>1656</v>
      </c>
      <c r="G350" s="10"/>
      <c r="H350" s="11" t="s">
        <v>11299</v>
      </c>
      <c r="I350" s="10"/>
      <c r="J350" s="536" t="s">
        <v>11695</v>
      </c>
      <c r="K350" s="536">
        <v>2345.0</v>
      </c>
    </row>
    <row r="351" hidden="1">
      <c r="A351" s="531" t="s">
        <v>11628</v>
      </c>
      <c r="B351" s="531">
        <v>2345.0</v>
      </c>
      <c r="C351" s="11" t="s">
        <v>11298</v>
      </c>
      <c r="D351" s="533">
        <v>0.9</v>
      </c>
      <c r="E351" s="533">
        <v>0.9</v>
      </c>
      <c r="F351" s="11" t="s">
        <v>1656</v>
      </c>
      <c r="G351" s="10"/>
      <c r="H351" s="11" t="s">
        <v>11299</v>
      </c>
      <c r="I351" s="10"/>
      <c r="J351" s="536" t="s">
        <v>11696</v>
      </c>
      <c r="K351" s="536">
        <v>2345.0</v>
      </c>
    </row>
    <row r="352" hidden="1">
      <c r="A352" s="531" t="s">
        <v>11697</v>
      </c>
      <c r="B352" s="531">
        <v>14590.0</v>
      </c>
      <c r="C352" s="11" t="s">
        <v>11298</v>
      </c>
      <c r="D352" s="533">
        <v>0.9</v>
      </c>
      <c r="E352" s="533">
        <v>0.9</v>
      </c>
      <c r="F352" s="11" t="s">
        <v>1656</v>
      </c>
      <c r="G352" s="10"/>
      <c r="H352" s="11" t="s">
        <v>11299</v>
      </c>
      <c r="I352" s="10"/>
      <c r="J352" s="536" t="s">
        <v>11698</v>
      </c>
      <c r="K352" s="536">
        <v>6732.0</v>
      </c>
    </row>
    <row r="353" hidden="1">
      <c r="A353" s="531" t="s">
        <v>11118</v>
      </c>
      <c r="B353" s="531">
        <v>189.0</v>
      </c>
      <c r="C353" s="11" t="s">
        <v>11298</v>
      </c>
      <c r="D353" s="533">
        <v>0.88</v>
      </c>
      <c r="E353" s="533">
        <v>0.88</v>
      </c>
      <c r="F353" s="11" t="s">
        <v>1656</v>
      </c>
      <c r="G353" s="10"/>
      <c r="H353" s="11" t="s">
        <v>11299</v>
      </c>
      <c r="I353" s="10"/>
      <c r="J353" s="536" t="s">
        <v>11699</v>
      </c>
      <c r="K353" s="536">
        <v>6732.0</v>
      </c>
    </row>
    <row r="354" hidden="1">
      <c r="A354" s="531" t="s">
        <v>7829</v>
      </c>
      <c r="B354" s="531">
        <v>14590.0</v>
      </c>
      <c r="C354" s="11" t="s">
        <v>11298</v>
      </c>
      <c r="D354" s="533">
        <v>0.9</v>
      </c>
      <c r="E354" s="533">
        <v>0.9</v>
      </c>
      <c r="F354" s="11" t="s">
        <v>1656</v>
      </c>
      <c r="G354" s="10"/>
      <c r="H354" s="11" t="s">
        <v>11299</v>
      </c>
      <c r="I354" s="10"/>
      <c r="J354" s="536" t="s">
        <v>11700</v>
      </c>
      <c r="K354" s="536">
        <v>6732.0</v>
      </c>
    </row>
    <row r="355" hidden="1">
      <c r="A355" s="531" t="s">
        <v>11701</v>
      </c>
      <c r="B355" s="531">
        <v>14590.0</v>
      </c>
      <c r="C355" s="11" t="s">
        <v>11298</v>
      </c>
      <c r="D355" s="533">
        <v>0.9</v>
      </c>
      <c r="E355" s="533">
        <v>0.9</v>
      </c>
      <c r="F355" s="11" t="s">
        <v>1656</v>
      </c>
      <c r="G355" s="10"/>
      <c r="H355" s="11" t="s">
        <v>11299</v>
      </c>
      <c r="I355" s="10"/>
      <c r="J355" s="536" t="s">
        <v>11702</v>
      </c>
      <c r="K355" s="536">
        <v>6671.0</v>
      </c>
    </row>
    <row r="356" hidden="1">
      <c r="A356" s="531" t="s">
        <v>11703</v>
      </c>
      <c r="B356" s="531">
        <v>8199.0</v>
      </c>
      <c r="C356" s="11" t="s">
        <v>11298</v>
      </c>
      <c r="D356" s="533">
        <v>0.75</v>
      </c>
      <c r="E356" s="533">
        <v>0.75</v>
      </c>
      <c r="F356" s="11" t="s">
        <v>1656</v>
      </c>
      <c r="G356" s="10"/>
      <c r="H356" s="11" t="s">
        <v>11299</v>
      </c>
      <c r="I356" s="10"/>
      <c r="J356" s="536" t="s">
        <v>11704</v>
      </c>
      <c r="K356" s="536">
        <v>6829.0</v>
      </c>
    </row>
    <row r="357" hidden="1">
      <c r="A357" s="531" t="s">
        <v>11705</v>
      </c>
      <c r="B357" s="531">
        <v>14590.0</v>
      </c>
      <c r="C357" s="11" t="s">
        <v>11298</v>
      </c>
      <c r="D357" s="533">
        <v>0.9</v>
      </c>
      <c r="E357" s="533">
        <v>0.9</v>
      </c>
      <c r="F357" s="11" t="s">
        <v>1656</v>
      </c>
      <c r="G357" s="10"/>
      <c r="H357" s="11" t="s">
        <v>11299</v>
      </c>
      <c r="I357" s="10"/>
      <c r="J357" s="536" t="s">
        <v>11706</v>
      </c>
      <c r="K357" s="536">
        <v>6732.0</v>
      </c>
    </row>
    <row r="358" hidden="1">
      <c r="A358" s="531" t="s">
        <v>11707</v>
      </c>
      <c r="B358" s="531">
        <v>14590.0</v>
      </c>
      <c r="C358" s="11" t="s">
        <v>11298</v>
      </c>
      <c r="D358" s="533">
        <v>0.9</v>
      </c>
      <c r="E358" s="533">
        <v>0.9</v>
      </c>
      <c r="F358" s="11" t="s">
        <v>1656</v>
      </c>
      <c r="G358" s="10"/>
      <c r="H358" s="11" t="s">
        <v>11299</v>
      </c>
      <c r="I358" s="10"/>
      <c r="J358" s="536" t="s">
        <v>11708</v>
      </c>
      <c r="K358" s="536">
        <v>6718.0</v>
      </c>
    </row>
    <row r="359" hidden="1">
      <c r="A359" s="531" t="s">
        <v>11709</v>
      </c>
      <c r="B359" s="531">
        <v>14590.0</v>
      </c>
      <c r="C359" s="11" t="s">
        <v>11298</v>
      </c>
      <c r="D359" s="533">
        <v>0.9</v>
      </c>
      <c r="E359" s="533">
        <v>0.9</v>
      </c>
      <c r="F359" s="11" t="s">
        <v>1656</v>
      </c>
      <c r="G359" s="10"/>
      <c r="H359" s="11" t="s">
        <v>11299</v>
      </c>
      <c r="I359" s="10"/>
      <c r="J359" s="536" t="s">
        <v>11710</v>
      </c>
      <c r="K359" s="536">
        <v>6733.0</v>
      </c>
    </row>
    <row r="360" hidden="1">
      <c r="A360" s="531" t="s">
        <v>11711</v>
      </c>
      <c r="B360" s="531">
        <v>7040.0</v>
      </c>
      <c r="C360" s="11" t="s">
        <v>11298</v>
      </c>
      <c r="D360" s="533">
        <v>0.75</v>
      </c>
      <c r="E360" s="533">
        <v>0.75</v>
      </c>
      <c r="F360" s="11" t="s">
        <v>1656</v>
      </c>
      <c r="G360" s="10"/>
      <c r="H360" s="11" t="s">
        <v>11299</v>
      </c>
      <c r="I360" s="10"/>
      <c r="J360" s="536" t="s">
        <v>11498</v>
      </c>
      <c r="K360" s="536">
        <v>6732.0</v>
      </c>
    </row>
    <row r="361" hidden="1">
      <c r="A361" s="531" t="s">
        <v>11712</v>
      </c>
      <c r="B361" s="531">
        <v>14590.0</v>
      </c>
      <c r="C361" s="11" t="s">
        <v>11298</v>
      </c>
      <c r="D361" s="533">
        <v>0.9</v>
      </c>
      <c r="E361" s="533">
        <v>0.9</v>
      </c>
      <c r="F361" s="11" t="s">
        <v>1656</v>
      </c>
      <c r="G361" s="10"/>
      <c r="H361" s="11" t="s">
        <v>11299</v>
      </c>
      <c r="I361" s="10"/>
      <c r="J361" s="536" t="s">
        <v>11713</v>
      </c>
      <c r="K361" s="536">
        <v>6732.0</v>
      </c>
    </row>
    <row r="362" hidden="1">
      <c r="A362" s="531" t="s">
        <v>11714</v>
      </c>
      <c r="B362" s="531">
        <v>14590.0</v>
      </c>
      <c r="C362" s="11" t="s">
        <v>11298</v>
      </c>
      <c r="D362" s="533">
        <v>0.9</v>
      </c>
      <c r="E362" s="533">
        <v>0.9</v>
      </c>
      <c r="F362" s="11" t="s">
        <v>1656</v>
      </c>
      <c r="G362" s="10"/>
      <c r="H362" s="11" t="s">
        <v>11299</v>
      </c>
      <c r="I362" s="10"/>
      <c r="J362" s="536" t="s">
        <v>11715</v>
      </c>
      <c r="K362" s="536">
        <v>6732.0</v>
      </c>
    </row>
    <row r="363" hidden="1">
      <c r="A363" s="531" t="s">
        <v>11713</v>
      </c>
      <c r="B363" s="531">
        <v>6732.0</v>
      </c>
      <c r="C363" s="11" t="s">
        <v>11298</v>
      </c>
      <c r="D363" s="533">
        <v>0.8</v>
      </c>
      <c r="E363" s="533">
        <v>0.8</v>
      </c>
      <c r="F363" s="11" t="s">
        <v>1656</v>
      </c>
      <c r="G363" s="10"/>
      <c r="H363" s="11" t="s">
        <v>11299</v>
      </c>
      <c r="I363" s="10"/>
      <c r="J363" s="536" t="s">
        <v>11716</v>
      </c>
      <c r="K363" s="536">
        <v>6732.0</v>
      </c>
    </row>
    <row r="364" hidden="1">
      <c r="A364" s="531" t="s">
        <v>11324</v>
      </c>
      <c r="B364" s="531">
        <v>6697.0</v>
      </c>
      <c r="C364" s="11" t="s">
        <v>11298</v>
      </c>
      <c r="D364" s="533">
        <v>0.75</v>
      </c>
      <c r="E364" s="533">
        <v>0.75</v>
      </c>
      <c r="F364" s="11" t="s">
        <v>1656</v>
      </c>
      <c r="G364" s="10"/>
      <c r="H364" s="11" t="s">
        <v>11299</v>
      </c>
      <c r="I364" s="10"/>
      <c r="J364" s="536" t="s">
        <v>11717</v>
      </c>
      <c r="K364" s="536">
        <v>6732.0</v>
      </c>
    </row>
    <row r="365" hidden="1">
      <c r="A365" s="531" t="s">
        <v>11718</v>
      </c>
      <c r="B365" s="531">
        <v>6106.0</v>
      </c>
      <c r="C365" s="11" t="s">
        <v>11298</v>
      </c>
      <c r="D365" s="533">
        <v>0.75</v>
      </c>
      <c r="E365" s="533">
        <v>0.75</v>
      </c>
      <c r="F365" s="11" t="s">
        <v>1656</v>
      </c>
      <c r="G365" s="10"/>
      <c r="H365" s="11" t="s">
        <v>11299</v>
      </c>
      <c r="I365" s="10"/>
      <c r="J365" s="536" t="s">
        <v>11719</v>
      </c>
      <c r="K365" s="536">
        <v>6732.0</v>
      </c>
    </row>
    <row r="366">
      <c r="A366" s="531" t="s">
        <v>11720</v>
      </c>
      <c r="B366" s="531">
        <v>6675.0</v>
      </c>
      <c r="C366" s="11" t="s">
        <v>11298</v>
      </c>
      <c r="D366" s="533">
        <v>0.9</v>
      </c>
      <c r="E366" s="533">
        <v>0.9</v>
      </c>
      <c r="F366" s="11" t="s">
        <v>1656</v>
      </c>
      <c r="G366" s="10"/>
      <c r="H366" s="11" t="s">
        <v>11299</v>
      </c>
      <c r="I366" s="10"/>
      <c r="J366" s="536" t="s">
        <v>11529</v>
      </c>
      <c r="K366" s="536">
        <v>6697.0</v>
      </c>
    </row>
    <row r="367" hidden="1">
      <c r="A367" s="531" t="s">
        <v>11721</v>
      </c>
      <c r="B367" s="531">
        <v>14590.0</v>
      </c>
      <c r="C367" s="11" t="s">
        <v>11298</v>
      </c>
      <c r="D367" s="533">
        <v>0.9</v>
      </c>
      <c r="E367" s="533">
        <v>0.9</v>
      </c>
      <c r="F367" s="11" t="s">
        <v>1656</v>
      </c>
      <c r="G367" s="10"/>
      <c r="H367" s="11" t="s">
        <v>11299</v>
      </c>
      <c r="I367" s="10"/>
      <c r="J367" s="536" t="s">
        <v>11722</v>
      </c>
      <c r="K367" s="536">
        <v>6732.0</v>
      </c>
    </row>
    <row r="368" hidden="1">
      <c r="A368" s="531" t="s">
        <v>11332</v>
      </c>
      <c r="B368" s="531">
        <v>2345.0</v>
      </c>
      <c r="C368" s="11" t="s">
        <v>11298</v>
      </c>
      <c r="D368" s="533">
        <v>0.9</v>
      </c>
      <c r="E368" s="533">
        <v>0.9</v>
      </c>
      <c r="F368" s="11" t="s">
        <v>1656</v>
      </c>
      <c r="G368" s="10"/>
      <c r="H368" s="11" t="s">
        <v>11299</v>
      </c>
      <c r="I368" s="10"/>
      <c r="J368" s="536" t="s">
        <v>11493</v>
      </c>
      <c r="K368" s="536">
        <v>285.0</v>
      </c>
    </row>
    <row r="369" hidden="1">
      <c r="A369" s="531" t="s">
        <v>11723</v>
      </c>
      <c r="B369" s="531">
        <v>6924.0</v>
      </c>
      <c r="C369" s="11" t="s">
        <v>11298</v>
      </c>
      <c r="D369" s="533">
        <v>0.75</v>
      </c>
      <c r="E369" s="533">
        <v>0.75</v>
      </c>
      <c r="F369" s="11" t="s">
        <v>1656</v>
      </c>
      <c r="G369" s="10"/>
      <c r="H369" s="11" t="s">
        <v>11299</v>
      </c>
      <c r="I369" s="10"/>
      <c r="J369" s="536" t="s">
        <v>11724</v>
      </c>
      <c r="K369" s="536">
        <v>285.0</v>
      </c>
    </row>
    <row r="370" hidden="1">
      <c r="A370" s="531" t="s">
        <v>11725</v>
      </c>
      <c r="B370" s="531">
        <v>6727.0</v>
      </c>
      <c r="C370" s="11" t="s">
        <v>11298</v>
      </c>
      <c r="D370" s="533">
        <v>0.75</v>
      </c>
      <c r="E370" s="533">
        <v>0.75</v>
      </c>
      <c r="F370" s="11" t="s">
        <v>1656</v>
      </c>
      <c r="G370" s="10"/>
      <c r="H370" s="11" t="s">
        <v>11299</v>
      </c>
      <c r="I370" s="10"/>
      <c r="J370" s="536" t="s">
        <v>11726</v>
      </c>
      <c r="K370" s="536">
        <v>285.0</v>
      </c>
    </row>
    <row r="371" hidden="1">
      <c r="A371" s="531" t="s">
        <v>11727</v>
      </c>
      <c r="B371" s="531">
        <v>9573.0</v>
      </c>
      <c r="C371" s="11" t="s">
        <v>11298</v>
      </c>
      <c r="D371" s="533">
        <v>0.75</v>
      </c>
      <c r="E371" s="533">
        <v>0.75</v>
      </c>
      <c r="F371" s="11" t="s">
        <v>1656</v>
      </c>
      <c r="G371" s="10"/>
      <c r="H371" s="11" t="s">
        <v>11299</v>
      </c>
      <c r="I371" s="10"/>
      <c r="J371" s="536" t="s">
        <v>11728</v>
      </c>
      <c r="K371" s="536">
        <v>285.0</v>
      </c>
    </row>
    <row r="372" hidden="1">
      <c r="A372" s="531" t="s">
        <v>11729</v>
      </c>
      <c r="B372" s="531">
        <v>8486.0</v>
      </c>
      <c r="C372" s="11" t="s">
        <v>11298</v>
      </c>
      <c r="D372" s="533">
        <v>0.88</v>
      </c>
      <c r="E372" s="533">
        <v>0.88</v>
      </c>
      <c r="F372" s="11" t="s">
        <v>1656</v>
      </c>
      <c r="G372" s="10"/>
      <c r="H372" s="11" t="s">
        <v>11299</v>
      </c>
      <c r="I372" s="10"/>
      <c r="J372" s="536" t="s">
        <v>11730</v>
      </c>
      <c r="K372" s="536">
        <v>6697.0</v>
      </c>
    </row>
    <row r="373" hidden="1">
      <c r="A373" s="531" t="s">
        <v>11369</v>
      </c>
      <c r="B373" s="531">
        <v>285.0</v>
      </c>
      <c r="C373" s="11" t="s">
        <v>11298</v>
      </c>
      <c r="D373" s="533">
        <v>0.88</v>
      </c>
      <c r="E373" s="533">
        <v>0.88</v>
      </c>
      <c r="F373" s="11" t="s">
        <v>1656</v>
      </c>
      <c r="G373" s="10"/>
      <c r="H373" s="11" t="s">
        <v>11299</v>
      </c>
      <c r="I373" s="10"/>
      <c r="J373" s="536" t="s">
        <v>11386</v>
      </c>
      <c r="K373" s="536">
        <v>285.0</v>
      </c>
    </row>
    <row r="374" hidden="1">
      <c r="A374" s="531" t="s">
        <v>11731</v>
      </c>
      <c r="B374" s="531">
        <v>14590.0</v>
      </c>
      <c r="C374" s="11" t="s">
        <v>11298</v>
      </c>
      <c r="D374" s="533">
        <v>0.9</v>
      </c>
      <c r="E374" s="533">
        <v>0.9</v>
      </c>
      <c r="F374" s="11" t="s">
        <v>1656</v>
      </c>
      <c r="G374" s="10"/>
      <c r="H374" s="11" t="s">
        <v>11299</v>
      </c>
      <c r="I374" s="10"/>
      <c r="J374" s="536" t="s">
        <v>11732</v>
      </c>
      <c r="K374" s="536">
        <v>6831.0</v>
      </c>
    </row>
    <row r="375" hidden="1">
      <c r="A375" s="531" t="s">
        <v>11424</v>
      </c>
      <c r="B375" s="531">
        <v>986.0</v>
      </c>
      <c r="C375" s="11" t="s">
        <v>11298</v>
      </c>
      <c r="D375" s="533">
        <v>0.85</v>
      </c>
      <c r="E375" s="533">
        <v>0.85</v>
      </c>
      <c r="F375" s="11" t="s">
        <v>1656</v>
      </c>
      <c r="G375" s="10"/>
      <c r="H375" s="11" t="s">
        <v>11299</v>
      </c>
      <c r="I375" s="10"/>
      <c r="J375" s="536" t="s">
        <v>11733</v>
      </c>
      <c r="K375" s="536">
        <v>285.0</v>
      </c>
    </row>
    <row r="376" hidden="1">
      <c r="A376" s="531" t="s">
        <v>11734</v>
      </c>
      <c r="B376" s="531">
        <v>14590.0</v>
      </c>
      <c r="C376" s="11" t="s">
        <v>11298</v>
      </c>
      <c r="D376" s="533">
        <v>0.9</v>
      </c>
      <c r="E376" s="533">
        <v>0.9</v>
      </c>
      <c r="F376" s="11" t="s">
        <v>1656</v>
      </c>
      <c r="G376" s="10"/>
      <c r="H376" s="11" t="s">
        <v>11299</v>
      </c>
      <c r="I376" s="10"/>
      <c r="J376" s="536" t="s">
        <v>11735</v>
      </c>
      <c r="K376" s="536">
        <v>189.0</v>
      </c>
    </row>
    <row r="377" hidden="1">
      <c r="A377" s="531" t="s">
        <v>9681</v>
      </c>
      <c r="B377" s="531">
        <v>14590.0</v>
      </c>
      <c r="C377" s="11" t="s">
        <v>11298</v>
      </c>
      <c r="D377" s="533">
        <v>0.9</v>
      </c>
      <c r="E377" s="533">
        <v>0.9</v>
      </c>
      <c r="F377" s="11" t="s">
        <v>1656</v>
      </c>
      <c r="G377" s="10"/>
      <c r="H377" s="11" t="s">
        <v>11299</v>
      </c>
      <c r="I377" s="10"/>
      <c r="J377" s="536" t="s">
        <v>11736</v>
      </c>
      <c r="K377" s="536">
        <v>189.0</v>
      </c>
    </row>
    <row r="378" hidden="1">
      <c r="A378" s="531" t="s">
        <v>11737</v>
      </c>
      <c r="B378" s="531">
        <v>285.0</v>
      </c>
      <c r="C378" s="11" t="s">
        <v>11298</v>
      </c>
      <c r="D378" s="533">
        <v>0.88</v>
      </c>
      <c r="E378" s="533">
        <v>0.88</v>
      </c>
      <c r="F378" s="11" t="s">
        <v>1656</v>
      </c>
      <c r="G378" s="10"/>
      <c r="H378" s="11" t="s">
        <v>11299</v>
      </c>
      <c r="I378" s="10"/>
      <c r="J378" s="536" t="s">
        <v>11738</v>
      </c>
      <c r="K378" s="536">
        <v>189.0</v>
      </c>
    </row>
    <row r="379" hidden="1">
      <c r="A379" s="531" t="s">
        <v>11588</v>
      </c>
      <c r="B379" s="531">
        <v>986.0</v>
      </c>
      <c r="C379" s="11" t="s">
        <v>11298</v>
      </c>
      <c r="D379" s="533">
        <v>0.85</v>
      </c>
      <c r="E379" s="533">
        <v>0.85</v>
      </c>
      <c r="F379" s="11" t="s">
        <v>1656</v>
      </c>
      <c r="G379" s="10"/>
      <c r="H379" s="11" t="s">
        <v>11299</v>
      </c>
      <c r="I379" s="10"/>
      <c r="J379" s="536" t="s">
        <v>11687</v>
      </c>
      <c r="K379" s="536">
        <v>189.0</v>
      </c>
    </row>
    <row r="380" hidden="1">
      <c r="A380" s="531" t="s">
        <v>11739</v>
      </c>
      <c r="B380" s="531">
        <v>7007.0</v>
      </c>
      <c r="C380" s="11" t="s">
        <v>11298</v>
      </c>
      <c r="D380" s="533">
        <v>0.75</v>
      </c>
      <c r="E380" s="533">
        <v>0.75</v>
      </c>
      <c r="F380" s="11" t="s">
        <v>1656</v>
      </c>
      <c r="G380" s="10"/>
      <c r="H380" s="11" t="s">
        <v>11299</v>
      </c>
      <c r="I380" s="10"/>
      <c r="J380" s="536" t="s">
        <v>11740</v>
      </c>
      <c r="K380" s="536">
        <v>189.0</v>
      </c>
    </row>
    <row r="381" hidden="1">
      <c r="A381" s="531" t="s">
        <v>11741</v>
      </c>
      <c r="B381" s="531">
        <v>14590.0</v>
      </c>
      <c r="C381" s="11" t="s">
        <v>11298</v>
      </c>
      <c r="D381" s="533">
        <v>0.9</v>
      </c>
      <c r="E381" s="533">
        <v>0.9</v>
      </c>
      <c r="F381" s="11" t="s">
        <v>1656</v>
      </c>
      <c r="G381" s="10"/>
      <c r="H381" s="11" t="s">
        <v>11299</v>
      </c>
      <c r="I381" s="10"/>
      <c r="J381" s="536" t="s">
        <v>11648</v>
      </c>
      <c r="K381" s="536">
        <v>6831.0</v>
      </c>
    </row>
    <row r="382" hidden="1">
      <c r="A382" s="531" t="s">
        <v>11742</v>
      </c>
      <c r="B382" s="531">
        <v>14590.0</v>
      </c>
      <c r="C382" s="11" t="s">
        <v>11298</v>
      </c>
      <c r="D382" s="533">
        <v>0.9</v>
      </c>
      <c r="E382" s="533">
        <v>0.9</v>
      </c>
      <c r="F382" s="11" t="s">
        <v>1656</v>
      </c>
      <c r="G382" s="10"/>
      <c r="H382" s="11" t="s">
        <v>11299</v>
      </c>
      <c r="I382" s="10"/>
      <c r="J382" s="536" t="s">
        <v>11743</v>
      </c>
      <c r="K382" s="536">
        <v>189.0</v>
      </c>
    </row>
    <row r="383" hidden="1">
      <c r="A383" s="531" t="s">
        <v>11744</v>
      </c>
      <c r="B383" s="531">
        <v>2093.0</v>
      </c>
      <c r="C383" s="11" t="s">
        <v>11298</v>
      </c>
      <c r="D383" s="533">
        <v>0.75</v>
      </c>
      <c r="E383" s="533">
        <v>0.75</v>
      </c>
      <c r="F383" s="11" t="s">
        <v>1656</v>
      </c>
      <c r="G383" s="10"/>
      <c r="H383" s="11" t="s">
        <v>11299</v>
      </c>
      <c r="I383" s="10"/>
      <c r="J383" s="536" t="s">
        <v>11745</v>
      </c>
      <c r="K383" s="536">
        <v>6726.0</v>
      </c>
    </row>
    <row r="384" hidden="1">
      <c r="A384" s="531" t="s">
        <v>11746</v>
      </c>
      <c r="B384" s="531">
        <v>2093.0</v>
      </c>
      <c r="C384" s="11" t="s">
        <v>11298</v>
      </c>
      <c r="D384" s="533">
        <v>0.75</v>
      </c>
      <c r="E384" s="533">
        <v>0.75</v>
      </c>
      <c r="F384" s="11" t="s">
        <v>1656</v>
      </c>
      <c r="G384" s="10"/>
      <c r="H384" s="11" t="s">
        <v>11299</v>
      </c>
      <c r="I384" s="10"/>
      <c r="J384" s="536" t="s">
        <v>11747</v>
      </c>
      <c r="K384" s="536">
        <v>6658.0</v>
      </c>
    </row>
    <row r="385" hidden="1">
      <c r="A385" s="531" t="s">
        <v>11748</v>
      </c>
      <c r="B385" s="531">
        <v>14590.0</v>
      </c>
      <c r="C385" s="11" t="s">
        <v>11298</v>
      </c>
      <c r="D385" s="533">
        <v>0.9</v>
      </c>
      <c r="E385" s="533">
        <v>0.9</v>
      </c>
      <c r="F385" s="11" t="s">
        <v>1656</v>
      </c>
      <c r="G385" s="10"/>
      <c r="H385" s="11" t="s">
        <v>11299</v>
      </c>
      <c r="I385" s="10"/>
      <c r="J385" s="536" t="s">
        <v>11748</v>
      </c>
      <c r="K385" s="536">
        <v>6658.0</v>
      </c>
    </row>
    <row r="386" hidden="1">
      <c r="A386" s="531" t="s">
        <v>11749</v>
      </c>
      <c r="B386" s="531">
        <v>10368.0</v>
      </c>
      <c r="C386" s="11" t="s">
        <v>11298</v>
      </c>
      <c r="D386" s="533">
        <v>0.75</v>
      </c>
      <c r="E386" s="533">
        <v>0.75</v>
      </c>
      <c r="F386" s="11" t="s">
        <v>1656</v>
      </c>
      <c r="G386" s="10"/>
      <c r="H386" s="11" t="s">
        <v>11299</v>
      </c>
      <c r="I386" s="10"/>
      <c r="J386" s="536" t="s">
        <v>11750</v>
      </c>
      <c r="K386" s="536">
        <v>6658.0</v>
      </c>
    </row>
    <row r="387" hidden="1">
      <c r="A387" s="531" t="s">
        <v>11751</v>
      </c>
      <c r="B387" s="531">
        <v>14590.0</v>
      </c>
      <c r="C387" s="11" t="s">
        <v>11298</v>
      </c>
      <c r="D387" s="533">
        <v>0.9</v>
      </c>
      <c r="E387" s="533">
        <v>0.9</v>
      </c>
      <c r="F387" s="11" t="s">
        <v>1656</v>
      </c>
      <c r="G387" s="10"/>
      <c r="H387" s="11" t="s">
        <v>11299</v>
      </c>
      <c r="I387" s="10"/>
      <c r="J387" s="536" t="s">
        <v>11752</v>
      </c>
      <c r="K387" s="536">
        <v>6658.0</v>
      </c>
    </row>
    <row r="388" hidden="1">
      <c r="A388" s="531" t="s">
        <v>11208</v>
      </c>
      <c r="B388" s="531">
        <v>2345.0</v>
      </c>
      <c r="C388" s="11" t="s">
        <v>11298</v>
      </c>
      <c r="D388" s="533">
        <v>0.9</v>
      </c>
      <c r="E388" s="533">
        <v>0.9</v>
      </c>
      <c r="F388" s="11" t="s">
        <v>1656</v>
      </c>
      <c r="G388" s="10"/>
      <c r="H388" s="11" t="s">
        <v>11299</v>
      </c>
      <c r="I388" s="10"/>
      <c r="J388" s="536" t="s">
        <v>11753</v>
      </c>
      <c r="K388" s="536">
        <v>6658.0</v>
      </c>
    </row>
    <row r="389" hidden="1">
      <c r="A389" s="531" t="s">
        <v>11458</v>
      </c>
      <c r="B389" s="531">
        <v>2345.0</v>
      </c>
      <c r="C389" s="11" t="s">
        <v>11298</v>
      </c>
      <c r="D389" s="533">
        <v>0.9</v>
      </c>
      <c r="E389" s="533">
        <v>0.9</v>
      </c>
      <c r="F389" s="11" t="s">
        <v>1656</v>
      </c>
      <c r="G389" s="10"/>
      <c r="H389" s="11" t="s">
        <v>11299</v>
      </c>
      <c r="I389" s="10"/>
      <c r="J389" s="536" t="s">
        <v>11754</v>
      </c>
      <c r="K389" s="536">
        <v>6658.0</v>
      </c>
    </row>
    <row r="390" hidden="1">
      <c r="A390" s="531" t="s">
        <v>11755</v>
      </c>
      <c r="B390" s="531">
        <v>986.0</v>
      </c>
      <c r="C390" s="11" t="s">
        <v>11298</v>
      </c>
      <c r="D390" s="533">
        <v>0.85</v>
      </c>
      <c r="E390" s="533">
        <v>0.85</v>
      </c>
      <c r="F390" s="11" t="s">
        <v>1656</v>
      </c>
      <c r="G390" s="10"/>
      <c r="H390" s="11" t="s">
        <v>11299</v>
      </c>
      <c r="I390" s="10"/>
      <c r="J390" s="536" t="s">
        <v>11756</v>
      </c>
      <c r="K390" s="536">
        <v>6658.0</v>
      </c>
    </row>
    <row r="391" hidden="1">
      <c r="A391" s="531" t="s">
        <v>11757</v>
      </c>
      <c r="B391" s="531">
        <v>14590.0</v>
      </c>
      <c r="C391" s="11" t="s">
        <v>11298</v>
      </c>
      <c r="D391" s="533">
        <v>0.9</v>
      </c>
      <c r="E391" s="533">
        <v>0.9</v>
      </c>
      <c r="F391" s="11" t="s">
        <v>1656</v>
      </c>
      <c r="G391" s="10"/>
      <c r="H391" s="11" t="s">
        <v>11299</v>
      </c>
      <c r="I391" s="10"/>
      <c r="J391" s="536" t="s">
        <v>11758</v>
      </c>
      <c r="K391" s="536">
        <v>6713.0</v>
      </c>
    </row>
    <row r="392" hidden="1">
      <c r="A392" s="531" t="s">
        <v>9700</v>
      </c>
      <c r="B392" s="531">
        <v>7100.0</v>
      </c>
      <c r="C392" s="11" t="s">
        <v>11298</v>
      </c>
      <c r="D392" s="533">
        <v>0.75</v>
      </c>
      <c r="E392" s="533">
        <v>0.75</v>
      </c>
      <c r="F392" s="11" t="s">
        <v>1656</v>
      </c>
      <c r="G392" s="10"/>
      <c r="H392" s="11" t="s">
        <v>11299</v>
      </c>
      <c r="I392" s="10"/>
      <c r="J392" s="536" t="s">
        <v>11759</v>
      </c>
      <c r="K392" s="536">
        <v>189.0</v>
      </c>
    </row>
    <row r="393" hidden="1">
      <c r="A393" s="531" t="s">
        <v>11760</v>
      </c>
      <c r="B393" s="531">
        <v>14590.0</v>
      </c>
      <c r="C393" s="11" t="s">
        <v>11298</v>
      </c>
      <c r="D393" s="533">
        <v>0.9</v>
      </c>
      <c r="E393" s="533">
        <v>0.9</v>
      </c>
      <c r="F393" s="11" t="s">
        <v>1656</v>
      </c>
      <c r="G393" s="10"/>
      <c r="H393" s="11" t="s">
        <v>11299</v>
      </c>
      <c r="I393" s="10"/>
      <c r="J393" s="536" t="s">
        <v>11655</v>
      </c>
      <c r="K393" s="536">
        <v>6891.0</v>
      </c>
    </row>
    <row r="394" hidden="1">
      <c r="A394" s="531" t="s">
        <v>11164</v>
      </c>
      <c r="B394" s="531">
        <v>14590.0</v>
      </c>
      <c r="C394" s="11" t="s">
        <v>11298</v>
      </c>
      <c r="D394" s="533">
        <v>0.9</v>
      </c>
      <c r="E394" s="533">
        <v>0.9</v>
      </c>
      <c r="F394" s="11" t="s">
        <v>1656</v>
      </c>
      <c r="G394" s="10"/>
      <c r="H394" s="11" t="s">
        <v>11299</v>
      </c>
      <c r="I394" s="10"/>
      <c r="J394" s="536" t="s">
        <v>11761</v>
      </c>
      <c r="K394" s="536">
        <v>6780.0</v>
      </c>
    </row>
    <row r="395" hidden="1">
      <c r="A395" s="531" t="s">
        <v>10220</v>
      </c>
      <c r="B395" s="531">
        <v>6939.0</v>
      </c>
      <c r="C395" s="11" t="s">
        <v>11298</v>
      </c>
      <c r="D395" s="533">
        <v>0.85</v>
      </c>
      <c r="E395" s="533">
        <v>0.85</v>
      </c>
      <c r="F395" s="11" t="s">
        <v>1656</v>
      </c>
      <c r="G395" s="10"/>
      <c r="H395" s="11" t="s">
        <v>11299</v>
      </c>
      <c r="I395" s="10"/>
      <c r="J395" s="536" t="s">
        <v>11762</v>
      </c>
      <c r="K395" s="536">
        <v>6891.0</v>
      </c>
    </row>
    <row r="396" hidden="1">
      <c r="A396" s="531" t="s">
        <v>11763</v>
      </c>
      <c r="B396" s="531">
        <v>14590.0</v>
      </c>
      <c r="C396" s="11" t="s">
        <v>11298</v>
      </c>
      <c r="D396" s="533">
        <v>0.9</v>
      </c>
      <c r="E396" s="533">
        <v>0.9</v>
      </c>
      <c r="F396" s="11" t="s">
        <v>1656</v>
      </c>
      <c r="G396" s="10"/>
      <c r="H396" s="11" t="s">
        <v>11299</v>
      </c>
      <c r="I396" s="10"/>
      <c r="J396" s="536" t="s">
        <v>11764</v>
      </c>
      <c r="K396" s="536">
        <v>6580.0</v>
      </c>
    </row>
    <row r="397" hidden="1">
      <c r="A397" s="531" t="s">
        <v>11765</v>
      </c>
      <c r="B397" s="531">
        <v>6658.0</v>
      </c>
      <c r="C397" s="11" t="s">
        <v>11298</v>
      </c>
      <c r="D397" s="533">
        <v>0.85</v>
      </c>
      <c r="E397" s="533">
        <v>0.85</v>
      </c>
      <c r="F397" s="11" t="s">
        <v>1656</v>
      </c>
      <c r="G397" s="10"/>
      <c r="H397" s="11" t="s">
        <v>11299</v>
      </c>
      <c r="I397" s="10"/>
      <c r="J397" s="536" t="s">
        <v>11766</v>
      </c>
      <c r="K397" s="536">
        <v>6580.0</v>
      </c>
    </row>
    <row r="398" hidden="1">
      <c r="A398" s="531" t="s">
        <v>11156</v>
      </c>
      <c r="B398" s="531">
        <v>14529.0</v>
      </c>
      <c r="C398" s="11" t="s">
        <v>11298</v>
      </c>
      <c r="D398" s="533">
        <v>0.75</v>
      </c>
      <c r="E398" s="533">
        <v>0.75</v>
      </c>
      <c r="F398" s="11" t="s">
        <v>1656</v>
      </c>
      <c r="G398" s="10"/>
      <c r="H398" s="11" t="s">
        <v>11299</v>
      </c>
      <c r="I398" s="10"/>
      <c r="J398" s="536" t="s">
        <v>11767</v>
      </c>
      <c r="K398" s="536">
        <v>6580.0</v>
      </c>
    </row>
    <row r="399" hidden="1">
      <c r="A399" s="531" t="s">
        <v>11465</v>
      </c>
      <c r="B399" s="531">
        <v>2345.0</v>
      </c>
      <c r="C399" s="11" t="s">
        <v>11298</v>
      </c>
      <c r="D399" s="533">
        <v>0.9</v>
      </c>
      <c r="E399" s="533">
        <v>0.9</v>
      </c>
      <c r="F399" s="11" t="s">
        <v>1656</v>
      </c>
      <c r="G399" s="10"/>
      <c r="H399" s="11" t="s">
        <v>11299</v>
      </c>
      <c r="I399" s="10"/>
      <c r="J399" s="536" t="s">
        <v>11768</v>
      </c>
      <c r="K399" s="536">
        <v>6732.0</v>
      </c>
    </row>
    <row r="400" hidden="1">
      <c r="A400" s="531" t="s">
        <v>11051</v>
      </c>
      <c r="B400" s="531">
        <v>14590.0</v>
      </c>
      <c r="C400" s="11" t="s">
        <v>11298</v>
      </c>
      <c r="D400" s="533">
        <v>0.9</v>
      </c>
      <c r="E400" s="533">
        <v>0.9</v>
      </c>
      <c r="F400" s="11" t="s">
        <v>1656</v>
      </c>
      <c r="G400" s="10"/>
      <c r="H400" s="11" t="s">
        <v>11299</v>
      </c>
      <c r="I400" s="10"/>
      <c r="J400" s="536" t="s">
        <v>11769</v>
      </c>
      <c r="K400" s="536">
        <v>6732.0</v>
      </c>
    </row>
    <row r="401" hidden="1">
      <c r="A401" s="531" t="s">
        <v>9654</v>
      </c>
      <c r="B401" s="531">
        <v>3312.0</v>
      </c>
      <c r="C401" s="11" t="s">
        <v>11298</v>
      </c>
      <c r="D401" s="533">
        <v>0.75</v>
      </c>
      <c r="E401" s="533">
        <v>0.75</v>
      </c>
      <c r="F401" s="11" t="s">
        <v>1656</v>
      </c>
      <c r="G401" s="10"/>
      <c r="H401" s="11" t="s">
        <v>11299</v>
      </c>
      <c r="I401" s="10"/>
      <c r="J401" s="536" t="s">
        <v>11770</v>
      </c>
      <c r="K401" s="536">
        <v>6732.0</v>
      </c>
    </row>
    <row r="402" hidden="1">
      <c r="A402" s="531" t="s">
        <v>9760</v>
      </c>
      <c r="B402" s="531">
        <v>6936.0</v>
      </c>
      <c r="C402" s="11" t="s">
        <v>11298</v>
      </c>
      <c r="D402" s="533">
        <v>0.75</v>
      </c>
      <c r="E402" s="533">
        <v>0.75</v>
      </c>
      <c r="F402" s="11" t="s">
        <v>1656</v>
      </c>
      <c r="G402" s="10"/>
      <c r="H402" s="11" t="s">
        <v>11299</v>
      </c>
      <c r="I402" s="10"/>
      <c r="J402" s="536" t="s">
        <v>11771</v>
      </c>
      <c r="K402" s="536">
        <v>6732.0</v>
      </c>
    </row>
    <row r="403" hidden="1">
      <c r="A403" s="531" t="s">
        <v>11772</v>
      </c>
      <c r="B403" s="531">
        <v>12385.0</v>
      </c>
      <c r="C403" s="11" t="s">
        <v>11298</v>
      </c>
      <c r="D403" s="533">
        <v>0.75</v>
      </c>
      <c r="E403" s="533">
        <v>0.75</v>
      </c>
      <c r="F403" s="11" t="s">
        <v>1656</v>
      </c>
      <c r="G403" s="10"/>
      <c r="H403" s="11" t="s">
        <v>11299</v>
      </c>
      <c r="I403" s="10"/>
      <c r="J403" s="536" t="s">
        <v>11773</v>
      </c>
      <c r="K403" s="536">
        <v>6732.0</v>
      </c>
    </row>
    <row r="404" hidden="1">
      <c r="A404" s="531" t="s">
        <v>11426</v>
      </c>
      <c r="B404" s="531">
        <v>986.0</v>
      </c>
      <c r="C404" s="11" t="s">
        <v>11298</v>
      </c>
      <c r="D404" s="533">
        <v>0.85</v>
      </c>
      <c r="E404" s="533">
        <v>0.85</v>
      </c>
      <c r="F404" s="11" t="s">
        <v>1656</v>
      </c>
      <c r="G404" s="10"/>
      <c r="H404" s="11" t="s">
        <v>11299</v>
      </c>
      <c r="I404" s="10"/>
      <c r="J404" s="536" t="s">
        <v>11774</v>
      </c>
      <c r="K404" s="536">
        <v>6908.0</v>
      </c>
    </row>
    <row r="405" hidden="1">
      <c r="A405" s="531" t="s">
        <v>11775</v>
      </c>
      <c r="B405" s="531">
        <v>14590.0</v>
      </c>
      <c r="C405" s="11" t="s">
        <v>11298</v>
      </c>
      <c r="D405" s="533">
        <v>0.9</v>
      </c>
      <c r="E405" s="533">
        <v>0.9</v>
      </c>
      <c r="F405" s="11" t="s">
        <v>1656</v>
      </c>
      <c r="G405" s="10"/>
      <c r="H405" s="11" t="s">
        <v>11299</v>
      </c>
      <c r="I405" s="10"/>
      <c r="J405" s="536" t="s">
        <v>11776</v>
      </c>
      <c r="K405" s="536">
        <v>6919.0</v>
      </c>
    </row>
    <row r="406" hidden="1">
      <c r="A406" s="531" t="s">
        <v>11777</v>
      </c>
      <c r="B406" s="531">
        <v>14590.0</v>
      </c>
      <c r="C406" s="11" t="s">
        <v>11298</v>
      </c>
      <c r="D406" s="533">
        <v>0.9</v>
      </c>
      <c r="E406" s="533">
        <v>0.9</v>
      </c>
      <c r="F406" s="11" t="s">
        <v>1656</v>
      </c>
      <c r="G406" s="10"/>
      <c r="H406" s="11" t="s">
        <v>11299</v>
      </c>
      <c r="I406" s="10"/>
      <c r="J406" s="536" t="s">
        <v>11778</v>
      </c>
      <c r="K406" s="536">
        <v>3378.0</v>
      </c>
    </row>
    <row r="407" hidden="1">
      <c r="A407" s="531" t="s">
        <v>11140</v>
      </c>
      <c r="B407" s="531">
        <v>6732.0</v>
      </c>
      <c r="C407" s="11" t="s">
        <v>11298</v>
      </c>
      <c r="D407" s="533">
        <v>0.8</v>
      </c>
      <c r="E407" s="533">
        <v>0.8</v>
      </c>
      <c r="F407" s="11" t="s">
        <v>1656</v>
      </c>
      <c r="G407" s="10"/>
      <c r="H407" s="11" t="s">
        <v>11299</v>
      </c>
      <c r="I407" s="10"/>
      <c r="J407" s="536" t="s">
        <v>11779</v>
      </c>
      <c r="K407" s="536">
        <v>6919.0</v>
      </c>
    </row>
    <row r="408" hidden="1">
      <c r="A408" s="531" t="s">
        <v>11724</v>
      </c>
      <c r="B408" s="531">
        <v>14590.0</v>
      </c>
      <c r="C408" s="11" t="s">
        <v>11298</v>
      </c>
      <c r="D408" s="533">
        <v>0.9</v>
      </c>
      <c r="E408" s="533">
        <v>0.9</v>
      </c>
      <c r="F408" s="11" t="s">
        <v>1656</v>
      </c>
      <c r="G408" s="10"/>
      <c r="H408" s="11" t="s">
        <v>11299</v>
      </c>
      <c r="I408" s="10"/>
      <c r="J408" s="536" t="s">
        <v>11780</v>
      </c>
      <c r="K408" s="536">
        <v>6924.0</v>
      </c>
    </row>
    <row r="409" hidden="1">
      <c r="A409" s="531" t="s">
        <v>11781</v>
      </c>
      <c r="B409" s="531">
        <v>7866.0</v>
      </c>
      <c r="C409" s="11" t="s">
        <v>11298</v>
      </c>
      <c r="D409" s="533">
        <v>0.75</v>
      </c>
      <c r="E409" s="533">
        <v>0.75</v>
      </c>
      <c r="F409" s="11" t="s">
        <v>1656</v>
      </c>
      <c r="G409" s="10"/>
      <c r="H409" s="11" t="s">
        <v>11299</v>
      </c>
      <c r="I409" s="10"/>
      <c r="J409" s="536" t="s">
        <v>11782</v>
      </c>
      <c r="K409" s="536">
        <v>6893.0</v>
      </c>
    </row>
    <row r="410" hidden="1">
      <c r="A410" s="531" t="s">
        <v>11592</v>
      </c>
      <c r="B410" s="531">
        <v>14590.0</v>
      </c>
      <c r="C410" s="11" t="s">
        <v>11298</v>
      </c>
      <c r="D410" s="533">
        <v>0.9</v>
      </c>
      <c r="E410" s="533">
        <v>0.9</v>
      </c>
      <c r="F410" s="11" t="s">
        <v>1656</v>
      </c>
      <c r="G410" s="10"/>
      <c r="H410" s="11" t="s">
        <v>11299</v>
      </c>
      <c r="I410" s="10"/>
      <c r="J410" s="536" t="s">
        <v>11783</v>
      </c>
      <c r="K410" s="536">
        <v>6890.0</v>
      </c>
    </row>
    <row r="411" hidden="1">
      <c r="A411" s="531" t="s">
        <v>9698</v>
      </c>
      <c r="B411" s="531">
        <v>7096.0</v>
      </c>
      <c r="C411" s="11" t="s">
        <v>11298</v>
      </c>
      <c r="D411" s="533">
        <v>0.75</v>
      </c>
      <c r="E411" s="533">
        <v>0.75</v>
      </c>
      <c r="F411" s="11" t="s">
        <v>1656</v>
      </c>
      <c r="G411" s="10"/>
      <c r="H411" s="11" t="s">
        <v>11299</v>
      </c>
      <c r="I411" s="10"/>
      <c r="J411" s="536" t="s">
        <v>11784</v>
      </c>
      <c r="K411" s="536">
        <v>6767.0</v>
      </c>
    </row>
    <row r="412" hidden="1">
      <c r="A412" s="531" t="s">
        <v>11785</v>
      </c>
      <c r="B412" s="531">
        <v>189.0</v>
      </c>
      <c r="C412" s="11" t="s">
        <v>11298</v>
      </c>
      <c r="D412" s="533">
        <v>0.88</v>
      </c>
      <c r="E412" s="533">
        <v>0.88</v>
      </c>
      <c r="F412" s="11" t="s">
        <v>1656</v>
      </c>
      <c r="G412" s="10"/>
      <c r="H412" s="11" t="s">
        <v>11299</v>
      </c>
      <c r="I412" s="10"/>
      <c r="J412" s="536" t="s">
        <v>11786</v>
      </c>
      <c r="K412" s="536">
        <v>3142.0</v>
      </c>
    </row>
    <row r="413" hidden="1">
      <c r="A413" s="531" t="s">
        <v>11787</v>
      </c>
      <c r="B413" s="531">
        <v>14590.0</v>
      </c>
      <c r="C413" s="11" t="s">
        <v>11298</v>
      </c>
      <c r="D413" s="533">
        <v>0.9</v>
      </c>
      <c r="E413" s="533">
        <v>0.9</v>
      </c>
      <c r="F413" s="11" t="s">
        <v>1656</v>
      </c>
      <c r="G413" s="10"/>
      <c r="H413" s="11" t="s">
        <v>11299</v>
      </c>
      <c r="I413" s="10"/>
      <c r="J413" s="536" t="s">
        <v>11788</v>
      </c>
      <c r="K413" s="536">
        <v>6909.0</v>
      </c>
    </row>
    <row r="414" hidden="1">
      <c r="A414" s="531" t="s">
        <v>11240</v>
      </c>
      <c r="B414" s="531">
        <v>14590.0</v>
      </c>
      <c r="C414" s="11" t="s">
        <v>11298</v>
      </c>
      <c r="D414" s="533">
        <v>0.9</v>
      </c>
      <c r="E414" s="533">
        <v>0.9</v>
      </c>
      <c r="F414" s="11" t="s">
        <v>1656</v>
      </c>
      <c r="G414" s="10"/>
      <c r="H414" s="11" t="s">
        <v>11299</v>
      </c>
      <c r="I414" s="10"/>
      <c r="J414" s="536" t="s">
        <v>11789</v>
      </c>
      <c r="K414" s="536">
        <v>6924.0</v>
      </c>
    </row>
    <row r="415" hidden="1">
      <c r="A415" s="531" t="s">
        <v>11260</v>
      </c>
      <c r="B415" s="531">
        <v>2345.0</v>
      </c>
      <c r="C415" s="11" t="s">
        <v>11298</v>
      </c>
      <c r="D415" s="533">
        <v>0.9</v>
      </c>
      <c r="E415" s="533">
        <v>0.9</v>
      </c>
      <c r="F415" s="11" t="s">
        <v>1656</v>
      </c>
      <c r="G415" s="10"/>
      <c r="H415" s="11" t="s">
        <v>11299</v>
      </c>
      <c r="I415" s="10"/>
      <c r="J415" s="536" t="s">
        <v>11790</v>
      </c>
      <c r="K415" s="536">
        <v>6950.0</v>
      </c>
    </row>
    <row r="416" hidden="1">
      <c r="A416" s="531" t="s">
        <v>11791</v>
      </c>
      <c r="B416" s="531">
        <v>14590.0</v>
      </c>
      <c r="C416" s="11" t="s">
        <v>11298</v>
      </c>
      <c r="D416" s="533">
        <v>0.9</v>
      </c>
      <c r="E416" s="533">
        <v>0.9</v>
      </c>
      <c r="F416" s="11" t="s">
        <v>1656</v>
      </c>
      <c r="G416" s="10"/>
      <c r="H416" s="11" t="s">
        <v>11299</v>
      </c>
      <c r="I416" s="10"/>
      <c r="J416" s="536" t="s">
        <v>11792</v>
      </c>
      <c r="K416" s="536">
        <v>6106.0</v>
      </c>
    </row>
    <row r="417" hidden="1">
      <c r="A417" s="531" t="s">
        <v>11793</v>
      </c>
      <c r="B417" s="531">
        <v>189.0</v>
      </c>
      <c r="C417" s="11" t="s">
        <v>11298</v>
      </c>
      <c r="D417" s="533">
        <v>0.88</v>
      </c>
      <c r="E417" s="533">
        <v>0.88</v>
      </c>
      <c r="F417" s="11" t="s">
        <v>1656</v>
      </c>
      <c r="G417" s="10"/>
      <c r="H417" s="11" t="s">
        <v>11299</v>
      </c>
      <c r="I417" s="10"/>
      <c r="J417" s="536" t="s">
        <v>11794</v>
      </c>
      <c r="K417" s="536">
        <v>6947.0</v>
      </c>
    </row>
    <row r="418" hidden="1">
      <c r="A418" s="531" t="s">
        <v>11230</v>
      </c>
      <c r="B418" s="531">
        <v>14590.0</v>
      </c>
      <c r="C418" s="11" t="s">
        <v>11298</v>
      </c>
      <c r="D418" s="533">
        <v>0.9</v>
      </c>
      <c r="E418" s="533">
        <v>0.9</v>
      </c>
      <c r="F418" s="11" t="s">
        <v>1656</v>
      </c>
      <c r="G418" s="10"/>
      <c r="H418" s="11" t="s">
        <v>11299</v>
      </c>
      <c r="I418" s="10"/>
      <c r="J418" s="536" t="s">
        <v>11795</v>
      </c>
      <c r="K418" s="536">
        <v>189.0</v>
      </c>
    </row>
    <row r="419">
      <c r="A419" s="531" t="s">
        <v>11796</v>
      </c>
      <c r="B419" s="531">
        <v>6675.0</v>
      </c>
      <c r="C419" s="11" t="s">
        <v>11298</v>
      </c>
      <c r="D419" s="533">
        <v>0.9</v>
      </c>
      <c r="E419" s="533">
        <v>0.9</v>
      </c>
      <c r="F419" s="11" t="s">
        <v>1656</v>
      </c>
      <c r="G419" s="10"/>
      <c r="H419" s="11" t="s">
        <v>11299</v>
      </c>
      <c r="I419" s="10"/>
      <c r="J419" s="536" t="s">
        <v>11637</v>
      </c>
      <c r="K419" s="536">
        <v>189.0</v>
      </c>
    </row>
    <row r="420" hidden="1">
      <c r="A420" s="531" t="s">
        <v>11343</v>
      </c>
      <c r="B420" s="531">
        <v>14590.0</v>
      </c>
      <c r="C420" s="11" t="s">
        <v>11298</v>
      </c>
      <c r="D420" s="533">
        <v>0.9</v>
      </c>
      <c r="E420" s="533">
        <v>0.9</v>
      </c>
      <c r="F420" s="11" t="s">
        <v>1656</v>
      </c>
      <c r="G420" s="10"/>
      <c r="H420" s="11" t="s">
        <v>11299</v>
      </c>
      <c r="I420" s="10"/>
      <c r="J420" s="536" t="s">
        <v>11573</v>
      </c>
      <c r="K420" s="536">
        <v>189.0</v>
      </c>
    </row>
    <row r="421" hidden="1">
      <c r="A421" s="531" t="s">
        <v>11797</v>
      </c>
      <c r="B421" s="531">
        <v>7416.0</v>
      </c>
      <c r="C421" s="11" t="s">
        <v>11298</v>
      </c>
      <c r="D421" s="533">
        <v>0.75</v>
      </c>
      <c r="E421" s="533">
        <v>0.75</v>
      </c>
      <c r="F421" s="11" t="s">
        <v>1656</v>
      </c>
      <c r="G421" s="10"/>
      <c r="H421" s="11" t="s">
        <v>11299</v>
      </c>
      <c r="I421" s="10"/>
      <c r="J421" s="536" t="s">
        <v>11418</v>
      </c>
      <c r="K421" s="536">
        <v>189.0</v>
      </c>
    </row>
    <row r="422" hidden="1">
      <c r="A422" s="531" t="s">
        <v>11719</v>
      </c>
      <c r="B422" s="531">
        <v>14590.0</v>
      </c>
      <c r="C422" s="11" t="s">
        <v>11298</v>
      </c>
      <c r="D422" s="533">
        <v>0.9</v>
      </c>
      <c r="E422" s="533">
        <v>0.9</v>
      </c>
      <c r="F422" s="11" t="s">
        <v>1656</v>
      </c>
      <c r="G422" s="10"/>
      <c r="H422" s="11" t="s">
        <v>11299</v>
      </c>
      <c r="I422" s="10"/>
      <c r="J422" s="536" t="s">
        <v>11478</v>
      </c>
      <c r="K422" s="536">
        <v>189.0</v>
      </c>
    </row>
    <row r="423" hidden="1">
      <c r="A423" s="531" t="s">
        <v>11350</v>
      </c>
      <c r="B423" s="531">
        <v>499.0</v>
      </c>
      <c r="C423" s="11" t="s">
        <v>11298</v>
      </c>
      <c r="D423" s="533">
        <v>0.75</v>
      </c>
      <c r="E423" s="533">
        <v>0.75</v>
      </c>
      <c r="F423" s="11" t="s">
        <v>1656</v>
      </c>
      <c r="G423" s="10"/>
      <c r="H423" s="11" t="s">
        <v>11299</v>
      </c>
      <c r="I423" s="10"/>
      <c r="J423" s="536" t="s">
        <v>11798</v>
      </c>
      <c r="K423" s="536">
        <v>6770.0</v>
      </c>
    </row>
    <row r="424" hidden="1">
      <c r="A424" s="531" t="s">
        <v>11799</v>
      </c>
      <c r="B424" s="531">
        <v>7182.0</v>
      </c>
      <c r="C424" s="11" t="s">
        <v>11298</v>
      </c>
      <c r="D424" s="533">
        <v>0.75</v>
      </c>
      <c r="E424" s="533">
        <v>0.75</v>
      </c>
      <c r="F424" s="11" t="s">
        <v>1656</v>
      </c>
      <c r="G424" s="10"/>
      <c r="H424" s="11" t="s">
        <v>11299</v>
      </c>
      <c r="I424" s="10"/>
      <c r="J424" s="536" t="s">
        <v>11800</v>
      </c>
      <c r="K424" s="536">
        <v>6887.0</v>
      </c>
    </row>
    <row r="425" hidden="1">
      <c r="A425" s="531" t="s">
        <v>11631</v>
      </c>
      <c r="B425" s="531">
        <v>14590.0</v>
      </c>
      <c r="C425" s="11" t="s">
        <v>11298</v>
      </c>
      <c r="D425" s="533">
        <v>0.9</v>
      </c>
      <c r="E425" s="533">
        <v>0.9</v>
      </c>
      <c r="F425" s="11" t="s">
        <v>1656</v>
      </c>
      <c r="G425" s="10"/>
      <c r="H425" s="11" t="s">
        <v>11299</v>
      </c>
      <c r="I425" s="10"/>
      <c r="J425" s="536" t="s">
        <v>11801</v>
      </c>
      <c r="K425" s="536">
        <v>6669.0</v>
      </c>
    </row>
    <row r="426" hidden="1">
      <c r="A426" s="531" t="s">
        <v>11802</v>
      </c>
      <c r="B426" s="531">
        <v>6774.0</v>
      </c>
      <c r="C426" s="11" t="s">
        <v>11298</v>
      </c>
      <c r="D426" s="533">
        <v>0.75</v>
      </c>
      <c r="E426" s="533">
        <v>0.75</v>
      </c>
      <c r="F426" s="11" t="s">
        <v>1656</v>
      </c>
      <c r="G426" s="10"/>
      <c r="H426" s="11" t="s">
        <v>11299</v>
      </c>
      <c r="I426" s="10"/>
      <c r="J426" s="536" t="s">
        <v>11803</v>
      </c>
      <c r="K426" s="536">
        <v>6669.0</v>
      </c>
    </row>
    <row r="427" hidden="1">
      <c r="A427" s="531" t="s">
        <v>9721</v>
      </c>
      <c r="B427" s="531">
        <v>14590.0</v>
      </c>
      <c r="C427" s="11" t="s">
        <v>11298</v>
      </c>
      <c r="D427" s="533">
        <v>0.9</v>
      </c>
      <c r="E427" s="533">
        <v>0.9</v>
      </c>
      <c r="F427" s="11" t="s">
        <v>1656</v>
      </c>
      <c r="G427" s="10"/>
      <c r="H427" s="11" t="s">
        <v>11299</v>
      </c>
      <c r="I427" s="10"/>
      <c r="J427" s="536" t="s">
        <v>2716</v>
      </c>
      <c r="K427" s="536">
        <v>6669.0</v>
      </c>
    </row>
    <row r="428" hidden="1">
      <c r="A428" s="531" t="s">
        <v>11704</v>
      </c>
      <c r="B428" s="531">
        <v>6829.0</v>
      </c>
      <c r="C428" s="11" t="s">
        <v>11298</v>
      </c>
      <c r="D428" s="533">
        <v>0.75</v>
      </c>
      <c r="E428" s="533">
        <v>0.75</v>
      </c>
      <c r="F428" s="11" t="s">
        <v>1656</v>
      </c>
      <c r="G428" s="545"/>
      <c r="H428" s="11" t="s">
        <v>11299</v>
      </c>
      <c r="I428" s="545"/>
      <c r="J428" s="536" t="s">
        <v>11804</v>
      </c>
      <c r="K428" s="536">
        <v>189.0</v>
      </c>
    </row>
    <row r="429" hidden="1">
      <c r="A429" s="531" t="s">
        <v>11805</v>
      </c>
      <c r="B429" s="531">
        <v>13909.0</v>
      </c>
      <c r="C429" s="11" t="s">
        <v>11298</v>
      </c>
      <c r="D429" s="533">
        <v>0.75</v>
      </c>
      <c r="E429" s="533">
        <v>0.75</v>
      </c>
      <c r="F429" s="11" t="s">
        <v>1656</v>
      </c>
      <c r="G429" s="545"/>
      <c r="H429" s="11" t="s">
        <v>11299</v>
      </c>
      <c r="I429" s="545"/>
      <c r="J429" s="536" t="s">
        <v>11806</v>
      </c>
      <c r="K429" s="536">
        <v>6770.0</v>
      </c>
    </row>
    <row r="430" hidden="1">
      <c r="A430" s="531" t="s">
        <v>11807</v>
      </c>
      <c r="B430" s="531">
        <v>6732.0</v>
      </c>
      <c r="C430" s="11" t="s">
        <v>11298</v>
      </c>
      <c r="D430" s="533">
        <v>0.8</v>
      </c>
      <c r="E430" s="533">
        <v>0.8</v>
      </c>
      <c r="F430" s="11" t="s">
        <v>1656</v>
      </c>
      <c r="G430" s="545"/>
      <c r="H430" s="11" t="s">
        <v>11299</v>
      </c>
      <c r="I430" s="545"/>
      <c r="J430" s="536" t="s">
        <v>11808</v>
      </c>
      <c r="K430" s="536">
        <v>6972.0</v>
      </c>
    </row>
    <row r="431" hidden="1">
      <c r="A431" s="531" t="s">
        <v>11695</v>
      </c>
      <c r="B431" s="531">
        <v>2345.0</v>
      </c>
      <c r="C431" s="11" t="s">
        <v>11298</v>
      </c>
      <c r="D431" s="533">
        <v>0.9</v>
      </c>
      <c r="E431" s="533">
        <v>0.9</v>
      </c>
      <c r="F431" s="11" t="s">
        <v>1656</v>
      </c>
      <c r="G431" s="545"/>
      <c r="H431" s="11" t="s">
        <v>11299</v>
      </c>
      <c r="I431" s="545"/>
      <c r="J431" s="536" t="s">
        <v>11809</v>
      </c>
      <c r="K431" s="536">
        <v>2207.0</v>
      </c>
    </row>
    <row r="432" hidden="1">
      <c r="A432" s="531" t="s">
        <v>11810</v>
      </c>
      <c r="B432" s="531">
        <v>285.0</v>
      </c>
      <c r="C432" s="11" t="s">
        <v>11298</v>
      </c>
      <c r="D432" s="533">
        <v>0.88</v>
      </c>
      <c r="E432" s="533">
        <v>0.88</v>
      </c>
      <c r="F432" s="11" t="s">
        <v>1656</v>
      </c>
      <c r="G432" s="545"/>
      <c r="H432" s="11" t="s">
        <v>11299</v>
      </c>
      <c r="I432" s="545"/>
      <c r="J432" s="536" t="s">
        <v>11579</v>
      </c>
      <c r="K432" s="536">
        <v>6827.0</v>
      </c>
    </row>
    <row r="433" hidden="1">
      <c r="A433" s="531" t="s">
        <v>7813</v>
      </c>
      <c r="B433" s="531">
        <v>6732.0</v>
      </c>
      <c r="C433" s="11" t="s">
        <v>11298</v>
      </c>
      <c r="D433" s="533">
        <v>0.8</v>
      </c>
      <c r="E433" s="533">
        <v>0.8</v>
      </c>
      <c r="F433" s="11" t="s">
        <v>1656</v>
      </c>
      <c r="G433" s="545"/>
      <c r="H433" s="11" t="s">
        <v>11299</v>
      </c>
      <c r="I433" s="545"/>
      <c r="J433" s="536" t="s">
        <v>11811</v>
      </c>
      <c r="K433" s="536">
        <v>2207.0</v>
      </c>
    </row>
    <row r="434" hidden="1">
      <c r="A434" s="531" t="s">
        <v>7862</v>
      </c>
      <c r="B434" s="531">
        <v>14590.0</v>
      </c>
      <c r="C434" s="11" t="s">
        <v>11298</v>
      </c>
      <c r="D434" s="533">
        <v>0.9</v>
      </c>
      <c r="E434" s="533">
        <v>0.9</v>
      </c>
      <c r="F434" s="11" t="s">
        <v>1656</v>
      </c>
      <c r="G434" s="545"/>
      <c r="H434" s="11" t="s">
        <v>11299</v>
      </c>
      <c r="I434" s="545"/>
      <c r="J434" s="536" t="s">
        <v>11812</v>
      </c>
      <c r="K434" s="536">
        <v>6827.0</v>
      </c>
    </row>
    <row r="435" hidden="1">
      <c r="A435" s="531" t="s">
        <v>11710</v>
      </c>
      <c r="B435" s="531">
        <v>6733.0</v>
      </c>
      <c r="C435" s="11" t="s">
        <v>11298</v>
      </c>
      <c r="D435" s="533">
        <v>0.75</v>
      </c>
      <c r="E435" s="533">
        <v>0.75</v>
      </c>
      <c r="F435" s="11" t="s">
        <v>1656</v>
      </c>
      <c r="G435" s="545"/>
      <c r="H435" s="11" t="s">
        <v>11299</v>
      </c>
      <c r="I435" s="545"/>
      <c r="J435" s="536" t="s">
        <v>11813</v>
      </c>
      <c r="K435" s="536">
        <v>6924.0</v>
      </c>
    </row>
    <row r="436" hidden="1">
      <c r="A436" s="531" t="s">
        <v>11162</v>
      </c>
      <c r="B436" s="531">
        <v>189.0</v>
      </c>
      <c r="C436" s="11" t="s">
        <v>11298</v>
      </c>
      <c r="D436" s="533">
        <v>0.88</v>
      </c>
      <c r="E436" s="533">
        <v>0.88</v>
      </c>
      <c r="F436" s="11" t="s">
        <v>1656</v>
      </c>
      <c r="G436" s="545"/>
      <c r="H436" s="11" t="s">
        <v>11299</v>
      </c>
      <c r="I436" s="545"/>
      <c r="J436" s="536" t="s">
        <v>11814</v>
      </c>
      <c r="K436" s="536">
        <v>6916.0</v>
      </c>
    </row>
    <row r="437" hidden="1">
      <c r="A437" s="531" t="s">
        <v>11815</v>
      </c>
      <c r="B437" s="531">
        <v>14590.0</v>
      </c>
      <c r="C437" s="11" t="s">
        <v>11298</v>
      </c>
      <c r="D437" s="533">
        <v>0.9</v>
      </c>
      <c r="E437" s="533">
        <v>0.9</v>
      </c>
      <c r="F437" s="11" t="s">
        <v>1656</v>
      </c>
      <c r="G437" s="545"/>
      <c r="H437" s="11" t="s">
        <v>11299</v>
      </c>
      <c r="I437" s="545"/>
      <c r="J437" s="536" t="s">
        <v>11816</v>
      </c>
      <c r="K437" s="536">
        <v>6916.0</v>
      </c>
    </row>
    <row r="438" hidden="1">
      <c r="A438" s="531" t="s">
        <v>11817</v>
      </c>
      <c r="B438" s="531">
        <v>13864.0</v>
      </c>
      <c r="C438" s="11" t="s">
        <v>11298</v>
      </c>
      <c r="D438" s="533">
        <v>0.75</v>
      </c>
      <c r="E438" s="533">
        <v>0.75</v>
      </c>
      <c r="F438" s="11" t="s">
        <v>1656</v>
      </c>
      <c r="G438" s="545"/>
      <c r="H438" s="11" t="s">
        <v>11299</v>
      </c>
      <c r="I438" s="545"/>
      <c r="J438" s="536" t="s">
        <v>11818</v>
      </c>
      <c r="K438" s="536">
        <v>930.0</v>
      </c>
    </row>
    <row r="439" hidden="1">
      <c r="A439" s="531" t="s">
        <v>11272</v>
      </c>
      <c r="B439" s="531">
        <v>986.0</v>
      </c>
      <c r="C439" s="11" t="s">
        <v>11298</v>
      </c>
      <c r="D439" s="533">
        <v>0.85</v>
      </c>
      <c r="E439" s="533">
        <v>0.85</v>
      </c>
      <c r="F439" s="11" t="s">
        <v>1656</v>
      </c>
      <c r="G439" s="545"/>
      <c r="H439" s="11" t="s">
        <v>11299</v>
      </c>
      <c r="I439" s="545"/>
      <c r="J439" s="536" t="s">
        <v>11819</v>
      </c>
      <c r="K439" s="536">
        <v>6133.0</v>
      </c>
    </row>
    <row r="440" hidden="1">
      <c r="A440" s="531" t="s">
        <v>11158</v>
      </c>
      <c r="B440" s="531">
        <v>14590.0</v>
      </c>
      <c r="C440" s="11" t="s">
        <v>11298</v>
      </c>
      <c r="D440" s="533">
        <v>0.9</v>
      </c>
      <c r="E440" s="533">
        <v>0.9</v>
      </c>
      <c r="F440" s="11" t="s">
        <v>1656</v>
      </c>
      <c r="G440" s="545"/>
      <c r="H440" s="11" t="s">
        <v>11299</v>
      </c>
      <c r="I440" s="545"/>
      <c r="J440" s="536" t="s">
        <v>11820</v>
      </c>
      <c r="K440" s="536">
        <v>6133.0</v>
      </c>
    </row>
    <row r="441" hidden="1">
      <c r="A441" s="531" t="s">
        <v>11562</v>
      </c>
      <c r="B441" s="531">
        <v>986.0</v>
      </c>
      <c r="C441" s="11" t="s">
        <v>11298</v>
      </c>
      <c r="D441" s="533">
        <v>0.85</v>
      </c>
      <c r="E441" s="533">
        <v>0.85</v>
      </c>
      <c r="F441" s="11" t="s">
        <v>1656</v>
      </c>
      <c r="G441" s="545"/>
      <c r="H441" s="11" t="s">
        <v>11299</v>
      </c>
      <c r="I441" s="545"/>
      <c r="J441" s="536" t="s">
        <v>11821</v>
      </c>
      <c r="K441" s="536">
        <v>6972.0</v>
      </c>
    </row>
    <row r="442" hidden="1">
      <c r="A442" s="531" t="s">
        <v>2716</v>
      </c>
      <c r="B442" s="531">
        <v>14590.0</v>
      </c>
      <c r="C442" s="11" t="s">
        <v>11298</v>
      </c>
      <c r="D442" s="533">
        <v>0.9</v>
      </c>
      <c r="E442" s="533">
        <v>0.9</v>
      </c>
      <c r="F442" s="11" t="s">
        <v>1656</v>
      </c>
      <c r="G442" s="545"/>
      <c r="H442" s="11" t="s">
        <v>11299</v>
      </c>
      <c r="I442" s="545"/>
      <c r="J442" s="536" t="s">
        <v>11822</v>
      </c>
      <c r="K442" s="536">
        <v>6969.0</v>
      </c>
    </row>
    <row r="443" hidden="1">
      <c r="A443" s="531" t="s">
        <v>11554</v>
      </c>
      <c r="B443" s="531">
        <v>14590.0</v>
      </c>
      <c r="C443" s="11" t="s">
        <v>11298</v>
      </c>
      <c r="D443" s="533">
        <v>0.9</v>
      </c>
      <c r="E443" s="533">
        <v>0.9</v>
      </c>
      <c r="F443" s="11" t="s">
        <v>1656</v>
      </c>
      <c r="G443" s="545"/>
      <c r="H443" s="11" t="s">
        <v>11299</v>
      </c>
      <c r="I443" s="545"/>
      <c r="J443" s="536" t="s">
        <v>11823</v>
      </c>
      <c r="K443" s="536">
        <v>467.0</v>
      </c>
    </row>
    <row r="444" hidden="1">
      <c r="A444" s="531" t="s">
        <v>11824</v>
      </c>
      <c r="B444" s="531">
        <v>189.0</v>
      </c>
      <c r="C444" s="11" t="s">
        <v>11298</v>
      </c>
      <c r="D444" s="533">
        <v>0.88</v>
      </c>
      <c r="E444" s="533">
        <v>0.88</v>
      </c>
      <c r="F444" s="11" t="s">
        <v>1656</v>
      </c>
      <c r="G444" s="545"/>
      <c r="H444" s="11" t="s">
        <v>11299</v>
      </c>
      <c r="I444" s="545"/>
      <c r="J444" s="536" t="s">
        <v>11825</v>
      </c>
      <c r="K444" s="536">
        <v>467.0</v>
      </c>
    </row>
    <row r="445" hidden="1">
      <c r="A445" s="531" t="s">
        <v>11826</v>
      </c>
      <c r="B445" s="531">
        <v>13858.0</v>
      </c>
      <c r="C445" s="11" t="s">
        <v>11298</v>
      </c>
      <c r="D445" s="533">
        <v>0.75</v>
      </c>
      <c r="E445" s="533">
        <v>0.75</v>
      </c>
      <c r="F445" s="11" t="s">
        <v>1656</v>
      </c>
      <c r="G445" s="545"/>
      <c r="H445" s="11" t="s">
        <v>11299</v>
      </c>
      <c r="I445" s="545"/>
      <c r="J445" s="536" t="s">
        <v>11827</v>
      </c>
      <c r="K445" s="536">
        <v>6732.0</v>
      </c>
    </row>
    <row r="446" hidden="1">
      <c r="A446" s="531" t="s">
        <v>11828</v>
      </c>
      <c r="B446" s="531">
        <v>14590.0</v>
      </c>
      <c r="C446" s="11" t="s">
        <v>11298</v>
      </c>
      <c r="D446" s="533">
        <v>0.9</v>
      </c>
      <c r="E446" s="533">
        <v>0.9</v>
      </c>
      <c r="F446" s="11" t="s">
        <v>1656</v>
      </c>
      <c r="G446" s="545"/>
      <c r="H446" s="11" t="s">
        <v>11299</v>
      </c>
      <c r="I446" s="545"/>
      <c r="J446" s="536" t="s">
        <v>11829</v>
      </c>
      <c r="K446" s="536">
        <v>285.0</v>
      </c>
    </row>
    <row r="447" hidden="1">
      <c r="A447" s="531" t="s">
        <v>11740</v>
      </c>
      <c r="B447" s="531">
        <v>189.0</v>
      </c>
      <c r="C447" s="11" t="s">
        <v>11298</v>
      </c>
      <c r="D447" s="533">
        <v>0.88</v>
      </c>
      <c r="E447" s="533">
        <v>0.88</v>
      </c>
      <c r="F447" s="11" t="s">
        <v>1656</v>
      </c>
      <c r="G447" s="545"/>
      <c r="H447" s="11" t="s">
        <v>11299</v>
      </c>
      <c r="I447" s="545"/>
      <c r="J447" s="536" t="s">
        <v>11830</v>
      </c>
      <c r="K447" s="536">
        <v>285.0</v>
      </c>
    </row>
    <row r="448" hidden="1">
      <c r="A448" s="531" t="s">
        <v>11831</v>
      </c>
      <c r="B448" s="531">
        <v>14180.0</v>
      </c>
      <c r="C448" s="11" t="s">
        <v>11298</v>
      </c>
      <c r="D448" s="533">
        <v>0.75</v>
      </c>
      <c r="E448" s="533">
        <v>0.75</v>
      </c>
      <c r="F448" s="11" t="s">
        <v>1656</v>
      </c>
      <c r="G448" s="545"/>
      <c r="H448" s="11" t="s">
        <v>11299</v>
      </c>
      <c r="I448" s="545"/>
      <c r="J448" s="536" t="s">
        <v>11775</v>
      </c>
      <c r="K448" s="536">
        <v>285.0</v>
      </c>
    </row>
    <row r="449" hidden="1">
      <c r="A449" s="531" t="s">
        <v>11832</v>
      </c>
      <c r="B449" s="531">
        <v>14419.0</v>
      </c>
      <c r="C449" s="11" t="s">
        <v>11298</v>
      </c>
      <c r="D449" s="533">
        <v>0.75</v>
      </c>
      <c r="E449" s="533">
        <v>0.75</v>
      </c>
      <c r="F449" s="11" t="s">
        <v>1656</v>
      </c>
      <c r="G449" s="545"/>
      <c r="H449" s="11" t="s">
        <v>11299</v>
      </c>
      <c r="I449" s="545"/>
      <c r="J449" s="536" t="s">
        <v>11833</v>
      </c>
      <c r="K449" s="536">
        <v>285.0</v>
      </c>
    </row>
    <row r="450" hidden="1">
      <c r="A450" s="531" t="s">
        <v>11834</v>
      </c>
      <c r="B450" s="531">
        <v>14590.0</v>
      </c>
      <c r="C450" s="11" t="s">
        <v>11298</v>
      </c>
      <c r="D450" s="533">
        <v>0.9</v>
      </c>
      <c r="E450" s="533">
        <v>0.9</v>
      </c>
      <c r="F450" s="11" t="s">
        <v>1656</v>
      </c>
      <c r="G450" s="545"/>
      <c r="H450" s="11" t="s">
        <v>11299</v>
      </c>
      <c r="I450" s="545"/>
      <c r="J450" s="536" t="s">
        <v>11835</v>
      </c>
      <c r="K450" s="536">
        <v>285.0</v>
      </c>
    </row>
    <row r="451" hidden="1">
      <c r="A451" s="531" t="s">
        <v>9734</v>
      </c>
      <c r="B451" s="531">
        <v>14590.0</v>
      </c>
      <c r="C451" s="11" t="s">
        <v>11298</v>
      </c>
      <c r="D451" s="533">
        <v>0.9</v>
      </c>
      <c r="E451" s="533">
        <v>0.9</v>
      </c>
      <c r="F451" s="11" t="s">
        <v>1656</v>
      </c>
      <c r="G451" s="545"/>
      <c r="H451" s="11" t="s">
        <v>11299</v>
      </c>
      <c r="I451" s="545"/>
      <c r="J451" s="536" t="s">
        <v>11836</v>
      </c>
      <c r="K451" s="536">
        <v>285.0</v>
      </c>
    </row>
    <row r="452" hidden="1">
      <c r="A452" s="531" t="s">
        <v>11837</v>
      </c>
      <c r="B452" s="531">
        <v>14590.0</v>
      </c>
      <c r="C452" s="11" t="s">
        <v>11298</v>
      </c>
      <c r="D452" s="533">
        <v>0.9</v>
      </c>
      <c r="E452" s="533">
        <v>0.9</v>
      </c>
      <c r="F452" s="11" t="s">
        <v>1656</v>
      </c>
      <c r="G452" s="545"/>
      <c r="H452" s="11" t="s">
        <v>11299</v>
      </c>
      <c r="I452" s="545"/>
      <c r="J452" s="536" t="s">
        <v>11838</v>
      </c>
      <c r="K452" s="536">
        <v>285.0</v>
      </c>
    </row>
    <row r="453">
      <c r="A453" s="531" t="s">
        <v>11839</v>
      </c>
      <c r="B453" s="531">
        <v>6675.0</v>
      </c>
      <c r="C453" s="11" t="s">
        <v>11298</v>
      </c>
      <c r="D453" s="533">
        <v>0.9</v>
      </c>
      <c r="E453" s="533">
        <v>0.9</v>
      </c>
      <c r="F453" s="11" t="s">
        <v>1656</v>
      </c>
      <c r="G453" s="545"/>
      <c r="H453" s="11" t="s">
        <v>11299</v>
      </c>
      <c r="I453" s="545"/>
      <c r="J453" s="536" t="s">
        <v>11840</v>
      </c>
      <c r="K453" s="536">
        <v>285.0</v>
      </c>
    </row>
    <row r="454" hidden="1">
      <c r="A454" s="531" t="s">
        <v>11620</v>
      </c>
      <c r="B454" s="531">
        <v>2345.0</v>
      </c>
      <c r="C454" s="11" t="s">
        <v>11298</v>
      </c>
      <c r="D454" s="533">
        <v>0.9</v>
      </c>
      <c r="E454" s="533">
        <v>0.9</v>
      </c>
      <c r="F454" s="11" t="s">
        <v>1656</v>
      </c>
      <c r="G454" s="545"/>
      <c r="H454" s="11" t="s">
        <v>11299</v>
      </c>
      <c r="I454" s="545"/>
      <c r="J454" s="536" t="s">
        <v>11841</v>
      </c>
      <c r="K454" s="536">
        <v>6732.0</v>
      </c>
    </row>
    <row r="455" hidden="1">
      <c r="A455" s="531" t="s">
        <v>11842</v>
      </c>
      <c r="B455" s="531">
        <v>986.0</v>
      </c>
      <c r="C455" s="11" t="s">
        <v>11298</v>
      </c>
      <c r="D455" s="533">
        <v>0.85</v>
      </c>
      <c r="E455" s="533">
        <v>0.85</v>
      </c>
      <c r="F455" s="11" t="s">
        <v>1656</v>
      </c>
      <c r="G455" s="545"/>
      <c r="H455" s="11" t="s">
        <v>11299</v>
      </c>
      <c r="I455" s="545"/>
      <c r="J455" s="536" t="s">
        <v>11843</v>
      </c>
      <c r="K455" s="536">
        <v>6732.0</v>
      </c>
    </row>
    <row r="456" hidden="1">
      <c r="A456" s="531" t="s">
        <v>11844</v>
      </c>
      <c r="B456" s="531">
        <v>7083.0</v>
      </c>
      <c r="C456" s="11" t="s">
        <v>11298</v>
      </c>
      <c r="D456" s="533">
        <v>0.75</v>
      </c>
      <c r="E456" s="533">
        <v>0.75</v>
      </c>
      <c r="F456" s="11" t="s">
        <v>1656</v>
      </c>
      <c r="G456" s="545"/>
      <c r="H456" s="11" t="s">
        <v>11299</v>
      </c>
      <c r="I456" s="545"/>
      <c r="J456" s="536" t="s">
        <v>11845</v>
      </c>
      <c r="K456" s="536">
        <v>6732.0</v>
      </c>
    </row>
    <row r="457" hidden="1">
      <c r="A457" s="531" t="s">
        <v>11846</v>
      </c>
      <c r="B457" s="531">
        <v>986.0</v>
      </c>
      <c r="C457" s="11" t="s">
        <v>11298</v>
      </c>
      <c r="D457" s="533">
        <v>0.85</v>
      </c>
      <c r="E457" s="533">
        <v>0.85</v>
      </c>
      <c r="F457" s="11" t="s">
        <v>1656</v>
      </c>
      <c r="G457" s="545"/>
      <c r="H457" s="11" t="s">
        <v>11299</v>
      </c>
      <c r="I457" s="545"/>
      <c r="J457" s="536" t="s">
        <v>11847</v>
      </c>
      <c r="K457" s="536">
        <v>6732.0</v>
      </c>
    </row>
    <row r="458" hidden="1">
      <c r="A458" s="531" t="s">
        <v>11611</v>
      </c>
      <c r="B458" s="531">
        <v>2345.0</v>
      </c>
      <c r="C458" s="11" t="s">
        <v>11298</v>
      </c>
      <c r="D458" s="533">
        <v>0.9</v>
      </c>
      <c r="E458" s="533">
        <v>0.9</v>
      </c>
      <c r="F458" s="11" t="s">
        <v>1656</v>
      </c>
      <c r="G458" s="545"/>
      <c r="H458" s="11" t="s">
        <v>11299</v>
      </c>
      <c r="I458" s="545"/>
      <c r="J458" s="536" t="s">
        <v>11848</v>
      </c>
      <c r="K458" s="536">
        <v>6732.0</v>
      </c>
    </row>
    <row r="459">
      <c r="A459" s="531" t="s">
        <v>11849</v>
      </c>
      <c r="B459" s="531">
        <v>6675.0</v>
      </c>
      <c r="C459" s="11" t="s">
        <v>11298</v>
      </c>
      <c r="D459" s="533">
        <v>0.9</v>
      </c>
      <c r="E459" s="533">
        <v>0.9</v>
      </c>
      <c r="F459" s="11" t="s">
        <v>1656</v>
      </c>
      <c r="G459" s="545"/>
      <c r="H459" s="11" t="s">
        <v>11299</v>
      </c>
      <c r="I459" s="545"/>
      <c r="J459" s="536" t="s">
        <v>11850</v>
      </c>
      <c r="K459" s="536">
        <v>6732.0</v>
      </c>
    </row>
    <row r="460" hidden="1">
      <c r="A460" s="531" t="s">
        <v>11851</v>
      </c>
      <c r="B460" s="531">
        <v>14590.0</v>
      </c>
      <c r="C460" s="11" t="s">
        <v>11298</v>
      </c>
      <c r="D460" s="533">
        <v>0.9</v>
      </c>
      <c r="E460" s="533">
        <v>0.9</v>
      </c>
      <c r="F460" s="11" t="s">
        <v>1656</v>
      </c>
      <c r="G460" s="545"/>
      <c r="H460" s="11" t="s">
        <v>11299</v>
      </c>
      <c r="I460" s="545"/>
      <c r="J460" s="536" t="s">
        <v>11852</v>
      </c>
      <c r="K460" s="536">
        <v>6779.0</v>
      </c>
    </row>
    <row r="461" hidden="1">
      <c r="A461" s="531" t="s">
        <v>11853</v>
      </c>
      <c r="B461" s="531">
        <v>14590.0</v>
      </c>
      <c r="C461" s="11" t="s">
        <v>11298</v>
      </c>
      <c r="D461" s="533">
        <v>0.9</v>
      </c>
      <c r="E461" s="533">
        <v>0.9</v>
      </c>
      <c r="F461" s="11" t="s">
        <v>1656</v>
      </c>
      <c r="G461" s="545"/>
      <c r="H461" s="11" t="s">
        <v>11299</v>
      </c>
      <c r="I461" s="545"/>
      <c r="J461" s="536" t="s">
        <v>11617</v>
      </c>
      <c r="K461" s="536">
        <v>930.0</v>
      </c>
    </row>
    <row r="462" hidden="1">
      <c r="A462" s="531" t="s">
        <v>11854</v>
      </c>
      <c r="B462" s="531">
        <v>14590.0</v>
      </c>
      <c r="C462" s="11" t="s">
        <v>11298</v>
      </c>
      <c r="D462" s="533">
        <v>0.9</v>
      </c>
      <c r="E462" s="533">
        <v>0.9</v>
      </c>
      <c r="F462" s="11" t="s">
        <v>1656</v>
      </c>
      <c r="G462" s="545"/>
      <c r="H462" s="11" t="s">
        <v>11299</v>
      </c>
      <c r="I462" s="545"/>
      <c r="J462" s="536" t="s">
        <v>11516</v>
      </c>
      <c r="K462" s="536">
        <v>930.0</v>
      </c>
    </row>
    <row r="463" hidden="1">
      <c r="A463" s="531" t="s">
        <v>11855</v>
      </c>
      <c r="B463" s="531">
        <v>7083.0</v>
      </c>
      <c r="C463" s="11" t="s">
        <v>11298</v>
      </c>
      <c r="D463" s="533">
        <v>0.75</v>
      </c>
      <c r="E463" s="533">
        <v>0.75</v>
      </c>
      <c r="F463" s="11" t="s">
        <v>1656</v>
      </c>
      <c r="G463" s="545"/>
      <c r="H463" s="11" t="s">
        <v>11299</v>
      </c>
      <c r="I463" s="545"/>
      <c r="J463" s="536" t="s">
        <v>11828</v>
      </c>
      <c r="K463" s="536">
        <v>930.0</v>
      </c>
    </row>
    <row r="464" hidden="1">
      <c r="A464" s="531" t="s">
        <v>11856</v>
      </c>
      <c r="B464" s="531">
        <v>14590.0</v>
      </c>
      <c r="C464" s="11" t="s">
        <v>11298</v>
      </c>
      <c r="D464" s="533">
        <v>0.9</v>
      </c>
      <c r="E464" s="533">
        <v>0.9</v>
      </c>
      <c r="F464" s="11" t="s">
        <v>1656</v>
      </c>
      <c r="G464" s="545"/>
      <c r="H464" s="11" t="s">
        <v>11299</v>
      </c>
      <c r="I464" s="545"/>
      <c r="J464" s="536" t="s">
        <v>11857</v>
      </c>
      <c r="K464" s="536">
        <v>6671.0</v>
      </c>
    </row>
    <row r="465" hidden="1">
      <c r="A465" s="531" t="s">
        <v>11043</v>
      </c>
      <c r="B465" s="531">
        <v>14590.0</v>
      </c>
      <c r="C465" s="11" t="s">
        <v>11298</v>
      </c>
      <c r="D465" s="533">
        <v>0.9</v>
      </c>
      <c r="E465" s="533">
        <v>0.9</v>
      </c>
      <c r="F465" s="11" t="s">
        <v>1656</v>
      </c>
      <c r="G465" s="545"/>
      <c r="H465" s="11" t="s">
        <v>11299</v>
      </c>
      <c r="I465" s="545"/>
      <c r="J465" s="536" t="s">
        <v>11858</v>
      </c>
      <c r="K465" s="536">
        <v>285.0</v>
      </c>
    </row>
    <row r="466" hidden="1">
      <c r="A466" s="531" t="s">
        <v>11859</v>
      </c>
      <c r="B466" s="531">
        <v>14590.0</v>
      </c>
      <c r="C466" s="11" t="s">
        <v>11298</v>
      </c>
      <c r="D466" s="533">
        <v>0.9</v>
      </c>
      <c r="E466" s="533">
        <v>0.9</v>
      </c>
      <c r="F466" s="11" t="s">
        <v>1656</v>
      </c>
      <c r="G466" s="545"/>
      <c r="H466" s="11" t="s">
        <v>11299</v>
      </c>
      <c r="I466" s="545"/>
      <c r="J466" s="536" t="s">
        <v>11860</v>
      </c>
      <c r="K466" s="536">
        <v>285.0</v>
      </c>
    </row>
    <row r="467" hidden="1">
      <c r="A467" s="531" t="s">
        <v>11861</v>
      </c>
      <c r="B467" s="531">
        <v>14590.0</v>
      </c>
      <c r="C467" s="11" t="s">
        <v>11298</v>
      </c>
      <c r="D467" s="533">
        <v>0.9</v>
      </c>
      <c r="E467" s="533">
        <v>0.9</v>
      </c>
      <c r="F467" s="11" t="s">
        <v>1656</v>
      </c>
      <c r="G467" s="545"/>
      <c r="H467" s="11" t="s">
        <v>11299</v>
      </c>
      <c r="I467" s="545"/>
      <c r="J467" s="536" t="s">
        <v>11862</v>
      </c>
      <c r="K467" s="536">
        <v>285.0</v>
      </c>
    </row>
    <row r="468" hidden="1">
      <c r="A468" s="531" t="s">
        <v>11863</v>
      </c>
      <c r="B468" s="531">
        <v>14590.0</v>
      </c>
      <c r="C468" s="11" t="s">
        <v>11298</v>
      </c>
      <c r="D468" s="533">
        <v>0.9</v>
      </c>
      <c r="E468" s="533">
        <v>0.9</v>
      </c>
      <c r="F468" s="11" t="s">
        <v>1656</v>
      </c>
      <c r="G468" s="545"/>
      <c r="H468" s="11" t="s">
        <v>11299</v>
      </c>
      <c r="I468" s="545"/>
      <c r="J468" s="536" t="s">
        <v>11864</v>
      </c>
      <c r="K468" s="536">
        <v>285.0</v>
      </c>
    </row>
    <row r="469" hidden="1">
      <c r="A469" s="531" t="s">
        <v>11865</v>
      </c>
      <c r="B469" s="531">
        <v>14590.0</v>
      </c>
      <c r="C469" s="11" t="s">
        <v>11298</v>
      </c>
      <c r="D469" s="533">
        <v>0.9</v>
      </c>
      <c r="E469" s="533">
        <v>0.9</v>
      </c>
      <c r="F469" s="11" t="s">
        <v>1656</v>
      </c>
      <c r="G469" s="545"/>
      <c r="H469" s="11" t="s">
        <v>11299</v>
      </c>
      <c r="I469" s="545"/>
      <c r="J469" s="536" t="s">
        <v>11866</v>
      </c>
      <c r="K469" s="536">
        <v>285.0</v>
      </c>
    </row>
    <row r="470" hidden="1">
      <c r="A470" s="531" t="s">
        <v>11583</v>
      </c>
      <c r="B470" s="531">
        <v>14590.0</v>
      </c>
      <c r="C470" s="11" t="s">
        <v>11298</v>
      </c>
      <c r="D470" s="533">
        <v>0.9</v>
      </c>
      <c r="E470" s="533">
        <v>0.9</v>
      </c>
      <c r="F470" s="11" t="s">
        <v>1656</v>
      </c>
      <c r="G470" s="545"/>
      <c r="H470" s="11" t="s">
        <v>11299</v>
      </c>
      <c r="I470" s="545"/>
      <c r="J470" s="536" t="s">
        <v>11867</v>
      </c>
      <c r="K470" s="536">
        <v>2345.0</v>
      </c>
    </row>
    <row r="471" hidden="1">
      <c r="A471" s="531" t="s">
        <v>9715</v>
      </c>
      <c r="B471" s="531">
        <v>6133.0</v>
      </c>
      <c r="C471" s="11" t="s">
        <v>11298</v>
      </c>
      <c r="D471" s="533">
        <v>0.75</v>
      </c>
      <c r="E471" s="533">
        <v>0.75</v>
      </c>
      <c r="F471" s="11" t="s">
        <v>1656</v>
      </c>
      <c r="G471" s="545"/>
      <c r="H471" s="11" t="s">
        <v>11299</v>
      </c>
      <c r="I471" s="545"/>
      <c r="J471" s="536" t="s">
        <v>11868</v>
      </c>
      <c r="K471" s="536">
        <v>986.0</v>
      </c>
    </row>
    <row r="472" hidden="1">
      <c r="A472" s="531" t="s">
        <v>11869</v>
      </c>
      <c r="B472" s="531">
        <v>986.0</v>
      </c>
      <c r="C472" s="11" t="s">
        <v>11298</v>
      </c>
      <c r="D472" s="533">
        <v>0.85</v>
      </c>
      <c r="E472" s="533">
        <v>0.85</v>
      </c>
      <c r="F472" s="11" t="s">
        <v>1656</v>
      </c>
      <c r="G472" s="545"/>
      <c r="H472" s="11" t="s">
        <v>11299</v>
      </c>
      <c r="I472" s="545"/>
      <c r="J472" s="536" t="s">
        <v>11870</v>
      </c>
      <c r="K472" s="536">
        <v>986.0</v>
      </c>
    </row>
    <row r="473" hidden="1">
      <c r="A473" s="531" t="s">
        <v>9736</v>
      </c>
      <c r="B473" s="531">
        <v>663.0</v>
      </c>
      <c r="C473" s="11" t="s">
        <v>11298</v>
      </c>
      <c r="D473" s="533">
        <v>0.85</v>
      </c>
      <c r="E473" s="533">
        <v>0.85</v>
      </c>
      <c r="F473" s="11" t="s">
        <v>1656</v>
      </c>
      <c r="G473" s="545"/>
      <c r="H473" s="11" t="s">
        <v>11299</v>
      </c>
      <c r="I473" s="545"/>
      <c r="J473" s="536" t="s">
        <v>11871</v>
      </c>
      <c r="K473" s="536">
        <v>986.0</v>
      </c>
    </row>
    <row r="474" hidden="1">
      <c r="A474" s="531" t="s">
        <v>9684</v>
      </c>
      <c r="B474" s="531">
        <v>4933.0</v>
      </c>
      <c r="C474" s="11" t="s">
        <v>11298</v>
      </c>
      <c r="D474" s="533">
        <v>0.75</v>
      </c>
      <c r="E474" s="533">
        <v>0.75</v>
      </c>
      <c r="F474" s="11" t="s">
        <v>1656</v>
      </c>
      <c r="G474" s="545"/>
      <c r="H474" s="11" t="s">
        <v>11299</v>
      </c>
      <c r="I474" s="545"/>
      <c r="J474" s="536" t="s">
        <v>11872</v>
      </c>
      <c r="K474" s="536">
        <v>986.0</v>
      </c>
    </row>
    <row r="475" hidden="1">
      <c r="A475" s="531" t="s">
        <v>11873</v>
      </c>
      <c r="B475" s="531">
        <v>14478.0</v>
      </c>
      <c r="C475" s="11" t="s">
        <v>11298</v>
      </c>
      <c r="D475" s="533">
        <v>0.75</v>
      </c>
      <c r="E475" s="533">
        <v>0.75</v>
      </c>
      <c r="F475" s="11" t="s">
        <v>1656</v>
      </c>
      <c r="G475" s="545"/>
      <c r="H475" s="11" t="s">
        <v>11299</v>
      </c>
      <c r="I475" s="545"/>
      <c r="J475" s="536" t="s">
        <v>11874</v>
      </c>
      <c r="K475" s="536">
        <v>986.0</v>
      </c>
    </row>
    <row r="476" hidden="1">
      <c r="A476" s="531" t="s">
        <v>11152</v>
      </c>
      <c r="B476" s="531">
        <v>14590.0</v>
      </c>
      <c r="C476" s="11" t="s">
        <v>11298</v>
      </c>
      <c r="D476" s="533">
        <v>0.9</v>
      </c>
      <c r="E476" s="533">
        <v>0.9</v>
      </c>
      <c r="F476" s="11" t="s">
        <v>1656</v>
      </c>
      <c r="G476" s="545"/>
      <c r="H476" s="11" t="s">
        <v>11299</v>
      </c>
      <c r="I476" s="545"/>
      <c r="J476" s="536" t="s">
        <v>11875</v>
      </c>
      <c r="K476" s="536">
        <v>986.0</v>
      </c>
    </row>
    <row r="477" hidden="1">
      <c r="A477" s="531" t="s">
        <v>11876</v>
      </c>
      <c r="B477" s="531">
        <v>14590.0</v>
      </c>
      <c r="C477" s="11" t="s">
        <v>11298</v>
      </c>
      <c r="D477" s="533">
        <v>0.9</v>
      </c>
      <c r="E477" s="533">
        <v>0.9</v>
      </c>
      <c r="F477" s="11" t="s">
        <v>1656</v>
      </c>
      <c r="G477" s="545"/>
      <c r="H477" s="11" t="s">
        <v>11299</v>
      </c>
      <c r="I477" s="545"/>
      <c r="J477" s="536" t="s">
        <v>11877</v>
      </c>
      <c r="K477" s="536">
        <v>986.0</v>
      </c>
    </row>
    <row r="478" hidden="1">
      <c r="A478" s="531" t="s">
        <v>9665</v>
      </c>
      <c r="B478" s="531">
        <v>14590.0</v>
      </c>
      <c r="C478" s="11" t="s">
        <v>11298</v>
      </c>
      <c r="D478" s="533">
        <v>0.9</v>
      </c>
      <c r="E478" s="533">
        <v>0.9</v>
      </c>
      <c r="F478" s="11" t="s">
        <v>1656</v>
      </c>
      <c r="G478" s="545"/>
      <c r="H478" s="11" t="s">
        <v>11299</v>
      </c>
      <c r="I478" s="545"/>
      <c r="J478" s="536" t="s">
        <v>11878</v>
      </c>
      <c r="K478" s="536">
        <v>986.0</v>
      </c>
    </row>
    <row r="479" hidden="1">
      <c r="A479" s="531" t="s">
        <v>11879</v>
      </c>
      <c r="B479" s="531">
        <v>9307.0</v>
      </c>
      <c r="C479" s="11" t="s">
        <v>11298</v>
      </c>
      <c r="D479" s="533">
        <v>0.75</v>
      </c>
      <c r="E479" s="533">
        <v>0.75</v>
      </c>
      <c r="F479" s="11" t="s">
        <v>1656</v>
      </c>
      <c r="G479" s="545"/>
      <c r="H479" s="11" t="s">
        <v>11299</v>
      </c>
      <c r="I479" s="545"/>
      <c r="J479" s="536" t="s">
        <v>11880</v>
      </c>
      <c r="K479" s="536">
        <v>986.0</v>
      </c>
    </row>
    <row r="480" hidden="1">
      <c r="A480" s="531" t="s">
        <v>11881</v>
      </c>
      <c r="B480" s="531">
        <v>14590.0</v>
      </c>
      <c r="C480" s="11" t="s">
        <v>11298</v>
      </c>
      <c r="D480" s="533">
        <v>0.9</v>
      </c>
      <c r="E480" s="533">
        <v>0.9</v>
      </c>
      <c r="F480" s="11" t="s">
        <v>1656</v>
      </c>
      <c r="G480" s="545"/>
      <c r="H480" s="11" t="s">
        <v>11299</v>
      </c>
      <c r="I480" s="545"/>
      <c r="J480" s="536" t="s">
        <v>11882</v>
      </c>
      <c r="K480" s="536">
        <v>986.0</v>
      </c>
    </row>
    <row r="481" hidden="1">
      <c r="A481" s="531" t="s">
        <v>11883</v>
      </c>
      <c r="B481" s="531">
        <v>7182.0</v>
      </c>
      <c r="C481" s="11" t="s">
        <v>11298</v>
      </c>
      <c r="D481" s="533">
        <v>0.75</v>
      </c>
      <c r="E481" s="533">
        <v>0.75</v>
      </c>
      <c r="F481" s="11" t="s">
        <v>1656</v>
      </c>
      <c r="G481" s="545"/>
      <c r="H481" s="11" t="s">
        <v>11299</v>
      </c>
      <c r="I481" s="545"/>
      <c r="J481" s="536" t="s">
        <v>11884</v>
      </c>
      <c r="K481" s="536">
        <v>986.0</v>
      </c>
    </row>
    <row r="482" hidden="1">
      <c r="A482" s="531" t="s">
        <v>11885</v>
      </c>
      <c r="B482" s="531">
        <v>14590.0</v>
      </c>
      <c r="C482" s="11" t="s">
        <v>11298</v>
      </c>
      <c r="D482" s="533">
        <v>0.9</v>
      </c>
      <c r="E482" s="533">
        <v>0.9</v>
      </c>
      <c r="F482" s="11" t="s">
        <v>1656</v>
      </c>
      <c r="G482" s="545"/>
      <c r="H482" s="11" t="s">
        <v>11299</v>
      </c>
      <c r="I482" s="545"/>
      <c r="J482" s="536" t="s">
        <v>11886</v>
      </c>
      <c r="K482" s="536">
        <v>6678.0</v>
      </c>
    </row>
    <row r="483" hidden="1">
      <c r="A483" s="531" t="s">
        <v>11887</v>
      </c>
      <c r="B483" s="531">
        <v>14590.0</v>
      </c>
      <c r="C483" s="11" t="s">
        <v>11298</v>
      </c>
      <c r="D483" s="533">
        <v>0.9</v>
      </c>
      <c r="E483" s="533">
        <v>0.9</v>
      </c>
      <c r="F483" s="11" t="s">
        <v>1656</v>
      </c>
      <c r="G483" s="545"/>
      <c r="H483" s="11" t="s">
        <v>11299</v>
      </c>
      <c r="I483" s="545"/>
      <c r="J483" s="536" t="s">
        <v>11888</v>
      </c>
      <c r="K483" s="536">
        <v>6970.0</v>
      </c>
    </row>
    <row r="484" hidden="1">
      <c r="A484" s="531" t="s">
        <v>9778</v>
      </c>
      <c r="B484" s="531">
        <v>14590.0</v>
      </c>
      <c r="C484" s="11" t="s">
        <v>11298</v>
      </c>
      <c r="D484" s="533">
        <v>0.9</v>
      </c>
      <c r="E484" s="533">
        <v>0.9</v>
      </c>
      <c r="F484" s="11" t="s">
        <v>1656</v>
      </c>
      <c r="G484" s="545"/>
      <c r="H484" s="11" t="s">
        <v>11299</v>
      </c>
      <c r="I484" s="545"/>
      <c r="J484" s="536" t="s">
        <v>11889</v>
      </c>
      <c r="K484" s="536">
        <v>6939.0</v>
      </c>
    </row>
    <row r="485" hidden="1">
      <c r="A485" s="531" t="s">
        <v>11890</v>
      </c>
      <c r="B485" s="531">
        <v>14590.0</v>
      </c>
      <c r="C485" s="11" t="s">
        <v>11298</v>
      </c>
      <c r="D485" s="533">
        <v>0.9</v>
      </c>
      <c r="E485" s="533">
        <v>0.9</v>
      </c>
      <c r="F485" s="11" t="s">
        <v>1656</v>
      </c>
      <c r="G485" s="545"/>
      <c r="H485" s="11" t="s">
        <v>11299</v>
      </c>
      <c r="I485" s="545"/>
      <c r="J485" s="536" t="s">
        <v>11891</v>
      </c>
      <c r="K485" s="536">
        <v>2345.0</v>
      </c>
    </row>
    <row r="486" hidden="1">
      <c r="A486" s="531" t="s">
        <v>11892</v>
      </c>
      <c r="B486" s="531">
        <v>986.0</v>
      </c>
      <c r="C486" s="11" t="s">
        <v>11298</v>
      </c>
      <c r="D486" s="533">
        <v>0.85</v>
      </c>
      <c r="E486" s="533">
        <v>0.85</v>
      </c>
      <c r="F486" s="11" t="s">
        <v>1656</v>
      </c>
      <c r="G486" s="545"/>
      <c r="H486" s="11" t="s">
        <v>11299</v>
      </c>
      <c r="I486" s="545"/>
      <c r="J486" s="536" t="s">
        <v>11893</v>
      </c>
      <c r="K486" s="536">
        <v>2345.0</v>
      </c>
    </row>
    <row r="487" hidden="1">
      <c r="A487" s="531" t="s">
        <v>11443</v>
      </c>
      <c r="B487" s="531">
        <v>14590.0</v>
      </c>
      <c r="C487" s="11" t="s">
        <v>11298</v>
      </c>
      <c r="D487" s="533">
        <v>0.9</v>
      </c>
      <c r="E487" s="533">
        <v>0.9</v>
      </c>
      <c r="F487" s="11" t="s">
        <v>1656</v>
      </c>
      <c r="G487" s="545"/>
      <c r="H487" s="11" t="s">
        <v>11299</v>
      </c>
      <c r="I487" s="545"/>
      <c r="J487" s="536" t="s">
        <v>11894</v>
      </c>
      <c r="K487" s="536">
        <v>2345.0</v>
      </c>
    </row>
    <row r="488" hidden="1">
      <c r="A488" s="531" t="s">
        <v>11699</v>
      </c>
      <c r="B488" s="531">
        <v>6732.0</v>
      </c>
      <c r="C488" s="11" t="s">
        <v>11298</v>
      </c>
      <c r="D488" s="533">
        <v>0.8</v>
      </c>
      <c r="E488" s="533">
        <v>0.8</v>
      </c>
      <c r="F488" s="11" t="s">
        <v>1656</v>
      </c>
      <c r="G488" s="545"/>
      <c r="H488" s="11" t="s">
        <v>11299</v>
      </c>
      <c r="I488" s="545"/>
      <c r="J488" s="536" t="s">
        <v>11895</v>
      </c>
      <c r="K488" s="536">
        <v>2345.0</v>
      </c>
    </row>
    <row r="489" hidden="1">
      <c r="A489" s="531" t="s">
        <v>11896</v>
      </c>
      <c r="B489" s="531">
        <v>7734.0</v>
      </c>
      <c r="C489" s="11" t="s">
        <v>11095</v>
      </c>
      <c r="D489" s="533">
        <v>0.75</v>
      </c>
      <c r="E489" s="533">
        <v>0.75</v>
      </c>
      <c r="F489" s="11" t="s">
        <v>1656</v>
      </c>
      <c r="G489" s="545"/>
      <c r="H489" s="11" t="s">
        <v>11096</v>
      </c>
      <c r="I489" s="545"/>
      <c r="J489" s="536" t="s">
        <v>11897</v>
      </c>
      <c r="K489" s="536">
        <v>2345.0</v>
      </c>
    </row>
    <row r="490" hidden="1">
      <c r="A490" s="531" t="s">
        <v>6274</v>
      </c>
      <c r="B490" s="531">
        <v>14590.0</v>
      </c>
      <c r="C490" s="11" t="s">
        <v>11298</v>
      </c>
      <c r="D490" s="533">
        <v>0.9</v>
      </c>
      <c r="E490" s="533">
        <v>0.9</v>
      </c>
      <c r="F490" s="11" t="s">
        <v>1656</v>
      </c>
      <c r="G490" s="545"/>
      <c r="H490" s="11" t="s">
        <v>11299</v>
      </c>
      <c r="I490" s="545"/>
      <c r="J490" s="536" t="s">
        <v>11898</v>
      </c>
      <c r="K490" s="536">
        <v>2345.0</v>
      </c>
    </row>
    <row r="491" hidden="1">
      <c r="A491" s="531" t="s">
        <v>11899</v>
      </c>
      <c r="B491" s="531">
        <v>6936.0</v>
      </c>
      <c r="C491" s="11" t="s">
        <v>11298</v>
      </c>
      <c r="D491" s="533">
        <v>0.75</v>
      </c>
      <c r="E491" s="533">
        <v>0.75</v>
      </c>
      <c r="F491" s="11" t="s">
        <v>1656</v>
      </c>
      <c r="G491" s="545"/>
      <c r="H491" s="11" t="s">
        <v>11299</v>
      </c>
      <c r="I491" s="545"/>
      <c r="J491" s="536" t="s">
        <v>11900</v>
      </c>
      <c r="K491" s="536">
        <v>285.0</v>
      </c>
    </row>
    <row r="492" hidden="1">
      <c r="A492" s="531" t="s">
        <v>11901</v>
      </c>
      <c r="B492" s="531">
        <v>14590.0</v>
      </c>
      <c r="C492" s="11" t="s">
        <v>11298</v>
      </c>
      <c r="D492" s="533">
        <v>0.9</v>
      </c>
      <c r="E492" s="533">
        <v>0.9</v>
      </c>
      <c r="F492" s="11" t="s">
        <v>1656</v>
      </c>
      <c r="G492" s="545"/>
      <c r="H492" s="11" t="s">
        <v>11299</v>
      </c>
      <c r="I492" s="545"/>
      <c r="J492" s="536" t="s">
        <v>11902</v>
      </c>
      <c r="K492" s="536">
        <v>285.0</v>
      </c>
    </row>
    <row r="493" hidden="1">
      <c r="A493" s="531" t="s">
        <v>11120</v>
      </c>
      <c r="B493" s="531">
        <v>14679.0</v>
      </c>
      <c r="C493" s="11" t="s">
        <v>11298</v>
      </c>
      <c r="D493" s="533">
        <v>0.75</v>
      </c>
      <c r="E493" s="533">
        <v>0.75</v>
      </c>
      <c r="F493" s="11" t="s">
        <v>1656</v>
      </c>
      <c r="G493" s="545"/>
      <c r="H493" s="11" t="s">
        <v>11299</v>
      </c>
      <c r="I493" s="545"/>
      <c r="J493" s="536" t="s">
        <v>11903</v>
      </c>
      <c r="K493" s="536">
        <v>285.0</v>
      </c>
    </row>
    <row r="494" hidden="1">
      <c r="A494" s="531" t="s">
        <v>10272</v>
      </c>
      <c r="B494" s="531">
        <v>7142.0</v>
      </c>
      <c r="C494" s="11" t="s">
        <v>11298</v>
      </c>
      <c r="D494" s="533">
        <v>0.75</v>
      </c>
      <c r="E494" s="533">
        <v>0.75</v>
      </c>
      <c r="F494" s="11" t="s">
        <v>1656</v>
      </c>
      <c r="G494" s="545"/>
      <c r="H494" s="11" t="s">
        <v>11299</v>
      </c>
      <c r="I494" s="545"/>
      <c r="J494" s="536" t="s">
        <v>11904</v>
      </c>
      <c r="K494" s="536">
        <v>285.0</v>
      </c>
    </row>
    <row r="495" hidden="1">
      <c r="A495" s="531" t="s">
        <v>11905</v>
      </c>
      <c r="B495" s="531">
        <v>6658.0</v>
      </c>
      <c r="C495" s="11" t="s">
        <v>11298</v>
      </c>
      <c r="D495" s="533">
        <v>0.85</v>
      </c>
      <c r="E495" s="533">
        <v>0.85</v>
      </c>
      <c r="F495" s="11" t="s">
        <v>1656</v>
      </c>
      <c r="G495" s="545"/>
      <c r="H495" s="11" t="s">
        <v>11299</v>
      </c>
      <c r="I495" s="545"/>
      <c r="J495" s="536" t="s">
        <v>11906</v>
      </c>
      <c r="K495" s="536">
        <v>285.0</v>
      </c>
    </row>
    <row r="496" hidden="1">
      <c r="A496" s="531" t="s">
        <v>11907</v>
      </c>
      <c r="B496" s="531">
        <v>189.0</v>
      </c>
      <c r="C496" s="11" t="s">
        <v>11298</v>
      </c>
      <c r="D496" s="533">
        <v>0.88</v>
      </c>
      <c r="E496" s="533">
        <v>0.88</v>
      </c>
      <c r="F496" s="11" t="s">
        <v>1656</v>
      </c>
      <c r="G496" s="545"/>
      <c r="H496" s="11" t="s">
        <v>11299</v>
      </c>
      <c r="I496" s="545"/>
      <c r="J496" s="536" t="s">
        <v>11908</v>
      </c>
      <c r="K496" s="536">
        <v>2345.0</v>
      </c>
    </row>
    <row r="497" hidden="1">
      <c r="A497" s="531" t="s">
        <v>11909</v>
      </c>
      <c r="B497" s="531">
        <v>6924.0</v>
      </c>
      <c r="C497" s="11" t="s">
        <v>11298</v>
      </c>
      <c r="D497" s="533">
        <v>0.75</v>
      </c>
      <c r="E497" s="533">
        <v>0.75</v>
      </c>
      <c r="F497" s="11" t="s">
        <v>1656</v>
      </c>
      <c r="G497" s="545"/>
      <c r="H497" s="11" t="s">
        <v>11299</v>
      </c>
      <c r="I497" s="545"/>
      <c r="J497" s="536" t="s">
        <v>11910</v>
      </c>
      <c r="K497" s="536">
        <v>2345.0</v>
      </c>
    </row>
    <row r="498" hidden="1">
      <c r="A498" s="531" t="s">
        <v>11794</v>
      </c>
      <c r="B498" s="531">
        <v>6947.0</v>
      </c>
      <c r="C498" s="11" t="s">
        <v>11298</v>
      </c>
      <c r="D498" s="533">
        <v>0.75</v>
      </c>
      <c r="E498" s="533">
        <v>0.75</v>
      </c>
      <c r="F498" s="11" t="s">
        <v>1656</v>
      </c>
      <c r="G498" s="545"/>
      <c r="H498" s="11" t="s">
        <v>11299</v>
      </c>
      <c r="I498" s="545"/>
      <c r="J498" s="536" t="s">
        <v>11911</v>
      </c>
      <c r="K498" s="536">
        <v>2345.0</v>
      </c>
    </row>
    <row r="499" hidden="1">
      <c r="A499" s="531" t="s">
        <v>11716</v>
      </c>
      <c r="B499" s="531">
        <v>14590.0</v>
      </c>
      <c r="C499" s="11" t="s">
        <v>11298</v>
      </c>
      <c r="D499" s="533">
        <v>0.9</v>
      </c>
      <c r="E499" s="533">
        <v>0.9</v>
      </c>
      <c r="F499" s="11" t="s">
        <v>1656</v>
      </c>
      <c r="G499" s="545"/>
      <c r="H499" s="11" t="s">
        <v>11299</v>
      </c>
      <c r="I499" s="545"/>
      <c r="J499" s="536" t="s">
        <v>11912</v>
      </c>
      <c r="K499" s="536">
        <v>2345.0</v>
      </c>
    </row>
    <row r="500" hidden="1">
      <c r="A500" s="531" t="s">
        <v>11913</v>
      </c>
      <c r="B500" s="531">
        <v>986.0</v>
      </c>
      <c r="C500" s="11" t="s">
        <v>11298</v>
      </c>
      <c r="D500" s="533">
        <v>0.85</v>
      </c>
      <c r="E500" s="533">
        <v>0.85</v>
      </c>
      <c r="F500" s="11" t="s">
        <v>1656</v>
      </c>
      <c r="G500" s="545"/>
      <c r="H500" s="11" t="s">
        <v>11299</v>
      </c>
      <c r="I500" s="545"/>
      <c r="J500" s="536" t="s">
        <v>11914</v>
      </c>
      <c r="K500" s="536">
        <v>2345.0</v>
      </c>
    </row>
    <row r="501" hidden="1">
      <c r="A501" s="531" t="s">
        <v>11915</v>
      </c>
      <c r="B501" s="546">
        <v>8274.0</v>
      </c>
      <c r="C501" s="11" t="s">
        <v>11298</v>
      </c>
      <c r="D501" s="533">
        <v>0.85</v>
      </c>
      <c r="E501" s="533">
        <v>0.85</v>
      </c>
      <c r="F501" s="11" t="s">
        <v>1656</v>
      </c>
      <c r="G501" s="545"/>
      <c r="H501" s="11" t="s">
        <v>11299</v>
      </c>
      <c r="I501" s="545"/>
      <c r="J501" s="536" t="s">
        <v>11916</v>
      </c>
      <c r="K501" s="536">
        <v>2345.0</v>
      </c>
    </row>
    <row r="502" hidden="1">
      <c r="A502" s="531" t="s">
        <v>11917</v>
      </c>
      <c r="B502" s="531">
        <v>986.0</v>
      </c>
      <c r="C502" s="11" t="s">
        <v>11298</v>
      </c>
      <c r="D502" s="533">
        <v>0.85</v>
      </c>
      <c r="E502" s="533">
        <v>0.85</v>
      </c>
      <c r="F502" s="11" t="s">
        <v>1656</v>
      </c>
      <c r="G502" s="545"/>
      <c r="H502" s="11" t="s">
        <v>11299</v>
      </c>
      <c r="I502" s="545"/>
      <c r="J502" s="536" t="s">
        <v>11918</v>
      </c>
      <c r="K502" s="536">
        <v>2345.0</v>
      </c>
    </row>
    <row r="503" hidden="1">
      <c r="A503" s="531" t="s">
        <v>11919</v>
      </c>
      <c r="B503" s="531">
        <v>14590.0</v>
      </c>
      <c r="C503" s="11" t="s">
        <v>11298</v>
      </c>
      <c r="D503" s="533">
        <v>0.9</v>
      </c>
      <c r="E503" s="533">
        <v>0.9</v>
      </c>
      <c r="F503" s="11" t="s">
        <v>1656</v>
      </c>
      <c r="G503" s="545"/>
      <c r="H503" s="11" t="s">
        <v>11299</v>
      </c>
      <c r="I503" s="545"/>
      <c r="J503" s="536" t="s">
        <v>11920</v>
      </c>
      <c r="K503" s="536">
        <v>2345.0</v>
      </c>
    </row>
    <row r="504" hidden="1">
      <c r="A504" s="531" t="s">
        <v>11921</v>
      </c>
      <c r="B504" s="531">
        <v>14590.0</v>
      </c>
      <c r="C504" s="11" t="s">
        <v>11298</v>
      </c>
      <c r="D504" s="533">
        <v>0.9</v>
      </c>
      <c r="E504" s="533">
        <v>0.9</v>
      </c>
      <c r="F504" s="11" t="s">
        <v>1656</v>
      </c>
      <c r="G504" s="545"/>
      <c r="H504" s="11" t="s">
        <v>11299</v>
      </c>
      <c r="I504" s="545"/>
      <c r="J504" s="536" t="s">
        <v>11922</v>
      </c>
      <c r="K504" s="536">
        <v>2345.0</v>
      </c>
    </row>
    <row r="505" hidden="1">
      <c r="A505" s="531" t="s">
        <v>11490</v>
      </c>
      <c r="B505" s="531">
        <v>6732.0</v>
      </c>
      <c r="C505" s="11" t="s">
        <v>11298</v>
      </c>
      <c r="D505" s="533">
        <v>0.8</v>
      </c>
      <c r="E505" s="533">
        <v>0.8</v>
      </c>
      <c r="F505" s="11" t="s">
        <v>1656</v>
      </c>
      <c r="G505" s="545"/>
      <c r="H505" s="11" t="s">
        <v>11299</v>
      </c>
      <c r="I505" s="545"/>
      <c r="J505" s="536" t="s">
        <v>11923</v>
      </c>
      <c r="K505" s="536">
        <v>2345.0</v>
      </c>
    </row>
    <row r="506" hidden="1">
      <c r="A506" s="531" t="s">
        <v>11924</v>
      </c>
      <c r="B506" s="531">
        <v>14590.0</v>
      </c>
      <c r="C506" s="11" t="s">
        <v>11298</v>
      </c>
      <c r="D506" s="533">
        <v>0.9</v>
      </c>
      <c r="E506" s="533">
        <v>0.9</v>
      </c>
      <c r="F506" s="11" t="s">
        <v>1656</v>
      </c>
      <c r="G506" s="545"/>
      <c r="H506" s="11" t="s">
        <v>11299</v>
      </c>
      <c r="I506" s="545"/>
      <c r="J506" s="536" t="s">
        <v>11925</v>
      </c>
      <c r="K506" s="536">
        <v>6750.0</v>
      </c>
    </row>
    <row r="507" hidden="1">
      <c r="A507" s="531" t="s">
        <v>11582</v>
      </c>
      <c r="B507" s="531">
        <v>986.0</v>
      </c>
      <c r="C507" s="11" t="s">
        <v>11298</v>
      </c>
      <c r="D507" s="533">
        <v>0.85</v>
      </c>
      <c r="E507" s="533">
        <v>0.85</v>
      </c>
      <c r="F507" s="11" t="s">
        <v>1656</v>
      </c>
      <c r="G507" s="545"/>
      <c r="H507" s="11" t="s">
        <v>11299</v>
      </c>
      <c r="I507" s="545"/>
      <c r="J507" s="536" t="s">
        <v>11926</v>
      </c>
      <c r="K507" s="536">
        <v>2345.0</v>
      </c>
    </row>
    <row r="508" hidden="1">
      <c r="A508" s="531" t="s">
        <v>11927</v>
      </c>
      <c r="B508" s="531">
        <v>986.0</v>
      </c>
      <c r="C508" s="11" t="s">
        <v>11298</v>
      </c>
      <c r="D508" s="533">
        <v>0.85</v>
      </c>
      <c r="E508" s="533">
        <v>0.85</v>
      </c>
      <c r="F508" s="11" t="s">
        <v>1656</v>
      </c>
      <c r="G508" s="545"/>
      <c r="H508" s="11" t="s">
        <v>11299</v>
      </c>
      <c r="I508" s="545"/>
      <c r="J508" s="536" t="s">
        <v>11928</v>
      </c>
      <c r="K508" s="536">
        <v>2345.0</v>
      </c>
    </row>
    <row r="509" hidden="1">
      <c r="A509" s="531" t="s">
        <v>11929</v>
      </c>
      <c r="B509" s="531">
        <v>14465.0</v>
      </c>
      <c r="C509" s="11" t="s">
        <v>11298</v>
      </c>
      <c r="D509" s="533">
        <v>0.9</v>
      </c>
      <c r="E509" s="533">
        <v>0.9</v>
      </c>
      <c r="F509" s="11" t="s">
        <v>1656</v>
      </c>
      <c r="G509" s="545"/>
      <c r="H509" s="11" t="s">
        <v>11299</v>
      </c>
      <c r="I509" s="545"/>
      <c r="J509" s="536" t="s">
        <v>11930</v>
      </c>
      <c r="K509" s="536">
        <v>2345.0</v>
      </c>
    </row>
    <row r="510" hidden="1">
      <c r="A510" s="531" t="s">
        <v>11931</v>
      </c>
      <c r="B510" s="531">
        <v>986.0</v>
      </c>
      <c r="C510" s="11" t="s">
        <v>11298</v>
      </c>
      <c r="D510" s="533">
        <v>0.85</v>
      </c>
      <c r="E510" s="533">
        <v>0.85</v>
      </c>
      <c r="F510" s="11" t="s">
        <v>1656</v>
      </c>
      <c r="G510" s="545"/>
      <c r="H510" s="11" t="s">
        <v>11299</v>
      </c>
      <c r="I510" s="545"/>
      <c r="J510" s="536" t="s">
        <v>11932</v>
      </c>
      <c r="K510" s="536">
        <v>2345.0</v>
      </c>
    </row>
    <row r="511" hidden="1">
      <c r="A511" s="531" t="s">
        <v>11933</v>
      </c>
      <c r="B511" s="531">
        <v>8486.0</v>
      </c>
      <c r="C511" s="11" t="s">
        <v>11298</v>
      </c>
      <c r="D511" s="533">
        <v>0.88</v>
      </c>
      <c r="E511" s="533">
        <v>0.88</v>
      </c>
      <c r="F511" s="11" t="s">
        <v>1656</v>
      </c>
      <c r="G511" s="545"/>
      <c r="H511" s="11" t="s">
        <v>11299</v>
      </c>
      <c r="I511" s="545"/>
      <c r="J511" s="536" t="s">
        <v>11934</v>
      </c>
      <c r="K511" s="536">
        <v>2345.0</v>
      </c>
    </row>
    <row r="512" hidden="1">
      <c r="A512" s="531" t="s">
        <v>11126</v>
      </c>
      <c r="B512" s="531">
        <v>14590.0</v>
      </c>
      <c r="C512" s="11" t="s">
        <v>11298</v>
      </c>
      <c r="D512" s="533">
        <v>0.9</v>
      </c>
      <c r="E512" s="533">
        <v>0.9</v>
      </c>
      <c r="F512" s="11" t="s">
        <v>1656</v>
      </c>
      <c r="G512" s="545"/>
      <c r="H512" s="11" t="s">
        <v>11299</v>
      </c>
      <c r="I512" s="545"/>
      <c r="J512" s="536" t="s">
        <v>11935</v>
      </c>
      <c r="K512" s="536">
        <v>2345.0</v>
      </c>
    </row>
    <row r="513" hidden="1">
      <c r="A513" s="531" t="s">
        <v>11789</v>
      </c>
      <c r="B513" s="531">
        <v>6924.0</v>
      </c>
      <c r="C513" s="11" t="s">
        <v>11298</v>
      </c>
      <c r="D513" s="533">
        <v>0.75</v>
      </c>
      <c r="E513" s="533">
        <v>0.75</v>
      </c>
      <c r="F513" s="11" t="s">
        <v>1656</v>
      </c>
      <c r="G513" s="545"/>
      <c r="H513" s="11" t="s">
        <v>11299</v>
      </c>
      <c r="I513" s="545"/>
      <c r="J513" s="536" t="s">
        <v>11936</v>
      </c>
      <c r="K513" s="536">
        <v>2345.0</v>
      </c>
    </row>
    <row r="514" hidden="1">
      <c r="A514" s="531" t="s">
        <v>11166</v>
      </c>
      <c r="B514" s="531">
        <v>14590.0</v>
      </c>
      <c r="C514" s="11" t="s">
        <v>11298</v>
      </c>
      <c r="D514" s="533">
        <v>0.9</v>
      </c>
      <c r="E514" s="533">
        <v>0.9</v>
      </c>
      <c r="F514" s="11" t="s">
        <v>1656</v>
      </c>
      <c r="G514" s="545"/>
      <c r="H514" s="11" t="s">
        <v>11299</v>
      </c>
      <c r="I514" s="545"/>
      <c r="J514" s="536" t="s">
        <v>11937</v>
      </c>
      <c r="K514" s="536">
        <v>2345.0</v>
      </c>
    </row>
    <row r="515" hidden="1">
      <c r="A515" s="531" t="s">
        <v>11108</v>
      </c>
      <c r="B515" s="531">
        <v>5566.0</v>
      </c>
      <c r="C515" s="11" t="s">
        <v>11298</v>
      </c>
      <c r="D515" s="533">
        <v>0.85</v>
      </c>
      <c r="E515" s="533">
        <v>0.85</v>
      </c>
      <c r="F515" s="11" t="s">
        <v>1656</v>
      </c>
      <c r="G515" s="545"/>
      <c r="H515" s="11" t="s">
        <v>11299</v>
      </c>
      <c r="I515" s="545"/>
      <c r="J515" s="536" t="s">
        <v>11938</v>
      </c>
      <c r="K515" s="536">
        <v>2345.0</v>
      </c>
    </row>
    <row r="516">
      <c r="A516" s="531" t="s">
        <v>11939</v>
      </c>
      <c r="B516" s="531">
        <v>6675.0</v>
      </c>
      <c r="C516" s="11" t="s">
        <v>11298</v>
      </c>
      <c r="D516" s="533">
        <v>0.9</v>
      </c>
      <c r="E516" s="533">
        <v>0.9</v>
      </c>
      <c r="F516" s="11" t="s">
        <v>1656</v>
      </c>
      <c r="G516" s="545"/>
      <c r="H516" s="11" t="s">
        <v>11299</v>
      </c>
      <c r="I516" s="545"/>
      <c r="J516" s="536" t="s">
        <v>11940</v>
      </c>
      <c r="K516" s="536">
        <v>6952.0</v>
      </c>
    </row>
    <row r="517" hidden="1">
      <c r="A517" s="531" t="s">
        <v>11745</v>
      </c>
      <c r="B517" s="531">
        <v>14590.0</v>
      </c>
      <c r="C517" s="11" t="s">
        <v>11298</v>
      </c>
      <c r="D517" s="533">
        <v>0.9</v>
      </c>
      <c r="E517" s="533">
        <v>0.9</v>
      </c>
      <c r="F517" s="11" t="s">
        <v>1656</v>
      </c>
      <c r="G517" s="545"/>
      <c r="H517" s="11" t="s">
        <v>11299</v>
      </c>
      <c r="I517" s="545"/>
      <c r="J517" s="536" t="s">
        <v>11941</v>
      </c>
      <c r="K517" s="536">
        <v>6805.0</v>
      </c>
    </row>
    <row r="518" hidden="1">
      <c r="A518" s="531" t="s">
        <v>11942</v>
      </c>
      <c r="B518" s="531">
        <v>14590.0</v>
      </c>
      <c r="C518" s="11" t="s">
        <v>11298</v>
      </c>
      <c r="D518" s="533">
        <v>0.9</v>
      </c>
      <c r="E518" s="533">
        <v>0.9</v>
      </c>
      <c r="F518" s="11" t="s">
        <v>1656</v>
      </c>
      <c r="G518" s="545"/>
      <c r="H518" s="11" t="s">
        <v>11299</v>
      </c>
      <c r="I518" s="545"/>
      <c r="J518" s="536" t="s">
        <v>11943</v>
      </c>
      <c r="K518" s="536">
        <v>6890.0</v>
      </c>
    </row>
    <row r="519" hidden="1">
      <c r="A519" s="531" t="s">
        <v>11318</v>
      </c>
      <c r="B519" s="531">
        <v>5458.0</v>
      </c>
      <c r="C519" s="11" t="s">
        <v>11298</v>
      </c>
      <c r="D519" s="533">
        <v>0.75</v>
      </c>
      <c r="E519" s="533">
        <v>0.75</v>
      </c>
      <c r="F519" s="11" t="s">
        <v>1656</v>
      </c>
      <c r="G519" s="545"/>
      <c r="H519" s="11" t="s">
        <v>11299</v>
      </c>
      <c r="I519" s="545"/>
      <c r="J519" s="536" t="s">
        <v>11944</v>
      </c>
      <c r="K519" s="536">
        <v>7003.0</v>
      </c>
    </row>
    <row r="520" hidden="1">
      <c r="A520" s="531" t="s">
        <v>11945</v>
      </c>
      <c r="B520" s="531">
        <v>14590.0</v>
      </c>
      <c r="C520" s="11" t="s">
        <v>11298</v>
      </c>
      <c r="D520" s="533">
        <v>0.9</v>
      </c>
      <c r="E520" s="533">
        <v>0.9</v>
      </c>
      <c r="F520" s="11" t="s">
        <v>1656</v>
      </c>
      <c r="G520" s="545"/>
      <c r="H520" s="11" t="s">
        <v>11299</v>
      </c>
      <c r="I520" s="545"/>
      <c r="J520" s="536" t="s">
        <v>11946</v>
      </c>
      <c r="K520" s="536">
        <v>7003.0</v>
      </c>
    </row>
    <row r="521" hidden="1">
      <c r="A521" s="531" t="s">
        <v>11172</v>
      </c>
      <c r="B521" s="531">
        <v>5458.0</v>
      </c>
      <c r="C521" s="11" t="s">
        <v>11298</v>
      </c>
      <c r="D521" s="533">
        <v>0.75</v>
      </c>
      <c r="E521" s="533">
        <v>0.75</v>
      </c>
      <c r="F521" s="11" t="s">
        <v>1656</v>
      </c>
      <c r="G521" s="545"/>
      <c r="H521" s="11" t="s">
        <v>11299</v>
      </c>
      <c r="I521" s="545"/>
      <c r="J521" s="536" t="s">
        <v>11947</v>
      </c>
      <c r="K521" s="536">
        <v>7003.0</v>
      </c>
    </row>
    <row r="522" hidden="1">
      <c r="A522" s="531" t="s">
        <v>11656</v>
      </c>
      <c r="B522" s="531">
        <v>6891.0</v>
      </c>
      <c r="C522" s="11" t="s">
        <v>11298</v>
      </c>
      <c r="D522" s="533">
        <v>0.75</v>
      </c>
      <c r="E522" s="533">
        <v>0.75</v>
      </c>
      <c r="F522" s="11" t="s">
        <v>1656</v>
      </c>
      <c r="G522" s="545"/>
      <c r="H522" s="11" t="s">
        <v>11299</v>
      </c>
      <c r="I522" s="545"/>
      <c r="J522" s="536" t="s">
        <v>11948</v>
      </c>
      <c r="K522" s="536">
        <v>6998.0</v>
      </c>
    </row>
    <row r="523" hidden="1">
      <c r="A523" s="531" t="s">
        <v>11949</v>
      </c>
      <c r="B523" s="531">
        <v>6949.0</v>
      </c>
      <c r="C523" s="11" t="s">
        <v>11298</v>
      </c>
      <c r="D523" s="533">
        <v>0.75</v>
      </c>
      <c r="E523" s="533">
        <v>0.75</v>
      </c>
      <c r="F523" s="11" t="s">
        <v>1656</v>
      </c>
      <c r="G523" s="545"/>
      <c r="H523" s="11" t="s">
        <v>11299</v>
      </c>
      <c r="I523" s="545"/>
      <c r="J523" s="536" t="s">
        <v>11950</v>
      </c>
      <c r="K523" s="536">
        <v>1360.0</v>
      </c>
    </row>
    <row r="524" hidden="1">
      <c r="A524" s="531" t="s">
        <v>11357</v>
      </c>
      <c r="B524" s="531">
        <v>14590.0</v>
      </c>
      <c r="C524" s="11" t="s">
        <v>11298</v>
      </c>
      <c r="D524" s="533">
        <v>0.9</v>
      </c>
      <c r="E524" s="533">
        <v>0.9</v>
      </c>
      <c r="F524" s="11" t="s">
        <v>1656</v>
      </c>
      <c r="G524" s="545"/>
      <c r="H524" s="11" t="s">
        <v>11299</v>
      </c>
      <c r="I524" s="545"/>
      <c r="J524" s="536" t="s">
        <v>11951</v>
      </c>
      <c r="K524" s="536">
        <v>1360.0</v>
      </c>
    </row>
    <row r="525" hidden="1">
      <c r="A525" s="531" t="s">
        <v>11952</v>
      </c>
      <c r="B525" s="531">
        <v>14590.0</v>
      </c>
      <c r="C525" s="11" t="s">
        <v>11298</v>
      </c>
      <c r="D525" s="533">
        <v>0.9</v>
      </c>
      <c r="E525" s="533">
        <v>0.9</v>
      </c>
      <c r="F525" s="11" t="s">
        <v>1656</v>
      </c>
      <c r="G525" s="545"/>
      <c r="H525" s="11" t="s">
        <v>11299</v>
      </c>
      <c r="I525" s="545"/>
      <c r="J525" s="536" t="s">
        <v>11953</v>
      </c>
      <c r="K525" s="536">
        <v>6732.0</v>
      </c>
    </row>
    <row r="526" hidden="1">
      <c r="A526" s="531" t="s">
        <v>11954</v>
      </c>
      <c r="B526" s="531">
        <v>14590.0</v>
      </c>
      <c r="C526" s="11" t="s">
        <v>11298</v>
      </c>
      <c r="D526" s="533">
        <v>0.9</v>
      </c>
      <c r="E526" s="533">
        <v>0.9</v>
      </c>
      <c r="F526" s="11" t="s">
        <v>1656</v>
      </c>
      <c r="G526" s="545"/>
      <c r="H526" s="11" t="s">
        <v>11299</v>
      </c>
      <c r="I526" s="545"/>
      <c r="J526" s="536" t="s">
        <v>11955</v>
      </c>
      <c r="K526" s="536">
        <v>6732.0</v>
      </c>
    </row>
    <row r="527" hidden="1">
      <c r="A527" s="531" t="s">
        <v>11956</v>
      </c>
      <c r="B527" s="531">
        <v>14590.0</v>
      </c>
      <c r="C527" s="11" t="s">
        <v>11298</v>
      </c>
      <c r="D527" s="533">
        <v>0.9</v>
      </c>
      <c r="E527" s="533">
        <v>0.9</v>
      </c>
      <c r="F527" s="11" t="s">
        <v>1656</v>
      </c>
      <c r="G527" s="545"/>
      <c r="H527" s="11" t="s">
        <v>11299</v>
      </c>
      <c r="I527" s="545"/>
      <c r="J527" s="536" t="s">
        <v>11957</v>
      </c>
      <c r="K527" s="536">
        <v>6732.0</v>
      </c>
    </row>
    <row r="528" hidden="1">
      <c r="A528" s="531" t="s">
        <v>11958</v>
      </c>
      <c r="B528" s="531">
        <v>13987.0</v>
      </c>
      <c r="C528" s="11" t="s">
        <v>11298</v>
      </c>
      <c r="D528" s="533">
        <v>0.75</v>
      </c>
      <c r="E528" s="533">
        <v>0.75</v>
      </c>
      <c r="F528" s="11" t="s">
        <v>1656</v>
      </c>
      <c r="G528" s="545"/>
      <c r="H528" s="11" t="s">
        <v>11299</v>
      </c>
      <c r="I528" s="545"/>
      <c r="J528" s="536" t="s">
        <v>11959</v>
      </c>
      <c r="K528" s="536">
        <v>6732.0</v>
      </c>
    </row>
    <row r="529" hidden="1">
      <c r="A529" s="531" t="s">
        <v>11510</v>
      </c>
      <c r="B529" s="531">
        <v>2345.0</v>
      </c>
      <c r="C529" s="11" t="s">
        <v>11298</v>
      </c>
      <c r="D529" s="533">
        <v>0.9</v>
      </c>
      <c r="E529" s="533">
        <v>0.9</v>
      </c>
      <c r="F529" s="11" t="s">
        <v>1656</v>
      </c>
      <c r="G529" s="545"/>
      <c r="H529" s="11" t="s">
        <v>11299</v>
      </c>
      <c r="I529" s="545"/>
      <c r="J529" s="536" t="s">
        <v>11960</v>
      </c>
      <c r="K529" s="536">
        <v>6732.0</v>
      </c>
    </row>
    <row r="530" hidden="1">
      <c r="A530" s="531" t="s">
        <v>9785</v>
      </c>
      <c r="B530" s="531">
        <v>7158.0</v>
      </c>
      <c r="C530" s="11" t="s">
        <v>11298</v>
      </c>
      <c r="D530" s="533">
        <v>0.75</v>
      </c>
      <c r="E530" s="533">
        <v>0.75</v>
      </c>
      <c r="F530" s="11" t="s">
        <v>1656</v>
      </c>
      <c r="G530" s="545"/>
      <c r="H530" s="11" t="s">
        <v>11299</v>
      </c>
      <c r="I530" s="545"/>
      <c r="J530" s="536" t="s">
        <v>11961</v>
      </c>
      <c r="K530" s="536">
        <v>6732.0</v>
      </c>
    </row>
    <row r="531" hidden="1">
      <c r="A531" s="531" t="s">
        <v>11962</v>
      </c>
      <c r="B531" s="531">
        <v>14590.0</v>
      </c>
      <c r="C531" s="11" t="s">
        <v>11298</v>
      </c>
      <c r="D531" s="533">
        <v>0.9</v>
      </c>
      <c r="E531" s="533">
        <v>0.9</v>
      </c>
      <c r="F531" s="11" t="s">
        <v>1656</v>
      </c>
      <c r="G531" s="545"/>
      <c r="H531" s="11" t="s">
        <v>11299</v>
      </c>
      <c r="I531" s="545"/>
      <c r="J531" s="536" t="s">
        <v>11963</v>
      </c>
      <c r="K531" s="536">
        <v>6732.0</v>
      </c>
    </row>
    <row r="532" hidden="1">
      <c r="A532" s="531" t="s">
        <v>11964</v>
      </c>
      <c r="B532" s="531">
        <v>7083.0</v>
      </c>
      <c r="C532" s="11" t="s">
        <v>11298</v>
      </c>
      <c r="D532" s="533">
        <v>0.75</v>
      </c>
      <c r="E532" s="533">
        <v>0.75</v>
      </c>
      <c r="F532" s="11" t="s">
        <v>1656</v>
      </c>
      <c r="G532" s="545"/>
      <c r="H532" s="11" t="s">
        <v>11299</v>
      </c>
      <c r="I532" s="545"/>
      <c r="J532" s="536" t="s">
        <v>11965</v>
      </c>
      <c r="K532" s="536">
        <v>6732.0</v>
      </c>
    </row>
    <row r="533" hidden="1">
      <c r="A533" s="531" t="s">
        <v>11966</v>
      </c>
      <c r="B533" s="531">
        <v>14590.0</v>
      </c>
      <c r="C533" s="11" t="s">
        <v>11298</v>
      </c>
      <c r="D533" s="533">
        <v>0.9</v>
      </c>
      <c r="E533" s="533">
        <v>0.9</v>
      </c>
      <c r="F533" s="11" t="s">
        <v>1656</v>
      </c>
      <c r="G533" s="545"/>
      <c r="H533" s="11" t="s">
        <v>11299</v>
      </c>
      <c r="I533" s="545"/>
      <c r="J533" s="536" t="s">
        <v>11967</v>
      </c>
      <c r="K533" s="536">
        <v>6732.0</v>
      </c>
    </row>
    <row r="534" hidden="1">
      <c r="A534" s="531" t="s">
        <v>9652</v>
      </c>
      <c r="B534" s="531">
        <v>14590.0</v>
      </c>
      <c r="C534" s="11" t="s">
        <v>11298</v>
      </c>
      <c r="D534" s="533">
        <v>0.9</v>
      </c>
      <c r="E534" s="533">
        <v>0.9</v>
      </c>
      <c r="F534" s="11" t="s">
        <v>1656</v>
      </c>
      <c r="G534" s="545"/>
      <c r="H534" s="11" t="s">
        <v>11299</v>
      </c>
      <c r="I534" s="545"/>
      <c r="J534" s="536" t="s">
        <v>11968</v>
      </c>
      <c r="K534" s="536">
        <v>6732.0</v>
      </c>
    </row>
    <row r="535" hidden="1">
      <c r="A535" s="531" t="s">
        <v>11969</v>
      </c>
      <c r="B535" s="531">
        <v>6658.0</v>
      </c>
      <c r="C535" s="11" t="s">
        <v>11298</v>
      </c>
      <c r="D535" s="533">
        <v>0.85</v>
      </c>
      <c r="E535" s="533">
        <v>0.85</v>
      </c>
      <c r="F535" s="11" t="s">
        <v>1656</v>
      </c>
      <c r="G535" s="545"/>
      <c r="H535" s="11" t="s">
        <v>11299</v>
      </c>
      <c r="I535" s="545"/>
      <c r="J535" s="536" t="s">
        <v>11970</v>
      </c>
      <c r="K535" s="536">
        <v>6732.0</v>
      </c>
    </row>
    <row r="536" hidden="1">
      <c r="A536" s="531" t="s">
        <v>11971</v>
      </c>
      <c r="B536" s="531">
        <v>14590.0</v>
      </c>
      <c r="C536" s="11" t="s">
        <v>11298</v>
      </c>
      <c r="D536" s="533">
        <v>0.9</v>
      </c>
      <c r="E536" s="533">
        <v>0.9</v>
      </c>
      <c r="F536" s="11" t="s">
        <v>1656</v>
      </c>
      <c r="G536" s="545"/>
      <c r="H536" s="11" t="s">
        <v>11299</v>
      </c>
      <c r="I536" s="545"/>
      <c r="J536" s="536" t="s">
        <v>11972</v>
      </c>
      <c r="K536" s="536">
        <v>6732.0</v>
      </c>
    </row>
    <row r="537" hidden="1">
      <c r="A537" s="531" t="s">
        <v>9701</v>
      </c>
      <c r="B537" s="531">
        <v>7017.0</v>
      </c>
      <c r="C537" s="11" t="s">
        <v>11298</v>
      </c>
      <c r="D537" s="533">
        <v>0.75</v>
      </c>
      <c r="E537" s="533">
        <v>0.75</v>
      </c>
      <c r="F537" s="11" t="s">
        <v>1656</v>
      </c>
      <c r="G537" s="545"/>
      <c r="H537" s="11" t="s">
        <v>11299</v>
      </c>
      <c r="I537" s="545"/>
      <c r="J537" s="536" t="s">
        <v>11973</v>
      </c>
      <c r="K537" s="536">
        <v>7008.0</v>
      </c>
    </row>
    <row r="538" hidden="1">
      <c r="A538" s="531" t="s">
        <v>11605</v>
      </c>
      <c r="B538" s="531">
        <v>14590.0</v>
      </c>
      <c r="C538" s="11" t="s">
        <v>11298</v>
      </c>
      <c r="D538" s="533">
        <v>0.9</v>
      </c>
      <c r="E538" s="533">
        <v>0.9</v>
      </c>
      <c r="F538" s="11" t="s">
        <v>1656</v>
      </c>
      <c r="G538" s="545"/>
      <c r="H538" s="11" t="s">
        <v>11299</v>
      </c>
      <c r="I538" s="545"/>
      <c r="J538" s="536" t="s">
        <v>11974</v>
      </c>
      <c r="K538" s="536">
        <v>7008.0</v>
      </c>
    </row>
    <row r="539" hidden="1">
      <c r="A539" s="531" t="s">
        <v>9790</v>
      </c>
      <c r="B539" s="531">
        <v>14590.0</v>
      </c>
      <c r="C539" s="11" t="s">
        <v>11298</v>
      </c>
      <c r="D539" s="533">
        <v>0.9</v>
      </c>
      <c r="E539" s="533">
        <v>0.9</v>
      </c>
      <c r="F539" s="11" t="s">
        <v>1656</v>
      </c>
      <c r="G539" s="545"/>
      <c r="H539" s="11" t="s">
        <v>11299</v>
      </c>
      <c r="I539" s="545"/>
      <c r="J539" s="536" t="s">
        <v>11975</v>
      </c>
      <c r="K539" s="536">
        <v>6732.0</v>
      </c>
    </row>
    <row r="540" hidden="1">
      <c r="A540" s="531" t="s">
        <v>11976</v>
      </c>
      <c r="B540" s="531">
        <v>986.0</v>
      </c>
      <c r="C540" s="11" t="s">
        <v>11298</v>
      </c>
      <c r="D540" s="533">
        <v>0.85</v>
      </c>
      <c r="E540" s="533">
        <v>0.85</v>
      </c>
      <c r="F540" s="11" t="s">
        <v>1656</v>
      </c>
      <c r="G540" s="545"/>
      <c r="H540" s="11" t="s">
        <v>11299</v>
      </c>
      <c r="I540" s="545"/>
      <c r="J540" s="536" t="s">
        <v>11977</v>
      </c>
      <c r="K540" s="536">
        <v>6732.0</v>
      </c>
    </row>
    <row r="541" hidden="1">
      <c r="A541" s="531" t="s">
        <v>11978</v>
      </c>
      <c r="B541" s="531">
        <v>14590.0</v>
      </c>
      <c r="C541" s="11" t="s">
        <v>11298</v>
      </c>
      <c r="D541" s="533">
        <v>0.9</v>
      </c>
      <c r="E541" s="533">
        <v>0.9</v>
      </c>
      <c r="F541" s="11" t="s">
        <v>1656</v>
      </c>
      <c r="G541" s="545"/>
      <c r="H541" s="11" t="s">
        <v>11299</v>
      </c>
      <c r="I541" s="545"/>
      <c r="J541" s="536" t="s">
        <v>11979</v>
      </c>
      <c r="K541" s="536">
        <v>6732.0</v>
      </c>
    </row>
    <row r="542" hidden="1">
      <c r="A542" s="531" t="s">
        <v>11782</v>
      </c>
      <c r="B542" s="531">
        <v>6893.0</v>
      </c>
      <c r="C542" s="11" t="s">
        <v>11298</v>
      </c>
      <c r="D542" s="533">
        <v>0.75</v>
      </c>
      <c r="E542" s="533">
        <v>0.75</v>
      </c>
      <c r="F542" s="11" t="s">
        <v>1656</v>
      </c>
      <c r="G542" s="545"/>
      <c r="H542" s="11" t="s">
        <v>11299</v>
      </c>
      <c r="I542" s="545"/>
      <c r="J542" s="536" t="s">
        <v>11980</v>
      </c>
      <c r="K542" s="536">
        <v>6732.0</v>
      </c>
    </row>
    <row r="543" hidden="1">
      <c r="A543" s="531" t="s">
        <v>11981</v>
      </c>
      <c r="B543" s="531">
        <v>14590.0</v>
      </c>
      <c r="C543" s="11" t="s">
        <v>11298</v>
      </c>
      <c r="D543" s="533">
        <v>0.9</v>
      </c>
      <c r="E543" s="533">
        <v>0.9</v>
      </c>
      <c r="F543" s="11" t="s">
        <v>1656</v>
      </c>
      <c r="G543" s="545"/>
      <c r="H543" s="11" t="s">
        <v>11299</v>
      </c>
      <c r="I543" s="545"/>
      <c r="J543" s="536" t="s">
        <v>11982</v>
      </c>
      <c r="K543" s="536">
        <v>6732.0</v>
      </c>
    </row>
    <row r="544" hidden="1">
      <c r="A544" s="531" t="s">
        <v>11983</v>
      </c>
      <c r="B544" s="531">
        <v>14590.0</v>
      </c>
      <c r="C544" s="11" t="s">
        <v>11298</v>
      </c>
      <c r="D544" s="533">
        <v>0.9</v>
      </c>
      <c r="E544" s="533">
        <v>0.9</v>
      </c>
      <c r="F544" s="11" t="s">
        <v>1656</v>
      </c>
      <c r="G544" s="545"/>
      <c r="H544" s="11" t="s">
        <v>11299</v>
      </c>
      <c r="I544" s="545"/>
      <c r="J544" s="536" t="s">
        <v>11984</v>
      </c>
      <c r="K544" s="536">
        <v>6732.0</v>
      </c>
    </row>
    <row r="545" hidden="1">
      <c r="A545" s="531" t="s">
        <v>11296</v>
      </c>
      <c r="B545" s="531">
        <v>14590.0</v>
      </c>
      <c r="C545" s="11" t="s">
        <v>11298</v>
      </c>
      <c r="D545" s="533">
        <v>0.9</v>
      </c>
      <c r="E545" s="533">
        <v>0.9</v>
      </c>
      <c r="F545" s="11" t="s">
        <v>1656</v>
      </c>
      <c r="G545" s="545"/>
      <c r="H545" s="11" t="s">
        <v>11299</v>
      </c>
      <c r="I545" s="545"/>
      <c r="J545" s="536" t="s">
        <v>11985</v>
      </c>
      <c r="K545" s="536">
        <v>6732.0</v>
      </c>
    </row>
    <row r="546" hidden="1">
      <c r="A546" s="531" t="s">
        <v>11986</v>
      </c>
      <c r="B546" s="531">
        <v>14590.0</v>
      </c>
      <c r="C546" s="11" t="s">
        <v>11298</v>
      </c>
      <c r="D546" s="533">
        <v>0.9</v>
      </c>
      <c r="E546" s="533">
        <v>0.9</v>
      </c>
      <c r="F546" s="11" t="s">
        <v>1656</v>
      </c>
      <c r="G546" s="545"/>
      <c r="H546" s="11" t="s">
        <v>11299</v>
      </c>
      <c r="I546" s="545"/>
      <c r="J546" s="536" t="s">
        <v>11987</v>
      </c>
      <c r="K546" s="536">
        <v>6732.0</v>
      </c>
    </row>
    <row r="547" hidden="1">
      <c r="A547" s="531" t="s">
        <v>11988</v>
      </c>
      <c r="B547" s="544">
        <v>14661.0</v>
      </c>
      <c r="C547" s="11" t="s">
        <v>11298</v>
      </c>
      <c r="D547" s="533">
        <v>0.75</v>
      </c>
      <c r="E547" s="533">
        <v>0.75</v>
      </c>
      <c r="F547" s="11" t="s">
        <v>1656</v>
      </c>
      <c r="G547" s="545"/>
      <c r="H547" s="11" t="s">
        <v>11299</v>
      </c>
      <c r="I547" s="545"/>
      <c r="J547" s="536" t="s">
        <v>11989</v>
      </c>
      <c r="K547" s="536">
        <v>6732.0</v>
      </c>
    </row>
    <row r="548" hidden="1">
      <c r="A548" s="531" t="s">
        <v>11990</v>
      </c>
      <c r="B548" s="531">
        <v>2093.0</v>
      </c>
      <c r="C548" s="11" t="s">
        <v>11298</v>
      </c>
      <c r="D548" s="533">
        <v>0.75</v>
      </c>
      <c r="E548" s="533">
        <v>0.75</v>
      </c>
      <c r="F548" s="11" t="s">
        <v>1656</v>
      </c>
      <c r="G548" s="545"/>
      <c r="H548" s="11" t="s">
        <v>11299</v>
      </c>
      <c r="I548" s="545"/>
      <c r="J548" s="536" t="s">
        <v>11991</v>
      </c>
      <c r="K548" s="536">
        <v>6732.0</v>
      </c>
    </row>
    <row r="549" hidden="1">
      <c r="A549" s="531" t="s">
        <v>11992</v>
      </c>
      <c r="B549" s="531">
        <v>7083.0</v>
      </c>
      <c r="C549" s="11" t="s">
        <v>11298</v>
      </c>
      <c r="D549" s="533">
        <v>0.75</v>
      </c>
      <c r="E549" s="533">
        <v>0.75</v>
      </c>
      <c r="F549" s="11" t="s">
        <v>1656</v>
      </c>
      <c r="G549" s="545"/>
      <c r="H549" s="11" t="s">
        <v>11299</v>
      </c>
      <c r="I549" s="545"/>
      <c r="J549" s="536" t="s">
        <v>11993</v>
      </c>
      <c r="K549" s="536">
        <v>6732.0</v>
      </c>
    </row>
    <row r="550" hidden="1">
      <c r="A550" s="531" t="s">
        <v>11696</v>
      </c>
      <c r="B550" s="531">
        <v>2345.0</v>
      </c>
      <c r="C550" s="11" t="s">
        <v>11298</v>
      </c>
      <c r="D550" s="533">
        <v>0.9</v>
      </c>
      <c r="E550" s="533">
        <v>0.9</v>
      </c>
      <c r="F550" s="11" t="s">
        <v>1656</v>
      </c>
      <c r="G550" s="545"/>
      <c r="H550" s="11" t="s">
        <v>11299</v>
      </c>
      <c r="I550" s="545"/>
      <c r="J550" s="536" t="s">
        <v>11994</v>
      </c>
      <c r="K550" s="536">
        <v>6732.0</v>
      </c>
    </row>
    <row r="551" hidden="1">
      <c r="A551" s="531" t="s">
        <v>7777</v>
      </c>
      <c r="B551" s="531">
        <v>2345.0</v>
      </c>
      <c r="C551" s="11" t="s">
        <v>11298</v>
      </c>
      <c r="D551" s="533">
        <v>0.9</v>
      </c>
      <c r="E551" s="533">
        <v>0.9</v>
      </c>
      <c r="F551" s="11" t="s">
        <v>1656</v>
      </c>
      <c r="G551" s="545"/>
      <c r="H551" s="11" t="s">
        <v>11299</v>
      </c>
      <c r="I551" s="545"/>
      <c r="J551" s="536" t="s">
        <v>11995</v>
      </c>
      <c r="K551" s="536">
        <v>6732.0</v>
      </c>
    </row>
    <row r="552" hidden="1">
      <c r="A552" s="531" t="s">
        <v>11996</v>
      </c>
      <c r="B552" s="531">
        <v>986.0</v>
      </c>
      <c r="C552" s="11" t="s">
        <v>11298</v>
      </c>
      <c r="D552" s="533">
        <v>0.85</v>
      </c>
      <c r="E552" s="533">
        <v>0.85</v>
      </c>
      <c r="F552" s="11" t="s">
        <v>1656</v>
      </c>
      <c r="G552" s="545"/>
      <c r="H552" s="11" t="s">
        <v>11299</v>
      </c>
      <c r="I552" s="545"/>
      <c r="J552" s="536" t="s">
        <v>11997</v>
      </c>
      <c r="K552" s="536">
        <v>6732.0</v>
      </c>
    </row>
    <row r="553" hidden="1">
      <c r="A553" s="531" t="s">
        <v>11535</v>
      </c>
      <c r="B553" s="531">
        <v>2345.0</v>
      </c>
      <c r="C553" s="11" t="s">
        <v>11298</v>
      </c>
      <c r="D553" s="533">
        <v>0.9</v>
      </c>
      <c r="E553" s="533">
        <v>0.9</v>
      </c>
      <c r="F553" s="11" t="s">
        <v>1656</v>
      </c>
      <c r="G553" s="545"/>
      <c r="H553" s="11" t="s">
        <v>11299</v>
      </c>
      <c r="I553" s="545"/>
      <c r="J553" s="536" t="s">
        <v>11998</v>
      </c>
      <c r="K553" s="536">
        <v>6732.0</v>
      </c>
    </row>
    <row r="554" hidden="1">
      <c r="A554" s="531" t="s">
        <v>11282</v>
      </c>
      <c r="B554" s="531">
        <v>986.0</v>
      </c>
      <c r="C554" s="11" t="s">
        <v>11298</v>
      </c>
      <c r="D554" s="533">
        <v>0.85</v>
      </c>
      <c r="E554" s="533">
        <v>0.85</v>
      </c>
      <c r="F554" s="11" t="s">
        <v>1656</v>
      </c>
      <c r="G554" s="545"/>
      <c r="H554" s="11" t="s">
        <v>11299</v>
      </c>
      <c r="I554" s="545"/>
      <c r="J554" s="536" t="s">
        <v>11999</v>
      </c>
      <c r="K554" s="536">
        <v>6732.0</v>
      </c>
    </row>
    <row r="555" hidden="1">
      <c r="A555" s="531" t="s">
        <v>11613</v>
      </c>
      <c r="B555" s="531">
        <v>2345.0</v>
      </c>
      <c r="C555" s="11" t="s">
        <v>11298</v>
      </c>
      <c r="D555" s="533">
        <v>0.9</v>
      </c>
      <c r="E555" s="533">
        <v>0.9</v>
      </c>
      <c r="F555" s="11" t="s">
        <v>1656</v>
      </c>
      <c r="G555" s="545"/>
      <c r="H555" s="11" t="s">
        <v>11299</v>
      </c>
      <c r="I555" s="545"/>
      <c r="J555" s="536" t="s">
        <v>12000</v>
      </c>
      <c r="K555" s="536">
        <v>6732.0</v>
      </c>
    </row>
    <row r="556" hidden="1">
      <c r="A556" s="531" t="s">
        <v>12001</v>
      </c>
      <c r="B556" s="531">
        <v>2093.0</v>
      </c>
      <c r="C556" s="11" t="s">
        <v>11298</v>
      </c>
      <c r="D556" s="533">
        <v>0.75</v>
      </c>
      <c r="E556" s="533">
        <v>0.75</v>
      </c>
      <c r="F556" s="11" t="s">
        <v>1656</v>
      </c>
      <c r="G556" s="545"/>
      <c r="H556" s="11" t="s">
        <v>11299</v>
      </c>
      <c r="I556" s="545"/>
      <c r="J556" s="536" t="s">
        <v>12002</v>
      </c>
      <c r="K556" s="536">
        <v>6732.0</v>
      </c>
    </row>
    <row r="557" hidden="1">
      <c r="A557" s="531" t="s">
        <v>12003</v>
      </c>
      <c r="B557" s="531">
        <v>986.0</v>
      </c>
      <c r="C557" s="11" t="s">
        <v>11298</v>
      </c>
      <c r="D557" s="533">
        <v>0.85</v>
      </c>
      <c r="E557" s="533">
        <v>0.85</v>
      </c>
      <c r="F557" s="11" t="s">
        <v>1656</v>
      </c>
      <c r="G557" s="545"/>
      <c r="H557" s="11" t="s">
        <v>11299</v>
      </c>
      <c r="I557" s="545"/>
      <c r="J557" s="536" t="s">
        <v>12004</v>
      </c>
      <c r="K557" s="536">
        <v>6732.0</v>
      </c>
    </row>
    <row r="558" hidden="1">
      <c r="A558" s="531" t="s">
        <v>12005</v>
      </c>
      <c r="B558" s="531">
        <v>14590.0</v>
      </c>
      <c r="C558" s="11" t="s">
        <v>11298</v>
      </c>
      <c r="D558" s="533">
        <v>0.9</v>
      </c>
      <c r="E558" s="533">
        <v>0.9</v>
      </c>
      <c r="F558" s="11" t="s">
        <v>1656</v>
      </c>
      <c r="G558" s="545"/>
      <c r="H558" s="11" t="s">
        <v>11299</v>
      </c>
      <c r="I558" s="545"/>
      <c r="J558" s="536" t="s">
        <v>12006</v>
      </c>
      <c r="K558" s="536">
        <v>6732.0</v>
      </c>
    </row>
    <row r="559" hidden="1">
      <c r="A559" s="531" t="s">
        <v>11308</v>
      </c>
      <c r="B559" s="531">
        <v>2095.0</v>
      </c>
      <c r="C559" s="11" t="s">
        <v>11298</v>
      </c>
      <c r="D559" s="533">
        <v>0.75</v>
      </c>
      <c r="E559" s="533">
        <v>0.75</v>
      </c>
      <c r="F559" s="11" t="s">
        <v>1656</v>
      </c>
      <c r="G559" s="545"/>
      <c r="H559" s="11" t="s">
        <v>11299</v>
      </c>
      <c r="I559" s="545"/>
      <c r="J559" s="536" t="s">
        <v>12007</v>
      </c>
      <c r="K559" s="536">
        <v>7005.0</v>
      </c>
    </row>
    <row r="560" hidden="1">
      <c r="A560" s="531" t="s">
        <v>12008</v>
      </c>
      <c r="B560" s="531">
        <v>3312.0</v>
      </c>
      <c r="C560" s="11" t="s">
        <v>11298</v>
      </c>
      <c r="D560" s="533">
        <v>0.75</v>
      </c>
      <c r="E560" s="533">
        <v>0.75</v>
      </c>
      <c r="F560" s="11" t="s">
        <v>1656</v>
      </c>
      <c r="G560" s="545"/>
      <c r="H560" s="11" t="s">
        <v>11299</v>
      </c>
      <c r="I560" s="545"/>
      <c r="J560" s="536" t="s">
        <v>12009</v>
      </c>
      <c r="K560" s="536">
        <v>285.0</v>
      </c>
    </row>
    <row r="561" hidden="1">
      <c r="A561" s="531" t="s">
        <v>12010</v>
      </c>
      <c r="B561" s="531">
        <v>14590.0</v>
      </c>
      <c r="C561" s="11" t="s">
        <v>11298</v>
      </c>
      <c r="D561" s="533">
        <v>0.9</v>
      </c>
      <c r="E561" s="533">
        <v>0.9</v>
      </c>
      <c r="F561" s="11" t="s">
        <v>1656</v>
      </c>
      <c r="G561" s="545"/>
      <c r="H561" s="11" t="s">
        <v>11299</v>
      </c>
      <c r="I561" s="545"/>
      <c r="J561" s="536" t="s">
        <v>12011</v>
      </c>
      <c r="K561" s="536">
        <v>285.0</v>
      </c>
    </row>
    <row r="562" hidden="1">
      <c r="A562" s="531" t="s">
        <v>11379</v>
      </c>
      <c r="B562" s="531">
        <v>285.0</v>
      </c>
      <c r="C562" s="11" t="s">
        <v>11298</v>
      </c>
      <c r="D562" s="533">
        <v>0.88</v>
      </c>
      <c r="E562" s="533">
        <v>0.88</v>
      </c>
      <c r="F562" s="11" t="s">
        <v>1656</v>
      </c>
      <c r="G562" s="545"/>
      <c r="H562" s="11" t="s">
        <v>11299</v>
      </c>
      <c r="I562" s="545"/>
      <c r="J562" s="536" t="s">
        <v>12012</v>
      </c>
      <c r="K562" s="536">
        <v>285.0</v>
      </c>
    </row>
    <row r="563" hidden="1">
      <c r="A563" s="531" t="s">
        <v>11459</v>
      </c>
      <c r="B563" s="531">
        <v>2345.0</v>
      </c>
      <c r="C563" s="11" t="s">
        <v>11298</v>
      </c>
      <c r="D563" s="533">
        <v>0.9</v>
      </c>
      <c r="E563" s="533">
        <v>0.9</v>
      </c>
      <c r="F563" s="11" t="s">
        <v>1656</v>
      </c>
      <c r="G563" s="545"/>
      <c r="H563" s="11" t="s">
        <v>11299</v>
      </c>
      <c r="I563" s="545"/>
      <c r="J563" s="536" t="s">
        <v>12013</v>
      </c>
      <c r="K563" s="536">
        <v>285.0</v>
      </c>
    </row>
    <row r="564" hidden="1">
      <c r="A564" s="531" t="s">
        <v>9748</v>
      </c>
      <c r="B564" s="531">
        <v>14590.0</v>
      </c>
      <c r="C564" s="11" t="s">
        <v>11298</v>
      </c>
      <c r="D564" s="533">
        <v>0.9</v>
      </c>
      <c r="E564" s="533">
        <v>0.9</v>
      </c>
      <c r="F564" s="11" t="s">
        <v>1656</v>
      </c>
      <c r="G564" s="545"/>
      <c r="H564" s="11" t="s">
        <v>11299</v>
      </c>
      <c r="I564" s="545"/>
      <c r="J564" s="536" t="s">
        <v>12014</v>
      </c>
      <c r="K564" s="536">
        <v>285.0</v>
      </c>
    </row>
    <row r="565" hidden="1">
      <c r="A565" s="531" t="s">
        <v>12015</v>
      </c>
      <c r="B565" s="531">
        <v>14590.0</v>
      </c>
      <c r="C565" s="11" t="s">
        <v>11298</v>
      </c>
      <c r="D565" s="533">
        <v>0.9</v>
      </c>
      <c r="E565" s="533">
        <v>0.9</v>
      </c>
      <c r="F565" s="11" t="s">
        <v>1656</v>
      </c>
      <c r="G565" s="545"/>
      <c r="H565" s="11" t="s">
        <v>11299</v>
      </c>
      <c r="I565" s="545"/>
      <c r="J565" s="536" t="s">
        <v>12016</v>
      </c>
      <c r="K565" s="536">
        <v>285.0</v>
      </c>
    </row>
    <row r="566" hidden="1">
      <c r="A566" s="531" t="s">
        <v>12017</v>
      </c>
      <c r="B566" s="531">
        <v>13204.0</v>
      </c>
      <c r="C566" s="11" t="s">
        <v>11298</v>
      </c>
      <c r="D566" s="533">
        <v>0.75</v>
      </c>
      <c r="E566" s="533">
        <v>0.75</v>
      </c>
      <c r="F566" s="11" t="s">
        <v>1656</v>
      </c>
      <c r="G566" s="545"/>
      <c r="H566" s="11" t="s">
        <v>11299</v>
      </c>
      <c r="I566" s="545"/>
      <c r="J566" s="536" t="s">
        <v>12018</v>
      </c>
      <c r="K566" s="536">
        <v>285.0</v>
      </c>
    </row>
    <row r="567" hidden="1">
      <c r="A567" s="531" t="s">
        <v>9608</v>
      </c>
      <c r="B567" s="531">
        <v>2345.0</v>
      </c>
      <c r="C567" s="11" t="s">
        <v>11298</v>
      </c>
      <c r="D567" s="533">
        <v>0.9</v>
      </c>
      <c r="E567" s="533">
        <v>0.9</v>
      </c>
      <c r="F567" s="11" t="s">
        <v>1656</v>
      </c>
      <c r="G567" s="545"/>
      <c r="H567" s="11" t="s">
        <v>11299</v>
      </c>
      <c r="I567" s="545"/>
      <c r="J567" s="536" t="s">
        <v>12019</v>
      </c>
      <c r="K567" s="536">
        <v>285.0</v>
      </c>
    </row>
    <row r="568" hidden="1">
      <c r="A568" s="531" t="s">
        <v>11599</v>
      </c>
      <c r="B568" s="531">
        <v>2345.0</v>
      </c>
      <c r="C568" s="11" t="s">
        <v>11298</v>
      </c>
      <c r="D568" s="533">
        <v>0.9</v>
      </c>
      <c r="E568" s="533">
        <v>0.9</v>
      </c>
      <c r="F568" s="11" t="s">
        <v>1656</v>
      </c>
      <c r="G568" s="545"/>
      <c r="H568" s="11" t="s">
        <v>11299</v>
      </c>
      <c r="I568" s="545"/>
      <c r="J568" s="536" t="s">
        <v>12020</v>
      </c>
      <c r="K568" s="536">
        <v>285.0</v>
      </c>
    </row>
    <row r="569" hidden="1">
      <c r="A569" s="531" t="s">
        <v>11422</v>
      </c>
      <c r="B569" s="531">
        <v>14590.0</v>
      </c>
      <c r="C569" s="11" t="s">
        <v>11298</v>
      </c>
      <c r="D569" s="533">
        <v>0.9</v>
      </c>
      <c r="E569" s="533">
        <v>0.9</v>
      </c>
      <c r="F569" s="11" t="s">
        <v>1656</v>
      </c>
      <c r="G569" s="545"/>
      <c r="H569" s="11" t="s">
        <v>11299</v>
      </c>
      <c r="I569" s="545"/>
      <c r="J569" s="536" t="s">
        <v>12021</v>
      </c>
      <c r="K569" s="536">
        <v>285.0</v>
      </c>
    </row>
    <row r="570" hidden="1">
      <c r="A570" s="531" t="s">
        <v>12022</v>
      </c>
      <c r="B570" s="531">
        <v>986.0</v>
      </c>
      <c r="C570" s="11" t="s">
        <v>11298</v>
      </c>
      <c r="D570" s="533">
        <v>0.85</v>
      </c>
      <c r="E570" s="533">
        <v>0.85</v>
      </c>
      <c r="F570" s="11" t="s">
        <v>1656</v>
      </c>
      <c r="G570" s="545"/>
      <c r="H570" s="11" t="s">
        <v>11299</v>
      </c>
      <c r="I570" s="545"/>
      <c r="J570" s="536" t="s">
        <v>11363</v>
      </c>
      <c r="K570" s="536">
        <v>986.0</v>
      </c>
    </row>
    <row r="571" hidden="1">
      <c r="A571" s="531" t="s">
        <v>12023</v>
      </c>
      <c r="B571" s="531">
        <v>14590.0</v>
      </c>
      <c r="C571" s="11" t="s">
        <v>11298</v>
      </c>
      <c r="D571" s="533">
        <v>0.9</v>
      </c>
      <c r="E571" s="533">
        <v>0.9</v>
      </c>
      <c r="F571" s="11" t="s">
        <v>1656</v>
      </c>
      <c r="G571" s="545"/>
      <c r="H571" s="11" t="s">
        <v>11299</v>
      </c>
      <c r="I571" s="545"/>
      <c r="J571" s="536" t="s">
        <v>12024</v>
      </c>
      <c r="K571" s="536">
        <v>7092.0</v>
      </c>
    </row>
    <row r="572" hidden="1">
      <c r="A572" s="531" t="s">
        <v>12025</v>
      </c>
      <c r="B572" s="531">
        <v>13864.0</v>
      </c>
      <c r="C572" s="11" t="s">
        <v>11298</v>
      </c>
      <c r="D572" s="533">
        <v>0.75</v>
      </c>
      <c r="E572" s="533">
        <v>0.75</v>
      </c>
      <c r="F572" s="11" t="s">
        <v>1656</v>
      </c>
      <c r="G572" s="545"/>
      <c r="H572" s="11" t="s">
        <v>11299</v>
      </c>
      <c r="I572" s="545"/>
      <c r="J572" s="536" t="s">
        <v>12026</v>
      </c>
      <c r="K572" s="536">
        <v>7129.0</v>
      </c>
    </row>
    <row r="573" hidden="1">
      <c r="A573" s="531" t="s">
        <v>11762</v>
      </c>
      <c r="B573" s="531">
        <v>6891.0</v>
      </c>
      <c r="C573" s="11" t="s">
        <v>11298</v>
      </c>
      <c r="D573" s="533">
        <v>0.75</v>
      </c>
      <c r="E573" s="533">
        <v>0.75</v>
      </c>
      <c r="F573" s="11" t="s">
        <v>1656</v>
      </c>
      <c r="G573" s="545"/>
      <c r="H573" s="11" t="s">
        <v>11299</v>
      </c>
      <c r="I573" s="545"/>
      <c r="J573" s="536" t="s">
        <v>12027</v>
      </c>
      <c r="K573" s="536">
        <v>986.0</v>
      </c>
    </row>
    <row r="574" hidden="1">
      <c r="A574" s="531" t="s">
        <v>11358</v>
      </c>
      <c r="B574" s="531">
        <v>14590.0</v>
      </c>
      <c r="C574" s="11" t="s">
        <v>11298</v>
      </c>
      <c r="D574" s="533">
        <v>0.9</v>
      </c>
      <c r="E574" s="533">
        <v>0.9</v>
      </c>
      <c r="F574" s="11" t="s">
        <v>1656</v>
      </c>
      <c r="G574" s="545"/>
      <c r="H574" s="11" t="s">
        <v>11299</v>
      </c>
      <c r="I574" s="545"/>
      <c r="J574" s="536" t="s">
        <v>12028</v>
      </c>
      <c r="K574" s="536">
        <v>3404.0</v>
      </c>
    </row>
    <row r="575" hidden="1">
      <c r="A575" s="531" t="s">
        <v>12029</v>
      </c>
      <c r="B575" s="531">
        <v>14590.0</v>
      </c>
      <c r="C575" s="11" t="s">
        <v>11298</v>
      </c>
      <c r="D575" s="533">
        <v>0.9</v>
      </c>
      <c r="E575" s="533">
        <v>0.9</v>
      </c>
      <c r="F575" s="11" t="s">
        <v>1656</v>
      </c>
      <c r="G575" s="545"/>
      <c r="H575" s="11" t="s">
        <v>11299</v>
      </c>
      <c r="I575" s="545"/>
      <c r="J575" s="536" t="s">
        <v>12030</v>
      </c>
      <c r="K575" s="536">
        <v>3404.0</v>
      </c>
    </row>
    <row r="576" hidden="1">
      <c r="A576" s="531" t="s">
        <v>12031</v>
      </c>
      <c r="B576" s="531">
        <v>14590.0</v>
      </c>
      <c r="C576" s="11" t="s">
        <v>11298</v>
      </c>
      <c r="D576" s="533">
        <v>0.9</v>
      </c>
      <c r="E576" s="533">
        <v>0.9</v>
      </c>
      <c r="F576" s="11" t="s">
        <v>1656</v>
      </c>
      <c r="G576" s="545"/>
      <c r="H576" s="11" t="s">
        <v>11299</v>
      </c>
      <c r="I576" s="545"/>
      <c r="J576" s="536" t="s">
        <v>12032</v>
      </c>
      <c r="K576" s="536">
        <v>3404.0</v>
      </c>
    </row>
    <row r="577" hidden="1">
      <c r="A577" s="531" t="s">
        <v>12033</v>
      </c>
      <c r="B577" s="531">
        <v>14590.0</v>
      </c>
      <c r="C577" s="11" t="s">
        <v>11298</v>
      </c>
      <c r="D577" s="533">
        <v>0.9</v>
      </c>
      <c r="E577" s="533">
        <v>0.9</v>
      </c>
      <c r="F577" s="11" t="s">
        <v>1656</v>
      </c>
      <c r="G577" s="545"/>
      <c r="H577" s="11" t="s">
        <v>11299</v>
      </c>
      <c r="I577" s="545"/>
      <c r="J577" s="536" t="s">
        <v>12034</v>
      </c>
      <c r="K577" s="536">
        <v>3404.0</v>
      </c>
    </row>
    <row r="578" hidden="1">
      <c r="A578" s="531" t="s">
        <v>11347</v>
      </c>
      <c r="B578" s="531">
        <v>6132.0</v>
      </c>
      <c r="C578" s="11" t="s">
        <v>11298</v>
      </c>
      <c r="D578" s="533">
        <v>0.75</v>
      </c>
      <c r="E578" s="533">
        <v>0.75</v>
      </c>
      <c r="F578" s="11" t="s">
        <v>1656</v>
      </c>
      <c r="G578" s="545"/>
      <c r="H578" s="11" t="s">
        <v>11299</v>
      </c>
      <c r="I578" s="545"/>
      <c r="J578" s="536" t="s">
        <v>12035</v>
      </c>
      <c r="K578" s="536">
        <v>3404.0</v>
      </c>
    </row>
    <row r="579" hidden="1">
      <c r="A579" s="531" t="s">
        <v>11432</v>
      </c>
      <c r="B579" s="531">
        <v>986.0</v>
      </c>
      <c r="C579" s="11" t="s">
        <v>11298</v>
      </c>
      <c r="D579" s="533">
        <v>0.85</v>
      </c>
      <c r="E579" s="533">
        <v>0.85</v>
      </c>
      <c r="F579" s="11" t="s">
        <v>1656</v>
      </c>
      <c r="G579" s="545"/>
      <c r="H579" s="11" t="s">
        <v>11299</v>
      </c>
      <c r="I579" s="545"/>
      <c r="J579" s="536" t="s">
        <v>11446</v>
      </c>
      <c r="K579" s="536">
        <v>7149.0</v>
      </c>
    </row>
    <row r="580" hidden="1">
      <c r="A580" s="531" t="s">
        <v>9707</v>
      </c>
      <c r="B580" s="531">
        <v>14590.0</v>
      </c>
      <c r="C580" s="11" t="s">
        <v>11298</v>
      </c>
      <c r="D580" s="533">
        <v>0.9</v>
      </c>
      <c r="E580" s="533">
        <v>0.9</v>
      </c>
      <c r="F580" s="11" t="s">
        <v>1656</v>
      </c>
      <c r="G580" s="545"/>
      <c r="H580" s="11" t="s">
        <v>11299</v>
      </c>
      <c r="I580" s="545"/>
      <c r="J580" s="536" t="s">
        <v>12036</v>
      </c>
      <c r="K580" s="536">
        <v>7073.0</v>
      </c>
    </row>
    <row r="581" hidden="1">
      <c r="A581" s="531" t="s">
        <v>7773</v>
      </c>
      <c r="B581" s="531">
        <v>2345.0</v>
      </c>
      <c r="C581" s="11" t="s">
        <v>11298</v>
      </c>
      <c r="D581" s="533">
        <v>0.9</v>
      </c>
      <c r="E581" s="533">
        <v>0.9</v>
      </c>
      <c r="F581" s="11" t="s">
        <v>1656</v>
      </c>
      <c r="G581" s="545"/>
      <c r="H581" s="11" t="s">
        <v>11299</v>
      </c>
      <c r="I581" s="545"/>
      <c r="J581" s="536" t="s">
        <v>12037</v>
      </c>
      <c r="K581" s="536">
        <v>7129.0</v>
      </c>
    </row>
    <row r="582" hidden="1">
      <c r="A582" s="531" t="s">
        <v>12038</v>
      </c>
      <c r="B582" s="531">
        <v>14590.0</v>
      </c>
      <c r="C582" s="11" t="s">
        <v>11298</v>
      </c>
      <c r="D582" s="533">
        <v>0.9</v>
      </c>
      <c r="E582" s="533">
        <v>0.9</v>
      </c>
      <c r="F582" s="11" t="s">
        <v>1656</v>
      </c>
      <c r="G582" s="545"/>
      <c r="H582" s="11" t="s">
        <v>11299</v>
      </c>
      <c r="I582" s="545"/>
      <c r="J582" s="536" t="s">
        <v>12039</v>
      </c>
      <c r="K582" s="536">
        <v>7032.0</v>
      </c>
    </row>
    <row r="583" hidden="1">
      <c r="A583" s="531" t="s">
        <v>11547</v>
      </c>
      <c r="B583" s="531">
        <v>986.0</v>
      </c>
      <c r="C583" s="11" t="s">
        <v>11298</v>
      </c>
      <c r="D583" s="533">
        <v>0.85</v>
      </c>
      <c r="E583" s="533">
        <v>0.85</v>
      </c>
      <c r="F583" s="11" t="s">
        <v>1656</v>
      </c>
      <c r="G583" s="545"/>
      <c r="H583" s="11" t="s">
        <v>11299</v>
      </c>
      <c r="I583" s="545"/>
      <c r="J583" s="536" t="s">
        <v>11400</v>
      </c>
      <c r="K583" s="536">
        <v>7073.0</v>
      </c>
    </row>
    <row r="584" hidden="1">
      <c r="A584" s="531" t="s">
        <v>10375</v>
      </c>
      <c r="B584" s="531">
        <v>315.0</v>
      </c>
      <c r="C584" s="11" t="s">
        <v>11298</v>
      </c>
      <c r="D584" s="533">
        <v>0.75</v>
      </c>
      <c r="E584" s="533">
        <v>0.75</v>
      </c>
      <c r="F584" s="11" t="s">
        <v>1656</v>
      </c>
      <c r="G584" s="545"/>
      <c r="H584" s="11" t="s">
        <v>11299</v>
      </c>
      <c r="I584" s="545"/>
      <c r="J584" s="536" t="s">
        <v>12040</v>
      </c>
      <c r="K584" s="536">
        <v>10141.0</v>
      </c>
    </row>
    <row r="585" hidden="1">
      <c r="A585" s="531" t="s">
        <v>11502</v>
      </c>
      <c r="B585" s="531">
        <v>14590.0</v>
      </c>
      <c r="C585" s="11" t="s">
        <v>11298</v>
      </c>
      <c r="D585" s="533">
        <v>0.9</v>
      </c>
      <c r="E585" s="533">
        <v>0.9</v>
      </c>
      <c r="F585" s="11" t="s">
        <v>1656</v>
      </c>
      <c r="G585" s="545"/>
      <c r="H585" s="11" t="s">
        <v>11299</v>
      </c>
      <c r="I585" s="545"/>
      <c r="J585" s="536" t="s">
        <v>12041</v>
      </c>
      <c r="K585" s="536">
        <v>7283.0</v>
      </c>
    </row>
    <row r="586" hidden="1">
      <c r="A586" s="531" t="s">
        <v>12042</v>
      </c>
      <c r="B586" s="531">
        <v>14590.0</v>
      </c>
      <c r="C586" s="11" t="s">
        <v>11298</v>
      </c>
      <c r="D586" s="533">
        <v>0.9</v>
      </c>
      <c r="E586" s="533">
        <v>0.9</v>
      </c>
      <c r="F586" s="11" t="s">
        <v>1656</v>
      </c>
      <c r="G586" s="545"/>
      <c r="H586" s="11" t="s">
        <v>11299</v>
      </c>
      <c r="I586" s="545"/>
      <c r="J586" s="536" t="s">
        <v>12043</v>
      </c>
      <c r="K586" s="536">
        <v>6767.0</v>
      </c>
    </row>
    <row r="587" hidden="1">
      <c r="A587" s="531" t="s">
        <v>12044</v>
      </c>
      <c r="B587" s="531">
        <v>14590.0</v>
      </c>
      <c r="C587" s="11" t="s">
        <v>11298</v>
      </c>
      <c r="D587" s="533">
        <v>0.9</v>
      </c>
      <c r="E587" s="533">
        <v>0.9</v>
      </c>
      <c r="F587" s="11" t="s">
        <v>1656</v>
      </c>
      <c r="G587" s="545"/>
      <c r="H587" s="11" t="s">
        <v>11299</v>
      </c>
      <c r="I587" s="545"/>
      <c r="J587" s="536" t="s">
        <v>12045</v>
      </c>
      <c r="K587" s="536">
        <v>7246.0</v>
      </c>
    </row>
    <row r="588" hidden="1">
      <c r="A588" s="531" t="s">
        <v>12046</v>
      </c>
      <c r="B588" s="531">
        <v>6936.0</v>
      </c>
      <c r="C588" s="11" t="s">
        <v>11298</v>
      </c>
      <c r="D588" s="533">
        <v>0.75</v>
      </c>
      <c r="E588" s="533">
        <v>0.75</v>
      </c>
      <c r="F588" s="11" t="s">
        <v>1656</v>
      </c>
      <c r="G588" s="545"/>
      <c r="H588" s="11" t="s">
        <v>11299</v>
      </c>
      <c r="I588" s="545"/>
      <c r="J588" s="536" t="s">
        <v>12047</v>
      </c>
      <c r="K588" s="536">
        <v>986.0</v>
      </c>
    </row>
    <row r="589" hidden="1">
      <c r="A589" s="531" t="s">
        <v>11888</v>
      </c>
      <c r="B589" s="531">
        <v>14590.0</v>
      </c>
      <c r="C589" s="11" t="s">
        <v>11298</v>
      </c>
      <c r="D589" s="533">
        <v>0.9</v>
      </c>
      <c r="E589" s="533">
        <v>0.9</v>
      </c>
      <c r="F589" s="11" t="s">
        <v>1656</v>
      </c>
      <c r="G589" s="545"/>
      <c r="H589" s="11" t="s">
        <v>11299</v>
      </c>
      <c r="I589" s="545"/>
      <c r="J589" s="536" t="s">
        <v>12048</v>
      </c>
      <c r="K589" s="536">
        <v>6940.0</v>
      </c>
    </row>
    <row r="590" hidden="1">
      <c r="A590" s="531" t="s">
        <v>9728</v>
      </c>
      <c r="B590" s="531">
        <v>14590.0</v>
      </c>
      <c r="C590" s="11" t="s">
        <v>11298</v>
      </c>
      <c r="D590" s="533">
        <v>0.9</v>
      </c>
      <c r="E590" s="533">
        <v>0.9</v>
      </c>
      <c r="F590" s="11" t="s">
        <v>1656</v>
      </c>
      <c r="G590" s="545"/>
      <c r="H590" s="11" t="s">
        <v>11299</v>
      </c>
      <c r="I590" s="545"/>
      <c r="J590" s="536" t="s">
        <v>12049</v>
      </c>
      <c r="K590" s="536">
        <v>6893.0</v>
      </c>
    </row>
    <row r="591" hidden="1">
      <c r="A591" s="531" t="s">
        <v>12050</v>
      </c>
      <c r="B591" s="531">
        <v>986.0</v>
      </c>
      <c r="C591" s="11" t="s">
        <v>11298</v>
      </c>
      <c r="D591" s="533">
        <v>0.85</v>
      </c>
      <c r="E591" s="533">
        <v>0.85</v>
      </c>
      <c r="F591" s="11" t="s">
        <v>1656</v>
      </c>
      <c r="G591" s="545"/>
      <c r="H591" s="11" t="s">
        <v>11299</v>
      </c>
      <c r="I591" s="545"/>
      <c r="J591" s="536" t="s">
        <v>11489</v>
      </c>
      <c r="K591" s="536">
        <v>5389.0</v>
      </c>
    </row>
    <row r="592" hidden="1">
      <c r="A592" s="531" t="s">
        <v>9788</v>
      </c>
      <c r="B592" s="531">
        <v>14590.0</v>
      </c>
      <c r="C592" s="11" t="s">
        <v>11298</v>
      </c>
      <c r="D592" s="533">
        <v>0.9</v>
      </c>
      <c r="E592" s="533">
        <v>0.9</v>
      </c>
      <c r="F592" s="11" t="s">
        <v>1656</v>
      </c>
      <c r="G592" s="545"/>
      <c r="H592" s="11" t="s">
        <v>11299</v>
      </c>
      <c r="I592" s="545"/>
      <c r="J592" s="536" t="s">
        <v>12051</v>
      </c>
      <c r="K592" s="536">
        <v>986.0</v>
      </c>
    </row>
    <row r="593" hidden="1">
      <c r="A593" s="531" t="s">
        <v>11116</v>
      </c>
      <c r="B593" s="531">
        <v>14590.0</v>
      </c>
      <c r="C593" s="11" t="s">
        <v>11298</v>
      </c>
      <c r="D593" s="533">
        <v>0.9</v>
      </c>
      <c r="E593" s="533">
        <v>0.9</v>
      </c>
      <c r="F593" s="11" t="s">
        <v>1656</v>
      </c>
      <c r="G593" s="545"/>
      <c r="H593" s="11" t="s">
        <v>11299</v>
      </c>
      <c r="I593" s="545"/>
      <c r="J593" s="536" t="s">
        <v>12052</v>
      </c>
      <c r="K593" s="536">
        <v>285.0</v>
      </c>
    </row>
    <row r="594" hidden="1">
      <c r="A594" s="531" t="s">
        <v>12053</v>
      </c>
      <c r="B594" s="544">
        <v>14673.0</v>
      </c>
      <c r="C594" s="11" t="s">
        <v>11298</v>
      </c>
      <c r="D594" s="533">
        <v>0.75</v>
      </c>
      <c r="E594" s="533">
        <v>0.75</v>
      </c>
      <c r="F594" s="11" t="s">
        <v>1656</v>
      </c>
      <c r="G594" s="545"/>
      <c r="H594" s="11" t="s">
        <v>11299</v>
      </c>
      <c r="I594" s="545"/>
      <c r="J594" s="536" t="s">
        <v>12054</v>
      </c>
      <c r="K594" s="536">
        <v>285.0</v>
      </c>
    </row>
    <row r="595" hidden="1">
      <c r="A595" s="531" t="s">
        <v>11244</v>
      </c>
      <c r="B595" s="531">
        <v>283.0</v>
      </c>
      <c r="C595" s="11" t="s">
        <v>11298</v>
      </c>
      <c r="D595" s="533">
        <v>0.75</v>
      </c>
      <c r="E595" s="533">
        <v>0.75</v>
      </c>
      <c r="F595" s="11" t="s">
        <v>1656</v>
      </c>
      <c r="G595" s="545"/>
      <c r="H595" s="11" t="s">
        <v>11299</v>
      </c>
      <c r="I595" s="545"/>
      <c r="J595" s="536" t="s">
        <v>12055</v>
      </c>
      <c r="K595" s="536">
        <v>285.0</v>
      </c>
    </row>
    <row r="596" hidden="1">
      <c r="A596" s="531" t="s">
        <v>11702</v>
      </c>
      <c r="B596" s="531">
        <v>14590.0</v>
      </c>
      <c r="C596" s="11" t="s">
        <v>11298</v>
      </c>
      <c r="D596" s="533">
        <v>0.9</v>
      </c>
      <c r="E596" s="533">
        <v>0.9</v>
      </c>
      <c r="F596" s="11" t="s">
        <v>1656</v>
      </c>
      <c r="G596" s="545"/>
      <c r="H596" s="11" t="s">
        <v>11299</v>
      </c>
      <c r="I596" s="545"/>
      <c r="J596" s="536" t="s">
        <v>12056</v>
      </c>
      <c r="K596" s="536">
        <v>285.0</v>
      </c>
    </row>
    <row r="597" hidden="1">
      <c r="A597" s="531" t="s">
        <v>11485</v>
      </c>
      <c r="B597" s="531">
        <v>2345.0</v>
      </c>
      <c r="C597" s="11" t="s">
        <v>11298</v>
      </c>
      <c r="D597" s="533">
        <v>0.9</v>
      </c>
      <c r="E597" s="533">
        <v>0.9</v>
      </c>
      <c r="F597" s="11" t="s">
        <v>1656</v>
      </c>
      <c r="G597" s="545"/>
      <c r="H597" s="11" t="s">
        <v>11299</v>
      </c>
      <c r="I597" s="545"/>
      <c r="J597" s="536" t="s">
        <v>12057</v>
      </c>
      <c r="K597" s="536">
        <v>285.0</v>
      </c>
    </row>
    <row r="598" hidden="1">
      <c r="A598" s="531" t="s">
        <v>12058</v>
      </c>
      <c r="B598" s="531">
        <v>14590.0</v>
      </c>
      <c r="C598" s="11" t="s">
        <v>11298</v>
      </c>
      <c r="D598" s="533">
        <v>0.9</v>
      </c>
      <c r="E598" s="533">
        <v>0.9</v>
      </c>
      <c r="F598" s="11" t="s">
        <v>1656</v>
      </c>
      <c r="G598" s="545"/>
      <c r="H598" s="11" t="s">
        <v>11299</v>
      </c>
      <c r="I598" s="545"/>
      <c r="J598" s="536" t="s">
        <v>12059</v>
      </c>
      <c r="K598" s="536">
        <v>285.0</v>
      </c>
    </row>
    <row r="599" hidden="1">
      <c r="A599" s="531" t="s">
        <v>11150</v>
      </c>
      <c r="B599" s="531">
        <v>7142.0</v>
      </c>
      <c r="C599" s="11" t="s">
        <v>11298</v>
      </c>
      <c r="D599" s="533">
        <v>0.75</v>
      </c>
      <c r="E599" s="533">
        <v>0.75</v>
      </c>
      <c r="F599" s="11" t="s">
        <v>1656</v>
      </c>
      <c r="G599" s="545"/>
      <c r="H599" s="11" t="s">
        <v>11299</v>
      </c>
      <c r="I599" s="545"/>
      <c r="J599" s="536" t="s">
        <v>12060</v>
      </c>
      <c r="K599" s="536">
        <v>285.0</v>
      </c>
    </row>
    <row r="600" hidden="1">
      <c r="A600" s="531" t="s">
        <v>12061</v>
      </c>
      <c r="B600" s="531">
        <v>8486.0</v>
      </c>
      <c r="C600" s="11" t="s">
        <v>11298</v>
      </c>
      <c r="D600" s="533">
        <v>0.88</v>
      </c>
      <c r="E600" s="533">
        <v>0.88</v>
      </c>
      <c r="F600" s="11" t="s">
        <v>1656</v>
      </c>
      <c r="G600" s="545"/>
      <c r="H600" s="11" t="s">
        <v>11299</v>
      </c>
      <c r="I600" s="545"/>
      <c r="J600" s="536" t="s">
        <v>12062</v>
      </c>
      <c r="K600" s="536">
        <v>285.0</v>
      </c>
    </row>
    <row r="601" hidden="1">
      <c r="A601" s="531" t="s">
        <v>11340</v>
      </c>
      <c r="B601" s="531">
        <v>2345.0</v>
      </c>
      <c r="C601" s="11" t="s">
        <v>11298</v>
      </c>
      <c r="D601" s="533">
        <v>0.9</v>
      </c>
      <c r="E601" s="533">
        <v>0.9</v>
      </c>
      <c r="F601" s="11" t="s">
        <v>1656</v>
      </c>
      <c r="G601" s="545"/>
      <c r="H601" s="11" t="s">
        <v>11299</v>
      </c>
      <c r="I601" s="545"/>
      <c r="J601" s="536" t="s">
        <v>12063</v>
      </c>
      <c r="K601" s="536">
        <v>285.0</v>
      </c>
    </row>
    <row r="602" hidden="1">
      <c r="A602" s="531" t="s">
        <v>11595</v>
      </c>
      <c r="B602" s="531">
        <v>14590.0</v>
      </c>
      <c r="C602" s="11" t="s">
        <v>11298</v>
      </c>
      <c r="D602" s="533">
        <v>0.9</v>
      </c>
      <c r="E602" s="533">
        <v>0.9</v>
      </c>
      <c r="F602" s="11" t="s">
        <v>1656</v>
      </c>
      <c r="G602" s="545"/>
      <c r="H602" s="11" t="s">
        <v>11299</v>
      </c>
      <c r="I602" s="545"/>
      <c r="J602" s="536" t="s">
        <v>12064</v>
      </c>
      <c r="K602" s="536">
        <v>285.0</v>
      </c>
    </row>
    <row r="603" hidden="1">
      <c r="A603" s="531" t="s">
        <v>11306</v>
      </c>
      <c r="B603" s="531">
        <v>14590.0</v>
      </c>
      <c r="C603" s="11" t="s">
        <v>11298</v>
      </c>
      <c r="D603" s="533">
        <v>0.9</v>
      </c>
      <c r="E603" s="533">
        <v>0.9</v>
      </c>
      <c r="F603" s="11" t="s">
        <v>1656</v>
      </c>
      <c r="G603" s="545"/>
      <c r="H603" s="11" t="s">
        <v>11299</v>
      </c>
      <c r="I603" s="545"/>
      <c r="J603" s="536" t="s">
        <v>12065</v>
      </c>
      <c r="K603" s="536">
        <v>285.0</v>
      </c>
    </row>
    <row r="604" hidden="1">
      <c r="A604" s="531" t="s">
        <v>12066</v>
      </c>
      <c r="B604" s="531">
        <v>986.0</v>
      </c>
      <c r="C604" s="11" t="s">
        <v>11298</v>
      </c>
      <c r="D604" s="533">
        <v>0.85</v>
      </c>
      <c r="E604" s="533">
        <v>0.85</v>
      </c>
      <c r="F604" s="11" t="s">
        <v>1656</v>
      </c>
      <c r="G604" s="545"/>
      <c r="H604" s="11" t="s">
        <v>11299</v>
      </c>
      <c r="I604" s="545"/>
      <c r="J604" s="536" t="s">
        <v>12067</v>
      </c>
      <c r="K604" s="536">
        <v>285.0</v>
      </c>
    </row>
    <row r="605" hidden="1">
      <c r="A605" s="531" t="s">
        <v>11902</v>
      </c>
      <c r="B605" s="531">
        <v>285.0</v>
      </c>
      <c r="C605" s="11" t="s">
        <v>11298</v>
      </c>
      <c r="D605" s="533">
        <v>0.88</v>
      </c>
      <c r="E605" s="533">
        <v>0.88</v>
      </c>
      <c r="F605" s="11" t="s">
        <v>1656</v>
      </c>
      <c r="G605" s="545"/>
      <c r="H605" s="11" t="s">
        <v>11299</v>
      </c>
      <c r="I605" s="545"/>
      <c r="J605" s="536" t="s">
        <v>12068</v>
      </c>
      <c r="K605" s="536">
        <v>285.0</v>
      </c>
    </row>
    <row r="606" hidden="1">
      <c r="A606" s="531" t="s">
        <v>11982</v>
      </c>
      <c r="B606" s="531">
        <v>6732.0</v>
      </c>
      <c r="C606" s="11" t="s">
        <v>11298</v>
      </c>
      <c r="D606" s="533">
        <v>0.8</v>
      </c>
      <c r="E606" s="533">
        <v>0.8</v>
      </c>
      <c r="F606" s="11" t="s">
        <v>1656</v>
      </c>
      <c r="G606" s="545"/>
      <c r="H606" s="11" t="s">
        <v>11299</v>
      </c>
      <c r="I606" s="545"/>
      <c r="J606" s="536" t="s">
        <v>12069</v>
      </c>
      <c r="K606" s="536">
        <v>285.0</v>
      </c>
    </row>
    <row r="607" hidden="1">
      <c r="A607" s="531" t="s">
        <v>11381</v>
      </c>
      <c r="B607" s="531">
        <v>2345.0</v>
      </c>
      <c r="C607" s="11" t="s">
        <v>11298</v>
      </c>
      <c r="D607" s="533">
        <v>0.9</v>
      </c>
      <c r="E607" s="533">
        <v>0.9</v>
      </c>
      <c r="F607" s="11" t="s">
        <v>1656</v>
      </c>
      <c r="G607" s="545"/>
      <c r="H607" s="11" t="s">
        <v>11299</v>
      </c>
      <c r="I607" s="545"/>
      <c r="J607" s="536" t="s">
        <v>12070</v>
      </c>
      <c r="K607" s="536">
        <v>285.0</v>
      </c>
    </row>
    <row r="608" hidden="1">
      <c r="A608" s="531" t="s">
        <v>12071</v>
      </c>
      <c r="B608" s="531">
        <v>7713.0</v>
      </c>
      <c r="C608" s="11" t="s">
        <v>11298</v>
      </c>
      <c r="D608" s="533">
        <v>0.75</v>
      </c>
      <c r="E608" s="533">
        <v>0.75</v>
      </c>
      <c r="F608" s="11" t="s">
        <v>1656</v>
      </c>
      <c r="G608" s="545"/>
      <c r="H608" s="11" t="s">
        <v>11299</v>
      </c>
      <c r="I608" s="545"/>
      <c r="J608" s="536" t="s">
        <v>12072</v>
      </c>
      <c r="K608" s="536">
        <v>285.0</v>
      </c>
    </row>
    <row r="609" hidden="1">
      <c r="A609" s="531" t="s">
        <v>11549</v>
      </c>
      <c r="B609" s="531">
        <v>986.0</v>
      </c>
      <c r="C609" s="11" t="s">
        <v>11298</v>
      </c>
      <c r="D609" s="533">
        <v>0.85</v>
      </c>
      <c r="E609" s="533">
        <v>0.85</v>
      </c>
      <c r="F609" s="11" t="s">
        <v>1656</v>
      </c>
      <c r="G609" s="545"/>
      <c r="H609" s="11" t="s">
        <v>11299</v>
      </c>
      <c r="I609" s="545"/>
      <c r="J609" s="536" t="s">
        <v>12073</v>
      </c>
      <c r="K609" s="536">
        <v>285.0</v>
      </c>
    </row>
    <row r="610" hidden="1">
      <c r="A610" s="531" t="s">
        <v>12074</v>
      </c>
      <c r="B610" s="531">
        <v>6767.0</v>
      </c>
      <c r="C610" s="11" t="s">
        <v>11298</v>
      </c>
      <c r="D610" s="533">
        <v>0.75</v>
      </c>
      <c r="E610" s="533">
        <v>0.75</v>
      </c>
      <c r="F610" s="11" t="s">
        <v>1656</v>
      </c>
      <c r="G610" s="545"/>
      <c r="H610" s="11" t="s">
        <v>11299</v>
      </c>
      <c r="I610" s="545"/>
      <c r="J610" s="536" t="s">
        <v>12075</v>
      </c>
      <c r="K610" s="536">
        <v>285.0</v>
      </c>
    </row>
    <row r="611" hidden="1">
      <c r="A611" s="531" t="s">
        <v>12076</v>
      </c>
      <c r="B611" s="531">
        <v>14590.0</v>
      </c>
      <c r="C611" s="11" t="s">
        <v>11298</v>
      </c>
      <c r="D611" s="533">
        <v>0.9</v>
      </c>
      <c r="E611" s="533">
        <v>0.9</v>
      </c>
      <c r="F611" s="11" t="s">
        <v>1656</v>
      </c>
      <c r="G611" s="545"/>
      <c r="H611" s="11" t="s">
        <v>11299</v>
      </c>
      <c r="I611" s="545"/>
      <c r="J611" s="536" t="s">
        <v>12077</v>
      </c>
      <c r="K611" s="536">
        <v>285.0</v>
      </c>
    </row>
    <row r="612" hidden="1">
      <c r="A612" s="531" t="s">
        <v>11664</v>
      </c>
      <c r="B612" s="531">
        <v>2345.0</v>
      </c>
      <c r="C612" s="11" t="s">
        <v>11298</v>
      </c>
      <c r="D612" s="533">
        <v>0.9</v>
      </c>
      <c r="E612" s="533">
        <v>0.9</v>
      </c>
      <c r="F612" s="11" t="s">
        <v>1656</v>
      </c>
      <c r="G612" s="545"/>
      <c r="H612" s="11" t="s">
        <v>11299</v>
      </c>
      <c r="I612" s="545"/>
      <c r="J612" s="536" t="s">
        <v>12078</v>
      </c>
      <c r="K612" s="536">
        <v>285.0</v>
      </c>
    </row>
    <row r="613" hidden="1">
      <c r="A613" s="531" t="s">
        <v>12079</v>
      </c>
      <c r="B613" s="531">
        <v>6727.0</v>
      </c>
      <c r="C613" s="11" t="s">
        <v>11298</v>
      </c>
      <c r="D613" s="533">
        <v>0.75</v>
      </c>
      <c r="E613" s="533">
        <v>0.75</v>
      </c>
      <c r="F613" s="11" t="s">
        <v>1656</v>
      </c>
      <c r="G613" s="545"/>
      <c r="H613" s="11" t="s">
        <v>11299</v>
      </c>
      <c r="I613" s="545"/>
      <c r="J613" s="536" t="s">
        <v>12080</v>
      </c>
      <c r="K613" s="536">
        <v>285.0</v>
      </c>
    </row>
    <row r="614" hidden="1">
      <c r="A614" s="531" t="s">
        <v>12081</v>
      </c>
      <c r="B614" s="531">
        <v>285.0</v>
      </c>
      <c r="C614" s="11" t="s">
        <v>11298</v>
      </c>
      <c r="D614" s="533">
        <v>0.88</v>
      </c>
      <c r="E614" s="533">
        <v>0.88</v>
      </c>
      <c r="F614" s="11" t="s">
        <v>1656</v>
      </c>
      <c r="G614" s="545"/>
      <c r="H614" s="11" t="s">
        <v>11299</v>
      </c>
      <c r="I614" s="545"/>
      <c r="J614" s="536" t="s">
        <v>12082</v>
      </c>
      <c r="K614" s="536">
        <v>285.0</v>
      </c>
    </row>
    <row r="615" hidden="1">
      <c r="A615" s="531" t="s">
        <v>12083</v>
      </c>
      <c r="B615" s="531">
        <v>7157.0</v>
      </c>
      <c r="C615" s="11" t="s">
        <v>11298</v>
      </c>
      <c r="D615" s="533">
        <v>0.75</v>
      </c>
      <c r="E615" s="533">
        <v>0.75</v>
      </c>
      <c r="F615" s="11" t="s">
        <v>1656</v>
      </c>
      <c r="G615" s="545"/>
      <c r="H615" s="11" t="s">
        <v>11299</v>
      </c>
      <c r="I615" s="545"/>
      <c r="J615" s="536" t="s">
        <v>12084</v>
      </c>
      <c r="K615" s="536">
        <v>285.0</v>
      </c>
    </row>
    <row r="616" hidden="1">
      <c r="A616" s="531" t="s">
        <v>11786</v>
      </c>
      <c r="B616" s="531">
        <v>3142.0</v>
      </c>
      <c r="C616" s="11" t="s">
        <v>11298</v>
      </c>
      <c r="D616" s="533">
        <v>0.75</v>
      </c>
      <c r="E616" s="533">
        <v>0.75</v>
      </c>
      <c r="F616" s="11" t="s">
        <v>1656</v>
      </c>
      <c r="G616" s="545"/>
      <c r="H616" s="11" t="s">
        <v>11299</v>
      </c>
      <c r="I616" s="545"/>
      <c r="J616" s="536" t="s">
        <v>12085</v>
      </c>
      <c r="K616" s="536">
        <v>285.0</v>
      </c>
    </row>
    <row r="617" hidden="1">
      <c r="A617" s="531" t="s">
        <v>12086</v>
      </c>
      <c r="B617" s="531">
        <v>14590.0</v>
      </c>
      <c r="C617" s="11" t="s">
        <v>11298</v>
      </c>
      <c r="D617" s="533">
        <v>0.9</v>
      </c>
      <c r="E617" s="533">
        <v>0.9</v>
      </c>
      <c r="F617" s="11" t="s">
        <v>1656</v>
      </c>
      <c r="G617" s="545"/>
      <c r="H617" s="11" t="s">
        <v>11299</v>
      </c>
      <c r="I617" s="545"/>
      <c r="J617" s="536" t="s">
        <v>12087</v>
      </c>
      <c r="K617" s="536">
        <v>285.0</v>
      </c>
    </row>
    <row r="618" hidden="1">
      <c r="A618" s="531" t="s">
        <v>12088</v>
      </c>
      <c r="B618" s="531">
        <v>14590.0</v>
      </c>
      <c r="C618" s="11" t="s">
        <v>11298</v>
      </c>
      <c r="D618" s="533">
        <v>0.9</v>
      </c>
      <c r="E618" s="533">
        <v>0.9</v>
      </c>
      <c r="F618" s="11" t="s">
        <v>1656</v>
      </c>
      <c r="G618" s="545"/>
      <c r="H618" s="11" t="s">
        <v>11299</v>
      </c>
      <c r="I618" s="545"/>
      <c r="J618" s="536" t="s">
        <v>12089</v>
      </c>
      <c r="K618" s="536">
        <v>285.0</v>
      </c>
    </row>
    <row r="619" hidden="1">
      <c r="A619" s="531" t="s">
        <v>11451</v>
      </c>
      <c r="B619" s="531">
        <v>2345.0</v>
      </c>
      <c r="C619" s="11" t="s">
        <v>11298</v>
      </c>
      <c r="D619" s="533">
        <v>0.9</v>
      </c>
      <c r="E619" s="533">
        <v>0.9</v>
      </c>
      <c r="F619" s="11" t="s">
        <v>1656</v>
      </c>
      <c r="G619" s="545"/>
      <c r="H619" s="11" t="s">
        <v>11299</v>
      </c>
      <c r="I619" s="545"/>
      <c r="J619" s="536" t="s">
        <v>11714</v>
      </c>
      <c r="K619" s="536">
        <v>5458.0</v>
      </c>
    </row>
    <row r="620" hidden="1">
      <c r="A620" s="531" t="s">
        <v>11638</v>
      </c>
      <c r="B620" s="531">
        <v>14590.0</v>
      </c>
      <c r="C620" s="11" t="s">
        <v>11298</v>
      </c>
      <c r="D620" s="533">
        <v>0.9</v>
      </c>
      <c r="E620" s="533">
        <v>0.9</v>
      </c>
      <c r="F620" s="11" t="s">
        <v>1656</v>
      </c>
      <c r="G620" s="545"/>
      <c r="H620" s="11" t="s">
        <v>11299</v>
      </c>
      <c r="I620" s="545"/>
      <c r="J620" s="536" t="s">
        <v>12090</v>
      </c>
      <c r="K620" s="536">
        <v>5458.0</v>
      </c>
    </row>
    <row r="621" hidden="1">
      <c r="A621" s="531" t="s">
        <v>12091</v>
      </c>
      <c r="B621" s="531">
        <v>2345.0</v>
      </c>
      <c r="C621" s="11" t="s">
        <v>11298</v>
      </c>
      <c r="D621" s="533">
        <v>0.9</v>
      </c>
      <c r="E621" s="533">
        <v>0.9</v>
      </c>
      <c r="F621" s="11" t="s">
        <v>1656</v>
      </c>
      <c r="G621" s="545"/>
      <c r="H621" s="11" t="s">
        <v>11299</v>
      </c>
      <c r="I621" s="545"/>
      <c r="J621" s="536" t="s">
        <v>12092</v>
      </c>
      <c r="K621" s="536">
        <v>3307.0</v>
      </c>
    </row>
    <row r="622" hidden="1">
      <c r="A622" s="531" t="s">
        <v>11812</v>
      </c>
      <c r="B622" s="531">
        <v>14590.0</v>
      </c>
      <c r="C622" s="11" t="s">
        <v>11298</v>
      </c>
      <c r="D622" s="533">
        <v>0.9</v>
      </c>
      <c r="E622" s="533">
        <v>0.9</v>
      </c>
      <c r="F622" s="11" t="s">
        <v>1656</v>
      </c>
      <c r="G622" s="545"/>
      <c r="H622" s="11" t="s">
        <v>11299</v>
      </c>
      <c r="I622" s="545"/>
      <c r="J622" s="536" t="s">
        <v>11643</v>
      </c>
      <c r="K622" s="536">
        <v>10856.0</v>
      </c>
    </row>
    <row r="623" hidden="1">
      <c r="A623" s="531" t="s">
        <v>12093</v>
      </c>
      <c r="B623" s="531">
        <v>13867.0</v>
      </c>
      <c r="C623" s="11" t="s">
        <v>11298</v>
      </c>
      <c r="D623" s="533">
        <v>0.75</v>
      </c>
      <c r="E623" s="533">
        <v>0.75</v>
      </c>
      <c r="F623" s="11" t="s">
        <v>1656</v>
      </c>
      <c r="G623" s="545"/>
      <c r="H623" s="11" t="s">
        <v>11299</v>
      </c>
      <c r="I623" s="545"/>
      <c r="J623" s="536" t="s">
        <v>12094</v>
      </c>
      <c r="K623" s="536">
        <v>2345.0</v>
      </c>
    </row>
    <row r="624" hidden="1">
      <c r="A624" s="531" t="s">
        <v>12040</v>
      </c>
      <c r="B624" s="531">
        <v>14590.0</v>
      </c>
      <c r="C624" s="11" t="s">
        <v>11298</v>
      </c>
      <c r="D624" s="533">
        <v>0.9</v>
      </c>
      <c r="E624" s="533">
        <v>0.9</v>
      </c>
      <c r="F624" s="11" t="s">
        <v>1656</v>
      </c>
      <c r="G624" s="545"/>
      <c r="H624" s="11" t="s">
        <v>11299</v>
      </c>
      <c r="I624" s="545"/>
      <c r="J624" s="536" t="s">
        <v>11629</v>
      </c>
      <c r="K624" s="536">
        <v>986.0</v>
      </c>
    </row>
    <row r="625" hidden="1">
      <c r="A625" s="531" t="s">
        <v>7801</v>
      </c>
      <c r="B625" s="531">
        <v>2345.0</v>
      </c>
      <c r="C625" s="11" t="s">
        <v>11298</v>
      </c>
      <c r="D625" s="533">
        <v>0.9</v>
      </c>
      <c r="E625" s="533">
        <v>0.9</v>
      </c>
      <c r="F625" s="11" t="s">
        <v>1656</v>
      </c>
      <c r="G625" s="545"/>
      <c r="H625" s="11" t="s">
        <v>11299</v>
      </c>
      <c r="I625" s="545"/>
      <c r="J625" s="536" t="s">
        <v>11879</v>
      </c>
      <c r="K625" s="536">
        <v>9307.0</v>
      </c>
    </row>
    <row r="626" hidden="1">
      <c r="A626" s="531" t="s">
        <v>12095</v>
      </c>
      <c r="B626" s="531">
        <v>189.0</v>
      </c>
      <c r="C626" s="11" t="s">
        <v>11298</v>
      </c>
      <c r="D626" s="533">
        <v>0.88</v>
      </c>
      <c r="E626" s="533">
        <v>0.88</v>
      </c>
      <c r="F626" s="11" t="s">
        <v>1656</v>
      </c>
      <c r="G626" s="545"/>
      <c r="H626" s="11" t="s">
        <v>11299</v>
      </c>
      <c r="I626" s="545"/>
      <c r="J626" s="536" t="s">
        <v>12096</v>
      </c>
      <c r="K626" s="536">
        <v>11708.0</v>
      </c>
    </row>
    <row r="627" hidden="1">
      <c r="A627" s="531" t="s">
        <v>11517</v>
      </c>
      <c r="B627" s="531">
        <v>2345.0</v>
      </c>
      <c r="C627" s="11" t="s">
        <v>11298</v>
      </c>
      <c r="D627" s="533">
        <v>0.9</v>
      </c>
      <c r="E627" s="533">
        <v>0.9</v>
      </c>
      <c r="F627" s="11" t="s">
        <v>1656</v>
      </c>
      <c r="G627" s="545"/>
      <c r="H627" s="11" t="s">
        <v>11299</v>
      </c>
      <c r="I627" s="545"/>
      <c r="J627" s="536" t="s">
        <v>12097</v>
      </c>
      <c r="K627" s="536">
        <v>8225.0</v>
      </c>
    </row>
    <row r="628" hidden="1">
      <c r="A628" s="531" t="s">
        <v>9787</v>
      </c>
      <c r="B628" s="544">
        <v>14672.0</v>
      </c>
      <c r="C628" s="11" t="s">
        <v>11298</v>
      </c>
      <c r="D628" s="533">
        <v>0.75</v>
      </c>
      <c r="E628" s="533">
        <v>0.75</v>
      </c>
      <c r="F628" s="11" t="s">
        <v>1656</v>
      </c>
      <c r="G628" s="545"/>
      <c r="H628" s="11" t="s">
        <v>11299</v>
      </c>
      <c r="I628" s="545"/>
      <c r="J628" s="536" t="s">
        <v>11448</v>
      </c>
      <c r="K628" s="536">
        <v>315.0</v>
      </c>
    </row>
    <row r="629" hidden="1">
      <c r="A629" s="531" t="s">
        <v>11188</v>
      </c>
      <c r="B629" s="531">
        <v>5458.0</v>
      </c>
      <c r="C629" s="11" t="s">
        <v>11298</v>
      </c>
      <c r="D629" s="533">
        <v>0.75</v>
      </c>
      <c r="E629" s="533">
        <v>0.75</v>
      </c>
      <c r="F629" s="11" t="s">
        <v>1656</v>
      </c>
      <c r="G629" s="545"/>
      <c r="H629" s="11" t="s">
        <v>11299</v>
      </c>
      <c r="I629" s="545"/>
      <c r="J629" s="536" t="s">
        <v>12098</v>
      </c>
      <c r="K629" s="536">
        <v>11708.0</v>
      </c>
    </row>
    <row r="630" hidden="1">
      <c r="A630" s="531" t="s">
        <v>12099</v>
      </c>
      <c r="B630" s="531">
        <v>189.0</v>
      </c>
      <c r="C630" s="11" t="s">
        <v>11298</v>
      </c>
      <c r="D630" s="533">
        <v>0.88</v>
      </c>
      <c r="E630" s="533">
        <v>0.88</v>
      </c>
      <c r="F630" s="11" t="s">
        <v>1656</v>
      </c>
      <c r="G630" s="545"/>
      <c r="H630" s="11" t="s">
        <v>11299</v>
      </c>
      <c r="I630" s="545"/>
      <c r="J630" s="536" t="s">
        <v>12100</v>
      </c>
      <c r="K630" s="536">
        <v>2345.0</v>
      </c>
    </row>
    <row r="631" hidden="1">
      <c r="A631" s="531" t="s">
        <v>12101</v>
      </c>
      <c r="B631" s="544">
        <v>6947.0</v>
      </c>
      <c r="C631" s="11" t="s">
        <v>11298</v>
      </c>
      <c r="D631" s="533">
        <v>0.75</v>
      </c>
      <c r="E631" s="533">
        <v>0.75</v>
      </c>
      <c r="F631" s="11" t="s">
        <v>1656</v>
      </c>
      <c r="G631" s="545"/>
      <c r="H631" s="11" t="s">
        <v>11299</v>
      </c>
      <c r="I631" s="545"/>
      <c r="J631" s="536" t="s">
        <v>11892</v>
      </c>
      <c r="K631" s="536">
        <v>986.0</v>
      </c>
    </row>
    <row r="632" hidden="1">
      <c r="A632" s="531" t="s">
        <v>11138</v>
      </c>
      <c r="B632" s="531">
        <v>2345.0</v>
      </c>
      <c r="C632" s="11" t="s">
        <v>11298</v>
      </c>
      <c r="D632" s="533">
        <v>0.9</v>
      </c>
      <c r="E632" s="533">
        <v>0.9</v>
      </c>
      <c r="F632" s="11" t="s">
        <v>1656</v>
      </c>
      <c r="G632" s="545"/>
      <c r="H632" s="11" t="s">
        <v>11299</v>
      </c>
      <c r="I632" s="545"/>
      <c r="J632" s="536" t="s">
        <v>12102</v>
      </c>
      <c r="K632" s="536">
        <v>6909.0</v>
      </c>
    </row>
    <row r="633" hidden="1">
      <c r="A633" s="531" t="s">
        <v>12103</v>
      </c>
      <c r="B633" s="531">
        <v>6658.0</v>
      </c>
      <c r="C633" s="11" t="s">
        <v>11298</v>
      </c>
      <c r="D633" s="533">
        <v>0.85</v>
      </c>
      <c r="E633" s="533">
        <v>0.85</v>
      </c>
      <c r="F633" s="11" t="s">
        <v>1656</v>
      </c>
      <c r="G633" s="545"/>
      <c r="H633" s="11" t="s">
        <v>11299</v>
      </c>
      <c r="I633" s="545"/>
      <c r="J633" s="536" t="s">
        <v>12104</v>
      </c>
      <c r="K633" s="536">
        <v>6909.0</v>
      </c>
    </row>
    <row r="634" hidden="1">
      <c r="A634" s="531" t="s">
        <v>5667</v>
      </c>
      <c r="B634" s="546">
        <v>8307.0</v>
      </c>
      <c r="C634" s="11" t="s">
        <v>11298</v>
      </c>
      <c r="D634" s="533">
        <v>0.75</v>
      </c>
      <c r="E634" s="533">
        <v>0.75</v>
      </c>
      <c r="F634" s="11" t="s">
        <v>1656</v>
      </c>
      <c r="G634" s="545"/>
      <c r="H634" s="11" t="s">
        <v>11299</v>
      </c>
      <c r="I634" s="545"/>
      <c r="J634" s="536" t="s">
        <v>12105</v>
      </c>
      <c r="K634" s="536">
        <v>6909.0</v>
      </c>
    </row>
    <row r="635" hidden="1">
      <c r="A635" s="531" t="s">
        <v>12106</v>
      </c>
      <c r="B635" s="531">
        <v>1.0</v>
      </c>
      <c r="C635" s="11" t="s">
        <v>11298</v>
      </c>
      <c r="D635" s="533">
        <v>0.75</v>
      </c>
      <c r="E635" s="533">
        <v>0.75</v>
      </c>
      <c r="F635" s="11" t="s">
        <v>1656</v>
      </c>
      <c r="G635" s="545"/>
      <c r="H635" s="11" t="s">
        <v>11299</v>
      </c>
      <c r="I635" s="545"/>
      <c r="J635" s="536" t="s">
        <v>12107</v>
      </c>
      <c r="K635" s="536">
        <v>6909.0</v>
      </c>
    </row>
    <row r="636" hidden="1">
      <c r="A636" s="531" t="s">
        <v>11691</v>
      </c>
      <c r="B636" s="531">
        <v>12388.0</v>
      </c>
      <c r="C636" s="11" t="s">
        <v>11298</v>
      </c>
      <c r="D636" s="533">
        <v>0.75</v>
      </c>
      <c r="E636" s="533">
        <v>0.75</v>
      </c>
      <c r="F636" s="11" t="s">
        <v>1656</v>
      </c>
      <c r="G636" s="545"/>
      <c r="H636" s="11" t="s">
        <v>11299</v>
      </c>
      <c r="I636" s="545"/>
      <c r="J636" s="536" t="s">
        <v>12108</v>
      </c>
      <c r="K636" s="536">
        <v>6909.0</v>
      </c>
    </row>
    <row r="637" hidden="1">
      <c r="A637" s="531" t="s">
        <v>12109</v>
      </c>
      <c r="B637" s="531">
        <v>9667.0</v>
      </c>
      <c r="C637" s="11" t="s">
        <v>11298</v>
      </c>
      <c r="D637" s="533">
        <v>0.75</v>
      </c>
      <c r="E637" s="533">
        <v>0.75</v>
      </c>
      <c r="F637" s="11" t="s">
        <v>1656</v>
      </c>
      <c r="G637" s="545"/>
      <c r="H637" s="11" t="s">
        <v>11299</v>
      </c>
      <c r="I637" s="545"/>
      <c r="J637" s="536" t="s">
        <v>12110</v>
      </c>
      <c r="K637" s="536">
        <v>6909.0</v>
      </c>
    </row>
    <row r="638" hidden="1">
      <c r="A638" s="531" t="s">
        <v>11698</v>
      </c>
      <c r="B638" s="531">
        <v>6732.0</v>
      </c>
      <c r="C638" s="11" t="s">
        <v>11298</v>
      </c>
      <c r="D638" s="533">
        <v>0.8</v>
      </c>
      <c r="E638" s="533">
        <v>0.8</v>
      </c>
      <c r="F638" s="11" t="s">
        <v>1656</v>
      </c>
      <c r="G638" s="545"/>
      <c r="H638" s="11" t="s">
        <v>11299</v>
      </c>
      <c r="I638" s="545"/>
      <c r="J638" s="536" t="s">
        <v>12111</v>
      </c>
      <c r="K638" s="536">
        <v>6909.0</v>
      </c>
    </row>
    <row r="639" hidden="1">
      <c r="A639" s="531" t="s">
        <v>11693</v>
      </c>
      <c r="B639" s="531">
        <v>14607.0</v>
      </c>
      <c r="C639" s="11" t="s">
        <v>11298</v>
      </c>
      <c r="D639" s="533">
        <v>0.75</v>
      </c>
      <c r="E639" s="533">
        <v>0.75</v>
      </c>
      <c r="F639" s="11" t="s">
        <v>1656</v>
      </c>
      <c r="G639" s="545"/>
      <c r="H639" s="11" t="s">
        <v>11299</v>
      </c>
      <c r="I639" s="545"/>
      <c r="J639" s="536" t="s">
        <v>12112</v>
      </c>
      <c r="K639" s="536">
        <v>6909.0</v>
      </c>
    </row>
    <row r="640" hidden="1">
      <c r="A640" s="531" t="s">
        <v>12113</v>
      </c>
      <c r="B640" s="531">
        <v>283.0</v>
      </c>
      <c r="C640" s="11" t="s">
        <v>11298</v>
      </c>
      <c r="D640" s="533">
        <v>0.75</v>
      </c>
      <c r="E640" s="533">
        <v>0.75</v>
      </c>
      <c r="F640" s="11" t="s">
        <v>1656</v>
      </c>
      <c r="G640" s="545"/>
      <c r="H640" s="11" t="s">
        <v>11299</v>
      </c>
      <c r="I640" s="545"/>
      <c r="J640" s="536" t="s">
        <v>12114</v>
      </c>
      <c r="K640" s="536">
        <v>2345.0</v>
      </c>
    </row>
    <row r="641" hidden="1">
      <c r="A641" s="531" t="s">
        <v>11565</v>
      </c>
      <c r="B641" s="531">
        <v>7031.0</v>
      </c>
      <c r="C641" s="11" t="s">
        <v>11298</v>
      </c>
      <c r="D641" s="533">
        <v>0.75</v>
      </c>
      <c r="E641" s="533">
        <v>0.75</v>
      </c>
      <c r="F641" s="11" t="s">
        <v>1656</v>
      </c>
      <c r="G641" s="545"/>
      <c r="H641" s="11" t="s">
        <v>11299</v>
      </c>
      <c r="I641" s="545"/>
      <c r="J641" s="536" t="s">
        <v>12115</v>
      </c>
      <c r="K641" s="536">
        <v>6909.0</v>
      </c>
    </row>
    <row r="642" hidden="1">
      <c r="A642" s="531" t="s">
        <v>12116</v>
      </c>
      <c r="B642" s="531">
        <v>7003.0</v>
      </c>
      <c r="C642" s="11" t="s">
        <v>11298</v>
      </c>
      <c r="D642" s="533">
        <v>0.85</v>
      </c>
      <c r="E642" s="533">
        <v>0.85</v>
      </c>
      <c r="F642" s="11" t="s">
        <v>1656</v>
      </c>
      <c r="G642" s="545"/>
      <c r="H642" s="11" t="s">
        <v>11299</v>
      </c>
      <c r="I642" s="545"/>
      <c r="J642" s="536" t="s">
        <v>12117</v>
      </c>
      <c r="K642" s="536">
        <v>6909.0</v>
      </c>
    </row>
    <row r="643" hidden="1">
      <c r="A643" s="531" t="s">
        <v>11644</v>
      </c>
      <c r="B643" s="531">
        <v>2345.0</v>
      </c>
      <c r="C643" s="11" t="s">
        <v>11298</v>
      </c>
      <c r="D643" s="533">
        <v>0.9</v>
      </c>
      <c r="E643" s="533">
        <v>0.9</v>
      </c>
      <c r="F643" s="11" t="s">
        <v>1656</v>
      </c>
      <c r="G643" s="545"/>
      <c r="H643" s="11" t="s">
        <v>11299</v>
      </c>
      <c r="I643" s="545"/>
      <c r="J643" s="536" t="s">
        <v>12118</v>
      </c>
      <c r="K643" s="536">
        <v>5458.0</v>
      </c>
    </row>
    <row r="644" hidden="1">
      <c r="A644" s="531" t="s">
        <v>11214</v>
      </c>
      <c r="B644" s="531">
        <v>12609.0</v>
      </c>
      <c r="C644" s="11" t="s">
        <v>11298</v>
      </c>
      <c r="D644" s="533">
        <v>0.75</v>
      </c>
      <c r="E644" s="533">
        <v>0.75</v>
      </c>
      <c r="F644" s="11" t="s">
        <v>1656</v>
      </c>
      <c r="G644" s="545"/>
      <c r="H644" s="11" t="s">
        <v>11299</v>
      </c>
      <c r="I644" s="545"/>
      <c r="J644" s="536" t="s">
        <v>12119</v>
      </c>
      <c r="K644" s="536">
        <v>5458.0</v>
      </c>
    </row>
    <row r="645" hidden="1">
      <c r="A645" s="531" t="s">
        <v>11367</v>
      </c>
      <c r="B645" s="541"/>
      <c r="C645" s="11" t="s">
        <v>11298</v>
      </c>
      <c r="D645" s="533">
        <v>0.75</v>
      </c>
      <c r="E645" s="533">
        <v>0.75</v>
      </c>
      <c r="F645" s="11" t="s">
        <v>1656</v>
      </c>
      <c r="G645" s="545"/>
      <c r="H645" s="11" t="s">
        <v>11299</v>
      </c>
      <c r="I645" s="545"/>
      <c r="J645" s="536" t="s">
        <v>12120</v>
      </c>
      <c r="K645" s="536">
        <v>5458.0</v>
      </c>
    </row>
    <row r="646" hidden="1">
      <c r="A646" s="531" t="s">
        <v>9712</v>
      </c>
      <c r="B646" s="531">
        <v>411.0</v>
      </c>
      <c r="C646" s="11" t="s">
        <v>11298</v>
      </c>
      <c r="D646" s="533">
        <v>0.75</v>
      </c>
      <c r="E646" s="533">
        <v>0.75</v>
      </c>
      <c r="F646" s="11" t="s">
        <v>1656</v>
      </c>
      <c r="G646" s="545"/>
      <c r="H646" s="11" t="s">
        <v>11299</v>
      </c>
      <c r="I646" s="545"/>
      <c r="J646" s="536" t="s">
        <v>12121</v>
      </c>
      <c r="K646" s="536">
        <v>2345.0</v>
      </c>
    </row>
    <row r="647" hidden="1">
      <c r="A647" s="531" t="s">
        <v>12122</v>
      </c>
      <c r="B647" s="531">
        <v>6924.0</v>
      </c>
      <c r="C647" s="11" t="s">
        <v>11298</v>
      </c>
      <c r="D647" s="533">
        <v>0.75</v>
      </c>
      <c r="E647" s="533">
        <v>0.75</v>
      </c>
      <c r="F647" s="11" t="s">
        <v>1656</v>
      </c>
      <c r="G647" s="545"/>
      <c r="H647" s="11" t="s">
        <v>11299</v>
      </c>
      <c r="I647" s="545"/>
      <c r="J647" s="536" t="s">
        <v>12123</v>
      </c>
      <c r="K647" s="536">
        <v>285.0</v>
      </c>
    </row>
    <row r="648" hidden="1">
      <c r="A648" s="531" t="s">
        <v>11280</v>
      </c>
      <c r="B648" s="531">
        <v>986.0</v>
      </c>
      <c r="C648" s="11" t="s">
        <v>11298</v>
      </c>
      <c r="D648" s="533">
        <v>0.85</v>
      </c>
      <c r="E648" s="533">
        <v>0.85</v>
      </c>
      <c r="F648" s="11" t="s">
        <v>1656</v>
      </c>
      <c r="G648" s="545"/>
      <c r="H648" s="11" t="s">
        <v>11299</v>
      </c>
      <c r="I648" s="545"/>
      <c r="J648" s="536" t="s">
        <v>12124</v>
      </c>
      <c r="K648" s="536">
        <v>285.0</v>
      </c>
    </row>
    <row r="649" hidden="1">
      <c r="A649" s="531" t="s">
        <v>11170</v>
      </c>
      <c r="B649" s="531">
        <v>663.0</v>
      </c>
      <c r="C649" s="11" t="s">
        <v>11298</v>
      </c>
      <c r="D649" s="533">
        <v>0.85</v>
      </c>
      <c r="E649" s="533">
        <v>0.85</v>
      </c>
      <c r="F649" s="11" t="s">
        <v>1656</v>
      </c>
      <c r="G649" s="10"/>
      <c r="H649" s="11" t="s">
        <v>11299</v>
      </c>
      <c r="I649" s="10"/>
      <c r="J649" s="536" t="s">
        <v>12125</v>
      </c>
      <c r="K649" s="536">
        <v>285.0</v>
      </c>
    </row>
    <row r="650" hidden="1">
      <c r="A650" s="531" t="s">
        <v>12126</v>
      </c>
      <c r="B650" s="531">
        <v>189.0</v>
      </c>
      <c r="C650" s="11" t="s">
        <v>11298</v>
      </c>
      <c r="D650" s="533">
        <v>0.88</v>
      </c>
      <c r="E650" s="533">
        <v>0.88</v>
      </c>
      <c r="F650" s="11" t="s">
        <v>1656</v>
      </c>
      <c r="G650" s="10"/>
      <c r="H650" s="11" t="s">
        <v>11299</v>
      </c>
      <c r="I650" s="10"/>
      <c r="J650" s="536" t="s">
        <v>12127</v>
      </c>
      <c r="K650" s="536">
        <v>285.0</v>
      </c>
    </row>
    <row r="651" hidden="1">
      <c r="A651" s="531" t="s">
        <v>11735</v>
      </c>
      <c r="B651" s="531">
        <v>189.0</v>
      </c>
      <c r="C651" s="11" t="s">
        <v>11298</v>
      </c>
      <c r="D651" s="533">
        <v>0.88</v>
      </c>
      <c r="E651" s="533">
        <v>0.88</v>
      </c>
      <c r="F651" s="11" t="s">
        <v>1656</v>
      </c>
      <c r="G651" s="10"/>
      <c r="H651" s="11" t="s">
        <v>11299</v>
      </c>
      <c r="I651" s="10"/>
      <c r="J651" s="536" t="s">
        <v>12128</v>
      </c>
      <c r="K651" s="536">
        <v>285.0</v>
      </c>
    </row>
    <row r="652" hidden="1">
      <c r="A652" s="531" t="s">
        <v>11178</v>
      </c>
      <c r="B652" s="531">
        <v>5458.0</v>
      </c>
      <c r="C652" s="11" t="s">
        <v>11298</v>
      </c>
      <c r="D652" s="533">
        <v>0.75</v>
      </c>
      <c r="E652" s="533">
        <v>0.75</v>
      </c>
      <c r="F652" s="11" t="s">
        <v>1656</v>
      </c>
      <c r="G652" s="10"/>
      <c r="H652" s="11" t="s">
        <v>11299</v>
      </c>
      <c r="I652" s="10"/>
      <c r="J652" s="536" t="s">
        <v>12129</v>
      </c>
      <c r="K652" s="536">
        <v>285.0</v>
      </c>
    </row>
    <row r="653" hidden="1">
      <c r="A653" s="531" t="s">
        <v>12130</v>
      </c>
      <c r="B653" s="531">
        <v>14197.0</v>
      </c>
      <c r="C653" s="11" t="s">
        <v>11298</v>
      </c>
      <c r="D653" s="533">
        <v>0.75</v>
      </c>
      <c r="E653" s="533">
        <v>0.75</v>
      </c>
      <c r="F653" s="11" t="s">
        <v>1656</v>
      </c>
      <c r="G653" s="10"/>
      <c r="H653" s="11" t="s">
        <v>11299</v>
      </c>
      <c r="I653" s="10"/>
      <c r="J653" s="536" t="s">
        <v>12131</v>
      </c>
      <c r="K653" s="536">
        <v>285.0</v>
      </c>
    </row>
    <row r="654" hidden="1">
      <c r="A654" s="531" t="s">
        <v>12132</v>
      </c>
      <c r="B654" s="531">
        <v>189.0</v>
      </c>
      <c r="C654" s="11" t="s">
        <v>11298</v>
      </c>
      <c r="D654" s="533">
        <v>0.88</v>
      </c>
      <c r="E654" s="533">
        <v>0.88</v>
      </c>
      <c r="F654" s="11" t="s">
        <v>1656</v>
      </c>
      <c r="G654" s="10"/>
      <c r="H654" s="11" t="s">
        <v>11299</v>
      </c>
      <c r="I654" s="10"/>
      <c r="J654" s="536" t="s">
        <v>12133</v>
      </c>
      <c r="K654" s="536">
        <v>285.0</v>
      </c>
    </row>
    <row r="655" hidden="1">
      <c r="A655" s="531" t="s">
        <v>12134</v>
      </c>
      <c r="B655" s="531">
        <v>189.0</v>
      </c>
      <c r="C655" s="11" t="s">
        <v>11298</v>
      </c>
      <c r="D655" s="533">
        <v>0.88</v>
      </c>
      <c r="E655" s="533">
        <v>0.88</v>
      </c>
      <c r="F655" s="11" t="s">
        <v>1656</v>
      </c>
      <c r="G655" s="10"/>
      <c r="H655" s="11" t="s">
        <v>11299</v>
      </c>
      <c r="I655" s="10"/>
      <c r="J655" s="536" t="s">
        <v>12135</v>
      </c>
      <c r="K655" s="536">
        <v>285.0</v>
      </c>
    </row>
    <row r="656" hidden="1">
      <c r="A656" s="531" t="s">
        <v>12136</v>
      </c>
      <c r="B656" s="531">
        <v>189.0</v>
      </c>
      <c r="C656" s="11" t="s">
        <v>11298</v>
      </c>
      <c r="D656" s="533">
        <v>0.88</v>
      </c>
      <c r="E656" s="533">
        <v>0.88</v>
      </c>
      <c r="F656" s="11" t="s">
        <v>1656</v>
      </c>
      <c r="G656" s="10"/>
      <c r="H656" s="11" t="s">
        <v>11299</v>
      </c>
      <c r="I656" s="10"/>
      <c r="J656" s="536" t="s">
        <v>12137</v>
      </c>
      <c r="K656" s="536">
        <v>285.0</v>
      </c>
    </row>
    <row r="657" hidden="1">
      <c r="A657" s="531" t="s">
        <v>12138</v>
      </c>
      <c r="B657" s="531">
        <v>14536.0</v>
      </c>
      <c r="C657" s="11" t="s">
        <v>11298</v>
      </c>
      <c r="D657" s="533">
        <v>0.75</v>
      </c>
      <c r="E657" s="533">
        <v>0.75</v>
      </c>
      <c r="F657" s="11" t="s">
        <v>1656</v>
      </c>
      <c r="G657" s="10"/>
      <c r="H657" s="11" t="s">
        <v>11299</v>
      </c>
      <c r="I657" s="10"/>
      <c r="J657" s="536" t="s">
        <v>12139</v>
      </c>
      <c r="K657" s="536">
        <v>6732.0</v>
      </c>
    </row>
    <row r="658" hidden="1">
      <c r="A658" s="531" t="s">
        <v>11743</v>
      </c>
      <c r="B658" s="531">
        <v>189.0</v>
      </c>
      <c r="C658" s="11" t="s">
        <v>11298</v>
      </c>
      <c r="D658" s="533">
        <v>0.88</v>
      </c>
      <c r="E658" s="533">
        <v>0.88</v>
      </c>
      <c r="F658" s="11" t="s">
        <v>1656</v>
      </c>
      <c r="G658" s="10"/>
      <c r="H658" s="11" t="s">
        <v>11299</v>
      </c>
      <c r="I658" s="10"/>
      <c r="J658" s="536" t="s">
        <v>12140</v>
      </c>
      <c r="K658" s="536">
        <v>6732.0</v>
      </c>
    </row>
    <row r="659" hidden="1">
      <c r="A659" s="531" t="s">
        <v>11732</v>
      </c>
      <c r="B659" s="541"/>
      <c r="C659" s="11" t="s">
        <v>11298</v>
      </c>
      <c r="D659" s="533">
        <v>0.75</v>
      </c>
      <c r="E659" s="533">
        <v>0.75</v>
      </c>
      <c r="F659" s="11" t="s">
        <v>1656</v>
      </c>
      <c r="G659" s="10"/>
      <c r="H659" s="11" t="s">
        <v>11299</v>
      </c>
      <c r="I659" s="10"/>
      <c r="J659" s="536" t="s">
        <v>12141</v>
      </c>
      <c r="K659" s="536">
        <v>6732.0</v>
      </c>
    </row>
    <row r="660" hidden="1">
      <c r="A660" s="531" t="s">
        <v>12142</v>
      </c>
      <c r="B660" s="544">
        <v>14504.0</v>
      </c>
      <c r="C660" s="11" t="s">
        <v>11298</v>
      </c>
      <c r="D660" s="533">
        <v>0.75</v>
      </c>
      <c r="E660" s="533">
        <v>0.75</v>
      </c>
      <c r="F660" s="11" t="s">
        <v>1656</v>
      </c>
      <c r="G660" s="10"/>
      <c r="H660" s="11" t="s">
        <v>11299</v>
      </c>
      <c r="I660" s="10"/>
      <c r="J660" s="536" t="s">
        <v>12143</v>
      </c>
      <c r="K660" s="536">
        <v>2345.0</v>
      </c>
    </row>
    <row r="661" hidden="1">
      <c r="A661" s="531" t="s">
        <v>9767</v>
      </c>
      <c r="B661" s="531">
        <v>7080.0</v>
      </c>
      <c r="C661" s="11" t="s">
        <v>11298</v>
      </c>
      <c r="D661" s="533">
        <v>0.75</v>
      </c>
      <c r="E661" s="533">
        <v>0.75</v>
      </c>
      <c r="F661" s="11" t="s">
        <v>1656</v>
      </c>
      <c r="G661" s="10"/>
      <c r="H661" s="11" t="s">
        <v>11299</v>
      </c>
      <c r="I661" s="10"/>
      <c r="J661" s="536" t="s">
        <v>12144</v>
      </c>
      <c r="K661" s="536">
        <v>2345.0</v>
      </c>
    </row>
    <row r="662" hidden="1">
      <c r="A662" s="531" t="s">
        <v>12145</v>
      </c>
      <c r="B662" s="541"/>
      <c r="C662" s="11" t="s">
        <v>11298</v>
      </c>
      <c r="D662" s="533">
        <v>0.75</v>
      </c>
      <c r="E662" s="533">
        <v>0.75</v>
      </c>
      <c r="F662" s="11" t="s">
        <v>1656</v>
      </c>
      <c r="G662" s="10"/>
      <c r="H662" s="11" t="s">
        <v>11299</v>
      </c>
      <c r="I662" s="10"/>
      <c r="J662" s="536" t="s">
        <v>12146</v>
      </c>
      <c r="K662" s="536">
        <v>5389.0</v>
      </c>
    </row>
    <row r="663" hidden="1">
      <c r="A663" s="531" t="s">
        <v>12147</v>
      </c>
      <c r="B663" s="531">
        <v>986.0</v>
      </c>
      <c r="C663" s="11" t="s">
        <v>11298</v>
      </c>
      <c r="D663" s="533">
        <v>0.85</v>
      </c>
      <c r="E663" s="533">
        <v>0.85</v>
      </c>
      <c r="F663" s="11" t="s">
        <v>1656</v>
      </c>
      <c r="G663" s="10"/>
      <c r="H663" s="11" t="s">
        <v>11299</v>
      </c>
      <c r="I663" s="10"/>
      <c r="J663" s="536" t="s">
        <v>12116</v>
      </c>
      <c r="K663" s="536">
        <v>7003.0</v>
      </c>
    </row>
    <row r="664" hidden="1">
      <c r="A664" s="531" t="s">
        <v>12148</v>
      </c>
      <c r="B664" s="544">
        <v>1.0</v>
      </c>
      <c r="C664" s="11" t="s">
        <v>11298</v>
      </c>
      <c r="D664" s="533">
        <v>0.75</v>
      </c>
      <c r="E664" s="533">
        <v>0.75</v>
      </c>
      <c r="F664" s="11" t="s">
        <v>1656</v>
      </c>
      <c r="G664" s="10"/>
      <c r="H664" s="11" t="s">
        <v>11299</v>
      </c>
      <c r="I664" s="10"/>
      <c r="J664" s="536" t="s">
        <v>12149</v>
      </c>
      <c r="K664" s="536">
        <v>2345.0</v>
      </c>
    </row>
    <row r="665" hidden="1">
      <c r="A665" s="531" t="s">
        <v>9784</v>
      </c>
      <c r="B665" s="544">
        <v>14624.0</v>
      </c>
      <c r="C665" s="11" t="s">
        <v>11298</v>
      </c>
      <c r="D665" s="533">
        <v>0.75</v>
      </c>
      <c r="E665" s="533">
        <v>0.75</v>
      </c>
      <c r="F665" s="11" t="s">
        <v>1656</v>
      </c>
      <c r="G665" s="10"/>
      <c r="H665" s="11" t="s">
        <v>11299</v>
      </c>
      <c r="I665" s="10"/>
      <c r="J665" s="536" t="s">
        <v>12150</v>
      </c>
      <c r="K665" s="536">
        <v>6732.0</v>
      </c>
    </row>
    <row r="666" hidden="1">
      <c r="A666" s="531" t="s">
        <v>9725</v>
      </c>
      <c r="B666" s="531">
        <v>14757.0</v>
      </c>
      <c r="C666" s="11" t="s">
        <v>11298</v>
      </c>
      <c r="D666" s="533">
        <v>0.75</v>
      </c>
      <c r="E666" s="533">
        <v>0.75</v>
      </c>
      <c r="F666" s="11" t="s">
        <v>1656</v>
      </c>
      <c r="G666" s="10"/>
      <c r="H666" s="11" t="s">
        <v>11299</v>
      </c>
      <c r="I666" s="10"/>
      <c r="J666" s="536" t="s">
        <v>12151</v>
      </c>
      <c r="K666" s="536">
        <v>6732.0</v>
      </c>
    </row>
    <row r="667" hidden="1">
      <c r="A667" s="531" t="s">
        <v>11146</v>
      </c>
      <c r="B667" s="531">
        <v>14734.0</v>
      </c>
      <c r="C667" s="11" t="s">
        <v>11298</v>
      </c>
      <c r="D667" s="533">
        <v>0.75</v>
      </c>
      <c r="E667" s="533">
        <v>0.75</v>
      </c>
      <c r="F667" s="11" t="s">
        <v>1656</v>
      </c>
      <c r="G667" s="10"/>
      <c r="H667" s="11" t="s">
        <v>11299</v>
      </c>
      <c r="I667" s="10"/>
      <c r="J667" s="536" t="s">
        <v>12152</v>
      </c>
      <c r="K667" s="536">
        <v>6732.0</v>
      </c>
    </row>
    <row r="668" hidden="1">
      <c r="A668" s="531" t="s">
        <v>11646</v>
      </c>
      <c r="B668" s="531">
        <v>14757.0</v>
      </c>
      <c r="C668" s="11" t="s">
        <v>11298</v>
      </c>
      <c r="D668" s="533">
        <v>0.75</v>
      </c>
      <c r="E668" s="533">
        <v>0.75</v>
      </c>
      <c r="F668" s="11" t="s">
        <v>1656</v>
      </c>
      <c r="G668" s="10"/>
      <c r="H668" s="11" t="s">
        <v>11299</v>
      </c>
      <c r="I668" s="10"/>
      <c r="J668" s="536" t="s">
        <v>12153</v>
      </c>
      <c r="K668" s="536">
        <v>6732.0</v>
      </c>
    </row>
    <row r="669" hidden="1">
      <c r="A669" s="531" t="s">
        <v>11597</v>
      </c>
      <c r="B669" s="531">
        <v>14757.0</v>
      </c>
      <c r="C669" s="11" t="s">
        <v>11298</v>
      </c>
      <c r="D669" s="533">
        <v>0.75</v>
      </c>
      <c r="E669" s="533">
        <v>0.75</v>
      </c>
      <c r="F669" s="11" t="s">
        <v>1656</v>
      </c>
      <c r="G669" s="10"/>
      <c r="H669" s="11" t="s">
        <v>11299</v>
      </c>
      <c r="I669" s="10"/>
      <c r="J669" s="536" t="s">
        <v>12154</v>
      </c>
      <c r="K669" s="536">
        <v>6732.0</v>
      </c>
    </row>
    <row r="670" hidden="1">
      <c r="A670" s="531" t="s">
        <v>11618</v>
      </c>
      <c r="B670" s="541"/>
      <c r="C670" s="11" t="s">
        <v>11298</v>
      </c>
      <c r="D670" s="533">
        <v>0.75</v>
      </c>
      <c r="E670" s="533">
        <v>0.75</v>
      </c>
      <c r="F670" s="11" t="s">
        <v>1656</v>
      </c>
      <c r="G670" s="10"/>
      <c r="H670" s="11" t="s">
        <v>11299</v>
      </c>
      <c r="I670" s="10"/>
      <c r="J670" s="536" t="s">
        <v>12155</v>
      </c>
      <c r="K670" s="536">
        <v>6732.0</v>
      </c>
    </row>
    <row r="671" hidden="1">
      <c r="A671" s="531" t="s">
        <v>12156</v>
      </c>
      <c r="B671" s="531">
        <v>986.0</v>
      </c>
      <c r="C671" s="11" t="s">
        <v>11298</v>
      </c>
      <c r="D671" s="533">
        <v>0.85</v>
      </c>
      <c r="E671" s="533">
        <v>0.85</v>
      </c>
      <c r="F671" s="11" t="s">
        <v>1656</v>
      </c>
      <c r="G671" s="10"/>
      <c r="H671" s="11" t="s">
        <v>11299</v>
      </c>
      <c r="I671" s="10"/>
      <c r="J671" s="536" t="s">
        <v>12157</v>
      </c>
      <c r="K671" s="536">
        <v>2345.0</v>
      </c>
    </row>
    <row r="672" hidden="1">
      <c r="A672" s="531" t="s">
        <v>12158</v>
      </c>
      <c r="B672" s="541"/>
      <c r="C672" s="11" t="s">
        <v>11298</v>
      </c>
      <c r="D672" s="533">
        <v>0.75</v>
      </c>
      <c r="E672" s="533">
        <v>0.75</v>
      </c>
      <c r="F672" s="11" t="s">
        <v>1656</v>
      </c>
      <c r="G672" s="10"/>
      <c r="H672" s="11" t="s">
        <v>11299</v>
      </c>
      <c r="I672" s="10"/>
      <c r="J672" s="536" t="s">
        <v>12159</v>
      </c>
      <c r="K672" s="536">
        <v>7251.0</v>
      </c>
    </row>
    <row r="673" hidden="1">
      <c r="A673" s="531" t="s">
        <v>12160</v>
      </c>
      <c r="B673" s="541"/>
      <c r="C673" s="11" t="s">
        <v>11298</v>
      </c>
      <c r="D673" s="533">
        <v>0.75</v>
      </c>
      <c r="E673" s="533">
        <v>0.75</v>
      </c>
      <c r="F673" s="11" t="s">
        <v>1656</v>
      </c>
      <c r="G673" s="10"/>
      <c r="H673" s="11" t="s">
        <v>11299</v>
      </c>
      <c r="I673" s="10"/>
      <c r="J673" s="536" t="s">
        <v>12161</v>
      </c>
      <c r="K673" s="536">
        <v>7251.0</v>
      </c>
    </row>
    <row r="674" hidden="1">
      <c r="A674" s="531" t="s">
        <v>11196</v>
      </c>
      <c r="B674" s="531">
        <v>14623.0</v>
      </c>
      <c r="C674" s="11" t="s">
        <v>11298</v>
      </c>
      <c r="D674" s="533">
        <v>0.75</v>
      </c>
      <c r="E674" s="533">
        <v>0.75</v>
      </c>
      <c r="F674" s="11" t="s">
        <v>1656</v>
      </c>
      <c r="G674" s="10"/>
      <c r="H674" s="11" t="s">
        <v>11299</v>
      </c>
      <c r="I674" s="10"/>
      <c r="J674" s="536" t="s">
        <v>12162</v>
      </c>
      <c r="K674" s="536">
        <v>2345.0</v>
      </c>
    </row>
    <row r="675" hidden="1">
      <c r="A675" s="531" t="s">
        <v>9674</v>
      </c>
      <c r="B675" s="541"/>
      <c r="C675" s="11" t="s">
        <v>11298</v>
      </c>
      <c r="D675" s="533">
        <v>0.75</v>
      </c>
      <c r="E675" s="533">
        <v>0.75</v>
      </c>
      <c r="F675" s="11" t="s">
        <v>1656</v>
      </c>
      <c r="G675" s="10"/>
      <c r="H675" s="11" t="s">
        <v>11299</v>
      </c>
      <c r="I675" s="10"/>
      <c r="J675" s="536" t="s">
        <v>12163</v>
      </c>
      <c r="K675" s="536">
        <v>6732.0</v>
      </c>
    </row>
    <row r="676" hidden="1">
      <c r="A676" s="531" t="s">
        <v>11074</v>
      </c>
      <c r="B676" s="531">
        <v>7124.0</v>
      </c>
      <c r="C676" s="11" t="s">
        <v>11298</v>
      </c>
      <c r="D676" s="533">
        <v>0.75</v>
      </c>
      <c r="E676" s="533">
        <v>0.75</v>
      </c>
      <c r="F676" s="11" t="s">
        <v>1656</v>
      </c>
      <c r="G676" s="10"/>
      <c r="H676" s="11" t="s">
        <v>11299</v>
      </c>
      <c r="I676" s="10"/>
      <c r="J676" s="536" t="s">
        <v>12164</v>
      </c>
      <c r="K676" s="536">
        <v>6732.0</v>
      </c>
    </row>
    <row r="677" hidden="1">
      <c r="A677" s="531" t="s">
        <v>11708</v>
      </c>
      <c r="B677" s="531">
        <v>6718.0</v>
      </c>
      <c r="C677" s="11" t="s">
        <v>11298</v>
      </c>
      <c r="D677" s="533">
        <v>0.75</v>
      </c>
      <c r="E677" s="533">
        <v>0.75</v>
      </c>
      <c r="F677" s="11" t="s">
        <v>1656</v>
      </c>
      <c r="G677" s="10"/>
      <c r="H677" s="11" t="s">
        <v>11299</v>
      </c>
      <c r="I677" s="10"/>
      <c r="J677" s="536" t="s">
        <v>12165</v>
      </c>
      <c r="K677" s="536">
        <v>6732.0</v>
      </c>
    </row>
    <row r="678" hidden="1">
      <c r="A678" s="531" t="s">
        <v>11492</v>
      </c>
      <c r="B678" s="531">
        <v>2345.0</v>
      </c>
      <c r="C678" s="11" t="s">
        <v>11298</v>
      </c>
      <c r="D678" s="533">
        <v>0.9</v>
      </c>
      <c r="E678" s="533">
        <v>0.9</v>
      </c>
      <c r="F678" s="11" t="s">
        <v>1656</v>
      </c>
      <c r="G678" s="10"/>
      <c r="H678" s="11" t="s">
        <v>11299</v>
      </c>
      <c r="I678" s="10"/>
      <c r="J678" s="536" t="s">
        <v>12166</v>
      </c>
      <c r="K678" s="536">
        <v>6732.0</v>
      </c>
    </row>
    <row r="679" hidden="1">
      <c r="A679" s="531" t="s">
        <v>11106</v>
      </c>
      <c r="B679" s="531">
        <v>5566.0</v>
      </c>
      <c r="C679" s="11" t="s">
        <v>11298</v>
      </c>
      <c r="D679" s="533">
        <v>0.85</v>
      </c>
      <c r="E679" s="533">
        <v>0.85</v>
      </c>
      <c r="F679" s="11" t="s">
        <v>1656</v>
      </c>
      <c r="G679" s="10"/>
      <c r="H679" s="11" t="s">
        <v>11299</v>
      </c>
      <c r="I679" s="10"/>
      <c r="J679" s="536" t="s">
        <v>11956</v>
      </c>
      <c r="K679" s="536">
        <v>6732.0</v>
      </c>
    </row>
    <row r="680" hidden="1">
      <c r="A680" s="531" t="s">
        <v>12167</v>
      </c>
      <c r="B680" s="532"/>
      <c r="C680" s="11" t="s">
        <v>11298</v>
      </c>
      <c r="D680" s="533">
        <v>0.75</v>
      </c>
      <c r="E680" s="533">
        <v>0.75</v>
      </c>
      <c r="F680" s="11" t="s">
        <v>1656</v>
      </c>
      <c r="G680" s="10"/>
      <c r="H680" s="11" t="s">
        <v>11299</v>
      </c>
      <c r="I680" s="10"/>
      <c r="J680" s="536" t="s">
        <v>12168</v>
      </c>
      <c r="K680" s="536">
        <v>6732.0</v>
      </c>
    </row>
    <row r="681" hidden="1">
      <c r="A681" s="531" t="s">
        <v>11501</v>
      </c>
      <c r="B681" s="541"/>
      <c r="C681" s="11" t="s">
        <v>11298</v>
      </c>
      <c r="D681" s="533">
        <v>0.75</v>
      </c>
      <c r="E681" s="533">
        <v>0.75</v>
      </c>
      <c r="F681" s="11" t="s">
        <v>1656</v>
      </c>
      <c r="G681" s="10"/>
      <c r="H681" s="11" t="s">
        <v>11299</v>
      </c>
      <c r="I681" s="10"/>
      <c r="J681" s="536" t="s">
        <v>12169</v>
      </c>
      <c r="K681" s="536">
        <v>2345.0</v>
      </c>
    </row>
    <row r="682" hidden="1">
      <c r="A682" s="531" t="s">
        <v>11212</v>
      </c>
      <c r="B682" s="531">
        <v>14575.0</v>
      </c>
      <c r="C682" s="11" t="s">
        <v>11298</v>
      </c>
      <c r="D682" s="533">
        <v>0.85</v>
      </c>
      <c r="E682" s="533">
        <v>0.85</v>
      </c>
      <c r="F682" s="11" t="s">
        <v>1656</v>
      </c>
      <c r="G682" s="10"/>
      <c r="H682" s="11" t="s">
        <v>11299</v>
      </c>
      <c r="I682" s="10"/>
      <c r="J682" s="536" t="s">
        <v>12170</v>
      </c>
      <c r="K682" s="536">
        <v>189.0</v>
      </c>
    </row>
    <row r="683" hidden="1">
      <c r="A683" s="531" t="s">
        <v>10280</v>
      </c>
      <c r="B683" s="541"/>
      <c r="C683" s="11" t="s">
        <v>11298</v>
      </c>
      <c r="D683" s="533">
        <v>0.75</v>
      </c>
      <c r="E683" s="533">
        <v>0.75</v>
      </c>
      <c r="F683" s="11" t="s">
        <v>1656</v>
      </c>
      <c r="G683" s="10"/>
      <c r="H683" s="11" t="s">
        <v>11299</v>
      </c>
      <c r="I683" s="10"/>
      <c r="J683" s="536" t="s">
        <v>12171</v>
      </c>
      <c r="K683" s="536">
        <v>189.0</v>
      </c>
    </row>
    <row r="684" hidden="1">
      <c r="A684" s="531" t="s">
        <v>11389</v>
      </c>
      <c r="B684" s="541"/>
      <c r="C684" s="11" t="s">
        <v>11298</v>
      </c>
      <c r="D684" s="533">
        <v>0.75</v>
      </c>
      <c r="E684" s="533">
        <v>0.75</v>
      </c>
      <c r="F684" s="11" t="s">
        <v>1656</v>
      </c>
      <c r="G684" s="10"/>
      <c r="H684" s="11" t="s">
        <v>11299</v>
      </c>
      <c r="I684" s="10"/>
      <c r="J684" s="536" t="s">
        <v>12172</v>
      </c>
      <c r="K684" s="536">
        <v>189.0</v>
      </c>
    </row>
    <row r="685" hidden="1">
      <c r="A685" s="531" t="s">
        <v>12173</v>
      </c>
      <c r="B685" s="531">
        <v>986.0</v>
      </c>
      <c r="C685" s="11" t="s">
        <v>11298</v>
      </c>
      <c r="D685" s="533">
        <v>0.85</v>
      </c>
      <c r="E685" s="533">
        <v>0.85</v>
      </c>
      <c r="F685" s="11" t="s">
        <v>1656</v>
      </c>
      <c r="G685" s="10"/>
      <c r="H685" s="11" t="s">
        <v>11299</v>
      </c>
      <c r="I685" s="10"/>
      <c r="J685" s="536" t="s">
        <v>12174</v>
      </c>
      <c r="K685" s="536">
        <v>189.0</v>
      </c>
    </row>
    <row r="686" hidden="1">
      <c r="A686" s="531" t="s">
        <v>7786</v>
      </c>
      <c r="B686" s="531">
        <v>2345.0</v>
      </c>
      <c r="C686" s="11" t="s">
        <v>11298</v>
      </c>
      <c r="D686" s="533">
        <v>0.9</v>
      </c>
      <c r="E686" s="533">
        <v>0.9</v>
      </c>
      <c r="F686" s="11" t="s">
        <v>1656</v>
      </c>
      <c r="G686" s="10"/>
      <c r="H686" s="11" t="s">
        <v>11299</v>
      </c>
      <c r="I686" s="10"/>
      <c r="J686" s="536" t="s">
        <v>12175</v>
      </c>
      <c r="K686" s="536">
        <v>189.0</v>
      </c>
    </row>
    <row r="687" hidden="1">
      <c r="A687" s="531" t="s">
        <v>12176</v>
      </c>
      <c r="B687" s="532"/>
      <c r="C687" s="11" t="s">
        <v>11298</v>
      </c>
      <c r="D687" s="533">
        <v>0.75</v>
      </c>
      <c r="E687" s="533">
        <v>0.75</v>
      </c>
      <c r="F687" s="11" t="s">
        <v>1656</v>
      </c>
      <c r="G687" s="10"/>
      <c r="H687" s="11" t="s">
        <v>11299</v>
      </c>
      <c r="I687" s="10"/>
      <c r="J687" s="536" t="s">
        <v>11341</v>
      </c>
      <c r="K687" s="536">
        <v>189.0</v>
      </c>
    </row>
    <row r="688" hidden="1">
      <c r="A688" s="531" t="s">
        <v>12177</v>
      </c>
      <c r="B688" s="531">
        <v>7010.0</v>
      </c>
      <c r="C688" s="11" t="s">
        <v>11298</v>
      </c>
      <c r="D688" s="533">
        <v>0.85</v>
      </c>
      <c r="E688" s="533">
        <v>0.85</v>
      </c>
      <c r="F688" s="11" t="s">
        <v>1656</v>
      </c>
      <c r="G688" s="10"/>
      <c r="H688" s="11" t="s">
        <v>11299</v>
      </c>
      <c r="I688" s="10"/>
      <c r="J688" s="536" t="s">
        <v>12178</v>
      </c>
      <c r="K688" s="536">
        <v>189.0</v>
      </c>
    </row>
    <row r="689" hidden="1">
      <c r="A689" s="531" t="s">
        <v>11468</v>
      </c>
      <c r="B689" s="531">
        <v>2345.0</v>
      </c>
      <c r="C689" s="11" t="s">
        <v>11298</v>
      </c>
      <c r="D689" s="533">
        <v>0.9</v>
      </c>
      <c r="E689" s="533">
        <v>0.9</v>
      </c>
      <c r="F689" s="11" t="s">
        <v>1656</v>
      </c>
      <c r="G689" s="10"/>
      <c r="H689" s="11" t="s">
        <v>11299</v>
      </c>
      <c r="I689" s="10"/>
      <c r="J689" s="536" t="s">
        <v>12179</v>
      </c>
      <c r="K689" s="536">
        <v>189.0</v>
      </c>
    </row>
    <row r="690" hidden="1">
      <c r="A690" s="531" t="s">
        <v>12180</v>
      </c>
      <c r="B690" s="532"/>
      <c r="C690" s="11" t="s">
        <v>11298</v>
      </c>
      <c r="D690" s="533">
        <v>0.75</v>
      </c>
      <c r="E690" s="533">
        <v>0.75</v>
      </c>
      <c r="F690" s="11" t="s">
        <v>1656</v>
      </c>
      <c r="G690" s="10"/>
      <c r="H690" s="11" t="s">
        <v>11299</v>
      </c>
      <c r="I690" s="10"/>
      <c r="J690" s="536" t="s">
        <v>12181</v>
      </c>
      <c r="K690" s="536">
        <v>189.0</v>
      </c>
    </row>
    <row r="691" hidden="1">
      <c r="A691" s="531" t="s">
        <v>11204</v>
      </c>
      <c r="B691" s="531">
        <v>2345.0</v>
      </c>
      <c r="C691" s="11" t="s">
        <v>11298</v>
      </c>
      <c r="D691" s="533">
        <v>0.9</v>
      </c>
      <c r="E691" s="533">
        <v>0.9</v>
      </c>
      <c r="F691" s="11" t="s">
        <v>1656</v>
      </c>
      <c r="G691" s="10"/>
      <c r="H691" s="11" t="s">
        <v>11299</v>
      </c>
      <c r="I691" s="10"/>
      <c r="J691" s="536" t="s">
        <v>12182</v>
      </c>
      <c r="K691" s="536">
        <v>189.0</v>
      </c>
    </row>
    <row r="692" hidden="1">
      <c r="A692" s="531" t="s">
        <v>11669</v>
      </c>
      <c r="B692" s="541"/>
      <c r="C692" s="11" t="s">
        <v>11298</v>
      </c>
      <c r="D692" s="533">
        <v>0.75</v>
      </c>
      <c r="E692" s="533">
        <v>0.75</v>
      </c>
      <c r="F692" s="11" t="s">
        <v>1656</v>
      </c>
      <c r="G692" s="10"/>
      <c r="H692" s="11" t="s">
        <v>11299</v>
      </c>
      <c r="I692" s="10"/>
      <c r="J692" s="536" t="s">
        <v>12183</v>
      </c>
      <c r="K692" s="536">
        <v>3404.0</v>
      </c>
    </row>
    <row r="693" hidden="1">
      <c r="A693" s="531" t="s">
        <v>12184</v>
      </c>
      <c r="B693" s="532"/>
      <c r="C693" s="11" t="s">
        <v>11298</v>
      </c>
      <c r="D693" s="533">
        <v>0.75</v>
      </c>
      <c r="E693" s="533">
        <v>0.75</v>
      </c>
      <c r="F693" s="11" t="s">
        <v>1656</v>
      </c>
      <c r="G693" s="10"/>
      <c r="H693" s="11" t="s">
        <v>11299</v>
      </c>
      <c r="I693" s="10"/>
      <c r="J693" s="536" t="s">
        <v>12185</v>
      </c>
      <c r="K693" s="536">
        <v>7333.0</v>
      </c>
    </row>
    <row r="694" hidden="1">
      <c r="A694" s="531" t="s">
        <v>12186</v>
      </c>
      <c r="B694" s="541"/>
      <c r="C694" s="11" t="s">
        <v>11298</v>
      </c>
      <c r="D694" s="533">
        <v>0.75</v>
      </c>
      <c r="E694" s="533">
        <v>0.75</v>
      </c>
      <c r="F694" s="11" t="s">
        <v>1656</v>
      </c>
      <c r="G694" s="10"/>
      <c r="H694" s="11" t="s">
        <v>11299</v>
      </c>
      <c r="I694" s="10"/>
      <c r="J694" s="536" t="s">
        <v>12187</v>
      </c>
      <c r="K694" s="536">
        <v>7333.0</v>
      </c>
    </row>
    <row r="695" hidden="1">
      <c r="A695" s="531" t="s">
        <v>11130</v>
      </c>
      <c r="B695" s="541"/>
      <c r="C695" s="11" t="s">
        <v>11298</v>
      </c>
      <c r="D695" s="533">
        <v>0.75</v>
      </c>
      <c r="E695" s="533">
        <v>0.75</v>
      </c>
      <c r="F695" s="11" t="s">
        <v>1656</v>
      </c>
      <c r="G695" s="10"/>
      <c r="H695" s="11" t="s">
        <v>11299</v>
      </c>
      <c r="I695" s="10"/>
      <c r="J695" s="536" t="s">
        <v>12188</v>
      </c>
      <c r="K695" s="536">
        <v>3404.0</v>
      </c>
    </row>
    <row r="696" hidden="1">
      <c r="A696" s="531" t="s">
        <v>12189</v>
      </c>
      <c r="B696" s="541"/>
      <c r="C696" s="11" t="s">
        <v>11298</v>
      </c>
      <c r="D696" s="533">
        <v>0.75</v>
      </c>
      <c r="E696" s="533">
        <v>0.75</v>
      </c>
      <c r="F696" s="11" t="s">
        <v>1656</v>
      </c>
      <c r="G696" s="10"/>
      <c r="H696" s="11" t="s">
        <v>11299</v>
      </c>
      <c r="I696" s="10"/>
      <c r="J696" s="536" t="s">
        <v>12190</v>
      </c>
      <c r="K696" s="536">
        <v>6732.0</v>
      </c>
    </row>
    <row r="697" hidden="1">
      <c r="A697" s="531" t="s">
        <v>12191</v>
      </c>
      <c r="B697" s="541"/>
      <c r="C697" s="11" t="s">
        <v>11298</v>
      </c>
      <c r="D697" s="533">
        <v>0.75</v>
      </c>
      <c r="E697" s="533">
        <v>0.75</v>
      </c>
      <c r="F697" s="11" t="s">
        <v>1656</v>
      </c>
      <c r="G697" s="10"/>
      <c r="H697" s="11" t="s">
        <v>11299</v>
      </c>
      <c r="I697" s="10"/>
      <c r="J697" s="536" t="s">
        <v>12192</v>
      </c>
      <c r="K697" s="536">
        <v>6732.0</v>
      </c>
    </row>
    <row r="698" hidden="1">
      <c r="A698" s="531" t="s">
        <v>12193</v>
      </c>
      <c r="B698" s="541"/>
      <c r="C698" s="11" t="s">
        <v>11298</v>
      </c>
      <c r="D698" s="533">
        <v>0.75</v>
      </c>
      <c r="E698" s="533">
        <v>0.75</v>
      </c>
      <c r="F698" s="11" t="s">
        <v>1656</v>
      </c>
      <c r="G698" s="10"/>
      <c r="H698" s="11" t="s">
        <v>11299</v>
      </c>
      <c r="I698" s="10"/>
      <c r="J698" s="536" t="s">
        <v>12194</v>
      </c>
      <c r="K698" s="536">
        <v>6732.0</v>
      </c>
    </row>
    <row r="699" hidden="1">
      <c r="A699" s="531" t="s">
        <v>12195</v>
      </c>
      <c r="B699" s="541"/>
      <c r="C699" s="11" t="s">
        <v>11298</v>
      </c>
      <c r="D699" s="533">
        <v>0.75</v>
      </c>
      <c r="E699" s="533">
        <v>0.75</v>
      </c>
      <c r="F699" s="11" t="s">
        <v>1656</v>
      </c>
      <c r="G699" s="10"/>
      <c r="H699" s="11" t="s">
        <v>11299</v>
      </c>
      <c r="I699" s="10"/>
      <c r="J699" s="536" t="s">
        <v>12196</v>
      </c>
      <c r="K699" s="536">
        <v>2345.0</v>
      </c>
    </row>
    <row r="700" hidden="1">
      <c r="A700" s="531" t="s">
        <v>12197</v>
      </c>
      <c r="B700" s="541"/>
      <c r="C700" s="11" t="s">
        <v>11298</v>
      </c>
      <c r="D700" s="533">
        <v>0.75</v>
      </c>
      <c r="E700" s="533">
        <v>0.75</v>
      </c>
      <c r="F700" s="11" t="s">
        <v>1656</v>
      </c>
      <c r="G700" s="10"/>
      <c r="H700" s="11" t="s">
        <v>11299</v>
      </c>
      <c r="I700" s="10"/>
      <c r="J700" s="536" t="s">
        <v>11807</v>
      </c>
      <c r="K700" s="536">
        <v>6732.0</v>
      </c>
    </row>
    <row r="701" hidden="1">
      <c r="A701" s="531" t="s">
        <v>11621</v>
      </c>
      <c r="B701" s="541"/>
      <c r="C701" s="11" t="s">
        <v>11298</v>
      </c>
      <c r="D701" s="533">
        <v>0.75</v>
      </c>
      <c r="E701" s="533">
        <v>0.75</v>
      </c>
      <c r="F701" s="11" t="s">
        <v>1656</v>
      </c>
      <c r="G701" s="10"/>
      <c r="H701" s="11" t="s">
        <v>11299</v>
      </c>
      <c r="I701" s="10"/>
      <c r="J701" s="536" t="s">
        <v>12198</v>
      </c>
      <c r="K701" s="536">
        <v>5458.0</v>
      </c>
    </row>
    <row r="702" hidden="1">
      <c r="A702" s="531" t="s">
        <v>12199</v>
      </c>
      <c r="B702" s="531">
        <v>189.0</v>
      </c>
      <c r="C702" s="11" t="s">
        <v>11298</v>
      </c>
      <c r="D702" s="533">
        <v>0.88</v>
      </c>
      <c r="E702" s="533">
        <v>0.88</v>
      </c>
      <c r="F702" s="11" t="s">
        <v>1656</v>
      </c>
      <c r="G702" s="10"/>
      <c r="H702" s="11" t="s">
        <v>11299</v>
      </c>
      <c r="I702" s="10"/>
      <c r="J702" s="536" t="s">
        <v>12200</v>
      </c>
      <c r="K702" s="536">
        <v>2345.0</v>
      </c>
    </row>
    <row r="703" hidden="1">
      <c r="A703" s="531" t="s">
        <v>12201</v>
      </c>
      <c r="B703" s="532"/>
      <c r="C703" s="11" t="s">
        <v>11298</v>
      </c>
      <c r="D703" s="533">
        <v>0.75</v>
      </c>
      <c r="E703" s="533">
        <v>0.75</v>
      </c>
      <c r="F703" s="11" t="s">
        <v>1656</v>
      </c>
      <c r="G703" s="10"/>
      <c r="H703" s="11" t="s">
        <v>11299</v>
      </c>
      <c r="I703" s="10"/>
      <c r="J703" s="536" t="s">
        <v>12202</v>
      </c>
      <c r="K703" s="536">
        <v>6676.0</v>
      </c>
    </row>
    <row r="704" hidden="1">
      <c r="A704" s="531" t="s">
        <v>11292</v>
      </c>
      <c r="B704" s="541"/>
      <c r="C704" s="11" t="s">
        <v>11298</v>
      </c>
      <c r="D704" s="533">
        <v>0.75</v>
      </c>
      <c r="E704" s="533">
        <v>0.75</v>
      </c>
      <c r="F704" s="11" t="s">
        <v>1656</v>
      </c>
      <c r="G704" s="10"/>
      <c r="H704" s="11" t="s">
        <v>11299</v>
      </c>
      <c r="I704" s="10"/>
      <c r="J704" s="536" t="s">
        <v>12203</v>
      </c>
      <c r="K704" s="536">
        <v>3404.0</v>
      </c>
    </row>
    <row r="705" hidden="1">
      <c r="A705" s="531" t="s">
        <v>12204</v>
      </c>
      <c r="B705" s="531">
        <v>189.0</v>
      </c>
      <c r="C705" s="11" t="s">
        <v>11298</v>
      </c>
      <c r="D705" s="533">
        <v>0.88</v>
      </c>
      <c r="E705" s="533">
        <v>0.88</v>
      </c>
      <c r="F705" s="11" t="s">
        <v>1656</v>
      </c>
      <c r="G705" s="10"/>
      <c r="H705" s="11" t="s">
        <v>11299</v>
      </c>
      <c r="I705" s="10"/>
      <c r="J705" s="536" t="s">
        <v>12205</v>
      </c>
      <c r="K705" s="536">
        <v>2345.0</v>
      </c>
    </row>
    <row r="706" hidden="1">
      <c r="A706" s="531" t="s">
        <v>9733</v>
      </c>
      <c r="B706" s="531">
        <v>6697.0</v>
      </c>
      <c r="C706" s="11" t="s">
        <v>11298</v>
      </c>
      <c r="D706" s="533">
        <v>0.75</v>
      </c>
      <c r="E706" s="533">
        <v>0.75</v>
      </c>
      <c r="F706" s="11" t="s">
        <v>1656</v>
      </c>
      <c r="G706" s="10"/>
      <c r="H706" s="11" t="s">
        <v>11299</v>
      </c>
      <c r="I706" s="10"/>
      <c r="J706" s="536" t="s">
        <v>12206</v>
      </c>
      <c r="K706" s="536">
        <v>6732.0</v>
      </c>
    </row>
    <row r="707" hidden="1">
      <c r="A707" s="531" t="s">
        <v>12207</v>
      </c>
      <c r="B707" s="531">
        <v>189.0</v>
      </c>
      <c r="C707" s="11" t="s">
        <v>11298</v>
      </c>
      <c r="D707" s="533">
        <v>0.88</v>
      </c>
      <c r="E707" s="533">
        <v>0.88</v>
      </c>
      <c r="F707" s="11" t="s">
        <v>1656</v>
      </c>
      <c r="G707" s="10"/>
      <c r="H707" s="11" t="s">
        <v>11299</v>
      </c>
      <c r="I707" s="10"/>
      <c r="J707" s="536" t="s">
        <v>12208</v>
      </c>
      <c r="K707" s="536">
        <v>6732.0</v>
      </c>
    </row>
    <row r="708" hidden="1">
      <c r="A708" s="531" t="s">
        <v>12209</v>
      </c>
      <c r="B708" s="531">
        <v>189.0</v>
      </c>
      <c r="C708" s="11" t="s">
        <v>11298</v>
      </c>
      <c r="D708" s="533">
        <v>0.88</v>
      </c>
      <c r="E708" s="533">
        <v>0.88</v>
      </c>
      <c r="F708" s="11" t="s">
        <v>1656</v>
      </c>
      <c r="G708" s="10"/>
      <c r="H708" s="11" t="s">
        <v>11299</v>
      </c>
      <c r="I708" s="10"/>
      <c r="J708" s="536" t="s">
        <v>12210</v>
      </c>
      <c r="K708" s="536">
        <v>6732.0</v>
      </c>
    </row>
    <row r="709" hidden="1">
      <c r="A709" s="531" t="s">
        <v>11455</v>
      </c>
      <c r="B709" s="541"/>
      <c r="C709" s="11" t="s">
        <v>11298</v>
      </c>
      <c r="D709" s="533">
        <v>0.75</v>
      </c>
      <c r="E709" s="533">
        <v>0.75</v>
      </c>
      <c r="F709" s="11" t="s">
        <v>1656</v>
      </c>
      <c r="G709" s="10"/>
      <c r="H709" s="11" t="s">
        <v>11299</v>
      </c>
      <c r="I709" s="10"/>
      <c r="J709" s="536" t="s">
        <v>12211</v>
      </c>
      <c r="K709" s="536">
        <v>3404.0</v>
      </c>
    </row>
    <row r="710" hidden="1">
      <c r="A710" s="531" t="s">
        <v>12212</v>
      </c>
      <c r="B710" s="532"/>
      <c r="C710" s="11" t="s">
        <v>11298</v>
      </c>
      <c r="D710" s="533">
        <v>0.75</v>
      </c>
      <c r="E710" s="533">
        <v>0.75</v>
      </c>
      <c r="F710" s="11" t="s">
        <v>1656</v>
      </c>
      <c r="G710" s="10"/>
      <c r="H710" s="11" t="s">
        <v>11299</v>
      </c>
      <c r="I710" s="10"/>
      <c r="J710" s="536" t="s">
        <v>11609</v>
      </c>
      <c r="K710" s="536">
        <v>2345.0</v>
      </c>
    </row>
    <row r="711" hidden="1">
      <c r="A711" s="531" t="s">
        <v>12213</v>
      </c>
      <c r="B711" s="531">
        <v>7983.0</v>
      </c>
      <c r="C711" s="11" t="s">
        <v>11298</v>
      </c>
      <c r="D711" s="533">
        <v>0.75</v>
      </c>
      <c r="E711" s="533">
        <v>0.75</v>
      </c>
      <c r="F711" s="11" t="s">
        <v>1656</v>
      </c>
      <c r="G711" s="10"/>
      <c r="H711" s="11" t="s">
        <v>11299</v>
      </c>
      <c r="I711" s="10"/>
      <c r="J711" s="536" t="s">
        <v>12214</v>
      </c>
      <c r="K711" s="536">
        <v>6732.0</v>
      </c>
    </row>
    <row r="712" hidden="1">
      <c r="A712" s="531" t="s">
        <v>11662</v>
      </c>
      <c r="B712" s="541"/>
      <c r="C712" s="11" t="s">
        <v>11298</v>
      </c>
      <c r="D712" s="533">
        <v>0.75</v>
      </c>
      <c r="E712" s="533">
        <v>0.75</v>
      </c>
      <c r="F712" s="11" t="s">
        <v>1656</v>
      </c>
      <c r="G712" s="10"/>
      <c r="H712" s="11" t="s">
        <v>11299</v>
      </c>
      <c r="I712" s="10"/>
      <c r="J712" s="536" t="s">
        <v>11460</v>
      </c>
      <c r="K712" s="536">
        <v>6732.0</v>
      </c>
    </row>
    <row r="713" hidden="1">
      <c r="A713" s="531" t="s">
        <v>11616</v>
      </c>
      <c r="B713" s="541"/>
      <c r="C713" s="11" t="s">
        <v>11298</v>
      </c>
      <c r="D713" s="533">
        <v>0.75</v>
      </c>
      <c r="E713" s="533">
        <v>0.75</v>
      </c>
      <c r="F713" s="11" t="s">
        <v>1656</v>
      </c>
      <c r="G713" s="10"/>
      <c r="H713" s="11" t="s">
        <v>11299</v>
      </c>
      <c r="I713" s="10"/>
      <c r="J713" s="536" t="s">
        <v>12215</v>
      </c>
      <c r="K713" s="536">
        <v>6732.0</v>
      </c>
    </row>
    <row r="714" hidden="1">
      <c r="A714" s="531" t="s">
        <v>12216</v>
      </c>
      <c r="B714" s="531">
        <v>6924.0</v>
      </c>
      <c r="C714" s="11" t="s">
        <v>11298</v>
      </c>
      <c r="D714" s="533">
        <v>0.75</v>
      </c>
      <c r="E714" s="533">
        <v>0.75</v>
      </c>
      <c r="F714" s="11" t="s">
        <v>1656</v>
      </c>
      <c r="G714" s="10"/>
      <c r="H714" s="11" t="s">
        <v>11299</v>
      </c>
      <c r="I714" s="10"/>
      <c r="J714" s="536" t="s">
        <v>12217</v>
      </c>
      <c r="K714" s="536">
        <v>2345.0</v>
      </c>
    </row>
    <row r="715" hidden="1">
      <c r="A715" s="531" t="s">
        <v>12218</v>
      </c>
      <c r="B715" s="531">
        <v>189.0</v>
      </c>
      <c r="C715" s="11" t="s">
        <v>11298</v>
      </c>
      <c r="D715" s="533">
        <v>0.88</v>
      </c>
      <c r="E715" s="533">
        <v>0.88</v>
      </c>
      <c r="F715" s="11" t="s">
        <v>1656</v>
      </c>
      <c r="G715" s="10"/>
      <c r="H715" s="11" t="s">
        <v>11299</v>
      </c>
      <c r="I715" s="10"/>
      <c r="J715" s="536" t="s">
        <v>11824</v>
      </c>
      <c r="K715" s="536">
        <v>189.0</v>
      </c>
    </row>
    <row r="716" hidden="1">
      <c r="A716" s="531" t="s">
        <v>11413</v>
      </c>
      <c r="B716" s="531">
        <v>6777.0</v>
      </c>
      <c r="C716" s="11" t="s">
        <v>11298</v>
      </c>
      <c r="D716" s="533">
        <v>0.75</v>
      </c>
      <c r="E716" s="533">
        <v>0.75</v>
      </c>
      <c r="F716" s="11" t="s">
        <v>1656</v>
      </c>
      <c r="G716" s="10"/>
      <c r="H716" s="11" t="s">
        <v>11299</v>
      </c>
      <c r="I716" s="10"/>
      <c r="J716" s="536" t="s">
        <v>12219</v>
      </c>
      <c r="K716" s="536">
        <v>2345.0</v>
      </c>
    </row>
    <row r="717" hidden="1">
      <c r="A717" s="531" t="s">
        <v>11420</v>
      </c>
      <c r="B717" s="531">
        <v>986.0</v>
      </c>
      <c r="C717" s="11" t="s">
        <v>11298</v>
      </c>
      <c r="D717" s="533">
        <v>0.85</v>
      </c>
      <c r="E717" s="533">
        <v>0.85</v>
      </c>
      <c r="F717" s="11" t="s">
        <v>1656</v>
      </c>
      <c r="G717" s="10"/>
      <c r="H717" s="11" t="s">
        <v>11299</v>
      </c>
      <c r="I717" s="10"/>
      <c r="J717" s="536" t="s">
        <v>12220</v>
      </c>
      <c r="K717" s="536">
        <v>2345.0</v>
      </c>
    </row>
    <row r="718" hidden="1">
      <c r="A718" s="531" t="s">
        <v>11604</v>
      </c>
      <c r="B718" s="531">
        <v>2345.0</v>
      </c>
      <c r="C718" s="11" t="s">
        <v>11298</v>
      </c>
      <c r="D718" s="533">
        <v>0.9</v>
      </c>
      <c r="E718" s="533">
        <v>0.9</v>
      </c>
      <c r="F718" s="11" t="s">
        <v>1656</v>
      </c>
      <c r="G718" s="10"/>
      <c r="H718" s="11" t="s">
        <v>11299</v>
      </c>
      <c r="I718" s="10"/>
      <c r="J718" s="536" t="s">
        <v>11396</v>
      </c>
      <c r="K718" s="536">
        <v>3404.0</v>
      </c>
    </row>
    <row r="719" hidden="1">
      <c r="A719" s="531" t="s">
        <v>11632</v>
      </c>
      <c r="B719" s="541"/>
      <c r="C719" s="11" t="s">
        <v>11298</v>
      </c>
      <c r="D719" s="533">
        <v>0.75</v>
      </c>
      <c r="E719" s="533">
        <v>0.75</v>
      </c>
      <c r="F719" s="11" t="s">
        <v>1656</v>
      </c>
      <c r="G719" s="10"/>
      <c r="H719" s="11" t="s">
        <v>11299</v>
      </c>
      <c r="I719" s="10"/>
      <c r="J719" s="536" t="s">
        <v>12221</v>
      </c>
      <c r="K719" s="536">
        <v>3404.0</v>
      </c>
    </row>
    <row r="720" hidden="1">
      <c r="A720" s="531" t="s">
        <v>11690</v>
      </c>
      <c r="B720" s="531">
        <v>2345.0</v>
      </c>
      <c r="C720" s="11" t="s">
        <v>11298</v>
      </c>
      <c r="D720" s="533">
        <v>0.9</v>
      </c>
      <c r="E720" s="533">
        <v>0.9</v>
      </c>
      <c r="F720" s="11" t="s">
        <v>1656</v>
      </c>
      <c r="G720" s="10"/>
      <c r="H720" s="11" t="s">
        <v>11299</v>
      </c>
      <c r="I720" s="10"/>
      <c r="J720" s="536" t="s">
        <v>12222</v>
      </c>
      <c r="K720" s="536">
        <v>6780.0</v>
      </c>
    </row>
    <row r="721" hidden="1">
      <c r="A721" s="531" t="s">
        <v>12223</v>
      </c>
      <c r="B721" s="541"/>
      <c r="C721" s="11" t="s">
        <v>11298</v>
      </c>
      <c r="D721" s="533">
        <v>0.75</v>
      </c>
      <c r="E721" s="533">
        <v>0.75</v>
      </c>
      <c r="F721" s="11" t="s">
        <v>1656</v>
      </c>
      <c r="G721" s="10"/>
      <c r="H721" s="11" t="s">
        <v>11299</v>
      </c>
      <c r="I721" s="10"/>
      <c r="J721" s="536" t="s">
        <v>12224</v>
      </c>
      <c r="K721" s="536">
        <v>2345.0</v>
      </c>
    </row>
    <row r="722" hidden="1">
      <c r="A722" s="531" t="s">
        <v>11497</v>
      </c>
      <c r="B722" s="541"/>
      <c r="C722" s="11" t="s">
        <v>11298</v>
      </c>
      <c r="D722" s="533">
        <v>0.75</v>
      </c>
      <c r="E722" s="533">
        <v>0.75</v>
      </c>
      <c r="F722" s="11" t="s">
        <v>1656</v>
      </c>
      <c r="G722" s="10"/>
      <c r="H722" s="11" t="s">
        <v>11299</v>
      </c>
      <c r="I722" s="10"/>
      <c r="J722" s="536" t="s">
        <v>12225</v>
      </c>
      <c r="K722" s="536">
        <v>5488.0</v>
      </c>
    </row>
    <row r="723" hidden="1">
      <c r="A723" s="531" t="s">
        <v>11589</v>
      </c>
      <c r="B723" s="531">
        <v>14757.0</v>
      </c>
      <c r="C723" s="11" t="s">
        <v>11298</v>
      </c>
      <c r="D723" s="533">
        <v>0.75</v>
      </c>
      <c r="E723" s="533">
        <v>0.75</v>
      </c>
      <c r="F723" s="11" t="s">
        <v>1656</v>
      </c>
      <c r="G723" s="10"/>
      <c r="H723" s="11" t="s">
        <v>11299</v>
      </c>
      <c r="I723" s="10"/>
      <c r="J723" s="536" t="s">
        <v>11634</v>
      </c>
      <c r="K723" s="536">
        <v>6727.0</v>
      </c>
    </row>
    <row r="724" hidden="1">
      <c r="A724" s="531" t="s">
        <v>12226</v>
      </c>
      <c r="B724" s="532"/>
      <c r="C724" s="11" t="s">
        <v>11298</v>
      </c>
      <c r="D724" s="533">
        <v>0.75</v>
      </c>
      <c r="E724" s="533">
        <v>0.75</v>
      </c>
      <c r="F724" s="11" t="s">
        <v>1656</v>
      </c>
      <c r="G724" s="10"/>
      <c r="H724" s="11" t="s">
        <v>11299</v>
      </c>
      <c r="I724" s="10"/>
      <c r="J724" s="536" t="s">
        <v>12227</v>
      </c>
      <c r="K724" s="536">
        <v>6727.0</v>
      </c>
    </row>
    <row r="725" hidden="1">
      <c r="A725" s="531" t="s">
        <v>12228</v>
      </c>
      <c r="B725" s="531">
        <v>2093.0</v>
      </c>
      <c r="C725" s="11" t="s">
        <v>11298</v>
      </c>
      <c r="D725" s="533">
        <v>0.75</v>
      </c>
      <c r="E725" s="533">
        <v>0.75</v>
      </c>
      <c r="F725" s="11" t="s">
        <v>1656</v>
      </c>
      <c r="G725" s="10"/>
      <c r="H725" s="11" t="s">
        <v>11299</v>
      </c>
      <c r="I725" s="10"/>
      <c r="J725" s="536" t="s">
        <v>12079</v>
      </c>
      <c r="K725" s="536">
        <v>6727.0</v>
      </c>
    </row>
    <row r="726" hidden="1">
      <c r="A726" s="531" t="s">
        <v>12229</v>
      </c>
      <c r="B726" s="531">
        <v>2093.0</v>
      </c>
      <c r="C726" s="11" t="s">
        <v>11298</v>
      </c>
      <c r="D726" s="533">
        <v>0.75</v>
      </c>
      <c r="E726" s="533">
        <v>0.75</v>
      </c>
      <c r="F726" s="11" t="s">
        <v>1656</v>
      </c>
      <c r="G726" s="10"/>
      <c r="H726" s="11" t="s">
        <v>11299</v>
      </c>
      <c r="I726" s="10"/>
      <c r="J726" s="536" t="s">
        <v>12230</v>
      </c>
      <c r="K726" s="536">
        <v>6727.0</v>
      </c>
    </row>
    <row r="727" hidden="1">
      <c r="A727" s="531" t="s">
        <v>11536</v>
      </c>
      <c r="B727" s="531">
        <v>2345.0</v>
      </c>
      <c r="C727" s="11" t="s">
        <v>11298</v>
      </c>
      <c r="D727" s="533">
        <v>0.9</v>
      </c>
      <c r="E727" s="533">
        <v>0.9</v>
      </c>
      <c r="F727" s="11" t="s">
        <v>1656</v>
      </c>
      <c r="G727" s="10"/>
      <c r="H727" s="11" t="s">
        <v>11299</v>
      </c>
      <c r="I727" s="10"/>
      <c r="J727" s="536" t="s">
        <v>12231</v>
      </c>
      <c r="K727" s="536">
        <v>6727.0</v>
      </c>
    </row>
    <row r="728" hidden="1">
      <c r="A728" s="531" t="s">
        <v>12232</v>
      </c>
      <c r="B728" s="541"/>
      <c r="C728" s="11" t="s">
        <v>11298</v>
      </c>
      <c r="D728" s="533">
        <v>0.75</v>
      </c>
      <c r="E728" s="533">
        <v>0.75</v>
      </c>
      <c r="F728" s="11" t="s">
        <v>1656</v>
      </c>
      <c r="G728" s="10"/>
      <c r="H728" s="11" t="s">
        <v>11299</v>
      </c>
      <c r="I728" s="10"/>
      <c r="J728" s="536" t="s">
        <v>12233</v>
      </c>
      <c r="K728" s="536">
        <v>6727.0</v>
      </c>
    </row>
    <row r="729" hidden="1">
      <c r="A729" s="531" t="s">
        <v>12234</v>
      </c>
      <c r="B729" s="531">
        <v>6732.0</v>
      </c>
      <c r="C729" s="11" t="s">
        <v>11298</v>
      </c>
      <c r="D729" s="533">
        <v>0.8</v>
      </c>
      <c r="E729" s="533">
        <v>0.8</v>
      </c>
      <c r="F729" s="11" t="s">
        <v>1656</v>
      </c>
      <c r="G729" s="10"/>
      <c r="H729" s="11" t="s">
        <v>11299</v>
      </c>
      <c r="I729" s="10"/>
      <c r="J729" s="536" t="s">
        <v>12235</v>
      </c>
      <c r="K729" s="536">
        <v>6727.0</v>
      </c>
    </row>
    <row r="730" hidden="1">
      <c r="A730" s="531" t="s">
        <v>11792</v>
      </c>
      <c r="B730" s="531">
        <v>6106.0</v>
      </c>
      <c r="C730" s="11" t="s">
        <v>11298</v>
      </c>
      <c r="D730" s="533">
        <v>0.75</v>
      </c>
      <c r="E730" s="533">
        <v>0.75</v>
      </c>
      <c r="F730" s="11" t="s">
        <v>1656</v>
      </c>
      <c r="G730" s="10"/>
      <c r="H730" s="11" t="s">
        <v>11299</v>
      </c>
      <c r="I730" s="10"/>
      <c r="J730" s="536" t="s">
        <v>12236</v>
      </c>
      <c r="K730" s="536">
        <v>6727.0</v>
      </c>
    </row>
    <row r="731" hidden="1">
      <c r="A731" s="531" t="s">
        <v>12237</v>
      </c>
      <c r="B731" s="541"/>
      <c r="C731" s="11" t="s">
        <v>11298</v>
      </c>
      <c r="D731" s="533">
        <v>0.75</v>
      </c>
      <c r="E731" s="533">
        <v>0.75</v>
      </c>
      <c r="F731" s="11" t="s">
        <v>1656</v>
      </c>
      <c r="G731" s="10"/>
      <c r="H731" s="11" t="s">
        <v>11299</v>
      </c>
      <c r="I731" s="10"/>
      <c r="J731" s="536" t="s">
        <v>12238</v>
      </c>
      <c r="K731" s="536">
        <v>6727.0</v>
      </c>
    </row>
    <row r="732" hidden="1">
      <c r="A732" s="531" t="s">
        <v>11371</v>
      </c>
      <c r="B732" s="531">
        <v>14735.0</v>
      </c>
      <c r="C732" s="11" t="s">
        <v>11298</v>
      </c>
      <c r="D732" s="533">
        <v>0.75</v>
      </c>
      <c r="E732" s="533">
        <v>0.75</v>
      </c>
      <c r="F732" s="11" t="s">
        <v>1656</v>
      </c>
      <c r="G732" s="10"/>
      <c r="H732" s="11" t="s">
        <v>11299</v>
      </c>
      <c r="I732" s="10"/>
      <c r="J732" s="536" t="s">
        <v>12239</v>
      </c>
      <c r="K732" s="536">
        <v>6727.0</v>
      </c>
    </row>
    <row r="733" hidden="1">
      <c r="A733" s="531" t="s">
        <v>12240</v>
      </c>
      <c r="B733" s="531">
        <v>6658.0</v>
      </c>
      <c r="C733" s="11" t="s">
        <v>11298</v>
      </c>
      <c r="D733" s="533">
        <v>0.85</v>
      </c>
      <c r="E733" s="533">
        <v>0.85</v>
      </c>
      <c r="F733" s="11" t="s">
        <v>1656</v>
      </c>
      <c r="G733" s="10"/>
      <c r="H733" s="11" t="s">
        <v>11299</v>
      </c>
      <c r="I733" s="10"/>
      <c r="J733" s="536" t="s">
        <v>12241</v>
      </c>
      <c r="K733" s="536">
        <v>6732.0</v>
      </c>
    </row>
    <row r="734" hidden="1">
      <c r="A734" s="531" t="s">
        <v>12242</v>
      </c>
      <c r="B734" s="531">
        <v>6774.0</v>
      </c>
      <c r="C734" s="11" t="s">
        <v>11298</v>
      </c>
      <c r="D734" s="533">
        <v>0.75</v>
      </c>
      <c r="E734" s="533">
        <v>0.75</v>
      </c>
      <c r="F734" s="11" t="s">
        <v>1656</v>
      </c>
      <c r="G734" s="10"/>
      <c r="H734" s="11" t="s">
        <v>11299</v>
      </c>
      <c r="I734" s="10"/>
      <c r="J734" s="536" t="s">
        <v>11505</v>
      </c>
      <c r="K734" s="536">
        <v>6732.0</v>
      </c>
    </row>
    <row r="735" hidden="1">
      <c r="A735" s="531" t="s">
        <v>11417</v>
      </c>
      <c r="B735" s="531">
        <v>986.0</v>
      </c>
      <c r="C735" s="11" t="s">
        <v>11298</v>
      </c>
      <c r="D735" s="533">
        <v>0.85</v>
      </c>
      <c r="E735" s="533">
        <v>0.85</v>
      </c>
      <c r="F735" s="11" t="s">
        <v>1656</v>
      </c>
      <c r="G735" s="10"/>
      <c r="H735" s="11" t="s">
        <v>11299</v>
      </c>
      <c r="I735" s="10"/>
      <c r="J735" s="536" t="s">
        <v>12243</v>
      </c>
      <c r="K735" s="536">
        <v>6732.0</v>
      </c>
    </row>
    <row r="736" hidden="1">
      <c r="A736" s="531" t="s">
        <v>12244</v>
      </c>
      <c r="B736" s="531">
        <v>6732.0</v>
      </c>
      <c r="C736" s="11" t="s">
        <v>11298</v>
      </c>
      <c r="D736" s="533">
        <v>0.8</v>
      </c>
      <c r="E736" s="533">
        <v>0.8</v>
      </c>
      <c r="F736" s="11" t="s">
        <v>1656</v>
      </c>
      <c r="G736" s="10"/>
      <c r="H736" s="11" t="s">
        <v>11299</v>
      </c>
      <c r="I736" s="10"/>
      <c r="J736" s="536" t="s">
        <v>12245</v>
      </c>
      <c r="K736" s="536">
        <v>6732.0</v>
      </c>
    </row>
    <row r="737" hidden="1">
      <c r="A737" s="531" t="s">
        <v>11495</v>
      </c>
      <c r="B737" s="541"/>
      <c r="C737" s="11" t="s">
        <v>11298</v>
      </c>
      <c r="D737" s="533">
        <v>0.75</v>
      </c>
      <c r="E737" s="533">
        <v>0.75</v>
      </c>
      <c r="F737" s="11" t="s">
        <v>1656</v>
      </c>
      <c r="G737" s="10"/>
      <c r="H737" s="11" t="s">
        <v>11299</v>
      </c>
      <c r="I737" s="10"/>
      <c r="J737" s="536" t="s">
        <v>12246</v>
      </c>
      <c r="K737" s="536">
        <v>6732.0</v>
      </c>
    </row>
    <row r="738" hidden="1">
      <c r="A738" s="531" t="s">
        <v>11186</v>
      </c>
      <c r="B738" s="531">
        <v>6132.0</v>
      </c>
      <c r="C738" s="11" t="s">
        <v>11298</v>
      </c>
      <c r="D738" s="533">
        <v>0.75</v>
      </c>
      <c r="E738" s="533">
        <v>0.75</v>
      </c>
      <c r="F738" s="11" t="s">
        <v>1656</v>
      </c>
      <c r="G738" s="10"/>
      <c r="H738" s="11" t="s">
        <v>11299</v>
      </c>
      <c r="I738" s="10"/>
      <c r="J738" s="536" t="s">
        <v>12247</v>
      </c>
      <c r="K738" s="536">
        <v>6732.0</v>
      </c>
    </row>
    <row r="739" hidden="1">
      <c r="A739" s="531" t="s">
        <v>11600</v>
      </c>
      <c r="B739" s="531">
        <v>2345.0</v>
      </c>
      <c r="C739" s="11" t="s">
        <v>11298</v>
      </c>
      <c r="D739" s="533">
        <v>0.9</v>
      </c>
      <c r="E739" s="533">
        <v>0.9</v>
      </c>
      <c r="F739" s="11" t="s">
        <v>1656</v>
      </c>
      <c r="G739" s="10"/>
      <c r="H739" s="11" t="s">
        <v>11299</v>
      </c>
      <c r="I739" s="10"/>
      <c r="J739" s="536" t="s">
        <v>12248</v>
      </c>
      <c r="K739" s="536">
        <v>6732.0</v>
      </c>
    </row>
    <row r="740" hidden="1">
      <c r="A740" s="531" t="s">
        <v>12249</v>
      </c>
      <c r="B740" s="544">
        <v>14636.0</v>
      </c>
      <c r="C740" s="11" t="s">
        <v>11298</v>
      </c>
      <c r="D740" s="533">
        <v>0.75</v>
      </c>
      <c r="E740" s="533">
        <v>0.75</v>
      </c>
      <c r="F740" s="11" t="s">
        <v>1656</v>
      </c>
      <c r="G740" s="10"/>
      <c r="H740" s="11" t="s">
        <v>11299</v>
      </c>
      <c r="I740" s="10"/>
      <c r="J740" s="536" t="s">
        <v>12250</v>
      </c>
      <c r="K740" s="536">
        <v>6732.0</v>
      </c>
    </row>
    <row r="741" hidden="1">
      <c r="A741" s="531" t="s">
        <v>12251</v>
      </c>
      <c r="B741" s="531">
        <v>8486.0</v>
      </c>
      <c r="C741" s="11" t="s">
        <v>11298</v>
      </c>
      <c r="D741" s="533">
        <v>0.88</v>
      </c>
      <c r="E741" s="533">
        <v>0.88</v>
      </c>
      <c r="F741" s="11" t="s">
        <v>1656</v>
      </c>
      <c r="G741" s="10"/>
      <c r="H741" s="11" t="s">
        <v>11299</v>
      </c>
      <c r="I741" s="10"/>
      <c r="J741" s="536" t="s">
        <v>12252</v>
      </c>
      <c r="K741" s="536">
        <v>6732.0</v>
      </c>
    </row>
    <row r="742" hidden="1">
      <c r="A742" s="531" t="s">
        <v>11569</v>
      </c>
      <c r="B742" s="531">
        <v>986.0</v>
      </c>
      <c r="C742" s="11" t="s">
        <v>11298</v>
      </c>
      <c r="D742" s="533">
        <v>0.85</v>
      </c>
      <c r="E742" s="533">
        <v>0.85</v>
      </c>
      <c r="F742" s="11" t="s">
        <v>1656</v>
      </c>
      <c r="G742" s="10"/>
      <c r="H742" s="11" t="s">
        <v>11299</v>
      </c>
      <c r="I742" s="10"/>
      <c r="J742" s="536" t="s">
        <v>12253</v>
      </c>
      <c r="K742" s="536">
        <v>6732.0</v>
      </c>
    </row>
    <row r="743" hidden="1">
      <c r="A743" s="531" t="s">
        <v>12254</v>
      </c>
      <c r="B743" s="531">
        <v>14677.0</v>
      </c>
      <c r="C743" s="11" t="s">
        <v>11298</v>
      </c>
      <c r="D743" s="533">
        <v>0.75</v>
      </c>
      <c r="E743" s="533">
        <v>0.75</v>
      </c>
      <c r="F743" s="11" t="s">
        <v>1656</v>
      </c>
      <c r="G743" s="10"/>
      <c r="H743" s="11" t="s">
        <v>11299</v>
      </c>
      <c r="I743" s="10"/>
      <c r="J743" s="536" t="s">
        <v>12255</v>
      </c>
      <c r="K743" s="536">
        <v>986.0</v>
      </c>
    </row>
    <row r="744" hidden="1">
      <c r="A744" s="531" t="s">
        <v>12256</v>
      </c>
      <c r="B744" s="541"/>
      <c r="C744" s="11" t="s">
        <v>11298</v>
      </c>
      <c r="D744" s="533">
        <v>0.75</v>
      </c>
      <c r="E744" s="533">
        <v>0.75</v>
      </c>
      <c r="F744" s="11" t="s">
        <v>1656</v>
      </c>
      <c r="G744" s="10"/>
      <c r="H744" s="11" t="s">
        <v>11299</v>
      </c>
      <c r="I744" s="10"/>
      <c r="J744" s="536" t="s">
        <v>11660</v>
      </c>
      <c r="K744" s="536">
        <v>986.0</v>
      </c>
    </row>
    <row r="745" hidden="1">
      <c r="A745" s="531" t="s">
        <v>11290</v>
      </c>
      <c r="B745" s="531">
        <v>2345.0</v>
      </c>
      <c r="C745" s="11" t="s">
        <v>11298</v>
      </c>
      <c r="D745" s="533">
        <v>0.9</v>
      </c>
      <c r="E745" s="533">
        <v>0.9</v>
      </c>
      <c r="F745" s="11" t="s">
        <v>1656</v>
      </c>
      <c r="G745" s="10"/>
      <c r="H745" s="11" t="s">
        <v>11299</v>
      </c>
      <c r="I745" s="10"/>
      <c r="J745" s="536" t="s">
        <v>12257</v>
      </c>
      <c r="K745" s="536">
        <v>986.0</v>
      </c>
    </row>
    <row r="746" hidden="1">
      <c r="A746" s="531" t="s">
        <v>11666</v>
      </c>
      <c r="B746" s="531">
        <v>2345.0</v>
      </c>
      <c r="C746" s="11" t="s">
        <v>11298</v>
      </c>
      <c r="D746" s="533">
        <v>0.9</v>
      </c>
      <c r="E746" s="533">
        <v>0.9</v>
      </c>
      <c r="F746" s="11" t="s">
        <v>1656</v>
      </c>
      <c r="G746" s="10"/>
      <c r="H746" s="11" t="s">
        <v>11299</v>
      </c>
      <c r="I746" s="10"/>
      <c r="J746" s="536" t="s">
        <v>11456</v>
      </c>
      <c r="K746" s="536">
        <v>986.0</v>
      </c>
    </row>
    <row r="747" hidden="1">
      <c r="A747" s="531" t="s">
        <v>12165</v>
      </c>
      <c r="B747" s="531">
        <v>6732.0</v>
      </c>
      <c r="C747" s="11" t="s">
        <v>11298</v>
      </c>
      <c r="D747" s="533">
        <v>0.8</v>
      </c>
      <c r="E747" s="533">
        <v>0.8</v>
      </c>
      <c r="F747" s="11" t="s">
        <v>1656</v>
      </c>
      <c r="G747" s="10"/>
      <c r="H747" s="11" t="s">
        <v>11299</v>
      </c>
      <c r="I747" s="10"/>
      <c r="J747" s="536" t="s">
        <v>11425</v>
      </c>
      <c r="K747" s="536">
        <v>986.0</v>
      </c>
    </row>
    <row r="748" hidden="1">
      <c r="A748" s="531">
        <v>529.0</v>
      </c>
      <c r="B748" s="532"/>
      <c r="C748" s="11" t="s">
        <v>11298</v>
      </c>
      <c r="D748" s="533">
        <v>0.75</v>
      </c>
      <c r="E748" s="533">
        <v>0.75</v>
      </c>
      <c r="F748" s="11" t="s">
        <v>1656</v>
      </c>
      <c r="G748" s="10"/>
      <c r="H748" s="11" t="s">
        <v>11299</v>
      </c>
      <c r="I748" s="10"/>
      <c r="J748" s="536" t="s">
        <v>11550</v>
      </c>
      <c r="K748" s="536">
        <v>986.0</v>
      </c>
    </row>
    <row r="749" hidden="1">
      <c r="A749" s="531" t="s">
        <v>9683</v>
      </c>
      <c r="B749" s="531">
        <v>7017.0</v>
      </c>
      <c r="C749" s="11" t="s">
        <v>11298</v>
      </c>
      <c r="D749" s="533">
        <v>0.75</v>
      </c>
      <c r="E749" s="533">
        <v>0.75</v>
      </c>
      <c r="F749" s="11" t="s">
        <v>1656</v>
      </c>
      <c r="G749" s="10"/>
      <c r="H749" s="11" t="s">
        <v>11299</v>
      </c>
      <c r="I749" s="10"/>
      <c r="J749" s="536" t="s">
        <v>12258</v>
      </c>
      <c r="K749" s="536">
        <v>986.0</v>
      </c>
    </row>
    <row r="750" hidden="1">
      <c r="A750" s="531" t="s">
        <v>11428</v>
      </c>
      <c r="B750" s="541"/>
      <c r="C750" s="11" t="s">
        <v>11298</v>
      </c>
      <c r="D750" s="533">
        <v>0.75</v>
      </c>
      <c r="E750" s="533">
        <v>0.75</v>
      </c>
      <c r="F750" s="11" t="s">
        <v>1656</v>
      </c>
      <c r="G750" s="10"/>
      <c r="H750" s="11" t="s">
        <v>11299</v>
      </c>
      <c r="I750" s="10"/>
      <c r="J750" s="536" t="s">
        <v>11976</v>
      </c>
      <c r="K750" s="536">
        <v>986.0</v>
      </c>
    </row>
    <row r="751" hidden="1">
      <c r="A751" s="531" t="s">
        <v>11759</v>
      </c>
      <c r="B751" s="531">
        <v>189.0</v>
      </c>
      <c r="C751" s="11" t="s">
        <v>11298</v>
      </c>
      <c r="D751" s="533">
        <v>0.88</v>
      </c>
      <c r="E751" s="533">
        <v>0.88</v>
      </c>
      <c r="F751" s="11" t="s">
        <v>1656</v>
      </c>
      <c r="G751" s="10"/>
      <c r="H751" s="11" t="s">
        <v>11299</v>
      </c>
      <c r="I751" s="10"/>
      <c r="J751" s="536" t="s">
        <v>12259</v>
      </c>
      <c r="K751" s="536">
        <v>986.0</v>
      </c>
    </row>
    <row r="752" hidden="1">
      <c r="A752" s="531" t="s">
        <v>12260</v>
      </c>
      <c r="B752" s="532"/>
      <c r="C752" s="11" t="s">
        <v>11298</v>
      </c>
      <c r="D752" s="533">
        <v>0.75</v>
      </c>
      <c r="E752" s="533">
        <v>0.75</v>
      </c>
      <c r="F752" s="11" t="s">
        <v>1656</v>
      </c>
      <c r="G752" s="10"/>
      <c r="H752" s="11" t="s">
        <v>11299</v>
      </c>
      <c r="I752" s="10"/>
      <c r="J752" s="536" t="s">
        <v>12261</v>
      </c>
      <c r="K752" s="536">
        <v>986.0</v>
      </c>
    </row>
    <row r="753" hidden="1">
      <c r="A753" s="531" t="s">
        <v>9781</v>
      </c>
      <c r="B753" s="544">
        <v>7734.0</v>
      </c>
      <c r="C753" s="11" t="s">
        <v>11298</v>
      </c>
      <c r="D753" s="533">
        <v>0.75</v>
      </c>
      <c r="E753" s="533">
        <v>0.75</v>
      </c>
      <c r="F753" s="11" t="s">
        <v>1656</v>
      </c>
      <c r="G753" s="10"/>
      <c r="H753" s="11" t="s">
        <v>11299</v>
      </c>
      <c r="I753" s="10"/>
      <c r="J753" s="536" t="s">
        <v>12262</v>
      </c>
      <c r="K753" s="536">
        <v>986.0</v>
      </c>
    </row>
    <row r="754" hidden="1">
      <c r="A754" s="531" t="s">
        <v>11430</v>
      </c>
      <c r="B754" s="531">
        <v>986.0</v>
      </c>
      <c r="C754" s="11" t="s">
        <v>11298</v>
      </c>
      <c r="D754" s="533">
        <v>0.85</v>
      </c>
      <c r="E754" s="533">
        <v>0.85</v>
      </c>
      <c r="F754" s="11" t="s">
        <v>1656</v>
      </c>
      <c r="G754" s="10"/>
      <c r="H754" s="11" t="s">
        <v>11299</v>
      </c>
      <c r="I754" s="10"/>
      <c r="J754" s="536" t="s">
        <v>11846</v>
      </c>
      <c r="K754" s="536">
        <v>986.0</v>
      </c>
    </row>
    <row r="755" hidden="1">
      <c r="A755" s="531" t="s">
        <v>12183</v>
      </c>
      <c r="B755" s="531">
        <v>3404.0</v>
      </c>
      <c r="C755" s="11" t="s">
        <v>11298</v>
      </c>
      <c r="D755" s="533">
        <v>0.75</v>
      </c>
      <c r="E755" s="533">
        <v>0.75</v>
      </c>
      <c r="F755" s="11" t="s">
        <v>1656</v>
      </c>
      <c r="G755" s="10"/>
      <c r="H755" s="11" t="s">
        <v>11299</v>
      </c>
      <c r="I755" s="10"/>
      <c r="J755" s="536" t="s">
        <v>12263</v>
      </c>
      <c r="K755" s="536">
        <v>986.0</v>
      </c>
    </row>
    <row r="756" hidden="1">
      <c r="A756" s="531" t="s">
        <v>11154</v>
      </c>
      <c r="B756" s="531">
        <v>7100.0</v>
      </c>
      <c r="C756" s="11" t="s">
        <v>11298</v>
      </c>
      <c r="D756" s="533">
        <v>0.75</v>
      </c>
      <c r="E756" s="533">
        <v>0.75</v>
      </c>
      <c r="F756" s="11" t="s">
        <v>1656</v>
      </c>
      <c r="G756" s="10"/>
      <c r="H756" s="11" t="s">
        <v>11299</v>
      </c>
      <c r="I756" s="10"/>
      <c r="J756" s="536" t="s">
        <v>12264</v>
      </c>
      <c r="K756" s="536">
        <v>986.0</v>
      </c>
    </row>
    <row r="757" hidden="1">
      <c r="A757" s="531" t="s">
        <v>11174</v>
      </c>
      <c r="B757" s="531">
        <v>663.0</v>
      </c>
      <c r="C757" s="11" t="s">
        <v>11298</v>
      </c>
      <c r="D757" s="533">
        <v>0.85</v>
      </c>
      <c r="E757" s="533">
        <v>0.85</v>
      </c>
      <c r="F757" s="11" t="s">
        <v>1656</v>
      </c>
      <c r="G757" s="10"/>
      <c r="H757" s="11" t="s">
        <v>11299</v>
      </c>
      <c r="I757" s="10"/>
      <c r="J757" s="536" t="s">
        <v>12265</v>
      </c>
      <c r="K757" s="536">
        <v>986.0</v>
      </c>
    </row>
    <row r="758" hidden="1">
      <c r="A758" s="531" t="s">
        <v>12266</v>
      </c>
      <c r="B758" s="531">
        <v>14102.0</v>
      </c>
      <c r="C758" s="11" t="s">
        <v>11298</v>
      </c>
      <c r="D758" s="533">
        <v>0.75</v>
      </c>
      <c r="E758" s="533">
        <v>0.75</v>
      </c>
      <c r="F758" s="11" t="s">
        <v>1656</v>
      </c>
      <c r="G758" s="10"/>
      <c r="H758" s="11" t="s">
        <v>11299</v>
      </c>
      <c r="I758" s="10"/>
      <c r="J758" s="536" t="s">
        <v>11931</v>
      </c>
      <c r="K758" s="536">
        <v>986.0</v>
      </c>
    </row>
    <row r="759" hidden="1">
      <c r="A759" s="531" t="s">
        <v>11624</v>
      </c>
      <c r="B759" s="531">
        <v>2345.0</v>
      </c>
      <c r="C759" s="11" t="s">
        <v>11298</v>
      </c>
      <c r="D759" s="533">
        <v>0.9</v>
      </c>
      <c r="E759" s="533">
        <v>0.9</v>
      </c>
      <c r="F759" s="11" t="s">
        <v>1656</v>
      </c>
      <c r="G759" s="10"/>
      <c r="H759" s="11" t="s">
        <v>11299</v>
      </c>
      <c r="I759" s="10"/>
      <c r="J759" s="536" t="s">
        <v>12267</v>
      </c>
      <c r="K759" s="536">
        <v>986.0</v>
      </c>
    </row>
    <row r="760" hidden="1">
      <c r="A760" s="531" t="s">
        <v>12268</v>
      </c>
      <c r="B760" s="541"/>
      <c r="C760" s="11" t="s">
        <v>11298</v>
      </c>
      <c r="D760" s="533">
        <v>0.75</v>
      </c>
      <c r="E760" s="533">
        <v>0.75</v>
      </c>
      <c r="F760" s="11" t="s">
        <v>1656</v>
      </c>
      <c r="G760" s="10"/>
      <c r="H760" s="11" t="s">
        <v>11299</v>
      </c>
      <c r="I760" s="10"/>
      <c r="J760" s="536" t="s">
        <v>12269</v>
      </c>
      <c r="K760" s="536">
        <v>986.0</v>
      </c>
    </row>
    <row r="761" hidden="1">
      <c r="A761" s="531" t="s">
        <v>12270</v>
      </c>
      <c r="B761" s="544">
        <v>14646.0</v>
      </c>
      <c r="C761" s="11" t="s">
        <v>11298</v>
      </c>
      <c r="D761" s="533">
        <v>0.75</v>
      </c>
      <c r="E761" s="533">
        <v>0.75</v>
      </c>
      <c r="F761" s="11" t="s">
        <v>1656</v>
      </c>
      <c r="G761" s="10"/>
      <c r="H761" s="11" t="s">
        <v>11299</v>
      </c>
      <c r="I761" s="10"/>
      <c r="J761" s="536" t="s">
        <v>12271</v>
      </c>
      <c r="K761" s="536">
        <v>986.0</v>
      </c>
    </row>
    <row r="762" hidden="1">
      <c r="A762" s="531" t="s">
        <v>11677</v>
      </c>
      <c r="B762" s="531">
        <v>2345.0</v>
      </c>
      <c r="C762" s="11" t="s">
        <v>11298</v>
      </c>
      <c r="D762" s="533">
        <v>0.9</v>
      </c>
      <c r="E762" s="533">
        <v>0.9</v>
      </c>
      <c r="F762" s="11" t="s">
        <v>1656</v>
      </c>
      <c r="G762" s="10"/>
      <c r="H762" s="11" t="s">
        <v>11299</v>
      </c>
      <c r="I762" s="10"/>
      <c r="J762" s="536" t="s">
        <v>12272</v>
      </c>
      <c r="K762" s="536">
        <v>986.0</v>
      </c>
    </row>
    <row r="763" hidden="1">
      <c r="A763" s="531" t="s">
        <v>12273</v>
      </c>
      <c r="B763" s="544">
        <v>6903.0</v>
      </c>
      <c r="C763" s="11" t="s">
        <v>11298</v>
      </c>
      <c r="D763" s="533">
        <v>0.75</v>
      </c>
      <c r="E763" s="533">
        <v>0.75</v>
      </c>
      <c r="F763" s="11" t="s">
        <v>1656</v>
      </c>
      <c r="G763" s="10"/>
      <c r="H763" s="11" t="s">
        <v>11299</v>
      </c>
      <c r="I763" s="10"/>
      <c r="J763" s="536" t="s">
        <v>12274</v>
      </c>
      <c r="K763" s="536">
        <v>986.0</v>
      </c>
    </row>
    <row r="764" hidden="1">
      <c r="A764" s="531" t="s">
        <v>11487</v>
      </c>
      <c r="B764" s="531">
        <v>5421.0</v>
      </c>
      <c r="C764" s="11" t="s">
        <v>11298</v>
      </c>
      <c r="D764" s="533">
        <v>0.75</v>
      </c>
      <c r="E764" s="533">
        <v>0.75</v>
      </c>
      <c r="F764" s="11" t="s">
        <v>1656</v>
      </c>
      <c r="G764" s="10"/>
      <c r="H764" s="11" t="s">
        <v>11299</v>
      </c>
      <c r="I764" s="10"/>
      <c r="J764" s="536" t="s">
        <v>12275</v>
      </c>
      <c r="K764" s="536">
        <v>986.0</v>
      </c>
    </row>
    <row r="765" hidden="1">
      <c r="A765" s="531" t="s">
        <v>12276</v>
      </c>
      <c r="B765" s="531">
        <v>6669.0</v>
      </c>
      <c r="C765" s="11" t="s">
        <v>11298</v>
      </c>
      <c r="D765" s="533">
        <v>0.75</v>
      </c>
      <c r="E765" s="533">
        <v>0.75</v>
      </c>
      <c r="F765" s="11" t="s">
        <v>1656</v>
      </c>
      <c r="G765" s="10"/>
      <c r="H765" s="11" t="s">
        <v>11299</v>
      </c>
      <c r="I765" s="10"/>
      <c r="J765" s="536" t="s">
        <v>11641</v>
      </c>
      <c r="K765" s="536">
        <v>986.0</v>
      </c>
    </row>
    <row r="766" hidden="1">
      <c r="A766" s="531" t="s">
        <v>12277</v>
      </c>
      <c r="B766" s="531">
        <v>6866.0</v>
      </c>
      <c r="C766" s="11" t="s">
        <v>11298</v>
      </c>
      <c r="D766" s="533">
        <v>0.75</v>
      </c>
      <c r="E766" s="533">
        <v>0.75</v>
      </c>
      <c r="F766" s="11" t="s">
        <v>1656</v>
      </c>
      <c r="G766" s="10"/>
      <c r="H766" s="11" t="s">
        <v>11299</v>
      </c>
      <c r="I766" s="10"/>
      <c r="J766" s="536" t="s">
        <v>11917</v>
      </c>
      <c r="K766" s="536">
        <v>986.0</v>
      </c>
    </row>
    <row r="767" hidden="1">
      <c r="A767" s="531" t="s">
        <v>9806</v>
      </c>
      <c r="B767" s="531">
        <v>4933.0</v>
      </c>
      <c r="C767" s="11" t="s">
        <v>11298</v>
      </c>
      <c r="D767" s="533">
        <v>0.75</v>
      </c>
      <c r="E767" s="533">
        <v>0.75</v>
      </c>
      <c r="F767" s="11" t="s">
        <v>1656</v>
      </c>
      <c r="G767" s="10"/>
      <c r="H767" s="11" t="s">
        <v>11299</v>
      </c>
      <c r="I767" s="10"/>
      <c r="J767" s="536" t="s">
        <v>12278</v>
      </c>
      <c r="K767" s="536">
        <v>986.0</v>
      </c>
    </row>
    <row r="768" hidden="1">
      <c r="A768" s="531" t="s">
        <v>12279</v>
      </c>
      <c r="B768" s="541"/>
      <c r="C768" s="11" t="s">
        <v>11298</v>
      </c>
      <c r="D768" s="533">
        <v>0.75</v>
      </c>
      <c r="E768" s="533">
        <v>0.75</v>
      </c>
      <c r="F768" s="11" t="s">
        <v>1656</v>
      </c>
      <c r="G768" s="10"/>
      <c r="H768" s="11" t="s">
        <v>11299</v>
      </c>
      <c r="I768" s="10"/>
      <c r="J768" s="536" t="s">
        <v>12280</v>
      </c>
      <c r="K768" s="536">
        <v>986.0</v>
      </c>
    </row>
    <row r="769" hidden="1">
      <c r="A769" s="531" t="s">
        <v>12281</v>
      </c>
      <c r="B769" s="531">
        <v>499.0</v>
      </c>
      <c r="C769" s="11" t="s">
        <v>11298</v>
      </c>
      <c r="D769" s="533">
        <v>0.75</v>
      </c>
      <c r="E769" s="533">
        <v>0.75</v>
      </c>
      <c r="F769" s="11" t="s">
        <v>1656</v>
      </c>
      <c r="G769" s="10"/>
      <c r="H769" s="11" t="s">
        <v>11299</v>
      </c>
      <c r="I769" s="10"/>
      <c r="J769" s="536" t="s">
        <v>12282</v>
      </c>
      <c r="K769" s="536">
        <v>986.0</v>
      </c>
    </row>
    <row r="770" hidden="1">
      <c r="A770" s="531" t="s">
        <v>11700</v>
      </c>
      <c r="B770" s="541"/>
      <c r="C770" s="11" t="s">
        <v>11298</v>
      </c>
      <c r="D770" s="533">
        <v>0.75</v>
      </c>
      <c r="E770" s="533">
        <v>0.75</v>
      </c>
      <c r="F770" s="11" t="s">
        <v>1656</v>
      </c>
      <c r="G770" s="10"/>
      <c r="H770" s="11" t="s">
        <v>11299</v>
      </c>
      <c r="I770" s="10"/>
      <c r="J770" s="536" t="s">
        <v>12283</v>
      </c>
      <c r="K770" s="536">
        <v>986.0</v>
      </c>
    </row>
    <row r="771" hidden="1">
      <c r="A771" s="531" t="s">
        <v>12203</v>
      </c>
      <c r="B771" s="531">
        <v>3404.0</v>
      </c>
      <c r="C771" s="11" t="s">
        <v>11298</v>
      </c>
      <c r="D771" s="533">
        <v>0.75</v>
      </c>
      <c r="E771" s="533">
        <v>0.75</v>
      </c>
      <c r="F771" s="11" t="s">
        <v>1656</v>
      </c>
      <c r="G771" s="10"/>
      <c r="H771" s="11" t="s">
        <v>11299</v>
      </c>
      <c r="I771" s="10"/>
      <c r="J771" s="536" t="s">
        <v>12284</v>
      </c>
      <c r="K771" s="536">
        <v>986.0</v>
      </c>
    </row>
    <row r="772" hidden="1">
      <c r="A772" s="531" t="s">
        <v>10274</v>
      </c>
      <c r="B772" s="541"/>
      <c r="C772" s="11" t="s">
        <v>11298</v>
      </c>
      <c r="D772" s="533">
        <v>0.75</v>
      </c>
      <c r="E772" s="533">
        <v>0.75</v>
      </c>
      <c r="F772" s="11" t="s">
        <v>1656</v>
      </c>
      <c r="G772" s="10"/>
      <c r="H772" s="11" t="s">
        <v>11299</v>
      </c>
      <c r="I772" s="10"/>
      <c r="J772" s="536" t="s">
        <v>12285</v>
      </c>
      <c r="K772" s="536">
        <v>986.0</v>
      </c>
    </row>
    <row r="773" hidden="1">
      <c r="A773" s="531" t="s">
        <v>9782</v>
      </c>
      <c r="B773" s="531">
        <v>7072.0</v>
      </c>
      <c r="C773" s="11" t="s">
        <v>11298</v>
      </c>
      <c r="D773" s="533">
        <v>0.75</v>
      </c>
      <c r="E773" s="533">
        <v>0.75</v>
      </c>
      <c r="F773" s="11" t="s">
        <v>1656</v>
      </c>
      <c r="G773" s="10"/>
      <c r="H773" s="11" t="s">
        <v>11299</v>
      </c>
      <c r="I773" s="10"/>
      <c r="J773" s="536" t="s">
        <v>12286</v>
      </c>
      <c r="K773" s="536">
        <v>986.0</v>
      </c>
    </row>
    <row r="774" hidden="1">
      <c r="A774" s="531" t="s">
        <v>11387</v>
      </c>
      <c r="B774" s="531">
        <v>2345.0</v>
      </c>
      <c r="C774" s="11" t="s">
        <v>11298</v>
      </c>
      <c r="D774" s="533">
        <v>0.9</v>
      </c>
      <c r="E774" s="533">
        <v>0.9</v>
      </c>
      <c r="F774" s="11" t="s">
        <v>1656</v>
      </c>
      <c r="G774" s="10"/>
      <c r="H774" s="11" t="s">
        <v>11299</v>
      </c>
      <c r="I774" s="10"/>
      <c r="J774" s="536" t="s">
        <v>12287</v>
      </c>
      <c r="K774" s="536">
        <v>986.0</v>
      </c>
    </row>
    <row r="775" hidden="1">
      <c r="A775" s="531" t="s">
        <v>12288</v>
      </c>
      <c r="B775" s="531">
        <v>986.0</v>
      </c>
      <c r="C775" s="11" t="s">
        <v>11298</v>
      </c>
      <c r="D775" s="533">
        <v>0.85</v>
      </c>
      <c r="E775" s="533">
        <v>0.85</v>
      </c>
      <c r="F775" s="11" t="s">
        <v>1656</v>
      </c>
      <c r="G775" s="10"/>
      <c r="H775" s="11" t="s">
        <v>11299</v>
      </c>
      <c r="I775" s="10"/>
      <c r="J775" s="536" t="s">
        <v>12289</v>
      </c>
      <c r="K775" s="536">
        <v>986.0</v>
      </c>
    </row>
    <row r="776" hidden="1">
      <c r="A776" s="531" t="s">
        <v>12290</v>
      </c>
      <c r="B776" s="541"/>
      <c r="C776" s="11" t="s">
        <v>11298</v>
      </c>
      <c r="D776" s="533">
        <v>0.75</v>
      </c>
      <c r="E776" s="533">
        <v>0.75</v>
      </c>
      <c r="F776" s="11" t="s">
        <v>1656</v>
      </c>
      <c r="G776" s="10"/>
      <c r="H776" s="11" t="s">
        <v>11299</v>
      </c>
      <c r="I776" s="10"/>
      <c r="J776" s="536" t="s">
        <v>12291</v>
      </c>
      <c r="K776" s="536">
        <v>986.0</v>
      </c>
    </row>
    <row r="777" hidden="1">
      <c r="A777" s="531" t="s">
        <v>12292</v>
      </c>
      <c r="B777" s="531">
        <v>6949.0</v>
      </c>
      <c r="C777" s="11" t="s">
        <v>11298</v>
      </c>
      <c r="D777" s="533">
        <v>0.75</v>
      </c>
      <c r="E777" s="533">
        <v>0.75</v>
      </c>
      <c r="F777" s="11" t="s">
        <v>1656</v>
      </c>
      <c r="G777" s="10"/>
      <c r="H777" s="11" t="s">
        <v>11299</v>
      </c>
      <c r="I777" s="10"/>
      <c r="J777" s="536" t="s">
        <v>12293</v>
      </c>
      <c r="K777" s="536">
        <v>986.0</v>
      </c>
    </row>
    <row r="778" hidden="1">
      <c r="A778" s="531" t="s">
        <v>11626</v>
      </c>
      <c r="B778" s="541"/>
      <c r="C778" s="11" t="s">
        <v>11298</v>
      </c>
      <c r="D778" s="533">
        <v>0.75</v>
      </c>
      <c r="E778" s="533">
        <v>0.75</v>
      </c>
      <c r="F778" s="11" t="s">
        <v>1656</v>
      </c>
      <c r="G778" s="10"/>
      <c r="H778" s="11" t="s">
        <v>11299</v>
      </c>
      <c r="I778" s="10"/>
      <c r="J778" s="536" t="s">
        <v>11503</v>
      </c>
      <c r="K778" s="536">
        <v>986.0</v>
      </c>
    </row>
    <row r="779" hidden="1">
      <c r="A779" s="531" t="s">
        <v>12294</v>
      </c>
      <c r="B779" s="531">
        <v>189.0</v>
      </c>
      <c r="C779" s="11" t="s">
        <v>11298</v>
      </c>
      <c r="D779" s="533">
        <v>0.88</v>
      </c>
      <c r="E779" s="533">
        <v>0.88</v>
      </c>
      <c r="F779" s="11" t="s">
        <v>1656</v>
      </c>
      <c r="G779" s="10"/>
      <c r="H779" s="11" t="s">
        <v>11299</v>
      </c>
      <c r="I779" s="10"/>
      <c r="J779" s="536" t="s">
        <v>12295</v>
      </c>
      <c r="K779" s="536">
        <v>986.0</v>
      </c>
    </row>
    <row r="780" hidden="1">
      <c r="A780" s="531" t="s">
        <v>12296</v>
      </c>
      <c r="B780" s="544">
        <v>14659.0</v>
      </c>
      <c r="C780" s="11" t="s">
        <v>11298</v>
      </c>
      <c r="D780" s="533">
        <v>0.75</v>
      </c>
      <c r="E780" s="533">
        <v>0.75</v>
      </c>
      <c r="F780" s="11" t="s">
        <v>1656</v>
      </c>
      <c r="G780" s="10"/>
      <c r="H780" s="11" t="s">
        <v>11299</v>
      </c>
      <c r="I780" s="10"/>
      <c r="J780" s="536" t="s">
        <v>12297</v>
      </c>
      <c r="K780" s="536">
        <v>986.0</v>
      </c>
    </row>
    <row r="781" hidden="1">
      <c r="A781" s="531" t="s">
        <v>12298</v>
      </c>
      <c r="B781" s="531">
        <v>3689.0</v>
      </c>
      <c r="C781" s="11" t="s">
        <v>11298</v>
      </c>
      <c r="D781" s="533">
        <v>0.75</v>
      </c>
      <c r="E781" s="533">
        <v>0.75</v>
      </c>
      <c r="F781" s="11" t="s">
        <v>1656</v>
      </c>
      <c r="G781" s="10"/>
      <c r="H781" s="11" t="s">
        <v>11299</v>
      </c>
      <c r="I781" s="10"/>
      <c r="J781" s="536" t="s">
        <v>12299</v>
      </c>
      <c r="K781" s="536">
        <v>986.0</v>
      </c>
    </row>
    <row r="782" hidden="1">
      <c r="A782" s="531" t="s">
        <v>12300</v>
      </c>
      <c r="B782" s="531">
        <v>5389.0</v>
      </c>
      <c r="C782" s="11" t="s">
        <v>11298</v>
      </c>
      <c r="D782" s="533">
        <v>0.75</v>
      </c>
      <c r="E782" s="533">
        <v>0.75</v>
      </c>
      <c r="F782" s="11" t="s">
        <v>1656</v>
      </c>
      <c r="G782" s="10"/>
      <c r="H782" s="11" t="s">
        <v>11299</v>
      </c>
      <c r="I782" s="10"/>
      <c r="J782" s="536" t="s">
        <v>11927</v>
      </c>
      <c r="K782" s="536">
        <v>986.0</v>
      </c>
    </row>
    <row r="783" hidden="1">
      <c r="A783" s="531" t="s">
        <v>12301</v>
      </c>
      <c r="B783" s="531">
        <v>6729.0</v>
      </c>
      <c r="C783" s="11" t="s">
        <v>11298</v>
      </c>
      <c r="D783" s="533">
        <v>0.85</v>
      </c>
      <c r="E783" s="533">
        <v>0.85</v>
      </c>
      <c r="F783" s="11" t="s">
        <v>1656</v>
      </c>
      <c r="G783" s="10"/>
      <c r="H783" s="11" t="s">
        <v>11299</v>
      </c>
      <c r="I783" s="10"/>
      <c r="J783" s="536" t="s">
        <v>11913</v>
      </c>
      <c r="K783" s="536">
        <v>986.0</v>
      </c>
    </row>
    <row r="784" hidden="1">
      <c r="A784" s="531" t="s">
        <v>11224</v>
      </c>
      <c r="B784" s="531">
        <v>6658.0</v>
      </c>
      <c r="C784" s="11" t="s">
        <v>11298</v>
      </c>
      <c r="D784" s="533">
        <v>0.85</v>
      </c>
      <c r="E784" s="533">
        <v>0.85</v>
      </c>
      <c r="F784" s="11" t="s">
        <v>1656</v>
      </c>
      <c r="G784" s="10"/>
      <c r="H784" s="11" t="s">
        <v>11299</v>
      </c>
      <c r="I784" s="10"/>
      <c r="J784" s="536" t="s">
        <v>12302</v>
      </c>
      <c r="K784" s="536">
        <v>986.0</v>
      </c>
    </row>
    <row r="785" hidden="1">
      <c r="A785" s="531" t="s">
        <v>12303</v>
      </c>
      <c r="B785" s="531">
        <v>6939.0</v>
      </c>
      <c r="C785" s="11" t="s">
        <v>11298</v>
      </c>
      <c r="D785" s="533">
        <v>0.85</v>
      </c>
      <c r="E785" s="533">
        <v>0.85</v>
      </c>
      <c r="F785" s="11" t="s">
        <v>1656</v>
      </c>
      <c r="G785" s="10"/>
      <c r="H785" s="11" t="s">
        <v>11299</v>
      </c>
      <c r="I785" s="10"/>
      <c r="J785" s="536" t="s">
        <v>12304</v>
      </c>
      <c r="K785" s="536">
        <v>986.0</v>
      </c>
    </row>
    <row r="786" hidden="1">
      <c r="A786" s="531" t="s">
        <v>12305</v>
      </c>
      <c r="B786" s="531">
        <v>9567.0</v>
      </c>
      <c r="C786" s="11" t="s">
        <v>11095</v>
      </c>
      <c r="D786" s="533">
        <v>0.75</v>
      </c>
      <c r="E786" s="533">
        <v>0.75</v>
      </c>
      <c r="F786" s="11" t="s">
        <v>1656</v>
      </c>
      <c r="G786" s="10"/>
      <c r="H786" s="11" t="s">
        <v>11096</v>
      </c>
      <c r="I786" s="10"/>
      <c r="J786" s="536" t="s">
        <v>12306</v>
      </c>
      <c r="K786" s="536">
        <v>986.0</v>
      </c>
    </row>
    <row r="787" hidden="1">
      <c r="A787" s="531" t="s">
        <v>12307</v>
      </c>
      <c r="B787" s="531">
        <v>14465.0</v>
      </c>
      <c r="C787" s="11" t="s">
        <v>11095</v>
      </c>
      <c r="D787" s="533">
        <v>0.9</v>
      </c>
      <c r="E787" s="533">
        <v>0.9</v>
      </c>
      <c r="F787" s="11" t="s">
        <v>1656</v>
      </c>
      <c r="G787" s="10"/>
      <c r="H787" s="11" t="s">
        <v>11096</v>
      </c>
      <c r="I787" s="10"/>
      <c r="J787" s="536" t="s">
        <v>12308</v>
      </c>
      <c r="K787" s="536">
        <v>986.0</v>
      </c>
    </row>
    <row r="788" hidden="1">
      <c r="A788" s="531" t="s">
        <v>12309</v>
      </c>
      <c r="B788" s="531">
        <v>1.0</v>
      </c>
      <c r="C788" s="11" t="s">
        <v>11095</v>
      </c>
      <c r="D788" s="533">
        <v>0.75</v>
      </c>
      <c r="E788" s="533">
        <v>0.75</v>
      </c>
      <c r="F788" s="11" t="s">
        <v>1656</v>
      </c>
      <c r="G788" s="10"/>
      <c r="H788" s="11" t="s">
        <v>11096</v>
      </c>
      <c r="I788" s="10"/>
      <c r="J788" s="536" t="s">
        <v>12310</v>
      </c>
      <c r="K788" s="536">
        <v>986.0</v>
      </c>
    </row>
    <row r="789" hidden="1">
      <c r="A789" s="531" t="s">
        <v>12311</v>
      </c>
      <c r="B789" s="531">
        <v>6671.0</v>
      </c>
      <c r="C789" s="11" t="s">
        <v>11095</v>
      </c>
      <c r="D789" s="533">
        <v>0.85</v>
      </c>
      <c r="E789" s="533">
        <v>0.85</v>
      </c>
      <c r="F789" s="11" t="s">
        <v>1656</v>
      </c>
      <c r="G789" s="10"/>
      <c r="H789" s="11" t="s">
        <v>11096</v>
      </c>
      <c r="I789" s="10"/>
      <c r="J789" s="536" t="s">
        <v>11416</v>
      </c>
      <c r="K789" s="536">
        <v>986.0</v>
      </c>
    </row>
    <row r="790" hidden="1">
      <c r="A790" s="531" t="s">
        <v>12312</v>
      </c>
      <c r="B790" s="531">
        <v>1.0</v>
      </c>
      <c r="C790" s="11" t="s">
        <v>11095</v>
      </c>
      <c r="D790" s="533">
        <v>0.75</v>
      </c>
      <c r="E790" s="533">
        <v>0.75</v>
      </c>
      <c r="F790" s="11" t="s">
        <v>1656</v>
      </c>
      <c r="G790" s="10"/>
      <c r="H790" s="11" t="s">
        <v>11096</v>
      </c>
      <c r="I790" s="10"/>
      <c r="J790" s="536" t="s">
        <v>12313</v>
      </c>
      <c r="K790" s="536">
        <v>986.0</v>
      </c>
    </row>
    <row r="791" hidden="1">
      <c r="A791" s="531" t="s">
        <v>12314</v>
      </c>
      <c r="B791" s="531">
        <v>6729.0</v>
      </c>
      <c r="C791" s="11" t="s">
        <v>11095</v>
      </c>
      <c r="D791" s="533">
        <v>0.85</v>
      </c>
      <c r="E791" s="533">
        <v>0.85</v>
      </c>
      <c r="F791" s="11" t="s">
        <v>1656</v>
      </c>
      <c r="G791" s="10"/>
      <c r="H791" s="11" t="s">
        <v>11096</v>
      </c>
      <c r="I791" s="10"/>
      <c r="J791" s="536" t="s">
        <v>12315</v>
      </c>
      <c r="K791" s="536">
        <v>986.0</v>
      </c>
    </row>
    <row r="792" hidden="1">
      <c r="A792" s="531" t="s">
        <v>12316</v>
      </c>
      <c r="B792" s="531">
        <v>1.0</v>
      </c>
      <c r="C792" s="11" t="s">
        <v>11095</v>
      </c>
      <c r="D792" s="533">
        <v>0.75</v>
      </c>
      <c r="E792" s="533">
        <v>0.75</v>
      </c>
      <c r="F792" s="11" t="s">
        <v>1656</v>
      </c>
      <c r="G792" s="10"/>
      <c r="H792" s="11" t="s">
        <v>11096</v>
      </c>
      <c r="I792" s="10"/>
      <c r="J792" s="536" t="s">
        <v>12317</v>
      </c>
      <c r="K792" s="536">
        <v>986.0</v>
      </c>
    </row>
    <row r="793" hidden="1">
      <c r="A793" s="531" t="s">
        <v>12318</v>
      </c>
      <c r="B793" s="531">
        <v>1.0</v>
      </c>
      <c r="C793" s="11" t="s">
        <v>11095</v>
      </c>
      <c r="D793" s="533">
        <v>0.75</v>
      </c>
      <c r="E793" s="533">
        <v>0.75</v>
      </c>
      <c r="F793" s="11" t="s">
        <v>1656</v>
      </c>
      <c r="G793" s="10"/>
      <c r="H793" s="11" t="s">
        <v>11096</v>
      </c>
      <c r="I793" s="10"/>
      <c r="J793" s="536" t="s">
        <v>12319</v>
      </c>
      <c r="K793" s="536">
        <v>2345.0</v>
      </c>
    </row>
    <row r="794" hidden="1">
      <c r="A794" s="531" t="s">
        <v>12320</v>
      </c>
      <c r="B794" s="531">
        <v>2345.0</v>
      </c>
      <c r="C794" s="11" t="s">
        <v>11095</v>
      </c>
      <c r="D794" s="533">
        <v>0.9</v>
      </c>
      <c r="E794" s="533">
        <v>0.9</v>
      </c>
      <c r="F794" s="11" t="s">
        <v>1656</v>
      </c>
      <c r="G794" s="10"/>
      <c r="H794" s="11" t="s">
        <v>11096</v>
      </c>
      <c r="I794" s="10"/>
      <c r="J794" s="536" t="s">
        <v>12321</v>
      </c>
      <c r="K794" s="536">
        <v>2345.0</v>
      </c>
    </row>
    <row r="795" hidden="1">
      <c r="A795" s="531" t="s">
        <v>12322</v>
      </c>
      <c r="B795" s="531">
        <v>8486.0</v>
      </c>
      <c r="C795" s="11" t="s">
        <v>11095</v>
      </c>
      <c r="D795" s="533">
        <v>0.88</v>
      </c>
      <c r="E795" s="533">
        <v>0.88</v>
      </c>
      <c r="F795" s="11" t="s">
        <v>1656</v>
      </c>
      <c r="G795" s="10"/>
      <c r="H795" s="11" t="s">
        <v>11096</v>
      </c>
      <c r="I795" s="10"/>
      <c r="J795" s="536" t="s">
        <v>12323</v>
      </c>
      <c r="K795" s="536">
        <v>2345.0</v>
      </c>
    </row>
    <row r="796" hidden="1">
      <c r="A796" s="531" t="s">
        <v>12324</v>
      </c>
      <c r="B796" s="531">
        <v>9596.0</v>
      </c>
      <c r="C796" s="11" t="s">
        <v>11095</v>
      </c>
      <c r="D796" s="533">
        <v>0.75</v>
      </c>
      <c r="E796" s="533">
        <v>0.75</v>
      </c>
      <c r="F796" s="11" t="s">
        <v>1656</v>
      </c>
      <c r="G796" s="10"/>
      <c r="H796" s="11" t="s">
        <v>11096</v>
      </c>
      <c r="I796" s="10"/>
      <c r="J796" s="536" t="s">
        <v>12325</v>
      </c>
      <c r="K796" s="536">
        <v>2345.0</v>
      </c>
    </row>
    <row r="797" hidden="1">
      <c r="A797" s="531" t="s">
        <v>12326</v>
      </c>
      <c r="B797" s="532"/>
      <c r="C797" s="11" t="s">
        <v>11095</v>
      </c>
      <c r="D797" s="533">
        <v>0.75</v>
      </c>
      <c r="E797" s="533">
        <v>0.75</v>
      </c>
      <c r="F797" s="11" t="s">
        <v>1656</v>
      </c>
      <c r="G797" s="10"/>
      <c r="H797" s="11" t="s">
        <v>11096</v>
      </c>
      <c r="I797" s="10"/>
      <c r="J797" s="536" t="s">
        <v>12327</v>
      </c>
      <c r="K797" s="536">
        <v>2345.0</v>
      </c>
    </row>
    <row r="798" hidden="1">
      <c r="A798" s="531" t="s">
        <v>12328</v>
      </c>
      <c r="B798" s="532"/>
      <c r="C798" s="11" t="s">
        <v>11095</v>
      </c>
      <c r="D798" s="533">
        <v>0.75</v>
      </c>
      <c r="E798" s="533">
        <v>0.75</v>
      </c>
      <c r="F798" s="11" t="s">
        <v>1656</v>
      </c>
      <c r="G798" s="10"/>
      <c r="H798" s="11" t="s">
        <v>11096</v>
      </c>
      <c r="I798" s="10"/>
      <c r="J798" s="536" t="s">
        <v>12329</v>
      </c>
      <c r="K798" s="536">
        <v>2345.0</v>
      </c>
    </row>
    <row r="799" hidden="1">
      <c r="A799" s="531" t="s">
        <v>12330</v>
      </c>
      <c r="B799" s="532"/>
      <c r="C799" s="11" t="s">
        <v>11095</v>
      </c>
      <c r="D799" s="533">
        <v>0.75</v>
      </c>
      <c r="E799" s="533">
        <v>0.75</v>
      </c>
      <c r="F799" s="11" t="s">
        <v>1656</v>
      </c>
      <c r="G799" s="10"/>
      <c r="H799" s="11" t="s">
        <v>11096</v>
      </c>
      <c r="I799" s="10"/>
      <c r="J799" s="536" t="s">
        <v>12331</v>
      </c>
      <c r="K799" s="536">
        <v>2345.0</v>
      </c>
    </row>
    <row r="800" hidden="1">
      <c r="A800" s="531" t="s">
        <v>12332</v>
      </c>
      <c r="B800" s="532"/>
      <c r="C800" s="11" t="s">
        <v>11095</v>
      </c>
      <c r="D800" s="533">
        <v>0.75</v>
      </c>
      <c r="E800" s="533">
        <v>0.75</v>
      </c>
      <c r="F800" s="11" t="s">
        <v>1656</v>
      </c>
      <c r="G800" s="10"/>
      <c r="H800" s="11" t="s">
        <v>11096</v>
      </c>
      <c r="I800" s="10"/>
      <c r="J800" s="536" t="s">
        <v>12333</v>
      </c>
      <c r="K800" s="536">
        <v>2345.0</v>
      </c>
    </row>
    <row r="801" hidden="1">
      <c r="A801" s="531" t="s">
        <v>12334</v>
      </c>
      <c r="B801" s="532"/>
      <c r="C801" s="11" t="s">
        <v>11095</v>
      </c>
      <c r="D801" s="533">
        <v>0.75</v>
      </c>
      <c r="E801" s="533">
        <v>0.75</v>
      </c>
      <c r="F801" s="11" t="s">
        <v>1656</v>
      </c>
      <c r="G801" s="10"/>
      <c r="H801" s="11" t="s">
        <v>11096</v>
      </c>
      <c r="I801" s="10"/>
      <c r="J801" s="536" t="s">
        <v>12335</v>
      </c>
      <c r="K801" s="536">
        <v>2345.0</v>
      </c>
    </row>
    <row r="802" hidden="1">
      <c r="A802" s="531" t="s">
        <v>12336</v>
      </c>
      <c r="B802" s="532"/>
      <c r="C802" s="11" t="s">
        <v>11095</v>
      </c>
      <c r="D802" s="533">
        <v>0.75</v>
      </c>
      <c r="E802" s="533">
        <v>0.75</v>
      </c>
      <c r="F802" s="11" t="s">
        <v>1656</v>
      </c>
      <c r="G802" s="10"/>
      <c r="H802" s="11" t="s">
        <v>11096</v>
      </c>
      <c r="I802" s="10"/>
      <c r="J802" s="536" t="s">
        <v>12337</v>
      </c>
      <c r="K802" s="536">
        <v>2345.0</v>
      </c>
    </row>
    <row r="803" hidden="1">
      <c r="A803" s="531" t="s">
        <v>12338</v>
      </c>
      <c r="B803" s="531">
        <v>6133.0</v>
      </c>
      <c r="C803" s="11" t="s">
        <v>11095</v>
      </c>
      <c r="D803" s="533">
        <v>0.75</v>
      </c>
      <c r="E803" s="533">
        <v>0.75</v>
      </c>
      <c r="F803" s="11" t="s">
        <v>1656</v>
      </c>
      <c r="G803" s="10"/>
      <c r="H803" s="11" t="s">
        <v>11096</v>
      </c>
      <c r="I803" s="10"/>
      <c r="J803" s="536" t="s">
        <v>12339</v>
      </c>
      <c r="K803" s="536">
        <v>2345.0</v>
      </c>
    </row>
    <row r="804" hidden="1">
      <c r="A804" s="531" t="s">
        <v>12340</v>
      </c>
      <c r="B804" s="531">
        <v>7055.0</v>
      </c>
      <c r="C804" s="11" t="s">
        <v>11095</v>
      </c>
      <c r="D804" s="533">
        <v>0.75</v>
      </c>
      <c r="E804" s="533">
        <v>0.75</v>
      </c>
      <c r="F804" s="11" t="s">
        <v>1656</v>
      </c>
      <c r="G804" s="10"/>
      <c r="H804" s="11" t="s">
        <v>11096</v>
      </c>
      <c r="I804" s="10"/>
      <c r="J804" s="536" t="s">
        <v>12341</v>
      </c>
      <c r="K804" s="536">
        <v>2345.0</v>
      </c>
    </row>
    <row r="805" hidden="1">
      <c r="A805" s="531" t="s">
        <v>12342</v>
      </c>
      <c r="B805" s="532"/>
      <c r="C805" s="11" t="s">
        <v>11095</v>
      </c>
      <c r="D805" s="533">
        <v>0.75</v>
      </c>
      <c r="E805" s="533">
        <v>0.75</v>
      </c>
      <c r="F805" s="11" t="s">
        <v>1656</v>
      </c>
      <c r="G805" s="10"/>
      <c r="H805" s="11" t="s">
        <v>11096</v>
      </c>
      <c r="I805" s="10"/>
      <c r="J805" s="536" t="s">
        <v>12343</v>
      </c>
      <c r="K805" s="536">
        <v>2345.0</v>
      </c>
    </row>
    <row r="806" hidden="1">
      <c r="A806" s="531" t="s">
        <v>12344</v>
      </c>
      <c r="B806" s="532"/>
      <c r="C806" s="11" t="s">
        <v>11095</v>
      </c>
      <c r="D806" s="533">
        <v>0.75</v>
      </c>
      <c r="E806" s="533">
        <v>0.75</v>
      </c>
      <c r="F806" s="11" t="s">
        <v>1656</v>
      </c>
      <c r="G806" s="10"/>
      <c r="H806" s="11" t="s">
        <v>11096</v>
      </c>
      <c r="I806" s="10"/>
      <c r="J806" s="536" t="s">
        <v>12345</v>
      </c>
      <c r="K806" s="536">
        <v>2345.0</v>
      </c>
    </row>
    <row r="807" hidden="1">
      <c r="A807" s="531" t="s">
        <v>12346</v>
      </c>
      <c r="B807" s="532"/>
      <c r="C807" s="11" t="s">
        <v>11095</v>
      </c>
      <c r="D807" s="533">
        <v>0.75</v>
      </c>
      <c r="E807" s="533">
        <v>0.75</v>
      </c>
      <c r="F807" s="11" t="s">
        <v>1656</v>
      </c>
      <c r="G807" s="10"/>
      <c r="H807" s="11" t="s">
        <v>11096</v>
      </c>
      <c r="I807" s="10"/>
      <c r="J807" s="536" t="s">
        <v>12347</v>
      </c>
      <c r="K807" s="536">
        <v>2345.0</v>
      </c>
    </row>
    <row r="808" hidden="1">
      <c r="A808" s="531" t="s">
        <v>12348</v>
      </c>
      <c r="B808" s="532"/>
      <c r="C808" s="11" t="s">
        <v>11095</v>
      </c>
      <c r="D808" s="533">
        <v>0.75</v>
      </c>
      <c r="E808" s="533">
        <v>0.75</v>
      </c>
      <c r="F808" s="11" t="s">
        <v>1656</v>
      </c>
      <c r="G808" s="10"/>
      <c r="H808" s="11" t="s">
        <v>11096</v>
      </c>
      <c r="I808" s="10"/>
      <c r="J808" s="536" t="s">
        <v>12349</v>
      </c>
      <c r="K808" s="536">
        <v>2345.0</v>
      </c>
    </row>
    <row r="809" hidden="1">
      <c r="A809" s="531" t="s">
        <v>12350</v>
      </c>
      <c r="B809" s="531">
        <v>7149.0</v>
      </c>
      <c r="C809" s="11" t="s">
        <v>11095</v>
      </c>
      <c r="D809" s="533">
        <v>0.75</v>
      </c>
      <c r="E809" s="533">
        <v>0.75</v>
      </c>
      <c r="F809" s="11" t="s">
        <v>1656</v>
      </c>
      <c r="G809" s="10"/>
      <c r="H809" s="11" t="s">
        <v>11096</v>
      </c>
      <c r="I809" s="10"/>
      <c r="J809" s="536" t="s">
        <v>12351</v>
      </c>
      <c r="K809" s="536">
        <v>2345.0</v>
      </c>
    </row>
    <row r="810" hidden="1">
      <c r="A810" s="531" t="s">
        <v>12352</v>
      </c>
      <c r="B810" s="532"/>
      <c r="C810" s="11" t="s">
        <v>11095</v>
      </c>
      <c r="D810" s="533">
        <v>0.75</v>
      </c>
      <c r="E810" s="533">
        <v>0.75</v>
      </c>
      <c r="F810" s="11" t="s">
        <v>1656</v>
      </c>
      <c r="G810" s="10"/>
      <c r="H810" s="11" t="s">
        <v>11096</v>
      </c>
      <c r="I810" s="10"/>
      <c r="J810" s="536" t="s">
        <v>12353</v>
      </c>
      <c r="K810" s="536">
        <v>2345.0</v>
      </c>
    </row>
    <row r="811" hidden="1">
      <c r="A811" s="531" t="s">
        <v>12354</v>
      </c>
      <c r="B811" s="532"/>
      <c r="C811" s="11" t="s">
        <v>11095</v>
      </c>
      <c r="D811" s="533">
        <v>0.75</v>
      </c>
      <c r="E811" s="533">
        <v>0.75</v>
      </c>
      <c r="F811" s="11" t="s">
        <v>1656</v>
      </c>
      <c r="G811" s="10"/>
      <c r="H811" s="11" t="s">
        <v>11096</v>
      </c>
      <c r="I811" s="10"/>
      <c r="J811" s="536" t="s">
        <v>12355</v>
      </c>
      <c r="K811" s="536">
        <v>2345.0</v>
      </c>
    </row>
    <row r="812" hidden="1">
      <c r="A812" s="531" t="s">
        <v>12356</v>
      </c>
      <c r="B812" s="532"/>
      <c r="C812" s="11" t="s">
        <v>11095</v>
      </c>
      <c r="D812" s="533">
        <v>0.75</v>
      </c>
      <c r="E812" s="533">
        <v>0.75</v>
      </c>
      <c r="F812" s="11" t="s">
        <v>1656</v>
      </c>
      <c r="G812" s="10"/>
      <c r="H812" s="11" t="s">
        <v>11096</v>
      </c>
      <c r="I812" s="10"/>
      <c r="J812" s="536" t="s">
        <v>12357</v>
      </c>
      <c r="K812" s="536">
        <v>2345.0</v>
      </c>
    </row>
    <row r="813" hidden="1">
      <c r="A813" s="531" t="s">
        <v>12358</v>
      </c>
      <c r="B813" s="532"/>
      <c r="C813" s="11" t="s">
        <v>11095</v>
      </c>
      <c r="D813" s="533">
        <v>0.75</v>
      </c>
      <c r="E813" s="533">
        <v>0.75</v>
      </c>
      <c r="F813" s="11" t="s">
        <v>1656</v>
      </c>
      <c r="G813" s="10"/>
      <c r="H813" s="11" t="s">
        <v>11096</v>
      </c>
      <c r="I813" s="10"/>
      <c r="J813" s="536" t="s">
        <v>12359</v>
      </c>
      <c r="K813" s="536">
        <v>2345.0</v>
      </c>
    </row>
    <row r="814" hidden="1">
      <c r="A814" s="531" t="s">
        <v>12360</v>
      </c>
      <c r="B814" s="532"/>
      <c r="C814" s="11" t="s">
        <v>11095</v>
      </c>
      <c r="D814" s="533">
        <v>0.75</v>
      </c>
      <c r="E814" s="533">
        <v>0.75</v>
      </c>
      <c r="F814" s="11" t="s">
        <v>1656</v>
      </c>
      <c r="G814" s="10"/>
      <c r="H814" s="11" t="s">
        <v>11096</v>
      </c>
      <c r="I814" s="10"/>
      <c r="J814" s="536" t="s">
        <v>12361</v>
      </c>
      <c r="K814" s="536">
        <v>2345.0</v>
      </c>
    </row>
    <row r="815" hidden="1">
      <c r="A815" s="531" t="s">
        <v>12362</v>
      </c>
      <c r="B815" s="532"/>
      <c r="C815" s="11" t="s">
        <v>11095</v>
      </c>
      <c r="D815" s="533">
        <v>0.75</v>
      </c>
      <c r="E815" s="533">
        <v>0.75</v>
      </c>
      <c r="F815" s="11" t="s">
        <v>1656</v>
      </c>
      <c r="G815" s="10"/>
      <c r="H815" s="11" t="s">
        <v>11096</v>
      </c>
      <c r="I815" s="10"/>
      <c r="J815" s="536" t="s">
        <v>12363</v>
      </c>
      <c r="K815" s="536">
        <v>2345.0</v>
      </c>
    </row>
    <row r="816" hidden="1">
      <c r="A816" s="531" t="s">
        <v>12364</v>
      </c>
      <c r="B816" s="532"/>
      <c r="C816" s="11" t="s">
        <v>11095</v>
      </c>
      <c r="D816" s="533">
        <v>0.75</v>
      </c>
      <c r="E816" s="533">
        <v>0.75</v>
      </c>
      <c r="F816" s="11" t="s">
        <v>1656</v>
      </c>
      <c r="G816" s="10"/>
      <c r="H816" s="11" t="s">
        <v>11096</v>
      </c>
      <c r="I816" s="10"/>
      <c r="J816" s="536" t="s">
        <v>12365</v>
      </c>
      <c r="K816" s="536">
        <v>2345.0</v>
      </c>
    </row>
    <row r="817" hidden="1">
      <c r="A817" s="531" t="s">
        <v>12366</v>
      </c>
      <c r="B817" s="532"/>
      <c r="C817" s="11" t="s">
        <v>11095</v>
      </c>
      <c r="D817" s="533">
        <v>0.75</v>
      </c>
      <c r="E817" s="533">
        <v>0.75</v>
      </c>
      <c r="F817" s="11" t="s">
        <v>1656</v>
      </c>
      <c r="G817" s="10"/>
      <c r="H817" s="11" t="s">
        <v>11096</v>
      </c>
      <c r="I817" s="10"/>
      <c r="J817" s="536" t="s">
        <v>12367</v>
      </c>
      <c r="K817" s="536">
        <v>2345.0</v>
      </c>
    </row>
    <row r="818" hidden="1">
      <c r="A818" s="531" t="s">
        <v>12368</v>
      </c>
      <c r="B818" s="531">
        <v>6133.0</v>
      </c>
      <c r="C818" s="11" t="s">
        <v>11095</v>
      </c>
      <c r="D818" s="533">
        <v>0.75</v>
      </c>
      <c r="E818" s="533">
        <v>0.75</v>
      </c>
      <c r="F818" s="11" t="s">
        <v>1656</v>
      </c>
      <c r="G818" s="10"/>
      <c r="H818" s="11" t="s">
        <v>11096</v>
      </c>
      <c r="I818" s="10"/>
      <c r="J818" s="536" t="s">
        <v>12369</v>
      </c>
      <c r="K818" s="536">
        <v>2345.0</v>
      </c>
    </row>
    <row r="819" hidden="1">
      <c r="A819" s="531" t="s">
        <v>12370</v>
      </c>
      <c r="B819" s="532"/>
      <c r="C819" s="11" t="s">
        <v>11095</v>
      </c>
      <c r="D819" s="533">
        <v>0.75</v>
      </c>
      <c r="E819" s="533">
        <v>0.75</v>
      </c>
      <c r="F819" s="11" t="s">
        <v>1656</v>
      </c>
      <c r="G819" s="10"/>
      <c r="H819" s="11" t="s">
        <v>11096</v>
      </c>
      <c r="I819" s="10"/>
      <c r="J819" s="536" t="s">
        <v>12371</v>
      </c>
      <c r="K819" s="536">
        <v>2345.0</v>
      </c>
    </row>
    <row r="820" hidden="1">
      <c r="A820" s="531" t="s">
        <v>12372</v>
      </c>
      <c r="B820" s="532"/>
      <c r="C820" s="11" t="s">
        <v>11095</v>
      </c>
      <c r="D820" s="533">
        <v>0.75</v>
      </c>
      <c r="E820" s="533">
        <v>0.75</v>
      </c>
      <c r="F820" s="11" t="s">
        <v>1656</v>
      </c>
      <c r="G820" s="10"/>
      <c r="H820" s="11" t="s">
        <v>11096</v>
      </c>
      <c r="I820" s="10"/>
      <c r="J820" s="536" t="s">
        <v>12373</v>
      </c>
      <c r="K820" s="536">
        <v>2345.0</v>
      </c>
    </row>
    <row r="821" hidden="1">
      <c r="A821" s="531" t="s">
        <v>12374</v>
      </c>
      <c r="B821" s="532"/>
      <c r="C821" s="11" t="s">
        <v>11095</v>
      </c>
      <c r="D821" s="533">
        <v>0.75</v>
      </c>
      <c r="E821" s="533">
        <v>0.75</v>
      </c>
      <c r="F821" s="11" t="s">
        <v>1656</v>
      </c>
      <c r="G821" s="10"/>
      <c r="H821" s="11" t="s">
        <v>11096</v>
      </c>
      <c r="I821" s="10"/>
      <c r="J821" s="536" t="s">
        <v>12375</v>
      </c>
      <c r="K821" s="536">
        <v>2345.0</v>
      </c>
    </row>
    <row r="822" hidden="1">
      <c r="A822" s="531" t="s">
        <v>12376</v>
      </c>
      <c r="B822" s="532"/>
      <c r="C822" s="11" t="s">
        <v>11095</v>
      </c>
      <c r="D822" s="533">
        <v>0.75</v>
      </c>
      <c r="E822" s="533">
        <v>0.75</v>
      </c>
      <c r="F822" s="11" t="s">
        <v>1656</v>
      </c>
      <c r="G822" s="10"/>
      <c r="H822" s="11" t="s">
        <v>11096</v>
      </c>
      <c r="I822" s="10"/>
      <c r="J822" s="536" t="s">
        <v>12377</v>
      </c>
      <c r="K822" s="536">
        <v>2345.0</v>
      </c>
    </row>
    <row r="823" hidden="1">
      <c r="A823" s="531" t="s">
        <v>12378</v>
      </c>
      <c r="B823" s="532"/>
      <c r="C823" s="11" t="s">
        <v>11095</v>
      </c>
      <c r="D823" s="533">
        <v>0.75</v>
      </c>
      <c r="E823" s="533">
        <v>0.75</v>
      </c>
      <c r="F823" s="11" t="s">
        <v>1656</v>
      </c>
      <c r="G823" s="10"/>
      <c r="H823" s="11" t="s">
        <v>11096</v>
      </c>
      <c r="I823" s="10"/>
      <c r="J823" s="536" t="s">
        <v>12379</v>
      </c>
      <c r="K823" s="536">
        <v>2345.0</v>
      </c>
    </row>
    <row r="824" hidden="1">
      <c r="A824" s="531" t="s">
        <v>12380</v>
      </c>
      <c r="B824" s="532"/>
      <c r="C824" s="11" t="s">
        <v>11095</v>
      </c>
      <c r="D824" s="533">
        <v>0.75</v>
      </c>
      <c r="E824" s="533">
        <v>0.75</v>
      </c>
      <c r="F824" s="11" t="s">
        <v>1656</v>
      </c>
      <c r="G824" s="10"/>
      <c r="H824" s="11" t="s">
        <v>11096</v>
      </c>
      <c r="I824" s="10"/>
      <c r="J824" s="536" t="s">
        <v>12381</v>
      </c>
      <c r="K824" s="536">
        <v>2345.0</v>
      </c>
    </row>
    <row r="825" hidden="1">
      <c r="A825" s="531" t="s">
        <v>1959</v>
      </c>
      <c r="B825" s="531">
        <v>7132.0</v>
      </c>
      <c r="C825" s="11" t="s">
        <v>11095</v>
      </c>
      <c r="D825" s="533">
        <v>0.75</v>
      </c>
      <c r="E825" s="533">
        <v>0.75</v>
      </c>
      <c r="F825" s="11" t="s">
        <v>1656</v>
      </c>
      <c r="G825" s="10"/>
      <c r="H825" s="11" t="s">
        <v>11096</v>
      </c>
      <c r="I825" s="10"/>
      <c r="J825" s="536" t="s">
        <v>12382</v>
      </c>
      <c r="K825" s="536">
        <v>2345.0</v>
      </c>
    </row>
    <row r="826" hidden="1">
      <c r="A826" s="531" t="s">
        <v>12383</v>
      </c>
      <c r="B826" s="532"/>
      <c r="C826" s="11" t="s">
        <v>11095</v>
      </c>
      <c r="D826" s="533">
        <v>0.75</v>
      </c>
      <c r="E826" s="533">
        <v>0.75</v>
      </c>
      <c r="F826" s="11" t="s">
        <v>1656</v>
      </c>
      <c r="G826" s="10"/>
      <c r="H826" s="11" t="s">
        <v>11096</v>
      </c>
      <c r="I826" s="10"/>
      <c r="J826" s="536" t="s">
        <v>12384</v>
      </c>
      <c r="K826" s="536">
        <v>2345.0</v>
      </c>
    </row>
    <row r="827" hidden="1">
      <c r="A827" s="531" t="s">
        <v>12385</v>
      </c>
      <c r="B827" s="532"/>
      <c r="C827" s="11" t="s">
        <v>11095</v>
      </c>
      <c r="D827" s="533">
        <v>0.75</v>
      </c>
      <c r="E827" s="533">
        <v>0.75</v>
      </c>
      <c r="F827" s="11" t="s">
        <v>1656</v>
      </c>
      <c r="G827" s="10"/>
      <c r="H827" s="11" t="s">
        <v>11096</v>
      </c>
      <c r="I827" s="10"/>
      <c r="J827" s="536" t="s">
        <v>12386</v>
      </c>
      <c r="K827" s="536">
        <v>2345.0</v>
      </c>
    </row>
    <row r="828" hidden="1">
      <c r="A828" s="531" t="s">
        <v>12387</v>
      </c>
      <c r="B828" s="541"/>
      <c r="C828" s="11" t="s">
        <v>11095</v>
      </c>
      <c r="D828" s="533">
        <v>0.75</v>
      </c>
      <c r="E828" s="533">
        <v>0.75</v>
      </c>
      <c r="F828" s="11" t="s">
        <v>1656</v>
      </c>
      <c r="G828" s="10"/>
      <c r="H828" s="11" t="s">
        <v>11096</v>
      </c>
      <c r="I828" s="10"/>
      <c r="J828" s="536" t="s">
        <v>12388</v>
      </c>
      <c r="K828" s="536">
        <v>2345.0</v>
      </c>
    </row>
    <row r="829" hidden="1">
      <c r="A829" s="531" t="s">
        <v>12389</v>
      </c>
      <c r="B829" s="532"/>
      <c r="C829" s="11" t="s">
        <v>11095</v>
      </c>
      <c r="D829" s="533">
        <v>0.75</v>
      </c>
      <c r="E829" s="533">
        <v>0.75</v>
      </c>
      <c r="F829" s="11" t="s">
        <v>1656</v>
      </c>
      <c r="G829" s="10"/>
      <c r="H829" s="11" t="s">
        <v>11096</v>
      </c>
      <c r="I829" s="10"/>
      <c r="J829" s="536" t="s">
        <v>12390</v>
      </c>
      <c r="K829" s="536">
        <v>2345.0</v>
      </c>
    </row>
    <row r="830" hidden="1">
      <c r="A830" s="531" t="s">
        <v>12391</v>
      </c>
      <c r="B830" s="532"/>
      <c r="C830" s="11" t="s">
        <v>11095</v>
      </c>
      <c r="D830" s="533">
        <v>0.75</v>
      </c>
      <c r="E830" s="533">
        <v>0.75</v>
      </c>
      <c r="F830" s="11" t="s">
        <v>1656</v>
      </c>
      <c r="G830" s="10"/>
      <c r="H830" s="11" t="s">
        <v>11096</v>
      </c>
      <c r="I830" s="10"/>
      <c r="J830" s="536" t="s">
        <v>12392</v>
      </c>
      <c r="K830" s="536">
        <v>2345.0</v>
      </c>
    </row>
    <row r="831" hidden="1">
      <c r="A831" s="531" t="s">
        <v>12393</v>
      </c>
      <c r="B831" s="531">
        <v>8486.0</v>
      </c>
      <c r="C831" s="11" t="s">
        <v>11095</v>
      </c>
      <c r="D831" s="533">
        <v>0.88</v>
      </c>
      <c r="E831" s="533">
        <v>0.88</v>
      </c>
      <c r="F831" s="11" t="s">
        <v>1656</v>
      </c>
      <c r="G831" s="10"/>
      <c r="H831" s="11" t="s">
        <v>11096</v>
      </c>
      <c r="I831" s="10"/>
      <c r="J831" s="536" t="s">
        <v>12394</v>
      </c>
      <c r="K831" s="536">
        <v>2345.0</v>
      </c>
    </row>
    <row r="832" hidden="1">
      <c r="A832" s="531" t="s">
        <v>12395</v>
      </c>
      <c r="B832" s="531">
        <v>986.0</v>
      </c>
      <c r="C832" s="11" t="s">
        <v>11095</v>
      </c>
      <c r="D832" s="533">
        <v>0.85</v>
      </c>
      <c r="E832" s="533">
        <v>0.85</v>
      </c>
      <c r="F832" s="11" t="s">
        <v>1656</v>
      </c>
      <c r="G832" s="10"/>
      <c r="H832" s="11" t="s">
        <v>11096</v>
      </c>
      <c r="I832" s="10"/>
      <c r="J832" s="536" t="s">
        <v>12396</v>
      </c>
      <c r="K832" s="536">
        <v>2345.0</v>
      </c>
    </row>
    <row r="833" hidden="1">
      <c r="A833" s="531" t="s">
        <v>12397</v>
      </c>
      <c r="B833" s="531">
        <v>663.0</v>
      </c>
      <c r="C833" s="11" t="s">
        <v>11095</v>
      </c>
      <c r="D833" s="533">
        <v>0.85</v>
      </c>
      <c r="E833" s="533">
        <v>0.85</v>
      </c>
      <c r="F833" s="11" t="s">
        <v>1656</v>
      </c>
      <c r="G833" s="10"/>
      <c r="H833" s="11" t="s">
        <v>11096</v>
      </c>
      <c r="I833" s="10"/>
      <c r="J833" s="536" t="s">
        <v>12398</v>
      </c>
      <c r="K833" s="536">
        <v>2345.0</v>
      </c>
    </row>
    <row r="834" hidden="1">
      <c r="A834" s="531" t="s">
        <v>10278</v>
      </c>
      <c r="B834" s="531">
        <v>14605.0</v>
      </c>
      <c r="C834" s="11" t="s">
        <v>11095</v>
      </c>
      <c r="D834" s="533">
        <v>0.75</v>
      </c>
      <c r="E834" s="533">
        <v>0.75</v>
      </c>
      <c r="F834" s="11" t="s">
        <v>1656</v>
      </c>
      <c r="G834" s="10"/>
      <c r="H834" s="11" t="s">
        <v>11096</v>
      </c>
      <c r="I834" s="10"/>
      <c r="J834" s="536" t="s">
        <v>12399</v>
      </c>
      <c r="K834" s="536">
        <v>2345.0</v>
      </c>
    </row>
    <row r="835" hidden="1">
      <c r="A835" s="531" t="s">
        <v>10266</v>
      </c>
      <c r="B835" s="531">
        <v>7003.0</v>
      </c>
      <c r="C835" s="11" t="s">
        <v>11095</v>
      </c>
      <c r="D835" s="533">
        <v>0.85</v>
      </c>
      <c r="E835" s="533">
        <v>0.85</v>
      </c>
      <c r="F835" s="11" t="s">
        <v>1656</v>
      </c>
      <c r="G835" s="10"/>
      <c r="H835" s="11" t="s">
        <v>11096</v>
      </c>
      <c r="I835" s="10"/>
      <c r="J835" s="536" t="s">
        <v>12400</v>
      </c>
      <c r="K835" s="536">
        <v>2345.0</v>
      </c>
    </row>
    <row r="836" hidden="1">
      <c r="A836" s="531" t="s">
        <v>218</v>
      </c>
      <c r="B836" s="531">
        <v>10856.0</v>
      </c>
      <c r="C836" s="11" t="s">
        <v>11095</v>
      </c>
      <c r="D836" s="533">
        <v>0.75</v>
      </c>
      <c r="E836" s="533">
        <v>0.75</v>
      </c>
      <c r="F836" s="11" t="s">
        <v>1656</v>
      </c>
      <c r="G836" s="10"/>
      <c r="H836" s="11" t="s">
        <v>11096</v>
      </c>
      <c r="I836" s="10"/>
      <c r="J836" s="536" t="s">
        <v>12401</v>
      </c>
      <c r="K836" s="536">
        <v>2345.0</v>
      </c>
    </row>
    <row r="837" hidden="1">
      <c r="A837" s="531" t="s">
        <v>12402</v>
      </c>
      <c r="B837" s="531">
        <v>6893.0</v>
      </c>
      <c r="C837" s="11" t="s">
        <v>11095</v>
      </c>
      <c r="D837" s="533">
        <v>0.75</v>
      </c>
      <c r="E837" s="533">
        <v>0.75</v>
      </c>
      <c r="F837" s="11" t="s">
        <v>1656</v>
      </c>
      <c r="G837" s="10"/>
      <c r="H837" s="11" t="s">
        <v>11096</v>
      </c>
      <c r="I837" s="10"/>
      <c r="J837" s="536" t="s">
        <v>12403</v>
      </c>
      <c r="K837" s="536">
        <v>2345.0</v>
      </c>
    </row>
    <row r="838" hidden="1">
      <c r="A838" s="531" t="s">
        <v>12404</v>
      </c>
      <c r="B838" s="531">
        <v>6939.0</v>
      </c>
      <c r="C838" s="11" t="s">
        <v>11095</v>
      </c>
      <c r="D838" s="533">
        <v>0.85</v>
      </c>
      <c r="E838" s="533">
        <v>0.85</v>
      </c>
      <c r="F838" s="11" t="s">
        <v>1656</v>
      </c>
      <c r="G838" s="10"/>
      <c r="H838" s="11" t="s">
        <v>11096</v>
      </c>
      <c r="I838" s="10"/>
      <c r="J838" s="536" t="s">
        <v>12405</v>
      </c>
      <c r="K838" s="536">
        <v>2345.0</v>
      </c>
    </row>
    <row r="839" hidden="1">
      <c r="A839" s="531" t="s">
        <v>10270</v>
      </c>
      <c r="B839" s="531">
        <v>9645.0</v>
      </c>
      <c r="C839" s="11" t="s">
        <v>11095</v>
      </c>
      <c r="D839" s="533">
        <v>0.75</v>
      </c>
      <c r="E839" s="533">
        <v>0.75</v>
      </c>
      <c r="F839" s="11" t="s">
        <v>1656</v>
      </c>
      <c r="G839" s="10"/>
      <c r="H839" s="11" t="s">
        <v>11096</v>
      </c>
      <c r="I839" s="10"/>
      <c r="J839" s="536" t="s">
        <v>12406</v>
      </c>
      <c r="K839" s="536">
        <v>2345.0</v>
      </c>
    </row>
    <row r="840" hidden="1">
      <c r="A840" s="531" t="s">
        <v>12407</v>
      </c>
      <c r="B840" s="541"/>
      <c r="C840" s="11" t="s">
        <v>11095</v>
      </c>
      <c r="D840" s="533">
        <v>0.75</v>
      </c>
      <c r="E840" s="533">
        <v>0.75</v>
      </c>
      <c r="F840" s="11" t="s">
        <v>1656</v>
      </c>
      <c r="G840" s="10"/>
      <c r="H840" s="11" t="s">
        <v>11096</v>
      </c>
      <c r="I840" s="10"/>
      <c r="J840" s="536" t="s">
        <v>12408</v>
      </c>
      <c r="K840" s="536">
        <v>2345.0</v>
      </c>
    </row>
    <row r="841" hidden="1">
      <c r="A841" s="531" t="s">
        <v>10276</v>
      </c>
      <c r="B841" s="531">
        <v>14553.0</v>
      </c>
      <c r="C841" s="11" t="s">
        <v>11095</v>
      </c>
      <c r="D841" s="533">
        <v>0.75</v>
      </c>
      <c r="E841" s="533">
        <v>0.75</v>
      </c>
      <c r="F841" s="11" t="s">
        <v>1656</v>
      </c>
      <c r="G841" s="10"/>
      <c r="H841" s="11" t="s">
        <v>11096</v>
      </c>
      <c r="I841" s="10"/>
      <c r="J841" s="536" t="s">
        <v>12409</v>
      </c>
      <c r="K841" s="536">
        <v>2345.0</v>
      </c>
    </row>
    <row r="842" hidden="1">
      <c r="A842" s="531" t="s">
        <v>10268</v>
      </c>
      <c r="B842" s="531">
        <v>6988.0</v>
      </c>
      <c r="C842" s="11" t="s">
        <v>11095</v>
      </c>
      <c r="D842" s="533">
        <v>0.75</v>
      </c>
      <c r="E842" s="533">
        <v>0.75</v>
      </c>
      <c r="F842" s="11" t="s">
        <v>1656</v>
      </c>
      <c r="G842" s="10"/>
      <c r="H842" s="11" t="s">
        <v>11096</v>
      </c>
      <c r="I842" s="10"/>
      <c r="J842" s="536" t="s">
        <v>12091</v>
      </c>
      <c r="K842" s="536">
        <v>2345.0</v>
      </c>
    </row>
    <row r="843" hidden="1">
      <c r="A843" s="531" t="s">
        <v>12410</v>
      </c>
      <c r="B843" s="531">
        <v>189.0</v>
      </c>
      <c r="C843" s="11" t="s">
        <v>11095</v>
      </c>
      <c r="D843" s="533">
        <v>0.88</v>
      </c>
      <c r="E843" s="533">
        <v>0.88</v>
      </c>
      <c r="F843" s="11" t="s">
        <v>1656</v>
      </c>
      <c r="G843" s="10"/>
      <c r="H843" s="11" t="s">
        <v>11096</v>
      </c>
      <c r="I843" s="10"/>
      <c r="J843" s="536" t="s">
        <v>12411</v>
      </c>
      <c r="K843" s="536">
        <v>2345.0</v>
      </c>
    </row>
    <row r="844" hidden="1">
      <c r="A844" s="531" t="s">
        <v>12412</v>
      </c>
      <c r="B844" s="541"/>
      <c r="C844" s="11" t="s">
        <v>11095</v>
      </c>
      <c r="D844" s="533">
        <v>0.75</v>
      </c>
      <c r="E844" s="533">
        <v>0.75</v>
      </c>
      <c r="F844" s="11" t="s">
        <v>1656</v>
      </c>
      <c r="G844" s="10"/>
      <c r="H844" s="11" t="s">
        <v>11096</v>
      </c>
      <c r="I844" s="10"/>
      <c r="J844" s="536" t="s">
        <v>12413</v>
      </c>
      <c r="K844" s="536">
        <v>2345.0</v>
      </c>
    </row>
    <row r="845" hidden="1">
      <c r="A845" s="531" t="s">
        <v>12414</v>
      </c>
      <c r="B845" s="532"/>
      <c r="C845" s="11" t="s">
        <v>11095</v>
      </c>
      <c r="D845" s="533">
        <v>0.75</v>
      </c>
      <c r="E845" s="533">
        <v>0.75</v>
      </c>
      <c r="F845" s="11" t="s">
        <v>1656</v>
      </c>
      <c r="G845" s="10"/>
      <c r="H845" s="11" t="s">
        <v>11096</v>
      </c>
      <c r="I845" s="10"/>
      <c r="J845" s="536" t="s">
        <v>12415</v>
      </c>
      <c r="K845" s="536">
        <v>2345.0</v>
      </c>
    </row>
    <row r="846" hidden="1">
      <c r="A846" s="531" t="s">
        <v>12416</v>
      </c>
      <c r="B846" s="532"/>
      <c r="C846" s="11" t="s">
        <v>11095</v>
      </c>
      <c r="D846" s="533">
        <v>0.75</v>
      </c>
      <c r="E846" s="533">
        <v>0.75</v>
      </c>
      <c r="F846" s="11" t="s">
        <v>1656</v>
      </c>
      <c r="G846" s="10"/>
      <c r="H846" s="11" t="s">
        <v>11096</v>
      </c>
      <c r="I846" s="10"/>
      <c r="J846" s="536" t="s">
        <v>12417</v>
      </c>
      <c r="K846" s="536">
        <v>2345.0</v>
      </c>
    </row>
    <row r="847" hidden="1">
      <c r="A847" s="531" t="s">
        <v>12418</v>
      </c>
      <c r="B847" s="532"/>
      <c r="C847" s="11" t="s">
        <v>11095</v>
      </c>
      <c r="D847" s="533">
        <v>0.75</v>
      </c>
      <c r="E847" s="533">
        <v>0.75</v>
      </c>
      <c r="F847" s="11" t="s">
        <v>1656</v>
      </c>
      <c r="G847" s="10"/>
      <c r="H847" s="11" t="s">
        <v>11096</v>
      </c>
      <c r="I847" s="10"/>
      <c r="J847" s="536" t="s">
        <v>12419</v>
      </c>
      <c r="K847" s="536">
        <v>2345.0</v>
      </c>
    </row>
    <row r="848" hidden="1">
      <c r="A848" s="531" t="s">
        <v>12420</v>
      </c>
      <c r="B848" s="531">
        <v>6729.0</v>
      </c>
      <c r="C848" s="11" t="s">
        <v>11095</v>
      </c>
      <c r="D848" s="533">
        <v>0.85</v>
      </c>
      <c r="E848" s="533">
        <v>0.85</v>
      </c>
      <c r="F848" s="11" t="s">
        <v>1656</v>
      </c>
      <c r="G848" s="10"/>
      <c r="H848" s="11" t="s">
        <v>11096</v>
      </c>
      <c r="I848" s="10"/>
      <c r="J848" s="536" t="s">
        <v>12421</v>
      </c>
      <c r="K848" s="536">
        <v>2345.0</v>
      </c>
    </row>
    <row r="849">
      <c r="A849" s="531" t="s">
        <v>12422</v>
      </c>
      <c r="B849" s="531">
        <v>6675.0</v>
      </c>
      <c r="C849" s="11" t="s">
        <v>11095</v>
      </c>
      <c r="D849" s="533">
        <v>0.9</v>
      </c>
      <c r="E849" s="533">
        <v>0.9</v>
      </c>
      <c r="F849" s="11" t="s">
        <v>1656</v>
      </c>
      <c r="G849" s="10"/>
      <c r="H849" s="11" t="s">
        <v>11096</v>
      </c>
      <c r="I849" s="10"/>
      <c r="J849" s="536" t="s">
        <v>12423</v>
      </c>
      <c r="K849" s="536">
        <v>2345.0</v>
      </c>
    </row>
    <row r="850" hidden="1">
      <c r="A850" s="531" t="s">
        <v>12424</v>
      </c>
      <c r="B850" s="531">
        <v>5389.0</v>
      </c>
      <c r="C850" s="11" t="s">
        <v>11095</v>
      </c>
      <c r="D850" s="533">
        <v>0.75</v>
      </c>
      <c r="E850" s="533">
        <v>0.75</v>
      </c>
      <c r="F850" s="11" t="s">
        <v>1656</v>
      </c>
      <c r="G850" s="10"/>
      <c r="H850" s="11" t="s">
        <v>11096</v>
      </c>
      <c r="I850" s="10"/>
      <c r="J850" s="536" t="s">
        <v>12425</v>
      </c>
      <c r="K850" s="536">
        <v>2345.0</v>
      </c>
    </row>
    <row r="851" hidden="1">
      <c r="A851" s="531" t="s">
        <v>12426</v>
      </c>
      <c r="B851" s="532"/>
      <c r="C851" s="11" t="s">
        <v>11095</v>
      </c>
      <c r="D851" s="533">
        <v>0.75</v>
      </c>
      <c r="E851" s="533">
        <v>0.75</v>
      </c>
      <c r="F851" s="11" t="s">
        <v>1656</v>
      </c>
      <c r="G851" s="10"/>
      <c r="H851" s="11" t="s">
        <v>11096</v>
      </c>
      <c r="I851" s="10"/>
      <c r="J851" s="536" t="s">
        <v>12427</v>
      </c>
      <c r="K851" s="536">
        <v>2345.0</v>
      </c>
    </row>
    <row r="852" hidden="1">
      <c r="A852" s="531" t="s">
        <v>12428</v>
      </c>
      <c r="B852" s="531">
        <v>12262.0</v>
      </c>
      <c r="C852" s="11" t="s">
        <v>11095</v>
      </c>
      <c r="D852" s="533">
        <v>0.75</v>
      </c>
      <c r="E852" s="533">
        <v>0.75</v>
      </c>
      <c r="F852" s="11" t="s">
        <v>1656</v>
      </c>
      <c r="G852" s="10"/>
      <c r="H852" s="11" t="s">
        <v>11096</v>
      </c>
      <c r="I852" s="10"/>
      <c r="J852" s="536" t="s">
        <v>12429</v>
      </c>
      <c r="K852" s="536">
        <v>2345.0</v>
      </c>
    </row>
    <row r="853" hidden="1">
      <c r="A853" s="531" t="s">
        <v>12430</v>
      </c>
      <c r="B853" s="531">
        <v>14535.0</v>
      </c>
      <c r="C853" s="11" t="s">
        <v>11095</v>
      </c>
      <c r="D853" s="533">
        <v>0.75</v>
      </c>
      <c r="E853" s="533">
        <v>0.75</v>
      </c>
      <c r="F853" s="11" t="s">
        <v>1656</v>
      </c>
      <c r="G853" s="10"/>
      <c r="H853" s="11" t="s">
        <v>11096</v>
      </c>
      <c r="I853" s="10"/>
      <c r="J853" s="536" t="s">
        <v>12431</v>
      </c>
      <c r="K853" s="536">
        <v>2345.0</v>
      </c>
    </row>
    <row r="854" hidden="1">
      <c r="A854" s="531" t="s">
        <v>12432</v>
      </c>
      <c r="B854" s="531">
        <v>14594.0</v>
      </c>
      <c r="C854" s="11" t="s">
        <v>11095</v>
      </c>
      <c r="D854" s="533">
        <v>0.75</v>
      </c>
      <c r="E854" s="533">
        <v>0.75</v>
      </c>
      <c r="F854" s="11" t="s">
        <v>1656</v>
      </c>
      <c r="G854" s="10"/>
      <c r="H854" s="11" t="s">
        <v>11096</v>
      </c>
      <c r="I854" s="10"/>
      <c r="J854" s="536" t="s">
        <v>12433</v>
      </c>
      <c r="K854" s="536">
        <v>2345.0</v>
      </c>
    </row>
    <row r="855" hidden="1">
      <c r="A855" s="531" t="s">
        <v>12434</v>
      </c>
      <c r="B855" s="532"/>
      <c r="C855" s="11" t="s">
        <v>11095</v>
      </c>
      <c r="D855" s="533">
        <v>0.75</v>
      </c>
      <c r="E855" s="533">
        <v>0.75</v>
      </c>
      <c r="F855" s="11" t="s">
        <v>1656</v>
      </c>
      <c r="G855" s="10"/>
      <c r="H855" s="11" t="s">
        <v>11096</v>
      </c>
      <c r="I855" s="10"/>
      <c r="J855" s="536" t="s">
        <v>12435</v>
      </c>
      <c r="K855" s="536">
        <v>2345.0</v>
      </c>
    </row>
    <row r="856" hidden="1">
      <c r="A856" s="531" t="s">
        <v>12436</v>
      </c>
      <c r="B856" s="531">
        <v>271.0</v>
      </c>
      <c r="C856" s="11" t="s">
        <v>11095</v>
      </c>
      <c r="D856" s="533">
        <v>0.75</v>
      </c>
      <c r="E856" s="533">
        <v>0.75</v>
      </c>
      <c r="F856" s="11" t="s">
        <v>1656</v>
      </c>
      <c r="G856" s="10"/>
      <c r="H856" s="11" t="s">
        <v>11096</v>
      </c>
      <c r="I856" s="10"/>
      <c r="J856" s="536" t="s">
        <v>12437</v>
      </c>
      <c r="K856" s="536">
        <v>2345.0</v>
      </c>
    </row>
    <row r="857" hidden="1">
      <c r="A857" s="531" t="s">
        <v>12438</v>
      </c>
      <c r="B857" s="531">
        <v>14267.0</v>
      </c>
      <c r="C857" s="11" t="s">
        <v>11095</v>
      </c>
      <c r="D857" s="533">
        <v>0.75</v>
      </c>
      <c r="E857" s="533">
        <v>0.75</v>
      </c>
      <c r="F857" s="11" t="s">
        <v>1656</v>
      </c>
      <c r="G857" s="10"/>
      <c r="H857" s="11" t="s">
        <v>11096</v>
      </c>
      <c r="I857" s="10"/>
      <c r="J857" s="536" t="s">
        <v>12439</v>
      </c>
      <c r="K857" s="536">
        <v>2345.0</v>
      </c>
    </row>
    <row r="858" hidden="1">
      <c r="A858" s="531" t="s">
        <v>12440</v>
      </c>
      <c r="B858" s="531">
        <v>7010.0</v>
      </c>
      <c r="C858" s="11" t="s">
        <v>11095</v>
      </c>
      <c r="D858" s="533">
        <v>0.85</v>
      </c>
      <c r="E858" s="533">
        <v>0.85</v>
      </c>
      <c r="F858" s="11" t="s">
        <v>1656</v>
      </c>
      <c r="G858" s="10"/>
      <c r="H858" s="11" t="s">
        <v>11096</v>
      </c>
      <c r="I858" s="10"/>
      <c r="J858" s="536" t="s">
        <v>12441</v>
      </c>
      <c r="K858" s="536">
        <v>2345.0</v>
      </c>
    </row>
    <row r="859" hidden="1">
      <c r="A859" s="531" t="s">
        <v>12442</v>
      </c>
      <c r="B859" s="531">
        <v>8486.0</v>
      </c>
      <c r="C859" s="11" t="s">
        <v>11095</v>
      </c>
      <c r="D859" s="533">
        <v>0.88</v>
      </c>
      <c r="E859" s="533">
        <v>0.88</v>
      </c>
      <c r="F859" s="11" t="s">
        <v>1656</v>
      </c>
      <c r="G859" s="10"/>
      <c r="H859" s="11" t="s">
        <v>11096</v>
      </c>
      <c r="I859" s="10"/>
      <c r="J859" s="536" t="s">
        <v>12443</v>
      </c>
      <c r="K859" s="536">
        <v>2345.0</v>
      </c>
    </row>
    <row r="860" hidden="1">
      <c r="A860" s="531" t="s">
        <v>12444</v>
      </c>
      <c r="B860" s="531">
        <v>12553.0</v>
      </c>
      <c r="C860" s="11" t="s">
        <v>11095</v>
      </c>
      <c r="D860" s="533">
        <v>0.75</v>
      </c>
      <c r="E860" s="533">
        <v>0.75</v>
      </c>
      <c r="F860" s="11" t="s">
        <v>1656</v>
      </c>
      <c r="G860" s="10"/>
      <c r="H860" s="11" t="s">
        <v>11096</v>
      </c>
      <c r="I860" s="10"/>
      <c r="J860" s="536" t="s">
        <v>12445</v>
      </c>
      <c r="K860" s="536">
        <v>2345.0</v>
      </c>
    </row>
    <row r="861" hidden="1">
      <c r="A861" s="531" t="s">
        <v>12446</v>
      </c>
      <c r="B861" s="532"/>
      <c r="C861" s="11" t="s">
        <v>11095</v>
      </c>
      <c r="D861" s="533">
        <v>0.75</v>
      </c>
      <c r="E861" s="533">
        <v>0.75</v>
      </c>
      <c r="F861" s="11" t="s">
        <v>1656</v>
      </c>
      <c r="G861" s="10"/>
      <c r="H861" s="11" t="s">
        <v>11096</v>
      </c>
      <c r="I861" s="10"/>
      <c r="J861" s="536" t="s">
        <v>12447</v>
      </c>
      <c r="K861" s="536">
        <v>2345.0</v>
      </c>
    </row>
    <row r="862" hidden="1">
      <c r="A862" s="531" t="s">
        <v>12448</v>
      </c>
      <c r="B862" s="532"/>
      <c r="C862" s="11" t="s">
        <v>11095</v>
      </c>
      <c r="D862" s="533">
        <v>0.75</v>
      </c>
      <c r="E862" s="533">
        <v>0.75</v>
      </c>
      <c r="F862" s="11" t="s">
        <v>1656</v>
      </c>
      <c r="G862" s="10"/>
      <c r="H862" s="11" t="s">
        <v>11096</v>
      </c>
      <c r="I862" s="10"/>
      <c r="J862" s="536" t="s">
        <v>12449</v>
      </c>
      <c r="K862" s="536">
        <v>2345.0</v>
      </c>
    </row>
    <row r="863" hidden="1">
      <c r="A863" s="531" t="s">
        <v>12450</v>
      </c>
      <c r="B863" s="531">
        <v>2095.0</v>
      </c>
      <c r="C863" s="11" t="s">
        <v>11095</v>
      </c>
      <c r="D863" s="533">
        <v>0.75</v>
      </c>
      <c r="E863" s="533">
        <v>0.75</v>
      </c>
      <c r="F863" s="11" t="s">
        <v>1656</v>
      </c>
      <c r="G863" s="10"/>
      <c r="H863" s="11" t="s">
        <v>11096</v>
      </c>
      <c r="I863" s="10"/>
      <c r="J863" s="536" t="s">
        <v>12451</v>
      </c>
      <c r="K863" s="536">
        <v>2345.0</v>
      </c>
    </row>
    <row r="864" hidden="1">
      <c r="A864" s="531" t="s">
        <v>12452</v>
      </c>
      <c r="B864" s="532"/>
      <c r="C864" s="11" t="s">
        <v>11095</v>
      </c>
      <c r="D864" s="533">
        <v>0.75</v>
      </c>
      <c r="E864" s="533">
        <v>0.75</v>
      </c>
      <c r="F864" s="11" t="s">
        <v>1656</v>
      </c>
      <c r="G864" s="10"/>
      <c r="H864" s="11" t="s">
        <v>11096</v>
      </c>
      <c r="I864" s="10"/>
      <c r="J864" s="536" t="s">
        <v>12453</v>
      </c>
      <c r="K864" s="536">
        <v>2345.0</v>
      </c>
    </row>
    <row r="865" hidden="1">
      <c r="A865" s="531" t="s">
        <v>12454</v>
      </c>
      <c r="B865" s="541"/>
      <c r="C865" s="11" t="s">
        <v>11095</v>
      </c>
      <c r="D865" s="533">
        <v>0.75</v>
      </c>
      <c r="E865" s="533">
        <v>0.75</v>
      </c>
      <c r="F865" s="11" t="s">
        <v>1656</v>
      </c>
      <c r="G865" s="10"/>
      <c r="H865" s="11" t="s">
        <v>11096</v>
      </c>
      <c r="I865" s="10"/>
      <c r="J865" s="536" t="s">
        <v>12455</v>
      </c>
      <c r="K865" s="536">
        <v>2345.0</v>
      </c>
    </row>
    <row r="866" hidden="1">
      <c r="A866" s="531" t="s">
        <v>12456</v>
      </c>
      <c r="B866" s="531">
        <v>14478.0</v>
      </c>
      <c r="C866" s="11" t="s">
        <v>11095</v>
      </c>
      <c r="D866" s="533">
        <v>0.75</v>
      </c>
      <c r="E866" s="533">
        <v>0.75</v>
      </c>
      <c r="F866" s="11" t="s">
        <v>1656</v>
      </c>
      <c r="G866" s="10"/>
      <c r="H866" s="11" t="s">
        <v>11096</v>
      </c>
      <c r="I866" s="10"/>
      <c r="J866" s="536" t="s">
        <v>12457</v>
      </c>
      <c r="K866" s="536">
        <v>2345.0</v>
      </c>
    </row>
    <row r="867" hidden="1">
      <c r="A867" s="531" t="s">
        <v>12458</v>
      </c>
      <c r="B867" s="531">
        <v>12262.0</v>
      </c>
      <c r="C867" s="11" t="s">
        <v>11095</v>
      </c>
      <c r="D867" s="533">
        <v>0.75</v>
      </c>
      <c r="E867" s="533">
        <v>0.75</v>
      </c>
      <c r="F867" s="11" t="s">
        <v>1656</v>
      </c>
      <c r="G867" s="10"/>
      <c r="H867" s="11" t="s">
        <v>11096</v>
      </c>
      <c r="I867" s="10"/>
      <c r="J867" s="536" t="s">
        <v>12459</v>
      </c>
      <c r="K867" s="536">
        <v>2345.0</v>
      </c>
    </row>
    <row r="868" hidden="1">
      <c r="A868" s="531" t="s">
        <v>12460</v>
      </c>
      <c r="B868" s="531">
        <v>12932.0</v>
      </c>
      <c r="C868" s="11" t="s">
        <v>11095</v>
      </c>
      <c r="D868" s="533">
        <v>0.75</v>
      </c>
      <c r="E868" s="533">
        <v>0.75</v>
      </c>
      <c r="F868" s="11" t="s">
        <v>1656</v>
      </c>
      <c r="G868" s="10"/>
      <c r="H868" s="11" t="s">
        <v>11096</v>
      </c>
      <c r="I868" s="10"/>
      <c r="J868" s="536" t="s">
        <v>12461</v>
      </c>
      <c r="K868" s="536">
        <v>2345.0</v>
      </c>
    </row>
    <row r="869" hidden="1">
      <c r="A869" s="531" t="s">
        <v>12462</v>
      </c>
      <c r="B869" s="531">
        <v>1104.0</v>
      </c>
      <c r="C869" s="11" t="s">
        <v>11095</v>
      </c>
      <c r="D869" s="533">
        <v>0.75</v>
      </c>
      <c r="E869" s="533">
        <v>0.75</v>
      </c>
      <c r="F869" s="11" t="s">
        <v>1656</v>
      </c>
      <c r="G869" s="10"/>
      <c r="H869" s="11" t="s">
        <v>11096</v>
      </c>
      <c r="I869" s="10"/>
      <c r="J869" s="536" t="s">
        <v>12463</v>
      </c>
      <c r="K869" s="536">
        <v>2345.0</v>
      </c>
    </row>
    <row r="870" hidden="1">
      <c r="A870" s="531" t="s">
        <v>12464</v>
      </c>
      <c r="B870" s="532"/>
      <c r="C870" s="11" t="s">
        <v>11095</v>
      </c>
      <c r="D870" s="533">
        <v>0.75</v>
      </c>
      <c r="E870" s="533">
        <v>0.75</v>
      </c>
      <c r="F870" s="11" t="s">
        <v>1656</v>
      </c>
      <c r="G870" s="10"/>
      <c r="H870" s="11" t="s">
        <v>11096</v>
      </c>
      <c r="I870" s="10"/>
      <c r="J870" s="536" t="s">
        <v>12465</v>
      </c>
      <c r="K870" s="536">
        <v>2345.0</v>
      </c>
    </row>
    <row r="871" hidden="1">
      <c r="A871" s="531" t="s">
        <v>12466</v>
      </c>
      <c r="B871" s="532"/>
      <c r="C871" s="11" t="s">
        <v>11095</v>
      </c>
      <c r="D871" s="533">
        <v>0.75</v>
      </c>
      <c r="E871" s="533">
        <v>0.75</v>
      </c>
      <c r="F871" s="11" t="s">
        <v>1656</v>
      </c>
      <c r="G871" s="10"/>
      <c r="H871" s="11" t="s">
        <v>11096</v>
      </c>
      <c r="I871" s="10"/>
      <c r="J871" s="536" t="s">
        <v>12467</v>
      </c>
      <c r="K871" s="536">
        <v>2345.0</v>
      </c>
    </row>
    <row r="872" hidden="1">
      <c r="A872" s="531" t="s">
        <v>12468</v>
      </c>
      <c r="B872" s="531">
        <v>8486.0</v>
      </c>
      <c r="C872" s="11" t="s">
        <v>11095</v>
      </c>
      <c r="D872" s="533">
        <v>0.88</v>
      </c>
      <c r="E872" s="533">
        <v>0.88</v>
      </c>
      <c r="F872" s="11" t="s">
        <v>1656</v>
      </c>
      <c r="G872" s="10"/>
      <c r="H872" s="11" t="s">
        <v>11096</v>
      </c>
      <c r="I872" s="10"/>
      <c r="J872" s="536" t="s">
        <v>12469</v>
      </c>
      <c r="K872" s="536">
        <v>2345.0</v>
      </c>
    </row>
    <row r="873" hidden="1">
      <c r="A873" s="531" t="s">
        <v>12470</v>
      </c>
      <c r="B873" s="531">
        <v>14267.0</v>
      </c>
      <c r="C873" s="11" t="s">
        <v>11095</v>
      </c>
      <c r="D873" s="533">
        <v>0.75</v>
      </c>
      <c r="E873" s="533">
        <v>0.75</v>
      </c>
      <c r="F873" s="11" t="s">
        <v>1656</v>
      </c>
      <c r="G873" s="10"/>
      <c r="H873" s="11" t="s">
        <v>11096</v>
      </c>
      <c r="I873" s="10"/>
      <c r="J873" s="536" t="s">
        <v>12471</v>
      </c>
      <c r="K873" s="536">
        <v>2345.0</v>
      </c>
    </row>
    <row r="874" hidden="1">
      <c r="A874" s="531" t="s">
        <v>12472</v>
      </c>
      <c r="B874" s="532"/>
      <c r="C874" s="11" t="s">
        <v>11095</v>
      </c>
      <c r="D874" s="533">
        <v>0.75</v>
      </c>
      <c r="E874" s="533">
        <v>0.75</v>
      </c>
      <c r="F874" s="11" t="s">
        <v>1656</v>
      </c>
      <c r="G874" s="10"/>
      <c r="H874" s="11" t="s">
        <v>11096</v>
      </c>
      <c r="I874" s="10"/>
      <c r="J874" s="536" t="s">
        <v>12473</v>
      </c>
      <c r="K874" s="536">
        <v>2345.0</v>
      </c>
    </row>
    <row r="875" hidden="1">
      <c r="A875" s="531" t="s">
        <v>12474</v>
      </c>
      <c r="B875" s="531">
        <v>14420.0</v>
      </c>
      <c r="C875" s="11" t="s">
        <v>11095</v>
      </c>
      <c r="D875" s="533">
        <v>0.75</v>
      </c>
      <c r="E875" s="533">
        <v>0.75</v>
      </c>
      <c r="F875" s="11" t="s">
        <v>1656</v>
      </c>
      <c r="G875" s="10"/>
      <c r="H875" s="11" t="s">
        <v>11096</v>
      </c>
      <c r="I875" s="10"/>
      <c r="J875" s="536" t="s">
        <v>12475</v>
      </c>
      <c r="K875" s="536">
        <v>2345.0</v>
      </c>
    </row>
    <row r="876" hidden="1">
      <c r="A876" s="531" t="s">
        <v>12476</v>
      </c>
      <c r="B876" s="531">
        <v>189.0</v>
      </c>
      <c r="C876" s="11" t="s">
        <v>11095</v>
      </c>
      <c r="D876" s="533">
        <v>0.88</v>
      </c>
      <c r="E876" s="533">
        <v>0.88</v>
      </c>
      <c r="F876" s="11" t="s">
        <v>1656</v>
      </c>
      <c r="G876" s="10"/>
      <c r="H876" s="11" t="s">
        <v>11096</v>
      </c>
      <c r="I876" s="10"/>
      <c r="J876" s="536" t="s">
        <v>12477</v>
      </c>
      <c r="K876" s="536">
        <v>2345.0</v>
      </c>
    </row>
    <row r="877" hidden="1">
      <c r="A877" s="531" t="s">
        <v>12478</v>
      </c>
      <c r="B877" s="532"/>
      <c r="C877" s="11" t="s">
        <v>11095</v>
      </c>
      <c r="D877" s="533">
        <v>0.75</v>
      </c>
      <c r="E877" s="533">
        <v>0.75</v>
      </c>
      <c r="F877" s="11" t="s">
        <v>1656</v>
      </c>
      <c r="G877" s="10"/>
      <c r="H877" s="11" t="s">
        <v>11096</v>
      </c>
      <c r="I877" s="10"/>
      <c r="J877" s="536" t="s">
        <v>12479</v>
      </c>
      <c r="K877" s="536">
        <v>2345.0</v>
      </c>
    </row>
    <row r="878" hidden="1">
      <c r="A878" s="531" t="s">
        <v>12480</v>
      </c>
      <c r="B878" s="532"/>
      <c r="C878" s="11" t="s">
        <v>11095</v>
      </c>
      <c r="D878" s="533">
        <v>0.75</v>
      </c>
      <c r="E878" s="533">
        <v>0.75</v>
      </c>
      <c r="F878" s="11" t="s">
        <v>1656</v>
      </c>
      <c r="G878" s="10"/>
      <c r="H878" s="11" t="s">
        <v>11096</v>
      </c>
      <c r="I878" s="10"/>
      <c r="J878" s="536" t="s">
        <v>9592</v>
      </c>
      <c r="K878" s="536">
        <v>2345.0</v>
      </c>
    </row>
    <row r="879" hidden="1">
      <c r="A879" s="531" t="s">
        <v>12481</v>
      </c>
      <c r="B879" s="531">
        <v>189.0</v>
      </c>
      <c r="C879" s="11" t="s">
        <v>11095</v>
      </c>
      <c r="D879" s="533">
        <v>0.88</v>
      </c>
      <c r="E879" s="533">
        <v>0.88</v>
      </c>
      <c r="F879" s="11" t="s">
        <v>1656</v>
      </c>
      <c r="G879" s="10"/>
      <c r="H879" s="11" t="s">
        <v>11096</v>
      </c>
      <c r="I879" s="10"/>
      <c r="J879" s="536" t="s">
        <v>9598</v>
      </c>
      <c r="K879" s="536">
        <v>2345.0</v>
      </c>
    </row>
    <row r="880" hidden="1">
      <c r="A880" s="531" t="s">
        <v>12482</v>
      </c>
      <c r="B880" s="531">
        <v>8486.0</v>
      </c>
      <c r="C880" s="11" t="s">
        <v>11095</v>
      </c>
      <c r="D880" s="533">
        <v>0.88</v>
      </c>
      <c r="E880" s="533">
        <v>0.88</v>
      </c>
      <c r="F880" s="11" t="s">
        <v>1656</v>
      </c>
      <c r="G880" s="10"/>
      <c r="H880" s="11" t="s">
        <v>11096</v>
      </c>
      <c r="I880" s="10"/>
      <c r="J880" s="536" t="s">
        <v>7773</v>
      </c>
      <c r="K880" s="536">
        <v>2345.0</v>
      </c>
    </row>
    <row r="881" hidden="1">
      <c r="A881" s="531" t="s">
        <v>12483</v>
      </c>
      <c r="B881" s="531">
        <v>6780.0</v>
      </c>
      <c r="C881" s="11" t="s">
        <v>11095</v>
      </c>
      <c r="D881" s="533">
        <v>0.75</v>
      </c>
      <c r="E881" s="533">
        <v>0.75</v>
      </c>
      <c r="F881" s="11" t="s">
        <v>1656</v>
      </c>
      <c r="G881" s="10"/>
      <c r="H881" s="11" t="s">
        <v>11096</v>
      </c>
      <c r="I881" s="10"/>
      <c r="J881" s="536" t="s">
        <v>7777</v>
      </c>
      <c r="K881" s="536">
        <v>2345.0</v>
      </c>
    </row>
    <row r="882" hidden="1">
      <c r="A882" s="531" t="s">
        <v>12484</v>
      </c>
      <c r="B882" s="531">
        <v>7149.0</v>
      </c>
      <c r="C882" s="11" t="s">
        <v>11095</v>
      </c>
      <c r="D882" s="533">
        <v>0.75</v>
      </c>
      <c r="E882" s="533">
        <v>0.75</v>
      </c>
      <c r="F882" s="11" t="s">
        <v>1656</v>
      </c>
      <c r="G882" s="10"/>
      <c r="H882" s="11" t="s">
        <v>11096</v>
      </c>
      <c r="I882" s="10"/>
      <c r="J882" s="536" t="s">
        <v>7778</v>
      </c>
      <c r="K882" s="536">
        <v>2345.0</v>
      </c>
    </row>
    <row r="883" hidden="1">
      <c r="A883" s="531" t="s">
        <v>12485</v>
      </c>
      <c r="B883" s="531">
        <v>14420.0</v>
      </c>
      <c r="C883" s="11" t="s">
        <v>11095</v>
      </c>
      <c r="D883" s="533">
        <v>0.75</v>
      </c>
      <c r="E883" s="533">
        <v>0.75</v>
      </c>
      <c r="F883" s="11" t="s">
        <v>1656</v>
      </c>
      <c r="G883" s="10"/>
      <c r="H883" s="11" t="s">
        <v>11096</v>
      </c>
      <c r="I883" s="10"/>
      <c r="J883" s="536" t="s">
        <v>7783</v>
      </c>
      <c r="K883" s="536">
        <v>2345.0</v>
      </c>
    </row>
    <row r="884" hidden="1">
      <c r="A884" s="531" t="s">
        <v>12486</v>
      </c>
      <c r="B884" s="532"/>
      <c r="C884" s="11" t="s">
        <v>11095</v>
      </c>
      <c r="D884" s="533">
        <v>0.75</v>
      </c>
      <c r="E884" s="533">
        <v>0.75</v>
      </c>
      <c r="F884" s="11" t="s">
        <v>1656</v>
      </c>
      <c r="G884" s="10"/>
      <c r="H884" s="11" t="s">
        <v>11096</v>
      </c>
      <c r="I884" s="10"/>
      <c r="J884" s="536" t="s">
        <v>7784</v>
      </c>
      <c r="K884" s="536">
        <v>2345.0</v>
      </c>
    </row>
    <row r="885" hidden="1">
      <c r="A885" s="531" t="s">
        <v>12487</v>
      </c>
      <c r="B885" s="531">
        <v>14420.0</v>
      </c>
      <c r="C885" s="11" t="s">
        <v>11095</v>
      </c>
      <c r="D885" s="533">
        <v>0.75</v>
      </c>
      <c r="E885" s="533">
        <v>0.75</v>
      </c>
      <c r="F885" s="11" t="s">
        <v>1656</v>
      </c>
      <c r="G885" s="10"/>
      <c r="H885" s="11" t="s">
        <v>11096</v>
      </c>
      <c r="I885" s="10"/>
      <c r="J885" s="536" t="s">
        <v>7786</v>
      </c>
      <c r="K885" s="536">
        <v>2345.0</v>
      </c>
    </row>
    <row r="886" hidden="1">
      <c r="A886" s="531" t="s">
        <v>12488</v>
      </c>
      <c r="B886" s="531">
        <v>189.0</v>
      </c>
      <c r="C886" s="11" t="s">
        <v>11095</v>
      </c>
      <c r="D886" s="533">
        <v>0.88</v>
      </c>
      <c r="E886" s="533">
        <v>0.88</v>
      </c>
      <c r="F886" s="11" t="s">
        <v>1656</v>
      </c>
      <c r="G886" s="10"/>
      <c r="H886" s="11" t="s">
        <v>11096</v>
      </c>
      <c r="I886" s="10"/>
      <c r="J886" s="536" t="s">
        <v>7788</v>
      </c>
      <c r="K886" s="536">
        <v>2345.0</v>
      </c>
    </row>
    <row r="887" hidden="1">
      <c r="A887" s="531" t="s">
        <v>12489</v>
      </c>
      <c r="B887" s="531">
        <v>7149.0</v>
      </c>
      <c r="C887" s="11" t="s">
        <v>11095</v>
      </c>
      <c r="D887" s="533">
        <v>0.75</v>
      </c>
      <c r="E887" s="533">
        <v>0.75</v>
      </c>
      <c r="F887" s="11" t="s">
        <v>1656</v>
      </c>
      <c r="G887" s="10"/>
      <c r="H887" s="11" t="s">
        <v>11096</v>
      </c>
      <c r="I887" s="10"/>
      <c r="J887" s="536" t="s">
        <v>7789</v>
      </c>
      <c r="K887" s="536">
        <v>2345.0</v>
      </c>
    </row>
    <row r="888" hidden="1">
      <c r="A888" s="531" t="s">
        <v>12490</v>
      </c>
      <c r="B888" s="531">
        <v>14005.0</v>
      </c>
      <c r="C888" s="11" t="s">
        <v>11095</v>
      </c>
      <c r="D888" s="533">
        <v>0.75</v>
      </c>
      <c r="E888" s="533">
        <v>0.75</v>
      </c>
      <c r="F888" s="11" t="s">
        <v>1656</v>
      </c>
      <c r="G888" s="10"/>
      <c r="H888" s="11" t="s">
        <v>11096</v>
      </c>
      <c r="I888" s="10"/>
      <c r="J888" s="536" t="s">
        <v>7794</v>
      </c>
      <c r="K888" s="536">
        <v>2345.0</v>
      </c>
    </row>
    <row r="889" hidden="1">
      <c r="A889" s="531" t="s">
        <v>12491</v>
      </c>
      <c r="B889" s="531">
        <v>14507.0</v>
      </c>
      <c r="C889" s="11" t="s">
        <v>11095</v>
      </c>
      <c r="D889" s="533">
        <v>0.75</v>
      </c>
      <c r="E889" s="533">
        <v>0.75</v>
      </c>
      <c r="F889" s="11" t="s">
        <v>1656</v>
      </c>
      <c r="G889" s="10"/>
      <c r="H889" s="11" t="s">
        <v>11096</v>
      </c>
      <c r="I889" s="10"/>
      <c r="J889" s="536" t="s">
        <v>9608</v>
      </c>
      <c r="K889" s="536">
        <v>2345.0</v>
      </c>
    </row>
    <row r="890" hidden="1">
      <c r="A890" s="531" t="s">
        <v>12492</v>
      </c>
      <c r="B890" s="531">
        <v>8486.0</v>
      </c>
      <c r="C890" s="11" t="s">
        <v>11095</v>
      </c>
      <c r="D890" s="533">
        <v>0.88</v>
      </c>
      <c r="E890" s="533">
        <v>0.88</v>
      </c>
      <c r="F890" s="11" t="s">
        <v>1656</v>
      </c>
      <c r="G890" s="10"/>
      <c r="H890" s="11" t="s">
        <v>11096</v>
      </c>
      <c r="I890" s="10"/>
      <c r="J890" s="536" t="s">
        <v>7796</v>
      </c>
      <c r="K890" s="536">
        <v>2345.0</v>
      </c>
    </row>
    <row r="891" hidden="1">
      <c r="A891" s="531" t="s">
        <v>12493</v>
      </c>
      <c r="B891" s="531">
        <v>7083.0</v>
      </c>
      <c r="C891" s="11" t="s">
        <v>11095</v>
      </c>
      <c r="D891" s="533">
        <v>0.75</v>
      </c>
      <c r="E891" s="533">
        <v>0.75</v>
      </c>
      <c r="F891" s="11" t="s">
        <v>1656</v>
      </c>
      <c r="G891" s="10"/>
      <c r="H891" s="11" t="s">
        <v>11096</v>
      </c>
      <c r="I891" s="10"/>
      <c r="J891" s="536" t="s">
        <v>7797</v>
      </c>
      <c r="K891" s="536">
        <v>2345.0</v>
      </c>
    </row>
    <row r="892" hidden="1">
      <c r="A892" s="531" t="s">
        <v>12494</v>
      </c>
      <c r="B892" s="531">
        <v>12262.0</v>
      </c>
      <c r="C892" s="11" t="s">
        <v>11095</v>
      </c>
      <c r="D892" s="533">
        <v>0.75</v>
      </c>
      <c r="E892" s="533">
        <v>0.75</v>
      </c>
      <c r="F892" s="11" t="s">
        <v>1656</v>
      </c>
      <c r="G892" s="10"/>
      <c r="H892" s="11" t="s">
        <v>11096</v>
      </c>
      <c r="I892" s="10"/>
      <c r="J892" s="536" t="s">
        <v>7798</v>
      </c>
      <c r="K892" s="536">
        <v>2345.0</v>
      </c>
    </row>
    <row r="893" hidden="1">
      <c r="A893" s="531" t="s">
        <v>12495</v>
      </c>
      <c r="B893" s="531">
        <v>2365.0</v>
      </c>
      <c r="C893" s="11" t="s">
        <v>11095</v>
      </c>
      <c r="D893" s="533">
        <v>0.75</v>
      </c>
      <c r="E893" s="533">
        <v>0.75</v>
      </c>
      <c r="F893" s="11" t="s">
        <v>1656</v>
      </c>
      <c r="G893" s="10"/>
      <c r="H893" s="11" t="s">
        <v>11096</v>
      </c>
      <c r="I893" s="10"/>
      <c r="J893" s="536" t="s">
        <v>7800</v>
      </c>
      <c r="K893" s="536">
        <v>2345.0</v>
      </c>
    </row>
    <row r="894" hidden="1">
      <c r="A894" s="531" t="s">
        <v>12496</v>
      </c>
      <c r="B894" s="531">
        <v>14480.0</v>
      </c>
      <c r="C894" s="11" t="s">
        <v>11095</v>
      </c>
      <c r="D894" s="533">
        <v>0.75</v>
      </c>
      <c r="E894" s="533">
        <v>0.75</v>
      </c>
      <c r="F894" s="11" t="s">
        <v>1656</v>
      </c>
      <c r="G894" s="10"/>
      <c r="H894" s="11" t="s">
        <v>11096</v>
      </c>
      <c r="I894" s="10"/>
      <c r="J894" s="536" t="s">
        <v>7801</v>
      </c>
      <c r="K894" s="536">
        <v>2345.0</v>
      </c>
    </row>
    <row r="895" hidden="1">
      <c r="A895" s="531" t="s">
        <v>12497</v>
      </c>
      <c r="B895" s="531">
        <v>2095.0</v>
      </c>
      <c r="C895" s="11" t="s">
        <v>11095</v>
      </c>
      <c r="D895" s="533">
        <v>0.75</v>
      </c>
      <c r="E895" s="533">
        <v>0.75</v>
      </c>
      <c r="F895" s="11" t="s">
        <v>1656</v>
      </c>
      <c r="G895" s="10"/>
      <c r="H895" s="11" t="s">
        <v>11096</v>
      </c>
      <c r="I895" s="10"/>
      <c r="J895" s="536" t="s">
        <v>7802</v>
      </c>
      <c r="K895" s="536">
        <v>2345.0</v>
      </c>
    </row>
    <row r="896" hidden="1">
      <c r="A896" s="531" t="s">
        <v>12498</v>
      </c>
      <c r="B896" s="531">
        <v>8002.0</v>
      </c>
      <c r="C896" s="11" t="s">
        <v>11095</v>
      </c>
      <c r="D896" s="533">
        <v>0.75</v>
      </c>
      <c r="E896" s="533">
        <v>0.75</v>
      </c>
      <c r="F896" s="11" t="s">
        <v>1656</v>
      </c>
      <c r="G896" s="10"/>
      <c r="H896" s="11" t="s">
        <v>11096</v>
      </c>
      <c r="I896" s="10"/>
      <c r="J896" s="536" t="s">
        <v>7804</v>
      </c>
      <c r="K896" s="536">
        <v>6668.0</v>
      </c>
    </row>
    <row r="897" hidden="1">
      <c r="A897" s="531" t="s">
        <v>12499</v>
      </c>
      <c r="B897" s="531">
        <v>7747.0</v>
      </c>
      <c r="C897" s="11" t="s">
        <v>11095</v>
      </c>
      <c r="D897" s="533">
        <v>0.75</v>
      </c>
      <c r="E897" s="533">
        <v>0.75</v>
      </c>
      <c r="F897" s="11" t="s">
        <v>1656</v>
      </c>
      <c r="G897" s="10"/>
      <c r="H897" s="11" t="s">
        <v>11096</v>
      </c>
      <c r="I897" s="10"/>
      <c r="J897" s="536" t="s">
        <v>7808</v>
      </c>
      <c r="K897" s="536">
        <v>6668.0</v>
      </c>
    </row>
    <row r="898" hidden="1">
      <c r="A898" s="531" t="s">
        <v>12500</v>
      </c>
      <c r="B898" s="531">
        <v>189.0</v>
      </c>
      <c r="C898" s="11" t="s">
        <v>11095</v>
      </c>
      <c r="D898" s="533">
        <v>0.88</v>
      </c>
      <c r="E898" s="533">
        <v>0.88</v>
      </c>
      <c r="F898" s="11" t="s">
        <v>1656</v>
      </c>
      <c r="G898" s="10"/>
      <c r="H898" s="11" t="s">
        <v>11096</v>
      </c>
      <c r="I898" s="10"/>
      <c r="J898" s="536" t="s">
        <v>7810</v>
      </c>
      <c r="K898" s="536">
        <v>6732.0</v>
      </c>
    </row>
    <row r="899" hidden="1">
      <c r="A899" s="531" t="s">
        <v>12501</v>
      </c>
      <c r="B899" s="532"/>
      <c r="C899" s="11" t="s">
        <v>11095</v>
      </c>
      <c r="D899" s="533">
        <v>0.75</v>
      </c>
      <c r="E899" s="533">
        <v>0.75</v>
      </c>
      <c r="F899" s="11" t="s">
        <v>1656</v>
      </c>
      <c r="G899" s="10"/>
      <c r="H899" s="11" t="s">
        <v>11096</v>
      </c>
      <c r="I899" s="10"/>
      <c r="J899" s="536" t="s">
        <v>7813</v>
      </c>
      <c r="K899" s="536">
        <v>6732.0</v>
      </c>
    </row>
    <row r="900" hidden="1">
      <c r="A900" s="531" t="s">
        <v>12502</v>
      </c>
      <c r="B900" s="531">
        <v>189.0</v>
      </c>
      <c r="C900" s="11" t="s">
        <v>11095</v>
      </c>
      <c r="D900" s="533">
        <v>0.88</v>
      </c>
      <c r="E900" s="533">
        <v>0.88</v>
      </c>
      <c r="F900" s="11" t="s">
        <v>1656</v>
      </c>
      <c r="G900" s="10"/>
      <c r="H900" s="11" t="s">
        <v>11096</v>
      </c>
      <c r="I900" s="10"/>
      <c r="J900" s="536" t="s">
        <v>7818</v>
      </c>
      <c r="K900" s="536">
        <v>6732.0</v>
      </c>
    </row>
    <row r="901" hidden="1">
      <c r="A901" s="531" t="s">
        <v>12503</v>
      </c>
      <c r="B901" s="532"/>
      <c r="C901" s="11" t="s">
        <v>11095</v>
      </c>
      <c r="D901" s="533">
        <v>0.75</v>
      </c>
      <c r="E901" s="533">
        <v>0.75</v>
      </c>
      <c r="F901" s="11" t="s">
        <v>1656</v>
      </c>
      <c r="G901" s="10"/>
      <c r="H901" s="11" t="s">
        <v>11096</v>
      </c>
      <c r="I901" s="10"/>
      <c r="J901" s="536" t="s">
        <v>7820</v>
      </c>
      <c r="K901" s="536">
        <v>6732.0</v>
      </c>
    </row>
    <row r="902" hidden="1">
      <c r="A902" s="531" t="s">
        <v>12504</v>
      </c>
      <c r="B902" s="531">
        <v>1104.0</v>
      </c>
      <c r="C902" s="11" t="s">
        <v>11095</v>
      </c>
      <c r="D902" s="533">
        <v>0.75</v>
      </c>
      <c r="E902" s="533">
        <v>0.75</v>
      </c>
      <c r="F902" s="11" t="s">
        <v>1656</v>
      </c>
      <c r="G902" s="10"/>
      <c r="H902" s="11" t="s">
        <v>11096</v>
      </c>
      <c r="I902" s="10"/>
      <c r="J902" s="536" t="s">
        <v>7823</v>
      </c>
      <c r="K902" s="536">
        <v>6732.0</v>
      </c>
    </row>
    <row r="903" hidden="1">
      <c r="A903" s="531" t="s">
        <v>12505</v>
      </c>
      <c r="B903" s="531">
        <v>13867.0</v>
      </c>
      <c r="C903" s="11" t="s">
        <v>11095</v>
      </c>
      <c r="D903" s="533">
        <v>0.75</v>
      </c>
      <c r="E903" s="533">
        <v>0.75</v>
      </c>
      <c r="F903" s="11" t="s">
        <v>1656</v>
      </c>
      <c r="G903" s="10"/>
      <c r="H903" s="11" t="s">
        <v>11096</v>
      </c>
      <c r="I903" s="10"/>
      <c r="J903" s="536" t="s">
        <v>7826</v>
      </c>
      <c r="K903" s="536">
        <v>6732.0</v>
      </c>
    </row>
    <row r="904" hidden="1">
      <c r="A904" s="531" t="s">
        <v>12506</v>
      </c>
      <c r="B904" s="532"/>
      <c r="C904" s="11" t="s">
        <v>11095</v>
      </c>
      <c r="D904" s="533">
        <v>0.75</v>
      </c>
      <c r="E904" s="533">
        <v>0.75</v>
      </c>
      <c r="F904" s="11" t="s">
        <v>1656</v>
      </c>
      <c r="G904" s="10"/>
      <c r="H904" s="11" t="s">
        <v>11096</v>
      </c>
      <c r="I904" s="10"/>
      <c r="J904" s="536" t="s">
        <v>7829</v>
      </c>
      <c r="K904" s="536">
        <v>6732.0</v>
      </c>
    </row>
    <row r="905" hidden="1">
      <c r="A905" s="531" t="s">
        <v>12507</v>
      </c>
      <c r="B905" s="531">
        <v>13956.0</v>
      </c>
      <c r="C905" s="11" t="s">
        <v>11095</v>
      </c>
      <c r="D905" s="533">
        <v>0.75</v>
      </c>
      <c r="E905" s="533">
        <v>0.75</v>
      </c>
      <c r="F905" s="11" t="s">
        <v>1656</v>
      </c>
      <c r="G905" s="10"/>
      <c r="H905" s="11" t="s">
        <v>11096</v>
      </c>
      <c r="I905" s="10"/>
      <c r="J905" s="536" t="s">
        <v>7831</v>
      </c>
      <c r="K905" s="536">
        <v>3312.0</v>
      </c>
    </row>
    <row r="906" hidden="1">
      <c r="A906" s="531" t="s">
        <v>12508</v>
      </c>
      <c r="B906" s="531">
        <v>12611.0</v>
      </c>
      <c r="C906" s="11" t="s">
        <v>11095</v>
      </c>
      <c r="D906" s="533">
        <v>0.75</v>
      </c>
      <c r="E906" s="533">
        <v>0.75</v>
      </c>
      <c r="F906" s="11" t="s">
        <v>1656</v>
      </c>
      <c r="G906" s="10"/>
      <c r="H906" s="11" t="s">
        <v>11096</v>
      </c>
      <c r="I906" s="10"/>
      <c r="J906" s="536" t="s">
        <v>7832</v>
      </c>
      <c r="K906" s="536">
        <v>3312.0</v>
      </c>
    </row>
    <row r="907" hidden="1">
      <c r="A907" s="531" t="s">
        <v>12509</v>
      </c>
      <c r="B907" s="531">
        <v>14086.0</v>
      </c>
      <c r="C907" s="11" t="s">
        <v>11095</v>
      </c>
      <c r="D907" s="533">
        <v>0.75</v>
      </c>
      <c r="E907" s="533">
        <v>0.75</v>
      </c>
      <c r="F907" s="11" t="s">
        <v>1656</v>
      </c>
      <c r="G907" s="10"/>
      <c r="H907" s="11" t="s">
        <v>11096</v>
      </c>
      <c r="I907" s="10"/>
      <c r="J907" s="536" t="s">
        <v>7833</v>
      </c>
      <c r="K907" s="536">
        <v>3312.0</v>
      </c>
    </row>
    <row r="908" hidden="1">
      <c r="A908" s="531" t="s">
        <v>12510</v>
      </c>
      <c r="B908" s="531">
        <v>14017.0</v>
      </c>
      <c r="C908" s="11" t="s">
        <v>11095</v>
      </c>
      <c r="D908" s="533">
        <v>0.75</v>
      </c>
      <c r="E908" s="533">
        <v>0.75</v>
      </c>
      <c r="F908" s="11" t="s">
        <v>1656</v>
      </c>
      <c r="G908" s="10"/>
      <c r="H908" s="11" t="s">
        <v>11096</v>
      </c>
      <c r="I908" s="10"/>
      <c r="J908" s="536" t="s">
        <v>7834</v>
      </c>
      <c r="K908" s="536">
        <v>3312.0</v>
      </c>
    </row>
    <row r="909" hidden="1">
      <c r="A909" s="531" t="s">
        <v>12511</v>
      </c>
      <c r="B909" s="532"/>
      <c r="C909" s="11" t="s">
        <v>11095</v>
      </c>
      <c r="D909" s="533">
        <v>0.75</v>
      </c>
      <c r="E909" s="533">
        <v>0.75</v>
      </c>
      <c r="F909" s="11" t="s">
        <v>1656</v>
      </c>
      <c r="G909" s="10"/>
      <c r="H909" s="11" t="s">
        <v>11096</v>
      </c>
      <c r="I909" s="10"/>
      <c r="J909" s="536" t="s">
        <v>7838</v>
      </c>
      <c r="K909" s="536">
        <v>3312.0</v>
      </c>
    </row>
    <row r="910" hidden="1">
      <c r="A910" s="531" t="s">
        <v>12512</v>
      </c>
      <c r="B910" s="531">
        <v>13949.0</v>
      </c>
      <c r="C910" s="11" t="s">
        <v>11095</v>
      </c>
      <c r="D910" s="533">
        <v>0.75</v>
      </c>
      <c r="E910" s="533">
        <v>0.75</v>
      </c>
      <c r="F910" s="11" t="s">
        <v>1656</v>
      </c>
      <c r="G910" s="10"/>
      <c r="H910" s="11" t="s">
        <v>11096</v>
      </c>
      <c r="I910" s="10"/>
      <c r="J910" s="536" t="s">
        <v>7839</v>
      </c>
      <c r="K910" s="536">
        <v>3312.0</v>
      </c>
    </row>
    <row r="911" hidden="1">
      <c r="A911" s="531" t="s">
        <v>12513</v>
      </c>
      <c r="B911" s="531">
        <v>13829.0</v>
      </c>
      <c r="C911" s="11" t="s">
        <v>11095</v>
      </c>
      <c r="D911" s="533">
        <v>0.75</v>
      </c>
      <c r="E911" s="533">
        <v>0.75</v>
      </c>
      <c r="F911" s="11" t="s">
        <v>1656</v>
      </c>
      <c r="G911" s="10"/>
      <c r="H911" s="11" t="s">
        <v>11096</v>
      </c>
      <c r="I911" s="10"/>
      <c r="J911" s="536" t="s">
        <v>7841</v>
      </c>
      <c r="K911" s="536">
        <v>3312.0</v>
      </c>
    </row>
    <row r="912" hidden="1">
      <c r="A912" s="531" t="s">
        <v>12514</v>
      </c>
      <c r="B912" s="531">
        <v>14065.0</v>
      </c>
      <c r="C912" s="11" t="s">
        <v>11095</v>
      </c>
      <c r="D912" s="533">
        <v>0.75</v>
      </c>
      <c r="E912" s="533">
        <v>0.75</v>
      </c>
      <c r="F912" s="11" t="s">
        <v>1656</v>
      </c>
      <c r="G912" s="10"/>
      <c r="H912" s="11" t="s">
        <v>11096</v>
      </c>
      <c r="I912" s="10"/>
      <c r="J912" s="536" t="s">
        <v>7843</v>
      </c>
      <c r="K912" s="536">
        <v>3312.0</v>
      </c>
    </row>
    <row r="913" hidden="1">
      <c r="A913" s="531" t="s">
        <v>12515</v>
      </c>
      <c r="B913" s="532"/>
      <c r="C913" s="11" t="s">
        <v>11095</v>
      </c>
      <c r="D913" s="533">
        <v>0.75</v>
      </c>
      <c r="E913" s="533">
        <v>0.75</v>
      </c>
      <c r="F913" s="11" t="s">
        <v>1656</v>
      </c>
      <c r="G913" s="10"/>
      <c r="H913" s="11" t="s">
        <v>11096</v>
      </c>
      <c r="I913" s="10"/>
      <c r="J913" s="536" t="s">
        <v>7845</v>
      </c>
      <c r="K913" s="536">
        <v>3312.0</v>
      </c>
    </row>
    <row r="914" hidden="1">
      <c r="A914" s="531" t="s">
        <v>12516</v>
      </c>
      <c r="B914" s="541"/>
      <c r="C914" s="11" t="s">
        <v>11095</v>
      </c>
      <c r="D914" s="533">
        <v>0.75</v>
      </c>
      <c r="E914" s="533">
        <v>0.75</v>
      </c>
      <c r="F914" s="11" t="s">
        <v>1656</v>
      </c>
      <c r="G914" s="10"/>
      <c r="H914" s="11" t="s">
        <v>11096</v>
      </c>
      <c r="I914" s="10"/>
      <c r="J914" s="536" t="s">
        <v>7846</v>
      </c>
      <c r="K914" s="536">
        <v>3312.0</v>
      </c>
    </row>
    <row r="915" hidden="1">
      <c r="A915" s="531" t="s">
        <v>12517</v>
      </c>
      <c r="B915" s="531">
        <v>6785.0</v>
      </c>
      <c r="C915" s="11" t="s">
        <v>11095</v>
      </c>
      <c r="D915" s="533">
        <v>0.75</v>
      </c>
      <c r="E915" s="533">
        <v>0.75</v>
      </c>
      <c r="F915" s="11" t="s">
        <v>1656</v>
      </c>
      <c r="G915" s="10"/>
      <c r="H915" s="11" t="s">
        <v>11096</v>
      </c>
      <c r="I915" s="10"/>
      <c r="J915" s="536" t="s">
        <v>7847</v>
      </c>
      <c r="K915" s="536">
        <v>3312.0</v>
      </c>
    </row>
    <row r="916" hidden="1">
      <c r="A916" s="531" t="s">
        <v>12518</v>
      </c>
      <c r="B916" s="532"/>
      <c r="C916" s="11" t="s">
        <v>11095</v>
      </c>
      <c r="D916" s="533">
        <v>0.75</v>
      </c>
      <c r="E916" s="533">
        <v>0.75</v>
      </c>
      <c r="F916" s="11" t="s">
        <v>1656</v>
      </c>
      <c r="G916" s="10"/>
      <c r="H916" s="11" t="s">
        <v>11096</v>
      </c>
      <c r="I916" s="10"/>
      <c r="J916" s="536" t="s">
        <v>7850</v>
      </c>
      <c r="K916" s="536">
        <v>3312.0</v>
      </c>
    </row>
    <row r="917" hidden="1">
      <c r="A917" s="531" t="s">
        <v>12519</v>
      </c>
      <c r="B917" s="531">
        <v>14571.0</v>
      </c>
      <c r="C917" s="11" t="s">
        <v>11095</v>
      </c>
      <c r="D917" s="533">
        <v>0.75</v>
      </c>
      <c r="E917" s="533">
        <v>0.75</v>
      </c>
      <c r="F917" s="11" t="s">
        <v>1656</v>
      </c>
      <c r="G917" s="10"/>
      <c r="H917" s="11" t="s">
        <v>11096</v>
      </c>
      <c r="I917" s="10"/>
      <c r="J917" s="536" t="s">
        <v>9655</v>
      </c>
      <c r="K917" s="536">
        <v>3312.0</v>
      </c>
    </row>
    <row r="918" hidden="1">
      <c r="A918" s="531" t="s">
        <v>12520</v>
      </c>
      <c r="B918" s="531">
        <v>14571.0</v>
      </c>
      <c r="C918" s="11" t="s">
        <v>11095</v>
      </c>
      <c r="D918" s="533">
        <v>0.75</v>
      </c>
      <c r="E918" s="533">
        <v>0.75</v>
      </c>
      <c r="F918" s="11" t="s">
        <v>1656</v>
      </c>
      <c r="G918" s="10"/>
      <c r="H918" s="11" t="s">
        <v>11096</v>
      </c>
      <c r="I918" s="10"/>
      <c r="J918" s="536" t="s">
        <v>7858</v>
      </c>
      <c r="K918" s="536">
        <v>3312.0</v>
      </c>
    </row>
    <row r="919" hidden="1">
      <c r="A919" s="531" t="s">
        <v>12521</v>
      </c>
      <c r="B919" s="532"/>
      <c r="C919" s="11" t="s">
        <v>11095</v>
      </c>
      <c r="D919" s="533">
        <v>0.75</v>
      </c>
      <c r="E919" s="533">
        <v>0.75</v>
      </c>
      <c r="F919" s="11" t="s">
        <v>1656</v>
      </c>
      <c r="G919" s="10"/>
      <c r="H919" s="11" t="s">
        <v>11096</v>
      </c>
      <c r="I919" s="10"/>
      <c r="J919" s="536" t="s">
        <v>12522</v>
      </c>
      <c r="K919" s="536">
        <v>3312.0</v>
      </c>
    </row>
    <row r="920" hidden="1">
      <c r="A920" s="531" t="s">
        <v>12523</v>
      </c>
      <c r="B920" s="531">
        <v>6729.0</v>
      </c>
      <c r="C920" s="11" t="s">
        <v>11095</v>
      </c>
      <c r="D920" s="533">
        <v>0.85</v>
      </c>
      <c r="E920" s="533">
        <v>0.85</v>
      </c>
      <c r="F920" s="11" t="s">
        <v>1656</v>
      </c>
      <c r="G920" s="10"/>
      <c r="H920" s="11" t="s">
        <v>11096</v>
      </c>
      <c r="I920" s="10"/>
      <c r="J920" s="536" t="s">
        <v>12524</v>
      </c>
      <c r="K920" s="536">
        <v>3312.0</v>
      </c>
    </row>
    <row r="921" hidden="1">
      <c r="A921" s="531" t="s">
        <v>12525</v>
      </c>
      <c r="B921" s="531">
        <v>8199.0</v>
      </c>
      <c r="C921" s="11" t="s">
        <v>11095</v>
      </c>
      <c r="D921" s="533">
        <v>0.75</v>
      </c>
      <c r="E921" s="533">
        <v>0.75</v>
      </c>
      <c r="F921" s="11" t="s">
        <v>1656</v>
      </c>
      <c r="G921" s="10"/>
      <c r="H921" s="11" t="s">
        <v>11096</v>
      </c>
      <c r="I921" s="10"/>
      <c r="J921" s="536" t="s">
        <v>12526</v>
      </c>
      <c r="K921" s="536">
        <v>3312.0</v>
      </c>
    </row>
    <row r="922" hidden="1">
      <c r="A922" s="531" t="s">
        <v>12527</v>
      </c>
      <c r="B922" s="531">
        <v>6729.0</v>
      </c>
      <c r="C922" s="11" t="s">
        <v>11095</v>
      </c>
      <c r="D922" s="533">
        <v>0.85</v>
      </c>
      <c r="E922" s="533">
        <v>0.85</v>
      </c>
      <c r="F922" s="11" t="s">
        <v>1656</v>
      </c>
      <c r="G922" s="10"/>
      <c r="H922" s="11" t="s">
        <v>11096</v>
      </c>
      <c r="I922" s="10"/>
      <c r="J922" s="536" t="s">
        <v>11382</v>
      </c>
      <c r="K922" s="536">
        <v>3312.0</v>
      </c>
    </row>
    <row r="923" hidden="1">
      <c r="A923" s="531" t="s">
        <v>12528</v>
      </c>
      <c r="B923" s="531">
        <v>6729.0</v>
      </c>
      <c r="C923" s="11" t="s">
        <v>11095</v>
      </c>
      <c r="D923" s="533">
        <v>0.85</v>
      </c>
      <c r="E923" s="533">
        <v>0.85</v>
      </c>
      <c r="F923" s="11" t="s">
        <v>1656</v>
      </c>
      <c r="G923" s="10"/>
      <c r="H923" s="11" t="s">
        <v>11096</v>
      </c>
      <c r="I923" s="10"/>
      <c r="J923" s="536" t="s">
        <v>12529</v>
      </c>
      <c r="K923" s="536">
        <v>3312.0</v>
      </c>
    </row>
    <row r="924" hidden="1">
      <c r="A924" s="531" t="s">
        <v>12530</v>
      </c>
      <c r="B924" s="531">
        <v>6729.0</v>
      </c>
      <c r="C924" s="11" t="s">
        <v>11095</v>
      </c>
      <c r="D924" s="533">
        <v>0.85</v>
      </c>
      <c r="E924" s="533">
        <v>0.85</v>
      </c>
      <c r="F924" s="11" t="s">
        <v>1656</v>
      </c>
      <c r="G924" s="10"/>
      <c r="H924" s="11" t="s">
        <v>11096</v>
      </c>
      <c r="I924" s="10"/>
      <c r="J924" s="536" t="s">
        <v>11741</v>
      </c>
      <c r="K924" s="536">
        <v>3312.0</v>
      </c>
    </row>
    <row r="925" hidden="1">
      <c r="A925" s="531" t="s">
        <v>12531</v>
      </c>
      <c r="B925" s="531">
        <v>12932.0</v>
      </c>
      <c r="C925" s="11" t="s">
        <v>11095</v>
      </c>
      <c r="D925" s="533">
        <v>0.75</v>
      </c>
      <c r="E925" s="533">
        <v>0.75</v>
      </c>
      <c r="F925" s="11" t="s">
        <v>1656</v>
      </c>
      <c r="G925" s="10"/>
      <c r="H925" s="11" t="s">
        <v>11096</v>
      </c>
      <c r="I925" s="10"/>
      <c r="J925" s="536" t="s">
        <v>12532</v>
      </c>
      <c r="K925" s="536">
        <v>489.0</v>
      </c>
    </row>
    <row r="926" hidden="1">
      <c r="A926" s="531" t="s">
        <v>12533</v>
      </c>
      <c r="B926" s="531">
        <v>13951.0</v>
      </c>
      <c r="C926" s="11" t="s">
        <v>11095</v>
      </c>
      <c r="D926" s="533">
        <v>0.75</v>
      </c>
      <c r="E926" s="533">
        <v>0.75</v>
      </c>
      <c r="F926" s="11" t="s">
        <v>1656</v>
      </c>
      <c r="G926" s="10"/>
      <c r="H926" s="11" t="s">
        <v>11096</v>
      </c>
      <c r="I926" s="10"/>
      <c r="J926" s="536" t="s">
        <v>11869</v>
      </c>
      <c r="K926" s="536">
        <v>986.0</v>
      </c>
    </row>
    <row r="927" hidden="1">
      <c r="A927" s="531" t="s">
        <v>12534</v>
      </c>
      <c r="B927" s="531">
        <v>14277.0</v>
      </c>
      <c r="C927" s="11" t="s">
        <v>11095</v>
      </c>
      <c r="D927" s="533">
        <v>0.75</v>
      </c>
      <c r="E927" s="533">
        <v>0.75</v>
      </c>
      <c r="F927" s="11" t="s">
        <v>1656</v>
      </c>
      <c r="G927" s="10"/>
      <c r="H927" s="11" t="s">
        <v>11096</v>
      </c>
      <c r="I927" s="10"/>
      <c r="J927" s="536" t="s">
        <v>12244</v>
      </c>
      <c r="K927" s="536">
        <v>6732.0</v>
      </c>
    </row>
    <row r="928" hidden="1">
      <c r="A928" s="531" t="s">
        <v>12535</v>
      </c>
      <c r="B928" s="531">
        <v>14277.0</v>
      </c>
      <c r="C928" s="11" t="s">
        <v>11095</v>
      </c>
      <c r="D928" s="533">
        <v>0.75</v>
      </c>
      <c r="E928" s="533">
        <v>0.75</v>
      </c>
      <c r="F928" s="11" t="s">
        <v>1656</v>
      </c>
      <c r="G928" s="10"/>
      <c r="H928" s="11" t="s">
        <v>11096</v>
      </c>
      <c r="I928" s="10"/>
      <c r="J928" s="536" t="s">
        <v>11785</v>
      </c>
      <c r="K928" s="536">
        <v>189.0</v>
      </c>
    </row>
    <row r="929" hidden="1">
      <c r="A929" s="531" t="s">
        <v>12536</v>
      </c>
      <c r="B929" s="531">
        <v>9701.0</v>
      </c>
      <c r="C929" s="11" t="s">
        <v>11095</v>
      </c>
      <c r="D929" s="533">
        <v>0.75</v>
      </c>
      <c r="E929" s="533">
        <v>0.75</v>
      </c>
      <c r="F929" s="11" t="s">
        <v>1656</v>
      </c>
      <c r="G929" s="10"/>
      <c r="H929" s="11" t="s">
        <v>11096</v>
      </c>
      <c r="I929" s="10"/>
      <c r="J929" s="536" t="s">
        <v>11949</v>
      </c>
      <c r="K929" s="536">
        <v>6949.0</v>
      </c>
    </row>
    <row r="930" hidden="1">
      <c r="A930" s="531" t="s">
        <v>12537</v>
      </c>
      <c r="B930" s="531">
        <v>14476.0</v>
      </c>
      <c r="C930" s="11" t="s">
        <v>11095</v>
      </c>
      <c r="D930" s="533">
        <v>0.75</v>
      </c>
      <c r="E930" s="533">
        <v>0.75</v>
      </c>
      <c r="F930" s="11" t="s">
        <v>1656</v>
      </c>
      <c r="G930" s="10"/>
      <c r="H930" s="11" t="s">
        <v>11096</v>
      </c>
      <c r="I930" s="10"/>
      <c r="J930" s="536" t="s">
        <v>11636</v>
      </c>
      <c r="K930" s="536">
        <v>6949.0</v>
      </c>
    </row>
    <row r="931" hidden="1">
      <c r="A931" s="531" t="s">
        <v>12538</v>
      </c>
      <c r="B931" s="532"/>
      <c r="C931" s="11" t="s">
        <v>11095</v>
      </c>
      <c r="D931" s="533">
        <v>0.75</v>
      </c>
      <c r="E931" s="533">
        <v>0.75</v>
      </c>
      <c r="F931" s="11" t="s">
        <v>1656</v>
      </c>
      <c r="G931" s="10"/>
      <c r="H931" s="11" t="s">
        <v>11096</v>
      </c>
      <c r="I931" s="10"/>
      <c r="J931" s="536" t="s">
        <v>12292</v>
      </c>
      <c r="K931" s="536">
        <v>6949.0</v>
      </c>
    </row>
    <row r="932" hidden="1">
      <c r="A932" s="531" t="s">
        <v>12539</v>
      </c>
      <c r="B932" s="531">
        <v>5389.0</v>
      </c>
      <c r="C932" s="11" t="s">
        <v>11095</v>
      </c>
      <c r="D932" s="533">
        <v>0.75</v>
      </c>
      <c r="E932" s="533">
        <v>0.75</v>
      </c>
      <c r="F932" s="11" t="s">
        <v>1656</v>
      </c>
      <c r="G932" s="10"/>
      <c r="H932" s="11" t="s">
        <v>11096</v>
      </c>
      <c r="I932" s="10"/>
      <c r="J932" s="536" t="s">
        <v>12540</v>
      </c>
      <c r="K932" s="536">
        <v>6939.0</v>
      </c>
    </row>
    <row r="933" hidden="1">
      <c r="A933" s="531" t="s">
        <v>12541</v>
      </c>
      <c r="B933" s="531">
        <v>2093.0</v>
      </c>
      <c r="C933" s="11" t="s">
        <v>11095</v>
      </c>
      <c r="D933" s="533">
        <v>0.75</v>
      </c>
      <c r="E933" s="533">
        <v>0.75</v>
      </c>
      <c r="F933" s="11" t="s">
        <v>1656</v>
      </c>
      <c r="G933" s="10"/>
      <c r="H933" s="11" t="s">
        <v>11096</v>
      </c>
      <c r="I933" s="10"/>
      <c r="J933" s="536" t="s">
        <v>12542</v>
      </c>
      <c r="K933" s="536">
        <v>6939.0</v>
      </c>
    </row>
    <row r="934" hidden="1">
      <c r="A934" s="531" t="s">
        <v>12543</v>
      </c>
      <c r="B934" s="531">
        <v>2093.0</v>
      </c>
      <c r="C934" s="11" t="s">
        <v>11095</v>
      </c>
      <c r="D934" s="533">
        <v>0.75</v>
      </c>
      <c r="E934" s="533">
        <v>0.75</v>
      </c>
      <c r="F934" s="11" t="s">
        <v>1656</v>
      </c>
      <c r="G934" s="10"/>
      <c r="H934" s="11" t="s">
        <v>11096</v>
      </c>
      <c r="I934" s="10"/>
      <c r="J934" s="536" t="s">
        <v>12234</v>
      </c>
      <c r="K934" s="536">
        <v>6732.0</v>
      </c>
    </row>
    <row r="935" hidden="1">
      <c r="A935" s="531" t="s">
        <v>12544</v>
      </c>
      <c r="B935" s="531">
        <v>2093.0</v>
      </c>
      <c r="C935" s="11" t="s">
        <v>11095</v>
      </c>
      <c r="D935" s="533">
        <v>0.75</v>
      </c>
      <c r="E935" s="533">
        <v>0.75</v>
      </c>
      <c r="F935" s="11" t="s">
        <v>1656</v>
      </c>
      <c r="G935" s="10"/>
      <c r="H935" s="11" t="s">
        <v>11096</v>
      </c>
      <c r="I935" s="10"/>
      <c r="J935" s="536" t="s">
        <v>12545</v>
      </c>
      <c r="K935" s="536">
        <v>6732.0</v>
      </c>
    </row>
    <row r="936" hidden="1">
      <c r="A936" s="531" t="s">
        <v>12546</v>
      </c>
      <c r="B936" s="531">
        <v>2093.0</v>
      </c>
      <c r="C936" s="11" t="s">
        <v>11095</v>
      </c>
      <c r="D936" s="533">
        <v>0.75</v>
      </c>
      <c r="E936" s="533">
        <v>0.75</v>
      </c>
      <c r="F936" s="11" t="s">
        <v>1656</v>
      </c>
      <c r="G936" s="10"/>
      <c r="H936" s="11" t="s">
        <v>11096</v>
      </c>
      <c r="I936" s="10"/>
      <c r="J936" s="536" t="s">
        <v>11796</v>
      </c>
      <c r="K936" s="536">
        <v>6675.0</v>
      </c>
    </row>
    <row r="937" hidden="1">
      <c r="A937" s="531" t="s">
        <v>12547</v>
      </c>
      <c r="B937" s="531">
        <v>285.0</v>
      </c>
      <c r="C937" s="11" t="s">
        <v>11095</v>
      </c>
      <c r="D937" s="533">
        <v>0.88</v>
      </c>
      <c r="E937" s="533">
        <v>0.88</v>
      </c>
      <c r="F937" s="11" t="s">
        <v>1656</v>
      </c>
      <c r="G937" s="10"/>
      <c r="H937" s="11" t="s">
        <v>11096</v>
      </c>
      <c r="I937" s="10"/>
      <c r="J937" s="536" t="s">
        <v>11863</v>
      </c>
      <c r="K937" s="536">
        <v>6675.0</v>
      </c>
    </row>
    <row r="938" hidden="1">
      <c r="A938" s="531" t="s">
        <v>12548</v>
      </c>
      <c r="B938" s="531">
        <v>285.0</v>
      </c>
      <c r="C938" s="11" t="s">
        <v>11095</v>
      </c>
      <c r="D938" s="533">
        <v>0.88</v>
      </c>
      <c r="E938" s="533">
        <v>0.88</v>
      </c>
      <c r="F938" s="11" t="s">
        <v>1656</v>
      </c>
      <c r="G938" s="10"/>
      <c r="H938" s="11" t="s">
        <v>11096</v>
      </c>
      <c r="I938" s="10"/>
      <c r="J938" s="536" t="s">
        <v>11539</v>
      </c>
      <c r="K938" s="536">
        <v>189.0</v>
      </c>
    </row>
    <row r="939" hidden="1">
      <c r="A939" s="531" t="s">
        <v>12549</v>
      </c>
      <c r="B939" s="531">
        <v>285.0</v>
      </c>
      <c r="C939" s="11" t="s">
        <v>11095</v>
      </c>
      <c r="D939" s="533">
        <v>0.88</v>
      </c>
      <c r="E939" s="533">
        <v>0.88</v>
      </c>
      <c r="F939" s="11" t="s">
        <v>1656</v>
      </c>
      <c r="G939" s="10"/>
      <c r="H939" s="11" t="s">
        <v>11096</v>
      </c>
      <c r="I939" s="10"/>
      <c r="J939" s="536" t="s">
        <v>11793</v>
      </c>
      <c r="K939" s="536">
        <v>189.0</v>
      </c>
    </row>
    <row r="940" hidden="1">
      <c r="A940" s="531" t="s">
        <v>12550</v>
      </c>
      <c r="B940" s="531">
        <v>285.0</v>
      </c>
      <c r="C940" s="11" t="s">
        <v>11095</v>
      </c>
      <c r="D940" s="533">
        <v>0.88</v>
      </c>
      <c r="E940" s="533">
        <v>0.88</v>
      </c>
      <c r="F940" s="11" t="s">
        <v>1656</v>
      </c>
      <c r="G940" s="10"/>
      <c r="H940" s="11" t="s">
        <v>11096</v>
      </c>
      <c r="I940" s="10"/>
      <c r="J940" s="536" t="s">
        <v>12551</v>
      </c>
      <c r="K940" s="536">
        <v>489.0</v>
      </c>
    </row>
    <row r="941" hidden="1">
      <c r="A941" s="531" t="s">
        <v>12552</v>
      </c>
      <c r="B941" s="531">
        <v>285.0</v>
      </c>
      <c r="C941" s="11" t="s">
        <v>11095</v>
      </c>
      <c r="D941" s="533">
        <v>0.88</v>
      </c>
      <c r="E941" s="533">
        <v>0.88</v>
      </c>
      <c r="F941" s="11" t="s">
        <v>1656</v>
      </c>
      <c r="G941" s="10"/>
      <c r="H941" s="11" t="s">
        <v>11096</v>
      </c>
      <c r="I941" s="10"/>
      <c r="J941" s="536" t="s">
        <v>11440</v>
      </c>
      <c r="K941" s="536">
        <v>6675.0</v>
      </c>
    </row>
    <row r="942" hidden="1">
      <c r="A942" s="531" t="s">
        <v>12553</v>
      </c>
      <c r="B942" s="531">
        <v>285.0</v>
      </c>
      <c r="C942" s="11" t="s">
        <v>11095</v>
      </c>
      <c r="D942" s="533">
        <v>0.88</v>
      </c>
      <c r="E942" s="533">
        <v>0.88</v>
      </c>
      <c r="F942" s="11" t="s">
        <v>1656</v>
      </c>
      <c r="G942" s="10"/>
      <c r="H942" s="11" t="s">
        <v>11096</v>
      </c>
      <c r="I942" s="10"/>
      <c r="J942" s="536" t="s">
        <v>12554</v>
      </c>
      <c r="K942" s="536">
        <v>986.0</v>
      </c>
    </row>
    <row r="943" hidden="1">
      <c r="A943" s="531" t="s">
        <v>12555</v>
      </c>
      <c r="B943" s="531">
        <v>285.0</v>
      </c>
      <c r="C943" s="11" t="s">
        <v>11095</v>
      </c>
      <c r="D943" s="533">
        <v>0.88</v>
      </c>
      <c r="E943" s="533">
        <v>0.88</v>
      </c>
      <c r="F943" s="11" t="s">
        <v>1656</v>
      </c>
      <c r="G943" s="10"/>
      <c r="H943" s="11" t="s">
        <v>11096</v>
      </c>
      <c r="I943" s="10"/>
      <c r="J943" s="536" t="s">
        <v>12556</v>
      </c>
      <c r="K943" s="536">
        <v>986.0</v>
      </c>
    </row>
    <row r="944" hidden="1">
      <c r="A944" s="531" t="s">
        <v>12557</v>
      </c>
      <c r="B944" s="531">
        <v>285.0</v>
      </c>
      <c r="C944" s="11" t="s">
        <v>11095</v>
      </c>
      <c r="D944" s="533">
        <v>0.88</v>
      </c>
      <c r="E944" s="533">
        <v>0.88</v>
      </c>
      <c r="F944" s="11" t="s">
        <v>1656</v>
      </c>
      <c r="G944" s="10"/>
      <c r="H944" s="11" t="s">
        <v>11096</v>
      </c>
      <c r="I944" s="10"/>
      <c r="J944" s="536" t="s">
        <v>11429</v>
      </c>
      <c r="K944" s="536">
        <v>986.0</v>
      </c>
    </row>
    <row r="945" hidden="1">
      <c r="A945" s="531" t="s">
        <v>12558</v>
      </c>
      <c r="B945" s="531">
        <v>285.0</v>
      </c>
      <c r="C945" s="11" t="s">
        <v>11095</v>
      </c>
      <c r="D945" s="533">
        <v>0.88</v>
      </c>
      <c r="E945" s="533">
        <v>0.88</v>
      </c>
      <c r="F945" s="11" t="s">
        <v>1656</v>
      </c>
      <c r="G945" s="10"/>
      <c r="H945" s="11" t="s">
        <v>11096</v>
      </c>
      <c r="I945" s="10"/>
      <c r="J945" s="536" t="s">
        <v>12288</v>
      </c>
      <c r="K945" s="536">
        <v>986.0</v>
      </c>
    </row>
    <row r="946" hidden="1">
      <c r="A946" s="531" t="s">
        <v>12559</v>
      </c>
      <c r="B946" s="532"/>
      <c r="C946" s="11" t="s">
        <v>11095</v>
      </c>
      <c r="D946" s="533">
        <v>0.75</v>
      </c>
      <c r="E946" s="533">
        <v>0.75</v>
      </c>
      <c r="F946" s="11" t="s">
        <v>1656</v>
      </c>
      <c r="G946" s="10"/>
      <c r="H946" s="11" t="s">
        <v>11096</v>
      </c>
      <c r="I946" s="10"/>
      <c r="J946" s="536" t="s">
        <v>12560</v>
      </c>
      <c r="K946" s="536">
        <v>986.0</v>
      </c>
    </row>
    <row r="947" hidden="1">
      <c r="A947" s="531" t="s">
        <v>12561</v>
      </c>
      <c r="B947" s="532"/>
      <c r="C947" s="11" t="s">
        <v>11095</v>
      </c>
      <c r="D947" s="533">
        <v>0.75</v>
      </c>
      <c r="E947" s="533">
        <v>0.75</v>
      </c>
      <c r="F947" s="11" t="s">
        <v>1656</v>
      </c>
      <c r="G947" s="10"/>
      <c r="H947" s="11" t="s">
        <v>11096</v>
      </c>
      <c r="I947" s="10"/>
      <c r="J947" s="536" t="s">
        <v>12173</v>
      </c>
      <c r="K947" s="536">
        <v>986.0</v>
      </c>
    </row>
    <row r="948" hidden="1">
      <c r="A948" s="531" t="s">
        <v>12562</v>
      </c>
      <c r="B948" s="532"/>
      <c r="C948" s="11" t="s">
        <v>11095</v>
      </c>
      <c r="D948" s="533">
        <v>0.75</v>
      </c>
      <c r="E948" s="533">
        <v>0.75</v>
      </c>
      <c r="F948" s="11" t="s">
        <v>1656</v>
      </c>
      <c r="G948" s="10"/>
      <c r="H948" s="11" t="s">
        <v>11096</v>
      </c>
      <c r="I948" s="10"/>
      <c r="J948" s="536" t="s">
        <v>11842</v>
      </c>
      <c r="K948" s="536">
        <v>986.0</v>
      </c>
    </row>
    <row r="949" hidden="1">
      <c r="A949" s="531" t="s">
        <v>12563</v>
      </c>
      <c r="B949" s="532"/>
      <c r="C949" s="11" t="s">
        <v>11095</v>
      </c>
      <c r="D949" s="533">
        <v>0.75</v>
      </c>
      <c r="E949" s="533">
        <v>0.75</v>
      </c>
      <c r="F949" s="11" t="s">
        <v>1656</v>
      </c>
      <c r="G949" s="10"/>
      <c r="H949" s="11" t="s">
        <v>11096</v>
      </c>
      <c r="I949" s="10"/>
      <c r="J949" s="536" t="s">
        <v>11349</v>
      </c>
      <c r="K949" s="536">
        <v>986.0</v>
      </c>
    </row>
    <row r="950" hidden="1">
      <c r="A950" s="531" t="s">
        <v>12564</v>
      </c>
      <c r="B950" s="532"/>
      <c r="C950" s="11" t="s">
        <v>11095</v>
      </c>
      <c r="D950" s="533">
        <v>0.75</v>
      </c>
      <c r="E950" s="533">
        <v>0.75</v>
      </c>
      <c r="F950" s="11" t="s">
        <v>1656</v>
      </c>
      <c r="G950" s="10"/>
      <c r="H950" s="11" t="s">
        <v>11096</v>
      </c>
      <c r="I950" s="10"/>
      <c r="J950" s="536" t="s">
        <v>12565</v>
      </c>
      <c r="K950" s="536">
        <v>986.0</v>
      </c>
    </row>
    <row r="951" hidden="1">
      <c r="A951" s="531" t="s">
        <v>12566</v>
      </c>
      <c r="B951" s="532"/>
      <c r="C951" s="11" t="s">
        <v>11095</v>
      </c>
      <c r="D951" s="533">
        <v>0.75</v>
      </c>
      <c r="E951" s="533">
        <v>0.75</v>
      </c>
      <c r="F951" s="11" t="s">
        <v>1656</v>
      </c>
      <c r="G951" s="10"/>
      <c r="H951" s="11" t="s">
        <v>11096</v>
      </c>
      <c r="I951" s="10"/>
      <c r="J951" s="536" t="s">
        <v>12567</v>
      </c>
      <c r="K951" s="536">
        <v>986.0</v>
      </c>
    </row>
    <row r="952" hidden="1">
      <c r="A952" s="531" t="s">
        <v>12568</v>
      </c>
      <c r="B952" s="532"/>
      <c r="C952" s="11" t="s">
        <v>11095</v>
      </c>
      <c r="D952" s="533">
        <v>0.75</v>
      </c>
      <c r="E952" s="533">
        <v>0.75</v>
      </c>
      <c r="F952" s="11" t="s">
        <v>1656</v>
      </c>
      <c r="G952" s="10"/>
      <c r="H952" s="11" t="s">
        <v>11096</v>
      </c>
      <c r="I952" s="10"/>
      <c r="J952" s="536" t="s">
        <v>12156</v>
      </c>
      <c r="K952" s="536">
        <v>986.0</v>
      </c>
    </row>
    <row r="953" hidden="1">
      <c r="A953" s="531" t="s">
        <v>12569</v>
      </c>
      <c r="B953" s="531">
        <v>663.0</v>
      </c>
      <c r="C953" s="11" t="s">
        <v>11095</v>
      </c>
      <c r="D953" s="533">
        <v>0.85</v>
      </c>
      <c r="E953" s="533">
        <v>0.85</v>
      </c>
      <c r="F953" s="11" t="s">
        <v>1656</v>
      </c>
      <c r="G953" s="10"/>
      <c r="H953" s="11" t="s">
        <v>11096</v>
      </c>
      <c r="I953" s="10"/>
      <c r="J953" s="536" t="s">
        <v>12570</v>
      </c>
      <c r="K953" s="536">
        <v>986.0</v>
      </c>
    </row>
    <row r="954" hidden="1">
      <c r="A954" s="531" t="s">
        <v>12571</v>
      </c>
      <c r="B954" s="532"/>
      <c r="C954" s="11" t="s">
        <v>11095</v>
      </c>
      <c r="D954" s="533">
        <v>0.75</v>
      </c>
      <c r="E954" s="533">
        <v>0.75</v>
      </c>
      <c r="F954" s="11" t="s">
        <v>1656</v>
      </c>
      <c r="G954" s="10"/>
      <c r="H954" s="11" t="s">
        <v>11096</v>
      </c>
      <c r="I954" s="10"/>
      <c r="J954" s="536" t="s">
        <v>12572</v>
      </c>
      <c r="K954" s="536">
        <v>2205.0</v>
      </c>
    </row>
    <row r="955" hidden="1">
      <c r="A955" s="531" t="s">
        <v>12573</v>
      </c>
      <c r="B955" s="532"/>
      <c r="C955" s="11" t="s">
        <v>11095</v>
      </c>
      <c r="D955" s="533">
        <v>0.75</v>
      </c>
      <c r="E955" s="533">
        <v>0.75</v>
      </c>
      <c r="F955" s="11" t="s">
        <v>1656</v>
      </c>
      <c r="G955" s="10"/>
      <c r="H955" s="11" t="s">
        <v>11096</v>
      </c>
      <c r="I955" s="10"/>
      <c r="J955" s="536" t="s">
        <v>11755</v>
      </c>
      <c r="K955" s="536">
        <v>986.0</v>
      </c>
    </row>
    <row r="956" hidden="1">
      <c r="A956" s="531" t="s">
        <v>12574</v>
      </c>
      <c r="B956" s="532"/>
      <c r="C956" s="11" t="s">
        <v>11095</v>
      </c>
      <c r="D956" s="533">
        <v>0.75</v>
      </c>
      <c r="E956" s="533">
        <v>0.75</v>
      </c>
      <c r="F956" s="11" t="s">
        <v>1656</v>
      </c>
      <c r="G956" s="10"/>
      <c r="H956" s="11" t="s">
        <v>11096</v>
      </c>
      <c r="I956" s="10"/>
      <c r="J956" s="536" t="s">
        <v>11392</v>
      </c>
      <c r="K956" s="536">
        <v>14536.0</v>
      </c>
    </row>
    <row r="957" hidden="1">
      <c r="A957" s="531" t="s">
        <v>12575</v>
      </c>
      <c r="B957" s="532"/>
      <c r="C957" s="11" t="s">
        <v>11095</v>
      </c>
      <c r="D957" s="533">
        <v>0.75</v>
      </c>
      <c r="E957" s="533">
        <v>0.75</v>
      </c>
      <c r="F957" s="11" t="s">
        <v>1656</v>
      </c>
      <c r="G957" s="10"/>
      <c r="H957" s="11" t="s">
        <v>11096</v>
      </c>
      <c r="I957" s="10"/>
      <c r="J957" s="536" t="s">
        <v>12138</v>
      </c>
      <c r="K957" s="536">
        <v>14536.0</v>
      </c>
    </row>
    <row r="958" hidden="1">
      <c r="A958" s="531" t="s">
        <v>12576</v>
      </c>
      <c r="B958" s="531">
        <v>663.0</v>
      </c>
      <c r="C958" s="11" t="s">
        <v>11095</v>
      </c>
      <c r="D958" s="533">
        <v>0.85</v>
      </c>
      <c r="E958" s="533">
        <v>0.85</v>
      </c>
      <c r="F958" s="11" t="s">
        <v>1656</v>
      </c>
      <c r="G958" s="10"/>
      <c r="H958" s="11" t="s">
        <v>11096</v>
      </c>
      <c r="I958" s="10"/>
      <c r="J958" s="536" t="s">
        <v>12577</v>
      </c>
      <c r="K958" s="536">
        <v>986.0</v>
      </c>
    </row>
    <row r="959" hidden="1">
      <c r="A959" s="531" t="s">
        <v>12578</v>
      </c>
      <c r="B959" s="532"/>
      <c r="C959" s="11" t="s">
        <v>11095</v>
      </c>
      <c r="D959" s="533">
        <v>0.75</v>
      </c>
      <c r="E959" s="533">
        <v>0.75</v>
      </c>
      <c r="F959" s="11" t="s">
        <v>1656</v>
      </c>
      <c r="G959" s="10"/>
      <c r="H959" s="11" t="s">
        <v>11096</v>
      </c>
      <c r="I959" s="10"/>
      <c r="J959" s="536" t="s">
        <v>11712</v>
      </c>
      <c r="K959" s="536">
        <v>986.0</v>
      </c>
    </row>
    <row r="960" hidden="1">
      <c r="A960" s="531" t="s">
        <v>12579</v>
      </c>
      <c r="B960" s="532"/>
      <c r="C960" s="11" t="s">
        <v>11095</v>
      </c>
      <c r="D960" s="533">
        <v>0.75</v>
      </c>
      <c r="E960" s="533">
        <v>0.75</v>
      </c>
      <c r="F960" s="11" t="s">
        <v>1656</v>
      </c>
      <c r="G960" s="10"/>
      <c r="H960" s="11" t="s">
        <v>11096</v>
      </c>
      <c r="I960" s="10"/>
      <c r="J960" s="536" t="s">
        <v>12022</v>
      </c>
      <c r="K960" s="536">
        <v>986.0</v>
      </c>
    </row>
    <row r="961" hidden="1">
      <c r="A961" s="531" t="s">
        <v>12580</v>
      </c>
      <c r="B961" s="532"/>
      <c r="C961" s="11" t="s">
        <v>11095</v>
      </c>
      <c r="D961" s="533">
        <v>0.75</v>
      </c>
      <c r="E961" s="533">
        <v>0.75</v>
      </c>
      <c r="F961" s="11" t="s">
        <v>1656</v>
      </c>
      <c r="G961" s="10"/>
      <c r="H961" s="11" t="s">
        <v>11096</v>
      </c>
      <c r="I961" s="10"/>
      <c r="J961" s="536" t="s">
        <v>11996</v>
      </c>
      <c r="K961" s="536">
        <v>986.0</v>
      </c>
    </row>
    <row r="962" hidden="1">
      <c r="A962" s="531" t="s">
        <v>12581</v>
      </c>
      <c r="B962" s="532"/>
      <c r="C962" s="11" t="s">
        <v>11095</v>
      </c>
      <c r="D962" s="533">
        <v>0.75</v>
      </c>
      <c r="E962" s="533">
        <v>0.75</v>
      </c>
      <c r="F962" s="11" t="s">
        <v>1656</v>
      </c>
      <c r="G962" s="10"/>
      <c r="H962" s="11" t="s">
        <v>11096</v>
      </c>
      <c r="I962" s="10"/>
      <c r="J962" s="536" t="s">
        <v>11622</v>
      </c>
      <c r="K962" s="536">
        <v>986.0</v>
      </c>
    </row>
    <row r="963" hidden="1">
      <c r="A963" s="531" t="s">
        <v>12582</v>
      </c>
      <c r="B963" s="531">
        <v>663.0</v>
      </c>
      <c r="C963" s="11" t="s">
        <v>11095</v>
      </c>
      <c r="D963" s="533">
        <v>0.85</v>
      </c>
      <c r="E963" s="533">
        <v>0.85</v>
      </c>
      <c r="F963" s="11" t="s">
        <v>1656</v>
      </c>
      <c r="G963" s="10"/>
      <c r="H963" s="11" t="s">
        <v>11096</v>
      </c>
      <c r="I963" s="10"/>
      <c r="J963" s="536" t="s">
        <v>12583</v>
      </c>
      <c r="K963" s="536">
        <v>986.0</v>
      </c>
    </row>
    <row r="964" hidden="1">
      <c r="A964" s="531" t="s">
        <v>12584</v>
      </c>
      <c r="B964" s="532"/>
      <c r="C964" s="11" t="s">
        <v>11095</v>
      </c>
      <c r="D964" s="533">
        <v>0.75</v>
      </c>
      <c r="E964" s="533">
        <v>0.75</v>
      </c>
      <c r="F964" s="11" t="s">
        <v>1656</v>
      </c>
      <c r="G964" s="10"/>
      <c r="H964" s="11" t="s">
        <v>11096</v>
      </c>
      <c r="I964" s="10"/>
      <c r="J964" s="536" t="s">
        <v>12003</v>
      </c>
      <c r="K964" s="536">
        <v>986.0</v>
      </c>
    </row>
    <row r="965" hidden="1">
      <c r="A965" s="531" t="s">
        <v>12585</v>
      </c>
      <c r="B965" s="532"/>
      <c r="C965" s="11" t="s">
        <v>11095</v>
      </c>
      <c r="D965" s="533">
        <v>0.75</v>
      </c>
      <c r="E965" s="533">
        <v>0.75</v>
      </c>
      <c r="F965" s="11" t="s">
        <v>1656</v>
      </c>
      <c r="G965" s="10"/>
      <c r="H965" s="11" t="s">
        <v>11096</v>
      </c>
      <c r="I965" s="10"/>
      <c r="J965" s="536" t="s">
        <v>12276</v>
      </c>
      <c r="K965" s="536">
        <v>986.0</v>
      </c>
    </row>
    <row r="966" hidden="1">
      <c r="A966" s="531" t="s">
        <v>12586</v>
      </c>
      <c r="B966" s="532"/>
      <c r="C966" s="11" t="s">
        <v>11095</v>
      </c>
      <c r="D966" s="533">
        <v>0.75</v>
      </c>
      <c r="E966" s="533">
        <v>0.75</v>
      </c>
      <c r="F966" s="11" t="s">
        <v>1656</v>
      </c>
      <c r="G966" s="10"/>
      <c r="H966" s="11" t="s">
        <v>11096</v>
      </c>
      <c r="I966" s="10"/>
      <c r="J966" s="536" t="s">
        <v>12050</v>
      </c>
      <c r="K966" s="536">
        <v>986.0</v>
      </c>
    </row>
    <row r="967" hidden="1">
      <c r="A967" s="531" t="s">
        <v>12587</v>
      </c>
      <c r="B967" s="532"/>
      <c r="C967" s="11" t="s">
        <v>11095</v>
      </c>
      <c r="D967" s="533">
        <v>0.75</v>
      </c>
      <c r="E967" s="533">
        <v>0.75</v>
      </c>
      <c r="F967" s="11" t="s">
        <v>1656</v>
      </c>
      <c r="G967" s="10"/>
      <c r="H967" s="11" t="s">
        <v>11096</v>
      </c>
      <c r="I967" s="10"/>
      <c r="J967" s="536" t="s">
        <v>11663</v>
      </c>
      <c r="K967" s="536">
        <v>986.0</v>
      </c>
    </row>
    <row r="968" hidden="1">
      <c r="A968" s="531" t="s">
        <v>12588</v>
      </c>
      <c r="B968" s="531">
        <v>663.0</v>
      </c>
      <c r="C968" s="11" t="s">
        <v>11095</v>
      </c>
      <c r="D968" s="533">
        <v>0.85</v>
      </c>
      <c r="E968" s="533">
        <v>0.85</v>
      </c>
      <c r="F968" s="11" t="s">
        <v>1656</v>
      </c>
      <c r="G968" s="10"/>
      <c r="H968" s="11" t="s">
        <v>11096</v>
      </c>
      <c r="I968" s="10"/>
      <c r="J968" s="536" t="s">
        <v>12195</v>
      </c>
      <c r="K968" s="536">
        <v>986.0</v>
      </c>
    </row>
    <row r="969" hidden="1">
      <c r="A969" s="531" t="s">
        <v>12589</v>
      </c>
      <c r="B969" s="532"/>
      <c r="C969" s="11" t="s">
        <v>11095</v>
      </c>
      <c r="D969" s="533">
        <v>0.75</v>
      </c>
      <c r="E969" s="533">
        <v>0.75</v>
      </c>
      <c r="F969" s="11" t="s">
        <v>1656</v>
      </c>
      <c r="G969" s="10"/>
      <c r="H969" s="11" t="s">
        <v>11096</v>
      </c>
      <c r="I969" s="10"/>
      <c r="J969" s="536" t="s">
        <v>12066</v>
      </c>
      <c r="K969" s="536">
        <v>986.0</v>
      </c>
    </row>
    <row r="970" hidden="1">
      <c r="A970" s="531" t="s">
        <v>12590</v>
      </c>
      <c r="B970" s="532"/>
      <c r="C970" s="11" t="s">
        <v>11095</v>
      </c>
      <c r="D970" s="533">
        <v>0.75</v>
      </c>
      <c r="E970" s="533">
        <v>0.75</v>
      </c>
      <c r="F970" s="11" t="s">
        <v>1656</v>
      </c>
      <c r="G970" s="10"/>
      <c r="H970" s="11" t="s">
        <v>11096</v>
      </c>
      <c r="I970" s="10"/>
      <c r="J970" s="536" t="s">
        <v>12591</v>
      </c>
      <c r="K970" s="536">
        <v>986.0</v>
      </c>
    </row>
    <row r="971" hidden="1">
      <c r="A971" s="531" t="s">
        <v>12592</v>
      </c>
      <c r="B971" s="532"/>
      <c r="C971" s="11" t="s">
        <v>11095</v>
      </c>
      <c r="D971" s="533">
        <v>0.75</v>
      </c>
      <c r="E971" s="533">
        <v>0.75</v>
      </c>
      <c r="F971" s="11" t="s">
        <v>1656</v>
      </c>
      <c r="G971" s="10"/>
      <c r="H971" s="11" t="s">
        <v>11096</v>
      </c>
      <c r="I971" s="10"/>
      <c r="J971" s="536" t="s">
        <v>12147</v>
      </c>
      <c r="K971" s="536">
        <v>986.0</v>
      </c>
    </row>
    <row r="972" hidden="1">
      <c r="A972" s="531" t="s">
        <v>12593</v>
      </c>
      <c r="B972" s="532"/>
      <c r="C972" s="11" t="s">
        <v>11095</v>
      </c>
      <c r="D972" s="533">
        <v>0.75</v>
      </c>
      <c r="E972" s="533">
        <v>0.75</v>
      </c>
      <c r="F972" s="11" t="s">
        <v>1656</v>
      </c>
      <c r="G972" s="10"/>
      <c r="H972" s="11" t="s">
        <v>11096</v>
      </c>
      <c r="I972" s="10"/>
      <c r="J972" s="536" t="s">
        <v>12594</v>
      </c>
      <c r="K972" s="536">
        <v>986.0</v>
      </c>
    </row>
    <row r="973" hidden="1">
      <c r="A973" s="531" t="s">
        <v>12595</v>
      </c>
      <c r="B973" s="531">
        <v>663.0</v>
      </c>
      <c r="C973" s="11" t="s">
        <v>11095</v>
      </c>
      <c r="D973" s="533">
        <v>0.85</v>
      </c>
      <c r="E973" s="533">
        <v>0.85</v>
      </c>
      <c r="F973" s="11" t="s">
        <v>1656</v>
      </c>
      <c r="G973" s="10"/>
      <c r="H973" s="11" t="s">
        <v>11096</v>
      </c>
      <c r="I973" s="10"/>
      <c r="J973" s="536" t="s">
        <v>12596</v>
      </c>
      <c r="K973" s="536">
        <v>986.0</v>
      </c>
    </row>
    <row r="974" hidden="1">
      <c r="A974" s="531" t="s">
        <v>12597</v>
      </c>
      <c r="B974" s="532"/>
      <c r="C974" s="11" t="s">
        <v>11095</v>
      </c>
      <c r="D974" s="533">
        <v>0.75</v>
      </c>
      <c r="E974" s="533">
        <v>0.75</v>
      </c>
      <c r="F974" s="11" t="s">
        <v>1656</v>
      </c>
      <c r="G974" s="10"/>
      <c r="H974" s="11" t="s">
        <v>11096</v>
      </c>
      <c r="I974" s="10"/>
      <c r="J974" s="536" t="s">
        <v>11534</v>
      </c>
      <c r="K974" s="536">
        <v>986.0</v>
      </c>
    </row>
    <row r="975" hidden="1">
      <c r="A975" s="531" t="s">
        <v>12598</v>
      </c>
      <c r="B975" s="532"/>
      <c r="C975" s="11" t="s">
        <v>11095</v>
      </c>
      <c r="D975" s="533">
        <v>0.75</v>
      </c>
      <c r="E975" s="533">
        <v>0.75</v>
      </c>
      <c r="F975" s="11" t="s">
        <v>1656</v>
      </c>
      <c r="G975" s="10"/>
      <c r="H975" s="11" t="s">
        <v>11096</v>
      </c>
      <c r="I975" s="10"/>
      <c r="J975" s="536" t="s">
        <v>12599</v>
      </c>
      <c r="K975" s="536">
        <v>986.0</v>
      </c>
    </row>
    <row r="976" hidden="1">
      <c r="A976" s="531" t="s">
        <v>12600</v>
      </c>
      <c r="B976" s="532"/>
      <c r="C976" s="11" t="s">
        <v>11095</v>
      </c>
      <c r="D976" s="533">
        <v>0.75</v>
      </c>
      <c r="E976" s="533">
        <v>0.75</v>
      </c>
      <c r="F976" s="11" t="s">
        <v>1656</v>
      </c>
      <c r="G976" s="10"/>
      <c r="H976" s="11" t="s">
        <v>11096</v>
      </c>
      <c r="I976" s="10"/>
      <c r="J976" s="536" t="s">
        <v>12601</v>
      </c>
      <c r="K976" s="536">
        <v>986.0</v>
      </c>
    </row>
    <row r="977" hidden="1">
      <c r="A977" s="531" t="s">
        <v>12602</v>
      </c>
      <c r="B977" s="532"/>
      <c r="C977" s="11" t="s">
        <v>11095</v>
      </c>
      <c r="D977" s="533">
        <v>0.75</v>
      </c>
      <c r="E977" s="533">
        <v>0.75</v>
      </c>
      <c r="F977" s="11" t="s">
        <v>1656</v>
      </c>
      <c r="G977" s="10"/>
      <c r="H977" s="11" t="s">
        <v>11096</v>
      </c>
      <c r="I977" s="10"/>
      <c r="J977" s="536" t="s">
        <v>11344</v>
      </c>
      <c r="K977" s="536">
        <v>14525.0</v>
      </c>
    </row>
    <row r="978" hidden="1">
      <c r="A978" s="531" t="s">
        <v>12603</v>
      </c>
      <c r="B978" s="532"/>
      <c r="C978" s="11" t="s">
        <v>11095</v>
      </c>
      <c r="D978" s="533">
        <v>0.75</v>
      </c>
      <c r="E978" s="533">
        <v>0.75</v>
      </c>
      <c r="F978" s="11" t="s">
        <v>1656</v>
      </c>
      <c r="G978" s="10"/>
      <c r="H978" s="11" t="s">
        <v>11096</v>
      </c>
      <c r="I978" s="10"/>
      <c r="J978" s="536" t="s">
        <v>12604</v>
      </c>
      <c r="K978" s="536">
        <v>14525.0</v>
      </c>
    </row>
    <row r="979" hidden="1">
      <c r="A979" s="531" t="s">
        <v>12605</v>
      </c>
      <c r="B979" s="532"/>
      <c r="C979" s="11" t="s">
        <v>11095</v>
      </c>
      <c r="D979" s="533">
        <v>0.75</v>
      </c>
      <c r="E979" s="533">
        <v>0.75</v>
      </c>
      <c r="F979" s="11" t="s">
        <v>1656</v>
      </c>
      <c r="G979" s="10"/>
      <c r="H979" s="11" t="s">
        <v>11096</v>
      </c>
      <c r="I979" s="10"/>
      <c r="J979" s="540" t="s">
        <v>7861</v>
      </c>
      <c r="K979" s="536">
        <v>3312.0</v>
      </c>
    </row>
    <row r="980" hidden="1">
      <c r="A980" s="531" t="s">
        <v>12606</v>
      </c>
      <c r="B980" s="531">
        <v>13192.0</v>
      </c>
      <c r="C980" s="11" t="s">
        <v>11095</v>
      </c>
      <c r="D980" s="533">
        <v>0.75</v>
      </c>
      <c r="E980" s="533">
        <v>0.75</v>
      </c>
      <c r="F980" s="11" t="s">
        <v>1656</v>
      </c>
      <c r="G980" s="10"/>
      <c r="H980" s="11" t="s">
        <v>11096</v>
      </c>
      <c r="I980" s="10"/>
      <c r="J980" s="540" t="s">
        <v>7862</v>
      </c>
      <c r="K980" s="536">
        <v>3312.0</v>
      </c>
    </row>
    <row r="981" hidden="1">
      <c r="A981" s="531" t="s">
        <v>12607</v>
      </c>
      <c r="B981" s="531">
        <v>14065.0</v>
      </c>
      <c r="C981" s="11" t="s">
        <v>11095</v>
      </c>
      <c r="D981" s="533">
        <v>0.75</v>
      </c>
      <c r="E981" s="533">
        <v>0.75</v>
      </c>
      <c r="F981" s="11" t="s">
        <v>1656</v>
      </c>
      <c r="G981" s="10"/>
      <c r="H981" s="11" t="s">
        <v>11096</v>
      </c>
      <c r="I981" s="10"/>
      <c r="J981" s="540" t="s">
        <v>7863</v>
      </c>
      <c r="K981" s="536">
        <v>3312.0</v>
      </c>
    </row>
    <row r="982" hidden="1">
      <c r="A982" s="531" t="s">
        <v>12608</v>
      </c>
      <c r="B982" s="531">
        <v>14023.0</v>
      </c>
      <c r="C982" s="11" t="s">
        <v>11095</v>
      </c>
      <c r="D982" s="533">
        <v>0.75</v>
      </c>
      <c r="E982" s="533">
        <v>0.75</v>
      </c>
      <c r="F982" s="11" t="s">
        <v>1656</v>
      </c>
      <c r="G982" s="10"/>
      <c r="H982" s="11" t="s">
        <v>11096</v>
      </c>
      <c r="I982" s="10"/>
      <c r="J982" s="540" t="s">
        <v>7864</v>
      </c>
      <c r="K982" s="536">
        <v>3312.0</v>
      </c>
    </row>
    <row r="983" hidden="1">
      <c r="A983" s="531" t="s">
        <v>12609</v>
      </c>
      <c r="B983" s="531">
        <v>513.0</v>
      </c>
      <c r="C983" s="11" t="s">
        <v>11095</v>
      </c>
      <c r="D983" s="533">
        <v>0.75</v>
      </c>
      <c r="E983" s="533">
        <v>0.75</v>
      </c>
      <c r="F983" s="11" t="s">
        <v>1656</v>
      </c>
      <c r="G983" s="10"/>
      <c r="H983" s="11" t="s">
        <v>11096</v>
      </c>
      <c r="I983" s="10"/>
      <c r="J983" s="540" t="s">
        <v>5645</v>
      </c>
      <c r="K983" s="536">
        <v>3312.0</v>
      </c>
    </row>
    <row r="984" hidden="1">
      <c r="A984" s="531" t="s">
        <v>12610</v>
      </c>
      <c r="B984" s="531">
        <v>6767.0</v>
      </c>
      <c r="C984" s="11" t="s">
        <v>11095</v>
      </c>
      <c r="D984" s="533">
        <v>0.75</v>
      </c>
      <c r="E984" s="533">
        <v>0.75</v>
      </c>
      <c r="F984" s="11" t="s">
        <v>1656</v>
      </c>
      <c r="G984" s="10"/>
      <c r="H984" s="11" t="s">
        <v>11096</v>
      </c>
      <c r="I984" s="10"/>
      <c r="J984" s="540" t="s">
        <v>7865</v>
      </c>
      <c r="K984" s="536">
        <v>3312.0</v>
      </c>
    </row>
    <row r="985" hidden="1">
      <c r="A985" s="531" t="s">
        <v>12611</v>
      </c>
      <c r="B985" s="531">
        <v>942.0</v>
      </c>
      <c r="C985" s="11" t="s">
        <v>11095</v>
      </c>
      <c r="D985" s="533">
        <v>0.75</v>
      </c>
      <c r="E985" s="533">
        <v>0.75</v>
      </c>
      <c r="F985" s="11" t="s">
        <v>1656</v>
      </c>
      <c r="G985" s="10"/>
      <c r="H985" s="11" t="s">
        <v>11096</v>
      </c>
      <c r="I985" s="10"/>
      <c r="J985" s="540" t="s">
        <v>7866</v>
      </c>
      <c r="K985" s="536">
        <v>3312.0</v>
      </c>
    </row>
    <row r="986" hidden="1">
      <c r="A986" s="531" t="s">
        <v>12612</v>
      </c>
      <c r="B986" s="531">
        <v>942.0</v>
      </c>
      <c r="C986" s="11" t="s">
        <v>11095</v>
      </c>
      <c r="D986" s="533">
        <v>0.75</v>
      </c>
      <c r="E986" s="533">
        <v>0.75</v>
      </c>
      <c r="F986" s="11" t="s">
        <v>1656</v>
      </c>
      <c r="G986" s="10"/>
      <c r="H986" s="11" t="s">
        <v>11096</v>
      </c>
      <c r="I986" s="10"/>
      <c r="J986" s="540" t="s">
        <v>7867</v>
      </c>
      <c r="K986" s="536">
        <v>3312.0</v>
      </c>
    </row>
    <row r="987" hidden="1">
      <c r="A987" s="531" t="s">
        <v>12613</v>
      </c>
      <c r="B987" s="532"/>
      <c r="C987" s="11" t="s">
        <v>11095</v>
      </c>
      <c r="D987" s="533">
        <v>0.75</v>
      </c>
      <c r="E987" s="533">
        <v>0.75</v>
      </c>
      <c r="F987" s="11" t="s">
        <v>1656</v>
      </c>
      <c r="G987" s="10"/>
      <c r="H987" s="11" t="s">
        <v>11096</v>
      </c>
      <c r="I987" s="10"/>
      <c r="J987" s="540" t="s">
        <v>7868</v>
      </c>
      <c r="K987" s="536">
        <v>3312.0</v>
      </c>
    </row>
    <row r="988" hidden="1">
      <c r="A988" s="531" t="s">
        <v>12614</v>
      </c>
      <c r="B988" s="532"/>
      <c r="C988" s="11" t="s">
        <v>11095</v>
      </c>
      <c r="D988" s="533">
        <v>0.75</v>
      </c>
      <c r="E988" s="533">
        <v>0.75</v>
      </c>
      <c r="F988" s="11" t="s">
        <v>1656</v>
      </c>
      <c r="G988" s="10"/>
      <c r="H988" s="11" t="s">
        <v>11096</v>
      </c>
      <c r="I988" s="10"/>
      <c r="J988" s="540" t="s">
        <v>7869</v>
      </c>
      <c r="K988" s="536">
        <v>3312.0</v>
      </c>
    </row>
    <row r="989" hidden="1">
      <c r="A989" s="531" t="s">
        <v>12615</v>
      </c>
      <c r="B989" s="531">
        <v>13952.0</v>
      </c>
      <c r="C989" s="11" t="s">
        <v>11095</v>
      </c>
      <c r="D989" s="533">
        <v>0.75</v>
      </c>
      <c r="E989" s="533">
        <v>0.75</v>
      </c>
      <c r="F989" s="11" t="s">
        <v>1656</v>
      </c>
      <c r="G989" s="10"/>
      <c r="H989" s="11" t="s">
        <v>11096</v>
      </c>
      <c r="I989" s="10"/>
      <c r="J989" s="540" t="s">
        <v>9652</v>
      </c>
      <c r="K989" s="536">
        <v>3312.0</v>
      </c>
    </row>
    <row r="990" hidden="1">
      <c r="A990" s="531" t="s">
        <v>12616</v>
      </c>
      <c r="B990" s="531">
        <v>9746.0</v>
      </c>
      <c r="C990" s="11" t="s">
        <v>11095</v>
      </c>
      <c r="D990" s="533">
        <v>0.75</v>
      </c>
      <c r="E990" s="533">
        <v>0.75</v>
      </c>
      <c r="F990" s="11" t="s">
        <v>1656</v>
      </c>
      <c r="G990" s="10"/>
      <c r="H990" s="11" t="s">
        <v>11096</v>
      </c>
      <c r="I990" s="10"/>
      <c r="J990" s="540" t="s">
        <v>9654</v>
      </c>
      <c r="K990" s="536">
        <v>3312.0</v>
      </c>
    </row>
    <row r="991" hidden="1">
      <c r="A991" s="531" t="s">
        <v>12617</v>
      </c>
      <c r="B991" s="531">
        <v>2507.0</v>
      </c>
      <c r="C991" s="11" t="s">
        <v>11095</v>
      </c>
      <c r="D991" s="533">
        <v>0.75</v>
      </c>
      <c r="E991" s="533">
        <v>0.75</v>
      </c>
      <c r="F991" s="11" t="s">
        <v>1656</v>
      </c>
      <c r="G991" s="10"/>
      <c r="H991" s="11" t="s">
        <v>11096</v>
      </c>
      <c r="I991" s="10"/>
      <c r="J991" s="540" t="s">
        <v>9657</v>
      </c>
      <c r="K991" s="536">
        <v>3312.0</v>
      </c>
    </row>
    <row r="992" hidden="1">
      <c r="A992" s="531" t="s">
        <v>12618</v>
      </c>
      <c r="B992" s="531">
        <v>2507.0</v>
      </c>
      <c r="C992" s="11" t="s">
        <v>11095</v>
      </c>
      <c r="D992" s="533">
        <v>0.75</v>
      </c>
      <c r="E992" s="533">
        <v>0.75</v>
      </c>
      <c r="F992" s="11" t="s">
        <v>1656</v>
      </c>
      <c r="G992" s="10"/>
      <c r="H992" s="11" t="s">
        <v>11096</v>
      </c>
      <c r="I992" s="10"/>
      <c r="J992" s="540" t="s">
        <v>9659</v>
      </c>
      <c r="K992" s="536">
        <v>3312.0</v>
      </c>
    </row>
    <row r="993" hidden="1">
      <c r="A993" s="531" t="s">
        <v>12619</v>
      </c>
      <c r="B993" s="532"/>
      <c r="C993" s="11" t="s">
        <v>11095</v>
      </c>
      <c r="D993" s="533">
        <v>0.75</v>
      </c>
      <c r="E993" s="533">
        <v>0.75</v>
      </c>
      <c r="F993" s="11" t="s">
        <v>1656</v>
      </c>
      <c r="G993" s="10"/>
      <c r="H993" s="11" t="s">
        <v>11096</v>
      </c>
      <c r="I993" s="10"/>
      <c r="J993" s="540" t="s">
        <v>9661</v>
      </c>
      <c r="K993" s="536">
        <v>3312.0</v>
      </c>
    </row>
    <row r="994" hidden="1">
      <c r="A994" s="531" t="s">
        <v>12620</v>
      </c>
      <c r="B994" s="531">
        <v>9616.0</v>
      </c>
      <c r="C994" s="11" t="s">
        <v>11095</v>
      </c>
      <c r="D994" s="533">
        <v>0.75</v>
      </c>
      <c r="E994" s="533">
        <v>0.75</v>
      </c>
      <c r="F994" s="11" t="s">
        <v>1656</v>
      </c>
      <c r="G994" s="10"/>
      <c r="H994" s="11" t="s">
        <v>11096</v>
      </c>
      <c r="I994" s="10"/>
      <c r="J994" s="540" t="s">
        <v>12621</v>
      </c>
      <c r="K994" s="536">
        <v>6978.0</v>
      </c>
    </row>
    <row r="995" hidden="1">
      <c r="A995" s="531" t="s">
        <v>12622</v>
      </c>
      <c r="B995" s="531">
        <v>14000.0</v>
      </c>
      <c r="C995" s="11" t="s">
        <v>11095</v>
      </c>
      <c r="D995" s="533">
        <v>0.75</v>
      </c>
      <c r="E995" s="533">
        <v>0.75</v>
      </c>
      <c r="F995" s="11" t="s">
        <v>1656</v>
      </c>
      <c r="G995" s="10"/>
      <c r="H995" s="11" t="s">
        <v>11096</v>
      </c>
      <c r="I995" s="10"/>
      <c r="J995" s="540" t="s">
        <v>9663</v>
      </c>
      <c r="K995" s="536">
        <v>4933.0</v>
      </c>
    </row>
    <row r="996" hidden="1">
      <c r="A996" s="531" t="s">
        <v>12623</v>
      </c>
      <c r="B996" s="531">
        <v>13904.0</v>
      </c>
      <c r="C996" s="11" t="s">
        <v>11095</v>
      </c>
      <c r="D996" s="533">
        <v>0.75</v>
      </c>
      <c r="E996" s="533">
        <v>0.75</v>
      </c>
      <c r="F996" s="11" t="s">
        <v>1656</v>
      </c>
      <c r="G996" s="10"/>
      <c r="H996" s="11" t="s">
        <v>11096</v>
      </c>
      <c r="I996" s="10"/>
      <c r="J996" s="540" t="s">
        <v>9681</v>
      </c>
      <c r="K996" s="536">
        <v>4933.0</v>
      </c>
    </row>
    <row r="997" hidden="1">
      <c r="A997" s="531" t="s">
        <v>12624</v>
      </c>
      <c r="B997" s="531">
        <v>11297.0</v>
      </c>
      <c r="C997" s="11" t="s">
        <v>11095</v>
      </c>
      <c r="D997" s="533">
        <v>0.75</v>
      </c>
      <c r="E997" s="533">
        <v>0.75</v>
      </c>
      <c r="F997" s="11" t="s">
        <v>1656</v>
      </c>
      <c r="G997" s="10"/>
      <c r="H997" s="11" t="s">
        <v>11096</v>
      </c>
      <c r="I997" s="10"/>
      <c r="J997" s="540" t="s">
        <v>9684</v>
      </c>
      <c r="K997" s="536">
        <v>4933.0</v>
      </c>
    </row>
    <row r="998" hidden="1">
      <c r="A998" s="531" t="s">
        <v>12625</v>
      </c>
      <c r="B998" s="531">
        <v>2644.0</v>
      </c>
      <c r="C998" s="11" t="s">
        <v>11095</v>
      </c>
      <c r="D998" s="533">
        <v>0.75</v>
      </c>
      <c r="E998" s="533">
        <v>0.75</v>
      </c>
      <c r="F998" s="11" t="s">
        <v>1656</v>
      </c>
      <c r="G998" s="10"/>
      <c r="H998" s="11" t="s">
        <v>11096</v>
      </c>
      <c r="I998" s="10"/>
      <c r="J998" s="540" t="s">
        <v>9687</v>
      </c>
      <c r="K998" s="536">
        <v>4933.0</v>
      </c>
    </row>
    <row r="999" hidden="1">
      <c r="A999" s="531" t="s">
        <v>12626</v>
      </c>
      <c r="B999" s="531">
        <v>10923.0</v>
      </c>
      <c r="C999" s="11" t="s">
        <v>11095</v>
      </c>
      <c r="D999" s="533">
        <v>0.75</v>
      </c>
      <c r="E999" s="533">
        <v>0.75</v>
      </c>
      <c r="F999" s="11" t="s">
        <v>1656</v>
      </c>
      <c r="G999" s="10"/>
      <c r="H999" s="11" t="s">
        <v>11096</v>
      </c>
      <c r="I999" s="10"/>
      <c r="J999" s="540" t="s">
        <v>9665</v>
      </c>
      <c r="K999" s="536">
        <v>6977.0</v>
      </c>
    </row>
    <row r="1000" hidden="1">
      <c r="A1000" s="531" t="s">
        <v>12627</v>
      </c>
      <c r="B1000" s="531">
        <v>6936.0</v>
      </c>
      <c r="C1000" s="11" t="s">
        <v>11095</v>
      </c>
      <c r="D1000" s="533">
        <v>0.75</v>
      </c>
      <c r="E1000" s="533">
        <v>0.75</v>
      </c>
      <c r="F1000" s="11" t="s">
        <v>1656</v>
      </c>
      <c r="G1000" s="10"/>
      <c r="H1000" s="11" t="s">
        <v>11096</v>
      </c>
      <c r="I1000" s="10"/>
      <c r="J1000" s="540" t="s">
        <v>9668</v>
      </c>
      <c r="K1000" s="536">
        <v>2207.0</v>
      </c>
    </row>
    <row r="1001" hidden="1">
      <c r="A1001" s="531" t="s">
        <v>12628</v>
      </c>
      <c r="B1001" s="531">
        <v>10311.0</v>
      </c>
      <c r="C1001" s="11" t="s">
        <v>11095</v>
      </c>
      <c r="D1001" s="533">
        <v>0.75</v>
      </c>
      <c r="E1001" s="533">
        <v>0.75</v>
      </c>
      <c r="F1001" s="11" t="s">
        <v>1656</v>
      </c>
      <c r="G1001" s="10"/>
      <c r="H1001" s="11" t="s">
        <v>11096</v>
      </c>
      <c r="I1001" s="10"/>
      <c r="J1001" s="540" t="s">
        <v>9690</v>
      </c>
      <c r="K1001" s="536">
        <v>2207.0</v>
      </c>
    </row>
    <row r="1002" hidden="1">
      <c r="A1002" s="531" t="s">
        <v>12629</v>
      </c>
      <c r="B1002" s="531">
        <v>12157.0</v>
      </c>
      <c r="C1002" s="11" t="s">
        <v>11095</v>
      </c>
      <c r="D1002" s="533">
        <v>0.75</v>
      </c>
      <c r="E1002" s="533">
        <v>0.75</v>
      </c>
      <c r="F1002" s="11" t="s">
        <v>1656</v>
      </c>
      <c r="G1002" s="10"/>
      <c r="H1002" s="11" t="s">
        <v>11096</v>
      </c>
      <c r="I1002" s="10"/>
      <c r="J1002" s="540" t="s">
        <v>9671</v>
      </c>
      <c r="K1002" s="536">
        <v>2207.0</v>
      </c>
    </row>
    <row r="1003" hidden="1">
      <c r="A1003" s="531" t="s">
        <v>12630</v>
      </c>
      <c r="B1003" s="531">
        <v>10238.0</v>
      </c>
      <c r="C1003" s="11" t="s">
        <v>11095</v>
      </c>
      <c r="D1003" s="533">
        <v>0.75</v>
      </c>
      <c r="E1003" s="533">
        <v>0.75</v>
      </c>
      <c r="F1003" s="11" t="s">
        <v>1656</v>
      </c>
      <c r="G1003" s="10"/>
      <c r="H1003" s="11" t="s">
        <v>11096</v>
      </c>
      <c r="I1003" s="10"/>
      <c r="J1003" s="540" t="s">
        <v>9674</v>
      </c>
      <c r="K1003" s="536">
        <v>2207.0</v>
      </c>
    </row>
    <row r="1004" hidden="1">
      <c r="A1004" s="531" t="s">
        <v>12631</v>
      </c>
      <c r="B1004" s="531">
        <v>12258.0</v>
      </c>
      <c r="C1004" s="11" t="s">
        <v>11095</v>
      </c>
      <c r="D1004" s="533">
        <v>0.75</v>
      </c>
      <c r="E1004" s="533">
        <v>0.75</v>
      </c>
      <c r="F1004" s="11" t="s">
        <v>1656</v>
      </c>
      <c r="G1004" s="10"/>
      <c r="H1004" s="11" t="s">
        <v>11096</v>
      </c>
      <c r="I1004" s="10"/>
      <c r="J1004" s="540" t="s">
        <v>9676</v>
      </c>
      <c r="K1004" s="536">
        <v>2207.0</v>
      </c>
    </row>
    <row r="1005" hidden="1">
      <c r="A1005" s="531" t="s">
        <v>12632</v>
      </c>
      <c r="B1005" s="531">
        <v>10970.0</v>
      </c>
      <c r="C1005" s="11" t="s">
        <v>11095</v>
      </c>
      <c r="D1005" s="533">
        <v>0.75</v>
      </c>
      <c r="E1005" s="533">
        <v>0.75</v>
      </c>
      <c r="F1005" s="11" t="s">
        <v>1656</v>
      </c>
      <c r="G1005" s="10"/>
      <c r="H1005" s="11" t="s">
        <v>11096</v>
      </c>
      <c r="I1005" s="10"/>
      <c r="J1005" s="540" t="s">
        <v>9678</v>
      </c>
      <c r="K1005" s="536">
        <v>2207.0</v>
      </c>
    </row>
    <row r="1006" hidden="1">
      <c r="A1006" s="531" t="s">
        <v>12633</v>
      </c>
      <c r="B1006" s="531">
        <v>11768.0</v>
      </c>
      <c r="C1006" s="11" t="s">
        <v>11095</v>
      </c>
      <c r="D1006" s="533">
        <v>0.75</v>
      </c>
      <c r="E1006" s="533">
        <v>0.75</v>
      </c>
      <c r="F1006" s="11" t="s">
        <v>1656</v>
      </c>
      <c r="G1006" s="10"/>
      <c r="H1006" s="11" t="s">
        <v>11096</v>
      </c>
      <c r="I1006" s="10"/>
      <c r="J1006" s="540" t="s">
        <v>11739</v>
      </c>
      <c r="K1006" s="536">
        <v>7007.0</v>
      </c>
    </row>
    <row r="1007" hidden="1">
      <c r="A1007" s="531" t="s">
        <v>12634</v>
      </c>
      <c r="B1007" s="531">
        <v>12163.0</v>
      </c>
      <c r="C1007" s="11" t="s">
        <v>11095</v>
      </c>
      <c r="D1007" s="533">
        <v>0.75</v>
      </c>
      <c r="E1007" s="533">
        <v>0.75</v>
      </c>
      <c r="F1007" s="11" t="s">
        <v>1656</v>
      </c>
      <c r="G1007" s="10"/>
      <c r="H1007" s="11" t="s">
        <v>11096</v>
      </c>
      <c r="I1007" s="10"/>
      <c r="J1007" s="540" t="s">
        <v>9680</v>
      </c>
      <c r="K1007" s="536">
        <v>1.0</v>
      </c>
    </row>
    <row r="1008" hidden="1">
      <c r="A1008" s="531" t="s">
        <v>12635</v>
      </c>
      <c r="B1008" s="531">
        <v>12259.0</v>
      </c>
      <c r="C1008" s="11" t="s">
        <v>11095</v>
      </c>
      <c r="D1008" s="533">
        <v>0.75</v>
      </c>
      <c r="E1008" s="533">
        <v>0.75</v>
      </c>
      <c r="F1008" s="11" t="s">
        <v>1656</v>
      </c>
      <c r="G1008" s="10"/>
      <c r="H1008" s="11" t="s">
        <v>11096</v>
      </c>
      <c r="I1008" s="10"/>
      <c r="J1008" s="540" t="s">
        <v>9693</v>
      </c>
      <c r="K1008" s="536">
        <v>7021.0</v>
      </c>
    </row>
    <row r="1009" hidden="1">
      <c r="A1009" s="531" t="s">
        <v>12636</v>
      </c>
      <c r="B1009" s="532"/>
      <c r="C1009" s="11" t="s">
        <v>11095</v>
      </c>
      <c r="D1009" s="533">
        <v>0.75</v>
      </c>
      <c r="E1009" s="533">
        <v>0.75</v>
      </c>
      <c r="F1009" s="11" t="s">
        <v>1656</v>
      </c>
      <c r="G1009" s="10"/>
      <c r="H1009" s="11" t="s">
        <v>11096</v>
      </c>
      <c r="I1009" s="10"/>
      <c r="J1009" s="540" t="s">
        <v>9695</v>
      </c>
      <c r="K1009" s="536">
        <v>6989.0</v>
      </c>
    </row>
    <row r="1010" hidden="1">
      <c r="A1010" s="531" t="s">
        <v>12637</v>
      </c>
      <c r="B1010" s="531">
        <v>12277.0</v>
      </c>
      <c r="C1010" s="11" t="s">
        <v>11095</v>
      </c>
      <c r="D1010" s="533">
        <v>0.75</v>
      </c>
      <c r="E1010" s="533">
        <v>0.75</v>
      </c>
      <c r="F1010" s="11" t="s">
        <v>1656</v>
      </c>
      <c r="G1010" s="10"/>
      <c r="H1010" s="11" t="s">
        <v>11096</v>
      </c>
      <c r="I1010" s="10"/>
      <c r="J1010" s="540" t="s">
        <v>9698</v>
      </c>
      <c r="K1010" s="536">
        <v>7096.0</v>
      </c>
    </row>
    <row r="1011" hidden="1">
      <c r="A1011" s="531" t="s">
        <v>12638</v>
      </c>
      <c r="B1011" s="531">
        <v>9477.0</v>
      </c>
      <c r="C1011" s="11" t="s">
        <v>11095</v>
      </c>
      <c r="D1011" s="533">
        <v>0.75</v>
      </c>
      <c r="E1011" s="533">
        <v>0.75</v>
      </c>
      <c r="F1011" s="11" t="s">
        <v>1656</v>
      </c>
      <c r="G1011" s="10"/>
      <c r="H1011" s="11" t="s">
        <v>11096</v>
      </c>
      <c r="I1011" s="10"/>
      <c r="J1011" s="540" t="s">
        <v>9683</v>
      </c>
      <c r="K1011" s="536">
        <v>7017.0</v>
      </c>
    </row>
    <row r="1012" hidden="1">
      <c r="A1012" s="531" t="s">
        <v>12639</v>
      </c>
      <c r="B1012" s="531">
        <v>11045.0</v>
      </c>
      <c r="C1012" s="11" t="s">
        <v>11095</v>
      </c>
      <c r="D1012" s="533">
        <v>0.75</v>
      </c>
      <c r="E1012" s="533">
        <v>0.75</v>
      </c>
      <c r="F1012" s="11" t="s">
        <v>1656</v>
      </c>
      <c r="G1012" s="10"/>
      <c r="H1012" s="11" t="s">
        <v>11096</v>
      </c>
      <c r="I1012" s="10"/>
      <c r="J1012" s="540" t="s">
        <v>9686</v>
      </c>
      <c r="K1012" s="536">
        <v>7017.0</v>
      </c>
    </row>
    <row r="1013" hidden="1">
      <c r="A1013" s="531" t="s">
        <v>12640</v>
      </c>
      <c r="B1013" s="531">
        <v>7149.0</v>
      </c>
      <c r="C1013" s="11" t="s">
        <v>11095</v>
      </c>
      <c r="D1013" s="533">
        <v>0.75</v>
      </c>
      <c r="E1013" s="533">
        <v>0.75</v>
      </c>
      <c r="F1013" s="11" t="s">
        <v>1656</v>
      </c>
      <c r="G1013" s="10"/>
      <c r="H1013" s="11" t="s">
        <v>11096</v>
      </c>
      <c r="I1013" s="10"/>
      <c r="J1013" s="540" t="s">
        <v>9701</v>
      </c>
      <c r="K1013" s="536">
        <v>7017.0</v>
      </c>
    </row>
    <row r="1014" hidden="1">
      <c r="A1014" s="531" t="s">
        <v>12641</v>
      </c>
      <c r="B1014" s="531">
        <v>11104.0</v>
      </c>
      <c r="C1014" s="11" t="s">
        <v>11095</v>
      </c>
      <c r="D1014" s="533">
        <v>0.75</v>
      </c>
      <c r="E1014" s="533">
        <v>0.75</v>
      </c>
      <c r="F1014" s="11" t="s">
        <v>1656</v>
      </c>
      <c r="G1014" s="10"/>
      <c r="H1014" s="11" t="s">
        <v>11096</v>
      </c>
      <c r="I1014" s="10"/>
      <c r="J1014" s="540" t="s">
        <v>9689</v>
      </c>
      <c r="K1014" s="536">
        <v>6530.0</v>
      </c>
    </row>
    <row r="1015" hidden="1">
      <c r="A1015" s="531" t="s">
        <v>12642</v>
      </c>
      <c r="B1015" s="531">
        <v>7896.0</v>
      </c>
      <c r="C1015" s="11" t="s">
        <v>11095</v>
      </c>
      <c r="D1015" s="533">
        <v>0.75</v>
      </c>
      <c r="E1015" s="533">
        <v>0.75</v>
      </c>
      <c r="F1015" s="11" t="s">
        <v>1656</v>
      </c>
      <c r="G1015" s="10"/>
      <c r="H1015" s="11" t="s">
        <v>11096</v>
      </c>
      <c r="I1015" s="10"/>
      <c r="J1015" s="540" t="s">
        <v>9692</v>
      </c>
      <c r="K1015" s="536">
        <v>7055.0</v>
      </c>
    </row>
    <row r="1016" hidden="1">
      <c r="A1016" s="531" t="s">
        <v>12643</v>
      </c>
      <c r="B1016" s="531">
        <v>7149.0</v>
      </c>
      <c r="C1016" s="11" t="s">
        <v>11095</v>
      </c>
      <c r="D1016" s="533">
        <v>0.75</v>
      </c>
      <c r="E1016" s="533">
        <v>0.75</v>
      </c>
      <c r="F1016" s="11" t="s">
        <v>1656</v>
      </c>
      <c r="G1016" s="10"/>
      <c r="H1016" s="11" t="s">
        <v>11096</v>
      </c>
      <c r="I1016" s="10"/>
      <c r="J1016" s="540" t="s">
        <v>9704</v>
      </c>
      <c r="K1016" s="536">
        <v>7244.0</v>
      </c>
    </row>
    <row r="1017" hidden="1">
      <c r="A1017" s="531" t="s">
        <v>12644</v>
      </c>
      <c r="B1017" s="531">
        <v>7149.0</v>
      </c>
      <c r="C1017" s="11" t="s">
        <v>11095</v>
      </c>
      <c r="D1017" s="533">
        <v>0.75</v>
      </c>
      <c r="E1017" s="533">
        <v>0.75</v>
      </c>
      <c r="F1017" s="11" t="s">
        <v>1656</v>
      </c>
      <c r="G1017" s="10"/>
      <c r="H1017" s="11" t="s">
        <v>11096</v>
      </c>
      <c r="I1017" s="10"/>
      <c r="J1017" s="540" t="s">
        <v>5667</v>
      </c>
      <c r="K1017" s="536">
        <v>6530.0</v>
      </c>
    </row>
    <row r="1018" hidden="1">
      <c r="A1018" s="531" t="s">
        <v>12645</v>
      </c>
      <c r="B1018" s="531">
        <v>7149.0</v>
      </c>
      <c r="C1018" s="11" t="s">
        <v>11095</v>
      </c>
      <c r="D1018" s="533">
        <v>0.75</v>
      </c>
      <c r="E1018" s="533">
        <v>0.75</v>
      </c>
      <c r="F1018" s="11" t="s">
        <v>1656</v>
      </c>
      <c r="G1018" s="10"/>
      <c r="H1018" s="11" t="s">
        <v>11096</v>
      </c>
      <c r="I1018" s="10"/>
      <c r="J1018" s="540" t="s">
        <v>9697</v>
      </c>
      <c r="K1018" s="536">
        <v>7073.0</v>
      </c>
    </row>
    <row r="1019" hidden="1">
      <c r="A1019" s="531" t="s">
        <v>12646</v>
      </c>
      <c r="B1019" s="531">
        <v>7149.0</v>
      </c>
      <c r="C1019" s="11" t="s">
        <v>11095</v>
      </c>
      <c r="D1019" s="533">
        <v>0.75</v>
      </c>
      <c r="E1019" s="533">
        <v>0.75</v>
      </c>
      <c r="F1019" s="11" t="s">
        <v>1656</v>
      </c>
      <c r="G1019" s="10"/>
      <c r="H1019" s="11" t="s">
        <v>11096</v>
      </c>
      <c r="I1019" s="10"/>
      <c r="J1019" s="540" t="s">
        <v>9700</v>
      </c>
      <c r="K1019" s="536">
        <v>7100.0</v>
      </c>
    </row>
    <row r="1020" hidden="1">
      <c r="A1020" s="531" t="s">
        <v>12647</v>
      </c>
      <c r="B1020" s="531">
        <v>4876.0</v>
      </c>
      <c r="C1020" s="11" t="s">
        <v>11095</v>
      </c>
      <c r="D1020" s="533">
        <v>0.75</v>
      </c>
      <c r="E1020" s="533">
        <v>0.75</v>
      </c>
      <c r="F1020" s="11" t="s">
        <v>1656</v>
      </c>
      <c r="G1020" s="10"/>
      <c r="H1020" s="11" t="s">
        <v>11096</v>
      </c>
      <c r="I1020" s="10"/>
      <c r="J1020" s="540" t="s">
        <v>9707</v>
      </c>
      <c r="K1020" s="536">
        <v>7010.0</v>
      </c>
    </row>
    <row r="1021" hidden="1">
      <c r="A1021" s="531" t="s">
        <v>12648</v>
      </c>
      <c r="B1021" s="531">
        <v>7149.0</v>
      </c>
      <c r="C1021" s="11" t="s">
        <v>11095</v>
      </c>
      <c r="D1021" s="533">
        <v>0.75</v>
      </c>
      <c r="E1021" s="533">
        <v>0.75</v>
      </c>
      <c r="F1021" s="11" t="s">
        <v>1656</v>
      </c>
      <c r="G1021" s="10"/>
      <c r="H1021" s="11" t="s">
        <v>11096</v>
      </c>
      <c r="I1021" s="10"/>
      <c r="J1021" s="540" t="s">
        <v>9703</v>
      </c>
      <c r="K1021" s="536">
        <v>6771.0</v>
      </c>
    </row>
    <row r="1022" hidden="1">
      <c r="A1022" s="531" t="s">
        <v>12649</v>
      </c>
      <c r="B1022" s="531">
        <v>7149.0</v>
      </c>
      <c r="C1022" s="11" t="s">
        <v>11095</v>
      </c>
      <c r="D1022" s="533">
        <v>0.75</v>
      </c>
      <c r="E1022" s="533">
        <v>0.75</v>
      </c>
      <c r="F1022" s="11" t="s">
        <v>1656</v>
      </c>
      <c r="G1022" s="10"/>
      <c r="H1022" s="11" t="s">
        <v>11096</v>
      </c>
      <c r="I1022" s="10"/>
      <c r="J1022" s="540" t="s">
        <v>9710</v>
      </c>
      <c r="K1022" s="536">
        <v>6697.0</v>
      </c>
    </row>
    <row r="1023" hidden="1">
      <c r="A1023" s="531" t="s">
        <v>12650</v>
      </c>
      <c r="B1023" s="531">
        <v>11679.0</v>
      </c>
      <c r="C1023" s="11" t="s">
        <v>11095</v>
      </c>
      <c r="D1023" s="533">
        <v>0.75</v>
      </c>
      <c r="E1023" s="533">
        <v>0.75</v>
      </c>
      <c r="F1023" s="11" t="s">
        <v>1656</v>
      </c>
      <c r="G1023" s="10"/>
      <c r="H1023" s="11" t="s">
        <v>11096</v>
      </c>
      <c r="I1023" s="10"/>
      <c r="J1023" s="540" t="s">
        <v>9706</v>
      </c>
      <c r="K1023" s="536">
        <v>6697.0</v>
      </c>
    </row>
    <row r="1024" hidden="1">
      <c r="A1024" s="531" t="s">
        <v>12651</v>
      </c>
      <c r="B1024" s="531">
        <v>7183.0</v>
      </c>
      <c r="C1024" s="11" t="s">
        <v>11095</v>
      </c>
      <c r="D1024" s="533">
        <v>0.75</v>
      </c>
      <c r="E1024" s="533">
        <v>0.75</v>
      </c>
      <c r="F1024" s="11" t="s">
        <v>1656</v>
      </c>
      <c r="G1024" s="10"/>
      <c r="H1024" s="11" t="s">
        <v>11096</v>
      </c>
      <c r="I1024" s="10"/>
      <c r="J1024" s="540" t="s">
        <v>9709</v>
      </c>
      <c r="K1024" s="536">
        <v>6697.0</v>
      </c>
    </row>
    <row r="1025" hidden="1">
      <c r="A1025" s="531" t="s">
        <v>12652</v>
      </c>
      <c r="B1025" s="531">
        <v>8199.0</v>
      </c>
      <c r="C1025" s="11" t="s">
        <v>11095</v>
      </c>
      <c r="D1025" s="533">
        <v>0.75</v>
      </c>
      <c r="E1025" s="533">
        <v>0.75</v>
      </c>
      <c r="F1025" s="11" t="s">
        <v>1656</v>
      </c>
      <c r="G1025" s="10"/>
      <c r="H1025" s="11" t="s">
        <v>11096</v>
      </c>
      <c r="I1025" s="10"/>
      <c r="J1025" s="540" t="s">
        <v>9713</v>
      </c>
      <c r="K1025" s="536">
        <v>6530.0</v>
      </c>
    </row>
    <row r="1026" hidden="1">
      <c r="A1026" s="531" t="s">
        <v>12653</v>
      </c>
      <c r="B1026" s="531">
        <v>7186.0</v>
      </c>
      <c r="C1026" s="11" t="s">
        <v>11095</v>
      </c>
      <c r="D1026" s="533">
        <v>0.75</v>
      </c>
      <c r="E1026" s="533">
        <v>0.75</v>
      </c>
      <c r="F1026" s="11" t="s">
        <v>1656</v>
      </c>
      <c r="G1026" s="10"/>
      <c r="H1026" s="11" t="s">
        <v>11096</v>
      </c>
      <c r="I1026" s="10"/>
      <c r="J1026" s="540" t="s">
        <v>9716</v>
      </c>
      <c r="K1026" s="536">
        <v>411.0</v>
      </c>
    </row>
    <row r="1027" hidden="1">
      <c r="A1027" s="531" t="s">
        <v>12654</v>
      </c>
      <c r="B1027" s="531">
        <v>7648.0</v>
      </c>
      <c r="C1027" s="11" t="s">
        <v>11095</v>
      </c>
      <c r="D1027" s="533">
        <v>0.75</v>
      </c>
      <c r="E1027" s="533">
        <v>0.75</v>
      </c>
      <c r="F1027" s="11" t="s">
        <v>1656</v>
      </c>
      <c r="G1027" s="10"/>
      <c r="H1027" s="11" t="s">
        <v>11096</v>
      </c>
      <c r="I1027" s="10"/>
      <c r="J1027" s="540" t="s">
        <v>9719</v>
      </c>
      <c r="K1027" s="536">
        <v>411.0</v>
      </c>
    </row>
    <row r="1028" hidden="1">
      <c r="A1028" s="531" t="s">
        <v>12655</v>
      </c>
      <c r="B1028" s="531">
        <v>7648.0</v>
      </c>
      <c r="C1028" s="11" t="s">
        <v>11095</v>
      </c>
      <c r="D1028" s="533">
        <v>0.75</v>
      </c>
      <c r="E1028" s="533">
        <v>0.75</v>
      </c>
      <c r="F1028" s="11" t="s">
        <v>1656</v>
      </c>
      <c r="G1028" s="10"/>
      <c r="H1028" s="11" t="s">
        <v>11096</v>
      </c>
      <c r="I1028" s="10"/>
      <c r="J1028" s="540" t="s">
        <v>9722</v>
      </c>
      <c r="K1028" s="536">
        <v>411.0</v>
      </c>
    </row>
    <row r="1029" hidden="1">
      <c r="A1029" s="531" t="s">
        <v>12656</v>
      </c>
      <c r="B1029" s="531">
        <v>9363.0</v>
      </c>
      <c r="C1029" s="11" t="s">
        <v>11095</v>
      </c>
      <c r="D1029" s="533">
        <v>0.75</v>
      </c>
      <c r="E1029" s="533">
        <v>0.75</v>
      </c>
      <c r="F1029" s="11" t="s">
        <v>1656</v>
      </c>
      <c r="G1029" s="10"/>
      <c r="H1029" s="11" t="s">
        <v>11096</v>
      </c>
      <c r="I1029" s="10"/>
      <c r="J1029" s="540" t="s">
        <v>9725</v>
      </c>
      <c r="K1029" s="536">
        <v>8002.0</v>
      </c>
    </row>
    <row r="1030" hidden="1">
      <c r="A1030" s="531" t="s">
        <v>12657</v>
      </c>
      <c r="B1030" s="531">
        <v>9363.0</v>
      </c>
      <c r="C1030" s="11" t="s">
        <v>11095</v>
      </c>
      <c r="D1030" s="533">
        <v>0.75</v>
      </c>
      <c r="E1030" s="533">
        <v>0.75</v>
      </c>
      <c r="F1030" s="11" t="s">
        <v>1656</v>
      </c>
      <c r="G1030" s="10"/>
      <c r="H1030" s="11" t="s">
        <v>11096</v>
      </c>
      <c r="I1030" s="10"/>
      <c r="J1030" s="540" t="s">
        <v>9728</v>
      </c>
      <c r="K1030" s="536">
        <v>411.0</v>
      </c>
    </row>
    <row r="1031" hidden="1">
      <c r="A1031" s="531" t="s">
        <v>12658</v>
      </c>
      <c r="B1031" s="531">
        <v>8244.0</v>
      </c>
      <c r="C1031" s="11" t="s">
        <v>11095</v>
      </c>
      <c r="D1031" s="533">
        <v>0.75</v>
      </c>
      <c r="E1031" s="533">
        <v>0.75</v>
      </c>
      <c r="F1031" s="11" t="s">
        <v>1656</v>
      </c>
      <c r="G1031" s="10"/>
      <c r="H1031" s="11" t="s">
        <v>11096</v>
      </c>
      <c r="I1031" s="10"/>
      <c r="J1031" s="540" t="s">
        <v>9712</v>
      </c>
      <c r="K1031" s="536">
        <v>411.0</v>
      </c>
    </row>
    <row r="1032" hidden="1">
      <c r="A1032" s="531" t="s">
        <v>12659</v>
      </c>
      <c r="B1032" s="531">
        <v>9616.0</v>
      </c>
      <c r="C1032" s="11" t="s">
        <v>11095</v>
      </c>
      <c r="D1032" s="533">
        <v>0.75</v>
      </c>
      <c r="E1032" s="533">
        <v>0.75</v>
      </c>
      <c r="F1032" s="11" t="s">
        <v>1656</v>
      </c>
      <c r="G1032" s="10"/>
      <c r="H1032" s="11" t="s">
        <v>11096</v>
      </c>
      <c r="I1032" s="10"/>
      <c r="J1032" s="540" t="s">
        <v>9715</v>
      </c>
      <c r="K1032" s="536">
        <v>6133.0</v>
      </c>
    </row>
    <row r="1033" hidden="1">
      <c r="A1033" s="531" t="s">
        <v>12660</v>
      </c>
      <c r="B1033" s="531">
        <v>8491.0</v>
      </c>
      <c r="C1033" s="11" t="s">
        <v>11095</v>
      </c>
      <c r="D1033" s="533">
        <v>0.75</v>
      </c>
      <c r="E1033" s="533">
        <v>0.75</v>
      </c>
      <c r="F1033" s="11" t="s">
        <v>1656</v>
      </c>
      <c r="G1033" s="10"/>
      <c r="H1033" s="11" t="s">
        <v>11096</v>
      </c>
      <c r="I1033" s="10"/>
      <c r="J1033" s="540" t="s">
        <v>10375</v>
      </c>
      <c r="K1033" s="536">
        <v>315.0</v>
      </c>
    </row>
    <row r="1034" hidden="1">
      <c r="A1034" s="531" t="s">
        <v>12661</v>
      </c>
      <c r="B1034" s="531">
        <v>8537.0</v>
      </c>
      <c r="C1034" s="11" t="s">
        <v>11095</v>
      </c>
      <c r="D1034" s="533">
        <v>0.75</v>
      </c>
      <c r="E1034" s="533">
        <v>0.75</v>
      </c>
      <c r="F1034" s="11" t="s">
        <v>1656</v>
      </c>
      <c r="G1034" s="10"/>
      <c r="H1034" s="11" t="s">
        <v>11096</v>
      </c>
      <c r="I1034" s="10"/>
      <c r="J1034" s="540" t="s">
        <v>9731</v>
      </c>
      <c r="K1034" s="536">
        <v>6712.0</v>
      </c>
    </row>
    <row r="1035" hidden="1">
      <c r="A1035" s="531" t="s">
        <v>12662</v>
      </c>
      <c r="B1035" s="531">
        <v>9602.0</v>
      </c>
      <c r="C1035" s="11" t="s">
        <v>11095</v>
      </c>
      <c r="D1035" s="533">
        <v>0.75</v>
      </c>
      <c r="E1035" s="533">
        <v>0.75</v>
      </c>
      <c r="F1035" s="11" t="s">
        <v>1656</v>
      </c>
      <c r="G1035" s="10"/>
      <c r="H1035" s="11" t="s">
        <v>11096</v>
      </c>
      <c r="I1035" s="10"/>
      <c r="J1035" s="540" t="s">
        <v>9734</v>
      </c>
      <c r="K1035" s="536">
        <v>6712.0</v>
      </c>
    </row>
    <row r="1036" hidden="1">
      <c r="A1036" s="531" t="s">
        <v>12663</v>
      </c>
      <c r="B1036" s="531">
        <v>9301.0</v>
      </c>
      <c r="C1036" s="11" t="s">
        <v>11095</v>
      </c>
      <c r="D1036" s="533">
        <v>0.75</v>
      </c>
      <c r="E1036" s="533">
        <v>0.75</v>
      </c>
      <c r="F1036" s="11" t="s">
        <v>1656</v>
      </c>
      <c r="G1036" s="10"/>
      <c r="H1036" s="11" t="s">
        <v>11096</v>
      </c>
      <c r="I1036" s="10"/>
      <c r="J1036" s="540" t="s">
        <v>9718</v>
      </c>
      <c r="K1036" s="536">
        <v>7046.0</v>
      </c>
    </row>
    <row r="1037" hidden="1">
      <c r="A1037" s="531" t="s">
        <v>12664</v>
      </c>
      <c r="B1037" s="531">
        <v>7780.0</v>
      </c>
      <c r="C1037" s="11" t="s">
        <v>11095</v>
      </c>
      <c r="D1037" s="533">
        <v>0.75</v>
      </c>
      <c r="E1037" s="533">
        <v>0.75</v>
      </c>
      <c r="F1037" s="11" t="s">
        <v>1656</v>
      </c>
      <c r="G1037" s="10"/>
      <c r="H1037" s="11" t="s">
        <v>11096</v>
      </c>
      <c r="I1037" s="10"/>
      <c r="J1037" s="540" t="s">
        <v>9721</v>
      </c>
      <c r="K1037" s="536">
        <v>6133.0</v>
      </c>
    </row>
    <row r="1038" hidden="1">
      <c r="A1038" s="531" t="s">
        <v>12665</v>
      </c>
      <c r="B1038" s="531">
        <v>9569.0</v>
      </c>
      <c r="C1038" s="11" t="s">
        <v>11095</v>
      </c>
      <c r="D1038" s="533">
        <v>0.75</v>
      </c>
      <c r="E1038" s="533">
        <v>0.75</v>
      </c>
      <c r="F1038" s="11" t="s">
        <v>1656</v>
      </c>
      <c r="G1038" s="10"/>
      <c r="H1038" s="11" t="s">
        <v>11096</v>
      </c>
      <c r="I1038" s="10"/>
      <c r="J1038" s="540" t="s">
        <v>9724</v>
      </c>
      <c r="K1038" s="536">
        <v>6133.0</v>
      </c>
    </row>
    <row r="1039" hidden="1">
      <c r="A1039" s="531" t="s">
        <v>12666</v>
      </c>
      <c r="B1039" s="531">
        <v>9362.0</v>
      </c>
      <c r="C1039" s="11" t="s">
        <v>11095</v>
      </c>
      <c r="D1039" s="533">
        <v>0.75</v>
      </c>
      <c r="E1039" s="533">
        <v>0.75</v>
      </c>
      <c r="F1039" s="11" t="s">
        <v>1656</v>
      </c>
      <c r="G1039" s="10"/>
      <c r="H1039" s="11" t="s">
        <v>11096</v>
      </c>
      <c r="I1039" s="10"/>
      <c r="J1039" s="540" t="s">
        <v>9737</v>
      </c>
      <c r="K1039" s="536">
        <v>4933.0</v>
      </c>
    </row>
    <row r="1040" hidden="1">
      <c r="A1040" s="531" t="s">
        <v>12667</v>
      </c>
      <c r="B1040" s="531">
        <v>7517.0</v>
      </c>
      <c r="C1040" s="11" t="s">
        <v>11095</v>
      </c>
      <c r="D1040" s="533">
        <v>0.75</v>
      </c>
      <c r="E1040" s="533">
        <v>0.75</v>
      </c>
      <c r="F1040" s="11" t="s">
        <v>1656</v>
      </c>
      <c r="G1040" s="10"/>
      <c r="H1040" s="11" t="s">
        <v>11096</v>
      </c>
      <c r="I1040" s="10"/>
      <c r="J1040" s="540" t="s">
        <v>9727</v>
      </c>
      <c r="K1040" s="536">
        <v>6671.0</v>
      </c>
    </row>
    <row r="1041" hidden="1">
      <c r="A1041" s="531" t="s">
        <v>12668</v>
      </c>
      <c r="B1041" s="532"/>
      <c r="C1041" s="11" t="s">
        <v>11095</v>
      </c>
      <c r="D1041" s="533">
        <v>0.75</v>
      </c>
      <c r="E1041" s="533">
        <v>0.75</v>
      </c>
      <c r="F1041" s="11" t="s">
        <v>1656</v>
      </c>
      <c r="G1041" s="10"/>
      <c r="H1041" s="11" t="s">
        <v>11096</v>
      </c>
      <c r="I1041" s="10"/>
      <c r="J1041" s="540" t="s">
        <v>9740</v>
      </c>
      <c r="K1041" s="536">
        <v>7084.0</v>
      </c>
    </row>
    <row r="1042" hidden="1">
      <c r="A1042" s="531" t="s">
        <v>12669</v>
      </c>
      <c r="B1042" s="544">
        <v>14607.0</v>
      </c>
      <c r="C1042" s="11" t="s">
        <v>11095</v>
      </c>
      <c r="D1042" s="533">
        <v>0.75</v>
      </c>
      <c r="E1042" s="533">
        <v>0.75</v>
      </c>
      <c r="F1042" s="11" t="s">
        <v>1656</v>
      </c>
      <c r="G1042" s="10"/>
      <c r="H1042" s="11" t="s">
        <v>11096</v>
      </c>
      <c r="I1042" s="10"/>
      <c r="J1042" s="540" t="s">
        <v>9730</v>
      </c>
      <c r="K1042" s="536">
        <v>6671.0</v>
      </c>
    </row>
    <row r="1043" hidden="1">
      <c r="A1043" s="531" t="s">
        <v>12670</v>
      </c>
      <c r="B1043" s="531">
        <v>6770.0</v>
      </c>
      <c r="C1043" s="11" t="s">
        <v>11095</v>
      </c>
      <c r="D1043" s="533">
        <v>0.75</v>
      </c>
      <c r="E1043" s="533">
        <v>0.75</v>
      </c>
      <c r="F1043" s="11" t="s">
        <v>1656</v>
      </c>
      <c r="G1043" s="10"/>
      <c r="H1043" s="11" t="s">
        <v>11096</v>
      </c>
      <c r="I1043" s="10"/>
      <c r="J1043" s="540" t="s">
        <v>9743</v>
      </c>
      <c r="K1043" s="536">
        <v>6697.0</v>
      </c>
    </row>
    <row r="1044" hidden="1">
      <c r="A1044" s="531" t="s">
        <v>12671</v>
      </c>
      <c r="B1044" s="532"/>
      <c r="C1044" s="11" t="s">
        <v>11095</v>
      </c>
      <c r="D1044" s="533">
        <v>0.75</v>
      </c>
      <c r="E1044" s="533">
        <v>0.75</v>
      </c>
      <c r="F1044" s="11" t="s">
        <v>1656</v>
      </c>
      <c r="G1044" s="10"/>
      <c r="H1044" s="11" t="s">
        <v>11096</v>
      </c>
      <c r="I1044" s="10"/>
      <c r="J1044" s="540" t="s">
        <v>9733</v>
      </c>
      <c r="K1044" s="536">
        <v>6697.0</v>
      </c>
    </row>
    <row r="1045" hidden="1">
      <c r="A1045" s="531" t="s">
        <v>12672</v>
      </c>
      <c r="B1045" s="532"/>
      <c r="C1045" s="11" t="s">
        <v>11095</v>
      </c>
      <c r="D1045" s="533">
        <v>0.75</v>
      </c>
      <c r="E1045" s="533">
        <v>0.75</v>
      </c>
      <c r="F1045" s="11" t="s">
        <v>1656</v>
      </c>
      <c r="G1045" s="10"/>
      <c r="H1045" s="11" t="s">
        <v>11096</v>
      </c>
      <c r="I1045" s="10"/>
      <c r="J1045" s="540" t="s">
        <v>9746</v>
      </c>
      <c r="K1045" s="536">
        <v>6697.0</v>
      </c>
    </row>
    <row r="1046" hidden="1">
      <c r="A1046" s="531" t="s">
        <v>12673</v>
      </c>
      <c r="B1046" s="531">
        <v>7055.0</v>
      </c>
      <c r="C1046" s="11" t="s">
        <v>11095</v>
      </c>
      <c r="D1046" s="533">
        <v>0.75</v>
      </c>
      <c r="E1046" s="533">
        <v>0.75</v>
      </c>
      <c r="F1046" s="11" t="s">
        <v>1656</v>
      </c>
      <c r="G1046" s="10"/>
      <c r="H1046" s="11" t="s">
        <v>11096</v>
      </c>
      <c r="I1046" s="10"/>
      <c r="J1046" s="540" t="s">
        <v>9749</v>
      </c>
      <c r="K1046" s="536">
        <v>6697.0</v>
      </c>
    </row>
    <row r="1047" hidden="1">
      <c r="A1047" s="531" t="s">
        <v>12674</v>
      </c>
      <c r="B1047" s="531">
        <v>6770.0</v>
      </c>
      <c r="C1047" s="11" t="s">
        <v>11095</v>
      </c>
      <c r="D1047" s="533">
        <v>0.75</v>
      </c>
      <c r="E1047" s="533">
        <v>0.75</v>
      </c>
      <c r="F1047" s="11" t="s">
        <v>1656</v>
      </c>
      <c r="G1047" s="10"/>
      <c r="H1047" s="11" t="s">
        <v>11096</v>
      </c>
      <c r="I1047" s="10"/>
      <c r="J1047" s="540" t="s">
        <v>9752</v>
      </c>
      <c r="K1047" s="536">
        <v>6697.0</v>
      </c>
    </row>
    <row r="1048" hidden="1">
      <c r="A1048" s="531" t="s">
        <v>12675</v>
      </c>
      <c r="B1048" s="531">
        <v>8244.0</v>
      </c>
      <c r="C1048" s="11" t="s">
        <v>11095</v>
      </c>
      <c r="D1048" s="533">
        <v>0.75</v>
      </c>
      <c r="E1048" s="533">
        <v>0.75</v>
      </c>
      <c r="F1048" s="11" t="s">
        <v>1656</v>
      </c>
      <c r="G1048" s="10"/>
      <c r="H1048" s="11" t="s">
        <v>11096</v>
      </c>
      <c r="I1048" s="10"/>
      <c r="J1048" s="540" t="s">
        <v>9755</v>
      </c>
      <c r="K1048" s="536">
        <v>6671.0</v>
      </c>
    </row>
    <row r="1049" hidden="1">
      <c r="A1049" s="531" t="s">
        <v>12676</v>
      </c>
      <c r="B1049" s="532"/>
      <c r="C1049" s="11" t="s">
        <v>11095</v>
      </c>
      <c r="D1049" s="533">
        <v>0.75</v>
      </c>
      <c r="E1049" s="533">
        <v>0.75</v>
      </c>
      <c r="F1049" s="11" t="s">
        <v>1656</v>
      </c>
      <c r="G1049" s="10"/>
      <c r="H1049" s="11" t="s">
        <v>11096</v>
      </c>
      <c r="I1049" s="10"/>
      <c r="J1049" s="540" t="s">
        <v>9758</v>
      </c>
      <c r="K1049" s="536">
        <v>6903.0</v>
      </c>
    </row>
    <row r="1050" hidden="1">
      <c r="A1050" s="531" t="s">
        <v>12677</v>
      </c>
      <c r="B1050" s="532"/>
      <c r="C1050" s="11" t="s">
        <v>11095</v>
      </c>
      <c r="D1050" s="533">
        <v>0.75</v>
      </c>
      <c r="E1050" s="533">
        <v>0.75</v>
      </c>
      <c r="F1050" s="11" t="s">
        <v>1656</v>
      </c>
      <c r="G1050" s="10"/>
      <c r="H1050" s="11" t="s">
        <v>11096</v>
      </c>
      <c r="I1050" s="10"/>
      <c r="J1050" s="540" t="s">
        <v>9761</v>
      </c>
      <c r="K1050" s="536">
        <v>6972.0</v>
      </c>
    </row>
    <row r="1051" hidden="1">
      <c r="A1051" s="531" t="s">
        <v>12678</v>
      </c>
      <c r="B1051" s="541"/>
      <c r="C1051" s="11" t="s">
        <v>11095</v>
      </c>
      <c r="D1051" s="533">
        <v>0.75</v>
      </c>
      <c r="E1051" s="533">
        <v>0.75</v>
      </c>
      <c r="F1051" s="11" t="s">
        <v>1656</v>
      </c>
      <c r="G1051" s="10"/>
      <c r="H1051" s="11" t="s">
        <v>11096</v>
      </c>
      <c r="I1051" s="10"/>
      <c r="J1051" s="540" t="s">
        <v>9764</v>
      </c>
      <c r="K1051" s="536">
        <v>6972.0</v>
      </c>
    </row>
    <row r="1052" hidden="1">
      <c r="A1052" s="531" t="s">
        <v>12679</v>
      </c>
      <c r="B1052" s="531">
        <v>7113.0</v>
      </c>
      <c r="C1052" s="11" t="s">
        <v>11095</v>
      </c>
      <c r="D1052" s="533">
        <v>0.75</v>
      </c>
      <c r="E1052" s="533">
        <v>0.75</v>
      </c>
      <c r="F1052" s="11" t="s">
        <v>1656</v>
      </c>
      <c r="G1052" s="10"/>
      <c r="H1052" s="11" t="s">
        <v>11096</v>
      </c>
      <c r="I1052" s="10"/>
      <c r="J1052" s="540" t="s">
        <v>9767</v>
      </c>
      <c r="K1052" s="536">
        <v>7080.0</v>
      </c>
    </row>
    <row r="1053" hidden="1">
      <c r="A1053" s="531" t="s">
        <v>12680</v>
      </c>
      <c r="B1053" s="531">
        <v>6717.0</v>
      </c>
      <c r="C1053" s="11" t="s">
        <v>11095</v>
      </c>
      <c r="D1053" s="533">
        <v>0.75</v>
      </c>
      <c r="E1053" s="533">
        <v>0.75</v>
      </c>
      <c r="F1053" s="11" t="s">
        <v>1656</v>
      </c>
      <c r="G1053" s="10"/>
      <c r="H1053" s="11" t="s">
        <v>11096</v>
      </c>
      <c r="I1053" s="10"/>
      <c r="J1053" s="540" t="s">
        <v>9770</v>
      </c>
      <c r="K1053" s="536">
        <v>136.0</v>
      </c>
    </row>
    <row r="1054" hidden="1">
      <c r="A1054" s="531" t="s">
        <v>12681</v>
      </c>
      <c r="B1054" s="532"/>
      <c r="C1054" s="11" t="s">
        <v>11095</v>
      </c>
      <c r="D1054" s="533">
        <v>0.75</v>
      </c>
      <c r="E1054" s="533">
        <v>0.75</v>
      </c>
      <c r="F1054" s="11" t="s">
        <v>1656</v>
      </c>
      <c r="G1054" s="10"/>
      <c r="H1054" s="11" t="s">
        <v>11096</v>
      </c>
      <c r="I1054" s="10"/>
      <c r="J1054" s="540" t="s">
        <v>9773</v>
      </c>
      <c r="K1054" s="536">
        <v>7083.0</v>
      </c>
    </row>
    <row r="1055" hidden="1">
      <c r="A1055" s="531" t="s">
        <v>12682</v>
      </c>
      <c r="B1055" s="532"/>
      <c r="C1055" s="11" t="s">
        <v>11095</v>
      </c>
      <c r="D1055" s="533">
        <v>0.75</v>
      </c>
      <c r="E1055" s="533">
        <v>0.75</v>
      </c>
      <c r="F1055" s="11" t="s">
        <v>1656</v>
      </c>
      <c r="G1055" s="10"/>
      <c r="H1055" s="11" t="s">
        <v>11096</v>
      </c>
      <c r="I1055" s="10"/>
      <c r="J1055" s="540" t="s">
        <v>9736</v>
      </c>
      <c r="K1055" s="536">
        <v>663.0</v>
      </c>
    </row>
    <row r="1056" hidden="1">
      <c r="A1056" s="531" t="s">
        <v>12683</v>
      </c>
      <c r="B1056" s="532"/>
      <c r="C1056" s="11" t="s">
        <v>11095</v>
      </c>
      <c r="D1056" s="533">
        <v>0.75</v>
      </c>
      <c r="E1056" s="533">
        <v>0.75</v>
      </c>
      <c r="F1056" s="11" t="s">
        <v>1656</v>
      </c>
      <c r="G1056" s="10"/>
      <c r="H1056" s="11" t="s">
        <v>11096</v>
      </c>
      <c r="I1056" s="10"/>
      <c r="J1056" s="540" t="s">
        <v>9739</v>
      </c>
      <c r="K1056" s="536">
        <v>6669.0</v>
      </c>
    </row>
    <row r="1057" hidden="1">
      <c r="A1057" s="531" t="s">
        <v>12684</v>
      </c>
      <c r="B1057" s="532"/>
      <c r="C1057" s="11" t="s">
        <v>11095</v>
      </c>
      <c r="D1057" s="533">
        <v>0.75</v>
      </c>
      <c r="E1057" s="533">
        <v>0.75</v>
      </c>
      <c r="F1057" s="11" t="s">
        <v>1656</v>
      </c>
      <c r="G1057" s="10"/>
      <c r="H1057" s="11" t="s">
        <v>11096</v>
      </c>
      <c r="I1057" s="10"/>
      <c r="J1057" s="540" t="s">
        <v>9776</v>
      </c>
      <c r="K1057" s="536">
        <v>7023.0</v>
      </c>
    </row>
    <row r="1058" hidden="1">
      <c r="A1058" s="531" t="s">
        <v>12685</v>
      </c>
      <c r="B1058" s="532"/>
      <c r="C1058" s="11" t="s">
        <v>11095</v>
      </c>
      <c r="D1058" s="533">
        <v>0.75</v>
      </c>
      <c r="E1058" s="533">
        <v>0.75</v>
      </c>
      <c r="F1058" s="11" t="s">
        <v>1656</v>
      </c>
      <c r="G1058" s="10"/>
      <c r="H1058" s="11" t="s">
        <v>11096</v>
      </c>
      <c r="I1058" s="10"/>
      <c r="J1058" s="540" t="s">
        <v>9742</v>
      </c>
      <c r="K1058" s="536">
        <v>7062.0</v>
      </c>
    </row>
    <row r="1059" hidden="1">
      <c r="A1059" s="531" t="s">
        <v>12686</v>
      </c>
      <c r="B1059" s="531">
        <v>7104.0</v>
      </c>
      <c r="C1059" s="11" t="s">
        <v>11095</v>
      </c>
      <c r="D1059" s="533">
        <v>0.75</v>
      </c>
      <c r="E1059" s="533">
        <v>0.75</v>
      </c>
      <c r="F1059" s="11" t="s">
        <v>1656</v>
      </c>
      <c r="G1059" s="10"/>
      <c r="H1059" s="11" t="s">
        <v>11096</v>
      </c>
      <c r="I1059" s="10"/>
      <c r="J1059" s="540" t="s">
        <v>9745</v>
      </c>
      <c r="K1059" s="536">
        <v>6802.0</v>
      </c>
    </row>
    <row r="1060" hidden="1">
      <c r="A1060" s="531" t="s">
        <v>12687</v>
      </c>
      <c r="B1060" s="532"/>
      <c r="C1060" s="11" t="s">
        <v>11095</v>
      </c>
      <c r="D1060" s="533">
        <v>0.75</v>
      </c>
      <c r="E1060" s="533">
        <v>0.75</v>
      </c>
      <c r="F1060" s="11" t="s">
        <v>1656</v>
      </c>
      <c r="G1060" s="10"/>
      <c r="H1060" s="11" t="s">
        <v>11096</v>
      </c>
      <c r="I1060" s="10"/>
      <c r="J1060" s="540" t="s">
        <v>9748</v>
      </c>
      <c r="K1060" s="536">
        <v>7051.0</v>
      </c>
    </row>
    <row r="1061" hidden="1">
      <c r="A1061" s="531" t="s">
        <v>12688</v>
      </c>
      <c r="B1061" s="532"/>
      <c r="C1061" s="11" t="s">
        <v>11095</v>
      </c>
      <c r="D1061" s="533">
        <v>0.75</v>
      </c>
      <c r="E1061" s="533">
        <v>0.75</v>
      </c>
      <c r="F1061" s="11" t="s">
        <v>1656</v>
      </c>
      <c r="G1061" s="10"/>
      <c r="H1061" s="11" t="s">
        <v>11096</v>
      </c>
      <c r="I1061" s="10"/>
      <c r="J1061" s="540" t="s">
        <v>9751</v>
      </c>
      <c r="K1061" s="536">
        <v>3231.0</v>
      </c>
    </row>
    <row r="1062" hidden="1">
      <c r="A1062" s="531" t="s">
        <v>12689</v>
      </c>
      <c r="B1062" s="532"/>
      <c r="C1062" s="11" t="s">
        <v>11095</v>
      </c>
      <c r="D1062" s="533">
        <v>0.75</v>
      </c>
      <c r="E1062" s="533">
        <v>0.75</v>
      </c>
      <c r="F1062" s="11" t="s">
        <v>1656</v>
      </c>
      <c r="G1062" s="10"/>
      <c r="H1062" s="11" t="s">
        <v>11096</v>
      </c>
      <c r="I1062" s="10"/>
      <c r="J1062" s="540" t="s">
        <v>9754</v>
      </c>
      <c r="K1062" s="536">
        <v>7057.0</v>
      </c>
    </row>
    <row r="1063" hidden="1">
      <c r="A1063" s="531" t="s">
        <v>12690</v>
      </c>
      <c r="B1063" s="531">
        <v>4933.0</v>
      </c>
      <c r="C1063" s="11" t="s">
        <v>11095</v>
      </c>
      <c r="D1063" s="533">
        <v>0.75</v>
      </c>
      <c r="E1063" s="533">
        <v>0.75</v>
      </c>
      <c r="F1063" s="11" t="s">
        <v>1656</v>
      </c>
      <c r="G1063" s="10"/>
      <c r="H1063" s="11" t="s">
        <v>11096</v>
      </c>
      <c r="I1063" s="10"/>
      <c r="J1063" s="540" t="s">
        <v>9757</v>
      </c>
      <c r="K1063" s="536">
        <v>6780.0</v>
      </c>
    </row>
    <row r="1064" hidden="1">
      <c r="A1064" s="531" t="s">
        <v>12691</v>
      </c>
      <c r="B1064" s="532"/>
      <c r="C1064" s="11" t="s">
        <v>11095</v>
      </c>
      <c r="D1064" s="533">
        <v>0.75</v>
      </c>
      <c r="E1064" s="533">
        <v>0.75</v>
      </c>
      <c r="F1064" s="11" t="s">
        <v>1656</v>
      </c>
      <c r="G1064" s="10"/>
      <c r="H1064" s="11" t="s">
        <v>11096</v>
      </c>
      <c r="I1064" s="10"/>
      <c r="J1064" s="540" t="s">
        <v>9760</v>
      </c>
      <c r="K1064" s="536">
        <v>6936.0</v>
      </c>
    </row>
    <row r="1065" hidden="1">
      <c r="A1065" s="531" t="s">
        <v>12692</v>
      </c>
      <c r="B1065" s="531">
        <v>6827.0</v>
      </c>
      <c r="C1065" s="11" t="s">
        <v>11095</v>
      </c>
      <c r="D1065" s="533">
        <v>0.75</v>
      </c>
      <c r="E1065" s="533">
        <v>0.75</v>
      </c>
      <c r="F1065" s="11" t="s">
        <v>1656</v>
      </c>
      <c r="G1065" s="10"/>
      <c r="H1065" s="11" t="s">
        <v>11096</v>
      </c>
      <c r="I1065" s="10"/>
      <c r="J1065" s="540" t="s">
        <v>9763</v>
      </c>
      <c r="K1065" s="536">
        <v>7055.0</v>
      </c>
    </row>
    <row r="1066" hidden="1">
      <c r="A1066" s="531" t="s">
        <v>12693</v>
      </c>
      <c r="B1066" s="532"/>
      <c r="C1066" s="11" t="s">
        <v>11095</v>
      </c>
      <c r="D1066" s="533">
        <v>0.75</v>
      </c>
      <c r="E1066" s="533">
        <v>0.75</v>
      </c>
      <c r="F1066" s="11" t="s">
        <v>1656</v>
      </c>
      <c r="G1066" s="10"/>
      <c r="H1066" s="11" t="s">
        <v>11096</v>
      </c>
      <c r="I1066" s="10"/>
      <c r="J1066" s="540" t="s">
        <v>9769</v>
      </c>
      <c r="K1066" s="536">
        <v>7055.0</v>
      </c>
    </row>
    <row r="1067" hidden="1">
      <c r="A1067" s="531" t="s">
        <v>12694</v>
      </c>
      <c r="B1067" s="532"/>
      <c r="C1067" s="11" t="s">
        <v>11095</v>
      </c>
      <c r="D1067" s="533">
        <v>0.75</v>
      </c>
      <c r="E1067" s="533">
        <v>0.75</v>
      </c>
      <c r="F1067" s="11" t="s">
        <v>1656</v>
      </c>
      <c r="G1067" s="10"/>
      <c r="H1067" s="11" t="s">
        <v>11096</v>
      </c>
      <c r="I1067" s="10"/>
      <c r="J1067" s="540" t="s">
        <v>9779</v>
      </c>
      <c r="K1067" s="536">
        <v>7072.0</v>
      </c>
    </row>
    <row r="1068" hidden="1">
      <c r="A1068" s="531" t="s">
        <v>12695</v>
      </c>
      <c r="B1068" s="531">
        <v>6557.0</v>
      </c>
      <c r="C1068" s="11" t="s">
        <v>11095</v>
      </c>
      <c r="D1068" s="533">
        <v>0.75</v>
      </c>
      <c r="E1068" s="533">
        <v>0.75</v>
      </c>
      <c r="F1068" s="11" t="s">
        <v>1656</v>
      </c>
      <c r="G1068" s="10"/>
      <c r="H1068" s="11" t="s">
        <v>11096</v>
      </c>
      <c r="I1068" s="10"/>
      <c r="J1068" s="540" t="s">
        <v>9782</v>
      </c>
      <c r="K1068" s="536">
        <v>7072.0</v>
      </c>
    </row>
    <row r="1069" hidden="1">
      <c r="A1069" s="531" t="s">
        <v>12696</v>
      </c>
      <c r="B1069" s="531">
        <v>7092.0</v>
      </c>
      <c r="C1069" s="11" t="s">
        <v>11095</v>
      </c>
      <c r="D1069" s="533">
        <v>0.85</v>
      </c>
      <c r="E1069" s="533">
        <v>0.85</v>
      </c>
      <c r="F1069" s="11" t="s">
        <v>1656</v>
      </c>
      <c r="G1069" s="10"/>
      <c r="H1069" s="11" t="s">
        <v>11096</v>
      </c>
      <c r="I1069" s="10"/>
      <c r="J1069" s="540" t="s">
        <v>9785</v>
      </c>
      <c r="K1069" s="536">
        <v>7158.0</v>
      </c>
    </row>
    <row r="1070" hidden="1">
      <c r="A1070" s="531" t="s">
        <v>12697</v>
      </c>
      <c r="B1070" s="532"/>
      <c r="C1070" s="11" t="s">
        <v>11095</v>
      </c>
      <c r="D1070" s="533">
        <v>0.75</v>
      </c>
      <c r="E1070" s="533">
        <v>0.75</v>
      </c>
      <c r="F1070" s="11" t="s">
        <v>1656</v>
      </c>
      <c r="G1070" s="10"/>
      <c r="H1070" s="11" t="s">
        <v>11096</v>
      </c>
      <c r="I1070" s="10"/>
      <c r="J1070" s="540" t="s">
        <v>9788</v>
      </c>
      <c r="K1070" s="536">
        <v>7049.0</v>
      </c>
    </row>
    <row r="1071" hidden="1">
      <c r="A1071" s="531" t="s">
        <v>12698</v>
      </c>
      <c r="B1071" s="531">
        <v>7092.0</v>
      </c>
      <c r="C1071" s="11" t="s">
        <v>11095</v>
      </c>
      <c r="D1071" s="533">
        <v>0.85</v>
      </c>
      <c r="E1071" s="533">
        <v>0.85</v>
      </c>
      <c r="F1071" s="11" t="s">
        <v>1656</v>
      </c>
      <c r="G1071" s="10"/>
      <c r="H1071" s="11" t="s">
        <v>11096</v>
      </c>
      <c r="I1071" s="10"/>
      <c r="J1071" s="540" t="s">
        <v>9791</v>
      </c>
      <c r="K1071" s="536">
        <v>7046.0</v>
      </c>
    </row>
    <row r="1072" hidden="1">
      <c r="A1072" s="531" t="s">
        <v>12699</v>
      </c>
      <c r="B1072" s="532"/>
      <c r="C1072" s="11" t="s">
        <v>11095</v>
      </c>
      <c r="D1072" s="533">
        <v>0.75</v>
      </c>
      <c r="E1072" s="533">
        <v>0.75</v>
      </c>
      <c r="F1072" s="11" t="s">
        <v>1656</v>
      </c>
      <c r="G1072" s="10"/>
      <c r="H1072" s="11" t="s">
        <v>11096</v>
      </c>
      <c r="I1072" s="10"/>
      <c r="J1072" s="540" t="s">
        <v>9772</v>
      </c>
      <c r="K1072" s="536">
        <v>7049.0</v>
      </c>
    </row>
    <row r="1073" hidden="1">
      <c r="A1073" s="531" t="s">
        <v>12700</v>
      </c>
      <c r="B1073" s="532"/>
      <c r="C1073" s="11" t="s">
        <v>11095</v>
      </c>
      <c r="D1073" s="533">
        <v>0.75</v>
      </c>
      <c r="E1073" s="533">
        <v>0.75</v>
      </c>
      <c r="F1073" s="11" t="s">
        <v>1656</v>
      </c>
      <c r="G1073" s="10"/>
      <c r="H1073" s="11" t="s">
        <v>11096</v>
      </c>
      <c r="I1073" s="10"/>
      <c r="J1073" s="540" t="s">
        <v>9794</v>
      </c>
      <c r="K1073" s="536">
        <v>7049.0</v>
      </c>
    </row>
    <row r="1074" hidden="1">
      <c r="A1074" s="531" t="s">
        <v>12701</v>
      </c>
      <c r="B1074" s="532"/>
      <c r="C1074" s="11" t="s">
        <v>11095</v>
      </c>
      <c r="D1074" s="533">
        <v>0.75</v>
      </c>
      <c r="E1074" s="533">
        <v>0.75</v>
      </c>
      <c r="F1074" s="11" t="s">
        <v>1656</v>
      </c>
      <c r="G1074" s="10"/>
      <c r="H1074" s="11" t="s">
        <v>11096</v>
      </c>
      <c r="I1074" s="10"/>
      <c r="J1074" s="540" t="s">
        <v>9775</v>
      </c>
      <c r="K1074" s="536">
        <v>7049.0</v>
      </c>
    </row>
    <row r="1075" hidden="1">
      <c r="A1075" s="531" t="s">
        <v>12702</v>
      </c>
      <c r="B1075" s="532"/>
      <c r="C1075" s="11" t="s">
        <v>11095</v>
      </c>
      <c r="D1075" s="533">
        <v>0.75</v>
      </c>
      <c r="E1075" s="533">
        <v>0.75</v>
      </c>
      <c r="F1075" s="11" t="s">
        <v>1656</v>
      </c>
      <c r="G1075" s="10"/>
      <c r="H1075" s="11" t="s">
        <v>11096</v>
      </c>
      <c r="I1075" s="10"/>
      <c r="J1075" s="540" t="s">
        <v>9797</v>
      </c>
      <c r="K1075" s="536">
        <v>7039.0</v>
      </c>
    </row>
    <row r="1076" hidden="1">
      <c r="A1076" s="531" t="s">
        <v>12703</v>
      </c>
      <c r="B1076" s="531">
        <v>195.0</v>
      </c>
      <c r="C1076" s="11" t="s">
        <v>11095</v>
      </c>
      <c r="D1076" s="533">
        <v>0.75</v>
      </c>
      <c r="E1076" s="533">
        <v>0.75</v>
      </c>
      <c r="F1076" s="11" t="s">
        <v>1656</v>
      </c>
      <c r="G1076" s="10"/>
      <c r="H1076" s="11" t="s">
        <v>11096</v>
      </c>
      <c r="I1076" s="10"/>
      <c r="J1076" s="540" t="s">
        <v>9800</v>
      </c>
      <c r="K1076" s="536">
        <v>7020.0</v>
      </c>
    </row>
    <row r="1077" hidden="1">
      <c r="A1077" s="531" t="s">
        <v>12704</v>
      </c>
      <c r="B1077" s="532"/>
      <c r="C1077" s="11" t="s">
        <v>11095</v>
      </c>
      <c r="D1077" s="533">
        <v>0.75</v>
      </c>
      <c r="E1077" s="533">
        <v>0.75</v>
      </c>
      <c r="F1077" s="11" t="s">
        <v>1656</v>
      </c>
      <c r="G1077" s="10"/>
      <c r="H1077" s="11" t="s">
        <v>11096</v>
      </c>
      <c r="I1077" s="10"/>
      <c r="J1077" s="540" t="s">
        <v>9803</v>
      </c>
      <c r="K1077" s="536">
        <v>7020.0</v>
      </c>
    </row>
    <row r="1078" hidden="1">
      <c r="A1078" s="531" t="s">
        <v>12705</v>
      </c>
      <c r="B1078" s="531">
        <v>7147.0</v>
      </c>
      <c r="C1078" s="11" t="s">
        <v>11095</v>
      </c>
      <c r="D1078" s="533">
        <v>0.75</v>
      </c>
      <c r="E1078" s="533">
        <v>0.75</v>
      </c>
      <c r="F1078" s="11" t="s">
        <v>1656</v>
      </c>
      <c r="G1078" s="10"/>
      <c r="H1078" s="11" t="s">
        <v>11096</v>
      </c>
      <c r="I1078" s="10"/>
      <c r="J1078" s="540" t="s">
        <v>9778</v>
      </c>
      <c r="K1078" s="536">
        <v>6909.0</v>
      </c>
    </row>
    <row r="1079" hidden="1">
      <c r="A1079" s="531" t="s">
        <v>12706</v>
      </c>
      <c r="B1079" s="532"/>
      <c r="C1079" s="11" t="s">
        <v>11095</v>
      </c>
      <c r="D1079" s="533">
        <v>0.75</v>
      </c>
      <c r="E1079" s="533">
        <v>0.75</v>
      </c>
      <c r="F1079" s="11" t="s">
        <v>1656</v>
      </c>
      <c r="G1079" s="10"/>
      <c r="H1079" s="11" t="s">
        <v>11096</v>
      </c>
      <c r="I1079" s="10"/>
      <c r="J1079" s="540" t="s">
        <v>9806</v>
      </c>
      <c r="K1079" s="536">
        <v>4933.0</v>
      </c>
    </row>
    <row r="1080" hidden="1">
      <c r="A1080" s="531" t="s">
        <v>12707</v>
      </c>
      <c r="B1080" s="544">
        <v>14757.0</v>
      </c>
      <c r="C1080" s="11" t="s">
        <v>11095</v>
      </c>
      <c r="D1080" s="533">
        <v>0.75</v>
      </c>
      <c r="E1080" s="533">
        <v>0.75</v>
      </c>
      <c r="F1080" s="11" t="s">
        <v>1656</v>
      </c>
      <c r="G1080" s="10"/>
      <c r="H1080" s="11" t="s">
        <v>11096</v>
      </c>
      <c r="I1080" s="10"/>
      <c r="J1080" s="540" t="s">
        <v>12708</v>
      </c>
      <c r="K1080" s="536">
        <v>4933.0</v>
      </c>
    </row>
    <row r="1081" hidden="1">
      <c r="A1081" s="531" t="s">
        <v>12709</v>
      </c>
      <c r="B1081" s="532"/>
      <c r="C1081" s="11" t="s">
        <v>11095</v>
      </c>
      <c r="D1081" s="533">
        <v>0.75</v>
      </c>
      <c r="E1081" s="533">
        <v>0.75</v>
      </c>
      <c r="F1081" s="11" t="s">
        <v>1656</v>
      </c>
      <c r="G1081" s="10"/>
      <c r="H1081" s="11" t="s">
        <v>11096</v>
      </c>
      <c r="I1081" s="10"/>
      <c r="J1081" s="540" t="s">
        <v>12710</v>
      </c>
      <c r="K1081" s="536">
        <v>4933.0</v>
      </c>
    </row>
    <row r="1082" hidden="1">
      <c r="A1082" s="531" t="s">
        <v>12711</v>
      </c>
      <c r="B1082" s="532"/>
      <c r="C1082" s="11" t="s">
        <v>11095</v>
      </c>
      <c r="D1082" s="533">
        <v>0.75</v>
      </c>
      <c r="E1082" s="533">
        <v>0.75</v>
      </c>
      <c r="F1082" s="11" t="s">
        <v>1656</v>
      </c>
      <c r="G1082" s="10"/>
      <c r="H1082" s="11" t="s">
        <v>11096</v>
      </c>
      <c r="I1082" s="10"/>
      <c r="J1082" s="540" t="s">
        <v>12712</v>
      </c>
      <c r="K1082" s="536">
        <v>4933.0</v>
      </c>
    </row>
    <row r="1083" hidden="1">
      <c r="A1083" s="531" t="s">
        <v>12713</v>
      </c>
      <c r="B1083" s="532"/>
      <c r="C1083" s="11" t="s">
        <v>11095</v>
      </c>
      <c r="D1083" s="533">
        <v>0.75</v>
      </c>
      <c r="E1083" s="533">
        <v>0.75</v>
      </c>
      <c r="F1083" s="11" t="s">
        <v>1656</v>
      </c>
      <c r="G1083" s="10"/>
      <c r="H1083" s="11" t="s">
        <v>11096</v>
      </c>
      <c r="I1083" s="10"/>
      <c r="J1083" s="540" t="s">
        <v>12714</v>
      </c>
      <c r="K1083" s="536">
        <v>4933.0</v>
      </c>
    </row>
    <row r="1084" hidden="1">
      <c r="A1084" s="531" t="s">
        <v>12715</v>
      </c>
      <c r="B1084" s="531">
        <v>930.0</v>
      </c>
      <c r="C1084" s="11" t="s">
        <v>11095</v>
      </c>
      <c r="D1084" s="533">
        <v>0.75</v>
      </c>
      <c r="E1084" s="533">
        <v>0.75</v>
      </c>
      <c r="F1084" s="11" t="s">
        <v>1656</v>
      </c>
      <c r="G1084" s="10"/>
      <c r="H1084" s="11" t="s">
        <v>11096</v>
      </c>
      <c r="I1084" s="10"/>
      <c r="J1084" s="540" t="s">
        <v>12716</v>
      </c>
      <c r="K1084" s="536">
        <v>6995.0</v>
      </c>
    </row>
    <row r="1085" hidden="1">
      <c r="A1085" s="531" t="s">
        <v>12717</v>
      </c>
      <c r="B1085" s="532"/>
      <c r="C1085" s="11" t="s">
        <v>11095</v>
      </c>
      <c r="D1085" s="533">
        <v>0.75</v>
      </c>
      <c r="E1085" s="533">
        <v>0.75</v>
      </c>
      <c r="F1085" s="11" t="s">
        <v>1656</v>
      </c>
      <c r="G1085" s="10"/>
      <c r="H1085" s="11" t="s">
        <v>11096</v>
      </c>
      <c r="I1085" s="10"/>
      <c r="J1085" s="540" t="s">
        <v>12718</v>
      </c>
      <c r="K1085" s="536">
        <v>3307.0</v>
      </c>
    </row>
    <row r="1086" hidden="1">
      <c r="A1086" s="531" t="s">
        <v>12719</v>
      </c>
      <c r="B1086" s="532"/>
      <c r="C1086" s="11" t="s">
        <v>11095</v>
      </c>
      <c r="D1086" s="533">
        <v>0.75</v>
      </c>
      <c r="E1086" s="533">
        <v>0.75</v>
      </c>
      <c r="F1086" s="11" t="s">
        <v>1656</v>
      </c>
      <c r="G1086" s="10"/>
      <c r="H1086" s="11" t="s">
        <v>11096</v>
      </c>
      <c r="I1086" s="10"/>
      <c r="J1086" s="540" t="s">
        <v>12023</v>
      </c>
      <c r="K1086" s="536">
        <v>6887.0</v>
      </c>
    </row>
    <row r="1087" hidden="1">
      <c r="A1087" s="531" t="s">
        <v>12720</v>
      </c>
      <c r="B1087" s="532"/>
      <c r="C1087" s="11" t="s">
        <v>11095</v>
      </c>
      <c r="D1087" s="533">
        <v>0.75</v>
      </c>
      <c r="E1087" s="533">
        <v>0.75</v>
      </c>
      <c r="F1087" s="11" t="s">
        <v>1656</v>
      </c>
      <c r="G1087" s="10"/>
      <c r="H1087" s="11" t="s">
        <v>11096</v>
      </c>
      <c r="I1087" s="10"/>
      <c r="J1087" s="540" t="s">
        <v>12197</v>
      </c>
      <c r="K1087" s="536">
        <v>7040.0</v>
      </c>
    </row>
    <row r="1088" hidden="1">
      <c r="A1088" s="531" t="s">
        <v>12721</v>
      </c>
      <c r="B1088" s="531">
        <v>6660.0</v>
      </c>
      <c r="C1088" s="11" t="s">
        <v>11095</v>
      </c>
      <c r="D1088" s="533">
        <v>0.75</v>
      </c>
      <c r="E1088" s="533">
        <v>0.75</v>
      </c>
      <c r="F1088" s="11" t="s">
        <v>1656</v>
      </c>
      <c r="G1088" s="10"/>
      <c r="H1088" s="11" t="s">
        <v>11096</v>
      </c>
      <c r="I1088" s="10"/>
      <c r="J1088" s="540" t="s">
        <v>12722</v>
      </c>
      <c r="K1088" s="536">
        <v>3920.0</v>
      </c>
    </row>
    <row r="1089" hidden="1">
      <c r="A1089" s="531" t="s">
        <v>12723</v>
      </c>
      <c r="B1089" s="532"/>
      <c r="C1089" s="11" t="s">
        <v>11095</v>
      </c>
      <c r="D1089" s="533">
        <v>0.75</v>
      </c>
      <c r="E1089" s="533">
        <v>0.75</v>
      </c>
      <c r="F1089" s="11" t="s">
        <v>1656</v>
      </c>
      <c r="G1089" s="10"/>
      <c r="H1089" s="11" t="s">
        <v>11096</v>
      </c>
      <c r="I1089" s="10"/>
      <c r="J1089" s="540" t="s">
        <v>12724</v>
      </c>
      <c r="K1089" s="536">
        <v>3920.0</v>
      </c>
    </row>
    <row r="1090" hidden="1">
      <c r="A1090" s="531" t="s">
        <v>12725</v>
      </c>
      <c r="B1090" s="532"/>
      <c r="C1090" s="11" t="s">
        <v>11095</v>
      </c>
      <c r="D1090" s="533">
        <v>0.75</v>
      </c>
      <c r="E1090" s="533">
        <v>0.75</v>
      </c>
      <c r="F1090" s="11" t="s">
        <v>1656</v>
      </c>
      <c r="G1090" s="10"/>
      <c r="H1090" s="11" t="s">
        <v>11096</v>
      </c>
      <c r="I1090" s="10"/>
      <c r="J1090" s="540" t="s">
        <v>12726</v>
      </c>
      <c r="K1090" s="536">
        <v>6727.0</v>
      </c>
    </row>
    <row r="1091" hidden="1">
      <c r="A1091" s="531" t="s">
        <v>12727</v>
      </c>
      <c r="B1091" s="532"/>
      <c r="C1091" s="11" t="s">
        <v>11095</v>
      </c>
      <c r="D1091" s="533">
        <v>0.75</v>
      </c>
      <c r="E1091" s="533">
        <v>0.75</v>
      </c>
      <c r="F1091" s="11" t="s">
        <v>1656</v>
      </c>
      <c r="G1091" s="10"/>
      <c r="H1091" s="11" t="s">
        <v>11096</v>
      </c>
      <c r="I1091" s="10"/>
      <c r="J1091" s="540" t="s">
        <v>11557</v>
      </c>
      <c r="K1091" s="536">
        <v>6727.0</v>
      </c>
    </row>
    <row r="1092" hidden="1">
      <c r="A1092" s="531" t="s">
        <v>12728</v>
      </c>
      <c r="B1092" s="531">
        <v>285.0</v>
      </c>
      <c r="C1092" s="11" t="s">
        <v>11095</v>
      </c>
      <c r="D1092" s="533">
        <v>0.88</v>
      </c>
      <c r="E1092" s="533">
        <v>0.88</v>
      </c>
      <c r="F1092" s="11" t="s">
        <v>1656</v>
      </c>
      <c r="G1092" s="10"/>
      <c r="H1092" s="11" t="s">
        <v>11096</v>
      </c>
      <c r="I1092" s="10"/>
      <c r="J1092" s="540" t="s">
        <v>12729</v>
      </c>
      <c r="K1092" s="536">
        <v>6727.0</v>
      </c>
    </row>
    <row r="1093" hidden="1">
      <c r="A1093" s="531" t="s">
        <v>12730</v>
      </c>
      <c r="B1093" s="531">
        <v>285.0</v>
      </c>
      <c r="C1093" s="11" t="s">
        <v>11095</v>
      </c>
      <c r="D1093" s="533">
        <v>0.88</v>
      </c>
      <c r="E1093" s="533">
        <v>0.88</v>
      </c>
      <c r="F1093" s="11" t="s">
        <v>1656</v>
      </c>
      <c r="G1093" s="10"/>
      <c r="H1093" s="11" t="s">
        <v>11096</v>
      </c>
      <c r="I1093" s="10"/>
      <c r="J1093" s="540" t="s">
        <v>11378</v>
      </c>
      <c r="K1093" s="536">
        <v>6727.0</v>
      </c>
    </row>
    <row r="1094" hidden="1">
      <c r="A1094" s="531" t="s">
        <v>12731</v>
      </c>
      <c r="B1094" s="532"/>
      <c r="C1094" s="11" t="s">
        <v>11095</v>
      </c>
      <c r="D1094" s="533">
        <v>0.75</v>
      </c>
      <c r="E1094" s="533">
        <v>0.75</v>
      </c>
      <c r="F1094" s="11" t="s">
        <v>1656</v>
      </c>
      <c r="G1094" s="10"/>
      <c r="H1094" s="11" t="s">
        <v>11096</v>
      </c>
      <c r="I1094" s="10"/>
      <c r="J1094" s="540" t="s">
        <v>12189</v>
      </c>
      <c r="K1094" s="536">
        <v>6727.0</v>
      </c>
    </row>
    <row r="1095" hidden="1">
      <c r="A1095" s="531" t="s">
        <v>12732</v>
      </c>
      <c r="B1095" s="532"/>
      <c r="C1095" s="11" t="s">
        <v>11095</v>
      </c>
      <c r="D1095" s="533">
        <v>0.75</v>
      </c>
      <c r="E1095" s="533">
        <v>0.75</v>
      </c>
      <c r="F1095" s="11" t="s">
        <v>1656</v>
      </c>
      <c r="G1095" s="10"/>
      <c r="H1095" s="11" t="s">
        <v>11096</v>
      </c>
      <c r="I1095" s="10"/>
      <c r="J1095" s="540" t="s">
        <v>12733</v>
      </c>
      <c r="K1095" s="536">
        <v>6727.0</v>
      </c>
    </row>
    <row r="1096" hidden="1">
      <c r="A1096" s="531" t="s">
        <v>12734</v>
      </c>
      <c r="B1096" s="532"/>
      <c r="C1096" s="11" t="s">
        <v>11095</v>
      </c>
      <c r="D1096" s="533">
        <v>0.75</v>
      </c>
      <c r="E1096" s="533">
        <v>0.75</v>
      </c>
      <c r="F1096" s="11" t="s">
        <v>1656</v>
      </c>
      <c r="G1096" s="10"/>
      <c r="H1096" s="11" t="s">
        <v>11096</v>
      </c>
      <c r="I1096" s="10"/>
      <c r="J1096" s="540" t="s">
        <v>12735</v>
      </c>
      <c r="K1096" s="536">
        <v>6727.0</v>
      </c>
    </row>
    <row r="1097" hidden="1">
      <c r="A1097" s="531" t="s">
        <v>12736</v>
      </c>
      <c r="B1097" s="532"/>
      <c r="C1097" s="11" t="s">
        <v>11095</v>
      </c>
      <c r="D1097" s="533">
        <v>0.75</v>
      </c>
      <c r="E1097" s="533">
        <v>0.75</v>
      </c>
      <c r="F1097" s="11" t="s">
        <v>1656</v>
      </c>
      <c r="G1097" s="10"/>
      <c r="H1097" s="11" t="s">
        <v>11096</v>
      </c>
      <c r="I1097" s="10"/>
      <c r="J1097" s="540" t="s">
        <v>11388</v>
      </c>
      <c r="K1097" s="536">
        <v>12550.0</v>
      </c>
    </row>
    <row r="1098" hidden="1">
      <c r="A1098" s="531" t="s">
        <v>12737</v>
      </c>
      <c r="B1098" s="532"/>
      <c r="C1098" s="11" t="s">
        <v>11095</v>
      </c>
      <c r="D1098" s="533">
        <v>0.75</v>
      </c>
      <c r="E1098" s="533">
        <v>0.75</v>
      </c>
      <c r="F1098" s="11" t="s">
        <v>1656</v>
      </c>
      <c r="G1098" s="10"/>
      <c r="H1098" s="11" t="s">
        <v>11096</v>
      </c>
      <c r="I1098" s="10"/>
      <c r="J1098" s="540" t="s">
        <v>11725</v>
      </c>
      <c r="K1098" s="536">
        <v>6727.0</v>
      </c>
    </row>
    <row r="1099" hidden="1">
      <c r="A1099" s="531" t="s">
        <v>12738</v>
      </c>
      <c r="B1099" s="532"/>
      <c r="C1099" s="11" t="s">
        <v>11095</v>
      </c>
      <c r="D1099" s="533">
        <v>0.75</v>
      </c>
      <c r="E1099" s="533">
        <v>0.75</v>
      </c>
      <c r="F1099" s="11" t="s">
        <v>1656</v>
      </c>
      <c r="G1099" s="10"/>
      <c r="H1099" s="11" t="s">
        <v>11096</v>
      </c>
      <c r="I1099" s="10"/>
      <c r="J1099" s="540" t="s">
        <v>12739</v>
      </c>
      <c r="K1099" s="536">
        <v>6727.0</v>
      </c>
    </row>
    <row r="1100" hidden="1">
      <c r="A1100" s="531" t="s">
        <v>12740</v>
      </c>
      <c r="B1100" s="532"/>
      <c r="C1100" s="11" t="s">
        <v>11095</v>
      </c>
      <c r="D1100" s="533">
        <v>0.75</v>
      </c>
      <c r="E1100" s="533">
        <v>0.75</v>
      </c>
      <c r="F1100" s="11" t="s">
        <v>1656</v>
      </c>
      <c r="G1100" s="10"/>
      <c r="H1100" s="11" t="s">
        <v>11096</v>
      </c>
      <c r="I1100" s="10"/>
      <c r="J1100" s="540" t="s">
        <v>12741</v>
      </c>
      <c r="K1100" s="536">
        <v>136.0</v>
      </c>
    </row>
    <row r="1101" hidden="1">
      <c r="A1101" s="531" t="s">
        <v>12742</v>
      </c>
      <c r="B1101" s="532"/>
      <c r="C1101" s="11" t="s">
        <v>11095</v>
      </c>
      <c r="D1101" s="533">
        <v>0.75</v>
      </c>
      <c r="E1101" s="533">
        <v>0.75</v>
      </c>
      <c r="F1101" s="11" t="s">
        <v>1656</v>
      </c>
      <c r="G1101" s="10"/>
      <c r="H1101" s="11" t="s">
        <v>11096</v>
      </c>
      <c r="I1101" s="10"/>
      <c r="J1101" s="540" t="s">
        <v>12743</v>
      </c>
      <c r="K1101" s="536">
        <v>11049.0</v>
      </c>
    </row>
    <row r="1102" hidden="1">
      <c r="A1102" s="531" t="s">
        <v>12744</v>
      </c>
      <c r="B1102" s="532"/>
      <c r="C1102" s="11" t="s">
        <v>11095</v>
      </c>
      <c r="D1102" s="533">
        <v>0.75</v>
      </c>
      <c r="E1102" s="533">
        <v>0.75</v>
      </c>
      <c r="F1102" s="11" t="s">
        <v>1656</v>
      </c>
      <c r="G1102" s="10"/>
      <c r="H1102" s="11" t="s">
        <v>11096</v>
      </c>
      <c r="I1102" s="10"/>
      <c r="J1102" s="540" t="s">
        <v>12745</v>
      </c>
      <c r="K1102" s="536">
        <v>11049.0</v>
      </c>
    </row>
    <row r="1103">
      <c r="A1103" s="531" t="s">
        <v>12746</v>
      </c>
      <c r="B1103" s="531">
        <v>6675.0</v>
      </c>
      <c r="C1103" s="11" t="s">
        <v>11095</v>
      </c>
      <c r="D1103" s="533">
        <v>0.9</v>
      </c>
      <c r="E1103" s="533">
        <v>0.9</v>
      </c>
      <c r="F1103" s="11" t="s">
        <v>1656</v>
      </c>
      <c r="G1103" s="10"/>
      <c r="H1103" s="11" t="s">
        <v>11096</v>
      </c>
      <c r="I1103" s="10"/>
      <c r="J1103" s="540" t="s">
        <v>12747</v>
      </c>
      <c r="K1103" s="536">
        <v>11049.0</v>
      </c>
    </row>
    <row r="1104" hidden="1">
      <c r="A1104" s="531" t="s">
        <v>12748</v>
      </c>
      <c r="B1104" s="532"/>
      <c r="C1104" s="11" t="s">
        <v>11095</v>
      </c>
      <c r="D1104" s="533">
        <v>0.75</v>
      </c>
      <c r="E1104" s="533">
        <v>0.75</v>
      </c>
      <c r="F1104" s="11" t="s">
        <v>1656</v>
      </c>
      <c r="G1104" s="10"/>
      <c r="H1104" s="11" t="s">
        <v>11096</v>
      </c>
      <c r="I1104" s="10"/>
      <c r="J1104" s="540" t="s">
        <v>12749</v>
      </c>
      <c r="K1104" s="536">
        <v>11049.0</v>
      </c>
    </row>
    <row r="1105" hidden="1">
      <c r="A1105" s="531" t="s">
        <v>12750</v>
      </c>
      <c r="B1105" s="532"/>
      <c r="C1105" s="11" t="s">
        <v>11095</v>
      </c>
      <c r="D1105" s="533">
        <v>0.75</v>
      </c>
      <c r="E1105" s="533">
        <v>0.75</v>
      </c>
      <c r="F1105" s="11" t="s">
        <v>1656</v>
      </c>
      <c r="G1105" s="10"/>
      <c r="H1105" s="11" t="s">
        <v>11096</v>
      </c>
      <c r="I1105" s="10"/>
      <c r="J1105" s="540" t="s">
        <v>12751</v>
      </c>
      <c r="K1105" s="536">
        <v>11049.0</v>
      </c>
    </row>
    <row r="1106">
      <c r="A1106" s="531" t="s">
        <v>12752</v>
      </c>
      <c r="B1106" s="531">
        <v>6675.0</v>
      </c>
      <c r="C1106" s="11" t="s">
        <v>11095</v>
      </c>
      <c r="D1106" s="533">
        <v>0.9</v>
      </c>
      <c r="E1106" s="533">
        <v>0.9</v>
      </c>
      <c r="F1106" s="11" t="s">
        <v>1656</v>
      </c>
      <c r="G1106" s="10"/>
      <c r="H1106" s="11" t="s">
        <v>11096</v>
      </c>
      <c r="I1106" s="10"/>
      <c r="J1106" s="540" t="s">
        <v>12753</v>
      </c>
      <c r="K1106" s="536">
        <v>2345.0</v>
      </c>
    </row>
    <row r="1107">
      <c r="A1107" s="531" t="s">
        <v>12754</v>
      </c>
      <c r="B1107" s="531">
        <v>6675.0</v>
      </c>
      <c r="C1107" s="11" t="s">
        <v>11095</v>
      </c>
      <c r="D1107" s="533">
        <v>0.9</v>
      </c>
      <c r="E1107" s="533">
        <v>0.9</v>
      </c>
      <c r="F1107" s="11" t="s">
        <v>1656</v>
      </c>
      <c r="G1107" s="10"/>
      <c r="H1107" s="11" t="s">
        <v>11096</v>
      </c>
      <c r="I1107" s="10"/>
      <c r="J1107" s="540" t="s">
        <v>12755</v>
      </c>
      <c r="K1107" s="536">
        <v>2345.0</v>
      </c>
    </row>
    <row r="1108" hidden="1">
      <c r="A1108" s="531" t="s">
        <v>12756</v>
      </c>
      <c r="B1108" s="532"/>
      <c r="C1108" s="11" t="s">
        <v>11095</v>
      </c>
      <c r="D1108" s="533">
        <v>0.75</v>
      </c>
      <c r="E1108" s="533">
        <v>0.75</v>
      </c>
      <c r="F1108" s="11" t="s">
        <v>1656</v>
      </c>
      <c r="G1108" s="10"/>
      <c r="H1108" s="11" t="s">
        <v>11096</v>
      </c>
      <c r="I1108" s="10"/>
      <c r="J1108" s="540" t="s">
        <v>12757</v>
      </c>
      <c r="K1108" s="536">
        <v>2345.0</v>
      </c>
    </row>
    <row r="1109" hidden="1">
      <c r="A1109" s="531" t="s">
        <v>12758</v>
      </c>
      <c r="B1109" s="531">
        <v>6770.0</v>
      </c>
      <c r="C1109" s="11" t="s">
        <v>11095</v>
      </c>
      <c r="D1109" s="533">
        <v>0.75</v>
      </c>
      <c r="E1109" s="533">
        <v>0.75</v>
      </c>
      <c r="F1109" s="11" t="s">
        <v>1656</v>
      </c>
      <c r="G1109" s="10"/>
      <c r="H1109" s="11" t="s">
        <v>11096</v>
      </c>
      <c r="I1109" s="10"/>
      <c r="J1109" s="540" t="s">
        <v>12186</v>
      </c>
      <c r="K1109" s="536">
        <v>2345.0</v>
      </c>
    </row>
    <row r="1110" hidden="1">
      <c r="A1110" s="531" t="s">
        <v>12759</v>
      </c>
      <c r="B1110" s="532"/>
      <c r="C1110" s="11" t="s">
        <v>11095</v>
      </c>
      <c r="D1110" s="533">
        <v>0.75</v>
      </c>
      <c r="E1110" s="533">
        <v>0.75</v>
      </c>
      <c r="F1110" s="11" t="s">
        <v>1656</v>
      </c>
      <c r="G1110" s="10"/>
      <c r="H1110" s="11" t="s">
        <v>11096</v>
      </c>
      <c r="I1110" s="10"/>
      <c r="J1110" s="540" t="s">
        <v>12254</v>
      </c>
      <c r="K1110" s="536">
        <v>2345.0</v>
      </c>
    </row>
    <row r="1111" hidden="1">
      <c r="A1111" s="531" t="s">
        <v>12760</v>
      </c>
      <c r="B1111" s="532"/>
      <c r="C1111" s="11" t="s">
        <v>11095</v>
      </c>
      <c r="D1111" s="533">
        <v>0.75</v>
      </c>
      <c r="E1111" s="533">
        <v>0.75</v>
      </c>
      <c r="F1111" s="11" t="s">
        <v>1656</v>
      </c>
      <c r="G1111" s="10"/>
      <c r="H1111" s="11" t="s">
        <v>11096</v>
      </c>
      <c r="I1111" s="10"/>
      <c r="J1111" s="540" t="s">
        <v>12191</v>
      </c>
      <c r="K1111" s="536">
        <v>2345.0</v>
      </c>
    </row>
    <row r="1112" hidden="1">
      <c r="A1112" s="531" t="s">
        <v>12761</v>
      </c>
      <c r="B1112" s="531">
        <v>6133.0</v>
      </c>
      <c r="C1112" s="11" t="s">
        <v>11095</v>
      </c>
      <c r="D1112" s="533">
        <v>0.75</v>
      </c>
      <c r="E1112" s="533">
        <v>0.75</v>
      </c>
      <c r="F1112" s="11" t="s">
        <v>1656</v>
      </c>
      <c r="G1112" s="10"/>
      <c r="H1112" s="11" t="s">
        <v>11096</v>
      </c>
      <c r="I1112" s="10"/>
      <c r="J1112" s="540" t="s">
        <v>12762</v>
      </c>
      <c r="K1112" s="536">
        <v>2345.0</v>
      </c>
    </row>
    <row r="1113" hidden="1">
      <c r="A1113" s="531" t="s">
        <v>12763</v>
      </c>
      <c r="B1113" s="532"/>
      <c r="C1113" s="11" t="s">
        <v>11095</v>
      </c>
      <c r="D1113" s="533">
        <v>0.75</v>
      </c>
      <c r="E1113" s="533">
        <v>0.75</v>
      </c>
      <c r="F1113" s="11" t="s">
        <v>1656</v>
      </c>
      <c r="G1113" s="10"/>
      <c r="H1113" s="11" t="s">
        <v>11096</v>
      </c>
      <c r="I1113" s="10"/>
      <c r="J1113" s="540" t="s">
        <v>12764</v>
      </c>
      <c r="K1113" s="536">
        <v>6732.0</v>
      </c>
    </row>
    <row r="1114" hidden="1">
      <c r="A1114" s="531" t="s">
        <v>12765</v>
      </c>
      <c r="B1114" s="532"/>
      <c r="C1114" s="11" t="s">
        <v>11095</v>
      </c>
      <c r="D1114" s="533">
        <v>0.75</v>
      </c>
      <c r="E1114" s="533">
        <v>0.75</v>
      </c>
      <c r="F1114" s="11" t="s">
        <v>1656</v>
      </c>
      <c r="G1114" s="10"/>
      <c r="H1114" s="11" t="s">
        <v>11096</v>
      </c>
      <c r="I1114" s="10"/>
      <c r="J1114" s="540" t="s">
        <v>12766</v>
      </c>
      <c r="K1114" s="536">
        <v>6732.0</v>
      </c>
    </row>
    <row r="1115" hidden="1">
      <c r="A1115" s="531" t="s">
        <v>12767</v>
      </c>
      <c r="B1115" s="531">
        <v>6733.0</v>
      </c>
      <c r="C1115" s="11" t="s">
        <v>11095</v>
      </c>
      <c r="D1115" s="533">
        <v>0.75</v>
      </c>
      <c r="E1115" s="533">
        <v>0.75</v>
      </c>
      <c r="F1115" s="11" t="s">
        <v>1656</v>
      </c>
      <c r="G1115" s="10"/>
      <c r="H1115" s="11" t="s">
        <v>11096</v>
      </c>
      <c r="I1115" s="10"/>
      <c r="J1115" s="540" t="s">
        <v>12279</v>
      </c>
      <c r="K1115" s="536">
        <v>6732.0</v>
      </c>
    </row>
    <row r="1116" hidden="1">
      <c r="A1116" s="531" t="s">
        <v>12768</v>
      </c>
      <c r="B1116" s="532"/>
      <c r="C1116" s="11" t="s">
        <v>11095</v>
      </c>
      <c r="D1116" s="533">
        <v>0.75</v>
      </c>
      <c r="E1116" s="533">
        <v>0.75</v>
      </c>
      <c r="F1116" s="11" t="s">
        <v>1656</v>
      </c>
      <c r="G1116" s="10"/>
      <c r="H1116" s="11" t="s">
        <v>11096</v>
      </c>
      <c r="I1116" s="10"/>
      <c r="J1116" s="540" t="s">
        <v>12769</v>
      </c>
      <c r="K1116" s="536">
        <v>6732.0</v>
      </c>
    </row>
    <row r="1117" hidden="1">
      <c r="A1117" s="531" t="s">
        <v>12770</v>
      </c>
      <c r="B1117" s="532"/>
      <c r="C1117" s="11" t="s">
        <v>11095</v>
      </c>
      <c r="D1117" s="533">
        <v>0.75</v>
      </c>
      <c r="E1117" s="533">
        <v>0.75</v>
      </c>
      <c r="F1117" s="11" t="s">
        <v>1656</v>
      </c>
      <c r="G1117" s="10"/>
      <c r="H1117" s="11" t="s">
        <v>11096</v>
      </c>
      <c r="I1117" s="10"/>
      <c r="J1117" s="540" t="s">
        <v>12771</v>
      </c>
      <c r="K1117" s="536">
        <v>2345.0</v>
      </c>
    </row>
    <row r="1118" hidden="1">
      <c r="A1118" s="531" t="s">
        <v>12772</v>
      </c>
      <c r="B1118" s="532"/>
      <c r="C1118" s="11" t="s">
        <v>11095</v>
      </c>
      <c r="D1118" s="533">
        <v>0.75</v>
      </c>
      <c r="E1118" s="533">
        <v>0.75</v>
      </c>
      <c r="F1118" s="11" t="s">
        <v>1656</v>
      </c>
      <c r="G1118" s="10"/>
      <c r="H1118" s="11" t="s">
        <v>11096</v>
      </c>
      <c r="I1118" s="10"/>
      <c r="J1118" s="540" t="s">
        <v>12773</v>
      </c>
      <c r="K1118" s="536">
        <v>2345.0</v>
      </c>
    </row>
    <row r="1119" hidden="1">
      <c r="A1119" s="531" t="s">
        <v>12774</v>
      </c>
      <c r="B1119" s="531">
        <v>2345.0</v>
      </c>
      <c r="C1119" s="11" t="s">
        <v>11095</v>
      </c>
      <c r="D1119" s="533">
        <v>0.9</v>
      </c>
      <c r="E1119" s="533">
        <v>0.9</v>
      </c>
      <c r="F1119" s="11" t="s">
        <v>1656</v>
      </c>
      <c r="G1119" s="10"/>
      <c r="H1119" s="11" t="s">
        <v>11096</v>
      </c>
      <c r="I1119" s="10"/>
      <c r="J1119" s="540" t="s">
        <v>12086</v>
      </c>
      <c r="K1119" s="536">
        <v>2345.0</v>
      </c>
    </row>
    <row r="1120" hidden="1">
      <c r="A1120" s="531" t="s">
        <v>12775</v>
      </c>
      <c r="B1120" s="532"/>
      <c r="C1120" s="11" t="s">
        <v>11095</v>
      </c>
      <c r="D1120" s="533">
        <v>0.75</v>
      </c>
      <c r="E1120" s="533">
        <v>0.75</v>
      </c>
      <c r="F1120" s="11" t="s">
        <v>1656</v>
      </c>
      <c r="G1120" s="10"/>
      <c r="H1120" s="11" t="s">
        <v>11096</v>
      </c>
      <c r="I1120" s="10"/>
      <c r="J1120" s="540" t="s">
        <v>12776</v>
      </c>
      <c r="K1120" s="536">
        <v>2345.0</v>
      </c>
    </row>
    <row r="1121" hidden="1">
      <c r="A1121" s="531" t="s">
        <v>12777</v>
      </c>
      <c r="B1121" s="532"/>
      <c r="C1121" s="11" t="s">
        <v>11095</v>
      </c>
      <c r="D1121" s="533">
        <v>0.75</v>
      </c>
      <c r="E1121" s="533">
        <v>0.75</v>
      </c>
      <c r="F1121" s="11" t="s">
        <v>1656</v>
      </c>
      <c r="G1121" s="10"/>
      <c r="H1121" s="11" t="s">
        <v>11096</v>
      </c>
      <c r="I1121" s="10"/>
      <c r="J1121" s="540" t="s">
        <v>11480</v>
      </c>
      <c r="K1121" s="536">
        <v>2345.0</v>
      </c>
    </row>
    <row r="1122" hidden="1">
      <c r="A1122" s="531" t="s">
        <v>12778</v>
      </c>
      <c r="B1122" s="532"/>
      <c r="C1122" s="11" t="s">
        <v>11095</v>
      </c>
      <c r="D1122" s="533">
        <v>0.75</v>
      </c>
      <c r="E1122" s="533">
        <v>0.75</v>
      </c>
      <c r="F1122" s="11" t="s">
        <v>1656</v>
      </c>
      <c r="G1122" s="10"/>
      <c r="H1122" s="11" t="s">
        <v>11096</v>
      </c>
      <c r="I1122" s="10"/>
      <c r="J1122" s="540" t="s">
        <v>12779</v>
      </c>
      <c r="K1122" s="536">
        <v>2345.0</v>
      </c>
    </row>
    <row r="1123" hidden="1">
      <c r="A1123" s="531" t="s">
        <v>12780</v>
      </c>
      <c r="B1123" s="532"/>
      <c r="C1123" s="11" t="s">
        <v>11095</v>
      </c>
      <c r="D1123" s="533">
        <v>0.75</v>
      </c>
      <c r="E1123" s="533">
        <v>0.75</v>
      </c>
      <c r="F1123" s="11" t="s">
        <v>1656</v>
      </c>
      <c r="G1123" s="10"/>
      <c r="H1123" s="11" t="s">
        <v>11096</v>
      </c>
      <c r="I1123" s="10"/>
      <c r="J1123" s="540" t="s">
        <v>12106</v>
      </c>
      <c r="K1123" s="536">
        <v>2345.0</v>
      </c>
    </row>
    <row r="1124" hidden="1">
      <c r="A1124" s="531" t="s">
        <v>12781</v>
      </c>
      <c r="B1124" s="532"/>
      <c r="C1124" s="11" t="s">
        <v>11095</v>
      </c>
      <c r="D1124" s="533">
        <v>0.75</v>
      </c>
      <c r="E1124" s="533">
        <v>0.75</v>
      </c>
      <c r="F1124" s="11" t="s">
        <v>1656</v>
      </c>
      <c r="G1124" s="10"/>
      <c r="H1124" s="11" t="s">
        <v>11096</v>
      </c>
      <c r="I1124" s="10"/>
      <c r="J1124" s="540" t="s">
        <v>11954</v>
      </c>
      <c r="K1124" s="536">
        <v>2345.0</v>
      </c>
    </row>
    <row r="1125" hidden="1">
      <c r="A1125" s="531" t="s">
        <v>12782</v>
      </c>
      <c r="B1125" s="532"/>
      <c r="C1125" s="11" t="s">
        <v>11095</v>
      </c>
      <c r="D1125" s="533">
        <v>0.75</v>
      </c>
      <c r="E1125" s="533">
        <v>0.75</v>
      </c>
      <c r="F1125" s="11" t="s">
        <v>1656</v>
      </c>
      <c r="G1125" s="10"/>
      <c r="H1125" s="11" t="s">
        <v>11096</v>
      </c>
      <c r="I1125" s="10"/>
      <c r="J1125" s="540" t="s">
        <v>11368</v>
      </c>
      <c r="K1125" s="536">
        <v>2345.0</v>
      </c>
    </row>
    <row r="1126" hidden="1">
      <c r="A1126" s="531" t="s">
        <v>12783</v>
      </c>
      <c r="B1126" s="532"/>
      <c r="C1126" s="11" t="s">
        <v>11095</v>
      </c>
      <c r="D1126" s="533">
        <v>0.75</v>
      </c>
      <c r="E1126" s="533">
        <v>0.75</v>
      </c>
      <c r="F1126" s="11" t="s">
        <v>1656</v>
      </c>
      <c r="G1126" s="10"/>
      <c r="H1126" s="11" t="s">
        <v>11096</v>
      </c>
      <c r="I1126" s="10"/>
      <c r="J1126" s="540" t="s">
        <v>11543</v>
      </c>
      <c r="K1126" s="536">
        <v>2345.0</v>
      </c>
    </row>
    <row r="1127" hidden="1">
      <c r="A1127" s="531" t="s">
        <v>12784</v>
      </c>
      <c r="B1127" s="532"/>
      <c r="C1127" s="11" t="s">
        <v>11095</v>
      </c>
      <c r="D1127" s="533">
        <v>0.75</v>
      </c>
      <c r="E1127" s="533">
        <v>0.75</v>
      </c>
      <c r="F1127" s="11" t="s">
        <v>1656</v>
      </c>
      <c r="G1127" s="10"/>
      <c r="H1127" s="11" t="s">
        <v>11096</v>
      </c>
      <c r="I1127" s="10"/>
      <c r="J1127" s="540" t="s">
        <v>11541</v>
      </c>
      <c r="K1127" s="536">
        <v>2345.0</v>
      </c>
    </row>
    <row r="1128" hidden="1">
      <c r="A1128" s="531" t="s">
        <v>12785</v>
      </c>
      <c r="B1128" s="532"/>
      <c r="C1128" s="11" t="s">
        <v>11095</v>
      </c>
      <c r="D1128" s="533">
        <v>0.75</v>
      </c>
      <c r="E1128" s="533">
        <v>0.75</v>
      </c>
      <c r="F1128" s="11" t="s">
        <v>1656</v>
      </c>
      <c r="G1128" s="10"/>
      <c r="H1128" s="11" t="s">
        <v>11096</v>
      </c>
      <c r="I1128" s="10"/>
      <c r="J1128" s="536" t="s">
        <v>12786</v>
      </c>
      <c r="K1128" s="536">
        <v>7055.0</v>
      </c>
    </row>
    <row r="1129" hidden="1">
      <c r="A1129" s="531" t="s">
        <v>12787</v>
      </c>
      <c r="B1129" s="532"/>
      <c r="C1129" s="11" t="s">
        <v>11095</v>
      </c>
      <c r="D1129" s="533">
        <v>0.75</v>
      </c>
      <c r="E1129" s="533">
        <v>0.75</v>
      </c>
      <c r="F1129" s="11" t="s">
        <v>1656</v>
      </c>
      <c r="G1129" s="10"/>
      <c r="H1129" s="11" t="s">
        <v>11096</v>
      </c>
      <c r="I1129" s="10"/>
      <c r="J1129" s="540" t="s">
        <v>12177</v>
      </c>
      <c r="K1129" s="536">
        <v>7010.0</v>
      </c>
    </row>
    <row r="1130" hidden="1">
      <c r="A1130" s="531" t="s">
        <v>12788</v>
      </c>
      <c r="B1130" s="532"/>
      <c r="C1130" s="11" t="s">
        <v>11095</v>
      </c>
      <c r="D1130" s="533">
        <v>0.75</v>
      </c>
      <c r="E1130" s="533">
        <v>0.75</v>
      </c>
      <c r="F1130" s="11" t="s">
        <v>1656</v>
      </c>
      <c r="G1130" s="10"/>
      <c r="H1130" s="11" t="s">
        <v>11096</v>
      </c>
      <c r="I1130" s="10"/>
      <c r="J1130" s="540" t="s">
        <v>12789</v>
      </c>
      <c r="K1130" s="536">
        <v>8244.0</v>
      </c>
    </row>
    <row r="1131" hidden="1">
      <c r="A1131" s="531" t="s">
        <v>12790</v>
      </c>
      <c r="B1131" s="532"/>
      <c r="C1131" s="11" t="s">
        <v>11095</v>
      </c>
      <c r="D1131" s="533">
        <v>0.75</v>
      </c>
      <c r="E1131" s="533">
        <v>0.75</v>
      </c>
      <c r="F1131" s="11" t="s">
        <v>1656</v>
      </c>
      <c r="G1131" s="10"/>
      <c r="H1131" s="11" t="s">
        <v>11096</v>
      </c>
      <c r="I1131" s="10"/>
      <c r="J1131" s="540" t="s">
        <v>11356</v>
      </c>
      <c r="K1131" s="536">
        <v>189.0</v>
      </c>
    </row>
    <row r="1132" hidden="1">
      <c r="A1132" s="531" t="s">
        <v>12791</v>
      </c>
      <c r="B1132" s="532"/>
      <c r="C1132" s="11" t="s">
        <v>11095</v>
      </c>
      <c r="D1132" s="533">
        <v>0.75</v>
      </c>
      <c r="E1132" s="533">
        <v>0.75</v>
      </c>
      <c r="F1132" s="11" t="s">
        <v>1656</v>
      </c>
      <c r="G1132" s="10"/>
      <c r="H1132" s="11" t="s">
        <v>11096</v>
      </c>
      <c r="I1132" s="10"/>
      <c r="J1132" s="540" t="s">
        <v>11901</v>
      </c>
      <c r="K1132" s="536">
        <v>189.0</v>
      </c>
    </row>
    <row r="1133" hidden="1">
      <c r="A1133" s="531" t="s">
        <v>12792</v>
      </c>
      <c r="B1133" s="532"/>
      <c r="C1133" s="11" t="s">
        <v>11095</v>
      </c>
      <c r="D1133" s="533">
        <v>0.75</v>
      </c>
      <c r="E1133" s="533">
        <v>0.75</v>
      </c>
      <c r="F1133" s="11" t="s">
        <v>1656</v>
      </c>
      <c r="G1133" s="10"/>
      <c r="H1133" s="11" t="s">
        <v>11096</v>
      </c>
      <c r="I1133" s="10"/>
      <c r="J1133" s="540" t="s">
        <v>12204</v>
      </c>
      <c r="K1133" s="536">
        <v>189.0</v>
      </c>
    </row>
    <row r="1134" hidden="1">
      <c r="A1134" s="531" t="s">
        <v>12793</v>
      </c>
      <c r="B1134" s="532"/>
      <c r="C1134" s="11" t="s">
        <v>11095</v>
      </c>
      <c r="D1134" s="533">
        <v>0.75</v>
      </c>
      <c r="E1134" s="533">
        <v>0.75</v>
      </c>
      <c r="F1134" s="11" t="s">
        <v>1656</v>
      </c>
      <c r="G1134" s="10"/>
      <c r="H1134" s="11" t="s">
        <v>11096</v>
      </c>
      <c r="I1134" s="10"/>
      <c r="J1134" s="540" t="s">
        <v>12199</v>
      </c>
      <c r="K1134" s="536">
        <v>189.0</v>
      </c>
    </row>
    <row r="1135" hidden="1">
      <c r="A1135" s="531" t="s">
        <v>12794</v>
      </c>
      <c r="B1135" s="532"/>
      <c r="C1135" s="11" t="s">
        <v>11095</v>
      </c>
      <c r="D1135" s="533">
        <v>0.75</v>
      </c>
      <c r="E1135" s="533">
        <v>0.75</v>
      </c>
      <c r="F1135" s="11" t="s">
        <v>1656</v>
      </c>
      <c r="G1135" s="10"/>
      <c r="H1135" s="11" t="s">
        <v>11096</v>
      </c>
      <c r="I1135" s="10"/>
      <c r="J1135" s="540" t="s">
        <v>12795</v>
      </c>
      <c r="K1135" s="536">
        <v>195.0</v>
      </c>
    </row>
    <row r="1136" hidden="1">
      <c r="A1136" s="531" t="s">
        <v>12796</v>
      </c>
      <c r="B1136" s="532"/>
      <c r="C1136" s="11" t="s">
        <v>11095</v>
      </c>
      <c r="D1136" s="533">
        <v>0.75</v>
      </c>
      <c r="E1136" s="533">
        <v>0.75</v>
      </c>
      <c r="F1136" s="11" t="s">
        <v>1656</v>
      </c>
      <c r="G1136" s="10"/>
      <c r="H1136" s="11" t="s">
        <v>11096</v>
      </c>
      <c r="I1136" s="10"/>
      <c r="J1136" s="540" t="s">
        <v>11467</v>
      </c>
      <c r="K1136" s="536">
        <v>195.0</v>
      </c>
    </row>
    <row r="1137" hidden="1">
      <c r="A1137" s="531" t="s">
        <v>12797</v>
      </c>
      <c r="B1137" s="532"/>
      <c r="C1137" s="11" t="s">
        <v>11095</v>
      </c>
      <c r="D1137" s="533">
        <v>0.75</v>
      </c>
      <c r="E1137" s="533">
        <v>0.75</v>
      </c>
      <c r="F1137" s="11" t="s">
        <v>1656</v>
      </c>
      <c r="G1137" s="10"/>
      <c r="H1137" s="11" t="s">
        <v>11096</v>
      </c>
      <c r="I1137" s="10"/>
      <c r="J1137" s="540" t="s">
        <v>12798</v>
      </c>
      <c r="K1137" s="536">
        <v>7147.0</v>
      </c>
    </row>
    <row r="1138" hidden="1">
      <c r="A1138" s="531" t="s">
        <v>12799</v>
      </c>
      <c r="B1138" s="532"/>
      <c r="C1138" s="11" t="s">
        <v>11095</v>
      </c>
      <c r="D1138" s="533">
        <v>0.75</v>
      </c>
      <c r="E1138" s="533">
        <v>0.75</v>
      </c>
      <c r="F1138" s="11" t="s">
        <v>1656</v>
      </c>
      <c r="G1138" s="10"/>
      <c r="H1138" s="11" t="s">
        <v>11096</v>
      </c>
      <c r="I1138" s="10"/>
      <c r="J1138" s="540" t="s">
        <v>11971</v>
      </c>
      <c r="K1138" s="536">
        <v>7168.0</v>
      </c>
    </row>
    <row r="1139" hidden="1">
      <c r="A1139" s="531" t="s">
        <v>12800</v>
      </c>
      <c r="B1139" s="532"/>
      <c r="C1139" s="11" t="s">
        <v>11095</v>
      </c>
      <c r="D1139" s="533">
        <v>0.75</v>
      </c>
      <c r="E1139" s="533">
        <v>0.75</v>
      </c>
      <c r="F1139" s="11" t="s">
        <v>1656</v>
      </c>
      <c r="G1139" s="10"/>
      <c r="H1139" s="11" t="s">
        <v>11096</v>
      </c>
      <c r="I1139" s="10"/>
      <c r="J1139" s="540" t="s">
        <v>12290</v>
      </c>
      <c r="K1139" s="536">
        <v>7168.0</v>
      </c>
    </row>
    <row r="1140" hidden="1">
      <c r="A1140" s="531" t="s">
        <v>12801</v>
      </c>
      <c r="B1140" s="532"/>
      <c r="C1140" s="11" t="s">
        <v>11095</v>
      </c>
      <c r="D1140" s="533">
        <v>0.75</v>
      </c>
      <c r="E1140" s="533">
        <v>0.75</v>
      </c>
      <c r="F1140" s="11" t="s">
        <v>1656</v>
      </c>
      <c r="G1140" s="10"/>
      <c r="H1140" s="11" t="s">
        <v>11096</v>
      </c>
      <c r="I1140" s="10"/>
      <c r="J1140" s="540" t="s">
        <v>11594</v>
      </c>
      <c r="K1140" s="536">
        <v>11916.0</v>
      </c>
    </row>
    <row r="1141" hidden="1">
      <c r="A1141" s="531" t="s">
        <v>12802</v>
      </c>
      <c r="B1141" s="532"/>
      <c r="C1141" s="11" t="s">
        <v>11095</v>
      </c>
      <c r="D1141" s="533">
        <v>0.75</v>
      </c>
      <c r="E1141" s="533">
        <v>0.75</v>
      </c>
      <c r="F1141" s="11" t="s">
        <v>1656</v>
      </c>
      <c r="G1141" s="10"/>
      <c r="H1141" s="11" t="s">
        <v>11096</v>
      </c>
      <c r="I1141" s="10"/>
      <c r="J1141" s="540" t="s">
        <v>12803</v>
      </c>
      <c r="K1141" s="536">
        <v>6770.0</v>
      </c>
    </row>
    <row r="1142" hidden="1">
      <c r="A1142" s="531" t="s">
        <v>12804</v>
      </c>
      <c r="B1142" s="532"/>
      <c r="C1142" s="11" t="s">
        <v>11095</v>
      </c>
      <c r="D1142" s="533">
        <v>0.75</v>
      </c>
      <c r="E1142" s="533">
        <v>0.75</v>
      </c>
      <c r="F1142" s="11" t="s">
        <v>1656</v>
      </c>
      <c r="G1142" s="10"/>
      <c r="H1142" s="11" t="s">
        <v>11096</v>
      </c>
      <c r="I1142" s="10"/>
      <c r="J1142" s="540" t="s">
        <v>12805</v>
      </c>
      <c r="K1142" s="536">
        <v>6770.0</v>
      </c>
    </row>
    <row r="1143" hidden="1">
      <c r="A1143" s="531" t="s">
        <v>12806</v>
      </c>
      <c r="B1143" s="532"/>
      <c r="C1143" s="11" t="s">
        <v>11095</v>
      </c>
      <c r="D1143" s="533">
        <v>0.75</v>
      </c>
      <c r="E1143" s="533">
        <v>0.75</v>
      </c>
      <c r="F1143" s="11" t="s">
        <v>1656</v>
      </c>
      <c r="G1143" s="10"/>
      <c r="H1143" s="11" t="s">
        <v>11096</v>
      </c>
      <c r="I1143" s="10"/>
      <c r="J1143" s="540" t="s">
        <v>12807</v>
      </c>
      <c r="K1143" s="536">
        <v>6770.0</v>
      </c>
    </row>
    <row r="1144" hidden="1">
      <c r="A1144" s="531" t="s">
        <v>12808</v>
      </c>
      <c r="B1144" s="532"/>
      <c r="C1144" s="11" t="s">
        <v>11095</v>
      </c>
      <c r="D1144" s="533">
        <v>0.75</v>
      </c>
      <c r="E1144" s="533">
        <v>0.75</v>
      </c>
      <c r="F1144" s="11" t="s">
        <v>1656</v>
      </c>
      <c r="G1144" s="10"/>
      <c r="H1144" s="11" t="s">
        <v>11096</v>
      </c>
      <c r="I1144" s="10"/>
      <c r="J1144" s="540" t="s">
        <v>12809</v>
      </c>
      <c r="K1144" s="536">
        <v>8244.0</v>
      </c>
    </row>
    <row r="1145" hidden="1">
      <c r="A1145" s="531" t="s">
        <v>12810</v>
      </c>
      <c r="B1145" s="532"/>
      <c r="C1145" s="11" t="s">
        <v>11095</v>
      </c>
      <c r="D1145" s="533">
        <v>0.75</v>
      </c>
      <c r="E1145" s="533">
        <v>0.75</v>
      </c>
      <c r="F1145" s="11" t="s">
        <v>1656</v>
      </c>
      <c r="G1145" s="10"/>
      <c r="H1145" s="11" t="s">
        <v>11096</v>
      </c>
      <c r="I1145" s="10"/>
      <c r="J1145" s="540" t="s">
        <v>12277</v>
      </c>
      <c r="K1145" s="536">
        <v>6866.0</v>
      </c>
    </row>
    <row r="1146" hidden="1">
      <c r="A1146" s="531" t="s">
        <v>12811</v>
      </c>
      <c r="B1146" s="532"/>
      <c r="C1146" s="11" t="s">
        <v>11095</v>
      </c>
      <c r="D1146" s="533">
        <v>0.75</v>
      </c>
      <c r="E1146" s="533">
        <v>0.75</v>
      </c>
      <c r="F1146" s="11" t="s">
        <v>1656</v>
      </c>
      <c r="G1146" s="10"/>
      <c r="H1146" s="11" t="s">
        <v>11096</v>
      </c>
      <c r="I1146" s="10"/>
      <c r="J1146" s="540" t="s">
        <v>11942</v>
      </c>
      <c r="K1146" s="536">
        <v>7033.0</v>
      </c>
    </row>
    <row r="1147" hidden="1">
      <c r="A1147" s="531" t="s">
        <v>12812</v>
      </c>
      <c r="B1147" s="532"/>
      <c r="C1147" s="11" t="s">
        <v>11095</v>
      </c>
      <c r="D1147" s="533">
        <v>0.75</v>
      </c>
      <c r="E1147" s="533">
        <v>0.75</v>
      </c>
      <c r="F1147" s="11" t="s">
        <v>1656</v>
      </c>
      <c r="G1147" s="10"/>
      <c r="H1147" s="11" t="s">
        <v>11096</v>
      </c>
      <c r="I1147" s="10"/>
      <c r="J1147" s="540" t="s">
        <v>11405</v>
      </c>
      <c r="K1147" s="536">
        <v>7168.0</v>
      </c>
    </row>
    <row r="1148" hidden="1">
      <c r="A1148" s="531" t="s">
        <v>12813</v>
      </c>
      <c r="B1148" s="532"/>
      <c r="C1148" s="11" t="s">
        <v>11095</v>
      </c>
      <c r="D1148" s="533">
        <v>0.75</v>
      </c>
      <c r="E1148" s="533">
        <v>0.75</v>
      </c>
      <c r="F1148" s="11" t="s">
        <v>1656</v>
      </c>
      <c r="G1148" s="10"/>
      <c r="H1148" s="11" t="s">
        <v>11096</v>
      </c>
      <c r="I1148" s="10"/>
      <c r="J1148" s="540" t="s">
        <v>11361</v>
      </c>
      <c r="K1148" s="536">
        <v>7104.0</v>
      </c>
    </row>
    <row r="1149" hidden="1">
      <c r="A1149" s="531" t="s">
        <v>12814</v>
      </c>
      <c r="B1149" s="532"/>
      <c r="C1149" s="11" t="s">
        <v>11095</v>
      </c>
      <c r="D1149" s="533">
        <v>0.75</v>
      </c>
      <c r="E1149" s="533">
        <v>0.75</v>
      </c>
      <c r="F1149" s="11" t="s">
        <v>1656</v>
      </c>
      <c r="G1149" s="10"/>
      <c r="H1149" s="11" t="s">
        <v>11096</v>
      </c>
      <c r="I1149" s="10"/>
      <c r="J1149" s="540" t="s">
        <v>12815</v>
      </c>
      <c r="K1149" s="536">
        <v>6660.0</v>
      </c>
    </row>
    <row r="1150" hidden="1">
      <c r="A1150" s="531" t="s">
        <v>12816</v>
      </c>
      <c r="B1150" s="532"/>
      <c r="C1150" s="11" t="s">
        <v>11095</v>
      </c>
      <c r="D1150" s="533">
        <v>0.75</v>
      </c>
      <c r="E1150" s="533">
        <v>0.75</v>
      </c>
      <c r="F1150" s="11" t="s">
        <v>1656</v>
      </c>
      <c r="G1150" s="10"/>
      <c r="H1150" s="11" t="s">
        <v>11096</v>
      </c>
      <c r="I1150" s="10"/>
      <c r="J1150" s="540" t="s">
        <v>11983</v>
      </c>
      <c r="K1150" s="536">
        <v>7186.0</v>
      </c>
    </row>
    <row r="1151" hidden="1">
      <c r="A1151" s="531" t="s">
        <v>12817</v>
      </c>
      <c r="B1151" s="532"/>
      <c r="C1151" s="11" t="s">
        <v>11095</v>
      </c>
      <c r="D1151" s="533">
        <v>0.75</v>
      </c>
      <c r="E1151" s="533">
        <v>0.75</v>
      </c>
      <c r="F1151" s="11" t="s">
        <v>1656</v>
      </c>
      <c r="G1151" s="10"/>
      <c r="H1151" s="11" t="s">
        <v>11096</v>
      </c>
      <c r="I1151" s="10"/>
      <c r="J1151" s="540" t="s">
        <v>12818</v>
      </c>
      <c r="K1151" s="536">
        <v>6557.0</v>
      </c>
    </row>
    <row r="1152" hidden="1">
      <c r="A1152" s="531" t="s">
        <v>12819</v>
      </c>
      <c r="B1152" s="532"/>
      <c r="C1152" s="11" t="s">
        <v>11095</v>
      </c>
      <c r="D1152" s="533">
        <v>0.75</v>
      </c>
      <c r="E1152" s="533">
        <v>0.75</v>
      </c>
      <c r="F1152" s="11" t="s">
        <v>1656</v>
      </c>
      <c r="G1152" s="10"/>
      <c r="H1152" s="11" t="s">
        <v>11096</v>
      </c>
      <c r="I1152" s="10"/>
      <c r="J1152" s="540" t="s">
        <v>11839</v>
      </c>
      <c r="K1152" s="536">
        <v>7092.0</v>
      </c>
    </row>
    <row r="1153" hidden="1">
      <c r="A1153" s="531" t="s">
        <v>12820</v>
      </c>
      <c r="B1153" s="532"/>
      <c r="C1153" s="11" t="s">
        <v>11095</v>
      </c>
      <c r="D1153" s="533">
        <v>0.75</v>
      </c>
      <c r="E1153" s="533">
        <v>0.75</v>
      </c>
      <c r="F1153" s="11" t="s">
        <v>1656</v>
      </c>
      <c r="G1153" s="10"/>
      <c r="H1153" s="11" t="s">
        <v>11096</v>
      </c>
      <c r="I1153" s="10"/>
      <c r="J1153" s="540" t="s">
        <v>12821</v>
      </c>
      <c r="K1153" s="536">
        <v>7092.0</v>
      </c>
    </row>
    <row r="1154" hidden="1">
      <c r="A1154" s="531" t="s">
        <v>12822</v>
      </c>
      <c r="B1154" s="532"/>
      <c r="C1154" s="11" t="s">
        <v>11095</v>
      </c>
      <c r="D1154" s="533">
        <v>0.75</v>
      </c>
      <c r="E1154" s="533">
        <v>0.75</v>
      </c>
      <c r="F1154" s="11" t="s">
        <v>1656</v>
      </c>
      <c r="G1154" s="10"/>
      <c r="H1154" s="11" t="s">
        <v>11096</v>
      </c>
      <c r="I1154" s="10"/>
      <c r="J1154" s="540" t="s">
        <v>12823</v>
      </c>
      <c r="K1154" s="536">
        <v>7092.0</v>
      </c>
    </row>
    <row r="1155" hidden="1">
      <c r="A1155" s="531" t="s">
        <v>12824</v>
      </c>
      <c r="B1155" s="532"/>
      <c r="C1155" s="11" t="s">
        <v>11095</v>
      </c>
      <c r="D1155" s="533">
        <v>0.75</v>
      </c>
      <c r="E1155" s="533">
        <v>0.75</v>
      </c>
      <c r="F1155" s="11" t="s">
        <v>1656</v>
      </c>
      <c r="G1155" s="10"/>
      <c r="H1155" s="11" t="s">
        <v>11096</v>
      </c>
      <c r="I1155" s="10"/>
      <c r="J1155" s="540" t="s">
        <v>11810</v>
      </c>
      <c r="K1155" s="536">
        <v>285.0</v>
      </c>
    </row>
    <row r="1156" hidden="1">
      <c r="A1156" s="531" t="s">
        <v>12825</v>
      </c>
      <c r="B1156" s="532"/>
      <c r="C1156" s="11" t="s">
        <v>11095</v>
      </c>
      <c r="D1156" s="533">
        <v>0.75</v>
      </c>
      <c r="E1156" s="533">
        <v>0.75</v>
      </c>
      <c r="F1156" s="11" t="s">
        <v>1656</v>
      </c>
      <c r="G1156" s="10"/>
      <c r="H1156" s="11" t="s">
        <v>11096</v>
      </c>
      <c r="I1156" s="10"/>
      <c r="J1156" s="540" t="s">
        <v>12826</v>
      </c>
      <c r="K1156" s="536">
        <v>285.0</v>
      </c>
    </row>
    <row r="1157" hidden="1">
      <c r="A1157" s="531" t="s">
        <v>12827</v>
      </c>
      <c r="B1157" s="532"/>
      <c r="C1157" s="11" t="s">
        <v>11095</v>
      </c>
      <c r="D1157" s="533">
        <v>0.75</v>
      </c>
      <c r="E1157" s="533">
        <v>0.75</v>
      </c>
      <c r="F1157" s="11" t="s">
        <v>1656</v>
      </c>
      <c r="G1157" s="10"/>
      <c r="H1157" s="11" t="s">
        <v>11096</v>
      </c>
      <c r="I1157" s="10"/>
      <c r="J1157" s="540" t="s">
        <v>12828</v>
      </c>
      <c r="K1157" s="536">
        <v>285.0</v>
      </c>
    </row>
    <row r="1158" hidden="1">
      <c r="A1158" s="531" t="s">
        <v>12829</v>
      </c>
      <c r="B1158" s="532"/>
      <c r="C1158" s="11" t="s">
        <v>11095</v>
      </c>
      <c r="D1158" s="533">
        <v>0.75</v>
      </c>
      <c r="E1158" s="533">
        <v>0.75</v>
      </c>
      <c r="F1158" s="11" t="s">
        <v>1656</v>
      </c>
      <c r="G1158" s="10"/>
      <c r="H1158" s="11" t="s">
        <v>11096</v>
      </c>
      <c r="I1158" s="10"/>
      <c r="J1158" s="540" t="s">
        <v>12830</v>
      </c>
      <c r="K1158" s="536">
        <v>930.0</v>
      </c>
    </row>
    <row r="1159" hidden="1">
      <c r="A1159" s="531" t="s">
        <v>12831</v>
      </c>
      <c r="B1159" s="532"/>
      <c r="C1159" s="11" t="s">
        <v>11095</v>
      </c>
      <c r="D1159" s="533">
        <v>0.75</v>
      </c>
      <c r="E1159" s="533">
        <v>0.75</v>
      </c>
      <c r="F1159" s="11" t="s">
        <v>1656</v>
      </c>
      <c r="G1159" s="10"/>
      <c r="H1159" s="11" t="s">
        <v>11096</v>
      </c>
      <c r="I1159" s="10"/>
      <c r="J1159" s="540" t="s">
        <v>11043</v>
      </c>
      <c r="K1159" s="536">
        <v>84.0</v>
      </c>
    </row>
    <row r="1160" hidden="1">
      <c r="A1160" s="531" t="s">
        <v>12832</v>
      </c>
      <c r="B1160" s="532"/>
      <c r="C1160" s="11" t="s">
        <v>11095</v>
      </c>
      <c r="D1160" s="533">
        <v>0.75</v>
      </c>
      <c r="E1160" s="533">
        <v>0.75</v>
      </c>
      <c r="F1160" s="11" t="s">
        <v>1656</v>
      </c>
      <c r="G1160" s="10"/>
      <c r="H1160" s="11" t="s">
        <v>11096</v>
      </c>
      <c r="I1160" s="10"/>
      <c r="J1160" s="540" t="s">
        <v>11045</v>
      </c>
      <c r="K1160" s="536">
        <v>84.0</v>
      </c>
    </row>
    <row r="1161" hidden="1">
      <c r="A1161" s="531" t="s">
        <v>12833</v>
      </c>
      <c r="B1161" s="532"/>
      <c r="C1161" s="11" t="s">
        <v>11095</v>
      </c>
      <c r="D1161" s="533">
        <v>0.75</v>
      </c>
      <c r="E1161" s="533">
        <v>0.75</v>
      </c>
      <c r="F1161" s="11" t="s">
        <v>1656</v>
      </c>
      <c r="G1161" s="10"/>
      <c r="H1161" s="11" t="s">
        <v>11096</v>
      </c>
      <c r="I1161" s="10"/>
      <c r="J1161" s="540" t="s">
        <v>11048</v>
      </c>
      <c r="K1161" s="536">
        <v>6671.0</v>
      </c>
    </row>
    <row r="1162" hidden="1">
      <c r="A1162" s="531" t="s">
        <v>12834</v>
      </c>
      <c r="B1162" s="532"/>
      <c r="C1162" s="11" t="s">
        <v>11095</v>
      </c>
      <c r="D1162" s="533">
        <v>0.75</v>
      </c>
      <c r="E1162" s="533">
        <v>0.75</v>
      </c>
      <c r="F1162" s="11" t="s">
        <v>1656</v>
      </c>
      <c r="G1162" s="10"/>
      <c r="H1162" s="11" t="s">
        <v>11096</v>
      </c>
      <c r="I1162" s="10"/>
      <c r="J1162" s="540" t="s">
        <v>11074</v>
      </c>
      <c r="K1162" s="536">
        <v>7124.0</v>
      </c>
    </row>
    <row r="1163" hidden="1">
      <c r="A1163" s="531" t="s">
        <v>12835</v>
      </c>
      <c r="B1163" s="532"/>
      <c r="C1163" s="11" t="s">
        <v>11095</v>
      </c>
      <c r="D1163" s="533">
        <v>0.75</v>
      </c>
      <c r="E1163" s="533">
        <v>0.75</v>
      </c>
      <c r="F1163" s="11" t="s">
        <v>1656</v>
      </c>
      <c r="G1163" s="10"/>
      <c r="H1163" s="11" t="s">
        <v>11096</v>
      </c>
      <c r="I1163" s="10"/>
      <c r="J1163" s="540" t="s">
        <v>12237</v>
      </c>
      <c r="K1163" s="536">
        <v>6133.0</v>
      </c>
    </row>
    <row r="1164" hidden="1">
      <c r="A1164" s="531" t="s">
        <v>12836</v>
      </c>
      <c r="B1164" s="532"/>
      <c r="C1164" s="11" t="s">
        <v>11095</v>
      </c>
      <c r="D1164" s="533">
        <v>0.75</v>
      </c>
      <c r="E1164" s="533">
        <v>0.75</v>
      </c>
      <c r="F1164" s="11" t="s">
        <v>1656</v>
      </c>
      <c r="G1164" s="10"/>
      <c r="H1164" s="11" t="s">
        <v>11096</v>
      </c>
      <c r="I1164" s="10"/>
      <c r="J1164" s="540" t="s">
        <v>11625</v>
      </c>
      <c r="K1164" s="536">
        <v>6133.0</v>
      </c>
    </row>
    <row r="1165" hidden="1">
      <c r="A1165" s="531" t="s">
        <v>12837</v>
      </c>
      <c r="B1165" s="532"/>
      <c r="C1165" s="11" t="s">
        <v>11095</v>
      </c>
      <c r="D1165" s="533">
        <v>0.75</v>
      </c>
      <c r="E1165" s="533">
        <v>0.75</v>
      </c>
      <c r="F1165" s="11" t="s">
        <v>1656</v>
      </c>
      <c r="G1165" s="10"/>
      <c r="H1165" s="11" t="s">
        <v>11096</v>
      </c>
      <c r="I1165" s="10"/>
      <c r="J1165" s="540" t="s">
        <v>12838</v>
      </c>
      <c r="K1165" s="536">
        <v>7104.0</v>
      </c>
    </row>
    <row r="1166" hidden="1">
      <c r="A1166" s="531" t="s">
        <v>12839</v>
      </c>
      <c r="B1166" s="532"/>
      <c r="C1166" s="11" t="s">
        <v>11095</v>
      </c>
      <c r="D1166" s="533">
        <v>0.75</v>
      </c>
      <c r="E1166" s="533">
        <v>0.75</v>
      </c>
      <c r="F1166" s="11" t="s">
        <v>1656</v>
      </c>
      <c r="G1166" s="10"/>
      <c r="H1166" s="11" t="s">
        <v>11096</v>
      </c>
      <c r="I1166" s="10"/>
      <c r="J1166" s="540" t="s">
        <v>12840</v>
      </c>
      <c r="K1166" s="536">
        <v>6133.0</v>
      </c>
    </row>
    <row r="1167" hidden="1">
      <c r="A1167" s="531" t="s">
        <v>12841</v>
      </c>
      <c r="B1167" s="532"/>
      <c r="C1167" s="11" t="s">
        <v>11095</v>
      </c>
      <c r="D1167" s="533">
        <v>0.75</v>
      </c>
      <c r="E1167" s="533">
        <v>0.75</v>
      </c>
      <c r="F1167" s="11" t="s">
        <v>1656</v>
      </c>
      <c r="G1167" s="10"/>
      <c r="H1167" s="11" t="s">
        <v>11096</v>
      </c>
      <c r="I1167" s="10"/>
      <c r="J1167" s="540" t="s">
        <v>12842</v>
      </c>
      <c r="K1167" s="536">
        <v>6733.0</v>
      </c>
    </row>
    <row r="1168" hidden="1">
      <c r="A1168" s="531" t="s">
        <v>12843</v>
      </c>
      <c r="B1168" s="532"/>
      <c r="C1168" s="11" t="s">
        <v>11095</v>
      </c>
      <c r="D1168" s="533">
        <v>0.75</v>
      </c>
      <c r="E1168" s="533">
        <v>0.75</v>
      </c>
      <c r="F1168" s="11" t="s">
        <v>1656</v>
      </c>
      <c r="G1168" s="10"/>
      <c r="H1168" s="11" t="s">
        <v>11096</v>
      </c>
      <c r="I1168" s="10"/>
      <c r="J1168" s="540" t="s">
        <v>11359</v>
      </c>
      <c r="K1168" s="536">
        <v>4933.0</v>
      </c>
    </row>
    <row r="1169" hidden="1">
      <c r="A1169" s="531" t="s">
        <v>12844</v>
      </c>
      <c r="B1169" s="532"/>
      <c r="C1169" s="11" t="s">
        <v>11095</v>
      </c>
      <c r="D1169" s="533">
        <v>0.75</v>
      </c>
      <c r="E1169" s="533">
        <v>0.75</v>
      </c>
      <c r="F1169" s="11" t="s">
        <v>1656</v>
      </c>
      <c r="G1169" s="10"/>
      <c r="H1169" s="11" t="s">
        <v>11096</v>
      </c>
      <c r="I1169" s="10"/>
      <c r="J1169" s="540" t="s">
        <v>12845</v>
      </c>
      <c r="K1169" s="536">
        <v>4933.0</v>
      </c>
    </row>
    <row r="1170" hidden="1">
      <c r="A1170" s="531" t="s">
        <v>12846</v>
      </c>
      <c r="B1170" s="532"/>
      <c r="C1170" s="11" t="s">
        <v>11095</v>
      </c>
      <c r="D1170" s="533">
        <v>0.75</v>
      </c>
      <c r="E1170" s="533">
        <v>0.75</v>
      </c>
      <c r="F1170" s="11" t="s">
        <v>1656</v>
      </c>
      <c r="G1170" s="10"/>
      <c r="H1170" s="11" t="s">
        <v>11096</v>
      </c>
      <c r="I1170" s="10"/>
      <c r="J1170" s="540" t="s">
        <v>12044</v>
      </c>
      <c r="K1170" s="536">
        <v>7104.0</v>
      </c>
    </row>
    <row r="1171" hidden="1">
      <c r="A1171" s="531" t="s">
        <v>12847</v>
      </c>
      <c r="B1171" s="532"/>
      <c r="C1171" s="11" t="s">
        <v>11095</v>
      </c>
      <c r="D1171" s="533">
        <v>0.75</v>
      </c>
      <c r="E1171" s="533">
        <v>0.75</v>
      </c>
      <c r="F1171" s="11" t="s">
        <v>1656</v>
      </c>
      <c r="G1171" s="10"/>
      <c r="H1171" s="11" t="s">
        <v>11096</v>
      </c>
      <c r="I1171" s="10"/>
      <c r="J1171" s="540" t="s">
        <v>12848</v>
      </c>
      <c r="K1171" s="536">
        <v>6827.0</v>
      </c>
    </row>
    <row r="1172" hidden="1">
      <c r="A1172" s="531" t="s">
        <v>12849</v>
      </c>
      <c r="B1172" s="532"/>
      <c r="C1172" s="11" t="s">
        <v>11095</v>
      </c>
      <c r="D1172" s="533">
        <v>0.75</v>
      </c>
      <c r="E1172" s="533">
        <v>0.75</v>
      </c>
      <c r="F1172" s="11" t="s">
        <v>1656</v>
      </c>
      <c r="G1172" s="10"/>
      <c r="H1172" s="11" t="s">
        <v>11096</v>
      </c>
      <c r="I1172" s="10"/>
      <c r="J1172" s="540" t="s">
        <v>12850</v>
      </c>
      <c r="K1172" s="536">
        <v>6675.0</v>
      </c>
    </row>
    <row r="1173" hidden="1">
      <c r="A1173" s="531" t="s">
        <v>12851</v>
      </c>
      <c r="B1173" s="532"/>
      <c r="C1173" s="11" t="s">
        <v>11095</v>
      </c>
      <c r="D1173" s="533">
        <v>0.75</v>
      </c>
      <c r="E1173" s="533">
        <v>0.75</v>
      </c>
      <c r="F1173" s="11" t="s">
        <v>1656</v>
      </c>
      <c r="G1173" s="10"/>
      <c r="H1173" s="11" t="s">
        <v>11096</v>
      </c>
      <c r="I1173" s="10"/>
      <c r="J1173" s="540" t="s">
        <v>12852</v>
      </c>
      <c r="K1173" s="536">
        <v>6675.0</v>
      </c>
    </row>
    <row r="1174" hidden="1">
      <c r="A1174" s="531" t="s">
        <v>12853</v>
      </c>
      <c r="B1174" s="532"/>
      <c r="C1174" s="11" t="s">
        <v>11095</v>
      </c>
      <c r="D1174" s="533">
        <v>0.75</v>
      </c>
      <c r="E1174" s="533">
        <v>0.75</v>
      </c>
      <c r="F1174" s="11" t="s">
        <v>1656</v>
      </c>
      <c r="G1174" s="10"/>
      <c r="H1174" s="11" t="s">
        <v>11096</v>
      </c>
      <c r="I1174" s="10"/>
      <c r="J1174" s="540" t="s">
        <v>12854</v>
      </c>
      <c r="K1174" s="536">
        <v>6675.0</v>
      </c>
    </row>
    <row r="1175" hidden="1">
      <c r="A1175" s="531" t="s">
        <v>12855</v>
      </c>
      <c r="B1175" s="532"/>
      <c r="C1175" s="11" t="s">
        <v>11095</v>
      </c>
      <c r="D1175" s="533">
        <v>0.75</v>
      </c>
      <c r="E1175" s="533">
        <v>0.75</v>
      </c>
      <c r="F1175" s="11" t="s">
        <v>1656</v>
      </c>
      <c r="G1175" s="10"/>
      <c r="H1175" s="11" t="s">
        <v>11096</v>
      </c>
      <c r="I1175" s="10"/>
      <c r="J1175" s="540" t="s">
        <v>11939</v>
      </c>
      <c r="K1175" s="536">
        <v>6675.0</v>
      </c>
    </row>
    <row r="1176" hidden="1">
      <c r="A1176" s="531" t="s">
        <v>12856</v>
      </c>
      <c r="B1176" s="532"/>
      <c r="C1176" s="11" t="s">
        <v>11095</v>
      </c>
      <c r="D1176" s="533">
        <v>0.75</v>
      </c>
      <c r="E1176" s="533">
        <v>0.75</v>
      </c>
      <c r="F1176" s="11" t="s">
        <v>1656</v>
      </c>
      <c r="G1176" s="10"/>
      <c r="H1176" s="11" t="s">
        <v>11096</v>
      </c>
      <c r="I1176" s="10"/>
      <c r="J1176" s="540" t="s">
        <v>11414</v>
      </c>
      <c r="K1176" s="536">
        <v>6675.0</v>
      </c>
    </row>
    <row r="1177" hidden="1">
      <c r="A1177" s="531" t="s">
        <v>12857</v>
      </c>
      <c r="B1177" s="532"/>
      <c r="C1177" s="11" t="s">
        <v>11095</v>
      </c>
      <c r="D1177" s="533">
        <v>0.75</v>
      </c>
      <c r="E1177" s="533">
        <v>0.75</v>
      </c>
      <c r="F1177" s="11" t="s">
        <v>1656</v>
      </c>
      <c r="G1177" s="10"/>
      <c r="H1177" s="11" t="s">
        <v>11096</v>
      </c>
      <c r="I1177" s="10"/>
      <c r="J1177" s="540" t="s">
        <v>11720</v>
      </c>
      <c r="K1177" s="536">
        <v>6675.0</v>
      </c>
    </row>
    <row r="1178" hidden="1">
      <c r="A1178" s="531" t="s">
        <v>12858</v>
      </c>
      <c r="B1178" s="532"/>
      <c r="C1178" s="11" t="s">
        <v>11095</v>
      </c>
      <c r="D1178" s="533">
        <v>0.75</v>
      </c>
      <c r="E1178" s="533">
        <v>0.75</v>
      </c>
      <c r="F1178" s="11" t="s">
        <v>1656</v>
      </c>
      <c r="G1178" s="10"/>
      <c r="H1178" s="11" t="s">
        <v>11096</v>
      </c>
      <c r="I1178" s="10"/>
      <c r="J1178" s="540" t="s">
        <v>10285</v>
      </c>
      <c r="K1178" s="536">
        <v>6675.0</v>
      </c>
    </row>
    <row r="1179" hidden="1">
      <c r="A1179" s="531" t="s">
        <v>12859</v>
      </c>
      <c r="B1179" s="532"/>
      <c r="C1179" s="11" t="s">
        <v>11095</v>
      </c>
      <c r="D1179" s="533">
        <v>0.75</v>
      </c>
      <c r="E1179" s="533">
        <v>0.75</v>
      </c>
      <c r="F1179" s="11" t="s">
        <v>1656</v>
      </c>
      <c r="G1179" s="10"/>
      <c r="H1179" s="11" t="s">
        <v>11096</v>
      </c>
      <c r="I1179" s="10"/>
      <c r="J1179" s="540" t="s">
        <v>12860</v>
      </c>
      <c r="K1179" s="536">
        <v>7055.0</v>
      </c>
    </row>
    <row r="1180" hidden="1">
      <c r="A1180" s="531" t="s">
        <v>12861</v>
      </c>
      <c r="B1180" s="532"/>
      <c r="C1180" s="11" t="s">
        <v>11095</v>
      </c>
      <c r="D1180" s="533">
        <v>0.75</v>
      </c>
      <c r="E1180" s="533">
        <v>0.75</v>
      </c>
      <c r="F1180" s="11" t="s">
        <v>1656</v>
      </c>
      <c r="G1180" s="10"/>
      <c r="H1180" s="11" t="s">
        <v>11096</v>
      </c>
      <c r="I1180" s="10"/>
      <c r="J1180" s="540" t="s">
        <v>12242</v>
      </c>
      <c r="K1180" s="536">
        <v>6774.0</v>
      </c>
    </row>
    <row r="1181" hidden="1">
      <c r="A1181" s="531" t="s">
        <v>12862</v>
      </c>
      <c r="B1181" s="532"/>
      <c r="C1181" s="11" t="s">
        <v>11095</v>
      </c>
      <c r="D1181" s="533">
        <v>0.75</v>
      </c>
      <c r="E1181" s="533">
        <v>0.75</v>
      </c>
      <c r="F1181" s="11" t="s">
        <v>1656</v>
      </c>
      <c r="G1181" s="10"/>
      <c r="H1181" s="11" t="s">
        <v>11096</v>
      </c>
      <c r="I1181" s="10"/>
      <c r="J1181" s="540" t="s">
        <v>12863</v>
      </c>
      <c r="K1181" s="536">
        <v>6774.0</v>
      </c>
    </row>
    <row r="1182" hidden="1">
      <c r="A1182" s="531" t="s">
        <v>12864</v>
      </c>
      <c r="B1182" s="532"/>
      <c r="C1182" s="11" t="s">
        <v>11095</v>
      </c>
      <c r="D1182" s="533">
        <v>0.75</v>
      </c>
      <c r="E1182" s="533">
        <v>0.75</v>
      </c>
      <c r="F1182" s="11" t="s">
        <v>1656</v>
      </c>
      <c r="G1182" s="10"/>
      <c r="H1182" s="11" t="s">
        <v>11096</v>
      </c>
      <c r="I1182" s="10"/>
      <c r="J1182" s="540" t="s">
        <v>12865</v>
      </c>
      <c r="K1182" s="536">
        <v>7113.0</v>
      </c>
    </row>
    <row r="1183" hidden="1">
      <c r="A1183" s="531" t="s">
        <v>12866</v>
      </c>
      <c r="B1183" s="532"/>
      <c r="C1183" s="11" t="s">
        <v>11095</v>
      </c>
      <c r="D1183" s="533">
        <v>0.75</v>
      </c>
      <c r="E1183" s="533">
        <v>0.75</v>
      </c>
      <c r="F1183" s="11" t="s">
        <v>1656</v>
      </c>
      <c r="G1183" s="10"/>
      <c r="H1183" s="11" t="s">
        <v>11096</v>
      </c>
      <c r="I1183" s="10"/>
      <c r="J1183" s="540" t="s">
        <v>12867</v>
      </c>
      <c r="K1183" s="536">
        <v>6717.0</v>
      </c>
    </row>
    <row r="1184" hidden="1">
      <c r="A1184" s="531" t="s">
        <v>12868</v>
      </c>
      <c r="B1184" s="532"/>
      <c r="C1184" s="11" t="s">
        <v>11095</v>
      </c>
      <c r="D1184" s="533">
        <v>0.75</v>
      </c>
      <c r="E1184" s="533">
        <v>0.75</v>
      </c>
      <c r="F1184" s="11" t="s">
        <v>1656</v>
      </c>
      <c r="G1184" s="10"/>
      <c r="H1184" s="11" t="s">
        <v>11096</v>
      </c>
      <c r="I1184" s="10"/>
      <c r="J1184" s="536" t="s">
        <v>12368</v>
      </c>
      <c r="K1184" s="536">
        <v>6133.0</v>
      </c>
    </row>
    <row r="1185" hidden="1">
      <c r="A1185" s="531" t="s">
        <v>12869</v>
      </c>
      <c r="B1185" s="532"/>
      <c r="C1185" s="11" t="s">
        <v>11095</v>
      </c>
      <c r="D1185" s="533">
        <v>0.75</v>
      </c>
      <c r="E1185" s="533">
        <v>0.75</v>
      </c>
      <c r="F1185" s="11" t="s">
        <v>1656</v>
      </c>
      <c r="G1185" s="10"/>
      <c r="H1185" s="11" t="s">
        <v>11096</v>
      </c>
      <c r="I1185" s="10"/>
      <c r="J1185" s="536" t="s">
        <v>12338</v>
      </c>
      <c r="K1185" s="536">
        <v>6133.0</v>
      </c>
    </row>
    <row r="1186" hidden="1">
      <c r="A1186" s="531" t="s">
        <v>12870</v>
      </c>
      <c r="B1186" s="532"/>
      <c r="C1186" s="11" t="s">
        <v>11095</v>
      </c>
      <c r="D1186" s="533">
        <v>0.75</v>
      </c>
      <c r="E1186" s="533">
        <v>0.75</v>
      </c>
      <c r="F1186" s="11" t="s">
        <v>1656</v>
      </c>
      <c r="G1186" s="10"/>
      <c r="H1186" s="11" t="s">
        <v>11096</v>
      </c>
      <c r="I1186" s="10"/>
      <c r="J1186" s="536" t="s">
        <v>11689</v>
      </c>
      <c r="K1186" s="536">
        <v>6722.0</v>
      </c>
    </row>
    <row r="1187" hidden="1">
      <c r="A1187" s="531" t="s">
        <v>12871</v>
      </c>
      <c r="B1187" s="532"/>
      <c r="C1187" s="11" t="s">
        <v>11095</v>
      </c>
      <c r="D1187" s="533">
        <v>0.75</v>
      </c>
      <c r="E1187" s="533">
        <v>0.75</v>
      </c>
      <c r="F1187" s="11" t="s">
        <v>1656</v>
      </c>
      <c r="G1187" s="10"/>
      <c r="H1187" s="11" t="s">
        <v>11096</v>
      </c>
      <c r="I1187" s="10"/>
      <c r="J1187" s="536" t="s">
        <v>12872</v>
      </c>
      <c r="K1187" s="536">
        <v>6722.0</v>
      </c>
    </row>
    <row r="1188" hidden="1">
      <c r="A1188" s="531" t="s">
        <v>12873</v>
      </c>
      <c r="B1188" s="532"/>
      <c r="C1188" s="11" t="s">
        <v>11095</v>
      </c>
      <c r="D1188" s="533">
        <v>0.75</v>
      </c>
      <c r="E1188" s="533">
        <v>0.75</v>
      </c>
      <c r="F1188" s="11" t="s">
        <v>1656</v>
      </c>
      <c r="G1188" s="10"/>
      <c r="H1188" s="11" t="s">
        <v>11096</v>
      </c>
      <c r="I1188" s="10"/>
      <c r="J1188" s="536" t="s">
        <v>12874</v>
      </c>
      <c r="K1188" s="536">
        <v>7132.0</v>
      </c>
    </row>
    <row r="1189" hidden="1">
      <c r="A1189" s="531" t="s">
        <v>12875</v>
      </c>
      <c r="B1189" s="532"/>
      <c r="C1189" s="11" t="s">
        <v>11095</v>
      </c>
      <c r="D1189" s="533">
        <v>0.75</v>
      </c>
      <c r="E1189" s="533">
        <v>0.75</v>
      </c>
      <c r="F1189" s="11" t="s">
        <v>1656</v>
      </c>
      <c r="G1189" s="10"/>
      <c r="H1189" s="11" t="s">
        <v>11096</v>
      </c>
      <c r="I1189" s="10"/>
      <c r="J1189" s="536" t="s">
        <v>11590</v>
      </c>
      <c r="K1189" s="536">
        <v>283.0</v>
      </c>
    </row>
    <row r="1190" hidden="1">
      <c r="A1190" s="531" t="s">
        <v>12876</v>
      </c>
      <c r="B1190" s="532"/>
      <c r="C1190" s="11" t="s">
        <v>11095</v>
      </c>
      <c r="D1190" s="533">
        <v>0.75</v>
      </c>
      <c r="E1190" s="533">
        <v>0.75</v>
      </c>
      <c r="F1190" s="11" t="s">
        <v>1656</v>
      </c>
      <c r="G1190" s="10"/>
      <c r="H1190" s="11" t="s">
        <v>11096</v>
      </c>
      <c r="I1190" s="10"/>
      <c r="J1190" s="536" t="s">
        <v>12350</v>
      </c>
      <c r="K1190" s="536">
        <v>7149.0</v>
      </c>
    </row>
    <row r="1191" hidden="1">
      <c r="A1191" s="531" t="s">
        <v>12877</v>
      </c>
      <c r="B1191" s="532"/>
      <c r="C1191" s="11" t="s">
        <v>11095</v>
      </c>
      <c r="D1191" s="533">
        <v>0.75</v>
      </c>
      <c r="E1191" s="533">
        <v>0.75</v>
      </c>
      <c r="F1191" s="11" t="s">
        <v>1656</v>
      </c>
      <c r="G1191" s="10"/>
      <c r="H1191" s="11" t="s">
        <v>11096</v>
      </c>
      <c r="I1191" s="10"/>
      <c r="J1191" s="536" t="s">
        <v>12158</v>
      </c>
      <c r="K1191" s="536">
        <v>9551.0</v>
      </c>
    </row>
    <row r="1192" hidden="1">
      <c r="A1192" s="531" t="s">
        <v>12878</v>
      </c>
      <c r="B1192" s="532"/>
      <c r="C1192" s="11" t="s">
        <v>11095</v>
      </c>
      <c r="D1192" s="533">
        <v>0.75</v>
      </c>
      <c r="E1192" s="533">
        <v>0.75</v>
      </c>
      <c r="F1192" s="11" t="s">
        <v>1656</v>
      </c>
      <c r="G1192" s="10"/>
      <c r="H1192" s="11" t="s">
        <v>11096</v>
      </c>
      <c r="I1192" s="10"/>
      <c r="J1192" s="536" t="s">
        <v>11484</v>
      </c>
      <c r="K1192" s="536">
        <v>6658.0</v>
      </c>
    </row>
    <row r="1193" hidden="1">
      <c r="A1193" s="531" t="s">
        <v>12879</v>
      </c>
      <c r="B1193" s="532"/>
      <c r="C1193" s="11" t="s">
        <v>11095</v>
      </c>
      <c r="D1193" s="533">
        <v>0.75</v>
      </c>
      <c r="E1193" s="533">
        <v>0.75</v>
      </c>
      <c r="F1193" s="11" t="s">
        <v>1656</v>
      </c>
      <c r="G1193" s="10"/>
      <c r="H1193" s="11" t="s">
        <v>11096</v>
      </c>
      <c r="I1193" s="10"/>
      <c r="J1193" s="536" t="s">
        <v>11765</v>
      </c>
      <c r="K1193" s="536">
        <v>6658.0</v>
      </c>
    </row>
    <row r="1194" hidden="1">
      <c r="A1194" s="531" t="s">
        <v>12880</v>
      </c>
      <c r="B1194" s="532"/>
      <c r="C1194" s="11" t="s">
        <v>11095</v>
      </c>
      <c r="D1194" s="533">
        <v>0.75</v>
      </c>
      <c r="E1194" s="533">
        <v>0.75</v>
      </c>
      <c r="F1194" s="11" t="s">
        <v>1656</v>
      </c>
      <c r="G1194" s="10"/>
      <c r="H1194" s="11" t="s">
        <v>11096</v>
      </c>
      <c r="I1194" s="10"/>
      <c r="J1194" s="536" t="s">
        <v>11905</v>
      </c>
      <c r="K1194" s="536">
        <v>6658.0</v>
      </c>
    </row>
    <row r="1195" hidden="1">
      <c r="A1195" s="531" t="s">
        <v>12881</v>
      </c>
      <c r="B1195" s="532"/>
      <c r="C1195" s="11" t="s">
        <v>11095</v>
      </c>
      <c r="D1195" s="533">
        <v>0.75</v>
      </c>
      <c r="E1195" s="533">
        <v>0.75</v>
      </c>
      <c r="F1195" s="11" t="s">
        <v>1656</v>
      </c>
      <c r="G1195" s="10"/>
      <c r="H1195" s="11" t="s">
        <v>11096</v>
      </c>
      <c r="I1195" s="10"/>
      <c r="J1195" s="536" t="s">
        <v>12240</v>
      </c>
      <c r="K1195" s="536">
        <v>6658.0</v>
      </c>
    </row>
    <row r="1196" hidden="1">
      <c r="A1196" s="531" t="s">
        <v>12882</v>
      </c>
      <c r="B1196" s="532"/>
      <c r="C1196" s="11" t="s">
        <v>11095</v>
      </c>
      <c r="D1196" s="533">
        <v>0.75</v>
      </c>
      <c r="E1196" s="533">
        <v>0.75</v>
      </c>
      <c r="F1196" s="11" t="s">
        <v>1656</v>
      </c>
      <c r="G1196" s="10"/>
      <c r="H1196" s="11" t="s">
        <v>11096</v>
      </c>
      <c r="I1196" s="10"/>
      <c r="J1196" s="536" t="s">
        <v>12031</v>
      </c>
      <c r="K1196" s="536">
        <v>6658.0</v>
      </c>
    </row>
    <row r="1197" hidden="1">
      <c r="A1197" s="531" t="s">
        <v>12883</v>
      </c>
      <c r="B1197" s="532"/>
      <c r="C1197" s="11" t="s">
        <v>11095</v>
      </c>
      <c r="D1197" s="533">
        <v>0.75</v>
      </c>
      <c r="E1197" s="533">
        <v>0.75</v>
      </c>
      <c r="F1197" s="11" t="s">
        <v>1656</v>
      </c>
      <c r="G1197" s="10"/>
      <c r="H1197" s="11" t="s">
        <v>11096</v>
      </c>
      <c r="I1197" s="10"/>
      <c r="J1197" s="536" t="s">
        <v>11351</v>
      </c>
      <c r="K1197" s="536">
        <v>6658.0</v>
      </c>
    </row>
    <row r="1198" hidden="1">
      <c r="A1198" s="531" t="s">
        <v>12884</v>
      </c>
      <c r="B1198" s="532"/>
      <c r="C1198" s="11" t="s">
        <v>11095</v>
      </c>
      <c r="D1198" s="533">
        <v>0.75</v>
      </c>
      <c r="E1198" s="533">
        <v>0.75</v>
      </c>
      <c r="F1198" s="11" t="s">
        <v>1656</v>
      </c>
      <c r="G1198" s="10"/>
      <c r="H1198" s="11" t="s">
        <v>11096</v>
      </c>
      <c r="I1198" s="10"/>
      <c r="J1198" s="536" t="s">
        <v>12885</v>
      </c>
      <c r="K1198" s="536">
        <v>7149.0</v>
      </c>
    </row>
    <row r="1199" hidden="1">
      <c r="A1199" s="531" t="s">
        <v>12886</v>
      </c>
      <c r="B1199" s="532"/>
      <c r="C1199" s="11" t="s">
        <v>11095</v>
      </c>
      <c r="D1199" s="533">
        <v>0.75</v>
      </c>
      <c r="E1199" s="533">
        <v>0.75</v>
      </c>
      <c r="F1199" s="11" t="s">
        <v>1656</v>
      </c>
      <c r="G1199" s="10"/>
      <c r="H1199" s="11" t="s">
        <v>11096</v>
      </c>
      <c r="I1199" s="10"/>
      <c r="J1199" s="536" t="s">
        <v>12887</v>
      </c>
      <c r="K1199" s="536">
        <v>11104.0</v>
      </c>
    </row>
    <row r="1200" hidden="1">
      <c r="A1200" s="531" t="s">
        <v>12888</v>
      </c>
      <c r="B1200" s="532"/>
      <c r="C1200" s="11" t="s">
        <v>11095</v>
      </c>
      <c r="D1200" s="533">
        <v>0.75</v>
      </c>
      <c r="E1200" s="533">
        <v>0.75</v>
      </c>
      <c r="F1200" s="11" t="s">
        <v>1656</v>
      </c>
      <c r="G1200" s="10"/>
      <c r="H1200" s="11" t="s">
        <v>11096</v>
      </c>
      <c r="I1200" s="10"/>
      <c r="J1200" s="536" t="s">
        <v>12889</v>
      </c>
      <c r="K1200" s="536">
        <v>7896.0</v>
      </c>
    </row>
    <row r="1201" hidden="1">
      <c r="A1201" s="531" t="s">
        <v>12890</v>
      </c>
      <c r="B1201" s="16">
        <v>13862.0</v>
      </c>
      <c r="C1201" s="11" t="s">
        <v>11095</v>
      </c>
      <c r="D1201" s="533">
        <v>0.75</v>
      </c>
      <c r="E1201" s="533">
        <v>0.75</v>
      </c>
      <c r="F1201" s="11" t="s">
        <v>1656</v>
      </c>
      <c r="G1201" s="10"/>
      <c r="H1201" s="11" t="s">
        <v>11096</v>
      </c>
      <c r="I1201" s="10"/>
      <c r="J1201" s="536" t="s">
        <v>11380</v>
      </c>
      <c r="K1201" s="536">
        <v>7149.0</v>
      </c>
    </row>
    <row r="1202" hidden="1">
      <c r="A1202" s="531" t="s">
        <v>12891</v>
      </c>
      <c r="B1202" s="532"/>
      <c r="C1202" s="11" t="s">
        <v>11095</v>
      </c>
      <c r="D1202" s="533">
        <v>0.75</v>
      </c>
      <c r="E1202" s="533">
        <v>0.75</v>
      </c>
      <c r="F1202" s="11" t="s">
        <v>1656</v>
      </c>
      <c r="G1202" s="10"/>
      <c r="H1202" s="11" t="s">
        <v>11096</v>
      </c>
      <c r="I1202" s="10"/>
      <c r="J1202" s="536" t="s">
        <v>11709</v>
      </c>
      <c r="K1202" s="536">
        <v>7149.0</v>
      </c>
    </row>
    <row r="1203" hidden="1">
      <c r="A1203" s="531" t="s">
        <v>12892</v>
      </c>
      <c r="B1203" s="532"/>
      <c r="C1203" s="11" t="s">
        <v>11095</v>
      </c>
      <c r="D1203" s="533">
        <v>0.75</v>
      </c>
      <c r="E1203" s="533">
        <v>0.75</v>
      </c>
      <c r="F1203" s="11" t="s">
        <v>1656</v>
      </c>
      <c r="G1203" s="10"/>
      <c r="H1203" s="11" t="s">
        <v>11096</v>
      </c>
      <c r="I1203" s="10"/>
      <c r="J1203" s="536" t="s">
        <v>12268</v>
      </c>
      <c r="K1203" s="536">
        <v>7149.0</v>
      </c>
    </row>
    <row r="1204" hidden="1">
      <c r="A1204" s="531" t="s">
        <v>12893</v>
      </c>
      <c r="B1204" s="532"/>
      <c r="C1204" s="11" t="s">
        <v>11095</v>
      </c>
      <c r="D1204" s="533">
        <v>0.75</v>
      </c>
      <c r="E1204" s="533">
        <v>0.75</v>
      </c>
      <c r="F1204" s="11" t="s">
        <v>1656</v>
      </c>
      <c r="G1204" s="10"/>
      <c r="H1204" s="11" t="s">
        <v>11096</v>
      </c>
      <c r="I1204" s="10"/>
      <c r="J1204" s="536" t="s">
        <v>12894</v>
      </c>
      <c r="K1204" s="536">
        <v>7149.0</v>
      </c>
    </row>
    <row r="1205" hidden="1">
      <c r="A1205" s="531" t="s">
        <v>12895</v>
      </c>
      <c r="B1205" s="532"/>
      <c r="C1205" s="11" t="s">
        <v>11095</v>
      </c>
      <c r="D1205" s="533">
        <v>0.75</v>
      </c>
      <c r="E1205" s="533">
        <v>0.75</v>
      </c>
      <c r="F1205" s="11" t="s">
        <v>1656</v>
      </c>
      <c r="G1205" s="10"/>
      <c r="H1205" s="11" t="s">
        <v>11096</v>
      </c>
      <c r="I1205" s="10"/>
      <c r="J1205" s="536" t="s">
        <v>11563</v>
      </c>
      <c r="K1205" s="536">
        <v>7149.0</v>
      </c>
    </row>
    <row r="1206" hidden="1">
      <c r="A1206" s="531" t="s">
        <v>12896</v>
      </c>
      <c r="B1206" s="532"/>
      <c r="C1206" s="11" t="s">
        <v>11095</v>
      </c>
      <c r="D1206" s="533">
        <v>0.75</v>
      </c>
      <c r="E1206" s="533">
        <v>0.75</v>
      </c>
      <c r="F1206" s="11" t="s">
        <v>1656</v>
      </c>
      <c r="G1206" s="10"/>
      <c r="H1206" s="11" t="s">
        <v>11096</v>
      </c>
      <c r="I1206" s="10"/>
      <c r="J1206" s="536" t="s">
        <v>12897</v>
      </c>
      <c r="K1206" s="536">
        <v>7149.0</v>
      </c>
    </row>
    <row r="1207" hidden="1">
      <c r="A1207" s="531" t="s">
        <v>12898</v>
      </c>
      <c r="B1207" s="532"/>
      <c r="C1207" s="11" t="s">
        <v>11095</v>
      </c>
      <c r="D1207" s="533">
        <v>0.75</v>
      </c>
      <c r="E1207" s="533">
        <v>0.75</v>
      </c>
      <c r="F1207" s="11" t="s">
        <v>1656</v>
      </c>
      <c r="G1207" s="10"/>
      <c r="H1207" s="11" t="s">
        <v>11096</v>
      </c>
      <c r="I1207" s="10"/>
      <c r="J1207" s="536" t="s">
        <v>11815</v>
      </c>
      <c r="K1207" s="536">
        <v>7031.0</v>
      </c>
    </row>
    <row r="1208" hidden="1">
      <c r="A1208" s="531" t="s">
        <v>12899</v>
      </c>
      <c r="B1208" s="532"/>
      <c r="C1208" s="11" t="s">
        <v>11095</v>
      </c>
      <c r="D1208" s="533">
        <v>0.75</v>
      </c>
      <c r="E1208" s="533">
        <v>0.75</v>
      </c>
      <c r="F1208" s="11" t="s">
        <v>1656</v>
      </c>
      <c r="G1208" s="10"/>
      <c r="H1208" s="11" t="s">
        <v>11096</v>
      </c>
      <c r="I1208" s="10"/>
      <c r="J1208" s="536" t="s">
        <v>12900</v>
      </c>
      <c r="K1208" s="536">
        <v>7149.0</v>
      </c>
    </row>
    <row r="1209" hidden="1">
      <c r="A1209" s="531" t="s">
        <v>12901</v>
      </c>
      <c r="B1209" s="532"/>
      <c r="C1209" s="11" t="s">
        <v>11095</v>
      </c>
      <c r="D1209" s="533">
        <v>0.75</v>
      </c>
      <c r="E1209" s="533">
        <v>0.75</v>
      </c>
      <c r="F1209" s="11" t="s">
        <v>1656</v>
      </c>
      <c r="G1209" s="10"/>
      <c r="H1209" s="11" t="s">
        <v>11096</v>
      </c>
      <c r="I1209" s="10"/>
      <c r="J1209" s="536" t="s">
        <v>11672</v>
      </c>
      <c r="K1209" s="536">
        <v>9645.0</v>
      </c>
    </row>
    <row r="1210" hidden="1">
      <c r="A1210" s="531" t="s">
        <v>12902</v>
      </c>
      <c r="B1210" s="532"/>
      <c r="C1210" s="11" t="s">
        <v>11095</v>
      </c>
      <c r="D1210" s="533">
        <v>0.75</v>
      </c>
      <c r="E1210" s="533">
        <v>0.75</v>
      </c>
      <c r="F1210" s="11" t="s">
        <v>1656</v>
      </c>
      <c r="G1210" s="10"/>
      <c r="H1210" s="11" t="s">
        <v>11096</v>
      </c>
      <c r="I1210" s="10"/>
      <c r="J1210" s="536" t="s">
        <v>11887</v>
      </c>
      <c r="K1210" s="536">
        <v>6785.0</v>
      </c>
    </row>
    <row r="1211" hidden="1">
      <c r="A1211" s="531" t="s">
        <v>12903</v>
      </c>
      <c r="B1211" s="532"/>
      <c r="C1211" s="11" t="s">
        <v>11095</v>
      </c>
      <c r="D1211" s="533">
        <v>0.75</v>
      </c>
      <c r="E1211" s="533">
        <v>0.75</v>
      </c>
      <c r="F1211" s="11" t="s">
        <v>1656</v>
      </c>
      <c r="G1211" s="10"/>
      <c r="H1211" s="11" t="s">
        <v>11096</v>
      </c>
      <c r="I1211" s="10"/>
      <c r="J1211" s="536" t="s">
        <v>12904</v>
      </c>
      <c r="K1211" s="536">
        <v>7149.0</v>
      </c>
    </row>
    <row r="1212" hidden="1">
      <c r="A1212" s="531" t="s">
        <v>12905</v>
      </c>
      <c r="B1212" s="532"/>
      <c r="C1212" s="11" t="s">
        <v>11095</v>
      </c>
      <c r="D1212" s="533">
        <v>0.75</v>
      </c>
      <c r="E1212" s="533">
        <v>0.75</v>
      </c>
      <c r="F1212" s="11" t="s">
        <v>1656</v>
      </c>
      <c r="G1212" s="10"/>
      <c r="H1212" s="11" t="s">
        <v>11096</v>
      </c>
      <c r="I1212" s="10"/>
      <c r="J1212" s="536" t="s">
        <v>11576</v>
      </c>
      <c r="K1212" s="536">
        <v>6928.0</v>
      </c>
    </row>
    <row r="1213" hidden="1">
      <c r="A1213" s="531" t="s">
        <v>12906</v>
      </c>
      <c r="B1213" s="532"/>
      <c r="C1213" s="11" t="s">
        <v>11095</v>
      </c>
      <c r="D1213" s="533">
        <v>0.75</v>
      </c>
      <c r="E1213" s="533">
        <v>0.75</v>
      </c>
      <c r="F1213" s="11" t="s">
        <v>1656</v>
      </c>
      <c r="G1213" s="10"/>
      <c r="H1213" s="11" t="s">
        <v>11096</v>
      </c>
      <c r="I1213" s="10"/>
      <c r="J1213" s="536" t="s">
        <v>11591</v>
      </c>
      <c r="K1213" s="536">
        <v>6924.0</v>
      </c>
    </row>
    <row r="1214" hidden="1">
      <c r="A1214" s="531" t="s">
        <v>12907</v>
      </c>
      <c r="B1214" s="532"/>
      <c r="C1214" s="11" t="s">
        <v>11095</v>
      </c>
      <c r="D1214" s="533">
        <v>0.75</v>
      </c>
      <c r="E1214" s="533">
        <v>0.75</v>
      </c>
      <c r="F1214" s="11" t="s">
        <v>1656</v>
      </c>
      <c r="G1214" s="10"/>
      <c r="H1214" s="11" t="s">
        <v>11096</v>
      </c>
      <c r="I1214" s="10"/>
      <c r="J1214" s="536" t="s">
        <v>12908</v>
      </c>
      <c r="K1214" s="536">
        <v>4876.0</v>
      </c>
    </row>
    <row r="1215" hidden="1">
      <c r="A1215" s="531" t="s">
        <v>12909</v>
      </c>
      <c r="B1215" s="532"/>
      <c r="C1215" s="11" t="s">
        <v>11095</v>
      </c>
      <c r="D1215" s="533">
        <v>0.75</v>
      </c>
      <c r="E1215" s="533">
        <v>0.75</v>
      </c>
      <c r="F1215" s="11" t="s">
        <v>1656</v>
      </c>
      <c r="G1215" s="10"/>
      <c r="H1215" s="11" t="s">
        <v>11096</v>
      </c>
      <c r="I1215" s="10"/>
      <c r="J1215" s="536" t="s">
        <v>11627</v>
      </c>
      <c r="K1215" s="536">
        <v>12301.0</v>
      </c>
    </row>
    <row r="1216" hidden="1">
      <c r="A1216" s="531" t="s">
        <v>12910</v>
      </c>
      <c r="B1216" s="532"/>
      <c r="C1216" s="11" t="s">
        <v>11095</v>
      </c>
      <c r="D1216" s="533">
        <v>0.75</v>
      </c>
      <c r="E1216" s="533">
        <v>0.75</v>
      </c>
      <c r="F1216" s="11" t="s">
        <v>1656</v>
      </c>
      <c r="G1216" s="10"/>
      <c r="H1216" s="11" t="s">
        <v>11096</v>
      </c>
      <c r="I1216" s="10"/>
      <c r="J1216" s="536" t="s">
        <v>12911</v>
      </c>
      <c r="K1216" s="536">
        <v>7149.0</v>
      </c>
    </row>
    <row r="1217" hidden="1">
      <c r="A1217" s="531" t="s">
        <v>12912</v>
      </c>
      <c r="B1217" s="532"/>
      <c r="C1217" s="11" t="s">
        <v>11095</v>
      </c>
      <c r="D1217" s="533">
        <v>0.75</v>
      </c>
      <c r="E1217" s="533">
        <v>0.75</v>
      </c>
      <c r="F1217" s="11" t="s">
        <v>1656</v>
      </c>
      <c r="G1217" s="10"/>
      <c r="H1217" s="11" t="s">
        <v>11096</v>
      </c>
      <c r="I1217" s="10"/>
      <c r="J1217" s="536" t="s">
        <v>12083</v>
      </c>
      <c r="K1217" s="536">
        <v>7157.0</v>
      </c>
    </row>
    <row r="1218" hidden="1">
      <c r="A1218" s="531" t="s">
        <v>12913</v>
      </c>
      <c r="B1218" s="532"/>
      <c r="C1218" s="11" t="s">
        <v>11095</v>
      </c>
      <c r="D1218" s="533">
        <v>0.75</v>
      </c>
      <c r="E1218" s="533">
        <v>0.75</v>
      </c>
      <c r="F1218" s="11" t="s">
        <v>1656</v>
      </c>
      <c r="G1218" s="10"/>
      <c r="H1218" s="11" t="s">
        <v>11096</v>
      </c>
      <c r="I1218" s="10"/>
      <c r="J1218" s="536" t="s">
        <v>12914</v>
      </c>
      <c r="K1218" s="536">
        <v>7149.0</v>
      </c>
    </row>
    <row r="1219" hidden="1">
      <c r="A1219" s="531" t="s">
        <v>12915</v>
      </c>
      <c r="B1219" s="532"/>
      <c r="C1219" s="11" t="s">
        <v>11095</v>
      </c>
      <c r="D1219" s="533">
        <v>0.75</v>
      </c>
      <c r="E1219" s="533">
        <v>0.75</v>
      </c>
      <c r="F1219" s="11" t="s">
        <v>1656</v>
      </c>
      <c r="G1219" s="10"/>
      <c r="H1219" s="11" t="s">
        <v>11096</v>
      </c>
      <c r="I1219" s="10"/>
      <c r="J1219" s="536" t="s">
        <v>12916</v>
      </c>
      <c r="K1219" s="536">
        <v>11679.0</v>
      </c>
    </row>
    <row r="1220" hidden="1">
      <c r="A1220" s="531" t="s">
        <v>12917</v>
      </c>
      <c r="B1220" s="532"/>
      <c r="C1220" s="11" t="s">
        <v>11095</v>
      </c>
      <c r="D1220" s="533">
        <v>0.75</v>
      </c>
      <c r="E1220" s="533">
        <v>0.75</v>
      </c>
      <c r="F1220" s="11" t="s">
        <v>1656</v>
      </c>
      <c r="G1220" s="10"/>
      <c r="H1220" s="11" t="s">
        <v>11096</v>
      </c>
      <c r="I1220" s="10"/>
      <c r="J1220" s="536" t="s">
        <v>11899</v>
      </c>
      <c r="K1220" s="536">
        <v>6936.0</v>
      </c>
    </row>
    <row r="1221" hidden="1">
      <c r="A1221" s="531" t="s">
        <v>12918</v>
      </c>
      <c r="B1221" s="532"/>
      <c r="C1221" s="11" t="s">
        <v>11095</v>
      </c>
      <c r="D1221" s="533">
        <v>0.75</v>
      </c>
      <c r="E1221" s="533">
        <v>0.75</v>
      </c>
      <c r="F1221" s="11" t="s">
        <v>1656</v>
      </c>
      <c r="G1221" s="10"/>
      <c r="H1221" s="11" t="s">
        <v>11096</v>
      </c>
      <c r="I1221" s="10"/>
      <c r="J1221" s="536" t="s">
        <v>12919</v>
      </c>
      <c r="K1221" s="536">
        <v>7183.0</v>
      </c>
    </row>
    <row r="1222" hidden="1">
      <c r="A1222" s="531" t="s">
        <v>12920</v>
      </c>
      <c r="B1222" s="532"/>
      <c r="C1222" s="11" t="s">
        <v>11095</v>
      </c>
      <c r="D1222" s="533">
        <v>0.75</v>
      </c>
      <c r="E1222" s="533">
        <v>0.75</v>
      </c>
      <c r="F1222" s="11" t="s">
        <v>1656</v>
      </c>
      <c r="G1222" s="10"/>
      <c r="H1222" s="11" t="s">
        <v>11096</v>
      </c>
      <c r="I1222" s="10"/>
      <c r="J1222" s="536" t="s">
        <v>12921</v>
      </c>
      <c r="K1222" s="536">
        <v>8199.0</v>
      </c>
    </row>
    <row r="1223" hidden="1">
      <c r="A1223" s="531" t="s">
        <v>12922</v>
      </c>
      <c r="B1223" s="532"/>
      <c r="C1223" s="11" t="s">
        <v>11095</v>
      </c>
      <c r="D1223" s="533">
        <v>0.75</v>
      </c>
      <c r="E1223" s="533">
        <v>0.75</v>
      </c>
      <c r="F1223" s="11" t="s">
        <v>1656</v>
      </c>
      <c r="G1223" s="10"/>
      <c r="H1223" s="11" t="s">
        <v>11096</v>
      </c>
      <c r="I1223" s="10"/>
      <c r="J1223" s="536" t="s">
        <v>12923</v>
      </c>
      <c r="K1223" s="536">
        <v>7186.0</v>
      </c>
    </row>
    <row r="1224" hidden="1">
      <c r="A1224" s="531" t="s">
        <v>12924</v>
      </c>
      <c r="B1224" s="532"/>
      <c r="C1224" s="11" t="s">
        <v>11095</v>
      </c>
      <c r="D1224" s="533">
        <v>0.75</v>
      </c>
      <c r="E1224" s="533">
        <v>0.75</v>
      </c>
      <c r="F1224" s="11" t="s">
        <v>1656</v>
      </c>
      <c r="G1224" s="10"/>
      <c r="H1224" s="11" t="s">
        <v>11096</v>
      </c>
      <c r="I1224" s="10"/>
      <c r="J1224" s="536" t="s">
        <v>11703</v>
      </c>
      <c r="K1224" s="536">
        <v>8199.0</v>
      </c>
    </row>
    <row r="1225" hidden="1">
      <c r="A1225" s="531" t="s">
        <v>12925</v>
      </c>
      <c r="B1225" s="532"/>
      <c r="C1225" s="11" t="s">
        <v>11095</v>
      </c>
      <c r="D1225" s="533">
        <v>0.75</v>
      </c>
      <c r="E1225" s="533">
        <v>0.75</v>
      </c>
      <c r="F1225" s="11" t="s">
        <v>1656</v>
      </c>
      <c r="G1225" s="10"/>
      <c r="H1225" s="11" t="s">
        <v>11096</v>
      </c>
      <c r="I1225" s="10"/>
      <c r="J1225" s="536" t="s">
        <v>11398</v>
      </c>
      <c r="K1225" s="536">
        <v>14482.0</v>
      </c>
    </row>
    <row r="1226" hidden="1">
      <c r="A1226" s="531" t="s">
        <v>12926</v>
      </c>
      <c r="B1226" s="532"/>
      <c r="C1226" s="11" t="s">
        <v>11095</v>
      </c>
      <c r="D1226" s="533">
        <v>0.75</v>
      </c>
      <c r="E1226" s="533">
        <v>0.75</v>
      </c>
      <c r="F1226" s="11" t="s">
        <v>1656</v>
      </c>
      <c r="G1226" s="10"/>
      <c r="H1226" s="11" t="s">
        <v>11096</v>
      </c>
      <c r="I1226" s="10"/>
      <c r="J1226" s="536" t="s">
        <v>11537</v>
      </c>
      <c r="K1226" s="536">
        <v>7648.0</v>
      </c>
    </row>
    <row r="1227" hidden="1">
      <c r="A1227" s="531" t="s">
        <v>12927</v>
      </c>
      <c r="B1227" s="532"/>
      <c r="C1227" s="11" t="s">
        <v>11095</v>
      </c>
      <c r="D1227" s="533">
        <v>0.75</v>
      </c>
      <c r="E1227" s="533">
        <v>0.75</v>
      </c>
      <c r="F1227" s="11" t="s">
        <v>1656</v>
      </c>
      <c r="G1227" s="10"/>
      <c r="H1227" s="11" t="s">
        <v>11096</v>
      </c>
      <c r="I1227" s="10"/>
      <c r="J1227" s="536" t="s">
        <v>12928</v>
      </c>
      <c r="K1227" s="536">
        <v>7648.0</v>
      </c>
    </row>
    <row r="1228" hidden="1">
      <c r="A1228" s="531">
        <v>793.0</v>
      </c>
      <c r="B1228" s="532"/>
      <c r="C1228" s="11" t="s">
        <v>11095</v>
      </c>
      <c r="D1228" s="533">
        <v>0.75</v>
      </c>
      <c r="E1228" s="533">
        <v>0.75</v>
      </c>
      <c r="F1228" s="11" t="s">
        <v>1656</v>
      </c>
      <c r="G1228" s="10"/>
      <c r="H1228" s="11" t="s">
        <v>11096</v>
      </c>
      <c r="I1228" s="10"/>
      <c r="J1228" s="536" t="s">
        <v>12929</v>
      </c>
      <c r="K1228" s="536">
        <v>7648.0</v>
      </c>
    </row>
    <row r="1229" hidden="1">
      <c r="A1229" s="531" t="s">
        <v>12930</v>
      </c>
      <c r="B1229" s="532"/>
      <c r="C1229" s="11" t="s">
        <v>11095</v>
      </c>
      <c r="D1229" s="533">
        <v>0.75</v>
      </c>
      <c r="E1229" s="533">
        <v>0.75</v>
      </c>
      <c r="F1229" s="11" t="s">
        <v>1656</v>
      </c>
      <c r="G1229" s="10"/>
      <c r="H1229" s="11" t="s">
        <v>11096</v>
      </c>
      <c r="I1229" s="10"/>
      <c r="J1229" s="536" t="s">
        <v>12931</v>
      </c>
      <c r="K1229" s="536">
        <v>9363.0</v>
      </c>
    </row>
    <row r="1230" hidden="1">
      <c r="A1230" s="531" t="s">
        <v>12932</v>
      </c>
      <c r="B1230" s="532"/>
      <c r="C1230" s="11" t="s">
        <v>11095</v>
      </c>
      <c r="D1230" s="533">
        <v>0.75</v>
      </c>
      <c r="E1230" s="533">
        <v>0.75</v>
      </c>
      <c r="F1230" s="11" t="s">
        <v>1656</v>
      </c>
      <c r="G1230" s="10"/>
      <c r="H1230" s="11" t="s">
        <v>11096</v>
      </c>
      <c r="I1230" s="10"/>
      <c r="J1230" s="536" t="s">
        <v>12933</v>
      </c>
      <c r="K1230" s="536">
        <v>9363.0</v>
      </c>
    </row>
    <row r="1231" hidden="1">
      <c r="A1231" s="531" t="s">
        <v>12934</v>
      </c>
      <c r="B1231" s="532"/>
      <c r="C1231" s="11" t="s">
        <v>11095</v>
      </c>
      <c r="D1231" s="533">
        <v>0.75</v>
      </c>
      <c r="E1231" s="533">
        <v>0.75</v>
      </c>
      <c r="F1231" s="11" t="s">
        <v>1656</v>
      </c>
      <c r="G1231" s="10"/>
      <c r="H1231" s="11" t="s">
        <v>11096</v>
      </c>
      <c r="I1231" s="10"/>
      <c r="J1231" s="536" t="s">
        <v>12935</v>
      </c>
      <c r="K1231" s="536">
        <v>8244.0</v>
      </c>
    </row>
    <row r="1232" hidden="1">
      <c r="A1232" s="531">
        <v>742.0</v>
      </c>
      <c r="B1232" s="532"/>
      <c r="C1232" s="11" t="s">
        <v>11095</v>
      </c>
      <c r="D1232" s="533">
        <v>0.75</v>
      </c>
      <c r="E1232" s="533">
        <v>0.75</v>
      </c>
      <c r="F1232" s="11" t="s">
        <v>1656</v>
      </c>
      <c r="G1232" s="10"/>
      <c r="H1232" s="11" t="s">
        <v>11096</v>
      </c>
      <c r="I1232" s="10"/>
      <c r="J1232" s="536" t="s">
        <v>11610</v>
      </c>
      <c r="K1232" s="536">
        <v>7847.0</v>
      </c>
    </row>
    <row r="1233" hidden="1">
      <c r="A1233" s="531" t="s">
        <v>12936</v>
      </c>
      <c r="B1233" s="532"/>
      <c r="C1233" s="11" t="s">
        <v>11095</v>
      </c>
      <c r="D1233" s="533">
        <v>0.75</v>
      </c>
      <c r="E1233" s="533">
        <v>0.75</v>
      </c>
      <c r="F1233" s="11" t="s">
        <v>1656</v>
      </c>
      <c r="G1233" s="10"/>
      <c r="H1233" s="11" t="s">
        <v>11096</v>
      </c>
      <c r="I1233" s="10"/>
      <c r="J1233" s="536" t="s">
        <v>11555</v>
      </c>
      <c r="K1233" s="536">
        <v>7142.0</v>
      </c>
    </row>
    <row r="1234" hidden="1">
      <c r="A1234" s="531" t="s">
        <v>12937</v>
      </c>
      <c r="B1234" s="532"/>
      <c r="C1234" s="11" t="s">
        <v>11095</v>
      </c>
      <c r="D1234" s="533">
        <v>0.75</v>
      </c>
      <c r="E1234" s="533">
        <v>0.75</v>
      </c>
      <c r="F1234" s="11" t="s">
        <v>1656</v>
      </c>
      <c r="G1234" s="10"/>
      <c r="H1234" s="11" t="s">
        <v>11096</v>
      </c>
      <c r="I1234" s="10"/>
      <c r="J1234" s="536" t="s">
        <v>12938</v>
      </c>
      <c r="K1234" s="536">
        <v>8491.0</v>
      </c>
    </row>
    <row r="1235" hidden="1">
      <c r="A1235" s="531" t="s">
        <v>12939</v>
      </c>
      <c r="B1235" s="532"/>
      <c r="C1235" s="11" t="s">
        <v>11095</v>
      </c>
      <c r="D1235" s="533">
        <v>0.75</v>
      </c>
      <c r="E1235" s="533">
        <v>0.75</v>
      </c>
      <c r="F1235" s="11" t="s">
        <v>1656</v>
      </c>
      <c r="G1235" s="10"/>
      <c r="H1235" s="11" t="s">
        <v>11096</v>
      </c>
      <c r="I1235" s="10"/>
      <c r="J1235" s="536" t="s">
        <v>12625</v>
      </c>
      <c r="K1235" s="536">
        <v>2644.0</v>
      </c>
    </row>
    <row r="1236" hidden="1">
      <c r="A1236" s="531" t="s">
        <v>12940</v>
      </c>
      <c r="B1236" s="532"/>
      <c r="C1236" s="11" t="s">
        <v>11095</v>
      </c>
      <c r="D1236" s="533">
        <v>0.75</v>
      </c>
      <c r="E1236" s="533">
        <v>0.75</v>
      </c>
      <c r="F1236" s="11" t="s">
        <v>1656</v>
      </c>
      <c r="G1236" s="10"/>
      <c r="H1236" s="11" t="s">
        <v>11096</v>
      </c>
      <c r="I1236" s="10"/>
      <c r="J1236" s="536" t="s">
        <v>12626</v>
      </c>
      <c r="K1236" s="536">
        <v>10923.0</v>
      </c>
    </row>
    <row r="1237" hidden="1">
      <c r="A1237" s="531" t="s">
        <v>12941</v>
      </c>
      <c r="B1237" s="532"/>
      <c r="C1237" s="11" t="s">
        <v>11095</v>
      </c>
      <c r="D1237" s="533">
        <v>0.75</v>
      </c>
      <c r="E1237" s="533">
        <v>0.75</v>
      </c>
      <c r="F1237" s="11" t="s">
        <v>1656</v>
      </c>
      <c r="G1237" s="10"/>
      <c r="H1237" s="11" t="s">
        <v>11096</v>
      </c>
      <c r="I1237" s="10"/>
      <c r="J1237" s="536" t="s">
        <v>12627</v>
      </c>
      <c r="K1237" s="536">
        <v>6936.0</v>
      </c>
    </row>
    <row r="1238" hidden="1">
      <c r="A1238" s="531" t="s">
        <v>12942</v>
      </c>
      <c r="B1238" s="532"/>
      <c r="C1238" s="11" t="s">
        <v>11095</v>
      </c>
      <c r="D1238" s="533">
        <v>0.75</v>
      </c>
      <c r="E1238" s="533">
        <v>0.75</v>
      </c>
      <c r="F1238" s="11" t="s">
        <v>1656</v>
      </c>
      <c r="G1238" s="10"/>
      <c r="H1238" s="11" t="s">
        <v>11096</v>
      </c>
      <c r="I1238" s="10"/>
      <c r="J1238" s="536" t="s">
        <v>11711</v>
      </c>
      <c r="K1238" s="536">
        <v>7040.0</v>
      </c>
    </row>
    <row r="1239" hidden="1">
      <c r="A1239" s="531" t="s">
        <v>12943</v>
      </c>
      <c r="B1239" s="532"/>
      <c r="C1239" s="11" t="s">
        <v>11095</v>
      </c>
      <c r="D1239" s="533">
        <v>0.75</v>
      </c>
      <c r="E1239" s="533">
        <v>0.75</v>
      </c>
      <c r="F1239" s="11" t="s">
        <v>1656</v>
      </c>
      <c r="G1239" s="10"/>
      <c r="H1239" s="11" t="s">
        <v>11096</v>
      </c>
      <c r="I1239" s="10"/>
      <c r="J1239" s="536" t="s">
        <v>12046</v>
      </c>
      <c r="K1239" s="536">
        <v>6936.0</v>
      </c>
    </row>
    <row r="1240" hidden="1">
      <c r="A1240" s="531" t="s">
        <v>12944</v>
      </c>
      <c r="B1240" s="532"/>
      <c r="C1240" s="11" t="s">
        <v>11095</v>
      </c>
      <c r="D1240" s="533">
        <v>0.75</v>
      </c>
      <c r="E1240" s="533">
        <v>0.75</v>
      </c>
      <c r="F1240" s="11" t="s">
        <v>1656</v>
      </c>
      <c r="G1240" s="10"/>
      <c r="H1240" s="11" t="s">
        <v>11096</v>
      </c>
      <c r="I1240" s="10"/>
      <c r="J1240" s="536" t="s">
        <v>12298</v>
      </c>
      <c r="K1240" s="536">
        <v>3689.0</v>
      </c>
    </row>
    <row r="1241" hidden="1">
      <c r="A1241" s="531" t="s">
        <v>12945</v>
      </c>
      <c r="B1241" s="532"/>
      <c r="C1241" s="11" t="s">
        <v>11095</v>
      </c>
      <c r="D1241" s="533">
        <v>0.75</v>
      </c>
      <c r="E1241" s="533">
        <v>0.75</v>
      </c>
      <c r="F1241" s="11" t="s">
        <v>1656</v>
      </c>
      <c r="G1241" s="10"/>
      <c r="H1241" s="11" t="s">
        <v>11096</v>
      </c>
      <c r="I1241" s="10"/>
      <c r="J1241" s="536" t="s">
        <v>12017</v>
      </c>
      <c r="K1241" s="536">
        <v>13204.0</v>
      </c>
    </row>
    <row r="1242" hidden="1">
      <c r="A1242" s="531" t="s">
        <v>12946</v>
      </c>
      <c r="B1242" s="532"/>
      <c r="C1242" s="11" t="s">
        <v>11095</v>
      </c>
      <c r="D1242" s="533">
        <v>0.75</v>
      </c>
      <c r="E1242" s="533">
        <v>0.75</v>
      </c>
      <c r="F1242" s="11" t="s">
        <v>1656</v>
      </c>
      <c r="G1242" s="10"/>
      <c r="H1242" s="11" t="s">
        <v>11096</v>
      </c>
      <c r="I1242" s="10"/>
      <c r="J1242" s="536" t="s">
        <v>12513</v>
      </c>
      <c r="K1242" s="536">
        <v>13829.0</v>
      </c>
    </row>
    <row r="1243" hidden="1">
      <c r="A1243" s="531" t="s">
        <v>12947</v>
      </c>
      <c r="B1243" s="532"/>
      <c r="C1243" s="11" t="s">
        <v>11095</v>
      </c>
      <c r="D1243" s="533">
        <v>0.75</v>
      </c>
      <c r="E1243" s="533">
        <v>0.75</v>
      </c>
      <c r="F1243" s="11" t="s">
        <v>1656</v>
      </c>
      <c r="G1243" s="10"/>
      <c r="H1243" s="11" t="s">
        <v>11096</v>
      </c>
      <c r="I1243" s="10"/>
      <c r="J1243" s="536" t="s">
        <v>12514</v>
      </c>
      <c r="K1243" s="536">
        <v>14065.0</v>
      </c>
    </row>
    <row r="1244" hidden="1">
      <c r="A1244" s="531" t="s">
        <v>12948</v>
      </c>
      <c r="B1244" s="539"/>
      <c r="C1244" s="11" t="s">
        <v>11095</v>
      </c>
      <c r="D1244" s="533">
        <v>0.75</v>
      </c>
      <c r="E1244" s="533">
        <v>0.75</v>
      </c>
      <c r="F1244" s="11" t="s">
        <v>1656</v>
      </c>
      <c r="G1244" s="10"/>
      <c r="H1244" s="11" t="s">
        <v>11096</v>
      </c>
      <c r="I1244" s="10"/>
      <c r="J1244" s="536" t="s">
        <v>12515</v>
      </c>
      <c r="K1244" s="540"/>
    </row>
    <row r="1245" hidden="1">
      <c r="A1245" s="531" t="s">
        <v>12949</v>
      </c>
      <c r="B1245" s="532"/>
      <c r="C1245" s="11" t="s">
        <v>11095</v>
      </c>
      <c r="D1245" s="533">
        <v>0.75</v>
      </c>
      <c r="E1245" s="533">
        <v>0.75</v>
      </c>
      <c r="F1245" s="11" t="s">
        <v>1656</v>
      </c>
      <c r="G1245" s="10"/>
      <c r="H1245" s="11" t="s">
        <v>11096</v>
      </c>
      <c r="I1245" s="10"/>
      <c r="J1245" s="536" t="s">
        <v>12516</v>
      </c>
      <c r="K1245" s="536">
        <v>14248.0</v>
      </c>
    </row>
    <row r="1246" hidden="1">
      <c r="A1246" s="531" t="s">
        <v>12950</v>
      </c>
      <c r="B1246" s="532"/>
      <c r="C1246" s="11" t="s">
        <v>11095</v>
      </c>
      <c r="D1246" s="533">
        <v>0.75</v>
      </c>
      <c r="E1246" s="533">
        <v>0.75</v>
      </c>
      <c r="F1246" s="11" t="s">
        <v>1656</v>
      </c>
      <c r="G1246" s="10"/>
      <c r="H1246" s="11" t="s">
        <v>11096</v>
      </c>
      <c r="I1246" s="10"/>
      <c r="J1246" s="536" t="s">
        <v>12517</v>
      </c>
      <c r="K1246" s="536">
        <v>6785.0</v>
      </c>
    </row>
    <row r="1247" hidden="1">
      <c r="A1247" s="531" t="s">
        <v>12951</v>
      </c>
      <c r="B1247" s="539"/>
      <c r="C1247" s="11" t="s">
        <v>11095</v>
      </c>
      <c r="D1247" s="533">
        <v>0.75</v>
      </c>
      <c r="E1247" s="533">
        <v>0.75</v>
      </c>
      <c r="F1247" s="11" t="s">
        <v>1656</v>
      </c>
      <c r="G1247" s="10"/>
      <c r="H1247" s="11" t="s">
        <v>11096</v>
      </c>
      <c r="I1247" s="10"/>
      <c r="J1247" s="536" t="s">
        <v>12518</v>
      </c>
      <c r="K1247" s="540"/>
    </row>
    <row r="1248" hidden="1">
      <c r="A1248" s="531" t="s">
        <v>12952</v>
      </c>
      <c r="B1248" s="532"/>
      <c r="C1248" s="11" t="s">
        <v>11095</v>
      </c>
      <c r="D1248" s="533">
        <v>0.75</v>
      </c>
      <c r="E1248" s="533">
        <v>0.75</v>
      </c>
      <c r="F1248" s="11" t="s">
        <v>1656</v>
      </c>
      <c r="G1248" s="10"/>
      <c r="H1248" s="11" t="s">
        <v>11096</v>
      </c>
      <c r="I1248" s="10"/>
      <c r="J1248" s="536" t="s">
        <v>12519</v>
      </c>
      <c r="K1248" s="536">
        <v>14571.0</v>
      </c>
    </row>
    <row r="1249" hidden="1">
      <c r="A1249" s="531" t="s">
        <v>12953</v>
      </c>
      <c r="B1249" s="532"/>
      <c r="C1249" s="11" t="s">
        <v>11095</v>
      </c>
      <c r="D1249" s="533">
        <v>0.75</v>
      </c>
      <c r="E1249" s="533">
        <v>0.75</v>
      </c>
      <c r="F1249" s="11" t="s">
        <v>1656</v>
      </c>
      <c r="G1249" s="10"/>
      <c r="H1249" s="11" t="s">
        <v>11096</v>
      </c>
      <c r="I1249" s="10"/>
      <c r="J1249" s="536" t="s">
        <v>12520</v>
      </c>
      <c r="K1249" s="536">
        <v>14571.0</v>
      </c>
    </row>
    <row r="1250" hidden="1">
      <c r="A1250" s="531" t="s">
        <v>12954</v>
      </c>
      <c r="B1250" s="539"/>
      <c r="C1250" s="11" t="s">
        <v>11095</v>
      </c>
      <c r="D1250" s="533">
        <v>0.75</v>
      </c>
      <c r="E1250" s="533">
        <v>0.75</v>
      </c>
      <c r="F1250" s="11" t="s">
        <v>1656</v>
      </c>
      <c r="G1250" s="10"/>
      <c r="H1250" s="11" t="s">
        <v>11096</v>
      </c>
      <c r="I1250" s="10"/>
      <c r="J1250" s="536" t="s">
        <v>12521</v>
      </c>
      <c r="K1250" s="540"/>
    </row>
    <row r="1251" hidden="1">
      <c r="A1251" s="531" t="s">
        <v>12955</v>
      </c>
      <c r="B1251" s="532"/>
      <c r="C1251" s="11" t="s">
        <v>11095</v>
      </c>
      <c r="D1251" s="533">
        <v>0.75</v>
      </c>
      <c r="E1251" s="533">
        <v>0.75</v>
      </c>
      <c r="F1251" s="11" t="s">
        <v>1656</v>
      </c>
      <c r="G1251" s="10"/>
      <c r="H1251" s="11" t="s">
        <v>11096</v>
      </c>
      <c r="I1251" s="10"/>
      <c r="J1251" s="536" t="s">
        <v>12523</v>
      </c>
      <c r="K1251" s="536">
        <v>6729.0</v>
      </c>
    </row>
    <row r="1252" hidden="1">
      <c r="A1252" s="531" t="s">
        <v>12956</v>
      </c>
      <c r="B1252" s="532"/>
      <c r="C1252" s="11" t="s">
        <v>11095</v>
      </c>
      <c r="D1252" s="533">
        <v>0.75</v>
      </c>
      <c r="E1252" s="533">
        <v>0.75</v>
      </c>
      <c r="F1252" s="11" t="s">
        <v>1656</v>
      </c>
      <c r="G1252" s="10"/>
      <c r="H1252" s="11" t="s">
        <v>11096</v>
      </c>
      <c r="I1252" s="10"/>
      <c r="J1252" s="536" t="s">
        <v>12525</v>
      </c>
      <c r="K1252" s="536">
        <v>8199.0</v>
      </c>
    </row>
    <row r="1253" hidden="1">
      <c r="A1253" s="531" t="s">
        <v>12957</v>
      </c>
      <c r="B1253" s="532"/>
      <c r="C1253" s="11" t="s">
        <v>11095</v>
      </c>
      <c r="D1253" s="533">
        <v>0.75</v>
      </c>
      <c r="E1253" s="533">
        <v>0.75</v>
      </c>
      <c r="F1253" s="11" t="s">
        <v>1656</v>
      </c>
      <c r="G1253" s="10"/>
      <c r="H1253" s="11" t="s">
        <v>11096</v>
      </c>
      <c r="I1253" s="10"/>
      <c r="J1253" s="536" t="s">
        <v>12527</v>
      </c>
      <c r="K1253" s="536">
        <v>6729.0</v>
      </c>
    </row>
    <row r="1254" hidden="1">
      <c r="A1254" s="531" t="s">
        <v>12958</v>
      </c>
      <c r="B1254" s="532"/>
      <c r="C1254" s="11" t="s">
        <v>11095</v>
      </c>
      <c r="D1254" s="533">
        <v>0.75</v>
      </c>
      <c r="E1254" s="533">
        <v>0.75</v>
      </c>
      <c r="F1254" s="11" t="s">
        <v>1656</v>
      </c>
      <c r="G1254" s="10"/>
      <c r="H1254" s="11" t="s">
        <v>11096</v>
      </c>
      <c r="I1254" s="10"/>
      <c r="J1254" s="536" t="s">
        <v>12528</v>
      </c>
      <c r="K1254" s="536">
        <v>6729.0</v>
      </c>
    </row>
    <row r="1255" hidden="1">
      <c r="A1255" s="531" t="s">
        <v>12959</v>
      </c>
      <c r="B1255" s="532"/>
      <c r="C1255" s="11" t="s">
        <v>11095</v>
      </c>
      <c r="D1255" s="533">
        <v>0.75</v>
      </c>
      <c r="E1255" s="533">
        <v>0.75</v>
      </c>
      <c r="F1255" s="11" t="s">
        <v>1656</v>
      </c>
      <c r="G1255" s="10"/>
      <c r="H1255" s="11" t="s">
        <v>11096</v>
      </c>
      <c r="I1255" s="10"/>
      <c r="J1255" s="536" t="s">
        <v>12530</v>
      </c>
      <c r="K1255" s="536">
        <v>6729.0</v>
      </c>
    </row>
    <row r="1256" hidden="1">
      <c r="A1256" s="531" t="s">
        <v>12960</v>
      </c>
      <c r="B1256" s="532"/>
      <c r="C1256" s="11" t="s">
        <v>11095</v>
      </c>
      <c r="D1256" s="533">
        <v>0.75</v>
      </c>
      <c r="E1256" s="533">
        <v>0.75</v>
      </c>
      <c r="F1256" s="11" t="s">
        <v>1656</v>
      </c>
      <c r="G1256" s="10"/>
      <c r="H1256" s="11" t="s">
        <v>11096</v>
      </c>
      <c r="I1256" s="10"/>
      <c r="J1256" s="536" t="s">
        <v>12531</v>
      </c>
      <c r="K1256" s="536">
        <v>12932.0</v>
      </c>
    </row>
    <row r="1257" hidden="1">
      <c r="A1257" s="531" t="s">
        <v>12961</v>
      </c>
      <c r="B1257" s="532"/>
      <c r="C1257" s="11" t="s">
        <v>11095</v>
      </c>
      <c r="D1257" s="533">
        <v>0.75</v>
      </c>
      <c r="E1257" s="533">
        <v>0.75</v>
      </c>
      <c r="F1257" s="11" t="s">
        <v>1656</v>
      </c>
      <c r="G1257" s="10"/>
      <c r="H1257" s="11" t="s">
        <v>11096</v>
      </c>
      <c r="I1257" s="10"/>
      <c r="J1257" s="536" t="s">
        <v>12533</v>
      </c>
      <c r="K1257" s="536">
        <v>13951.0</v>
      </c>
    </row>
    <row r="1258" hidden="1">
      <c r="A1258" s="531">
        <v>932.0</v>
      </c>
      <c r="B1258" s="532"/>
      <c r="C1258" s="11" t="s">
        <v>11095</v>
      </c>
      <c r="D1258" s="533">
        <v>0.75</v>
      </c>
      <c r="E1258" s="533">
        <v>0.75</v>
      </c>
      <c r="F1258" s="11" t="s">
        <v>1656</v>
      </c>
      <c r="G1258" s="10"/>
      <c r="H1258" s="11" t="s">
        <v>11096</v>
      </c>
      <c r="I1258" s="10"/>
      <c r="J1258" s="536" t="s">
        <v>12534</v>
      </c>
      <c r="K1258" s="536">
        <v>14277.0</v>
      </c>
    </row>
    <row r="1259" hidden="1">
      <c r="A1259" s="531" t="s">
        <v>12962</v>
      </c>
      <c r="B1259" s="532"/>
      <c r="C1259" s="11" t="s">
        <v>11095</v>
      </c>
      <c r="D1259" s="533">
        <v>0.75</v>
      </c>
      <c r="E1259" s="533">
        <v>0.75</v>
      </c>
      <c r="F1259" s="11" t="s">
        <v>1656</v>
      </c>
      <c r="G1259" s="10"/>
      <c r="H1259" s="11" t="s">
        <v>11096</v>
      </c>
      <c r="I1259" s="10"/>
      <c r="J1259" s="536" t="s">
        <v>12535</v>
      </c>
      <c r="K1259" s="536">
        <v>14277.0</v>
      </c>
    </row>
    <row r="1260" hidden="1">
      <c r="A1260" s="531" t="s">
        <v>12963</v>
      </c>
      <c r="B1260" s="532"/>
      <c r="C1260" s="11" t="s">
        <v>11095</v>
      </c>
      <c r="D1260" s="533">
        <v>0.75</v>
      </c>
      <c r="E1260" s="533">
        <v>0.75</v>
      </c>
      <c r="F1260" s="11" t="s">
        <v>1656</v>
      </c>
      <c r="G1260" s="10"/>
      <c r="H1260" s="11" t="s">
        <v>11096</v>
      </c>
      <c r="I1260" s="10"/>
      <c r="J1260" s="536" t="s">
        <v>12536</v>
      </c>
      <c r="K1260" s="536">
        <v>9701.0</v>
      </c>
    </row>
    <row r="1261" hidden="1">
      <c r="A1261" s="531" t="s">
        <v>12964</v>
      </c>
      <c r="B1261" s="532"/>
      <c r="C1261" s="11" t="s">
        <v>11095</v>
      </c>
      <c r="D1261" s="533">
        <v>0.75</v>
      </c>
      <c r="E1261" s="533">
        <v>0.75</v>
      </c>
      <c r="F1261" s="11" t="s">
        <v>1656</v>
      </c>
      <c r="G1261" s="10"/>
      <c r="H1261" s="11" t="s">
        <v>11096</v>
      </c>
      <c r="I1261" s="10"/>
      <c r="J1261" s="536" t="s">
        <v>12537</v>
      </c>
      <c r="K1261" s="536">
        <v>14476.0</v>
      </c>
    </row>
    <row r="1262" hidden="1">
      <c r="A1262" s="531">
        <v>743.0</v>
      </c>
      <c r="B1262" s="539"/>
      <c r="C1262" s="11" t="s">
        <v>11095</v>
      </c>
      <c r="D1262" s="533">
        <v>0.75</v>
      </c>
      <c r="E1262" s="533">
        <v>0.75</v>
      </c>
      <c r="F1262" s="11" t="s">
        <v>1656</v>
      </c>
      <c r="G1262" s="10"/>
      <c r="H1262" s="11" t="s">
        <v>11096</v>
      </c>
      <c r="I1262" s="10"/>
      <c r="J1262" s="536" t="s">
        <v>12538</v>
      </c>
      <c r="K1262" s="540"/>
    </row>
    <row r="1263" hidden="1">
      <c r="A1263" s="531" t="s">
        <v>12965</v>
      </c>
      <c r="B1263" s="532"/>
      <c r="C1263" s="11" t="s">
        <v>11095</v>
      </c>
      <c r="D1263" s="533">
        <v>0.75</v>
      </c>
      <c r="E1263" s="533">
        <v>0.75</v>
      </c>
      <c r="F1263" s="11" t="s">
        <v>1656</v>
      </c>
      <c r="G1263" s="10"/>
      <c r="H1263" s="11" t="s">
        <v>11096</v>
      </c>
      <c r="I1263" s="10"/>
      <c r="J1263" s="536" t="s">
        <v>12539</v>
      </c>
      <c r="K1263" s="536">
        <v>5389.0</v>
      </c>
    </row>
    <row r="1264" hidden="1">
      <c r="A1264" s="531" t="s">
        <v>12966</v>
      </c>
      <c r="B1264" s="532"/>
      <c r="C1264" s="11" t="s">
        <v>11095</v>
      </c>
      <c r="D1264" s="533">
        <v>0.75</v>
      </c>
      <c r="E1264" s="533">
        <v>0.75</v>
      </c>
      <c r="F1264" s="11" t="s">
        <v>1656</v>
      </c>
      <c r="G1264" s="10"/>
      <c r="H1264" s="11" t="s">
        <v>11096</v>
      </c>
      <c r="I1264" s="10"/>
      <c r="J1264" s="536" t="s">
        <v>11744</v>
      </c>
      <c r="K1264" s="536">
        <v>2093.0</v>
      </c>
    </row>
    <row r="1265" hidden="1">
      <c r="A1265" s="531" t="s">
        <v>12967</v>
      </c>
      <c r="B1265" s="532"/>
      <c r="C1265" s="11" t="s">
        <v>11095</v>
      </c>
      <c r="D1265" s="533">
        <v>0.75</v>
      </c>
      <c r="E1265" s="533">
        <v>0.75</v>
      </c>
      <c r="F1265" s="11" t="s">
        <v>1656</v>
      </c>
      <c r="G1265" s="10"/>
      <c r="H1265" s="11" t="s">
        <v>11096</v>
      </c>
      <c r="I1265" s="10"/>
      <c r="J1265" s="536" t="s">
        <v>12229</v>
      </c>
      <c r="K1265" s="536">
        <v>2093.0</v>
      </c>
    </row>
    <row r="1266" hidden="1">
      <c r="A1266" s="531" t="s">
        <v>12968</v>
      </c>
      <c r="B1266" s="532"/>
      <c r="C1266" s="11" t="s">
        <v>11095</v>
      </c>
      <c r="D1266" s="533">
        <v>0.75</v>
      </c>
      <c r="E1266" s="533">
        <v>0.75</v>
      </c>
      <c r="F1266" s="11" t="s">
        <v>1656</v>
      </c>
      <c r="G1266" s="10"/>
      <c r="H1266" s="11" t="s">
        <v>11096</v>
      </c>
      <c r="I1266" s="10"/>
      <c r="J1266" s="536" t="s">
        <v>12228</v>
      </c>
      <c r="K1266" s="536">
        <v>2093.0</v>
      </c>
    </row>
    <row r="1267" hidden="1">
      <c r="A1267" s="531" t="s">
        <v>12969</v>
      </c>
      <c r="B1267" s="532"/>
      <c r="C1267" s="11" t="s">
        <v>11095</v>
      </c>
      <c r="D1267" s="533">
        <v>0.75</v>
      </c>
      <c r="E1267" s="533">
        <v>0.75</v>
      </c>
      <c r="F1267" s="11" t="s">
        <v>1656</v>
      </c>
      <c r="G1267" s="10"/>
      <c r="H1267" s="11" t="s">
        <v>11096</v>
      </c>
      <c r="I1267" s="10"/>
      <c r="J1267" s="536" t="s">
        <v>11513</v>
      </c>
      <c r="K1267" s="536">
        <v>2093.0</v>
      </c>
    </row>
    <row r="1268" hidden="1">
      <c r="A1268" s="531" t="s">
        <v>12970</v>
      </c>
      <c r="B1268" s="532"/>
      <c r="C1268" s="11" t="s">
        <v>11095</v>
      </c>
      <c r="D1268" s="533">
        <v>0.75</v>
      </c>
      <c r="E1268" s="533">
        <v>0.75</v>
      </c>
      <c r="F1268" s="11" t="s">
        <v>1656</v>
      </c>
      <c r="G1268" s="10"/>
      <c r="H1268" s="11" t="s">
        <v>11096</v>
      </c>
      <c r="I1268" s="10"/>
      <c r="J1268" s="536" t="s">
        <v>11584</v>
      </c>
      <c r="K1268" s="536">
        <v>2093.0</v>
      </c>
    </row>
    <row r="1269" hidden="1">
      <c r="A1269" s="531" t="s">
        <v>12971</v>
      </c>
      <c r="B1269" s="532"/>
      <c r="C1269" s="11" t="s">
        <v>11095</v>
      </c>
      <c r="D1269" s="533">
        <v>0.75</v>
      </c>
      <c r="E1269" s="533">
        <v>0.75</v>
      </c>
      <c r="F1269" s="11" t="s">
        <v>1656</v>
      </c>
      <c r="G1269" s="10"/>
      <c r="H1269" s="11" t="s">
        <v>11096</v>
      </c>
      <c r="I1269" s="10"/>
      <c r="J1269" s="536" t="s">
        <v>12541</v>
      </c>
      <c r="K1269" s="536">
        <v>2093.0</v>
      </c>
    </row>
    <row r="1270" hidden="1">
      <c r="A1270" s="531" t="s">
        <v>12972</v>
      </c>
      <c r="B1270" s="532"/>
      <c r="C1270" s="11" t="s">
        <v>11095</v>
      </c>
      <c r="D1270" s="533">
        <v>0.75</v>
      </c>
      <c r="E1270" s="533">
        <v>0.75</v>
      </c>
      <c r="F1270" s="11" t="s">
        <v>1656</v>
      </c>
      <c r="G1270" s="10"/>
      <c r="H1270" s="11" t="s">
        <v>11096</v>
      </c>
      <c r="I1270" s="10"/>
      <c r="J1270" s="536" t="s">
        <v>11746</v>
      </c>
      <c r="K1270" s="536">
        <v>2093.0</v>
      </c>
    </row>
    <row r="1271" hidden="1">
      <c r="A1271" s="531" t="s">
        <v>12973</v>
      </c>
      <c r="B1271" s="532"/>
      <c r="C1271" s="11" t="s">
        <v>11095</v>
      </c>
      <c r="D1271" s="533">
        <v>0.75</v>
      </c>
      <c r="E1271" s="533">
        <v>0.75</v>
      </c>
      <c r="F1271" s="11" t="s">
        <v>1656</v>
      </c>
      <c r="G1271" s="10"/>
      <c r="H1271" s="11" t="s">
        <v>11096</v>
      </c>
      <c r="I1271" s="10"/>
      <c r="J1271" s="536" t="s">
        <v>11990</v>
      </c>
      <c r="K1271" s="536">
        <v>2093.0</v>
      </c>
    </row>
    <row r="1272" hidden="1">
      <c r="A1272" s="531" t="s">
        <v>12974</v>
      </c>
      <c r="B1272" s="532"/>
      <c r="C1272" s="11" t="s">
        <v>11095</v>
      </c>
      <c r="D1272" s="533">
        <v>0.75</v>
      </c>
      <c r="E1272" s="533">
        <v>0.75</v>
      </c>
      <c r="F1272" s="11" t="s">
        <v>1656</v>
      </c>
      <c r="G1272" s="10"/>
      <c r="H1272" s="11" t="s">
        <v>11096</v>
      </c>
      <c r="I1272" s="10"/>
      <c r="J1272" s="536" t="s">
        <v>12543</v>
      </c>
      <c r="K1272" s="536">
        <v>2093.0</v>
      </c>
    </row>
    <row r="1273" hidden="1">
      <c r="A1273" s="531" t="s">
        <v>12975</v>
      </c>
      <c r="B1273" s="532"/>
      <c r="C1273" s="11" t="s">
        <v>11095</v>
      </c>
      <c r="D1273" s="533">
        <v>0.75</v>
      </c>
      <c r="E1273" s="533">
        <v>0.75</v>
      </c>
      <c r="F1273" s="11" t="s">
        <v>1656</v>
      </c>
      <c r="G1273" s="10"/>
      <c r="H1273" s="11" t="s">
        <v>11096</v>
      </c>
      <c r="I1273" s="10"/>
      <c r="J1273" s="536" t="s">
        <v>12001</v>
      </c>
      <c r="K1273" s="536">
        <v>2093.0</v>
      </c>
    </row>
    <row r="1274" hidden="1">
      <c r="A1274" s="531" t="s">
        <v>12976</v>
      </c>
      <c r="B1274" s="532"/>
      <c r="C1274" s="11" t="s">
        <v>11095</v>
      </c>
      <c r="D1274" s="533">
        <v>0.75</v>
      </c>
      <c r="E1274" s="533">
        <v>0.75</v>
      </c>
      <c r="F1274" s="11" t="s">
        <v>1656</v>
      </c>
      <c r="G1274" s="10"/>
      <c r="H1274" s="11" t="s">
        <v>11096</v>
      </c>
      <c r="I1274" s="10"/>
      <c r="J1274" s="536" t="s">
        <v>12544</v>
      </c>
      <c r="K1274" s="536">
        <v>2093.0</v>
      </c>
    </row>
    <row r="1275" hidden="1">
      <c r="A1275" s="531" t="s">
        <v>12977</v>
      </c>
      <c r="B1275" s="532"/>
      <c r="C1275" s="11" t="s">
        <v>11095</v>
      </c>
      <c r="D1275" s="533">
        <v>0.75</v>
      </c>
      <c r="E1275" s="533">
        <v>0.75</v>
      </c>
      <c r="F1275" s="11" t="s">
        <v>1656</v>
      </c>
      <c r="G1275" s="10"/>
      <c r="H1275" s="11" t="s">
        <v>11096</v>
      </c>
      <c r="I1275" s="10"/>
      <c r="J1275" s="536" t="s">
        <v>12546</v>
      </c>
      <c r="K1275" s="536">
        <v>2093.0</v>
      </c>
    </row>
    <row r="1276" hidden="1">
      <c r="A1276" s="531" t="s">
        <v>12978</v>
      </c>
      <c r="B1276" s="532"/>
      <c r="C1276" s="11" t="s">
        <v>11095</v>
      </c>
      <c r="D1276" s="533">
        <v>0.75</v>
      </c>
      <c r="E1276" s="533">
        <v>0.75</v>
      </c>
      <c r="F1276" s="11" t="s">
        <v>1656</v>
      </c>
      <c r="G1276" s="10"/>
      <c r="H1276" s="11" t="s">
        <v>11096</v>
      </c>
      <c r="I1276" s="10"/>
      <c r="J1276" s="536" t="s">
        <v>11737</v>
      </c>
      <c r="K1276" s="536">
        <v>285.0</v>
      </c>
    </row>
    <row r="1277" hidden="1">
      <c r="A1277" s="531" t="s">
        <v>12979</v>
      </c>
      <c r="B1277" s="532"/>
      <c r="C1277" s="11" t="s">
        <v>11095</v>
      </c>
      <c r="D1277" s="533">
        <v>0.75</v>
      </c>
      <c r="E1277" s="533">
        <v>0.75</v>
      </c>
      <c r="F1277" s="11" t="s">
        <v>1656</v>
      </c>
      <c r="G1277" s="10"/>
      <c r="H1277" s="11" t="s">
        <v>11096</v>
      </c>
      <c r="I1277" s="10"/>
      <c r="J1277" s="536" t="s">
        <v>12081</v>
      </c>
      <c r="K1277" s="536">
        <v>285.0</v>
      </c>
    </row>
    <row r="1278" hidden="1">
      <c r="A1278" s="531" t="s">
        <v>12980</v>
      </c>
      <c r="B1278" s="532"/>
      <c r="C1278" s="11" t="s">
        <v>11095</v>
      </c>
      <c r="D1278" s="533">
        <v>0.75</v>
      </c>
      <c r="E1278" s="533">
        <v>0.75</v>
      </c>
      <c r="F1278" s="11" t="s">
        <v>1656</v>
      </c>
      <c r="G1278" s="10"/>
      <c r="H1278" s="11" t="s">
        <v>11096</v>
      </c>
      <c r="I1278" s="10"/>
      <c r="J1278" s="536" t="s">
        <v>12547</v>
      </c>
      <c r="K1278" s="536">
        <v>285.0</v>
      </c>
    </row>
    <row r="1279" hidden="1">
      <c r="A1279" s="531" t="s">
        <v>12981</v>
      </c>
      <c r="B1279" s="532"/>
      <c r="C1279" s="11" t="s">
        <v>11095</v>
      </c>
      <c r="D1279" s="533">
        <v>0.75</v>
      </c>
      <c r="E1279" s="533">
        <v>0.75</v>
      </c>
      <c r="F1279" s="11" t="s">
        <v>1656</v>
      </c>
      <c r="G1279" s="10"/>
      <c r="H1279" s="11" t="s">
        <v>11096</v>
      </c>
      <c r="I1279" s="10"/>
      <c r="J1279" s="536" t="s">
        <v>12548</v>
      </c>
      <c r="K1279" s="536">
        <v>285.0</v>
      </c>
    </row>
    <row r="1280" hidden="1">
      <c r="A1280" s="531" t="s">
        <v>12982</v>
      </c>
      <c r="B1280" s="532"/>
      <c r="C1280" s="11" t="s">
        <v>11095</v>
      </c>
      <c r="D1280" s="533">
        <v>0.75</v>
      </c>
      <c r="E1280" s="533">
        <v>0.75</v>
      </c>
      <c r="F1280" s="11" t="s">
        <v>1656</v>
      </c>
      <c r="G1280" s="10"/>
      <c r="H1280" s="11" t="s">
        <v>11096</v>
      </c>
      <c r="I1280" s="10"/>
      <c r="J1280" s="536" t="s">
        <v>12549</v>
      </c>
      <c r="K1280" s="536">
        <v>285.0</v>
      </c>
    </row>
    <row r="1281" hidden="1">
      <c r="A1281" s="531" t="s">
        <v>12983</v>
      </c>
      <c r="B1281" s="532"/>
      <c r="C1281" s="11" t="s">
        <v>11095</v>
      </c>
      <c r="D1281" s="533">
        <v>0.75</v>
      </c>
      <c r="E1281" s="533">
        <v>0.75</v>
      </c>
      <c r="F1281" s="11" t="s">
        <v>1656</v>
      </c>
      <c r="G1281" s="10"/>
      <c r="H1281" s="11" t="s">
        <v>11096</v>
      </c>
      <c r="I1281" s="10"/>
      <c r="J1281" s="536" t="s">
        <v>12550</v>
      </c>
      <c r="K1281" s="536">
        <v>285.0</v>
      </c>
    </row>
    <row r="1282" hidden="1">
      <c r="A1282" s="531" t="s">
        <v>12984</v>
      </c>
      <c r="B1282" s="532"/>
      <c r="C1282" s="11" t="s">
        <v>11095</v>
      </c>
      <c r="D1282" s="533">
        <v>0.75</v>
      </c>
      <c r="E1282" s="533">
        <v>0.75</v>
      </c>
      <c r="F1282" s="11" t="s">
        <v>1656</v>
      </c>
      <c r="G1282" s="10"/>
      <c r="H1282" s="11" t="s">
        <v>11096</v>
      </c>
      <c r="I1282" s="10"/>
      <c r="J1282" s="536" t="s">
        <v>12552</v>
      </c>
      <c r="K1282" s="536">
        <v>285.0</v>
      </c>
    </row>
    <row r="1283" hidden="1">
      <c r="A1283" s="531" t="s">
        <v>12985</v>
      </c>
      <c r="B1283" s="532"/>
      <c r="C1283" s="11" t="s">
        <v>11095</v>
      </c>
      <c r="D1283" s="533">
        <v>0.75</v>
      </c>
      <c r="E1283" s="533">
        <v>0.75</v>
      </c>
      <c r="F1283" s="11" t="s">
        <v>1656</v>
      </c>
      <c r="G1283" s="10"/>
      <c r="H1283" s="11" t="s">
        <v>11096</v>
      </c>
      <c r="I1283" s="10"/>
      <c r="J1283" s="536" t="s">
        <v>12553</v>
      </c>
      <c r="K1283" s="536">
        <v>285.0</v>
      </c>
    </row>
    <row r="1284" hidden="1">
      <c r="A1284" s="531" t="s">
        <v>12986</v>
      </c>
      <c r="B1284" s="532"/>
      <c r="C1284" s="11" t="s">
        <v>11095</v>
      </c>
      <c r="D1284" s="533">
        <v>0.75</v>
      </c>
      <c r="E1284" s="533">
        <v>0.75</v>
      </c>
      <c r="F1284" s="11" t="s">
        <v>1656</v>
      </c>
      <c r="G1284" s="10"/>
      <c r="H1284" s="11" t="s">
        <v>11096</v>
      </c>
      <c r="I1284" s="10"/>
      <c r="J1284" s="536" t="s">
        <v>12555</v>
      </c>
      <c r="K1284" s="536">
        <v>285.0</v>
      </c>
    </row>
    <row r="1285" hidden="1">
      <c r="A1285" s="531" t="s">
        <v>12987</v>
      </c>
      <c r="B1285" s="532"/>
      <c r="C1285" s="11" t="s">
        <v>11095</v>
      </c>
      <c r="D1285" s="533">
        <v>0.75</v>
      </c>
      <c r="E1285" s="533">
        <v>0.75</v>
      </c>
      <c r="F1285" s="11" t="s">
        <v>1656</v>
      </c>
      <c r="G1285" s="10"/>
      <c r="H1285" s="11" t="s">
        <v>11096</v>
      </c>
      <c r="I1285" s="10"/>
      <c r="J1285" s="536" t="s">
        <v>12557</v>
      </c>
      <c r="K1285" s="536">
        <v>285.0</v>
      </c>
    </row>
    <row r="1286" hidden="1">
      <c r="A1286" s="531" t="s">
        <v>12988</v>
      </c>
      <c r="B1286" s="532"/>
      <c r="C1286" s="11" t="s">
        <v>11095</v>
      </c>
      <c r="D1286" s="533">
        <v>0.75</v>
      </c>
      <c r="E1286" s="533">
        <v>0.75</v>
      </c>
      <c r="F1286" s="11" t="s">
        <v>1656</v>
      </c>
      <c r="G1286" s="10"/>
      <c r="H1286" s="11" t="s">
        <v>11096</v>
      </c>
      <c r="I1286" s="10"/>
      <c r="J1286" s="536" t="s">
        <v>12558</v>
      </c>
      <c r="K1286" s="536">
        <v>285.0</v>
      </c>
    </row>
    <row r="1287" hidden="1">
      <c r="A1287" s="531" t="s">
        <v>12989</v>
      </c>
      <c r="B1287" s="539"/>
      <c r="C1287" s="11" t="s">
        <v>11095</v>
      </c>
      <c r="D1287" s="533">
        <v>0.75</v>
      </c>
      <c r="E1287" s="533">
        <v>0.75</v>
      </c>
      <c r="F1287" s="11" t="s">
        <v>1656</v>
      </c>
      <c r="G1287" s="10"/>
      <c r="H1287" s="11" t="s">
        <v>11096</v>
      </c>
      <c r="I1287" s="10"/>
      <c r="J1287" s="536" t="s">
        <v>12559</v>
      </c>
      <c r="K1287" s="540"/>
    </row>
    <row r="1288" hidden="1">
      <c r="A1288" s="531" t="s">
        <v>12990</v>
      </c>
      <c r="B1288" s="539"/>
      <c r="C1288" s="11" t="s">
        <v>11095</v>
      </c>
      <c r="D1288" s="533">
        <v>0.75</v>
      </c>
      <c r="E1288" s="533">
        <v>0.75</v>
      </c>
      <c r="F1288" s="11" t="s">
        <v>1656</v>
      </c>
      <c r="G1288" s="10"/>
      <c r="H1288" s="11" t="s">
        <v>11096</v>
      </c>
      <c r="I1288" s="10"/>
      <c r="J1288" s="536" t="s">
        <v>12561</v>
      </c>
      <c r="K1288" s="540"/>
    </row>
    <row r="1289" hidden="1">
      <c r="A1289" s="531" t="s">
        <v>12991</v>
      </c>
      <c r="B1289" s="539"/>
      <c r="C1289" s="11" t="s">
        <v>11095</v>
      </c>
      <c r="D1289" s="533">
        <v>0.75</v>
      </c>
      <c r="E1289" s="533">
        <v>0.75</v>
      </c>
      <c r="F1289" s="11" t="s">
        <v>1656</v>
      </c>
      <c r="G1289" s="10"/>
      <c r="H1289" s="11" t="s">
        <v>11096</v>
      </c>
      <c r="I1289" s="10"/>
      <c r="J1289" s="536" t="s">
        <v>12562</v>
      </c>
      <c r="K1289" s="540"/>
    </row>
    <row r="1290" hidden="1">
      <c r="A1290" s="531" t="s">
        <v>12992</v>
      </c>
      <c r="B1290" s="539"/>
      <c r="C1290" s="11" t="s">
        <v>11095</v>
      </c>
      <c r="D1290" s="533">
        <v>0.75</v>
      </c>
      <c r="E1290" s="533">
        <v>0.75</v>
      </c>
      <c r="F1290" s="11" t="s">
        <v>1656</v>
      </c>
      <c r="G1290" s="10"/>
      <c r="H1290" s="11" t="s">
        <v>11096</v>
      </c>
      <c r="I1290" s="10"/>
      <c r="J1290" s="536" t="s">
        <v>12563</v>
      </c>
      <c r="K1290" s="540"/>
    </row>
    <row r="1291" hidden="1">
      <c r="A1291" s="531" t="s">
        <v>12993</v>
      </c>
      <c r="B1291" s="532"/>
      <c r="C1291" s="11" t="s">
        <v>11095</v>
      </c>
      <c r="D1291" s="533">
        <v>0.75</v>
      </c>
      <c r="E1291" s="533">
        <v>0.75</v>
      </c>
      <c r="F1291" s="11" t="s">
        <v>1656</v>
      </c>
      <c r="G1291" s="10"/>
      <c r="H1291" s="11" t="s">
        <v>11096</v>
      </c>
      <c r="I1291" s="10"/>
      <c r="J1291" s="536" t="s">
        <v>11826</v>
      </c>
      <c r="K1291" s="536">
        <v>13858.0</v>
      </c>
    </row>
    <row r="1292" hidden="1">
      <c r="A1292" s="531" t="s">
        <v>12994</v>
      </c>
      <c r="B1292" s="532"/>
      <c r="C1292" s="11" t="s">
        <v>11095</v>
      </c>
      <c r="D1292" s="533">
        <v>0.75</v>
      </c>
      <c r="E1292" s="533">
        <v>0.75</v>
      </c>
      <c r="F1292" s="11" t="s">
        <v>1656</v>
      </c>
      <c r="G1292" s="10"/>
      <c r="H1292" s="11" t="s">
        <v>11096</v>
      </c>
      <c r="I1292" s="10"/>
      <c r="J1292" s="536" t="s">
        <v>12074</v>
      </c>
      <c r="K1292" s="536">
        <v>6767.0</v>
      </c>
    </row>
    <row r="1293" hidden="1">
      <c r="A1293" s="531" t="s">
        <v>12995</v>
      </c>
      <c r="B1293" s="539"/>
      <c r="C1293" s="11" t="s">
        <v>11095</v>
      </c>
      <c r="D1293" s="533">
        <v>0.75</v>
      </c>
      <c r="E1293" s="533">
        <v>0.75</v>
      </c>
      <c r="F1293" s="11" t="s">
        <v>1656</v>
      </c>
      <c r="G1293" s="10"/>
      <c r="H1293" s="11" t="s">
        <v>11096</v>
      </c>
      <c r="I1293" s="10"/>
      <c r="J1293" s="536" t="s">
        <v>12564</v>
      </c>
      <c r="K1293" s="540"/>
    </row>
    <row r="1294" hidden="1">
      <c r="A1294" s="531" t="s">
        <v>12996</v>
      </c>
      <c r="B1294" s="539"/>
      <c r="C1294" s="11" t="s">
        <v>11095</v>
      </c>
      <c r="D1294" s="533">
        <v>0.75</v>
      </c>
      <c r="E1294" s="533">
        <v>0.75</v>
      </c>
      <c r="F1294" s="11" t="s">
        <v>1656</v>
      </c>
      <c r="G1294" s="10"/>
      <c r="H1294" s="11" t="s">
        <v>11096</v>
      </c>
      <c r="I1294" s="10"/>
      <c r="J1294" s="536" t="s">
        <v>12566</v>
      </c>
      <c r="K1294" s="540"/>
    </row>
    <row r="1295" hidden="1">
      <c r="A1295" s="531" t="s">
        <v>12997</v>
      </c>
      <c r="B1295" s="539"/>
      <c r="C1295" s="11" t="s">
        <v>11095</v>
      </c>
      <c r="D1295" s="533">
        <v>0.75</v>
      </c>
      <c r="E1295" s="533">
        <v>0.75</v>
      </c>
      <c r="F1295" s="11" t="s">
        <v>1656</v>
      </c>
      <c r="G1295" s="10"/>
      <c r="H1295" s="11" t="s">
        <v>11096</v>
      </c>
      <c r="I1295" s="10"/>
      <c r="J1295" s="536" t="s">
        <v>12568</v>
      </c>
      <c r="K1295" s="540"/>
    </row>
    <row r="1296" hidden="1">
      <c r="A1296" s="531" t="s">
        <v>12998</v>
      </c>
      <c r="B1296" s="532"/>
      <c r="C1296" s="11" t="s">
        <v>11095</v>
      </c>
      <c r="D1296" s="533">
        <v>0.75</v>
      </c>
      <c r="E1296" s="533">
        <v>0.75</v>
      </c>
      <c r="F1296" s="11" t="s">
        <v>1656</v>
      </c>
      <c r="G1296" s="10"/>
      <c r="H1296" s="11" t="s">
        <v>11096</v>
      </c>
      <c r="I1296" s="10"/>
      <c r="J1296" s="536" t="s">
        <v>12569</v>
      </c>
      <c r="K1296" s="536">
        <v>663.0</v>
      </c>
    </row>
    <row r="1297" hidden="1">
      <c r="A1297" s="531" t="s">
        <v>12999</v>
      </c>
      <c r="B1297" s="539"/>
      <c r="C1297" s="11" t="s">
        <v>11095</v>
      </c>
      <c r="D1297" s="533">
        <v>0.75</v>
      </c>
      <c r="E1297" s="533">
        <v>0.75</v>
      </c>
      <c r="F1297" s="11" t="s">
        <v>1656</v>
      </c>
      <c r="G1297" s="10"/>
      <c r="H1297" s="11" t="s">
        <v>11096</v>
      </c>
      <c r="I1297" s="10"/>
      <c r="J1297" s="536" t="s">
        <v>12571</v>
      </c>
      <c r="K1297" s="540"/>
    </row>
    <row r="1298" hidden="1">
      <c r="A1298" s="531" t="s">
        <v>13000</v>
      </c>
      <c r="B1298" s="539"/>
      <c r="C1298" s="11" t="s">
        <v>11095</v>
      </c>
      <c r="D1298" s="533">
        <v>0.75</v>
      </c>
      <c r="E1298" s="533">
        <v>0.75</v>
      </c>
      <c r="F1298" s="11" t="s">
        <v>1656</v>
      </c>
      <c r="G1298" s="10"/>
      <c r="H1298" s="11" t="s">
        <v>11096</v>
      </c>
      <c r="I1298" s="10"/>
      <c r="J1298" s="536" t="s">
        <v>12573</v>
      </c>
      <c r="K1298" s="540"/>
    </row>
    <row r="1299" hidden="1">
      <c r="A1299" s="531" t="s">
        <v>13001</v>
      </c>
      <c r="B1299" s="539"/>
      <c r="C1299" s="11" t="s">
        <v>11095</v>
      </c>
      <c r="D1299" s="533">
        <v>0.75</v>
      </c>
      <c r="E1299" s="533">
        <v>0.75</v>
      </c>
      <c r="F1299" s="11" t="s">
        <v>1656</v>
      </c>
      <c r="G1299" s="10"/>
      <c r="H1299" s="11" t="s">
        <v>11096</v>
      </c>
      <c r="I1299" s="10"/>
      <c r="J1299" s="536" t="s">
        <v>12574</v>
      </c>
      <c r="K1299" s="540"/>
    </row>
    <row r="1300" hidden="1">
      <c r="A1300" s="531" t="s">
        <v>13002</v>
      </c>
      <c r="B1300" s="539"/>
      <c r="C1300" s="11" t="s">
        <v>11095</v>
      </c>
      <c r="D1300" s="533">
        <v>0.75</v>
      </c>
      <c r="E1300" s="533">
        <v>0.75</v>
      </c>
      <c r="F1300" s="11" t="s">
        <v>1656</v>
      </c>
      <c r="G1300" s="10"/>
      <c r="H1300" s="11" t="s">
        <v>11096</v>
      </c>
      <c r="I1300" s="10"/>
      <c r="J1300" s="536" t="s">
        <v>12575</v>
      </c>
      <c r="K1300" s="540"/>
    </row>
    <row r="1301" hidden="1">
      <c r="A1301" s="531" t="s">
        <v>13003</v>
      </c>
      <c r="B1301" s="532"/>
      <c r="C1301" s="11" t="s">
        <v>11095</v>
      </c>
      <c r="D1301" s="533">
        <v>0.75</v>
      </c>
      <c r="E1301" s="533">
        <v>0.75</v>
      </c>
      <c r="F1301" s="11" t="s">
        <v>1656</v>
      </c>
      <c r="G1301" s="10"/>
      <c r="H1301" s="11" t="s">
        <v>11096</v>
      </c>
      <c r="I1301" s="10"/>
      <c r="J1301" s="536" t="s">
        <v>12576</v>
      </c>
      <c r="K1301" s="536">
        <v>663.0</v>
      </c>
    </row>
    <row r="1302" hidden="1">
      <c r="A1302" s="531" t="s">
        <v>13004</v>
      </c>
      <c r="B1302" s="539"/>
      <c r="C1302" s="11" t="s">
        <v>11095</v>
      </c>
      <c r="D1302" s="533">
        <v>0.75</v>
      </c>
      <c r="E1302" s="533">
        <v>0.75</v>
      </c>
      <c r="F1302" s="11" t="s">
        <v>1656</v>
      </c>
      <c r="G1302" s="10"/>
      <c r="H1302" s="11" t="s">
        <v>11096</v>
      </c>
      <c r="I1302" s="10"/>
      <c r="J1302" s="536" t="s">
        <v>12578</v>
      </c>
      <c r="K1302" s="540"/>
    </row>
    <row r="1303" hidden="1">
      <c r="A1303" s="531" t="s">
        <v>13005</v>
      </c>
      <c r="B1303" s="539"/>
      <c r="C1303" s="11" t="s">
        <v>11095</v>
      </c>
      <c r="D1303" s="533">
        <v>0.75</v>
      </c>
      <c r="E1303" s="533">
        <v>0.75</v>
      </c>
      <c r="F1303" s="11" t="s">
        <v>1656</v>
      </c>
      <c r="G1303" s="10"/>
      <c r="H1303" s="11" t="s">
        <v>11096</v>
      </c>
      <c r="I1303" s="10"/>
      <c r="J1303" s="536" t="s">
        <v>12579</v>
      </c>
      <c r="K1303" s="540"/>
    </row>
    <row r="1304" hidden="1">
      <c r="A1304" s="531" t="s">
        <v>13006</v>
      </c>
      <c r="B1304" s="539"/>
      <c r="C1304" s="11" t="s">
        <v>11095</v>
      </c>
      <c r="D1304" s="533">
        <v>0.75</v>
      </c>
      <c r="E1304" s="533">
        <v>0.75</v>
      </c>
      <c r="F1304" s="11" t="s">
        <v>1656</v>
      </c>
      <c r="G1304" s="10"/>
      <c r="H1304" s="11" t="s">
        <v>11096</v>
      </c>
      <c r="I1304" s="10"/>
      <c r="J1304" s="536" t="s">
        <v>12580</v>
      </c>
      <c r="K1304" s="540"/>
    </row>
    <row r="1305" hidden="1">
      <c r="A1305" s="531" t="s">
        <v>13007</v>
      </c>
      <c r="B1305" s="539"/>
      <c r="C1305" s="11" t="s">
        <v>11095</v>
      </c>
      <c r="D1305" s="533">
        <v>0.75</v>
      </c>
      <c r="E1305" s="533">
        <v>0.75</v>
      </c>
      <c r="F1305" s="11" t="s">
        <v>1656</v>
      </c>
      <c r="G1305" s="10"/>
      <c r="H1305" s="11" t="s">
        <v>11096</v>
      </c>
      <c r="I1305" s="10"/>
      <c r="J1305" s="536" t="s">
        <v>12581</v>
      </c>
      <c r="K1305" s="540"/>
    </row>
    <row r="1306" hidden="1">
      <c r="A1306" s="531" t="s">
        <v>13008</v>
      </c>
      <c r="B1306" s="532"/>
      <c r="C1306" s="11" t="s">
        <v>11095</v>
      </c>
      <c r="D1306" s="533">
        <v>0.75</v>
      </c>
      <c r="E1306" s="533">
        <v>0.75</v>
      </c>
      <c r="F1306" s="11" t="s">
        <v>1656</v>
      </c>
      <c r="G1306" s="10"/>
      <c r="H1306" s="11" t="s">
        <v>11096</v>
      </c>
      <c r="I1306" s="10"/>
      <c r="J1306" s="536" t="s">
        <v>12582</v>
      </c>
      <c r="K1306" s="536">
        <v>663.0</v>
      </c>
    </row>
    <row r="1307" hidden="1">
      <c r="A1307" s="531" t="s">
        <v>13009</v>
      </c>
      <c r="B1307" s="539"/>
      <c r="C1307" s="11" t="s">
        <v>11095</v>
      </c>
      <c r="D1307" s="533">
        <v>0.75</v>
      </c>
      <c r="E1307" s="533">
        <v>0.75</v>
      </c>
      <c r="F1307" s="11" t="s">
        <v>1656</v>
      </c>
      <c r="G1307" s="10"/>
      <c r="H1307" s="11" t="s">
        <v>11096</v>
      </c>
      <c r="I1307" s="10"/>
      <c r="J1307" s="536" t="s">
        <v>12584</v>
      </c>
      <c r="K1307" s="540"/>
    </row>
    <row r="1308" hidden="1">
      <c r="A1308" s="531" t="s">
        <v>13010</v>
      </c>
      <c r="B1308" s="539"/>
      <c r="C1308" s="11" t="s">
        <v>11095</v>
      </c>
      <c r="D1308" s="533">
        <v>0.75</v>
      </c>
      <c r="E1308" s="533">
        <v>0.75</v>
      </c>
      <c r="F1308" s="11" t="s">
        <v>1656</v>
      </c>
      <c r="G1308" s="10"/>
      <c r="H1308" s="11" t="s">
        <v>11096</v>
      </c>
      <c r="I1308" s="10"/>
      <c r="J1308" s="536" t="s">
        <v>12585</v>
      </c>
      <c r="K1308" s="540"/>
    </row>
    <row r="1309" hidden="1">
      <c r="A1309" s="531" t="s">
        <v>13011</v>
      </c>
      <c r="B1309" s="539"/>
      <c r="C1309" s="11" t="s">
        <v>11095</v>
      </c>
      <c r="D1309" s="533">
        <v>0.75</v>
      </c>
      <c r="E1309" s="533">
        <v>0.75</v>
      </c>
      <c r="F1309" s="11" t="s">
        <v>1656</v>
      </c>
      <c r="G1309" s="10"/>
      <c r="H1309" s="11" t="s">
        <v>11096</v>
      </c>
      <c r="I1309" s="10"/>
      <c r="J1309" s="536" t="s">
        <v>12586</v>
      </c>
      <c r="K1309" s="540"/>
    </row>
    <row r="1310" hidden="1">
      <c r="A1310" s="531" t="s">
        <v>13012</v>
      </c>
      <c r="B1310" s="539"/>
      <c r="C1310" s="11" t="s">
        <v>11095</v>
      </c>
      <c r="D1310" s="533">
        <v>0.75</v>
      </c>
      <c r="E1310" s="533">
        <v>0.75</v>
      </c>
      <c r="F1310" s="11" t="s">
        <v>1656</v>
      </c>
      <c r="G1310" s="10"/>
      <c r="H1310" s="11" t="s">
        <v>11096</v>
      </c>
      <c r="I1310" s="10"/>
      <c r="J1310" s="536" t="s">
        <v>12587</v>
      </c>
      <c r="K1310" s="540"/>
    </row>
    <row r="1311" hidden="1">
      <c r="A1311" s="531" t="s">
        <v>13013</v>
      </c>
      <c r="B1311" s="532"/>
      <c r="C1311" s="11" t="s">
        <v>11095</v>
      </c>
      <c r="D1311" s="533">
        <v>0.75</v>
      </c>
      <c r="E1311" s="533">
        <v>0.75</v>
      </c>
      <c r="F1311" s="11" t="s">
        <v>1656</v>
      </c>
      <c r="G1311" s="10"/>
      <c r="H1311" s="11" t="s">
        <v>11096</v>
      </c>
      <c r="I1311" s="10"/>
      <c r="J1311" s="536" t="s">
        <v>12588</v>
      </c>
      <c r="K1311" s="536">
        <v>663.0</v>
      </c>
    </row>
    <row r="1312" hidden="1">
      <c r="A1312" s="531" t="s">
        <v>13014</v>
      </c>
      <c r="B1312" s="539"/>
      <c r="C1312" s="11" t="s">
        <v>11095</v>
      </c>
      <c r="D1312" s="533">
        <v>0.75</v>
      </c>
      <c r="E1312" s="533">
        <v>0.75</v>
      </c>
      <c r="F1312" s="11" t="s">
        <v>1656</v>
      </c>
      <c r="G1312" s="10"/>
      <c r="H1312" s="11" t="s">
        <v>11096</v>
      </c>
      <c r="I1312" s="10"/>
      <c r="J1312" s="536" t="s">
        <v>12589</v>
      </c>
      <c r="K1312" s="540"/>
    </row>
    <row r="1313" hidden="1">
      <c r="A1313" s="531" t="s">
        <v>13015</v>
      </c>
      <c r="B1313" s="539"/>
      <c r="C1313" s="11" t="s">
        <v>11095</v>
      </c>
      <c r="D1313" s="533">
        <v>0.75</v>
      </c>
      <c r="E1313" s="533">
        <v>0.75</v>
      </c>
      <c r="F1313" s="11" t="s">
        <v>1656</v>
      </c>
      <c r="G1313" s="10"/>
      <c r="H1313" s="11" t="s">
        <v>11096</v>
      </c>
      <c r="I1313" s="10"/>
      <c r="J1313" s="536" t="s">
        <v>12590</v>
      </c>
      <c r="K1313" s="540"/>
    </row>
    <row r="1314" hidden="1">
      <c r="A1314" s="531" t="s">
        <v>13016</v>
      </c>
      <c r="B1314" s="539"/>
      <c r="C1314" s="11" t="s">
        <v>11095</v>
      </c>
      <c r="D1314" s="533">
        <v>0.75</v>
      </c>
      <c r="E1314" s="533">
        <v>0.75</v>
      </c>
      <c r="F1314" s="11" t="s">
        <v>1656</v>
      </c>
      <c r="G1314" s="10"/>
      <c r="H1314" s="11" t="s">
        <v>11096</v>
      </c>
      <c r="I1314" s="10"/>
      <c r="J1314" s="536" t="s">
        <v>12592</v>
      </c>
      <c r="K1314" s="540"/>
    </row>
    <row r="1315" hidden="1">
      <c r="A1315" s="531" t="s">
        <v>13017</v>
      </c>
      <c r="B1315" s="539"/>
      <c r="C1315" s="11" t="s">
        <v>11095</v>
      </c>
      <c r="D1315" s="533">
        <v>0.75</v>
      </c>
      <c r="E1315" s="533">
        <v>0.75</v>
      </c>
      <c r="F1315" s="11" t="s">
        <v>1656</v>
      </c>
      <c r="G1315" s="10"/>
      <c r="H1315" s="11" t="s">
        <v>11096</v>
      </c>
      <c r="I1315" s="10"/>
      <c r="J1315" s="536" t="s">
        <v>12593</v>
      </c>
      <c r="K1315" s="540"/>
    </row>
    <row r="1316" hidden="1">
      <c r="A1316" s="531" t="s">
        <v>13018</v>
      </c>
      <c r="B1316" s="532"/>
      <c r="C1316" s="11" t="s">
        <v>11095</v>
      </c>
      <c r="D1316" s="533">
        <v>0.75</v>
      </c>
      <c r="E1316" s="533">
        <v>0.75</v>
      </c>
      <c r="F1316" s="11" t="s">
        <v>1656</v>
      </c>
      <c r="G1316" s="10"/>
      <c r="H1316" s="11" t="s">
        <v>11096</v>
      </c>
      <c r="I1316" s="10"/>
      <c r="J1316" s="536" t="s">
        <v>12595</v>
      </c>
      <c r="K1316" s="536">
        <v>663.0</v>
      </c>
    </row>
    <row r="1317" hidden="1">
      <c r="A1317" s="531" t="s">
        <v>13019</v>
      </c>
      <c r="B1317" s="532"/>
      <c r="C1317" s="11" t="s">
        <v>11095</v>
      </c>
      <c r="D1317" s="533">
        <v>0.75</v>
      </c>
      <c r="E1317" s="533">
        <v>0.75</v>
      </c>
      <c r="F1317" s="11" t="s">
        <v>1656</v>
      </c>
      <c r="G1317" s="10"/>
      <c r="H1317" s="11" t="s">
        <v>11096</v>
      </c>
      <c r="I1317" s="10"/>
      <c r="J1317" s="536" t="s">
        <v>11390</v>
      </c>
      <c r="K1317" s="536">
        <v>13864.0</v>
      </c>
    </row>
    <row r="1318" hidden="1">
      <c r="A1318" s="531" t="s">
        <v>13020</v>
      </c>
      <c r="B1318" s="532"/>
      <c r="C1318" s="11" t="s">
        <v>11095</v>
      </c>
      <c r="D1318" s="533">
        <v>0.75</v>
      </c>
      <c r="E1318" s="533">
        <v>0.75</v>
      </c>
      <c r="F1318" s="11" t="s">
        <v>1656</v>
      </c>
      <c r="G1318" s="10"/>
      <c r="H1318" s="11" t="s">
        <v>11096</v>
      </c>
      <c r="I1318" s="10"/>
      <c r="J1318" s="536" t="s">
        <v>11817</v>
      </c>
      <c r="K1318" s="536">
        <v>13864.0</v>
      </c>
    </row>
    <row r="1319" hidden="1">
      <c r="A1319" s="531" t="s">
        <v>13021</v>
      </c>
      <c r="B1319" s="532"/>
      <c r="C1319" s="11" t="s">
        <v>11095</v>
      </c>
      <c r="D1319" s="533">
        <v>0.75</v>
      </c>
      <c r="E1319" s="533">
        <v>0.75</v>
      </c>
      <c r="F1319" s="11" t="s">
        <v>1656</v>
      </c>
      <c r="G1319" s="10"/>
      <c r="H1319" s="11" t="s">
        <v>11096</v>
      </c>
      <c r="I1319" s="10"/>
      <c r="J1319" s="536" t="s">
        <v>11658</v>
      </c>
      <c r="K1319" s="536">
        <v>13864.0</v>
      </c>
    </row>
    <row r="1320" hidden="1">
      <c r="A1320" s="531" t="s">
        <v>13022</v>
      </c>
      <c r="B1320" s="539"/>
      <c r="C1320" s="11" t="s">
        <v>11095</v>
      </c>
      <c r="D1320" s="533">
        <v>0.75</v>
      </c>
      <c r="E1320" s="533">
        <v>0.75</v>
      </c>
      <c r="F1320" s="11" t="s">
        <v>1656</v>
      </c>
      <c r="G1320" s="10"/>
      <c r="H1320" s="11" t="s">
        <v>11096</v>
      </c>
      <c r="I1320" s="10"/>
      <c r="J1320" s="536" t="s">
        <v>12597</v>
      </c>
      <c r="K1320" s="540"/>
    </row>
    <row r="1321" hidden="1">
      <c r="A1321" s="531" t="s">
        <v>13023</v>
      </c>
      <c r="B1321" s="539"/>
      <c r="C1321" s="11" t="s">
        <v>11095</v>
      </c>
      <c r="D1321" s="533">
        <v>0.75</v>
      </c>
      <c r="E1321" s="533">
        <v>0.75</v>
      </c>
      <c r="F1321" s="11" t="s">
        <v>1656</v>
      </c>
      <c r="G1321" s="10"/>
      <c r="H1321" s="11" t="s">
        <v>11096</v>
      </c>
      <c r="I1321" s="10"/>
      <c r="J1321" s="536" t="s">
        <v>12598</v>
      </c>
      <c r="K1321" s="540"/>
    </row>
    <row r="1322" hidden="1">
      <c r="A1322" s="531" t="s">
        <v>13024</v>
      </c>
      <c r="B1322" s="539"/>
      <c r="C1322" s="11" t="s">
        <v>11095</v>
      </c>
      <c r="D1322" s="533">
        <v>0.75</v>
      </c>
      <c r="E1322" s="533">
        <v>0.75</v>
      </c>
      <c r="F1322" s="11" t="s">
        <v>1656</v>
      </c>
      <c r="G1322" s="10"/>
      <c r="H1322" s="11" t="s">
        <v>11096</v>
      </c>
      <c r="I1322" s="10"/>
      <c r="J1322" s="536" t="s">
        <v>12600</v>
      </c>
      <c r="K1322" s="540"/>
    </row>
    <row r="1323" hidden="1">
      <c r="A1323" s="531" t="s">
        <v>13025</v>
      </c>
      <c r="B1323" s="539"/>
      <c r="C1323" s="11" t="s">
        <v>11095</v>
      </c>
      <c r="D1323" s="533">
        <v>0.75</v>
      </c>
      <c r="E1323" s="533">
        <v>0.75</v>
      </c>
      <c r="F1323" s="11" t="s">
        <v>1656</v>
      </c>
      <c r="G1323" s="10"/>
      <c r="H1323" s="11" t="s">
        <v>11096</v>
      </c>
      <c r="I1323" s="10"/>
      <c r="J1323" s="536" t="s">
        <v>12602</v>
      </c>
      <c r="K1323" s="540"/>
    </row>
    <row r="1324" hidden="1">
      <c r="A1324" s="531" t="s">
        <v>13026</v>
      </c>
      <c r="B1324" s="539"/>
      <c r="C1324" s="11" t="s">
        <v>11095</v>
      </c>
      <c r="D1324" s="533">
        <v>0.75</v>
      </c>
      <c r="E1324" s="533">
        <v>0.75</v>
      </c>
      <c r="F1324" s="11" t="s">
        <v>1656</v>
      </c>
      <c r="G1324" s="10"/>
      <c r="H1324" s="11" t="s">
        <v>11096</v>
      </c>
      <c r="I1324" s="10"/>
      <c r="J1324" s="536" t="s">
        <v>12603</v>
      </c>
      <c r="K1324" s="540"/>
    </row>
    <row r="1325" hidden="1">
      <c r="A1325" s="531" t="s">
        <v>13027</v>
      </c>
      <c r="B1325" s="539"/>
      <c r="C1325" s="11" t="s">
        <v>11095</v>
      </c>
      <c r="D1325" s="533">
        <v>0.75</v>
      </c>
      <c r="E1325" s="533">
        <v>0.75</v>
      </c>
      <c r="F1325" s="11" t="s">
        <v>1656</v>
      </c>
      <c r="G1325" s="10"/>
      <c r="H1325" s="11" t="s">
        <v>11096</v>
      </c>
      <c r="I1325" s="10"/>
      <c r="J1325" s="536" t="s">
        <v>12605</v>
      </c>
      <c r="K1325" s="540"/>
    </row>
    <row r="1326" hidden="1">
      <c r="A1326" s="531" t="s">
        <v>13028</v>
      </c>
      <c r="B1326" s="532"/>
      <c r="C1326" s="11" t="s">
        <v>11095</v>
      </c>
      <c r="D1326" s="533">
        <v>0.75</v>
      </c>
      <c r="E1326" s="533">
        <v>0.75</v>
      </c>
      <c r="F1326" s="11" t="s">
        <v>1656</v>
      </c>
      <c r="G1326" s="10"/>
      <c r="H1326" s="11" t="s">
        <v>11096</v>
      </c>
      <c r="I1326" s="10"/>
      <c r="J1326" s="536" t="s">
        <v>12606</v>
      </c>
      <c r="K1326" s="536">
        <v>13192.0</v>
      </c>
    </row>
    <row r="1327" hidden="1">
      <c r="A1327" s="531" t="s">
        <v>13029</v>
      </c>
      <c r="B1327" s="532"/>
      <c r="C1327" s="11" t="s">
        <v>11095</v>
      </c>
      <c r="D1327" s="533">
        <v>0.75</v>
      </c>
      <c r="E1327" s="533">
        <v>0.75</v>
      </c>
      <c r="F1327" s="11" t="s">
        <v>1656</v>
      </c>
      <c r="G1327" s="10"/>
      <c r="H1327" s="11" t="s">
        <v>11096</v>
      </c>
      <c r="I1327" s="10"/>
      <c r="J1327" s="536" t="s">
        <v>12607</v>
      </c>
      <c r="K1327" s="536">
        <v>14065.0</v>
      </c>
    </row>
    <row r="1328" hidden="1">
      <c r="A1328" s="531" t="s">
        <v>13030</v>
      </c>
      <c r="B1328" s="532"/>
      <c r="C1328" s="11" t="s">
        <v>11095</v>
      </c>
      <c r="D1328" s="533">
        <v>0.75</v>
      </c>
      <c r="E1328" s="533">
        <v>0.75</v>
      </c>
      <c r="F1328" s="11" t="s">
        <v>1656</v>
      </c>
      <c r="G1328" s="10"/>
      <c r="H1328" s="11" t="s">
        <v>11096</v>
      </c>
      <c r="I1328" s="10"/>
      <c r="J1328" s="536" t="s">
        <v>12608</v>
      </c>
      <c r="K1328" s="536">
        <v>14023.0</v>
      </c>
    </row>
    <row r="1329" hidden="1">
      <c r="A1329" s="531" t="s">
        <v>13031</v>
      </c>
      <c r="B1329" s="532"/>
      <c r="C1329" s="11" t="s">
        <v>11095</v>
      </c>
      <c r="D1329" s="533">
        <v>0.75</v>
      </c>
      <c r="E1329" s="533">
        <v>0.75</v>
      </c>
      <c r="F1329" s="11" t="s">
        <v>1656</v>
      </c>
      <c r="G1329" s="10"/>
      <c r="H1329" s="11" t="s">
        <v>11096</v>
      </c>
      <c r="I1329" s="10"/>
      <c r="J1329" s="536" t="s">
        <v>12609</v>
      </c>
      <c r="K1329" s="536">
        <v>513.0</v>
      </c>
    </row>
    <row r="1330" hidden="1">
      <c r="A1330" s="531" t="s">
        <v>13032</v>
      </c>
      <c r="B1330" s="532"/>
      <c r="C1330" s="11" t="s">
        <v>11095</v>
      </c>
      <c r="D1330" s="533">
        <v>0.75</v>
      </c>
      <c r="E1330" s="533">
        <v>0.75</v>
      </c>
      <c r="F1330" s="11" t="s">
        <v>1656</v>
      </c>
      <c r="G1330" s="10"/>
      <c r="H1330" s="11" t="s">
        <v>11096</v>
      </c>
      <c r="I1330" s="10"/>
      <c r="J1330" s="536" t="s">
        <v>12610</v>
      </c>
      <c r="K1330" s="512">
        <v>6767.0</v>
      </c>
    </row>
    <row r="1331" hidden="1">
      <c r="A1331" s="531" t="s">
        <v>13033</v>
      </c>
      <c r="B1331" s="532"/>
      <c r="C1331" s="11" t="s">
        <v>11095</v>
      </c>
      <c r="D1331" s="533">
        <v>0.75</v>
      </c>
      <c r="E1331" s="533">
        <v>0.75</v>
      </c>
      <c r="F1331" s="11" t="s">
        <v>1656</v>
      </c>
      <c r="G1331" s="10"/>
      <c r="H1331" s="11" t="s">
        <v>11096</v>
      </c>
      <c r="I1331" s="10"/>
      <c r="J1331" s="536" t="s">
        <v>11551</v>
      </c>
      <c r="K1331" s="536">
        <v>6873.0</v>
      </c>
    </row>
    <row r="1332" hidden="1">
      <c r="A1332" s="531" t="s">
        <v>13034</v>
      </c>
      <c r="B1332" s="532"/>
      <c r="C1332" s="11" t="s">
        <v>11095</v>
      </c>
      <c r="D1332" s="533">
        <v>0.75</v>
      </c>
      <c r="E1332" s="533">
        <v>0.75</v>
      </c>
      <c r="F1332" s="11" t="s">
        <v>1656</v>
      </c>
      <c r="G1332" s="10"/>
      <c r="H1332" s="11" t="s">
        <v>11096</v>
      </c>
      <c r="I1332" s="10"/>
      <c r="J1332" s="536" t="s">
        <v>12611</v>
      </c>
      <c r="K1332" s="536">
        <v>942.0</v>
      </c>
    </row>
    <row r="1333" hidden="1">
      <c r="A1333" s="531" t="s">
        <v>13035</v>
      </c>
      <c r="B1333" s="532"/>
      <c r="C1333" s="11" t="s">
        <v>11095</v>
      </c>
      <c r="D1333" s="533">
        <v>0.75</v>
      </c>
      <c r="E1333" s="533">
        <v>0.75</v>
      </c>
      <c r="F1333" s="11" t="s">
        <v>1656</v>
      </c>
      <c r="G1333" s="10"/>
      <c r="H1333" s="11" t="s">
        <v>11096</v>
      </c>
      <c r="I1333" s="10"/>
      <c r="J1333" s="536" t="s">
        <v>12612</v>
      </c>
      <c r="K1333" s="536">
        <v>942.0</v>
      </c>
    </row>
    <row r="1334" hidden="1">
      <c r="A1334" s="531" t="s">
        <v>13036</v>
      </c>
      <c r="B1334" s="539"/>
      <c r="C1334" s="11" t="s">
        <v>11095</v>
      </c>
      <c r="D1334" s="533">
        <v>0.75</v>
      </c>
      <c r="E1334" s="533">
        <v>0.75</v>
      </c>
      <c r="F1334" s="11" t="s">
        <v>1656</v>
      </c>
      <c r="G1334" s="10"/>
      <c r="H1334" s="11" t="s">
        <v>11096</v>
      </c>
      <c r="I1334" s="10"/>
      <c r="J1334" s="536" t="s">
        <v>12613</v>
      </c>
      <c r="K1334" s="540"/>
    </row>
    <row r="1335" hidden="1">
      <c r="A1335" s="531" t="s">
        <v>13037</v>
      </c>
      <c r="B1335" s="539"/>
      <c r="C1335" s="11" t="s">
        <v>11095</v>
      </c>
      <c r="D1335" s="533">
        <v>0.75</v>
      </c>
      <c r="E1335" s="533">
        <v>0.75</v>
      </c>
      <c r="F1335" s="11" t="s">
        <v>1656</v>
      </c>
      <c r="G1335" s="10"/>
      <c r="H1335" s="11" t="s">
        <v>11096</v>
      </c>
      <c r="I1335" s="10"/>
      <c r="J1335" s="536" t="s">
        <v>12614</v>
      </c>
      <c r="K1335" s="540"/>
    </row>
    <row r="1336" hidden="1">
      <c r="A1336" s="531" t="s">
        <v>13038</v>
      </c>
      <c r="B1336" s="532"/>
      <c r="C1336" s="11" t="s">
        <v>11095</v>
      </c>
      <c r="D1336" s="533">
        <v>0.75</v>
      </c>
      <c r="E1336" s="533">
        <v>0.75</v>
      </c>
      <c r="F1336" s="11" t="s">
        <v>1656</v>
      </c>
      <c r="G1336" s="10"/>
      <c r="H1336" s="11" t="s">
        <v>11096</v>
      </c>
      <c r="I1336" s="10"/>
      <c r="J1336" s="536" t="s">
        <v>12160</v>
      </c>
      <c r="K1336" s="536">
        <v>12553.0</v>
      </c>
    </row>
    <row r="1337" hidden="1">
      <c r="A1337" s="531" t="s">
        <v>13039</v>
      </c>
      <c r="B1337" s="532"/>
      <c r="C1337" s="11" t="s">
        <v>11095</v>
      </c>
      <c r="D1337" s="533">
        <v>0.75</v>
      </c>
      <c r="E1337" s="533">
        <v>0.75</v>
      </c>
      <c r="F1337" s="11" t="s">
        <v>1656</v>
      </c>
      <c r="G1337" s="10"/>
      <c r="H1337" s="11" t="s">
        <v>11096</v>
      </c>
      <c r="I1337" s="10"/>
      <c r="J1337" s="536" t="s">
        <v>12615</v>
      </c>
      <c r="K1337" s="536">
        <v>13952.0</v>
      </c>
    </row>
    <row r="1338" hidden="1">
      <c r="A1338" s="531" t="s">
        <v>13040</v>
      </c>
      <c r="B1338" s="532"/>
      <c r="C1338" s="11" t="s">
        <v>11095</v>
      </c>
      <c r="D1338" s="533">
        <v>0.75</v>
      </c>
      <c r="E1338" s="533">
        <v>0.75</v>
      </c>
      <c r="F1338" s="11" t="s">
        <v>1656</v>
      </c>
      <c r="G1338" s="10"/>
      <c r="H1338" s="11" t="s">
        <v>11096</v>
      </c>
      <c r="I1338" s="10"/>
      <c r="J1338" s="536" t="s">
        <v>12616</v>
      </c>
      <c r="K1338" s="536">
        <v>9746.0</v>
      </c>
    </row>
    <row r="1339" hidden="1">
      <c r="A1339" s="531" t="s">
        <v>13041</v>
      </c>
      <c r="B1339" s="532"/>
      <c r="C1339" s="11" t="s">
        <v>11095</v>
      </c>
      <c r="D1339" s="533">
        <v>0.75</v>
      </c>
      <c r="E1339" s="533">
        <v>0.75</v>
      </c>
      <c r="F1339" s="11" t="s">
        <v>1656</v>
      </c>
      <c r="G1339" s="10"/>
      <c r="H1339" s="11" t="s">
        <v>11096</v>
      </c>
      <c r="I1339" s="10"/>
      <c r="J1339" s="536" t="s">
        <v>12617</v>
      </c>
      <c r="K1339" s="536">
        <v>2507.0</v>
      </c>
    </row>
    <row r="1340" hidden="1">
      <c r="A1340" s="531" t="s">
        <v>13042</v>
      </c>
      <c r="B1340" s="532"/>
      <c r="C1340" s="11" t="s">
        <v>11095</v>
      </c>
      <c r="D1340" s="533">
        <v>0.75</v>
      </c>
      <c r="E1340" s="533">
        <v>0.75</v>
      </c>
      <c r="F1340" s="11" t="s">
        <v>1656</v>
      </c>
      <c r="G1340" s="10"/>
      <c r="H1340" s="11" t="s">
        <v>11096</v>
      </c>
      <c r="I1340" s="10"/>
      <c r="J1340" s="536" t="s">
        <v>12618</v>
      </c>
      <c r="K1340" s="536">
        <v>2507.0</v>
      </c>
    </row>
    <row r="1341" hidden="1">
      <c r="A1341" s="531" t="s">
        <v>13043</v>
      </c>
      <c r="B1341" s="532"/>
      <c r="C1341" s="11" t="s">
        <v>11095</v>
      </c>
      <c r="D1341" s="533">
        <v>0.75</v>
      </c>
      <c r="E1341" s="533">
        <v>0.75</v>
      </c>
      <c r="F1341" s="11" t="s">
        <v>1656</v>
      </c>
      <c r="G1341" s="10"/>
      <c r="H1341" s="11" t="s">
        <v>11096</v>
      </c>
      <c r="I1341" s="10"/>
      <c r="J1341" s="536" t="s">
        <v>13044</v>
      </c>
      <c r="K1341" s="536">
        <v>189.0</v>
      </c>
    </row>
    <row r="1342" hidden="1">
      <c r="A1342" s="531" t="s">
        <v>13045</v>
      </c>
      <c r="B1342" s="539"/>
      <c r="C1342" s="11" t="s">
        <v>11095</v>
      </c>
      <c r="D1342" s="533">
        <v>0.75</v>
      </c>
      <c r="E1342" s="533">
        <v>0.75</v>
      </c>
      <c r="F1342" s="11" t="s">
        <v>1656</v>
      </c>
      <c r="G1342" s="10"/>
      <c r="H1342" s="11" t="s">
        <v>11096</v>
      </c>
      <c r="I1342" s="10"/>
      <c r="J1342" s="536" t="s">
        <v>13046</v>
      </c>
      <c r="K1342" s="540"/>
    </row>
    <row r="1343" hidden="1">
      <c r="A1343" s="531" t="s">
        <v>13047</v>
      </c>
      <c r="B1343" s="532"/>
      <c r="C1343" s="11" t="s">
        <v>11095</v>
      </c>
      <c r="D1343" s="533">
        <v>0.75</v>
      </c>
      <c r="E1343" s="533">
        <v>0.75</v>
      </c>
      <c r="F1343" s="11" t="s">
        <v>1656</v>
      </c>
      <c r="G1343" s="10"/>
      <c r="H1343" s="11" t="s">
        <v>11096</v>
      </c>
      <c r="I1343" s="10"/>
      <c r="J1343" s="536" t="s">
        <v>13048</v>
      </c>
      <c r="K1343" s="536">
        <v>189.0</v>
      </c>
    </row>
    <row r="1344" hidden="1">
      <c r="A1344" s="531" t="s">
        <v>13049</v>
      </c>
      <c r="B1344" s="532"/>
      <c r="C1344" s="11" t="s">
        <v>11095</v>
      </c>
      <c r="D1344" s="533">
        <v>0.75</v>
      </c>
      <c r="E1344" s="533">
        <v>0.75</v>
      </c>
      <c r="F1344" s="11" t="s">
        <v>1656</v>
      </c>
      <c r="G1344" s="10"/>
      <c r="H1344" s="11" t="s">
        <v>11096</v>
      </c>
      <c r="I1344" s="10"/>
      <c r="J1344" s="536" t="s">
        <v>13050</v>
      </c>
      <c r="K1344" s="536">
        <v>6675.0</v>
      </c>
    </row>
    <row r="1345" hidden="1">
      <c r="A1345" s="531" t="s">
        <v>13051</v>
      </c>
      <c r="B1345" s="532"/>
      <c r="C1345" s="11" t="s">
        <v>11095</v>
      </c>
      <c r="D1345" s="533">
        <v>0.75</v>
      </c>
      <c r="E1345" s="533">
        <v>0.75</v>
      </c>
      <c r="F1345" s="11" t="s">
        <v>1656</v>
      </c>
      <c r="G1345" s="10"/>
      <c r="H1345" s="11" t="s">
        <v>11096</v>
      </c>
      <c r="I1345" s="10"/>
      <c r="J1345" s="536" t="s">
        <v>13052</v>
      </c>
      <c r="K1345" s="536">
        <v>189.0</v>
      </c>
    </row>
    <row r="1346" hidden="1">
      <c r="A1346" s="531" t="s">
        <v>13053</v>
      </c>
      <c r="B1346" s="532"/>
      <c r="C1346" s="11" t="s">
        <v>11095</v>
      </c>
      <c r="D1346" s="533">
        <v>0.75</v>
      </c>
      <c r="E1346" s="533">
        <v>0.75</v>
      </c>
      <c r="F1346" s="11" t="s">
        <v>1656</v>
      </c>
      <c r="G1346" s="10"/>
      <c r="H1346" s="11" t="s">
        <v>11096</v>
      </c>
      <c r="I1346" s="10"/>
      <c r="J1346" s="536" t="s">
        <v>13054</v>
      </c>
      <c r="K1346" s="536">
        <v>189.0</v>
      </c>
    </row>
    <row r="1347" hidden="1">
      <c r="A1347" s="531" t="s">
        <v>13055</v>
      </c>
      <c r="B1347" s="532"/>
      <c r="C1347" s="11" t="s">
        <v>11095</v>
      </c>
      <c r="D1347" s="533">
        <v>0.75</v>
      </c>
      <c r="E1347" s="533">
        <v>0.75</v>
      </c>
      <c r="F1347" s="11" t="s">
        <v>1656</v>
      </c>
      <c r="G1347" s="10"/>
      <c r="H1347" s="11" t="s">
        <v>11096</v>
      </c>
      <c r="I1347" s="10"/>
      <c r="J1347" s="536" t="s">
        <v>13056</v>
      </c>
      <c r="K1347" s="536">
        <v>14535.0</v>
      </c>
    </row>
    <row r="1348" hidden="1">
      <c r="A1348" s="531" t="s">
        <v>13057</v>
      </c>
      <c r="B1348" s="532"/>
      <c r="C1348" s="11" t="s">
        <v>11095</v>
      </c>
      <c r="D1348" s="533">
        <v>0.75</v>
      </c>
      <c r="E1348" s="533">
        <v>0.75</v>
      </c>
      <c r="F1348" s="11" t="s">
        <v>1656</v>
      </c>
      <c r="G1348" s="10"/>
      <c r="H1348" s="11" t="s">
        <v>11096</v>
      </c>
      <c r="I1348" s="10"/>
      <c r="J1348" s="536" t="s">
        <v>13058</v>
      </c>
      <c r="K1348" s="536">
        <v>189.0</v>
      </c>
    </row>
    <row r="1349" hidden="1">
      <c r="A1349" s="531" t="s">
        <v>13059</v>
      </c>
      <c r="B1349" s="539"/>
      <c r="C1349" s="11" t="s">
        <v>11095</v>
      </c>
      <c r="D1349" s="533">
        <v>0.75</v>
      </c>
      <c r="E1349" s="533">
        <v>0.75</v>
      </c>
      <c r="F1349" s="11" t="s">
        <v>1656</v>
      </c>
      <c r="G1349" s="10"/>
      <c r="H1349" s="11" t="s">
        <v>11096</v>
      </c>
      <c r="I1349" s="10"/>
      <c r="J1349" s="536" t="s">
        <v>13060</v>
      </c>
      <c r="K1349" s="540"/>
    </row>
    <row r="1350" hidden="1">
      <c r="A1350" s="531" t="s">
        <v>13061</v>
      </c>
      <c r="B1350" s="532"/>
      <c r="C1350" s="11" t="s">
        <v>11095</v>
      </c>
      <c r="D1350" s="533">
        <v>0.75</v>
      </c>
      <c r="E1350" s="533">
        <v>0.75</v>
      </c>
      <c r="F1350" s="11" t="s">
        <v>1656</v>
      </c>
      <c r="G1350" s="10"/>
      <c r="H1350" s="11" t="s">
        <v>11096</v>
      </c>
      <c r="I1350" s="10"/>
      <c r="J1350" s="536" t="s">
        <v>13062</v>
      </c>
      <c r="K1350" s="536">
        <v>7182.0</v>
      </c>
    </row>
    <row r="1351" hidden="1">
      <c r="A1351" s="531" t="s">
        <v>13063</v>
      </c>
      <c r="B1351" s="532"/>
      <c r="C1351" s="11" t="s">
        <v>11095</v>
      </c>
      <c r="D1351" s="533">
        <v>0.75</v>
      </c>
      <c r="E1351" s="533">
        <v>0.75</v>
      </c>
      <c r="F1351" s="11" t="s">
        <v>1656</v>
      </c>
      <c r="G1351" s="10"/>
      <c r="H1351" s="11" t="s">
        <v>11096</v>
      </c>
      <c r="I1351" s="10"/>
      <c r="J1351" s="536" t="s">
        <v>13064</v>
      </c>
      <c r="K1351" s="536">
        <v>909.0</v>
      </c>
    </row>
    <row r="1352" hidden="1">
      <c r="A1352" s="531" t="s">
        <v>13065</v>
      </c>
      <c r="B1352" s="532"/>
      <c r="C1352" s="11" t="s">
        <v>11095</v>
      </c>
      <c r="D1352" s="533">
        <v>0.75</v>
      </c>
      <c r="E1352" s="533">
        <v>0.75</v>
      </c>
      <c r="F1352" s="11" t="s">
        <v>1656</v>
      </c>
      <c r="G1352" s="10"/>
      <c r="H1352" s="11" t="s">
        <v>11096</v>
      </c>
      <c r="I1352" s="10"/>
      <c r="J1352" s="536" t="s">
        <v>13066</v>
      </c>
      <c r="K1352" s="536">
        <v>12262.0</v>
      </c>
    </row>
    <row r="1353" hidden="1">
      <c r="A1353" s="531" t="s">
        <v>13067</v>
      </c>
      <c r="B1353" s="532"/>
      <c r="C1353" s="11" t="s">
        <v>11095</v>
      </c>
      <c r="D1353" s="533">
        <v>0.75</v>
      </c>
      <c r="E1353" s="533">
        <v>0.75</v>
      </c>
      <c r="F1353" s="11" t="s">
        <v>1656</v>
      </c>
      <c r="G1353" s="10"/>
      <c r="H1353" s="11" t="s">
        <v>11096</v>
      </c>
      <c r="I1353" s="10"/>
      <c r="J1353" s="536" t="s">
        <v>13068</v>
      </c>
      <c r="K1353" s="536">
        <v>12262.0</v>
      </c>
    </row>
    <row r="1354" hidden="1">
      <c r="A1354" s="531" t="s">
        <v>13069</v>
      </c>
      <c r="B1354" s="532"/>
      <c r="C1354" s="11" t="s">
        <v>11095</v>
      </c>
      <c r="D1354" s="533">
        <v>0.75</v>
      </c>
      <c r="E1354" s="533">
        <v>0.75</v>
      </c>
      <c r="F1354" s="11" t="s">
        <v>1656</v>
      </c>
      <c r="G1354" s="10"/>
      <c r="H1354" s="11" t="s">
        <v>11096</v>
      </c>
      <c r="I1354" s="10"/>
      <c r="J1354" s="536" t="s">
        <v>13070</v>
      </c>
      <c r="K1354" s="536">
        <v>7182.0</v>
      </c>
    </row>
    <row r="1355" hidden="1">
      <c r="A1355" s="531" t="s">
        <v>13071</v>
      </c>
      <c r="B1355" s="532"/>
      <c r="C1355" s="11" t="s">
        <v>11095</v>
      </c>
      <c r="D1355" s="533">
        <v>0.75</v>
      </c>
      <c r="E1355" s="533">
        <v>0.75</v>
      </c>
      <c r="F1355" s="11" t="s">
        <v>1656</v>
      </c>
      <c r="G1355" s="10"/>
      <c r="H1355" s="11" t="s">
        <v>11096</v>
      </c>
      <c r="I1355" s="10"/>
      <c r="J1355" s="536" t="s">
        <v>13072</v>
      </c>
      <c r="K1355" s="536">
        <v>7747.0</v>
      </c>
    </row>
    <row r="1356" hidden="1">
      <c r="A1356" s="531" t="s">
        <v>13073</v>
      </c>
      <c r="B1356" s="532"/>
      <c r="C1356" s="11" t="s">
        <v>11095</v>
      </c>
      <c r="D1356" s="533">
        <v>0.75</v>
      </c>
      <c r="E1356" s="533">
        <v>0.75</v>
      </c>
      <c r="F1356" s="11" t="s">
        <v>1656</v>
      </c>
      <c r="G1356" s="10"/>
      <c r="H1356" s="11" t="s">
        <v>11096</v>
      </c>
      <c r="I1356" s="10"/>
      <c r="J1356" s="536" t="s">
        <v>13074</v>
      </c>
      <c r="K1356" s="536">
        <v>189.0</v>
      </c>
    </row>
    <row r="1357" hidden="1">
      <c r="A1357" s="531" t="s">
        <v>13075</v>
      </c>
      <c r="B1357" s="539"/>
      <c r="C1357" s="11" t="s">
        <v>11095</v>
      </c>
      <c r="D1357" s="533">
        <v>0.75</v>
      </c>
      <c r="E1357" s="533">
        <v>0.75</v>
      </c>
      <c r="F1357" s="11" t="s">
        <v>1656</v>
      </c>
      <c r="G1357" s="10"/>
      <c r="H1357" s="11" t="s">
        <v>11096</v>
      </c>
      <c r="I1357" s="10"/>
      <c r="J1357" s="536" t="s">
        <v>13076</v>
      </c>
      <c r="K1357" s="540"/>
    </row>
    <row r="1358" hidden="1">
      <c r="A1358" s="531" t="s">
        <v>13077</v>
      </c>
      <c r="B1358" s="532"/>
      <c r="C1358" s="11" t="s">
        <v>11095</v>
      </c>
      <c r="D1358" s="533">
        <v>0.75</v>
      </c>
      <c r="E1358" s="533">
        <v>0.75</v>
      </c>
      <c r="F1358" s="11" t="s">
        <v>1656</v>
      </c>
      <c r="G1358" s="10"/>
      <c r="H1358" s="11" t="s">
        <v>11096</v>
      </c>
      <c r="I1358" s="10"/>
      <c r="J1358" s="536" t="s">
        <v>13078</v>
      </c>
      <c r="K1358" s="536">
        <v>189.0</v>
      </c>
    </row>
    <row r="1359" hidden="1">
      <c r="A1359" s="531" t="s">
        <v>13079</v>
      </c>
      <c r="B1359" s="532"/>
      <c r="C1359" s="11" t="s">
        <v>11095</v>
      </c>
      <c r="D1359" s="533">
        <v>0.75</v>
      </c>
      <c r="E1359" s="533">
        <v>0.75</v>
      </c>
      <c r="F1359" s="11" t="s">
        <v>1656</v>
      </c>
      <c r="G1359" s="10"/>
      <c r="H1359" s="11" t="s">
        <v>11096</v>
      </c>
      <c r="I1359" s="10"/>
      <c r="J1359" s="536" t="s">
        <v>13080</v>
      </c>
      <c r="K1359" s="536">
        <v>189.0</v>
      </c>
    </row>
    <row r="1360" hidden="1">
      <c r="A1360" s="531" t="s">
        <v>13081</v>
      </c>
      <c r="B1360" s="532"/>
      <c r="C1360" s="11" t="s">
        <v>11095</v>
      </c>
      <c r="D1360" s="533">
        <v>0.75</v>
      </c>
      <c r="E1360" s="533">
        <v>0.75</v>
      </c>
      <c r="F1360" s="11" t="s">
        <v>1656</v>
      </c>
      <c r="G1360" s="10"/>
      <c r="H1360" s="11" t="s">
        <v>11096</v>
      </c>
      <c r="I1360" s="10"/>
      <c r="J1360" s="536" t="s">
        <v>13082</v>
      </c>
      <c r="K1360" s="536">
        <v>8486.0</v>
      </c>
    </row>
    <row r="1361" hidden="1">
      <c r="A1361" s="531" t="s">
        <v>13083</v>
      </c>
      <c r="B1361" s="532"/>
      <c r="C1361" s="11" t="s">
        <v>11095</v>
      </c>
      <c r="D1361" s="533">
        <v>0.75</v>
      </c>
      <c r="E1361" s="533">
        <v>0.75</v>
      </c>
      <c r="F1361" s="11" t="s">
        <v>1656</v>
      </c>
      <c r="G1361" s="10"/>
      <c r="H1361" s="11" t="s">
        <v>11096</v>
      </c>
      <c r="I1361" s="10"/>
      <c r="J1361" s="536" t="s">
        <v>13084</v>
      </c>
      <c r="K1361" s="536">
        <v>8486.0</v>
      </c>
    </row>
    <row r="1362" hidden="1">
      <c r="A1362" s="531" t="s">
        <v>13085</v>
      </c>
      <c r="B1362" s="532"/>
      <c r="C1362" s="11" t="s">
        <v>11095</v>
      </c>
      <c r="D1362" s="533">
        <v>0.75</v>
      </c>
      <c r="E1362" s="533">
        <v>0.75</v>
      </c>
      <c r="F1362" s="11" t="s">
        <v>1656</v>
      </c>
      <c r="G1362" s="10"/>
      <c r="H1362" s="11" t="s">
        <v>11096</v>
      </c>
      <c r="I1362" s="10"/>
      <c r="J1362" s="536" t="s">
        <v>13086</v>
      </c>
      <c r="K1362" s="536">
        <v>189.0</v>
      </c>
    </row>
    <row r="1363" hidden="1">
      <c r="A1363" s="531" t="s">
        <v>13087</v>
      </c>
      <c r="B1363" s="539"/>
      <c r="C1363" s="11" t="s">
        <v>11095</v>
      </c>
      <c r="D1363" s="533">
        <v>0.75</v>
      </c>
      <c r="E1363" s="533">
        <v>0.75</v>
      </c>
      <c r="F1363" s="11" t="s">
        <v>1656</v>
      </c>
      <c r="G1363" s="10"/>
      <c r="H1363" s="11" t="s">
        <v>11096</v>
      </c>
      <c r="I1363" s="10"/>
      <c r="J1363" s="536" t="s">
        <v>13088</v>
      </c>
      <c r="K1363" s="540"/>
    </row>
    <row r="1364" hidden="1">
      <c r="A1364" s="531" t="s">
        <v>13089</v>
      </c>
      <c r="B1364" s="539"/>
      <c r="C1364" s="11" t="s">
        <v>11095</v>
      </c>
      <c r="D1364" s="533">
        <v>0.75</v>
      </c>
      <c r="E1364" s="533">
        <v>0.75</v>
      </c>
      <c r="F1364" s="11" t="s">
        <v>1656</v>
      </c>
      <c r="G1364" s="10"/>
      <c r="H1364" s="11" t="s">
        <v>11096</v>
      </c>
      <c r="I1364" s="10"/>
      <c r="J1364" s="536" t="s">
        <v>13090</v>
      </c>
      <c r="K1364" s="540"/>
    </row>
    <row r="1365" hidden="1">
      <c r="A1365" s="531" t="s">
        <v>13091</v>
      </c>
      <c r="B1365" s="532"/>
      <c r="C1365" s="11" t="s">
        <v>11095</v>
      </c>
      <c r="D1365" s="533">
        <v>0.75</v>
      </c>
      <c r="E1365" s="533">
        <v>0.75</v>
      </c>
      <c r="F1365" s="11" t="s">
        <v>1656</v>
      </c>
      <c r="G1365" s="10"/>
      <c r="H1365" s="11" t="s">
        <v>11096</v>
      </c>
      <c r="I1365" s="10"/>
      <c r="J1365" s="536" t="s">
        <v>13092</v>
      </c>
      <c r="K1365" s="536">
        <v>1.0</v>
      </c>
    </row>
    <row r="1366" hidden="1">
      <c r="A1366" s="531" t="s">
        <v>13093</v>
      </c>
      <c r="B1366" s="532"/>
      <c r="C1366" s="11" t="s">
        <v>11095</v>
      </c>
      <c r="D1366" s="533">
        <v>0.75</v>
      </c>
      <c r="E1366" s="533">
        <v>0.75</v>
      </c>
      <c r="F1366" s="11" t="s">
        <v>1656</v>
      </c>
      <c r="G1366" s="10"/>
      <c r="H1366" s="11" t="s">
        <v>11096</v>
      </c>
      <c r="I1366" s="10"/>
      <c r="J1366" s="536" t="s">
        <v>13094</v>
      </c>
      <c r="K1366" s="536">
        <v>189.0</v>
      </c>
    </row>
    <row r="1367" hidden="1">
      <c r="A1367" s="531" t="s">
        <v>13095</v>
      </c>
      <c r="B1367" s="532"/>
      <c r="C1367" s="11" t="s">
        <v>11095</v>
      </c>
      <c r="D1367" s="533">
        <v>0.75</v>
      </c>
      <c r="E1367" s="533">
        <v>0.75</v>
      </c>
      <c r="F1367" s="11" t="s">
        <v>1656</v>
      </c>
      <c r="G1367" s="10"/>
      <c r="H1367" s="11" t="s">
        <v>11096</v>
      </c>
      <c r="I1367" s="10"/>
      <c r="J1367" s="536" t="s">
        <v>13096</v>
      </c>
      <c r="K1367" s="536">
        <v>2365.0</v>
      </c>
    </row>
    <row r="1368" hidden="1">
      <c r="A1368" s="531" t="s">
        <v>13097</v>
      </c>
      <c r="B1368" s="532"/>
      <c r="C1368" s="11" t="s">
        <v>11095</v>
      </c>
      <c r="D1368" s="533">
        <v>0.75</v>
      </c>
      <c r="E1368" s="533">
        <v>0.75</v>
      </c>
      <c r="F1368" s="11" t="s">
        <v>1656</v>
      </c>
      <c r="G1368" s="10"/>
      <c r="H1368" s="11" t="s">
        <v>11096</v>
      </c>
      <c r="I1368" s="10"/>
      <c r="J1368" s="536" t="s">
        <v>13098</v>
      </c>
      <c r="K1368" s="536">
        <v>189.0</v>
      </c>
    </row>
    <row r="1369" hidden="1">
      <c r="A1369" s="531" t="s">
        <v>13099</v>
      </c>
      <c r="B1369" s="539"/>
      <c r="C1369" s="11" t="s">
        <v>11095</v>
      </c>
      <c r="D1369" s="533">
        <v>0.75</v>
      </c>
      <c r="E1369" s="533">
        <v>0.75</v>
      </c>
      <c r="F1369" s="11" t="s">
        <v>1656</v>
      </c>
      <c r="G1369" s="10"/>
      <c r="H1369" s="11" t="s">
        <v>11096</v>
      </c>
      <c r="I1369" s="10"/>
      <c r="J1369" s="536" t="s">
        <v>13100</v>
      </c>
      <c r="K1369" s="540"/>
    </row>
    <row r="1370" hidden="1">
      <c r="A1370" s="531" t="s">
        <v>13101</v>
      </c>
      <c r="B1370" s="532"/>
      <c r="C1370" s="11" t="s">
        <v>11095</v>
      </c>
      <c r="D1370" s="533">
        <v>0.75</v>
      </c>
      <c r="E1370" s="533">
        <v>0.75</v>
      </c>
      <c r="F1370" s="11" t="s">
        <v>1656</v>
      </c>
      <c r="G1370" s="10"/>
      <c r="H1370" s="11" t="s">
        <v>11096</v>
      </c>
      <c r="I1370" s="10"/>
      <c r="J1370" s="536" t="s">
        <v>13102</v>
      </c>
      <c r="K1370" s="536">
        <v>189.0</v>
      </c>
    </row>
    <row r="1371" hidden="1">
      <c r="A1371" s="531" t="s">
        <v>13103</v>
      </c>
      <c r="B1371" s="532"/>
      <c r="C1371" s="11" t="s">
        <v>11095</v>
      </c>
      <c r="D1371" s="533">
        <v>0.75</v>
      </c>
      <c r="E1371" s="533">
        <v>0.75</v>
      </c>
      <c r="F1371" s="11" t="s">
        <v>1656</v>
      </c>
      <c r="G1371" s="10"/>
      <c r="H1371" s="11" t="s">
        <v>11096</v>
      </c>
      <c r="I1371" s="10"/>
      <c r="J1371" s="536" t="s">
        <v>13104</v>
      </c>
      <c r="K1371" s="536">
        <v>271.0</v>
      </c>
    </row>
    <row r="1372" hidden="1">
      <c r="A1372" s="531" t="s">
        <v>13105</v>
      </c>
      <c r="B1372" s="532"/>
      <c r="C1372" s="11" t="s">
        <v>11095</v>
      </c>
      <c r="D1372" s="533">
        <v>0.75</v>
      </c>
      <c r="E1372" s="533">
        <v>0.75</v>
      </c>
      <c r="F1372" s="11" t="s">
        <v>1656</v>
      </c>
      <c r="G1372" s="10"/>
      <c r="H1372" s="11" t="s">
        <v>11096</v>
      </c>
      <c r="I1372" s="10"/>
      <c r="J1372" s="536" t="s">
        <v>13106</v>
      </c>
      <c r="K1372" s="536">
        <v>271.0</v>
      </c>
    </row>
    <row r="1373" hidden="1">
      <c r="A1373" s="531" t="s">
        <v>13107</v>
      </c>
      <c r="B1373" s="532"/>
      <c r="C1373" s="11" t="s">
        <v>11095</v>
      </c>
      <c r="D1373" s="533">
        <v>0.75</v>
      </c>
      <c r="E1373" s="533">
        <v>0.75</v>
      </c>
      <c r="F1373" s="11" t="s">
        <v>1656</v>
      </c>
      <c r="G1373" s="10"/>
      <c r="H1373" s="11" t="s">
        <v>11096</v>
      </c>
      <c r="I1373" s="10"/>
      <c r="J1373" s="536" t="s">
        <v>13108</v>
      </c>
      <c r="K1373" s="536">
        <v>7010.0</v>
      </c>
    </row>
    <row r="1374" hidden="1">
      <c r="A1374" s="531" t="s">
        <v>13109</v>
      </c>
      <c r="B1374" s="532"/>
      <c r="C1374" s="11" t="s">
        <v>11095</v>
      </c>
      <c r="D1374" s="533">
        <v>0.75</v>
      </c>
      <c r="E1374" s="533">
        <v>0.75</v>
      </c>
      <c r="F1374" s="11" t="s">
        <v>1656</v>
      </c>
      <c r="G1374" s="10"/>
      <c r="H1374" s="11" t="s">
        <v>11096</v>
      </c>
      <c r="I1374" s="10"/>
      <c r="J1374" s="536" t="s">
        <v>13110</v>
      </c>
      <c r="K1374" s="536">
        <v>7010.0</v>
      </c>
    </row>
    <row r="1375" hidden="1">
      <c r="A1375" s="531" t="s">
        <v>13111</v>
      </c>
      <c r="B1375" s="532"/>
      <c r="C1375" s="11" t="s">
        <v>11095</v>
      </c>
      <c r="D1375" s="533">
        <v>0.75</v>
      </c>
      <c r="E1375" s="533">
        <v>0.75</v>
      </c>
      <c r="F1375" s="11" t="s">
        <v>1656</v>
      </c>
      <c r="G1375" s="10"/>
      <c r="H1375" s="11" t="s">
        <v>11096</v>
      </c>
      <c r="I1375" s="10"/>
      <c r="J1375" s="536" t="s">
        <v>13112</v>
      </c>
      <c r="K1375" s="536">
        <v>7083.0</v>
      </c>
    </row>
    <row r="1376" hidden="1">
      <c r="A1376" s="531" t="s">
        <v>13113</v>
      </c>
      <c r="B1376" s="532"/>
      <c r="C1376" s="11" t="s">
        <v>11095</v>
      </c>
      <c r="D1376" s="533">
        <v>0.75</v>
      </c>
      <c r="E1376" s="533">
        <v>0.75</v>
      </c>
      <c r="F1376" s="11" t="s">
        <v>1656</v>
      </c>
      <c r="G1376" s="10"/>
      <c r="H1376" s="11" t="s">
        <v>11096</v>
      </c>
      <c r="I1376" s="10"/>
      <c r="J1376" s="536" t="s">
        <v>13114</v>
      </c>
      <c r="K1376" s="536">
        <v>6106.0</v>
      </c>
    </row>
    <row r="1377" hidden="1">
      <c r="A1377" s="531" t="s">
        <v>13115</v>
      </c>
      <c r="B1377" s="532"/>
      <c r="C1377" s="11" t="s">
        <v>11095</v>
      </c>
      <c r="D1377" s="533">
        <v>0.75</v>
      </c>
      <c r="E1377" s="533">
        <v>0.75</v>
      </c>
      <c r="F1377" s="11" t="s">
        <v>1656</v>
      </c>
      <c r="G1377" s="10"/>
      <c r="H1377" s="11" t="s">
        <v>11096</v>
      </c>
      <c r="I1377" s="10"/>
      <c r="J1377" s="536" t="s">
        <v>13116</v>
      </c>
      <c r="K1377" s="536">
        <v>6658.0</v>
      </c>
    </row>
    <row r="1378" hidden="1">
      <c r="A1378" s="531" t="s">
        <v>13117</v>
      </c>
      <c r="B1378" s="532"/>
      <c r="C1378" s="11" t="s">
        <v>11095</v>
      </c>
      <c r="D1378" s="533">
        <v>0.75</v>
      </c>
      <c r="E1378" s="533">
        <v>0.75</v>
      </c>
      <c r="F1378" s="11" t="s">
        <v>1656</v>
      </c>
      <c r="G1378" s="10"/>
      <c r="H1378" s="11" t="s">
        <v>11096</v>
      </c>
      <c r="I1378" s="10"/>
      <c r="J1378" s="536" t="s">
        <v>13118</v>
      </c>
      <c r="K1378" s="536">
        <v>2095.0</v>
      </c>
    </row>
    <row r="1379" hidden="1">
      <c r="A1379" s="531" t="s">
        <v>13119</v>
      </c>
      <c r="B1379" s="532"/>
      <c r="C1379" s="11" t="s">
        <v>11095</v>
      </c>
      <c r="D1379" s="533">
        <v>0.75</v>
      </c>
      <c r="E1379" s="533">
        <v>0.75</v>
      </c>
      <c r="F1379" s="11" t="s">
        <v>1656</v>
      </c>
      <c r="G1379" s="10"/>
      <c r="H1379" s="11" t="s">
        <v>11096</v>
      </c>
      <c r="I1379" s="10"/>
      <c r="J1379" s="536" t="s">
        <v>13120</v>
      </c>
      <c r="K1379" s="536">
        <v>2095.0</v>
      </c>
    </row>
    <row r="1380" hidden="1">
      <c r="A1380" s="531" t="s">
        <v>13121</v>
      </c>
      <c r="B1380" s="532"/>
      <c r="C1380" s="11" t="s">
        <v>11095</v>
      </c>
      <c r="D1380" s="533">
        <v>0.75</v>
      </c>
      <c r="E1380" s="533">
        <v>0.75</v>
      </c>
      <c r="F1380" s="11" t="s">
        <v>1656</v>
      </c>
      <c r="G1380" s="10"/>
      <c r="H1380" s="11" t="s">
        <v>11096</v>
      </c>
      <c r="I1380" s="10"/>
      <c r="J1380" s="536" t="s">
        <v>13122</v>
      </c>
      <c r="K1380" s="536">
        <v>12553.0</v>
      </c>
    </row>
    <row r="1381" hidden="1">
      <c r="A1381" s="531" t="s">
        <v>13123</v>
      </c>
      <c r="B1381" s="532"/>
      <c r="C1381" s="11" t="s">
        <v>11095</v>
      </c>
      <c r="D1381" s="533">
        <v>0.75</v>
      </c>
      <c r="E1381" s="533">
        <v>0.75</v>
      </c>
      <c r="F1381" s="11" t="s">
        <v>1656</v>
      </c>
      <c r="G1381" s="10"/>
      <c r="H1381" s="11" t="s">
        <v>11096</v>
      </c>
      <c r="I1381" s="10"/>
      <c r="J1381" s="536" t="s">
        <v>13124</v>
      </c>
      <c r="K1381" s="536">
        <v>8486.0</v>
      </c>
    </row>
    <row r="1382" hidden="1">
      <c r="A1382" s="531" t="s">
        <v>13125</v>
      </c>
      <c r="B1382" s="532"/>
      <c r="C1382" s="11" t="s">
        <v>11095</v>
      </c>
      <c r="D1382" s="533">
        <v>0.75</v>
      </c>
      <c r="E1382" s="533">
        <v>0.75</v>
      </c>
      <c r="F1382" s="11" t="s">
        <v>1656</v>
      </c>
      <c r="G1382" s="10"/>
      <c r="H1382" s="11" t="s">
        <v>11096</v>
      </c>
      <c r="I1382" s="10"/>
      <c r="J1382" s="536" t="s">
        <v>13126</v>
      </c>
      <c r="K1382" s="536">
        <v>6658.0</v>
      </c>
    </row>
    <row r="1383" hidden="1">
      <c r="A1383" s="531" t="s">
        <v>13127</v>
      </c>
      <c r="B1383" s="532"/>
      <c r="C1383" s="11" t="s">
        <v>11095</v>
      </c>
      <c r="D1383" s="533">
        <v>0.75</v>
      </c>
      <c r="E1383" s="533">
        <v>0.75</v>
      </c>
      <c r="F1383" s="11" t="s">
        <v>1656</v>
      </c>
      <c r="G1383" s="10"/>
      <c r="H1383" s="11" t="s">
        <v>11096</v>
      </c>
      <c r="I1383" s="10"/>
      <c r="J1383" s="536" t="s">
        <v>13128</v>
      </c>
      <c r="K1383" s="536">
        <v>14594.0</v>
      </c>
    </row>
    <row r="1384" hidden="1">
      <c r="A1384" s="531" t="s">
        <v>13129</v>
      </c>
      <c r="B1384" s="532"/>
      <c r="C1384" s="11" t="s">
        <v>11095</v>
      </c>
      <c r="D1384" s="533">
        <v>0.75</v>
      </c>
      <c r="E1384" s="533">
        <v>0.75</v>
      </c>
      <c r="F1384" s="11" t="s">
        <v>1656</v>
      </c>
      <c r="G1384" s="10"/>
      <c r="H1384" s="11" t="s">
        <v>11096</v>
      </c>
      <c r="I1384" s="10"/>
      <c r="J1384" s="536" t="s">
        <v>13130</v>
      </c>
      <c r="K1384" s="536">
        <v>8486.0</v>
      </c>
    </row>
    <row r="1385" hidden="1">
      <c r="A1385" s="531" t="s">
        <v>13131</v>
      </c>
      <c r="B1385" s="532"/>
      <c r="C1385" s="11" t="s">
        <v>11095</v>
      </c>
      <c r="D1385" s="533">
        <v>0.75</v>
      </c>
      <c r="E1385" s="533">
        <v>0.75</v>
      </c>
      <c r="F1385" s="11" t="s">
        <v>1656</v>
      </c>
      <c r="G1385" s="10"/>
      <c r="H1385" s="11" t="s">
        <v>11096</v>
      </c>
      <c r="I1385" s="10"/>
      <c r="J1385" s="536" t="s">
        <v>13132</v>
      </c>
      <c r="K1385" s="536">
        <v>6729.0</v>
      </c>
    </row>
    <row r="1386" hidden="1">
      <c r="A1386" s="531" t="s">
        <v>13133</v>
      </c>
      <c r="B1386" s="532"/>
      <c r="C1386" s="11" t="s">
        <v>11095</v>
      </c>
      <c r="D1386" s="533">
        <v>0.75</v>
      </c>
      <c r="E1386" s="533">
        <v>0.75</v>
      </c>
      <c r="F1386" s="11" t="s">
        <v>1656</v>
      </c>
      <c r="G1386" s="10"/>
      <c r="H1386" s="11" t="s">
        <v>11096</v>
      </c>
      <c r="I1386" s="10"/>
      <c r="J1386" s="536" t="s">
        <v>13134</v>
      </c>
      <c r="K1386" s="536">
        <v>6924.0</v>
      </c>
    </row>
    <row r="1387" hidden="1">
      <c r="A1387" s="531" t="s">
        <v>13135</v>
      </c>
      <c r="B1387" s="532"/>
      <c r="C1387" s="11" t="s">
        <v>11095</v>
      </c>
      <c r="D1387" s="533">
        <v>0.75</v>
      </c>
      <c r="E1387" s="533">
        <v>0.75</v>
      </c>
      <c r="F1387" s="11" t="s">
        <v>1656</v>
      </c>
      <c r="G1387" s="10"/>
      <c r="H1387" s="11" t="s">
        <v>11096</v>
      </c>
      <c r="I1387" s="10"/>
      <c r="J1387" s="536" t="s">
        <v>13136</v>
      </c>
      <c r="K1387" s="536">
        <v>6658.0</v>
      </c>
    </row>
    <row r="1388" hidden="1">
      <c r="A1388" s="531" t="s">
        <v>13137</v>
      </c>
      <c r="B1388" s="532"/>
      <c r="C1388" s="11" t="s">
        <v>11095</v>
      </c>
      <c r="D1388" s="533">
        <v>0.75</v>
      </c>
      <c r="E1388" s="533">
        <v>0.75</v>
      </c>
      <c r="F1388" s="11" t="s">
        <v>1656</v>
      </c>
      <c r="G1388" s="10"/>
      <c r="H1388" s="11" t="s">
        <v>11096</v>
      </c>
      <c r="I1388" s="10"/>
      <c r="J1388" s="536" t="s">
        <v>13138</v>
      </c>
      <c r="K1388" s="536">
        <v>499.0</v>
      </c>
    </row>
    <row r="1389" hidden="1">
      <c r="A1389" s="531" t="s">
        <v>13139</v>
      </c>
      <c r="B1389" s="532"/>
      <c r="C1389" s="11" t="s">
        <v>11095</v>
      </c>
      <c r="D1389" s="533">
        <v>0.75</v>
      </c>
      <c r="E1389" s="533">
        <v>0.75</v>
      </c>
      <c r="F1389" s="11" t="s">
        <v>1656</v>
      </c>
      <c r="G1389" s="10"/>
      <c r="H1389" s="11" t="s">
        <v>11096</v>
      </c>
      <c r="I1389" s="10"/>
      <c r="J1389" s="536" t="s">
        <v>13140</v>
      </c>
      <c r="K1389" s="536">
        <v>5389.0</v>
      </c>
    </row>
    <row r="1390" hidden="1">
      <c r="A1390" s="531" t="s">
        <v>13141</v>
      </c>
      <c r="B1390" s="532"/>
      <c r="C1390" s="11" t="s">
        <v>11095</v>
      </c>
      <c r="D1390" s="533">
        <v>0.75</v>
      </c>
      <c r="E1390" s="533">
        <v>0.75</v>
      </c>
      <c r="F1390" s="11" t="s">
        <v>1656</v>
      </c>
      <c r="G1390" s="10"/>
      <c r="H1390" s="11" t="s">
        <v>11096</v>
      </c>
      <c r="I1390" s="10"/>
      <c r="J1390" s="536" t="s">
        <v>13142</v>
      </c>
      <c r="K1390" s="536">
        <v>14197.0</v>
      </c>
    </row>
    <row r="1391" hidden="1">
      <c r="A1391" s="531" t="s">
        <v>13143</v>
      </c>
      <c r="B1391" s="532"/>
      <c r="C1391" s="11" t="s">
        <v>11095</v>
      </c>
      <c r="D1391" s="533">
        <v>0.75</v>
      </c>
      <c r="E1391" s="533">
        <v>0.75</v>
      </c>
      <c r="F1391" s="11" t="s">
        <v>1656</v>
      </c>
      <c r="G1391" s="10"/>
      <c r="H1391" s="11" t="s">
        <v>11096</v>
      </c>
      <c r="I1391" s="10"/>
      <c r="J1391" s="536" t="s">
        <v>13144</v>
      </c>
      <c r="K1391" s="536">
        <v>14420.0</v>
      </c>
    </row>
    <row r="1392" hidden="1">
      <c r="A1392" s="531" t="s">
        <v>13145</v>
      </c>
      <c r="B1392" s="539"/>
      <c r="C1392" s="11" t="s">
        <v>11095</v>
      </c>
      <c r="D1392" s="533">
        <v>0.75</v>
      </c>
      <c r="E1392" s="533">
        <v>0.75</v>
      </c>
      <c r="F1392" s="11" t="s">
        <v>1656</v>
      </c>
      <c r="G1392" s="10"/>
      <c r="H1392" s="11" t="s">
        <v>11096</v>
      </c>
      <c r="I1392" s="10"/>
      <c r="J1392" s="536" t="s">
        <v>13146</v>
      </c>
      <c r="K1392" s="540"/>
    </row>
    <row r="1393" hidden="1">
      <c r="A1393" s="531" t="s">
        <v>13147</v>
      </c>
      <c r="B1393" s="532"/>
      <c r="C1393" s="11" t="s">
        <v>11095</v>
      </c>
      <c r="D1393" s="533">
        <v>0.75</v>
      </c>
      <c r="E1393" s="533">
        <v>0.75</v>
      </c>
      <c r="F1393" s="11" t="s">
        <v>1656</v>
      </c>
      <c r="G1393" s="10"/>
      <c r="H1393" s="11" t="s">
        <v>11096</v>
      </c>
      <c r="I1393" s="10"/>
      <c r="J1393" s="536" t="s">
        <v>13148</v>
      </c>
      <c r="K1393" s="536">
        <v>7149.0</v>
      </c>
    </row>
    <row r="1394" hidden="1">
      <c r="A1394" s="531" t="s">
        <v>13149</v>
      </c>
      <c r="B1394" s="532"/>
      <c r="C1394" s="11" t="s">
        <v>11095</v>
      </c>
      <c r="D1394" s="533">
        <v>0.75</v>
      </c>
      <c r="E1394" s="533">
        <v>0.75</v>
      </c>
      <c r="F1394" s="11" t="s">
        <v>1656</v>
      </c>
      <c r="G1394" s="10"/>
      <c r="H1394" s="11" t="s">
        <v>11096</v>
      </c>
      <c r="I1394" s="10"/>
      <c r="J1394" s="536" t="s">
        <v>13150</v>
      </c>
      <c r="K1394" s="536">
        <v>12262.0</v>
      </c>
    </row>
    <row r="1395" hidden="1">
      <c r="A1395" s="531" t="s">
        <v>13151</v>
      </c>
      <c r="B1395" s="532"/>
      <c r="C1395" s="11" t="s">
        <v>11095</v>
      </c>
      <c r="D1395" s="533">
        <v>0.75</v>
      </c>
      <c r="E1395" s="533">
        <v>0.75</v>
      </c>
      <c r="F1395" s="11" t="s">
        <v>1656</v>
      </c>
      <c r="G1395" s="10"/>
      <c r="H1395" s="11" t="s">
        <v>11096</v>
      </c>
      <c r="I1395" s="10"/>
      <c r="J1395" s="536" t="s">
        <v>13152</v>
      </c>
      <c r="K1395" s="536">
        <v>8002.0</v>
      </c>
    </row>
    <row r="1396" hidden="1">
      <c r="A1396" s="531" t="s">
        <v>13153</v>
      </c>
      <c r="B1396" s="532"/>
      <c r="C1396" s="11" t="s">
        <v>11095</v>
      </c>
      <c r="D1396" s="533">
        <v>0.75</v>
      </c>
      <c r="E1396" s="533">
        <v>0.75</v>
      </c>
      <c r="F1396" s="11" t="s">
        <v>1656</v>
      </c>
      <c r="G1396" s="10"/>
      <c r="H1396" s="11" t="s">
        <v>11096</v>
      </c>
      <c r="I1396" s="10"/>
      <c r="J1396" s="536" t="s">
        <v>13154</v>
      </c>
      <c r="K1396" s="536">
        <v>7149.0</v>
      </c>
    </row>
    <row r="1397" hidden="1">
      <c r="A1397" s="531" t="s">
        <v>13155</v>
      </c>
      <c r="B1397" s="532"/>
      <c r="C1397" s="11" t="s">
        <v>11095</v>
      </c>
      <c r="D1397" s="533">
        <v>0.75</v>
      </c>
      <c r="E1397" s="533">
        <v>0.75</v>
      </c>
      <c r="F1397" s="11" t="s">
        <v>1656</v>
      </c>
      <c r="G1397" s="10"/>
      <c r="H1397" s="11" t="s">
        <v>11096</v>
      </c>
      <c r="I1397" s="10"/>
      <c r="J1397" s="536" t="s">
        <v>13156</v>
      </c>
      <c r="K1397" s="536">
        <v>14267.0</v>
      </c>
    </row>
    <row r="1398" hidden="1">
      <c r="A1398" s="531" t="s">
        <v>13157</v>
      </c>
      <c r="B1398" s="532"/>
      <c r="C1398" s="11" t="s">
        <v>11095</v>
      </c>
      <c r="D1398" s="533">
        <v>0.75</v>
      </c>
      <c r="E1398" s="533">
        <v>0.75</v>
      </c>
      <c r="F1398" s="11" t="s">
        <v>1656</v>
      </c>
      <c r="G1398" s="10"/>
      <c r="H1398" s="11" t="s">
        <v>11096</v>
      </c>
      <c r="I1398" s="10"/>
      <c r="J1398" s="536" t="s">
        <v>13158</v>
      </c>
      <c r="K1398" s="536">
        <v>14267.0</v>
      </c>
    </row>
    <row r="1399" hidden="1">
      <c r="A1399" s="531" t="s">
        <v>13159</v>
      </c>
      <c r="B1399" s="539"/>
      <c r="C1399" s="11" t="s">
        <v>11095</v>
      </c>
      <c r="D1399" s="533">
        <v>0.75</v>
      </c>
      <c r="E1399" s="533">
        <v>0.75</v>
      </c>
      <c r="F1399" s="11" t="s">
        <v>1656</v>
      </c>
      <c r="G1399" s="10"/>
      <c r="H1399" s="11" t="s">
        <v>11096</v>
      </c>
      <c r="I1399" s="10"/>
      <c r="J1399" s="536" t="s">
        <v>13160</v>
      </c>
      <c r="K1399" s="540"/>
    </row>
    <row r="1400" hidden="1">
      <c r="A1400" s="531" t="s">
        <v>13161</v>
      </c>
      <c r="B1400" s="532"/>
      <c r="C1400" s="11" t="s">
        <v>11095</v>
      </c>
      <c r="D1400" s="533">
        <v>0.75</v>
      </c>
      <c r="E1400" s="533">
        <v>0.75</v>
      </c>
      <c r="F1400" s="11" t="s">
        <v>1656</v>
      </c>
      <c r="G1400" s="10"/>
      <c r="H1400" s="11" t="s">
        <v>11096</v>
      </c>
      <c r="I1400" s="10"/>
      <c r="J1400" s="536" t="s">
        <v>13162</v>
      </c>
      <c r="K1400" s="536">
        <v>14480.0</v>
      </c>
    </row>
    <row r="1401" hidden="1">
      <c r="A1401" s="531" t="s">
        <v>13163</v>
      </c>
      <c r="B1401" s="532"/>
      <c r="C1401" s="11" t="s">
        <v>11095</v>
      </c>
      <c r="D1401" s="533">
        <v>0.75</v>
      </c>
      <c r="E1401" s="533">
        <v>0.75</v>
      </c>
      <c r="F1401" s="11" t="s">
        <v>1656</v>
      </c>
      <c r="G1401" s="10"/>
      <c r="H1401" s="11" t="s">
        <v>11096</v>
      </c>
      <c r="I1401" s="10"/>
      <c r="J1401" s="536" t="s">
        <v>13164</v>
      </c>
      <c r="K1401" s="536">
        <v>8486.0</v>
      </c>
    </row>
    <row r="1402" hidden="1">
      <c r="A1402" s="531" t="s">
        <v>13165</v>
      </c>
      <c r="B1402" s="539"/>
      <c r="C1402" s="11" t="s">
        <v>11095</v>
      </c>
      <c r="D1402" s="533">
        <v>0.75</v>
      </c>
      <c r="E1402" s="533">
        <v>0.75</v>
      </c>
      <c r="F1402" s="11" t="s">
        <v>1656</v>
      </c>
      <c r="G1402" s="10"/>
      <c r="H1402" s="11" t="s">
        <v>11096</v>
      </c>
      <c r="I1402" s="10"/>
      <c r="J1402" s="536" t="s">
        <v>13166</v>
      </c>
      <c r="K1402" s="540"/>
    </row>
    <row r="1403" hidden="1">
      <c r="A1403" s="531" t="s">
        <v>13167</v>
      </c>
      <c r="B1403" s="539"/>
      <c r="C1403" s="11" t="s">
        <v>11095</v>
      </c>
      <c r="D1403" s="533">
        <v>0.75</v>
      </c>
      <c r="E1403" s="533">
        <v>0.75</v>
      </c>
      <c r="F1403" s="11" t="s">
        <v>1656</v>
      </c>
      <c r="G1403" s="10"/>
      <c r="H1403" s="11" t="s">
        <v>11096</v>
      </c>
      <c r="I1403" s="10"/>
      <c r="J1403" s="536" t="s">
        <v>13168</v>
      </c>
      <c r="K1403" s="540"/>
    </row>
    <row r="1404" hidden="1">
      <c r="A1404" s="531" t="s">
        <v>13169</v>
      </c>
      <c r="B1404" s="532"/>
      <c r="C1404" s="11" t="s">
        <v>11095</v>
      </c>
      <c r="D1404" s="533">
        <v>0.75</v>
      </c>
      <c r="E1404" s="533">
        <v>0.75</v>
      </c>
      <c r="F1404" s="11" t="s">
        <v>1656</v>
      </c>
      <c r="G1404" s="10"/>
      <c r="H1404" s="11" t="s">
        <v>11096</v>
      </c>
      <c r="I1404" s="10"/>
      <c r="J1404" s="536" t="s">
        <v>13170</v>
      </c>
      <c r="K1404" s="536">
        <v>8486.0</v>
      </c>
    </row>
    <row r="1405" hidden="1">
      <c r="A1405" s="531" t="s">
        <v>13171</v>
      </c>
      <c r="B1405" s="532"/>
      <c r="C1405" s="11" t="s">
        <v>11095</v>
      </c>
      <c r="D1405" s="533">
        <v>0.75</v>
      </c>
      <c r="E1405" s="533">
        <v>0.75</v>
      </c>
      <c r="F1405" s="11" t="s">
        <v>1656</v>
      </c>
      <c r="G1405" s="10"/>
      <c r="H1405" s="11" t="s">
        <v>11096</v>
      </c>
      <c r="I1405" s="10"/>
      <c r="J1405" s="536" t="s">
        <v>13172</v>
      </c>
      <c r="K1405" s="536">
        <v>14478.0</v>
      </c>
    </row>
    <row r="1406" hidden="1">
      <c r="A1406" s="531" t="s">
        <v>13173</v>
      </c>
      <c r="B1406" s="532"/>
      <c r="C1406" s="11" t="s">
        <v>11095</v>
      </c>
      <c r="D1406" s="533">
        <v>0.75</v>
      </c>
      <c r="E1406" s="533">
        <v>0.75</v>
      </c>
      <c r="F1406" s="11" t="s">
        <v>1656</v>
      </c>
      <c r="G1406" s="10"/>
      <c r="H1406" s="11" t="s">
        <v>11096</v>
      </c>
      <c r="I1406" s="10"/>
      <c r="J1406" s="536" t="s">
        <v>13174</v>
      </c>
      <c r="K1406" s="536">
        <v>8486.0</v>
      </c>
    </row>
    <row r="1407" hidden="1">
      <c r="A1407" s="531" t="s">
        <v>13175</v>
      </c>
      <c r="B1407" s="532"/>
      <c r="C1407" s="11" t="s">
        <v>11095</v>
      </c>
      <c r="D1407" s="533">
        <v>0.75</v>
      </c>
      <c r="E1407" s="533">
        <v>0.75</v>
      </c>
      <c r="F1407" s="11" t="s">
        <v>1656</v>
      </c>
      <c r="G1407" s="10"/>
      <c r="H1407" s="11" t="s">
        <v>11096</v>
      </c>
      <c r="I1407" s="10"/>
      <c r="J1407" s="536" t="s">
        <v>13176</v>
      </c>
      <c r="K1407" s="536">
        <v>6658.0</v>
      </c>
    </row>
    <row r="1408" hidden="1">
      <c r="A1408" s="531" t="s">
        <v>13177</v>
      </c>
      <c r="B1408" s="532"/>
      <c r="C1408" s="11" t="s">
        <v>11095</v>
      </c>
      <c r="D1408" s="533">
        <v>0.75</v>
      </c>
      <c r="E1408" s="533">
        <v>0.75</v>
      </c>
      <c r="F1408" s="11" t="s">
        <v>1656</v>
      </c>
      <c r="G1408" s="10"/>
      <c r="H1408" s="11" t="s">
        <v>11096</v>
      </c>
      <c r="I1408" s="10"/>
      <c r="J1408" s="536" t="s">
        <v>13178</v>
      </c>
      <c r="K1408" s="536">
        <v>8486.0</v>
      </c>
    </row>
    <row r="1409" hidden="1">
      <c r="A1409" s="531" t="s">
        <v>13179</v>
      </c>
      <c r="B1409" s="532"/>
      <c r="C1409" s="11" t="s">
        <v>11095</v>
      </c>
      <c r="D1409" s="533">
        <v>0.75</v>
      </c>
      <c r="E1409" s="533">
        <v>0.75</v>
      </c>
      <c r="F1409" s="11" t="s">
        <v>1656</v>
      </c>
      <c r="G1409" s="10"/>
      <c r="H1409" s="11" t="s">
        <v>11096</v>
      </c>
      <c r="I1409" s="10"/>
      <c r="J1409" s="536" t="s">
        <v>13180</v>
      </c>
      <c r="K1409" s="536">
        <v>1104.0</v>
      </c>
    </row>
    <row r="1410" hidden="1">
      <c r="A1410" s="531" t="s">
        <v>13181</v>
      </c>
      <c r="B1410" s="539"/>
      <c r="C1410" s="11" t="s">
        <v>11095</v>
      </c>
      <c r="D1410" s="533">
        <v>0.75</v>
      </c>
      <c r="E1410" s="533">
        <v>0.75</v>
      </c>
      <c r="F1410" s="11" t="s">
        <v>1656</v>
      </c>
      <c r="G1410" s="10"/>
      <c r="H1410" s="11" t="s">
        <v>11096</v>
      </c>
      <c r="I1410" s="10"/>
      <c r="J1410" s="536" t="s">
        <v>13182</v>
      </c>
      <c r="K1410" s="540"/>
    </row>
    <row r="1411" hidden="1">
      <c r="A1411" s="531" t="s">
        <v>13183</v>
      </c>
      <c r="B1411" s="532"/>
      <c r="C1411" s="11" t="s">
        <v>11095</v>
      </c>
      <c r="D1411" s="533">
        <v>0.75</v>
      </c>
      <c r="E1411" s="533">
        <v>0.75</v>
      </c>
      <c r="F1411" s="11" t="s">
        <v>1656</v>
      </c>
      <c r="G1411" s="10"/>
      <c r="H1411" s="11" t="s">
        <v>11096</v>
      </c>
      <c r="I1411" s="10"/>
      <c r="J1411" s="536" t="s">
        <v>13184</v>
      </c>
      <c r="K1411" s="536">
        <v>1104.0</v>
      </c>
    </row>
    <row r="1412" hidden="1">
      <c r="A1412" s="531" t="s">
        <v>13185</v>
      </c>
      <c r="B1412" s="539"/>
      <c r="C1412" s="11" t="s">
        <v>11095</v>
      </c>
      <c r="D1412" s="533">
        <v>0.75</v>
      </c>
      <c r="E1412" s="533">
        <v>0.75</v>
      </c>
      <c r="F1412" s="11" t="s">
        <v>1656</v>
      </c>
      <c r="G1412" s="10"/>
      <c r="H1412" s="11" t="s">
        <v>11096</v>
      </c>
      <c r="I1412" s="10"/>
      <c r="J1412" s="536" t="s">
        <v>13186</v>
      </c>
      <c r="K1412" s="540"/>
    </row>
    <row r="1413" hidden="1">
      <c r="A1413" s="531" t="s">
        <v>13187</v>
      </c>
      <c r="B1413" s="532"/>
      <c r="C1413" s="11" t="s">
        <v>11095</v>
      </c>
      <c r="D1413" s="533">
        <v>0.75</v>
      </c>
      <c r="E1413" s="533">
        <v>0.75</v>
      </c>
      <c r="F1413" s="11" t="s">
        <v>1656</v>
      </c>
      <c r="G1413" s="10"/>
      <c r="H1413" s="11" t="s">
        <v>11096</v>
      </c>
      <c r="I1413" s="10"/>
      <c r="J1413" s="536" t="s">
        <v>13188</v>
      </c>
      <c r="K1413" s="536">
        <v>189.0</v>
      </c>
    </row>
    <row r="1414" hidden="1">
      <c r="A1414" s="531" t="s">
        <v>13189</v>
      </c>
      <c r="B1414" s="532"/>
      <c r="C1414" s="11" t="s">
        <v>11095</v>
      </c>
      <c r="D1414" s="533">
        <v>0.75</v>
      </c>
      <c r="E1414" s="533">
        <v>0.75</v>
      </c>
      <c r="F1414" s="11" t="s">
        <v>1656</v>
      </c>
      <c r="G1414" s="10"/>
      <c r="H1414" s="11" t="s">
        <v>11096</v>
      </c>
      <c r="I1414" s="10"/>
      <c r="J1414" s="536" t="s">
        <v>13190</v>
      </c>
      <c r="K1414" s="536">
        <v>189.0</v>
      </c>
    </row>
    <row r="1415" hidden="1">
      <c r="A1415" s="531" t="s">
        <v>13191</v>
      </c>
      <c r="B1415" s="532"/>
      <c r="C1415" s="11" t="s">
        <v>11095</v>
      </c>
      <c r="D1415" s="533">
        <v>0.75</v>
      </c>
      <c r="E1415" s="533">
        <v>0.75</v>
      </c>
      <c r="F1415" s="11" t="s">
        <v>1656</v>
      </c>
      <c r="G1415" s="10"/>
      <c r="H1415" s="11" t="s">
        <v>11096</v>
      </c>
      <c r="I1415" s="10"/>
      <c r="J1415" s="536" t="s">
        <v>13192</v>
      </c>
      <c r="K1415" s="536">
        <v>189.0</v>
      </c>
    </row>
    <row r="1416" hidden="1">
      <c r="A1416" s="531" t="s">
        <v>13193</v>
      </c>
      <c r="B1416" s="539"/>
      <c r="C1416" s="11" t="s">
        <v>11095</v>
      </c>
      <c r="D1416" s="533">
        <v>0.75</v>
      </c>
      <c r="E1416" s="533">
        <v>0.75</v>
      </c>
      <c r="F1416" s="11" t="s">
        <v>1656</v>
      </c>
      <c r="G1416" s="10"/>
      <c r="H1416" s="11" t="s">
        <v>11096</v>
      </c>
      <c r="I1416" s="10"/>
      <c r="J1416" s="536" t="s">
        <v>13194</v>
      </c>
      <c r="K1416" s="540"/>
    </row>
    <row r="1417" hidden="1">
      <c r="A1417" s="531" t="s">
        <v>13195</v>
      </c>
      <c r="B1417" s="532"/>
      <c r="C1417" s="11" t="s">
        <v>11095</v>
      </c>
      <c r="D1417" s="533">
        <v>0.75</v>
      </c>
      <c r="E1417" s="533">
        <v>0.75</v>
      </c>
      <c r="F1417" s="11" t="s">
        <v>1656</v>
      </c>
      <c r="G1417" s="10"/>
      <c r="H1417" s="11" t="s">
        <v>11096</v>
      </c>
      <c r="I1417" s="10"/>
      <c r="J1417" s="536" t="s">
        <v>13196</v>
      </c>
      <c r="K1417" s="536">
        <v>14420.0</v>
      </c>
    </row>
    <row r="1418" hidden="1">
      <c r="A1418" s="531" t="s">
        <v>13197</v>
      </c>
      <c r="B1418" s="532"/>
      <c r="C1418" s="11" t="s">
        <v>11095</v>
      </c>
      <c r="D1418" s="533">
        <v>0.75</v>
      </c>
      <c r="E1418" s="533">
        <v>0.75</v>
      </c>
      <c r="F1418" s="11" t="s">
        <v>1656</v>
      </c>
      <c r="G1418" s="10"/>
      <c r="H1418" s="11" t="s">
        <v>11096</v>
      </c>
      <c r="I1418" s="10"/>
      <c r="J1418" s="536" t="s">
        <v>13198</v>
      </c>
      <c r="K1418" s="536">
        <v>189.0</v>
      </c>
    </row>
    <row r="1419" hidden="1">
      <c r="A1419" s="531" t="s">
        <v>13199</v>
      </c>
      <c r="B1419" s="532"/>
      <c r="C1419" s="11" t="s">
        <v>11095</v>
      </c>
      <c r="D1419" s="533">
        <v>0.75</v>
      </c>
      <c r="E1419" s="533">
        <v>0.75</v>
      </c>
      <c r="F1419" s="11" t="s">
        <v>1656</v>
      </c>
      <c r="G1419" s="10"/>
      <c r="H1419" s="11" t="s">
        <v>11096</v>
      </c>
      <c r="I1419" s="10"/>
      <c r="J1419" s="536" t="s">
        <v>13200</v>
      </c>
      <c r="K1419" s="536">
        <v>189.0</v>
      </c>
    </row>
    <row r="1420" hidden="1">
      <c r="A1420" s="531" t="s">
        <v>13201</v>
      </c>
      <c r="B1420" s="532"/>
      <c r="C1420" s="11" t="s">
        <v>11095</v>
      </c>
      <c r="D1420" s="533">
        <v>0.75</v>
      </c>
      <c r="E1420" s="533">
        <v>0.75</v>
      </c>
      <c r="F1420" s="11" t="s">
        <v>1656</v>
      </c>
      <c r="G1420" s="10"/>
      <c r="H1420" s="11" t="s">
        <v>11096</v>
      </c>
      <c r="I1420" s="10"/>
      <c r="J1420" s="536" t="s">
        <v>13202</v>
      </c>
      <c r="K1420" s="536">
        <v>189.0</v>
      </c>
    </row>
    <row r="1421" hidden="1">
      <c r="A1421" s="531" t="s">
        <v>13203</v>
      </c>
      <c r="B1421" s="532"/>
      <c r="C1421" s="11" t="s">
        <v>11095</v>
      </c>
      <c r="D1421" s="533">
        <v>0.75</v>
      </c>
      <c r="E1421" s="533">
        <v>0.75</v>
      </c>
      <c r="F1421" s="11" t="s">
        <v>1656</v>
      </c>
      <c r="G1421" s="10"/>
      <c r="H1421" s="11" t="s">
        <v>11096</v>
      </c>
      <c r="I1421" s="10"/>
      <c r="J1421" s="536" t="s">
        <v>13204</v>
      </c>
      <c r="K1421" s="536">
        <v>8486.0</v>
      </c>
    </row>
    <row r="1422" hidden="1">
      <c r="A1422" s="531" t="s">
        <v>13205</v>
      </c>
      <c r="B1422" s="532"/>
      <c r="C1422" s="11" t="s">
        <v>11095</v>
      </c>
      <c r="D1422" s="533">
        <v>0.75</v>
      </c>
      <c r="E1422" s="533">
        <v>0.75</v>
      </c>
      <c r="F1422" s="11" t="s">
        <v>1656</v>
      </c>
      <c r="G1422" s="10"/>
      <c r="H1422" s="11" t="s">
        <v>11096</v>
      </c>
      <c r="I1422" s="10"/>
      <c r="J1422" s="536" t="s">
        <v>13206</v>
      </c>
      <c r="K1422" s="536">
        <v>189.0</v>
      </c>
    </row>
    <row r="1423" hidden="1">
      <c r="A1423" s="531" t="s">
        <v>13207</v>
      </c>
      <c r="B1423" s="532"/>
      <c r="C1423" s="11" t="s">
        <v>11095</v>
      </c>
      <c r="D1423" s="533">
        <v>0.75</v>
      </c>
      <c r="E1423" s="533">
        <v>0.75</v>
      </c>
      <c r="F1423" s="11" t="s">
        <v>1656</v>
      </c>
      <c r="G1423" s="10"/>
      <c r="H1423" s="11" t="s">
        <v>11096</v>
      </c>
      <c r="I1423" s="10"/>
      <c r="J1423" s="536" t="s">
        <v>13208</v>
      </c>
      <c r="K1423" s="536">
        <v>189.0</v>
      </c>
    </row>
    <row r="1424" hidden="1">
      <c r="A1424" s="531" t="s">
        <v>13209</v>
      </c>
      <c r="B1424" s="532"/>
      <c r="C1424" s="11" t="s">
        <v>11095</v>
      </c>
      <c r="D1424" s="533">
        <v>0.75</v>
      </c>
      <c r="E1424" s="533">
        <v>0.75</v>
      </c>
      <c r="F1424" s="11" t="s">
        <v>1656</v>
      </c>
      <c r="G1424" s="10"/>
      <c r="H1424" s="11" t="s">
        <v>11096</v>
      </c>
      <c r="I1424" s="10"/>
      <c r="J1424" s="536" t="s">
        <v>13210</v>
      </c>
      <c r="K1424" s="536">
        <v>6780.0</v>
      </c>
    </row>
    <row r="1425" hidden="1">
      <c r="A1425" s="531" t="s">
        <v>13211</v>
      </c>
      <c r="B1425" s="532"/>
      <c r="C1425" s="11" t="s">
        <v>11095</v>
      </c>
      <c r="D1425" s="533">
        <v>0.75</v>
      </c>
      <c r="E1425" s="533">
        <v>0.75</v>
      </c>
      <c r="F1425" s="11" t="s">
        <v>1656</v>
      </c>
      <c r="G1425" s="10"/>
      <c r="H1425" s="11" t="s">
        <v>11096</v>
      </c>
      <c r="I1425" s="10"/>
      <c r="J1425" s="536" t="s">
        <v>13212</v>
      </c>
      <c r="K1425" s="536">
        <v>189.0</v>
      </c>
    </row>
    <row r="1426" hidden="1">
      <c r="A1426" s="531" t="s">
        <v>13213</v>
      </c>
      <c r="B1426" s="532"/>
      <c r="C1426" s="11" t="s">
        <v>11095</v>
      </c>
      <c r="D1426" s="533">
        <v>0.75</v>
      </c>
      <c r="E1426" s="533">
        <v>0.75</v>
      </c>
      <c r="F1426" s="11" t="s">
        <v>1656</v>
      </c>
      <c r="G1426" s="10"/>
      <c r="H1426" s="11" t="s">
        <v>11096</v>
      </c>
      <c r="I1426" s="10"/>
      <c r="J1426" s="536" t="s">
        <v>13214</v>
      </c>
      <c r="K1426" s="536">
        <v>189.0</v>
      </c>
    </row>
    <row r="1427" hidden="1">
      <c r="A1427" s="531" t="s">
        <v>13215</v>
      </c>
      <c r="B1427" s="532"/>
      <c r="C1427" s="11" t="s">
        <v>11095</v>
      </c>
      <c r="D1427" s="533">
        <v>0.75</v>
      </c>
      <c r="E1427" s="533">
        <v>0.75</v>
      </c>
      <c r="F1427" s="11" t="s">
        <v>1656</v>
      </c>
      <c r="G1427" s="10"/>
      <c r="H1427" s="11" t="s">
        <v>11096</v>
      </c>
      <c r="I1427" s="10"/>
      <c r="J1427" s="536" t="s">
        <v>13216</v>
      </c>
      <c r="K1427" s="536">
        <v>13864.0</v>
      </c>
    </row>
    <row r="1428" hidden="1">
      <c r="A1428" s="531" t="s">
        <v>13217</v>
      </c>
      <c r="B1428" s="532"/>
      <c r="C1428" s="11" t="s">
        <v>11095</v>
      </c>
      <c r="D1428" s="533">
        <v>0.75</v>
      </c>
      <c r="E1428" s="533">
        <v>0.75</v>
      </c>
      <c r="F1428" s="11" t="s">
        <v>1656</v>
      </c>
      <c r="G1428" s="10"/>
      <c r="H1428" s="11" t="s">
        <v>11096</v>
      </c>
      <c r="I1428" s="10"/>
      <c r="J1428" s="536" t="s">
        <v>13218</v>
      </c>
      <c r="K1428" s="536">
        <v>14478.0</v>
      </c>
    </row>
    <row r="1429" hidden="1">
      <c r="A1429" s="531" t="s">
        <v>13219</v>
      </c>
      <c r="B1429" s="532"/>
      <c r="C1429" s="11" t="s">
        <v>11095</v>
      </c>
      <c r="D1429" s="533">
        <v>0.75</v>
      </c>
      <c r="E1429" s="533">
        <v>0.75</v>
      </c>
      <c r="F1429" s="11" t="s">
        <v>1656</v>
      </c>
      <c r="G1429" s="10"/>
      <c r="H1429" s="11" t="s">
        <v>11096</v>
      </c>
      <c r="I1429" s="10"/>
      <c r="J1429" s="536" t="s">
        <v>13220</v>
      </c>
      <c r="K1429" s="536">
        <v>189.0</v>
      </c>
    </row>
    <row r="1430" hidden="1">
      <c r="A1430" s="531" t="s">
        <v>13221</v>
      </c>
      <c r="B1430" s="532"/>
      <c r="C1430" s="11" t="s">
        <v>11095</v>
      </c>
      <c r="D1430" s="533">
        <v>0.75</v>
      </c>
      <c r="E1430" s="533">
        <v>0.75</v>
      </c>
      <c r="F1430" s="11" t="s">
        <v>1656</v>
      </c>
      <c r="G1430" s="10"/>
      <c r="H1430" s="11" t="s">
        <v>11096</v>
      </c>
      <c r="I1430" s="10"/>
      <c r="J1430" s="536" t="s">
        <v>13222</v>
      </c>
      <c r="K1430" s="536">
        <v>6729.0</v>
      </c>
    </row>
    <row r="1431" hidden="1">
      <c r="A1431" s="531" t="s">
        <v>13223</v>
      </c>
      <c r="B1431" s="532"/>
      <c r="C1431" s="11" t="s">
        <v>11095</v>
      </c>
      <c r="D1431" s="533">
        <v>0.75</v>
      </c>
      <c r="E1431" s="533">
        <v>0.75</v>
      </c>
      <c r="F1431" s="11" t="s">
        <v>1656</v>
      </c>
      <c r="G1431" s="10"/>
      <c r="H1431" s="11" t="s">
        <v>11096</v>
      </c>
      <c r="I1431" s="10"/>
      <c r="J1431" s="536" t="s">
        <v>13224</v>
      </c>
      <c r="K1431" s="536">
        <v>14507.0</v>
      </c>
    </row>
    <row r="1432" hidden="1">
      <c r="A1432" s="531" t="s">
        <v>13225</v>
      </c>
      <c r="B1432" s="532"/>
      <c r="C1432" s="11" t="s">
        <v>11095</v>
      </c>
      <c r="D1432" s="533">
        <v>0.75</v>
      </c>
      <c r="E1432" s="533">
        <v>0.75</v>
      </c>
      <c r="F1432" s="11" t="s">
        <v>1656</v>
      </c>
      <c r="G1432" s="10"/>
      <c r="H1432" s="11" t="s">
        <v>11096</v>
      </c>
      <c r="I1432" s="10"/>
      <c r="J1432" s="536" t="s">
        <v>13226</v>
      </c>
      <c r="K1432" s="536">
        <v>5389.0</v>
      </c>
    </row>
    <row r="1433" hidden="1">
      <c r="A1433" s="531" t="s">
        <v>13227</v>
      </c>
      <c r="B1433" s="532"/>
      <c r="C1433" s="11" t="s">
        <v>11095</v>
      </c>
      <c r="D1433" s="533">
        <v>0.75</v>
      </c>
      <c r="E1433" s="533">
        <v>0.75</v>
      </c>
      <c r="F1433" s="11" t="s">
        <v>1656</v>
      </c>
      <c r="G1433" s="10"/>
      <c r="H1433" s="11" t="s">
        <v>11096</v>
      </c>
      <c r="I1433" s="10"/>
      <c r="J1433" s="536" t="s">
        <v>13228</v>
      </c>
      <c r="K1433" s="536">
        <v>12932.0</v>
      </c>
    </row>
    <row r="1434" hidden="1">
      <c r="A1434" s="531" t="s">
        <v>13229</v>
      </c>
      <c r="B1434" s="532"/>
      <c r="C1434" s="11" t="s">
        <v>11095</v>
      </c>
      <c r="D1434" s="533">
        <v>0.75</v>
      </c>
      <c r="E1434" s="533">
        <v>0.75</v>
      </c>
      <c r="F1434" s="11" t="s">
        <v>1656</v>
      </c>
      <c r="G1434" s="10"/>
      <c r="H1434" s="11" t="s">
        <v>11096</v>
      </c>
      <c r="I1434" s="10"/>
      <c r="J1434" s="536" t="s">
        <v>13230</v>
      </c>
      <c r="K1434" s="536">
        <v>14005.0</v>
      </c>
    </row>
    <row r="1435" hidden="1">
      <c r="A1435" s="531" t="s">
        <v>13231</v>
      </c>
      <c r="B1435" s="532"/>
      <c r="C1435" s="11" t="s">
        <v>11095</v>
      </c>
      <c r="D1435" s="533">
        <v>0.75</v>
      </c>
      <c r="E1435" s="533">
        <v>0.75</v>
      </c>
      <c r="F1435" s="11" t="s">
        <v>1656</v>
      </c>
      <c r="G1435" s="10"/>
      <c r="H1435" s="11" t="s">
        <v>11096</v>
      </c>
      <c r="I1435" s="10"/>
      <c r="J1435" s="536" t="s">
        <v>13232</v>
      </c>
      <c r="K1435" s="536">
        <v>5389.0</v>
      </c>
    </row>
    <row r="1436" hidden="1">
      <c r="A1436" s="531" t="s">
        <v>13233</v>
      </c>
      <c r="B1436" s="532"/>
      <c r="C1436" s="11" t="s">
        <v>11095</v>
      </c>
      <c r="D1436" s="533">
        <v>0.75</v>
      </c>
      <c r="E1436" s="533">
        <v>0.75</v>
      </c>
      <c r="F1436" s="11" t="s">
        <v>1656</v>
      </c>
      <c r="G1436" s="10"/>
      <c r="H1436" s="11" t="s">
        <v>11096</v>
      </c>
      <c r="I1436" s="10"/>
      <c r="J1436" s="536" t="s">
        <v>13234</v>
      </c>
      <c r="K1436" s="536">
        <v>6729.0</v>
      </c>
    </row>
    <row r="1437" hidden="1">
      <c r="A1437" s="531" t="s">
        <v>13235</v>
      </c>
      <c r="B1437" s="532"/>
      <c r="C1437" s="11" t="s">
        <v>11095</v>
      </c>
      <c r="D1437" s="533">
        <v>0.75</v>
      </c>
      <c r="E1437" s="533">
        <v>0.75</v>
      </c>
      <c r="F1437" s="11" t="s">
        <v>1656</v>
      </c>
      <c r="G1437" s="10"/>
      <c r="H1437" s="11" t="s">
        <v>11096</v>
      </c>
      <c r="I1437" s="10"/>
      <c r="J1437" s="536" t="s">
        <v>13236</v>
      </c>
      <c r="K1437" s="536">
        <v>8486.0</v>
      </c>
    </row>
    <row r="1438" hidden="1">
      <c r="A1438" s="531" t="s">
        <v>13237</v>
      </c>
      <c r="B1438" s="532"/>
      <c r="C1438" s="11" t="s">
        <v>11095</v>
      </c>
      <c r="D1438" s="533">
        <v>0.75</v>
      </c>
      <c r="E1438" s="533">
        <v>0.75</v>
      </c>
      <c r="F1438" s="11" t="s">
        <v>1656</v>
      </c>
      <c r="G1438" s="10"/>
      <c r="H1438" s="11" t="s">
        <v>11096</v>
      </c>
      <c r="I1438" s="10"/>
      <c r="J1438" s="536" t="s">
        <v>13238</v>
      </c>
      <c r="K1438" s="536">
        <v>14420.0</v>
      </c>
    </row>
    <row r="1439" hidden="1">
      <c r="A1439" s="531" t="s">
        <v>13239</v>
      </c>
      <c r="B1439" s="532"/>
      <c r="C1439" s="11" t="s">
        <v>11095</v>
      </c>
      <c r="D1439" s="533">
        <v>0.75</v>
      </c>
      <c r="E1439" s="533">
        <v>0.75</v>
      </c>
      <c r="F1439" s="11" t="s">
        <v>1656</v>
      </c>
      <c r="G1439" s="10"/>
      <c r="H1439" s="11" t="s">
        <v>11096</v>
      </c>
      <c r="I1439" s="10"/>
      <c r="J1439" s="536" t="s">
        <v>13240</v>
      </c>
      <c r="K1439" s="536">
        <v>6767.0</v>
      </c>
    </row>
    <row r="1440" hidden="1">
      <c r="A1440" s="531" t="s">
        <v>13241</v>
      </c>
      <c r="B1440" s="532"/>
      <c r="C1440" s="11" t="s">
        <v>11095</v>
      </c>
      <c r="D1440" s="533">
        <v>0.75</v>
      </c>
      <c r="E1440" s="533">
        <v>0.75</v>
      </c>
      <c r="F1440" s="11" t="s">
        <v>1656</v>
      </c>
      <c r="G1440" s="10"/>
      <c r="H1440" s="11" t="s">
        <v>11096</v>
      </c>
      <c r="I1440" s="10"/>
      <c r="J1440" s="536" t="s">
        <v>13242</v>
      </c>
      <c r="K1440" s="536">
        <v>8486.0</v>
      </c>
    </row>
    <row r="1441" hidden="1">
      <c r="A1441" s="531" t="s">
        <v>13243</v>
      </c>
      <c r="B1441" s="532"/>
      <c r="C1441" s="11" t="s">
        <v>11095</v>
      </c>
      <c r="D1441" s="533">
        <v>0.75</v>
      </c>
      <c r="E1441" s="533">
        <v>0.75</v>
      </c>
      <c r="F1441" s="11" t="s">
        <v>1656</v>
      </c>
      <c r="G1441" s="10"/>
      <c r="H1441" s="11" t="s">
        <v>11096</v>
      </c>
      <c r="I1441" s="10"/>
      <c r="J1441" s="540" t="s">
        <v>12309</v>
      </c>
      <c r="K1441" s="536">
        <v>1.0</v>
      </c>
    </row>
    <row r="1442" hidden="1">
      <c r="A1442" s="531" t="s">
        <v>13244</v>
      </c>
      <c r="B1442" s="532"/>
      <c r="C1442" s="11" t="s">
        <v>11095</v>
      </c>
      <c r="D1442" s="533">
        <v>0.75</v>
      </c>
      <c r="E1442" s="533">
        <v>0.75</v>
      </c>
      <c r="F1442" s="11" t="s">
        <v>1656</v>
      </c>
      <c r="G1442" s="10"/>
      <c r="H1442" s="11" t="s">
        <v>11096</v>
      </c>
      <c r="I1442" s="10"/>
      <c r="J1442" s="540" t="s">
        <v>11751</v>
      </c>
      <c r="K1442" s="536">
        <v>8486.0</v>
      </c>
    </row>
    <row r="1443" hidden="1">
      <c r="A1443" s="531" t="s">
        <v>13245</v>
      </c>
      <c r="B1443" s="532"/>
      <c r="C1443" s="11" t="s">
        <v>11095</v>
      </c>
      <c r="D1443" s="533">
        <v>0.75</v>
      </c>
      <c r="E1443" s="533">
        <v>0.75</v>
      </c>
      <c r="F1443" s="11" t="s">
        <v>1656</v>
      </c>
      <c r="G1443" s="10"/>
      <c r="H1443" s="11" t="s">
        <v>11096</v>
      </c>
      <c r="I1443" s="10"/>
      <c r="J1443" s="540" t="s">
        <v>11929</v>
      </c>
      <c r="K1443" s="536">
        <v>14465.0</v>
      </c>
    </row>
    <row r="1444" hidden="1">
      <c r="A1444" s="531" t="s">
        <v>13246</v>
      </c>
      <c r="B1444" s="532"/>
      <c r="C1444" s="11" t="s">
        <v>11095</v>
      </c>
      <c r="D1444" s="533">
        <v>0.75</v>
      </c>
      <c r="E1444" s="533">
        <v>0.75</v>
      </c>
      <c r="F1444" s="11" t="s">
        <v>1656</v>
      </c>
      <c r="G1444" s="10"/>
      <c r="H1444" s="11" t="s">
        <v>11096</v>
      </c>
      <c r="I1444" s="10"/>
      <c r="J1444" s="540" t="s">
        <v>12318</v>
      </c>
      <c r="K1444" s="536">
        <v>1.0</v>
      </c>
    </row>
    <row r="1445" hidden="1">
      <c r="A1445" s="531" t="s">
        <v>13247</v>
      </c>
      <c r="B1445" s="532"/>
      <c r="C1445" s="11" t="s">
        <v>11095</v>
      </c>
      <c r="D1445" s="533">
        <v>0.75</v>
      </c>
      <c r="E1445" s="533">
        <v>0.75</v>
      </c>
      <c r="F1445" s="11" t="s">
        <v>1656</v>
      </c>
      <c r="G1445" s="10"/>
      <c r="H1445" s="11" t="s">
        <v>11096</v>
      </c>
      <c r="I1445" s="10"/>
      <c r="J1445" s="540" t="s">
        <v>12303</v>
      </c>
      <c r="K1445" s="536">
        <v>6939.0</v>
      </c>
    </row>
    <row r="1446" hidden="1">
      <c r="A1446" s="531" t="s">
        <v>13248</v>
      </c>
      <c r="B1446" s="532"/>
      <c r="C1446" s="11" t="s">
        <v>11095</v>
      </c>
      <c r="D1446" s="533">
        <v>0.75</v>
      </c>
      <c r="E1446" s="533">
        <v>0.75</v>
      </c>
      <c r="F1446" s="11" t="s">
        <v>1656</v>
      </c>
      <c r="G1446" s="10"/>
      <c r="H1446" s="11" t="s">
        <v>11096</v>
      </c>
      <c r="I1446" s="10"/>
      <c r="J1446" s="540" t="s">
        <v>11966</v>
      </c>
      <c r="K1446" s="536">
        <v>9.0</v>
      </c>
    </row>
    <row r="1447" hidden="1">
      <c r="A1447" s="531" t="s">
        <v>13249</v>
      </c>
      <c r="B1447" s="532"/>
      <c r="C1447" s="11" t="s">
        <v>11095</v>
      </c>
      <c r="D1447" s="533">
        <v>0.75</v>
      </c>
      <c r="E1447" s="533">
        <v>0.75</v>
      </c>
      <c r="F1447" s="11" t="s">
        <v>1656</v>
      </c>
      <c r="G1447" s="10"/>
      <c r="H1447" s="11" t="s">
        <v>11096</v>
      </c>
      <c r="I1447" s="10"/>
      <c r="J1447" s="540" t="s">
        <v>12312</v>
      </c>
      <c r="K1447" s="536">
        <v>1.0</v>
      </c>
    </row>
    <row r="1448" hidden="1">
      <c r="A1448" s="531" t="s">
        <v>13250</v>
      </c>
      <c r="B1448" s="532"/>
      <c r="C1448" s="11" t="s">
        <v>11095</v>
      </c>
      <c r="D1448" s="533">
        <v>0.75</v>
      </c>
      <c r="E1448" s="533">
        <v>0.75</v>
      </c>
      <c r="F1448" s="11" t="s">
        <v>1656</v>
      </c>
      <c r="G1448" s="10"/>
      <c r="H1448" s="11" t="s">
        <v>11096</v>
      </c>
      <c r="I1448" s="10"/>
      <c r="J1448" s="540" t="s">
        <v>11915</v>
      </c>
      <c r="K1448" s="536">
        <v>1.0</v>
      </c>
    </row>
    <row r="1449" hidden="1">
      <c r="A1449" s="531" t="s">
        <v>13251</v>
      </c>
      <c r="B1449" s="532"/>
      <c r="C1449" s="11" t="s">
        <v>11095</v>
      </c>
      <c r="D1449" s="533">
        <v>0.75</v>
      </c>
      <c r="E1449" s="533">
        <v>0.75</v>
      </c>
      <c r="F1449" s="11" t="s">
        <v>1656</v>
      </c>
      <c r="G1449" s="10"/>
      <c r="H1449" s="11" t="s">
        <v>11096</v>
      </c>
      <c r="I1449" s="10"/>
      <c r="J1449" s="540" t="s">
        <v>12307</v>
      </c>
      <c r="K1449" s="536">
        <v>1.0</v>
      </c>
    </row>
    <row r="1450" hidden="1">
      <c r="A1450" s="531" t="s">
        <v>13252</v>
      </c>
      <c r="B1450" s="532"/>
      <c r="C1450" s="11" t="s">
        <v>11095</v>
      </c>
      <c r="D1450" s="533">
        <v>0.75</v>
      </c>
      <c r="E1450" s="533">
        <v>0.75</v>
      </c>
      <c r="F1450" s="11" t="s">
        <v>1656</v>
      </c>
      <c r="G1450" s="10"/>
      <c r="H1450" s="11" t="s">
        <v>11096</v>
      </c>
      <c r="I1450" s="10"/>
      <c r="J1450" s="540" t="s">
        <v>12145</v>
      </c>
      <c r="K1450" s="536">
        <v>14298.0</v>
      </c>
    </row>
    <row r="1451" hidden="1">
      <c r="A1451" s="531" t="s">
        <v>13253</v>
      </c>
      <c r="B1451" s="532"/>
      <c r="C1451" s="11" t="s">
        <v>11095</v>
      </c>
      <c r="D1451" s="533">
        <v>0.75</v>
      </c>
      <c r="E1451" s="533">
        <v>0.75</v>
      </c>
      <c r="F1451" s="11" t="s">
        <v>1656</v>
      </c>
      <c r="G1451" s="10"/>
      <c r="H1451" s="11" t="s">
        <v>11096</v>
      </c>
      <c r="I1451" s="10"/>
      <c r="J1451" s="540" t="s">
        <v>11435</v>
      </c>
      <c r="K1451" s="536">
        <v>189.0</v>
      </c>
    </row>
    <row r="1452" hidden="1">
      <c r="A1452" s="531" t="s">
        <v>13254</v>
      </c>
      <c r="B1452" s="532"/>
      <c r="C1452" s="11" t="s">
        <v>11095</v>
      </c>
      <c r="D1452" s="533">
        <v>0.75</v>
      </c>
      <c r="E1452" s="533">
        <v>0.75</v>
      </c>
      <c r="F1452" s="11" t="s">
        <v>1656</v>
      </c>
      <c r="G1452" s="10"/>
      <c r="H1452" s="11" t="s">
        <v>11096</v>
      </c>
      <c r="I1452" s="10"/>
      <c r="J1452" s="540" t="s">
        <v>12099</v>
      </c>
      <c r="K1452" s="536">
        <v>189.0</v>
      </c>
    </row>
    <row r="1453" hidden="1">
      <c r="A1453" s="531" t="s">
        <v>13255</v>
      </c>
      <c r="B1453" s="532"/>
      <c r="C1453" s="11" t="s">
        <v>11095</v>
      </c>
      <c r="D1453" s="533">
        <v>0.75</v>
      </c>
      <c r="E1453" s="533">
        <v>0.75</v>
      </c>
      <c r="F1453" s="11" t="s">
        <v>1656</v>
      </c>
      <c r="G1453" s="10"/>
      <c r="H1453" s="11" t="s">
        <v>11096</v>
      </c>
      <c r="I1453" s="10"/>
      <c r="J1453" s="540" t="s">
        <v>12132</v>
      </c>
      <c r="K1453" s="536">
        <v>189.0</v>
      </c>
    </row>
    <row r="1454" hidden="1">
      <c r="A1454" s="531" t="s">
        <v>13256</v>
      </c>
      <c r="B1454" s="532"/>
      <c r="C1454" s="11" t="s">
        <v>11095</v>
      </c>
      <c r="D1454" s="533">
        <v>0.75</v>
      </c>
      <c r="E1454" s="533">
        <v>0.75</v>
      </c>
      <c r="F1454" s="11" t="s">
        <v>1656</v>
      </c>
      <c r="G1454" s="10"/>
      <c r="H1454" s="11" t="s">
        <v>11096</v>
      </c>
      <c r="I1454" s="10"/>
      <c r="J1454" s="540" t="s">
        <v>11488</v>
      </c>
      <c r="K1454" s="536">
        <v>6675.0</v>
      </c>
    </row>
    <row r="1455" hidden="1">
      <c r="A1455" s="531" t="s">
        <v>13257</v>
      </c>
      <c r="B1455" s="532"/>
      <c r="C1455" s="11" t="s">
        <v>11095</v>
      </c>
      <c r="D1455" s="533">
        <v>0.75</v>
      </c>
      <c r="E1455" s="533">
        <v>0.75</v>
      </c>
      <c r="F1455" s="11" t="s">
        <v>1656</v>
      </c>
      <c r="G1455" s="10"/>
      <c r="H1455" s="11" t="s">
        <v>11096</v>
      </c>
      <c r="I1455" s="10"/>
      <c r="J1455" s="540" t="s">
        <v>11734</v>
      </c>
      <c r="K1455" s="536">
        <v>6675.0</v>
      </c>
    </row>
    <row r="1456" hidden="1">
      <c r="A1456" s="531" t="s">
        <v>13258</v>
      </c>
      <c r="B1456" s="532"/>
      <c r="C1456" s="11" t="s">
        <v>11095</v>
      </c>
      <c r="D1456" s="533">
        <v>0.75</v>
      </c>
      <c r="E1456" s="533">
        <v>0.75</v>
      </c>
      <c r="F1456" s="11" t="s">
        <v>1656</v>
      </c>
      <c r="G1456" s="10"/>
      <c r="H1456" s="11" t="s">
        <v>11096</v>
      </c>
      <c r="I1456" s="10"/>
      <c r="J1456" s="540" t="s">
        <v>12314</v>
      </c>
      <c r="K1456" s="536">
        <v>6729.0</v>
      </c>
    </row>
    <row r="1457" hidden="1">
      <c r="A1457" s="531" t="s">
        <v>13259</v>
      </c>
      <c r="B1457" s="532"/>
      <c r="C1457" s="11" t="s">
        <v>11095</v>
      </c>
      <c r="D1457" s="533">
        <v>0.75</v>
      </c>
      <c r="E1457" s="533">
        <v>0.75</v>
      </c>
      <c r="F1457" s="11" t="s">
        <v>1656</v>
      </c>
      <c r="G1457" s="10"/>
      <c r="H1457" s="11" t="s">
        <v>11096</v>
      </c>
      <c r="I1457" s="10"/>
      <c r="J1457" s="540" t="s">
        <v>11921</v>
      </c>
      <c r="K1457" s="536">
        <v>6729.0</v>
      </c>
    </row>
    <row r="1458" hidden="1">
      <c r="A1458" s="531" t="s">
        <v>13260</v>
      </c>
      <c r="B1458" s="532"/>
      <c r="C1458" s="11" t="s">
        <v>11095</v>
      </c>
      <c r="D1458" s="533">
        <v>0.75</v>
      </c>
      <c r="E1458" s="533">
        <v>0.75</v>
      </c>
      <c r="F1458" s="11" t="s">
        <v>1656</v>
      </c>
      <c r="G1458" s="10"/>
      <c r="H1458" s="11" t="s">
        <v>11096</v>
      </c>
      <c r="I1458" s="10"/>
      <c r="J1458" s="540" t="s">
        <v>12320</v>
      </c>
      <c r="K1458" s="536">
        <v>2345.0</v>
      </c>
    </row>
    <row r="1459" hidden="1">
      <c r="A1459" s="531" t="s">
        <v>13261</v>
      </c>
      <c r="B1459" s="532"/>
      <c r="C1459" s="11" t="s">
        <v>11095</v>
      </c>
      <c r="D1459" s="533">
        <v>0.75</v>
      </c>
      <c r="E1459" s="533">
        <v>0.75</v>
      </c>
      <c r="F1459" s="11" t="s">
        <v>1656</v>
      </c>
      <c r="G1459" s="10"/>
      <c r="H1459" s="11" t="s">
        <v>11096</v>
      </c>
      <c r="I1459" s="10"/>
      <c r="J1459" s="540" t="s">
        <v>12316</v>
      </c>
      <c r="K1459" s="536">
        <v>1.0</v>
      </c>
    </row>
    <row r="1460" hidden="1">
      <c r="A1460" s="531" t="s">
        <v>13262</v>
      </c>
      <c r="B1460" s="532"/>
      <c r="C1460" s="11" t="s">
        <v>11095</v>
      </c>
      <c r="D1460" s="533">
        <v>0.75</v>
      </c>
      <c r="E1460" s="533">
        <v>0.75</v>
      </c>
      <c r="F1460" s="11" t="s">
        <v>1656</v>
      </c>
      <c r="G1460" s="10"/>
      <c r="H1460" s="11" t="s">
        <v>11096</v>
      </c>
      <c r="I1460" s="10"/>
      <c r="J1460" s="540" t="s">
        <v>12311</v>
      </c>
      <c r="K1460" s="536">
        <v>6671.0</v>
      </c>
    </row>
    <row r="1461" hidden="1">
      <c r="A1461" s="531" t="s">
        <v>13263</v>
      </c>
      <c r="B1461" s="532"/>
      <c r="C1461" s="11" t="s">
        <v>11095</v>
      </c>
      <c r="D1461" s="533">
        <v>0.75</v>
      </c>
      <c r="E1461" s="533">
        <v>0.75</v>
      </c>
      <c r="F1461" s="11" t="s">
        <v>1656</v>
      </c>
      <c r="G1461" s="10"/>
      <c r="H1461" s="11" t="s">
        <v>11096</v>
      </c>
      <c r="I1461" s="10"/>
      <c r="J1461" s="540" t="s">
        <v>11376</v>
      </c>
      <c r="K1461" s="536">
        <v>3607.0</v>
      </c>
    </row>
    <row r="1462" hidden="1">
      <c r="A1462" s="531" t="s">
        <v>13264</v>
      </c>
      <c r="B1462" s="532"/>
      <c r="C1462" s="11" t="s">
        <v>11095</v>
      </c>
      <c r="D1462" s="533">
        <v>0.75</v>
      </c>
      <c r="E1462" s="533">
        <v>0.75</v>
      </c>
      <c r="F1462" s="11" t="s">
        <v>1656</v>
      </c>
      <c r="G1462" s="10"/>
      <c r="H1462" s="11" t="s">
        <v>11096</v>
      </c>
      <c r="I1462" s="10"/>
      <c r="J1462" s="540" t="s">
        <v>11855</v>
      </c>
      <c r="K1462" s="536">
        <v>7083.0</v>
      </c>
    </row>
    <row r="1463" hidden="1">
      <c r="A1463" s="531" t="s">
        <v>13265</v>
      </c>
      <c r="B1463" s="532"/>
      <c r="C1463" s="11" t="s">
        <v>11095</v>
      </c>
      <c r="D1463" s="533">
        <v>0.75</v>
      </c>
      <c r="E1463" s="533">
        <v>0.75</v>
      </c>
      <c r="F1463" s="11" t="s">
        <v>1656</v>
      </c>
      <c r="G1463" s="10"/>
      <c r="H1463" s="11" t="s">
        <v>11096</v>
      </c>
      <c r="I1463" s="10"/>
      <c r="J1463" s="540" t="s">
        <v>12322</v>
      </c>
      <c r="K1463" s="536">
        <v>8486.0</v>
      </c>
    </row>
    <row r="1464" hidden="1">
      <c r="A1464" s="531" t="s">
        <v>13266</v>
      </c>
      <c r="B1464" s="532"/>
      <c r="C1464" s="11" t="s">
        <v>11095</v>
      </c>
      <c r="D1464" s="533">
        <v>0.75</v>
      </c>
      <c r="E1464" s="533">
        <v>0.75</v>
      </c>
      <c r="F1464" s="11" t="s">
        <v>1656</v>
      </c>
      <c r="G1464" s="10"/>
      <c r="H1464" s="11" t="s">
        <v>11096</v>
      </c>
      <c r="I1464" s="10"/>
      <c r="J1464" s="540" t="s">
        <v>11697</v>
      </c>
      <c r="K1464" s="536">
        <v>8486.0</v>
      </c>
    </row>
    <row r="1465" hidden="1">
      <c r="A1465" s="531" t="s">
        <v>13267</v>
      </c>
      <c r="B1465" s="532"/>
      <c r="C1465" s="11" t="s">
        <v>11095</v>
      </c>
      <c r="D1465" s="533">
        <v>0.75</v>
      </c>
      <c r="E1465" s="533">
        <v>0.75</v>
      </c>
      <c r="F1465" s="11" t="s">
        <v>1656</v>
      </c>
      <c r="G1465" s="10"/>
      <c r="H1465" s="11" t="s">
        <v>11096</v>
      </c>
      <c r="I1465" s="10"/>
      <c r="J1465" s="540" t="s">
        <v>11553</v>
      </c>
      <c r="K1465" s="536">
        <v>7003.0</v>
      </c>
    </row>
    <row r="1466" hidden="1">
      <c r="A1466" s="531" t="s">
        <v>13268</v>
      </c>
      <c r="B1466" s="532"/>
      <c r="C1466" s="11" t="s">
        <v>11095</v>
      </c>
      <c r="D1466" s="533">
        <v>0.75</v>
      </c>
      <c r="E1466" s="533">
        <v>0.75</v>
      </c>
      <c r="F1466" s="11" t="s">
        <v>1656</v>
      </c>
      <c r="G1466" s="10"/>
      <c r="H1466" s="11" t="s">
        <v>11096</v>
      </c>
      <c r="I1466" s="10"/>
      <c r="J1466" s="536" t="s">
        <v>10220</v>
      </c>
      <c r="K1466" s="536">
        <v>6939.0</v>
      </c>
    </row>
    <row r="1467" hidden="1">
      <c r="A1467" s="531" t="s">
        <v>13269</v>
      </c>
      <c r="B1467" s="532"/>
      <c r="C1467" s="11" t="s">
        <v>11095</v>
      </c>
      <c r="D1467" s="533">
        <v>0.75</v>
      </c>
      <c r="E1467" s="533">
        <v>0.75</v>
      </c>
      <c r="F1467" s="11" t="s">
        <v>1656</v>
      </c>
      <c r="G1467" s="10"/>
      <c r="H1467" s="11" t="s">
        <v>11096</v>
      </c>
      <c r="I1467" s="10"/>
      <c r="J1467" s="536" t="s">
        <v>12404</v>
      </c>
      <c r="K1467" s="536">
        <v>6939.0</v>
      </c>
    </row>
    <row r="1468" hidden="1">
      <c r="A1468" s="531" t="s">
        <v>13270</v>
      </c>
      <c r="B1468" s="532"/>
      <c r="C1468" s="11" t="s">
        <v>11095</v>
      </c>
      <c r="D1468" s="533">
        <v>0.75</v>
      </c>
      <c r="E1468" s="533">
        <v>0.75</v>
      </c>
      <c r="F1468" s="11" t="s">
        <v>1656</v>
      </c>
      <c r="G1468" s="10"/>
      <c r="H1468" s="11" t="s">
        <v>11096</v>
      </c>
      <c r="I1468" s="10"/>
      <c r="J1468" s="536" t="s">
        <v>11964</v>
      </c>
      <c r="K1468" s="536">
        <v>7083.0</v>
      </c>
    </row>
    <row r="1469" hidden="1">
      <c r="A1469" s="531" t="s">
        <v>13271</v>
      </c>
      <c r="B1469" s="532"/>
      <c r="C1469" s="11" t="s">
        <v>11095</v>
      </c>
      <c r="D1469" s="533">
        <v>0.75</v>
      </c>
      <c r="E1469" s="533">
        <v>0.75</v>
      </c>
      <c r="F1469" s="11" t="s">
        <v>1656</v>
      </c>
      <c r="G1469" s="10"/>
      <c r="H1469" s="11" t="s">
        <v>11096</v>
      </c>
      <c r="I1469" s="10"/>
      <c r="J1469" s="536" t="s">
        <v>11844</v>
      </c>
      <c r="K1469" s="536">
        <v>7083.0</v>
      </c>
    </row>
    <row r="1470" hidden="1">
      <c r="A1470" s="531" t="s">
        <v>13272</v>
      </c>
      <c r="B1470" s="532"/>
      <c r="C1470" s="11" t="s">
        <v>11095</v>
      </c>
      <c r="D1470" s="533">
        <v>0.75</v>
      </c>
      <c r="E1470" s="533">
        <v>0.75</v>
      </c>
      <c r="F1470" s="11" t="s">
        <v>1656</v>
      </c>
      <c r="G1470" s="10"/>
      <c r="H1470" s="11" t="s">
        <v>11096</v>
      </c>
      <c r="I1470" s="10"/>
      <c r="J1470" s="536" t="s">
        <v>11992</v>
      </c>
      <c r="K1470" s="536">
        <v>7083.0</v>
      </c>
    </row>
    <row r="1471" hidden="1">
      <c r="A1471" s="531" t="s">
        <v>13273</v>
      </c>
      <c r="B1471" s="532"/>
      <c r="C1471" s="11" t="s">
        <v>11095</v>
      </c>
      <c r="D1471" s="533">
        <v>0.75</v>
      </c>
      <c r="E1471" s="533">
        <v>0.75</v>
      </c>
      <c r="F1471" s="11" t="s">
        <v>1656</v>
      </c>
      <c r="G1471" s="10"/>
      <c r="H1471" s="11" t="s">
        <v>11096</v>
      </c>
      <c r="I1471" s="10"/>
      <c r="J1471" s="536" t="s">
        <v>12122</v>
      </c>
      <c r="K1471" s="536">
        <v>6924.0</v>
      </c>
    </row>
    <row r="1472" hidden="1">
      <c r="A1472" s="531" t="s">
        <v>13274</v>
      </c>
      <c r="B1472" s="532"/>
      <c r="C1472" s="11" t="s">
        <v>11095</v>
      </c>
      <c r="D1472" s="533">
        <v>0.75</v>
      </c>
      <c r="E1472" s="533">
        <v>0.75</v>
      </c>
      <c r="F1472" s="11" t="s">
        <v>1656</v>
      </c>
      <c r="G1472" s="10"/>
      <c r="H1472" s="11" t="s">
        <v>11096</v>
      </c>
      <c r="I1472" s="10"/>
      <c r="J1472" s="536" t="s">
        <v>11723</v>
      </c>
      <c r="K1472" s="536">
        <v>6924.0</v>
      </c>
    </row>
    <row r="1473" hidden="1">
      <c r="A1473" s="531" t="s">
        <v>13275</v>
      </c>
      <c r="B1473" s="532"/>
      <c r="C1473" s="11" t="s">
        <v>11095</v>
      </c>
      <c r="D1473" s="533">
        <v>0.75</v>
      </c>
      <c r="E1473" s="533">
        <v>0.75</v>
      </c>
      <c r="F1473" s="11" t="s">
        <v>1656</v>
      </c>
      <c r="G1473" s="10"/>
      <c r="H1473" s="11" t="s">
        <v>11096</v>
      </c>
      <c r="I1473" s="10"/>
      <c r="J1473" s="536" t="s">
        <v>12216</v>
      </c>
      <c r="K1473" s="536">
        <v>6924.0</v>
      </c>
    </row>
    <row r="1474" hidden="1">
      <c r="A1474" s="531" t="s">
        <v>13276</v>
      </c>
      <c r="B1474" s="532"/>
      <c r="C1474" s="11" t="s">
        <v>11095</v>
      </c>
      <c r="D1474" s="533">
        <v>0.75</v>
      </c>
      <c r="E1474" s="533">
        <v>0.75</v>
      </c>
      <c r="F1474" s="11" t="s">
        <v>1656</v>
      </c>
      <c r="G1474" s="10"/>
      <c r="H1474" s="11" t="s">
        <v>11096</v>
      </c>
      <c r="I1474" s="10"/>
      <c r="J1474" s="536" t="s">
        <v>11802</v>
      </c>
      <c r="K1474" s="536">
        <v>6774.0</v>
      </c>
    </row>
    <row r="1475" hidden="1">
      <c r="A1475" s="531" t="s">
        <v>13277</v>
      </c>
      <c r="B1475" s="532"/>
      <c r="C1475" s="11" t="s">
        <v>11095</v>
      </c>
      <c r="D1475" s="533">
        <v>0.75</v>
      </c>
      <c r="E1475" s="533">
        <v>0.75</v>
      </c>
      <c r="F1475" s="11" t="s">
        <v>1656</v>
      </c>
      <c r="G1475" s="10"/>
      <c r="H1475" s="11" t="s">
        <v>11096</v>
      </c>
      <c r="I1475" s="10"/>
      <c r="J1475" s="536" t="s">
        <v>12407</v>
      </c>
      <c r="K1475" s="536">
        <v>986.0</v>
      </c>
    </row>
    <row r="1476" hidden="1">
      <c r="A1476" s="531" t="s">
        <v>13278</v>
      </c>
      <c r="B1476" s="532"/>
      <c r="C1476" s="11" t="s">
        <v>11095</v>
      </c>
      <c r="D1476" s="533">
        <v>0.75</v>
      </c>
      <c r="E1476" s="533">
        <v>0.75</v>
      </c>
      <c r="F1476" s="11" t="s">
        <v>1656</v>
      </c>
      <c r="G1476" s="10"/>
      <c r="H1476" s="11" t="s">
        <v>11096</v>
      </c>
      <c r="I1476" s="10"/>
      <c r="J1476" s="536" t="s">
        <v>12395</v>
      </c>
      <c r="K1476" s="536">
        <v>986.0</v>
      </c>
    </row>
    <row r="1477" hidden="1">
      <c r="A1477" s="531" t="s">
        <v>13279</v>
      </c>
      <c r="B1477" s="532"/>
      <c r="C1477" s="11" t="s">
        <v>11095</v>
      </c>
      <c r="D1477" s="533">
        <v>0.75</v>
      </c>
      <c r="E1477" s="533">
        <v>0.75</v>
      </c>
      <c r="F1477" s="11" t="s">
        <v>1656</v>
      </c>
      <c r="G1477" s="10"/>
      <c r="H1477" s="11" t="s">
        <v>11096</v>
      </c>
      <c r="I1477" s="10"/>
      <c r="J1477" s="536" t="s">
        <v>11596</v>
      </c>
      <c r="K1477" s="536">
        <v>5389.0</v>
      </c>
    </row>
    <row r="1478" hidden="1">
      <c r="A1478" s="531" t="s">
        <v>13280</v>
      </c>
      <c r="B1478" s="531"/>
      <c r="C1478" s="11" t="s">
        <v>11095</v>
      </c>
      <c r="D1478" s="533">
        <v>0.75</v>
      </c>
      <c r="E1478" s="533">
        <v>0.75</v>
      </c>
      <c r="F1478" s="11" t="s">
        <v>1656</v>
      </c>
      <c r="G1478" s="10"/>
      <c r="H1478" s="11" t="s">
        <v>11096</v>
      </c>
      <c r="I1478" s="10"/>
      <c r="J1478" s="536" t="s">
        <v>12397</v>
      </c>
      <c r="K1478" s="536">
        <v>663.0</v>
      </c>
    </row>
    <row r="1479" hidden="1">
      <c r="A1479" s="531" t="s">
        <v>13281</v>
      </c>
      <c r="B1479" s="531">
        <v>14590.0</v>
      </c>
      <c r="C1479" s="11" t="s">
        <v>11298</v>
      </c>
      <c r="D1479" s="533">
        <v>0.9</v>
      </c>
      <c r="E1479" s="533">
        <v>0.9</v>
      </c>
      <c r="F1479" s="11" t="s">
        <v>1656</v>
      </c>
      <c r="G1479" s="10"/>
      <c r="H1479" s="11" t="s">
        <v>11299</v>
      </c>
      <c r="I1479" s="10"/>
      <c r="J1479" s="536" t="s">
        <v>11849</v>
      </c>
      <c r="K1479" s="536">
        <v>6675.0</v>
      </c>
    </row>
    <row r="1480" hidden="1">
      <c r="A1480" s="531" t="s">
        <v>13282</v>
      </c>
      <c r="B1480" s="531">
        <v>14590.0</v>
      </c>
      <c r="C1480" s="11" t="s">
        <v>11298</v>
      </c>
      <c r="D1480" s="533">
        <v>0.9</v>
      </c>
      <c r="E1480" s="533">
        <v>0.9</v>
      </c>
      <c r="F1480" s="11" t="s">
        <v>1656</v>
      </c>
      <c r="G1480" s="10"/>
      <c r="H1480" s="11" t="s">
        <v>11299</v>
      </c>
      <c r="I1480" s="10"/>
      <c r="J1480" s="536" t="s">
        <v>12410</v>
      </c>
      <c r="K1480" s="536">
        <v>189.0</v>
      </c>
    </row>
    <row r="1481" hidden="1">
      <c r="A1481" s="531" t="s">
        <v>13283</v>
      </c>
      <c r="B1481" s="531">
        <v>14590.0</v>
      </c>
      <c r="C1481" s="11" t="s">
        <v>11298</v>
      </c>
      <c r="D1481" s="533">
        <v>0.9</v>
      </c>
      <c r="E1481" s="533">
        <v>0.9</v>
      </c>
      <c r="F1481" s="11" t="s">
        <v>1656</v>
      </c>
      <c r="G1481" s="10"/>
      <c r="H1481" s="11" t="s">
        <v>11299</v>
      </c>
      <c r="I1481" s="10"/>
      <c r="J1481" s="536" t="s">
        <v>218</v>
      </c>
      <c r="K1481" s="536">
        <v>10856.0</v>
      </c>
    </row>
    <row r="1482" hidden="1">
      <c r="A1482" s="531" t="s">
        <v>13284</v>
      </c>
      <c r="B1482" s="531">
        <v>14590.0</v>
      </c>
      <c r="C1482" s="11" t="s">
        <v>11298</v>
      </c>
      <c r="D1482" s="533">
        <v>0.9</v>
      </c>
      <c r="E1482" s="533">
        <v>0.9</v>
      </c>
      <c r="F1482" s="11" t="s">
        <v>1656</v>
      </c>
      <c r="G1482" s="10"/>
      <c r="H1482" s="11" t="s">
        <v>11299</v>
      </c>
      <c r="I1482" s="10"/>
      <c r="J1482" s="536" t="s">
        <v>12412</v>
      </c>
      <c r="K1482" s="536">
        <v>189.0</v>
      </c>
    </row>
    <row r="1483" hidden="1">
      <c r="A1483" s="531" t="s">
        <v>13285</v>
      </c>
      <c r="B1483" s="531">
        <v>14590.0</v>
      </c>
      <c r="C1483" s="11" t="s">
        <v>11298</v>
      </c>
      <c r="D1483" s="533">
        <v>0.9</v>
      </c>
      <c r="E1483" s="533">
        <v>0.9</v>
      </c>
      <c r="F1483" s="11" t="s">
        <v>1656</v>
      </c>
      <c r="G1483" s="10"/>
      <c r="H1483" s="11" t="s">
        <v>11299</v>
      </c>
      <c r="I1483" s="10"/>
      <c r="J1483" s="536" t="s">
        <v>12402</v>
      </c>
      <c r="K1483" s="536">
        <v>6893.0</v>
      </c>
    </row>
    <row r="1484" hidden="1">
      <c r="A1484" s="531" t="s">
        <v>13286</v>
      </c>
      <c r="B1484" s="531">
        <v>14590.0</v>
      </c>
      <c r="C1484" s="11" t="s">
        <v>11298</v>
      </c>
      <c r="D1484" s="533">
        <v>0.9</v>
      </c>
      <c r="E1484" s="533">
        <v>0.9</v>
      </c>
      <c r="F1484" s="11" t="s">
        <v>1656</v>
      </c>
      <c r="G1484" s="10"/>
      <c r="H1484" s="11" t="s">
        <v>11299</v>
      </c>
      <c r="I1484" s="10"/>
      <c r="J1484" s="536" t="s">
        <v>10264</v>
      </c>
      <c r="K1484" s="536">
        <v>14417.0</v>
      </c>
    </row>
    <row r="1485" hidden="1">
      <c r="A1485" s="531" t="s">
        <v>13287</v>
      </c>
      <c r="B1485" s="531">
        <v>14590.0</v>
      </c>
      <c r="C1485" s="11" t="s">
        <v>11298</v>
      </c>
      <c r="D1485" s="533">
        <v>0.9</v>
      </c>
      <c r="E1485" s="533">
        <v>0.9</v>
      </c>
      <c r="F1485" s="11" t="s">
        <v>1656</v>
      </c>
      <c r="G1485" s="10"/>
      <c r="H1485" s="11" t="s">
        <v>11299</v>
      </c>
      <c r="I1485" s="10"/>
      <c r="J1485" s="536" t="s">
        <v>10266</v>
      </c>
      <c r="K1485" s="536">
        <v>7003.0</v>
      </c>
    </row>
    <row r="1486" hidden="1">
      <c r="A1486" s="531" t="s">
        <v>13288</v>
      </c>
      <c r="B1486" s="531">
        <v>14590.0</v>
      </c>
      <c r="C1486" s="11" t="s">
        <v>11298</v>
      </c>
      <c r="D1486" s="533">
        <v>0.9</v>
      </c>
      <c r="E1486" s="533">
        <v>0.9</v>
      </c>
      <c r="F1486" s="11" t="s">
        <v>1656</v>
      </c>
      <c r="G1486" s="10"/>
      <c r="H1486" s="11" t="s">
        <v>11299</v>
      </c>
      <c r="I1486" s="10"/>
      <c r="J1486" s="536" t="s">
        <v>10268</v>
      </c>
      <c r="K1486" s="536">
        <v>6988.0</v>
      </c>
    </row>
    <row r="1487" hidden="1">
      <c r="A1487" s="531" t="s">
        <v>13289</v>
      </c>
      <c r="B1487" s="531">
        <v>14590.0</v>
      </c>
      <c r="C1487" s="11" t="s">
        <v>11298</v>
      </c>
      <c r="D1487" s="533">
        <v>0.9</v>
      </c>
      <c r="E1487" s="533">
        <v>0.9</v>
      </c>
      <c r="F1487" s="11" t="s">
        <v>1656</v>
      </c>
      <c r="G1487" s="10"/>
      <c r="H1487" s="11" t="s">
        <v>11299</v>
      </c>
      <c r="I1487" s="10"/>
      <c r="J1487" s="536" t="s">
        <v>10270</v>
      </c>
      <c r="K1487" s="536">
        <v>9645.0</v>
      </c>
    </row>
    <row r="1488" hidden="1">
      <c r="A1488" s="531" t="s">
        <v>13290</v>
      </c>
      <c r="B1488" s="531">
        <v>14590.0</v>
      </c>
      <c r="C1488" s="11" t="s">
        <v>11298</v>
      </c>
      <c r="D1488" s="533">
        <v>0.9</v>
      </c>
      <c r="E1488" s="533">
        <v>0.9</v>
      </c>
      <c r="F1488" s="11" t="s">
        <v>1656</v>
      </c>
      <c r="G1488" s="10"/>
      <c r="H1488" s="11" t="s">
        <v>11299</v>
      </c>
      <c r="I1488" s="10"/>
      <c r="J1488" s="536" t="s">
        <v>10272</v>
      </c>
      <c r="K1488" s="536">
        <v>7142.0</v>
      </c>
    </row>
    <row r="1489" hidden="1">
      <c r="A1489" s="531" t="s">
        <v>13291</v>
      </c>
      <c r="B1489" s="531">
        <v>14590.0</v>
      </c>
      <c r="C1489" s="11" t="s">
        <v>11298</v>
      </c>
      <c r="D1489" s="533">
        <v>0.9</v>
      </c>
      <c r="E1489" s="533">
        <v>0.9</v>
      </c>
      <c r="F1489" s="11" t="s">
        <v>1656</v>
      </c>
      <c r="G1489" s="10"/>
      <c r="H1489" s="11" t="s">
        <v>11299</v>
      </c>
      <c r="I1489" s="10"/>
      <c r="J1489" s="536" t="s">
        <v>12393</v>
      </c>
      <c r="K1489" s="536">
        <v>8486.0</v>
      </c>
    </row>
    <row r="1490" hidden="1">
      <c r="A1490" s="531" t="s">
        <v>13292</v>
      </c>
      <c r="B1490" s="531">
        <v>14590.0</v>
      </c>
      <c r="C1490" s="11" t="s">
        <v>11298</v>
      </c>
      <c r="D1490" s="533">
        <v>0.9</v>
      </c>
      <c r="E1490" s="533">
        <v>0.9</v>
      </c>
      <c r="F1490" s="11" t="s">
        <v>1656</v>
      </c>
      <c r="G1490" s="10"/>
      <c r="H1490" s="11" t="s">
        <v>11299</v>
      </c>
      <c r="I1490" s="10"/>
      <c r="J1490" s="536" t="s">
        <v>12071</v>
      </c>
      <c r="K1490" s="540">
        <v>7713.0</v>
      </c>
    </row>
    <row r="1491" hidden="1">
      <c r="A1491" s="531" t="s">
        <v>13293</v>
      </c>
      <c r="B1491" s="531">
        <v>14590.0</v>
      </c>
      <c r="C1491" s="11" t="s">
        <v>11298</v>
      </c>
      <c r="D1491" s="533">
        <v>0.9</v>
      </c>
      <c r="E1491" s="533">
        <v>0.9</v>
      </c>
      <c r="F1491" s="11" t="s">
        <v>1656</v>
      </c>
      <c r="G1491" s="10"/>
      <c r="H1491" s="11" t="s">
        <v>11299</v>
      </c>
      <c r="I1491" s="10"/>
      <c r="J1491" s="536" t="s">
        <v>11859</v>
      </c>
      <c r="K1491" s="540">
        <v>7669.0</v>
      </c>
    </row>
    <row r="1492" hidden="1">
      <c r="A1492" s="531" t="s">
        <v>13294</v>
      </c>
      <c r="B1492" s="531">
        <v>14590.0</v>
      </c>
      <c r="C1492" s="11" t="s">
        <v>11298</v>
      </c>
      <c r="D1492" s="533">
        <v>0.9</v>
      </c>
      <c r="E1492" s="533">
        <v>0.9</v>
      </c>
      <c r="F1492" s="11" t="s">
        <v>1656</v>
      </c>
      <c r="G1492" s="10"/>
      <c r="H1492" s="11" t="s">
        <v>11299</v>
      </c>
      <c r="I1492" s="10"/>
      <c r="J1492" s="536" t="s">
        <v>13295</v>
      </c>
      <c r="K1492" s="540">
        <v>8537.0</v>
      </c>
    </row>
    <row r="1493" hidden="1">
      <c r="A1493" s="531" t="s">
        <v>13296</v>
      </c>
      <c r="B1493" s="531">
        <v>14590.0</v>
      </c>
      <c r="C1493" s="11" t="s">
        <v>11298</v>
      </c>
      <c r="D1493" s="533">
        <v>0.9</v>
      </c>
      <c r="E1493" s="533">
        <v>0.9</v>
      </c>
      <c r="F1493" s="11" t="s">
        <v>1656</v>
      </c>
      <c r="G1493" s="10"/>
      <c r="H1493" s="11" t="s">
        <v>11299</v>
      </c>
      <c r="I1493" s="10"/>
      <c r="J1493" s="540" t="s">
        <v>13297</v>
      </c>
      <c r="K1493" s="540">
        <v>9602.0</v>
      </c>
    </row>
    <row r="1494" hidden="1">
      <c r="A1494" s="531" t="s">
        <v>13298</v>
      </c>
      <c r="B1494" s="531">
        <v>14590.0</v>
      </c>
      <c r="C1494" s="11" t="s">
        <v>11298</v>
      </c>
      <c r="D1494" s="533">
        <v>0.9</v>
      </c>
      <c r="E1494" s="533">
        <v>0.9</v>
      </c>
      <c r="F1494" s="11" t="s">
        <v>1656</v>
      </c>
      <c r="G1494" s="10"/>
      <c r="H1494" s="11" t="s">
        <v>11299</v>
      </c>
      <c r="I1494" s="10"/>
      <c r="J1494" s="540" t="s">
        <v>13299</v>
      </c>
      <c r="K1494" s="540">
        <v>9301.0</v>
      </c>
    </row>
    <row r="1495" hidden="1">
      <c r="A1495" s="531" t="s">
        <v>13300</v>
      </c>
      <c r="B1495" s="531">
        <v>14590.0</v>
      </c>
      <c r="C1495" s="11" t="s">
        <v>11298</v>
      </c>
      <c r="D1495" s="533">
        <v>0.9</v>
      </c>
      <c r="E1495" s="533">
        <v>0.9</v>
      </c>
      <c r="F1495" s="11" t="s">
        <v>1656</v>
      </c>
      <c r="G1495" s="10"/>
      <c r="H1495" s="11" t="s">
        <v>11299</v>
      </c>
      <c r="I1495" s="10"/>
      <c r="J1495" s="540" t="s">
        <v>13301</v>
      </c>
      <c r="K1495" s="540">
        <v>7780.0</v>
      </c>
    </row>
    <row r="1496" hidden="1">
      <c r="A1496" s="531" t="s">
        <v>13302</v>
      </c>
      <c r="B1496" s="531">
        <v>14590.0</v>
      </c>
      <c r="C1496" s="11" t="s">
        <v>11298</v>
      </c>
      <c r="D1496" s="533">
        <v>0.9</v>
      </c>
      <c r="E1496" s="533">
        <v>0.9</v>
      </c>
      <c r="F1496" s="11" t="s">
        <v>1656</v>
      </c>
      <c r="G1496" s="10"/>
      <c r="H1496" s="11" t="s">
        <v>11299</v>
      </c>
      <c r="I1496" s="10"/>
      <c r="J1496" s="540" t="s">
        <v>13303</v>
      </c>
      <c r="K1496" s="540">
        <v>9569.0</v>
      </c>
    </row>
    <row r="1497" hidden="1">
      <c r="A1497" s="531" t="s">
        <v>13304</v>
      </c>
      <c r="B1497" s="531">
        <v>14590.0</v>
      </c>
      <c r="C1497" s="11" t="s">
        <v>11298</v>
      </c>
      <c r="D1497" s="533">
        <v>0.9</v>
      </c>
      <c r="E1497" s="533">
        <v>0.9</v>
      </c>
      <c r="F1497" s="11" t="s">
        <v>1656</v>
      </c>
      <c r="G1497" s="10"/>
      <c r="H1497" s="11" t="s">
        <v>11299</v>
      </c>
      <c r="I1497" s="10"/>
      <c r="J1497" s="540" t="s">
        <v>13305</v>
      </c>
      <c r="K1497" s="540">
        <v>9362.0</v>
      </c>
    </row>
    <row r="1498" hidden="1">
      <c r="A1498" s="531" t="s">
        <v>13306</v>
      </c>
      <c r="B1498" s="531">
        <v>14590.0</v>
      </c>
      <c r="C1498" s="11" t="s">
        <v>11298</v>
      </c>
      <c r="D1498" s="533">
        <v>0.9</v>
      </c>
      <c r="E1498" s="533">
        <v>0.9</v>
      </c>
      <c r="F1498" s="11" t="s">
        <v>1656</v>
      </c>
      <c r="G1498" s="10"/>
      <c r="H1498" s="11" t="s">
        <v>11299</v>
      </c>
      <c r="I1498" s="10"/>
      <c r="J1498" s="540" t="s">
        <v>11727</v>
      </c>
      <c r="K1498" s="540">
        <v>9573.0</v>
      </c>
    </row>
    <row r="1499" hidden="1">
      <c r="A1499" s="531" t="s">
        <v>13307</v>
      </c>
      <c r="B1499" s="531">
        <v>14590.0</v>
      </c>
      <c r="C1499" s="11" t="s">
        <v>11298</v>
      </c>
      <c r="D1499" s="533">
        <v>0.9</v>
      </c>
      <c r="E1499" s="533">
        <v>0.9</v>
      </c>
      <c r="F1499" s="11" t="s">
        <v>1656</v>
      </c>
      <c r="G1499" s="10"/>
      <c r="H1499" s="11" t="s">
        <v>11299</v>
      </c>
      <c r="I1499" s="10"/>
      <c r="J1499" s="540" t="s">
        <v>13308</v>
      </c>
      <c r="K1499" s="540">
        <v>7517.0</v>
      </c>
    </row>
    <row r="1500" hidden="1">
      <c r="A1500" s="531" t="s">
        <v>13309</v>
      </c>
      <c r="B1500" s="531">
        <v>14590.0</v>
      </c>
      <c r="C1500" s="11" t="s">
        <v>11298</v>
      </c>
      <c r="D1500" s="533">
        <v>0.9</v>
      </c>
      <c r="E1500" s="533">
        <v>0.9</v>
      </c>
      <c r="F1500" s="11" t="s">
        <v>1656</v>
      </c>
      <c r="G1500" s="10"/>
      <c r="H1500" s="11" t="s">
        <v>11299</v>
      </c>
      <c r="I1500" s="10"/>
      <c r="J1500" s="540" t="s">
        <v>13310</v>
      </c>
      <c r="K1500" s="540">
        <v>7520.0</v>
      </c>
    </row>
    <row r="1501" hidden="1">
      <c r="A1501" s="531" t="s">
        <v>13311</v>
      </c>
      <c r="B1501" s="531">
        <v>14590.0</v>
      </c>
      <c r="C1501" s="11" t="s">
        <v>11298</v>
      </c>
      <c r="D1501" s="533">
        <v>0.9</v>
      </c>
      <c r="E1501" s="533">
        <v>0.9</v>
      </c>
      <c r="F1501" s="11" t="s">
        <v>1656</v>
      </c>
      <c r="G1501" s="10"/>
      <c r="H1501" s="11" t="s">
        <v>11299</v>
      </c>
      <c r="I1501" s="10"/>
      <c r="J1501" s="540" t="s">
        <v>11681</v>
      </c>
      <c r="K1501" s="540">
        <v>7521.0</v>
      </c>
    </row>
    <row r="1502" hidden="1">
      <c r="A1502" s="531" t="s">
        <v>13312</v>
      </c>
      <c r="B1502" s="531">
        <v>14590.0</v>
      </c>
      <c r="C1502" s="11" t="s">
        <v>11298</v>
      </c>
      <c r="D1502" s="533">
        <v>0.9</v>
      </c>
      <c r="E1502" s="533">
        <v>0.9</v>
      </c>
      <c r="F1502" s="11" t="s">
        <v>1656</v>
      </c>
      <c r="G1502" s="10"/>
      <c r="H1502" s="11" t="s">
        <v>11299</v>
      </c>
      <c r="I1502" s="10"/>
      <c r="J1502" s="540" t="s">
        <v>13313</v>
      </c>
      <c r="K1502" s="540"/>
    </row>
    <row r="1503" hidden="1">
      <c r="A1503" s="531" t="s">
        <v>13314</v>
      </c>
      <c r="B1503" s="531">
        <v>14590.0</v>
      </c>
      <c r="C1503" s="11" t="s">
        <v>11298</v>
      </c>
      <c r="D1503" s="533">
        <v>0.9</v>
      </c>
      <c r="E1503" s="533">
        <v>0.9</v>
      </c>
      <c r="F1503" s="11" t="s">
        <v>1656</v>
      </c>
      <c r="G1503" s="10"/>
      <c r="H1503" s="11" t="s">
        <v>11299</v>
      </c>
      <c r="I1503" s="10"/>
      <c r="J1503" s="540" t="s">
        <v>13315</v>
      </c>
      <c r="K1503" s="540">
        <v>7734.0</v>
      </c>
    </row>
    <row r="1504" hidden="1">
      <c r="A1504" s="531" t="s">
        <v>13316</v>
      </c>
      <c r="B1504" s="531">
        <v>14590.0</v>
      </c>
      <c r="C1504" s="11" t="s">
        <v>11298</v>
      </c>
      <c r="D1504" s="533">
        <v>0.9</v>
      </c>
      <c r="E1504" s="533">
        <v>0.9</v>
      </c>
      <c r="F1504" s="11" t="s">
        <v>1656</v>
      </c>
      <c r="G1504" s="10"/>
      <c r="H1504" s="11" t="s">
        <v>11299</v>
      </c>
      <c r="I1504" s="10"/>
      <c r="J1504" s="540" t="s">
        <v>12387</v>
      </c>
      <c r="K1504" s="540">
        <v>8096.0</v>
      </c>
    </row>
    <row r="1505" hidden="1">
      <c r="A1505" s="531" t="s">
        <v>13317</v>
      </c>
      <c r="B1505" s="531">
        <v>14590.0</v>
      </c>
      <c r="C1505" s="11" t="s">
        <v>11298</v>
      </c>
      <c r="D1505" s="533">
        <v>0.9</v>
      </c>
      <c r="E1505" s="533">
        <v>0.9</v>
      </c>
      <c r="F1505" s="11" t="s">
        <v>1656</v>
      </c>
      <c r="G1505" s="10"/>
      <c r="H1505" s="11" t="s">
        <v>11299</v>
      </c>
      <c r="I1505" s="10"/>
      <c r="J1505" s="540" t="s">
        <v>11678</v>
      </c>
      <c r="K1505" s="540">
        <v>8623.0</v>
      </c>
    </row>
    <row r="1506" hidden="1">
      <c r="A1506" s="531" t="s">
        <v>13318</v>
      </c>
      <c r="B1506" s="531">
        <v>14590.0</v>
      </c>
      <c r="C1506" s="11" t="s">
        <v>11298</v>
      </c>
      <c r="D1506" s="533">
        <v>0.9</v>
      </c>
      <c r="E1506" s="533">
        <v>0.9</v>
      </c>
      <c r="F1506" s="11" t="s">
        <v>1656</v>
      </c>
      <c r="G1506" s="10"/>
      <c r="H1506" s="11" t="s">
        <v>11299</v>
      </c>
      <c r="I1506" s="10"/>
      <c r="J1506" s="540" t="s">
        <v>11791</v>
      </c>
      <c r="K1506" s="540">
        <v>8255.0</v>
      </c>
    </row>
    <row r="1507" hidden="1">
      <c r="A1507" s="531" t="s">
        <v>13319</v>
      </c>
      <c r="B1507" s="531">
        <v>14590.0</v>
      </c>
      <c r="C1507" s="11" t="s">
        <v>11298</v>
      </c>
      <c r="D1507" s="533">
        <v>0.9</v>
      </c>
      <c r="E1507" s="533">
        <v>0.9</v>
      </c>
      <c r="F1507" s="11" t="s">
        <v>1656</v>
      </c>
      <c r="G1507" s="10"/>
      <c r="H1507" s="11" t="s">
        <v>11299</v>
      </c>
      <c r="I1507" s="10"/>
      <c r="J1507" s="540" t="s">
        <v>12324</v>
      </c>
      <c r="K1507" s="540">
        <v>9596.0</v>
      </c>
    </row>
    <row r="1508" hidden="1">
      <c r="A1508" s="531" t="s">
        <v>13320</v>
      </c>
      <c r="B1508" s="531">
        <v>14590.0</v>
      </c>
      <c r="C1508" s="11" t="s">
        <v>11298</v>
      </c>
      <c r="D1508" s="533">
        <v>0.9</v>
      </c>
      <c r="E1508" s="533">
        <v>0.9</v>
      </c>
      <c r="F1508" s="11" t="s">
        <v>1656</v>
      </c>
      <c r="G1508" s="10"/>
      <c r="H1508" s="11" t="s">
        <v>11299</v>
      </c>
      <c r="I1508" s="10"/>
      <c r="J1508" s="540" t="s">
        <v>11431</v>
      </c>
      <c r="K1508" s="540">
        <v>8274.0</v>
      </c>
    </row>
    <row r="1509" hidden="1">
      <c r="A1509" s="531" t="s">
        <v>13321</v>
      </c>
      <c r="B1509" s="531">
        <v>14590.0</v>
      </c>
      <c r="C1509" s="11" t="s">
        <v>11298</v>
      </c>
      <c r="D1509" s="533">
        <v>0.9</v>
      </c>
      <c r="E1509" s="533">
        <v>0.9</v>
      </c>
      <c r="F1509" s="11" t="s">
        <v>1656</v>
      </c>
      <c r="G1509" s="10"/>
      <c r="H1509" s="11" t="s">
        <v>11299</v>
      </c>
      <c r="I1509" s="10"/>
      <c r="J1509" s="540" t="s">
        <v>12305</v>
      </c>
      <c r="K1509" s="540">
        <v>9567.0</v>
      </c>
    </row>
    <row r="1510" hidden="1">
      <c r="A1510" s="531" t="s">
        <v>13322</v>
      </c>
      <c r="B1510" s="531">
        <v>14590.0</v>
      </c>
      <c r="C1510" s="11" t="s">
        <v>11298</v>
      </c>
      <c r="D1510" s="533">
        <v>0.9</v>
      </c>
      <c r="E1510" s="533">
        <v>0.9</v>
      </c>
      <c r="F1510" s="11" t="s">
        <v>1656</v>
      </c>
      <c r="G1510" s="10"/>
      <c r="H1510" s="11" t="s">
        <v>11299</v>
      </c>
      <c r="I1510" s="10"/>
      <c r="J1510" s="540" t="s">
        <v>13323</v>
      </c>
      <c r="K1510" s="540">
        <v>9616.0</v>
      </c>
    </row>
    <row r="1511" hidden="1">
      <c r="A1511" s="531" t="s">
        <v>13324</v>
      </c>
      <c r="B1511" s="531">
        <v>14590.0</v>
      </c>
      <c r="C1511" s="11" t="s">
        <v>11298</v>
      </c>
      <c r="D1511" s="533">
        <v>0.9</v>
      </c>
      <c r="E1511" s="533">
        <v>0.9</v>
      </c>
      <c r="F1511" s="11" t="s">
        <v>1656</v>
      </c>
      <c r="G1511" s="10"/>
      <c r="H1511" s="11" t="s">
        <v>11299</v>
      </c>
      <c r="I1511" s="10"/>
      <c r="J1511" s="540" t="s">
        <v>11450</v>
      </c>
      <c r="K1511" s="540">
        <v>9617.0</v>
      </c>
    </row>
    <row r="1512" hidden="1">
      <c r="A1512" s="531" t="s">
        <v>13325</v>
      </c>
      <c r="B1512" s="531">
        <v>14590.0</v>
      </c>
      <c r="C1512" s="11" t="s">
        <v>11298</v>
      </c>
      <c r="D1512" s="533">
        <v>0.9</v>
      </c>
      <c r="E1512" s="533">
        <v>0.9</v>
      </c>
      <c r="F1512" s="11" t="s">
        <v>1656</v>
      </c>
      <c r="G1512" s="10"/>
      <c r="H1512" s="11" t="s">
        <v>11299</v>
      </c>
      <c r="I1512" s="10"/>
      <c r="J1512" s="540" t="s">
        <v>12109</v>
      </c>
      <c r="K1512" s="540">
        <v>9667.0</v>
      </c>
    </row>
    <row r="1513" hidden="1">
      <c r="A1513" s="531" t="s">
        <v>13326</v>
      </c>
      <c r="B1513" s="531">
        <v>14590.0</v>
      </c>
      <c r="C1513" s="11" t="s">
        <v>11298</v>
      </c>
      <c r="D1513" s="533">
        <v>0.9</v>
      </c>
      <c r="E1513" s="533">
        <v>0.9</v>
      </c>
      <c r="F1513" s="11" t="s">
        <v>1656</v>
      </c>
      <c r="G1513" s="10"/>
      <c r="H1513" s="11" t="s">
        <v>11299</v>
      </c>
      <c r="I1513" s="10"/>
      <c r="J1513" s="540" t="s">
        <v>13327</v>
      </c>
      <c r="K1513" s="540">
        <v>9730.0</v>
      </c>
    </row>
    <row r="1514" hidden="1">
      <c r="A1514" s="531" t="s">
        <v>13328</v>
      </c>
      <c r="B1514" s="531">
        <v>14590.0</v>
      </c>
      <c r="C1514" s="11" t="s">
        <v>11298</v>
      </c>
      <c r="D1514" s="533">
        <v>0.9</v>
      </c>
      <c r="E1514" s="533">
        <v>0.9</v>
      </c>
      <c r="F1514" s="11" t="s">
        <v>1656</v>
      </c>
      <c r="G1514" s="10"/>
      <c r="H1514" s="11" t="s">
        <v>11299</v>
      </c>
      <c r="I1514" s="10"/>
      <c r="J1514" s="540" t="s">
        <v>11317</v>
      </c>
      <c r="K1514" s="540">
        <v>9727.0</v>
      </c>
    </row>
    <row r="1515" hidden="1">
      <c r="A1515" s="531" t="s">
        <v>13329</v>
      </c>
      <c r="B1515" s="531">
        <v>14590.0</v>
      </c>
      <c r="C1515" s="11" t="s">
        <v>11298</v>
      </c>
      <c r="D1515" s="533">
        <v>0.9</v>
      </c>
      <c r="E1515" s="533">
        <v>0.9</v>
      </c>
      <c r="F1515" s="11" t="s">
        <v>1656</v>
      </c>
      <c r="G1515" s="10"/>
      <c r="H1515" s="11" t="s">
        <v>11299</v>
      </c>
      <c r="I1515" s="10"/>
      <c r="J1515" s="540" t="s">
        <v>11295</v>
      </c>
      <c r="K1515" s="540">
        <v>9843.0</v>
      </c>
    </row>
    <row r="1516" hidden="1">
      <c r="A1516" s="531" t="s">
        <v>13330</v>
      </c>
      <c r="B1516" s="531">
        <v>14590.0</v>
      </c>
      <c r="C1516" s="11" t="s">
        <v>11298</v>
      </c>
      <c r="D1516" s="533">
        <v>0.9</v>
      </c>
      <c r="E1516" s="533">
        <v>0.9</v>
      </c>
      <c r="F1516" s="11" t="s">
        <v>1656</v>
      </c>
      <c r="G1516" s="10"/>
      <c r="H1516" s="11" t="s">
        <v>11299</v>
      </c>
      <c r="I1516" s="10"/>
      <c r="J1516" s="540" t="s">
        <v>11315</v>
      </c>
      <c r="K1516" s="540">
        <v>9545.0</v>
      </c>
    </row>
    <row r="1517" hidden="1">
      <c r="A1517" s="531" t="s">
        <v>13331</v>
      </c>
      <c r="B1517" s="531">
        <v>14590.0</v>
      </c>
      <c r="C1517" s="11" t="s">
        <v>11298</v>
      </c>
      <c r="D1517" s="533">
        <v>0.9</v>
      </c>
      <c r="E1517" s="533">
        <v>0.9</v>
      </c>
      <c r="F1517" s="11" t="s">
        <v>1656</v>
      </c>
      <c r="G1517" s="10"/>
      <c r="H1517" s="11" t="s">
        <v>11299</v>
      </c>
      <c r="I1517" s="10"/>
      <c r="J1517" s="540" t="s">
        <v>11313</v>
      </c>
      <c r="K1517" s="540">
        <v>10368.0</v>
      </c>
    </row>
    <row r="1518" hidden="1">
      <c r="A1518" s="531" t="s">
        <v>13332</v>
      </c>
      <c r="B1518" s="531">
        <v>14590.0</v>
      </c>
      <c r="C1518" s="11" t="s">
        <v>11298</v>
      </c>
      <c r="D1518" s="533">
        <v>0.9</v>
      </c>
      <c r="E1518" s="533">
        <v>0.9</v>
      </c>
      <c r="F1518" s="11" t="s">
        <v>1656</v>
      </c>
      <c r="G1518" s="10"/>
      <c r="H1518" s="11" t="s">
        <v>11299</v>
      </c>
      <c r="I1518" s="10"/>
      <c r="J1518" s="540" t="s">
        <v>11327</v>
      </c>
      <c r="K1518" s="540">
        <v>9663.0</v>
      </c>
    </row>
    <row r="1519" hidden="1">
      <c r="A1519" s="531" t="s">
        <v>13333</v>
      </c>
      <c r="B1519" s="531">
        <v>14590.0</v>
      </c>
      <c r="C1519" s="11" t="s">
        <v>11298</v>
      </c>
      <c r="D1519" s="533">
        <v>0.9</v>
      </c>
      <c r="E1519" s="533">
        <v>0.9</v>
      </c>
      <c r="F1519" s="11" t="s">
        <v>1656</v>
      </c>
      <c r="G1519" s="10"/>
      <c r="H1519" s="11" t="s">
        <v>11299</v>
      </c>
      <c r="I1519" s="10"/>
      <c r="J1519" s="540" t="s">
        <v>11321</v>
      </c>
      <c r="K1519" s="540">
        <v>9568.0</v>
      </c>
    </row>
    <row r="1520" hidden="1">
      <c r="A1520" s="531" t="s">
        <v>13334</v>
      </c>
      <c r="B1520" s="531">
        <v>14590.0</v>
      </c>
      <c r="C1520" s="11" t="s">
        <v>11298</v>
      </c>
      <c r="D1520" s="533">
        <v>0.9</v>
      </c>
      <c r="E1520" s="533">
        <v>0.9</v>
      </c>
      <c r="F1520" s="11" t="s">
        <v>1656</v>
      </c>
      <c r="G1520" s="10"/>
      <c r="H1520" s="11" t="s">
        <v>11299</v>
      </c>
      <c r="I1520" s="10"/>
      <c r="J1520" s="540" t="s">
        <v>11329</v>
      </c>
      <c r="K1520" s="540">
        <v>9814.0</v>
      </c>
    </row>
    <row r="1521" hidden="1">
      <c r="A1521" s="531" t="s">
        <v>13335</v>
      </c>
      <c r="B1521" s="531">
        <v>14590.0</v>
      </c>
      <c r="C1521" s="11" t="s">
        <v>11298</v>
      </c>
      <c r="D1521" s="533">
        <v>0.9</v>
      </c>
      <c r="E1521" s="533">
        <v>0.9</v>
      </c>
      <c r="F1521" s="11" t="s">
        <v>1656</v>
      </c>
      <c r="G1521" s="10"/>
      <c r="H1521" s="11" t="s">
        <v>11299</v>
      </c>
      <c r="I1521" s="10"/>
      <c r="J1521" s="540" t="s">
        <v>11323</v>
      </c>
      <c r="K1521" s="540">
        <v>9586.0</v>
      </c>
    </row>
    <row r="1522" hidden="1">
      <c r="A1522" s="531" t="s">
        <v>13336</v>
      </c>
      <c r="B1522" s="531">
        <v>14590.0</v>
      </c>
      <c r="C1522" s="11" t="s">
        <v>11298</v>
      </c>
      <c r="D1522" s="533">
        <v>0.9</v>
      </c>
      <c r="E1522" s="533">
        <v>0.9</v>
      </c>
      <c r="F1522" s="11" t="s">
        <v>1656</v>
      </c>
      <c r="G1522" s="10"/>
      <c r="H1522" s="11" t="s">
        <v>11299</v>
      </c>
      <c r="I1522" s="10"/>
      <c r="J1522" s="540" t="s">
        <v>11333</v>
      </c>
      <c r="K1522" s="540">
        <v>12324.0</v>
      </c>
    </row>
    <row r="1523" hidden="1">
      <c r="A1523" s="531" t="s">
        <v>13337</v>
      </c>
      <c r="B1523" s="531">
        <v>14590.0</v>
      </c>
      <c r="C1523" s="11" t="s">
        <v>11298</v>
      </c>
      <c r="D1523" s="533">
        <v>0.9</v>
      </c>
      <c r="E1523" s="533">
        <v>0.9</v>
      </c>
      <c r="F1523" s="11" t="s">
        <v>1656</v>
      </c>
      <c r="G1523" s="10"/>
      <c r="H1523" s="11" t="s">
        <v>11299</v>
      </c>
      <c r="I1523" s="10"/>
      <c r="J1523" s="540" t="s">
        <v>11309</v>
      </c>
      <c r="K1523" s="540">
        <v>12609.0</v>
      </c>
    </row>
    <row r="1524" hidden="1">
      <c r="A1524" s="531" t="s">
        <v>13338</v>
      </c>
      <c r="B1524" s="531">
        <v>14590.0</v>
      </c>
      <c r="C1524" s="11" t="s">
        <v>11298</v>
      </c>
      <c r="D1524" s="533">
        <v>0.9</v>
      </c>
      <c r="E1524" s="533">
        <v>0.9</v>
      </c>
      <c r="F1524" s="11" t="s">
        <v>1656</v>
      </c>
      <c r="G1524" s="10"/>
      <c r="H1524" s="11" t="s">
        <v>11299</v>
      </c>
      <c r="I1524" s="10"/>
      <c r="J1524" s="540" t="s">
        <v>11301</v>
      </c>
      <c r="K1524" s="540">
        <v>13895.0</v>
      </c>
    </row>
    <row r="1525" hidden="1">
      <c r="A1525" s="531" t="s">
        <v>13339</v>
      </c>
      <c r="B1525" s="531">
        <v>14590.0</v>
      </c>
      <c r="C1525" s="11" t="s">
        <v>11298</v>
      </c>
      <c r="D1525" s="533">
        <v>0.9</v>
      </c>
      <c r="E1525" s="533">
        <v>0.9</v>
      </c>
      <c r="F1525" s="11" t="s">
        <v>1656</v>
      </c>
      <c r="G1525" s="10"/>
      <c r="H1525" s="11" t="s">
        <v>11299</v>
      </c>
      <c r="I1525" s="10"/>
      <c r="J1525" s="540" t="s">
        <v>11307</v>
      </c>
      <c r="K1525" s="540">
        <v>10352.0</v>
      </c>
    </row>
    <row r="1526" hidden="1">
      <c r="A1526" s="531" t="s">
        <v>13340</v>
      </c>
      <c r="B1526" s="531">
        <v>14590.0</v>
      </c>
      <c r="C1526" s="11" t="s">
        <v>11298</v>
      </c>
      <c r="D1526" s="533">
        <v>0.9</v>
      </c>
      <c r="E1526" s="533">
        <v>0.9</v>
      </c>
      <c r="F1526" s="11" t="s">
        <v>1656</v>
      </c>
      <c r="G1526" s="10"/>
      <c r="H1526" s="11" t="s">
        <v>11299</v>
      </c>
      <c r="I1526" s="10"/>
      <c r="J1526" s="540" t="s">
        <v>11311</v>
      </c>
      <c r="K1526" s="540">
        <v>12575.0</v>
      </c>
    </row>
    <row r="1527" hidden="1">
      <c r="A1527" s="531" t="s">
        <v>13341</v>
      </c>
      <c r="B1527" s="531">
        <v>14590.0</v>
      </c>
      <c r="C1527" s="11" t="s">
        <v>11298</v>
      </c>
      <c r="D1527" s="533">
        <v>0.9</v>
      </c>
      <c r="E1527" s="533">
        <v>0.9</v>
      </c>
      <c r="F1527" s="11" t="s">
        <v>1656</v>
      </c>
      <c r="G1527" s="10"/>
      <c r="H1527" s="11" t="s">
        <v>11299</v>
      </c>
      <c r="I1527" s="10"/>
      <c r="J1527" s="540" t="s">
        <v>11331</v>
      </c>
      <c r="K1527" s="540">
        <v>14185.0</v>
      </c>
    </row>
    <row r="1528" hidden="1">
      <c r="A1528" s="531" t="s">
        <v>13342</v>
      </c>
      <c r="B1528" s="531">
        <v>14590.0</v>
      </c>
      <c r="C1528" s="11" t="s">
        <v>11298</v>
      </c>
      <c r="D1528" s="533">
        <v>0.9</v>
      </c>
      <c r="E1528" s="533">
        <v>0.9</v>
      </c>
      <c r="F1528" s="11" t="s">
        <v>1656</v>
      </c>
      <c r="G1528" s="10"/>
      <c r="H1528" s="11" t="s">
        <v>11299</v>
      </c>
      <c r="I1528" s="10"/>
      <c r="J1528" s="540" t="s">
        <v>11334</v>
      </c>
      <c r="K1528" s="540">
        <v>9825.0</v>
      </c>
    </row>
    <row r="1529" hidden="1">
      <c r="A1529" s="531" t="s">
        <v>13343</v>
      </c>
      <c r="B1529" s="531">
        <v>14590.0</v>
      </c>
      <c r="C1529" s="11" t="s">
        <v>11298</v>
      </c>
      <c r="D1529" s="533">
        <v>0.9</v>
      </c>
      <c r="E1529" s="533">
        <v>0.9</v>
      </c>
      <c r="F1529" s="11" t="s">
        <v>1656</v>
      </c>
      <c r="G1529" s="10"/>
      <c r="H1529" s="11" t="s">
        <v>11299</v>
      </c>
      <c r="I1529" s="10"/>
      <c r="J1529" s="540" t="s">
        <v>11303</v>
      </c>
      <c r="K1529" s="540">
        <v>12299.0</v>
      </c>
    </row>
    <row r="1530" hidden="1">
      <c r="A1530" s="531" t="s">
        <v>13344</v>
      </c>
      <c r="B1530" s="531">
        <v>14590.0</v>
      </c>
      <c r="C1530" s="11" t="s">
        <v>11298</v>
      </c>
      <c r="D1530" s="533">
        <v>0.9</v>
      </c>
      <c r="E1530" s="533">
        <v>0.9</v>
      </c>
      <c r="F1530" s="11" t="s">
        <v>1656</v>
      </c>
      <c r="G1530" s="10"/>
      <c r="H1530" s="11" t="s">
        <v>11299</v>
      </c>
      <c r="I1530" s="10"/>
      <c r="J1530" s="540" t="s">
        <v>11297</v>
      </c>
      <c r="K1530" s="540">
        <v>14079.0</v>
      </c>
    </row>
    <row r="1531" hidden="1">
      <c r="A1531" s="531" t="s">
        <v>13345</v>
      </c>
      <c r="B1531" s="531">
        <v>14590.0</v>
      </c>
      <c r="C1531" s="11" t="s">
        <v>11298</v>
      </c>
      <c r="D1531" s="533">
        <v>0.9</v>
      </c>
      <c r="E1531" s="533">
        <v>0.9</v>
      </c>
      <c r="F1531" s="11" t="s">
        <v>1656</v>
      </c>
      <c r="G1531" s="10"/>
      <c r="H1531" s="11" t="s">
        <v>11299</v>
      </c>
      <c r="I1531" s="10"/>
      <c r="J1531" s="540" t="s">
        <v>11325</v>
      </c>
      <c r="K1531" s="540">
        <v>13073.0</v>
      </c>
    </row>
    <row r="1532" hidden="1">
      <c r="A1532" s="531" t="s">
        <v>13346</v>
      </c>
      <c r="B1532" s="531">
        <v>14590.0</v>
      </c>
      <c r="C1532" s="11" t="s">
        <v>11298</v>
      </c>
      <c r="D1532" s="533">
        <v>0.9</v>
      </c>
      <c r="E1532" s="533">
        <v>0.9</v>
      </c>
      <c r="F1532" s="11" t="s">
        <v>1656</v>
      </c>
      <c r="G1532" s="10"/>
      <c r="H1532" s="11" t="s">
        <v>11299</v>
      </c>
      <c r="I1532" s="10"/>
      <c r="J1532" s="540" t="s">
        <v>11319</v>
      </c>
      <c r="K1532" s="540">
        <v>12572.0</v>
      </c>
    </row>
    <row r="1533" hidden="1">
      <c r="A1533" s="531" t="s">
        <v>13347</v>
      </c>
      <c r="B1533" s="531">
        <v>14590.0</v>
      </c>
      <c r="C1533" s="11" t="s">
        <v>11298</v>
      </c>
      <c r="D1533" s="533">
        <v>0.9</v>
      </c>
      <c r="E1533" s="533">
        <v>0.9</v>
      </c>
      <c r="F1533" s="11" t="s">
        <v>1656</v>
      </c>
      <c r="G1533" s="10"/>
      <c r="H1533" s="11" t="s">
        <v>11299</v>
      </c>
      <c r="I1533" s="10"/>
      <c r="J1533" s="540" t="s">
        <v>11305</v>
      </c>
      <c r="K1533" s="540">
        <v>9768.0</v>
      </c>
    </row>
    <row r="1534" hidden="1">
      <c r="A1534" s="531" t="s">
        <v>13348</v>
      </c>
      <c r="B1534" s="531">
        <v>14590.0</v>
      </c>
      <c r="C1534" s="11" t="s">
        <v>11298</v>
      </c>
      <c r="D1534" s="533">
        <v>0.9</v>
      </c>
      <c r="E1534" s="533">
        <v>0.9</v>
      </c>
      <c r="F1534" s="11" t="s">
        <v>1656</v>
      </c>
      <c r="G1534" s="10"/>
      <c r="H1534" s="11" t="s">
        <v>11299</v>
      </c>
      <c r="I1534" s="10"/>
      <c r="J1534" s="540" t="s">
        <v>11444</v>
      </c>
      <c r="K1534" s="540">
        <v>10861.0</v>
      </c>
    </row>
    <row r="1535" hidden="1">
      <c r="A1535" s="531" t="s">
        <v>13349</v>
      </c>
      <c r="B1535" s="531">
        <v>14590.0</v>
      </c>
      <c r="C1535" s="11" t="s">
        <v>11298</v>
      </c>
      <c r="D1535" s="533">
        <v>0.9</v>
      </c>
      <c r="E1535" s="533">
        <v>0.9</v>
      </c>
      <c r="F1535" s="11" t="s">
        <v>1656</v>
      </c>
      <c r="G1535" s="10"/>
      <c r="H1535" s="11" t="s">
        <v>11299</v>
      </c>
      <c r="I1535" s="10"/>
      <c r="J1535" s="540" t="s">
        <v>12628</v>
      </c>
      <c r="K1535" s="540">
        <v>10311.0</v>
      </c>
    </row>
    <row r="1536" hidden="1">
      <c r="A1536" s="531" t="s">
        <v>13350</v>
      </c>
      <c r="B1536" s="531">
        <v>14590.0</v>
      </c>
      <c r="C1536" s="11" t="s">
        <v>11298</v>
      </c>
      <c r="D1536" s="533">
        <v>0.9</v>
      </c>
      <c r="E1536" s="533">
        <v>0.9</v>
      </c>
      <c r="F1536" s="11" t="s">
        <v>1656</v>
      </c>
      <c r="G1536" s="10"/>
      <c r="H1536" s="11" t="s">
        <v>11299</v>
      </c>
      <c r="I1536" s="10"/>
      <c r="J1536" s="540" t="s">
        <v>12629</v>
      </c>
      <c r="K1536" s="540">
        <v>12157.0</v>
      </c>
    </row>
    <row r="1537" hidden="1">
      <c r="A1537" s="531" t="s">
        <v>13351</v>
      </c>
      <c r="B1537" s="531">
        <v>14590.0</v>
      </c>
      <c r="C1537" s="11" t="s">
        <v>11298</v>
      </c>
      <c r="D1537" s="533">
        <v>0.9</v>
      </c>
      <c r="E1537" s="533">
        <v>0.9</v>
      </c>
      <c r="F1537" s="11" t="s">
        <v>1656</v>
      </c>
      <c r="G1537" s="10"/>
      <c r="H1537" s="11" t="s">
        <v>11299</v>
      </c>
      <c r="I1537" s="10"/>
      <c r="J1537" s="540" t="s">
        <v>12630</v>
      </c>
      <c r="K1537" s="540">
        <v>10238.0</v>
      </c>
    </row>
    <row r="1538" hidden="1">
      <c r="A1538" s="531" t="s">
        <v>13352</v>
      </c>
      <c r="B1538" s="531">
        <v>14590.0</v>
      </c>
      <c r="C1538" s="11" t="s">
        <v>11298</v>
      </c>
      <c r="D1538" s="533">
        <v>0.9</v>
      </c>
      <c r="E1538" s="533">
        <v>0.9</v>
      </c>
      <c r="F1538" s="11" t="s">
        <v>1656</v>
      </c>
      <c r="G1538" s="10"/>
      <c r="H1538" s="11" t="s">
        <v>11299</v>
      </c>
      <c r="I1538" s="10"/>
      <c r="J1538" s="540" t="s">
        <v>12631</v>
      </c>
      <c r="K1538" s="540">
        <v>12258.0</v>
      </c>
    </row>
    <row r="1539" hidden="1">
      <c r="A1539" s="531" t="s">
        <v>13353</v>
      </c>
      <c r="B1539" s="531">
        <v>14590.0</v>
      </c>
      <c r="C1539" s="11" t="s">
        <v>11298</v>
      </c>
      <c r="D1539" s="533">
        <v>0.9</v>
      </c>
      <c r="E1539" s="533">
        <v>0.9</v>
      </c>
      <c r="F1539" s="11" t="s">
        <v>1656</v>
      </c>
      <c r="G1539" s="10"/>
      <c r="H1539" s="11" t="s">
        <v>11299</v>
      </c>
      <c r="I1539" s="10"/>
      <c r="J1539" s="540" t="s">
        <v>12632</v>
      </c>
      <c r="K1539" s="540">
        <v>10970.0</v>
      </c>
    </row>
    <row r="1540" hidden="1">
      <c r="A1540" s="531" t="s">
        <v>13354</v>
      </c>
      <c r="B1540" s="531">
        <v>14590.0</v>
      </c>
      <c r="C1540" s="11" t="s">
        <v>11298</v>
      </c>
      <c r="D1540" s="533">
        <v>0.9</v>
      </c>
      <c r="E1540" s="533">
        <v>0.9</v>
      </c>
      <c r="F1540" s="11" t="s">
        <v>1656</v>
      </c>
      <c r="G1540" s="10"/>
      <c r="H1540" s="11" t="s">
        <v>11299</v>
      </c>
      <c r="I1540" s="10"/>
      <c r="J1540" s="540" t="s">
        <v>12633</v>
      </c>
      <c r="K1540" s="540">
        <v>11768.0</v>
      </c>
    </row>
    <row r="1541" hidden="1">
      <c r="A1541" s="531" t="s">
        <v>13355</v>
      </c>
      <c r="B1541" s="531">
        <v>14590.0</v>
      </c>
      <c r="C1541" s="11" t="s">
        <v>11298</v>
      </c>
      <c r="D1541" s="533">
        <v>0.9</v>
      </c>
      <c r="E1541" s="533">
        <v>0.9</v>
      </c>
      <c r="F1541" s="11" t="s">
        <v>1656</v>
      </c>
      <c r="G1541" s="10"/>
      <c r="H1541" s="11" t="s">
        <v>11299</v>
      </c>
      <c r="I1541" s="10"/>
      <c r="J1541" s="540" t="s">
        <v>12634</v>
      </c>
      <c r="K1541" s="540">
        <v>12163.0</v>
      </c>
    </row>
    <row r="1542" hidden="1">
      <c r="A1542" s="531" t="s">
        <v>13356</v>
      </c>
      <c r="B1542" s="531">
        <v>14590.0</v>
      </c>
      <c r="C1542" s="11" t="s">
        <v>11298</v>
      </c>
      <c r="D1542" s="533">
        <v>0.9</v>
      </c>
      <c r="E1542" s="533">
        <v>0.9</v>
      </c>
      <c r="F1542" s="11" t="s">
        <v>1656</v>
      </c>
      <c r="G1542" s="10"/>
      <c r="H1542" s="11" t="s">
        <v>11299</v>
      </c>
      <c r="I1542" s="10"/>
      <c r="J1542" s="540" t="s">
        <v>12635</v>
      </c>
      <c r="K1542" s="540">
        <v>12259.0</v>
      </c>
    </row>
    <row r="1543" hidden="1">
      <c r="A1543" s="531" t="s">
        <v>13357</v>
      </c>
      <c r="B1543" s="531">
        <v>14590.0</v>
      </c>
      <c r="C1543" s="11" t="s">
        <v>11298</v>
      </c>
      <c r="D1543" s="533">
        <v>0.9</v>
      </c>
      <c r="E1543" s="533">
        <v>0.9</v>
      </c>
      <c r="F1543" s="11" t="s">
        <v>1656</v>
      </c>
      <c r="G1543" s="10"/>
      <c r="H1543" s="11" t="s">
        <v>11299</v>
      </c>
      <c r="I1543" s="10"/>
      <c r="J1543" s="540" t="s">
        <v>11683</v>
      </c>
      <c r="K1543" s="540">
        <v>11553.0</v>
      </c>
    </row>
    <row r="1544" hidden="1">
      <c r="A1544" s="531" t="s">
        <v>13358</v>
      </c>
      <c r="B1544" s="531">
        <v>14590.0</v>
      </c>
      <c r="C1544" s="11" t="s">
        <v>11298</v>
      </c>
      <c r="D1544" s="533">
        <v>0.9</v>
      </c>
      <c r="E1544" s="533">
        <v>0.9</v>
      </c>
      <c r="F1544" s="11" t="s">
        <v>1656</v>
      </c>
      <c r="G1544" s="10"/>
      <c r="H1544" s="11" t="s">
        <v>11299</v>
      </c>
      <c r="I1544" s="10"/>
      <c r="J1544" s="540" t="s">
        <v>12636</v>
      </c>
      <c r="K1544" s="540"/>
    </row>
    <row r="1545" hidden="1">
      <c r="A1545" s="531" t="s">
        <v>13359</v>
      </c>
      <c r="B1545" s="531">
        <v>14590.0</v>
      </c>
      <c r="C1545" s="11" t="s">
        <v>11298</v>
      </c>
      <c r="D1545" s="533">
        <v>0.9</v>
      </c>
      <c r="E1545" s="533">
        <v>0.9</v>
      </c>
      <c r="F1545" s="11" t="s">
        <v>1656</v>
      </c>
      <c r="G1545" s="10"/>
      <c r="H1545" s="11" t="s">
        <v>11299</v>
      </c>
      <c r="I1545" s="10"/>
      <c r="J1545" s="540" t="s">
        <v>12076</v>
      </c>
      <c r="K1545" s="540">
        <v>11554.0</v>
      </c>
    </row>
    <row r="1546" hidden="1">
      <c r="A1546" s="531" t="s">
        <v>13360</v>
      </c>
      <c r="B1546" s="531">
        <v>14590.0</v>
      </c>
      <c r="C1546" s="11" t="s">
        <v>11298</v>
      </c>
      <c r="D1546" s="533">
        <v>0.9</v>
      </c>
      <c r="E1546" s="533">
        <v>0.9</v>
      </c>
      <c r="F1546" s="11" t="s">
        <v>1656</v>
      </c>
      <c r="G1546" s="10"/>
      <c r="H1546" s="11" t="s">
        <v>11299</v>
      </c>
      <c r="I1546" s="10"/>
      <c r="J1546" s="540" t="s">
        <v>12637</v>
      </c>
      <c r="K1546" s="540">
        <v>12277.0</v>
      </c>
    </row>
    <row r="1547" hidden="1">
      <c r="A1547" s="531" t="s">
        <v>13361</v>
      </c>
      <c r="B1547" s="531">
        <v>14590.0</v>
      </c>
      <c r="C1547" s="11" t="s">
        <v>11298</v>
      </c>
      <c r="D1547" s="533">
        <v>0.9</v>
      </c>
      <c r="E1547" s="533">
        <v>0.9</v>
      </c>
      <c r="F1547" s="11" t="s">
        <v>1656</v>
      </c>
      <c r="G1547" s="10"/>
      <c r="H1547" s="11" t="s">
        <v>11299</v>
      </c>
      <c r="I1547" s="10"/>
      <c r="J1547" s="540" t="s">
        <v>12638</v>
      </c>
      <c r="K1547" s="540">
        <v>9477.0</v>
      </c>
    </row>
    <row r="1548" hidden="1">
      <c r="A1548" s="531" t="s">
        <v>13362</v>
      </c>
      <c r="B1548" s="531">
        <v>14590.0</v>
      </c>
      <c r="C1548" s="11" t="s">
        <v>11298</v>
      </c>
      <c r="D1548" s="533">
        <v>0.9</v>
      </c>
      <c r="E1548" s="533">
        <v>0.9</v>
      </c>
      <c r="F1548" s="11" t="s">
        <v>1656</v>
      </c>
      <c r="G1548" s="10"/>
      <c r="H1548" s="11" t="s">
        <v>11299</v>
      </c>
      <c r="I1548" s="10"/>
      <c r="J1548" s="540" t="s">
        <v>12639</v>
      </c>
      <c r="K1548" s="540">
        <v>11045.0</v>
      </c>
    </row>
    <row r="1549" hidden="1">
      <c r="A1549" s="531" t="s">
        <v>13363</v>
      </c>
      <c r="B1549" s="531">
        <v>14590.0</v>
      </c>
      <c r="C1549" s="11" t="s">
        <v>11298</v>
      </c>
      <c r="D1549" s="533">
        <v>0.9</v>
      </c>
      <c r="E1549" s="533">
        <v>0.9</v>
      </c>
      <c r="F1549" s="11" t="s">
        <v>1656</v>
      </c>
      <c r="G1549" s="10"/>
      <c r="H1549" s="11" t="s">
        <v>11299</v>
      </c>
      <c r="I1549" s="10"/>
      <c r="J1549" s="540" t="s">
        <v>12620</v>
      </c>
      <c r="K1549" s="540">
        <v>9616.0</v>
      </c>
    </row>
    <row r="1550" hidden="1">
      <c r="A1550" s="531" t="s">
        <v>13364</v>
      </c>
      <c r="B1550" s="531">
        <v>14590.0</v>
      </c>
      <c r="C1550" s="11" t="s">
        <v>11298</v>
      </c>
      <c r="D1550" s="533">
        <v>0.9</v>
      </c>
      <c r="E1550" s="533">
        <v>0.9</v>
      </c>
      <c r="F1550" s="11" t="s">
        <v>1656</v>
      </c>
      <c r="G1550" s="10"/>
      <c r="H1550" s="11" t="s">
        <v>11299</v>
      </c>
      <c r="I1550" s="10"/>
      <c r="J1550" s="540" t="s">
        <v>13365</v>
      </c>
      <c r="K1550" s="540">
        <v>7983.0</v>
      </c>
    </row>
    <row r="1551" hidden="1">
      <c r="A1551" s="531" t="s">
        <v>13366</v>
      </c>
      <c r="B1551" s="531">
        <v>14590.0</v>
      </c>
      <c r="C1551" s="11" t="s">
        <v>11298</v>
      </c>
      <c r="D1551" s="533">
        <v>0.9</v>
      </c>
      <c r="E1551" s="533">
        <v>0.9</v>
      </c>
      <c r="F1551" s="11" t="s">
        <v>1656</v>
      </c>
      <c r="G1551" s="10"/>
      <c r="H1551" s="11" t="s">
        <v>11299</v>
      </c>
      <c r="I1551" s="10"/>
      <c r="J1551" s="540" t="s">
        <v>13367</v>
      </c>
      <c r="K1551" s="540">
        <v>12327.0</v>
      </c>
    </row>
    <row r="1552" hidden="1">
      <c r="A1552" s="531" t="s">
        <v>13368</v>
      </c>
      <c r="B1552" s="531">
        <v>14590.0</v>
      </c>
      <c r="C1552" s="11" t="s">
        <v>11298</v>
      </c>
      <c r="D1552" s="533">
        <v>0.9</v>
      </c>
      <c r="E1552" s="533">
        <v>0.9</v>
      </c>
      <c r="F1552" s="11" t="s">
        <v>1656</v>
      </c>
      <c r="G1552" s="10"/>
      <c r="H1552" s="11" t="s">
        <v>11299</v>
      </c>
      <c r="I1552" s="10"/>
      <c r="J1552" s="540" t="s">
        <v>13369</v>
      </c>
      <c r="K1552" s="540">
        <v>13815.0</v>
      </c>
    </row>
    <row r="1553" hidden="1">
      <c r="A1553" s="531" t="s">
        <v>13370</v>
      </c>
      <c r="B1553" s="531">
        <v>14590.0</v>
      </c>
      <c r="C1553" s="11" t="s">
        <v>11298</v>
      </c>
      <c r="D1553" s="533">
        <v>0.9</v>
      </c>
      <c r="E1553" s="533">
        <v>0.9</v>
      </c>
      <c r="F1553" s="11" t="s">
        <v>1656</v>
      </c>
      <c r="G1553" s="10"/>
      <c r="H1553" s="11" t="s">
        <v>11299</v>
      </c>
      <c r="I1553" s="10"/>
      <c r="J1553" s="540" t="s">
        <v>12622</v>
      </c>
      <c r="K1553" s="540">
        <v>14000.0</v>
      </c>
    </row>
    <row r="1554" hidden="1">
      <c r="A1554" s="531" t="s">
        <v>13371</v>
      </c>
      <c r="B1554" s="531">
        <v>14590.0</v>
      </c>
      <c r="C1554" s="11" t="s">
        <v>11298</v>
      </c>
      <c r="D1554" s="533">
        <v>0.9</v>
      </c>
      <c r="E1554" s="533">
        <v>0.9</v>
      </c>
      <c r="F1554" s="11" t="s">
        <v>1656</v>
      </c>
      <c r="G1554" s="10"/>
      <c r="H1554" s="11" t="s">
        <v>11299</v>
      </c>
      <c r="I1554" s="10"/>
      <c r="J1554" s="540" t="s">
        <v>13372</v>
      </c>
      <c r="K1554" s="540">
        <v>12385.0</v>
      </c>
    </row>
    <row r="1555" hidden="1">
      <c r="A1555" s="531" t="s">
        <v>13373</v>
      </c>
      <c r="B1555" s="531">
        <v>14590.0</v>
      </c>
      <c r="C1555" s="11" t="s">
        <v>11298</v>
      </c>
      <c r="D1555" s="533">
        <v>0.9</v>
      </c>
      <c r="E1555" s="533">
        <v>0.9</v>
      </c>
      <c r="F1555" s="11" t="s">
        <v>1656</v>
      </c>
      <c r="G1555" s="10"/>
      <c r="H1555" s="11" t="s">
        <v>11299</v>
      </c>
      <c r="I1555" s="10"/>
      <c r="J1555" s="540" t="s">
        <v>13374</v>
      </c>
      <c r="K1555" s="540">
        <v>12391.0</v>
      </c>
    </row>
    <row r="1556" hidden="1">
      <c r="A1556" s="531" t="s">
        <v>13375</v>
      </c>
      <c r="B1556" s="531">
        <v>14590.0</v>
      </c>
      <c r="C1556" s="11" t="s">
        <v>11298</v>
      </c>
      <c r="D1556" s="533">
        <v>0.9</v>
      </c>
      <c r="E1556" s="533">
        <v>0.9</v>
      </c>
      <c r="F1556" s="11" t="s">
        <v>1656</v>
      </c>
      <c r="G1556" s="10"/>
      <c r="H1556" s="11" t="s">
        <v>11299</v>
      </c>
      <c r="I1556" s="10"/>
      <c r="J1556" s="540" t="s">
        <v>12623</v>
      </c>
      <c r="K1556" s="540">
        <v>13904.0</v>
      </c>
    </row>
    <row r="1557" hidden="1">
      <c r="A1557" s="531" t="s">
        <v>13376</v>
      </c>
      <c r="B1557" s="531">
        <v>14590.0</v>
      </c>
      <c r="C1557" s="11" t="s">
        <v>11298</v>
      </c>
      <c r="D1557" s="533">
        <v>0.9</v>
      </c>
      <c r="E1557" s="533">
        <v>0.9</v>
      </c>
      <c r="F1557" s="11" t="s">
        <v>1656</v>
      </c>
      <c r="G1557" s="10"/>
      <c r="H1557" s="11" t="s">
        <v>11299</v>
      </c>
      <c r="I1557" s="10"/>
      <c r="J1557" s="540" t="s">
        <v>13377</v>
      </c>
      <c r="K1557" s="540">
        <v>11774.0</v>
      </c>
    </row>
    <row r="1558" hidden="1">
      <c r="A1558" s="531" t="s">
        <v>13378</v>
      </c>
      <c r="B1558" s="531">
        <v>14590.0</v>
      </c>
      <c r="C1558" s="11" t="s">
        <v>11298</v>
      </c>
      <c r="D1558" s="533">
        <v>0.9</v>
      </c>
      <c r="E1558" s="533">
        <v>0.9</v>
      </c>
      <c r="F1558" s="11" t="s">
        <v>1656</v>
      </c>
      <c r="G1558" s="10"/>
      <c r="H1558" s="11" t="s">
        <v>11299</v>
      </c>
      <c r="I1558" s="10"/>
      <c r="J1558" s="540" t="s">
        <v>12624</v>
      </c>
      <c r="K1558" s="540">
        <v>11297.0</v>
      </c>
    </row>
    <row r="1559" hidden="1">
      <c r="A1559" s="531" t="s">
        <v>13379</v>
      </c>
      <c r="B1559" s="531">
        <v>14590.0</v>
      </c>
      <c r="C1559" s="11" t="s">
        <v>11298</v>
      </c>
      <c r="D1559" s="533">
        <v>0.9</v>
      </c>
      <c r="E1559" s="533">
        <v>0.9</v>
      </c>
      <c r="F1559" s="11" t="s">
        <v>1656</v>
      </c>
      <c r="G1559" s="10"/>
      <c r="H1559" s="11" t="s">
        <v>11299</v>
      </c>
      <c r="I1559" s="10"/>
      <c r="J1559" s="540" t="s">
        <v>11781</v>
      </c>
      <c r="K1559" s="540">
        <v>7866.0</v>
      </c>
    </row>
    <row r="1560" hidden="1">
      <c r="A1560" s="531" t="s">
        <v>13380</v>
      </c>
      <c r="B1560" s="531">
        <v>14590.0</v>
      </c>
      <c r="C1560" s="11" t="s">
        <v>11298</v>
      </c>
      <c r="D1560" s="533">
        <v>0.9</v>
      </c>
      <c r="E1560" s="533">
        <v>0.9</v>
      </c>
      <c r="F1560" s="11" t="s">
        <v>1656</v>
      </c>
      <c r="G1560" s="10"/>
      <c r="H1560" s="11" t="s">
        <v>11299</v>
      </c>
      <c r="I1560" s="10"/>
      <c r="J1560" s="540" t="s">
        <v>13381</v>
      </c>
      <c r="K1560" s="540">
        <v>10368.0</v>
      </c>
    </row>
    <row r="1561" hidden="1">
      <c r="A1561" s="531" t="s">
        <v>13382</v>
      </c>
      <c r="B1561" s="531">
        <v>14590.0</v>
      </c>
      <c r="C1561" s="11" t="s">
        <v>11298</v>
      </c>
      <c r="D1561" s="533">
        <v>0.9</v>
      </c>
      <c r="E1561" s="533">
        <v>0.9</v>
      </c>
      <c r="F1561" s="11" t="s">
        <v>1656</v>
      </c>
      <c r="G1561" s="10"/>
      <c r="H1561" s="11" t="s">
        <v>11299</v>
      </c>
      <c r="I1561" s="10"/>
      <c r="J1561" s="540" t="s">
        <v>11507</v>
      </c>
      <c r="K1561" s="540">
        <v>12385.0</v>
      </c>
    </row>
    <row r="1562" hidden="1">
      <c r="A1562" s="531" t="s">
        <v>13383</v>
      </c>
      <c r="B1562" s="531">
        <v>14590.0</v>
      </c>
      <c r="C1562" s="11" t="s">
        <v>11298</v>
      </c>
      <c r="D1562" s="533">
        <v>0.9</v>
      </c>
      <c r="E1562" s="533">
        <v>0.9</v>
      </c>
      <c r="F1562" s="11" t="s">
        <v>1656</v>
      </c>
      <c r="G1562" s="10"/>
      <c r="H1562" s="11" t="s">
        <v>11299</v>
      </c>
      <c r="I1562" s="10"/>
      <c r="J1562" s="540" t="s">
        <v>12508</v>
      </c>
      <c r="K1562" s="540">
        <v>12611.0</v>
      </c>
    </row>
    <row r="1563" hidden="1">
      <c r="A1563" s="531" t="s">
        <v>13384</v>
      </c>
      <c r="B1563" s="531">
        <v>14590.0</v>
      </c>
      <c r="C1563" s="11" t="s">
        <v>11298</v>
      </c>
      <c r="D1563" s="533">
        <v>0.9</v>
      </c>
      <c r="E1563" s="533">
        <v>0.9</v>
      </c>
      <c r="F1563" s="11" t="s">
        <v>1656</v>
      </c>
      <c r="G1563" s="10"/>
      <c r="H1563" s="11" t="s">
        <v>11299</v>
      </c>
      <c r="I1563" s="10"/>
      <c r="J1563" s="540" t="s">
        <v>12509</v>
      </c>
      <c r="K1563" s="540">
        <v>14086.0</v>
      </c>
    </row>
    <row r="1564" hidden="1">
      <c r="A1564" s="531" t="s">
        <v>13385</v>
      </c>
      <c r="B1564" s="531">
        <v>14590.0</v>
      </c>
      <c r="C1564" s="11" t="s">
        <v>11298</v>
      </c>
      <c r="D1564" s="533">
        <v>0.9</v>
      </c>
      <c r="E1564" s="533">
        <v>0.9</v>
      </c>
      <c r="F1564" s="11" t="s">
        <v>1656</v>
      </c>
      <c r="G1564" s="10"/>
      <c r="H1564" s="11" t="s">
        <v>11299</v>
      </c>
      <c r="I1564" s="10"/>
      <c r="J1564" s="540" t="s">
        <v>11548</v>
      </c>
      <c r="K1564" s="540">
        <v>7628.0</v>
      </c>
    </row>
    <row r="1565" hidden="1">
      <c r="A1565" s="531" t="s">
        <v>13386</v>
      </c>
      <c r="B1565" s="531">
        <v>14590.0</v>
      </c>
      <c r="C1565" s="11" t="s">
        <v>11298</v>
      </c>
      <c r="D1565" s="533">
        <v>0.9</v>
      </c>
      <c r="E1565" s="533">
        <v>0.9</v>
      </c>
      <c r="F1565" s="11" t="s">
        <v>1656</v>
      </c>
      <c r="G1565" s="10"/>
      <c r="H1565" s="11" t="s">
        <v>11299</v>
      </c>
      <c r="I1565" s="10"/>
      <c r="J1565" s="540" t="s">
        <v>12510</v>
      </c>
      <c r="K1565" s="540">
        <v>14017.0</v>
      </c>
    </row>
    <row r="1566" hidden="1">
      <c r="A1566" s="531" t="s">
        <v>13387</v>
      </c>
      <c r="B1566" s="531">
        <v>14590.0</v>
      </c>
      <c r="C1566" s="11" t="s">
        <v>11298</v>
      </c>
      <c r="D1566" s="533">
        <v>0.9</v>
      </c>
      <c r="E1566" s="533">
        <v>0.9</v>
      </c>
      <c r="F1566" s="11" t="s">
        <v>1656</v>
      </c>
      <c r="G1566" s="10"/>
      <c r="H1566" s="11" t="s">
        <v>11299</v>
      </c>
      <c r="I1566" s="10"/>
      <c r="J1566" s="540" t="s">
        <v>11958</v>
      </c>
      <c r="K1566" s="540">
        <v>13987.0</v>
      </c>
    </row>
    <row r="1567" hidden="1">
      <c r="A1567" s="531" t="s">
        <v>13388</v>
      </c>
      <c r="B1567" s="531">
        <v>14590.0</v>
      </c>
      <c r="C1567" s="11" t="s">
        <v>11298</v>
      </c>
      <c r="D1567" s="533">
        <v>0.9</v>
      </c>
      <c r="E1567" s="533">
        <v>0.9</v>
      </c>
      <c r="F1567" s="11" t="s">
        <v>1656</v>
      </c>
      <c r="G1567" s="10"/>
      <c r="H1567" s="11" t="s">
        <v>11299</v>
      </c>
      <c r="I1567" s="10"/>
      <c r="J1567" s="540" t="s">
        <v>11374</v>
      </c>
      <c r="K1567" s="540">
        <v>14024.0</v>
      </c>
    </row>
    <row r="1568" hidden="1">
      <c r="A1568" s="531" t="s">
        <v>13389</v>
      </c>
      <c r="B1568" s="531">
        <v>14590.0</v>
      </c>
      <c r="C1568" s="11" t="s">
        <v>11298</v>
      </c>
      <c r="D1568" s="533">
        <v>0.9</v>
      </c>
      <c r="E1568" s="533">
        <v>0.9</v>
      </c>
      <c r="F1568" s="11" t="s">
        <v>1656</v>
      </c>
      <c r="G1568" s="10"/>
      <c r="H1568" s="11" t="s">
        <v>11299</v>
      </c>
      <c r="I1568" s="10"/>
      <c r="J1568" s="540" t="s">
        <v>12511</v>
      </c>
      <c r="K1568" s="540"/>
    </row>
    <row r="1569" hidden="1">
      <c r="A1569" s="531" t="s">
        <v>13390</v>
      </c>
      <c r="B1569" s="531">
        <v>14590.0</v>
      </c>
      <c r="C1569" s="11" t="s">
        <v>11298</v>
      </c>
      <c r="D1569" s="533">
        <v>0.9</v>
      </c>
      <c r="E1569" s="533">
        <v>0.9</v>
      </c>
      <c r="F1569" s="11" t="s">
        <v>1656</v>
      </c>
      <c r="G1569" s="10"/>
      <c r="H1569" s="11" t="s">
        <v>11299</v>
      </c>
      <c r="I1569" s="10"/>
      <c r="J1569" s="540" t="s">
        <v>11421</v>
      </c>
      <c r="K1569" s="540">
        <v>7862.0</v>
      </c>
    </row>
    <row r="1570" hidden="1">
      <c r="A1570" s="531" t="s">
        <v>13391</v>
      </c>
      <c r="B1570" s="531">
        <v>14590.0</v>
      </c>
      <c r="C1570" s="11" t="s">
        <v>11298</v>
      </c>
      <c r="D1570" s="533">
        <v>0.9</v>
      </c>
      <c r="E1570" s="533">
        <v>0.9</v>
      </c>
      <c r="F1570" s="11" t="s">
        <v>1656</v>
      </c>
      <c r="G1570" s="10"/>
      <c r="H1570" s="11" t="s">
        <v>11299</v>
      </c>
      <c r="I1570" s="10"/>
      <c r="J1570" s="540" t="s">
        <v>11832</v>
      </c>
      <c r="K1570" s="540">
        <v>14419.0</v>
      </c>
    </row>
    <row r="1571" hidden="1">
      <c r="A1571" s="531" t="s">
        <v>13392</v>
      </c>
      <c r="B1571" s="531">
        <v>986.0</v>
      </c>
      <c r="C1571" s="11" t="s">
        <v>11095</v>
      </c>
      <c r="D1571" s="533">
        <v>0.85</v>
      </c>
      <c r="E1571" s="533">
        <v>0.85</v>
      </c>
      <c r="F1571" s="11" t="s">
        <v>1656</v>
      </c>
      <c r="G1571" s="10"/>
      <c r="H1571" s="11" t="s">
        <v>11096</v>
      </c>
      <c r="I1571" s="10"/>
      <c r="J1571" s="540" t="s">
        <v>12223</v>
      </c>
      <c r="K1571" s="540">
        <v>14452.0</v>
      </c>
    </row>
    <row r="1572" hidden="1">
      <c r="A1572" s="531" t="s">
        <v>13393</v>
      </c>
      <c r="B1572" s="531">
        <v>4933.0</v>
      </c>
      <c r="C1572" s="11" t="s">
        <v>11095</v>
      </c>
      <c r="D1572" s="533">
        <v>0.75</v>
      </c>
      <c r="E1572" s="533">
        <v>0.75</v>
      </c>
      <c r="F1572" s="11" t="s">
        <v>1656</v>
      </c>
      <c r="G1572" s="10"/>
      <c r="H1572" s="11" t="s">
        <v>11096</v>
      </c>
      <c r="I1572" s="10"/>
      <c r="J1572" s="540" t="s">
        <v>11805</v>
      </c>
      <c r="K1572" s="540">
        <v>13909.0</v>
      </c>
    </row>
    <row r="1573" hidden="1">
      <c r="A1573" s="531" t="s">
        <v>13394</v>
      </c>
      <c r="B1573" s="531">
        <v>6732.0</v>
      </c>
      <c r="C1573" s="11" t="s">
        <v>11095</v>
      </c>
      <c r="D1573" s="533">
        <v>0.8</v>
      </c>
      <c r="E1573" s="533">
        <v>0.8</v>
      </c>
      <c r="F1573" s="11" t="s">
        <v>1656</v>
      </c>
      <c r="G1573" s="10"/>
      <c r="H1573" s="11" t="s">
        <v>11096</v>
      </c>
      <c r="I1573" s="10"/>
      <c r="J1573" s="540" t="s">
        <v>11612</v>
      </c>
      <c r="K1573" s="540">
        <v>1280.0</v>
      </c>
    </row>
    <row r="1574" hidden="1">
      <c r="A1574" s="531" t="s">
        <v>13395</v>
      </c>
      <c r="B1574" s="531">
        <v>6732.0</v>
      </c>
      <c r="C1574" s="11" t="s">
        <v>11095</v>
      </c>
      <c r="D1574" s="533">
        <v>0.8</v>
      </c>
      <c r="E1574" s="533">
        <v>0.8</v>
      </c>
      <c r="F1574" s="11" t="s">
        <v>1656</v>
      </c>
      <c r="G1574" s="10"/>
      <c r="H1574" s="11" t="s">
        <v>11096</v>
      </c>
      <c r="I1574" s="10"/>
      <c r="J1574" s="540" t="s">
        <v>12512</v>
      </c>
      <c r="K1574" s="540">
        <v>13949.0</v>
      </c>
    </row>
    <row r="1575" hidden="1">
      <c r="A1575" s="531" t="s">
        <v>13396</v>
      </c>
      <c r="B1575" s="531">
        <v>2345.0</v>
      </c>
      <c r="C1575" s="11" t="s">
        <v>11095</v>
      </c>
      <c r="D1575" s="533">
        <v>0.9</v>
      </c>
      <c r="E1575" s="533">
        <v>0.9</v>
      </c>
      <c r="F1575" s="11" t="s">
        <v>1656</v>
      </c>
      <c r="G1575" s="10"/>
      <c r="H1575" s="11" t="s">
        <v>11096</v>
      </c>
      <c r="I1575" s="10"/>
      <c r="J1575" s="540" t="s">
        <v>11645</v>
      </c>
      <c r="K1575" s="540">
        <v>13976.0</v>
      </c>
    </row>
    <row r="1576" hidden="1">
      <c r="A1576" s="531" t="s">
        <v>13397</v>
      </c>
      <c r="B1576" s="531">
        <v>5421.0</v>
      </c>
      <c r="C1576" s="11" t="s">
        <v>11095</v>
      </c>
      <c r="D1576" s="533">
        <v>0.75</v>
      </c>
      <c r="E1576" s="533">
        <v>0.75</v>
      </c>
      <c r="F1576" s="11" t="s">
        <v>1656</v>
      </c>
      <c r="G1576" s="10"/>
      <c r="H1576" s="11" t="s">
        <v>11096</v>
      </c>
      <c r="I1576" s="10"/>
      <c r="J1576" s="540" t="s">
        <v>11797</v>
      </c>
      <c r="K1576" s="540">
        <v>7416.0</v>
      </c>
    </row>
    <row r="1577" hidden="1">
      <c r="A1577" s="531" t="s">
        <v>13398</v>
      </c>
      <c r="B1577" s="531">
        <v>6732.0</v>
      </c>
      <c r="C1577" s="11" t="s">
        <v>11095</v>
      </c>
      <c r="D1577" s="533">
        <v>0.8</v>
      </c>
      <c r="E1577" s="533">
        <v>0.8</v>
      </c>
      <c r="F1577" s="11" t="s">
        <v>1656</v>
      </c>
      <c r="G1577" s="10"/>
      <c r="H1577" s="11" t="s">
        <v>11096</v>
      </c>
      <c r="I1577" s="10"/>
      <c r="J1577" s="540" t="s">
        <v>12093</v>
      </c>
      <c r="K1577" s="540">
        <v>13867.0</v>
      </c>
    </row>
    <row r="1578" hidden="1">
      <c r="A1578" s="531" t="s">
        <v>13399</v>
      </c>
      <c r="B1578" s="531">
        <v>986.0</v>
      </c>
      <c r="C1578" s="11" t="s">
        <v>11095</v>
      </c>
      <c r="D1578" s="533">
        <v>0.85</v>
      </c>
      <c r="E1578" s="533">
        <v>0.85</v>
      </c>
      <c r="F1578" s="11" t="s">
        <v>1656</v>
      </c>
      <c r="G1578" s="10"/>
      <c r="H1578" s="11" t="s">
        <v>11096</v>
      </c>
      <c r="I1578" s="10"/>
      <c r="J1578" s="540" t="s">
        <v>12505</v>
      </c>
      <c r="K1578" s="540">
        <v>13867.0</v>
      </c>
    </row>
    <row r="1579" hidden="1">
      <c r="A1579" s="531" t="s">
        <v>13400</v>
      </c>
      <c r="B1579" s="531">
        <v>285.0</v>
      </c>
      <c r="C1579" s="11" t="s">
        <v>11095</v>
      </c>
      <c r="D1579" s="533">
        <v>0.88</v>
      </c>
      <c r="E1579" s="533">
        <v>0.88</v>
      </c>
      <c r="F1579" s="11" t="s">
        <v>1656</v>
      </c>
      <c r="G1579" s="10"/>
      <c r="H1579" s="11" t="s">
        <v>11096</v>
      </c>
      <c r="I1579" s="10"/>
      <c r="J1579" s="540" t="s">
        <v>11526</v>
      </c>
      <c r="K1579" s="540">
        <v>13867.0</v>
      </c>
    </row>
    <row r="1580" hidden="1">
      <c r="A1580" s="531" t="s">
        <v>13401</v>
      </c>
      <c r="B1580" s="531">
        <v>2345.0</v>
      </c>
      <c r="C1580" s="11" t="s">
        <v>11095</v>
      </c>
      <c r="D1580" s="533">
        <v>0.9</v>
      </c>
      <c r="E1580" s="533">
        <v>0.9</v>
      </c>
      <c r="F1580" s="11" t="s">
        <v>1656</v>
      </c>
      <c r="G1580" s="10"/>
      <c r="H1580" s="11" t="s">
        <v>11096</v>
      </c>
      <c r="I1580" s="10"/>
      <c r="J1580" s="540" t="s">
        <v>12005</v>
      </c>
      <c r="K1580" s="540">
        <v>14052.0</v>
      </c>
    </row>
    <row r="1581" hidden="1">
      <c r="A1581" s="531" t="s">
        <v>13402</v>
      </c>
      <c r="B1581" s="531">
        <v>4933.0</v>
      </c>
      <c r="C1581" s="11" t="s">
        <v>11095</v>
      </c>
      <c r="D1581" s="533">
        <v>0.75</v>
      </c>
      <c r="E1581" s="533">
        <v>0.75</v>
      </c>
      <c r="F1581" s="11" t="s">
        <v>1656</v>
      </c>
      <c r="G1581" s="10"/>
      <c r="H1581" s="11" t="s">
        <v>11096</v>
      </c>
      <c r="I1581" s="10"/>
      <c r="J1581" s="540" t="s">
        <v>12266</v>
      </c>
      <c r="K1581" s="540">
        <v>14102.0</v>
      </c>
    </row>
    <row r="1582" hidden="1">
      <c r="A1582" s="531" t="s">
        <v>13403</v>
      </c>
      <c r="B1582" s="531">
        <v>2345.0</v>
      </c>
      <c r="C1582" s="11" t="s">
        <v>11095</v>
      </c>
      <c r="D1582" s="533">
        <v>0.9</v>
      </c>
      <c r="E1582" s="533">
        <v>0.9</v>
      </c>
      <c r="F1582" s="11" t="s">
        <v>1656</v>
      </c>
      <c r="G1582" s="10"/>
      <c r="H1582" s="11" t="s">
        <v>11096</v>
      </c>
      <c r="I1582" s="10"/>
      <c r="J1582" s="540" t="s">
        <v>11521</v>
      </c>
      <c r="K1582" s="540">
        <v>13988.0</v>
      </c>
    </row>
    <row r="1583" hidden="1">
      <c r="A1583" s="531" t="s">
        <v>13404</v>
      </c>
      <c r="B1583" s="531">
        <v>2345.0</v>
      </c>
      <c r="C1583" s="11" t="s">
        <v>11095</v>
      </c>
      <c r="D1583" s="533">
        <v>0.9</v>
      </c>
      <c r="E1583" s="533">
        <v>0.9</v>
      </c>
      <c r="F1583" s="11" t="s">
        <v>1656</v>
      </c>
      <c r="G1583" s="10"/>
      <c r="H1583" s="11" t="s">
        <v>11096</v>
      </c>
      <c r="I1583" s="10"/>
      <c r="J1583" s="540" t="s">
        <v>12256</v>
      </c>
      <c r="K1583" s="540">
        <v>14108.0</v>
      </c>
    </row>
    <row r="1584" hidden="1">
      <c r="A1584" s="531" t="s">
        <v>13405</v>
      </c>
      <c r="B1584" s="531">
        <v>986.0</v>
      </c>
      <c r="C1584" s="11" t="s">
        <v>11095</v>
      </c>
      <c r="D1584" s="533">
        <v>0.85</v>
      </c>
      <c r="E1584" s="533">
        <v>0.85</v>
      </c>
      <c r="F1584" s="11" t="s">
        <v>1656</v>
      </c>
      <c r="G1584" s="10"/>
      <c r="H1584" s="11" t="s">
        <v>11096</v>
      </c>
      <c r="I1584" s="10"/>
      <c r="J1584" s="540" t="s">
        <v>11831</v>
      </c>
      <c r="K1584" s="540">
        <v>14180.0</v>
      </c>
    </row>
    <row r="1585" hidden="1">
      <c r="A1585" s="531" t="s">
        <v>13406</v>
      </c>
      <c r="B1585" s="531">
        <v>3312.0</v>
      </c>
      <c r="C1585" s="11" t="s">
        <v>11095</v>
      </c>
      <c r="D1585" s="533">
        <v>0.75</v>
      </c>
      <c r="E1585" s="533">
        <v>0.75</v>
      </c>
      <c r="F1585" s="11" t="s">
        <v>1656</v>
      </c>
      <c r="G1585" s="10"/>
      <c r="H1585" s="11" t="s">
        <v>11096</v>
      </c>
      <c r="I1585" s="10"/>
      <c r="J1585" s="540" t="s">
        <v>12506</v>
      </c>
      <c r="K1585" s="540"/>
    </row>
    <row r="1586" hidden="1">
      <c r="A1586" s="531" t="s">
        <v>13407</v>
      </c>
      <c r="B1586" s="531">
        <v>2345.0</v>
      </c>
      <c r="C1586" s="11" t="s">
        <v>11095</v>
      </c>
      <c r="D1586" s="533">
        <v>0.9</v>
      </c>
      <c r="E1586" s="533">
        <v>0.9</v>
      </c>
      <c r="F1586" s="11" t="s">
        <v>1656</v>
      </c>
      <c r="G1586" s="10"/>
      <c r="H1586" s="11" t="s">
        <v>11096</v>
      </c>
      <c r="I1586" s="10"/>
      <c r="J1586" s="540" t="s">
        <v>12507</v>
      </c>
      <c r="K1586" s="540">
        <v>13956.0</v>
      </c>
    </row>
    <row r="1587" hidden="1">
      <c r="A1587" s="531" t="s">
        <v>13408</v>
      </c>
      <c r="B1587" s="531">
        <v>2345.0</v>
      </c>
      <c r="C1587" s="11" t="s">
        <v>11095</v>
      </c>
      <c r="D1587" s="533">
        <v>0.9</v>
      </c>
      <c r="E1587" s="533">
        <v>0.9</v>
      </c>
      <c r="F1587" s="11" t="s">
        <v>1656</v>
      </c>
      <c r="G1587" s="10"/>
      <c r="H1587" s="11" t="s">
        <v>11096</v>
      </c>
      <c r="I1587" s="10"/>
      <c r="J1587" s="540" t="s">
        <v>10274</v>
      </c>
      <c r="K1587" s="540">
        <v>9767.0</v>
      </c>
    </row>
    <row r="1588" hidden="1">
      <c r="A1588" s="531" t="s">
        <v>13409</v>
      </c>
      <c r="B1588" s="531">
        <v>285.0</v>
      </c>
      <c r="C1588" s="11" t="s">
        <v>11095</v>
      </c>
      <c r="D1588" s="533">
        <v>0.88</v>
      </c>
      <c r="E1588" s="533">
        <v>0.88</v>
      </c>
      <c r="F1588" s="11" t="s">
        <v>1656</v>
      </c>
      <c r="G1588" s="10"/>
      <c r="H1588" s="11" t="s">
        <v>11096</v>
      </c>
      <c r="I1588" s="10"/>
      <c r="J1588" s="540" t="s">
        <v>10276</v>
      </c>
      <c r="K1588" s="540">
        <v>14553.0</v>
      </c>
    </row>
    <row r="1589" hidden="1">
      <c r="A1589" s="531" t="s">
        <v>13410</v>
      </c>
      <c r="B1589" s="531">
        <v>2345.0</v>
      </c>
      <c r="C1589" s="11" t="s">
        <v>11095</v>
      </c>
      <c r="D1589" s="533">
        <v>0.9</v>
      </c>
      <c r="E1589" s="533">
        <v>0.9</v>
      </c>
      <c r="F1589" s="11" t="s">
        <v>1656</v>
      </c>
      <c r="G1589" s="10"/>
      <c r="H1589" s="11" t="s">
        <v>11096</v>
      </c>
      <c r="I1589" s="10"/>
      <c r="J1589" s="540" t="s">
        <v>10278</v>
      </c>
      <c r="K1589" s="536">
        <v>14605.0</v>
      </c>
    </row>
    <row r="1590" hidden="1">
      <c r="A1590" s="531" t="s">
        <v>13411</v>
      </c>
      <c r="B1590" s="531">
        <v>1334.0</v>
      </c>
      <c r="C1590" s="11" t="s">
        <v>11095</v>
      </c>
      <c r="D1590" s="533">
        <v>0.75</v>
      </c>
      <c r="E1590" s="533">
        <v>0.75</v>
      </c>
      <c r="F1590" s="11" t="s">
        <v>1656</v>
      </c>
      <c r="G1590" s="10"/>
      <c r="H1590" s="11" t="s">
        <v>11096</v>
      </c>
      <c r="I1590" s="10"/>
      <c r="J1590" s="540" t="s">
        <v>10280</v>
      </c>
      <c r="K1590" s="540">
        <v>13323.0</v>
      </c>
    </row>
    <row r="1591" hidden="1">
      <c r="A1591" s="531" t="s">
        <v>13412</v>
      </c>
      <c r="B1591" s="531">
        <v>6803.0</v>
      </c>
      <c r="C1591" s="11" t="s">
        <v>11095</v>
      </c>
      <c r="D1591" s="533">
        <v>0.75</v>
      </c>
      <c r="E1591" s="533">
        <v>0.75</v>
      </c>
      <c r="F1591" s="11" t="s">
        <v>1656</v>
      </c>
      <c r="G1591" s="10"/>
      <c r="H1591" s="11" t="s">
        <v>11096</v>
      </c>
      <c r="I1591" s="10"/>
      <c r="J1591" s="10"/>
      <c r="K1591" s="10"/>
    </row>
    <row r="1592" hidden="1">
      <c r="A1592" s="531" t="s">
        <v>13413</v>
      </c>
      <c r="B1592" s="531">
        <v>3231.0</v>
      </c>
      <c r="C1592" s="11" t="s">
        <v>11095</v>
      </c>
      <c r="D1592" s="533">
        <v>0.75</v>
      </c>
      <c r="E1592" s="533">
        <v>0.75</v>
      </c>
      <c r="F1592" s="11" t="s">
        <v>1656</v>
      </c>
      <c r="G1592" s="10"/>
      <c r="H1592" s="11" t="s">
        <v>11096</v>
      </c>
      <c r="I1592" s="10"/>
      <c r="J1592" s="10"/>
      <c r="K1592" s="10"/>
    </row>
    <row r="1593" hidden="1">
      <c r="A1593" s="531" t="s">
        <v>13414</v>
      </c>
      <c r="B1593" s="531">
        <v>2345.0</v>
      </c>
      <c r="C1593" s="11" t="s">
        <v>11095</v>
      </c>
      <c r="D1593" s="533">
        <v>0.9</v>
      </c>
      <c r="E1593" s="533">
        <v>0.9</v>
      </c>
      <c r="F1593" s="11" t="s">
        <v>1656</v>
      </c>
      <c r="G1593" s="10"/>
      <c r="H1593" s="11" t="s">
        <v>11096</v>
      </c>
      <c r="I1593" s="10"/>
      <c r="J1593" s="10"/>
      <c r="K1593" s="10"/>
    </row>
    <row r="1594" hidden="1">
      <c r="A1594" s="531" t="s">
        <v>13415</v>
      </c>
      <c r="B1594" s="531">
        <v>986.0</v>
      </c>
      <c r="C1594" s="11" t="s">
        <v>11095</v>
      </c>
      <c r="D1594" s="533">
        <v>0.85</v>
      </c>
      <c r="E1594" s="533">
        <v>0.85</v>
      </c>
      <c r="F1594" s="11" t="s">
        <v>1656</v>
      </c>
      <c r="G1594" s="10"/>
      <c r="H1594" s="11" t="s">
        <v>11096</v>
      </c>
      <c r="I1594" s="10"/>
      <c r="J1594" s="10"/>
      <c r="K1594" s="10"/>
    </row>
    <row r="1595" hidden="1">
      <c r="A1595" s="531" t="s">
        <v>13416</v>
      </c>
      <c r="B1595" s="531">
        <v>986.0</v>
      </c>
      <c r="C1595" s="11" t="s">
        <v>11095</v>
      </c>
      <c r="D1595" s="533">
        <v>0.85</v>
      </c>
      <c r="E1595" s="533">
        <v>0.85</v>
      </c>
      <c r="F1595" s="11" t="s">
        <v>1656</v>
      </c>
      <c r="G1595" s="10"/>
      <c r="H1595" s="11" t="s">
        <v>11096</v>
      </c>
      <c r="I1595" s="10"/>
      <c r="J1595" s="10"/>
      <c r="K1595" s="10"/>
    </row>
    <row r="1596" hidden="1">
      <c r="A1596" s="531" t="s">
        <v>13417</v>
      </c>
      <c r="B1596" s="531">
        <v>2345.0</v>
      </c>
      <c r="C1596" s="11" t="s">
        <v>11095</v>
      </c>
      <c r="D1596" s="533">
        <v>0.9</v>
      </c>
      <c r="E1596" s="533">
        <v>0.9</v>
      </c>
      <c r="F1596" s="11" t="s">
        <v>1656</v>
      </c>
      <c r="G1596" s="10"/>
      <c r="H1596" s="11" t="s">
        <v>11096</v>
      </c>
      <c r="I1596" s="10"/>
      <c r="J1596" s="10"/>
      <c r="K1596" s="10"/>
    </row>
    <row r="1597" hidden="1">
      <c r="A1597" s="531" t="s">
        <v>13418</v>
      </c>
      <c r="B1597" s="531">
        <v>2345.0</v>
      </c>
      <c r="C1597" s="11" t="s">
        <v>11095</v>
      </c>
      <c r="D1597" s="533">
        <v>0.9</v>
      </c>
      <c r="E1597" s="533">
        <v>0.9</v>
      </c>
      <c r="F1597" s="11" t="s">
        <v>1656</v>
      </c>
      <c r="G1597" s="10"/>
      <c r="H1597" s="11" t="s">
        <v>11096</v>
      </c>
      <c r="I1597" s="10"/>
      <c r="J1597" s="10"/>
      <c r="K1597" s="10"/>
    </row>
    <row r="1598" hidden="1">
      <c r="A1598" s="531" t="s">
        <v>13419</v>
      </c>
      <c r="B1598" s="531">
        <v>6799.0</v>
      </c>
      <c r="C1598" s="11" t="s">
        <v>11095</v>
      </c>
      <c r="D1598" s="533">
        <v>0.75</v>
      </c>
      <c r="E1598" s="533">
        <v>0.75</v>
      </c>
      <c r="F1598" s="11" t="s">
        <v>1656</v>
      </c>
      <c r="G1598" s="10"/>
      <c r="H1598" s="11" t="s">
        <v>11096</v>
      </c>
      <c r="I1598" s="10"/>
      <c r="J1598" s="10"/>
      <c r="K1598" s="10"/>
    </row>
    <row r="1599" hidden="1">
      <c r="A1599" s="531" t="s">
        <v>13420</v>
      </c>
      <c r="B1599" s="531">
        <v>986.0</v>
      </c>
      <c r="C1599" s="11" t="s">
        <v>11095</v>
      </c>
      <c r="D1599" s="533">
        <v>0.85</v>
      </c>
      <c r="E1599" s="533">
        <v>0.85</v>
      </c>
      <c r="F1599" s="11" t="s">
        <v>1656</v>
      </c>
      <c r="G1599" s="10"/>
      <c r="H1599" s="11" t="s">
        <v>11096</v>
      </c>
      <c r="I1599" s="10"/>
      <c r="J1599" s="10"/>
      <c r="K1599" s="10"/>
    </row>
    <row r="1600" hidden="1">
      <c r="A1600" s="531" t="s">
        <v>13421</v>
      </c>
      <c r="B1600" s="531">
        <v>2345.0</v>
      </c>
      <c r="C1600" s="11" t="s">
        <v>11095</v>
      </c>
      <c r="D1600" s="533">
        <v>0.9</v>
      </c>
      <c r="E1600" s="533">
        <v>0.9</v>
      </c>
      <c r="F1600" s="11" t="s">
        <v>1656</v>
      </c>
      <c r="G1600" s="10"/>
      <c r="H1600" s="11" t="s">
        <v>11096</v>
      </c>
      <c r="I1600" s="10"/>
      <c r="J1600" s="10"/>
      <c r="K1600" s="10"/>
    </row>
    <row r="1601" hidden="1">
      <c r="A1601" s="531" t="s">
        <v>13422</v>
      </c>
      <c r="B1601" s="531">
        <v>2345.0</v>
      </c>
      <c r="C1601" s="11" t="s">
        <v>11095</v>
      </c>
      <c r="D1601" s="533">
        <v>0.9</v>
      </c>
      <c r="E1601" s="533">
        <v>0.9</v>
      </c>
      <c r="F1601" s="11" t="s">
        <v>1656</v>
      </c>
      <c r="G1601" s="10"/>
      <c r="H1601" s="11" t="s">
        <v>11096</v>
      </c>
      <c r="I1601" s="10"/>
      <c r="J1601" s="10"/>
      <c r="K1601" s="10"/>
    </row>
    <row r="1602" hidden="1">
      <c r="A1602" s="531" t="s">
        <v>13423</v>
      </c>
      <c r="B1602" s="531">
        <v>6732.0</v>
      </c>
      <c r="C1602" s="11" t="s">
        <v>11095</v>
      </c>
      <c r="D1602" s="533">
        <v>0.8</v>
      </c>
      <c r="E1602" s="533">
        <v>0.8</v>
      </c>
      <c r="F1602" s="11" t="s">
        <v>1656</v>
      </c>
      <c r="G1602" s="10"/>
      <c r="H1602" s="11" t="s">
        <v>11096</v>
      </c>
      <c r="I1602" s="10"/>
      <c r="J1602" s="10"/>
      <c r="K1602" s="10"/>
    </row>
    <row r="1603" hidden="1">
      <c r="A1603" s="531" t="s">
        <v>13424</v>
      </c>
      <c r="B1603" s="531">
        <v>986.0</v>
      </c>
      <c r="C1603" s="11" t="s">
        <v>11095</v>
      </c>
      <c r="D1603" s="533">
        <v>0.85</v>
      </c>
      <c r="E1603" s="533">
        <v>0.85</v>
      </c>
      <c r="F1603" s="11" t="s">
        <v>1656</v>
      </c>
      <c r="G1603" s="10"/>
      <c r="H1603" s="11" t="s">
        <v>11096</v>
      </c>
      <c r="I1603" s="10"/>
      <c r="J1603" s="10"/>
      <c r="K1603" s="10"/>
    </row>
    <row r="1604" hidden="1">
      <c r="A1604" s="531" t="s">
        <v>13425</v>
      </c>
      <c r="B1604" s="531">
        <v>6732.0</v>
      </c>
      <c r="C1604" s="11" t="s">
        <v>11095</v>
      </c>
      <c r="D1604" s="533">
        <v>0.8</v>
      </c>
      <c r="E1604" s="533">
        <v>0.8</v>
      </c>
      <c r="F1604" s="11" t="s">
        <v>1656</v>
      </c>
      <c r="G1604" s="10"/>
      <c r="H1604" s="11" t="s">
        <v>11096</v>
      </c>
      <c r="I1604" s="10"/>
      <c r="J1604" s="10"/>
      <c r="K1604" s="10"/>
    </row>
    <row r="1605" hidden="1">
      <c r="A1605" s="531" t="s">
        <v>13426</v>
      </c>
      <c r="B1605" s="531">
        <v>5458.0</v>
      </c>
      <c r="C1605" s="11" t="s">
        <v>11095</v>
      </c>
      <c r="D1605" s="533">
        <v>0.75</v>
      </c>
      <c r="E1605" s="533">
        <v>0.75</v>
      </c>
      <c r="F1605" s="11" t="s">
        <v>1656</v>
      </c>
      <c r="G1605" s="10"/>
      <c r="H1605" s="11" t="s">
        <v>11096</v>
      </c>
      <c r="I1605" s="10"/>
      <c r="J1605" s="10"/>
      <c r="K1605" s="10"/>
    </row>
    <row r="1606" hidden="1">
      <c r="A1606" s="531" t="s">
        <v>13427</v>
      </c>
      <c r="B1606" s="531">
        <v>3312.0</v>
      </c>
      <c r="C1606" s="11" t="s">
        <v>11095</v>
      </c>
      <c r="D1606" s="533">
        <v>0.75</v>
      </c>
      <c r="E1606" s="533">
        <v>0.75</v>
      </c>
      <c r="F1606" s="11" t="s">
        <v>1656</v>
      </c>
      <c r="G1606" s="10"/>
      <c r="H1606" s="11" t="s">
        <v>11096</v>
      </c>
      <c r="I1606" s="10"/>
      <c r="J1606" s="10"/>
      <c r="K1606" s="10"/>
    </row>
    <row r="1607" hidden="1">
      <c r="A1607" s="531" t="s">
        <v>13428</v>
      </c>
      <c r="B1607" s="531">
        <v>5566.0</v>
      </c>
      <c r="C1607" s="11" t="s">
        <v>11095</v>
      </c>
      <c r="D1607" s="533">
        <v>0.85</v>
      </c>
      <c r="E1607" s="533">
        <v>0.85</v>
      </c>
      <c r="F1607" s="11" t="s">
        <v>1656</v>
      </c>
      <c r="G1607" s="10"/>
      <c r="H1607" s="11" t="s">
        <v>11096</v>
      </c>
      <c r="I1607" s="10"/>
      <c r="J1607" s="10"/>
      <c r="K1607" s="10"/>
    </row>
    <row r="1608" hidden="1">
      <c r="A1608" s="531" t="s">
        <v>13429</v>
      </c>
      <c r="B1608" s="531">
        <v>1334.0</v>
      </c>
      <c r="C1608" s="11" t="s">
        <v>11095</v>
      </c>
      <c r="D1608" s="533">
        <v>0.75</v>
      </c>
      <c r="E1608" s="533">
        <v>0.75</v>
      </c>
      <c r="F1608" s="11" t="s">
        <v>1656</v>
      </c>
      <c r="G1608" s="10"/>
      <c r="H1608" s="11" t="s">
        <v>11096</v>
      </c>
      <c r="I1608" s="10"/>
      <c r="J1608" s="10"/>
      <c r="K1608" s="10"/>
    </row>
    <row r="1609" hidden="1">
      <c r="A1609" s="531" t="s">
        <v>13430</v>
      </c>
      <c r="B1609" s="531">
        <v>285.0</v>
      </c>
      <c r="C1609" s="11" t="s">
        <v>11095</v>
      </c>
      <c r="D1609" s="533">
        <v>0.88</v>
      </c>
      <c r="E1609" s="533">
        <v>0.88</v>
      </c>
      <c r="F1609" s="11" t="s">
        <v>1656</v>
      </c>
      <c r="G1609" s="10"/>
      <c r="H1609" s="11" t="s">
        <v>11096</v>
      </c>
      <c r="I1609" s="10"/>
      <c r="J1609" s="10"/>
      <c r="K1609" s="10"/>
    </row>
    <row r="1610" hidden="1">
      <c r="A1610" s="531" t="s">
        <v>13431</v>
      </c>
      <c r="B1610" s="531">
        <v>663.0</v>
      </c>
      <c r="C1610" s="11" t="s">
        <v>11095</v>
      </c>
      <c r="D1610" s="533">
        <v>0.85</v>
      </c>
      <c r="E1610" s="533">
        <v>0.85</v>
      </c>
      <c r="F1610" s="11" t="s">
        <v>1656</v>
      </c>
      <c r="G1610" s="10"/>
      <c r="H1610" s="11" t="s">
        <v>11096</v>
      </c>
      <c r="I1610" s="10"/>
      <c r="J1610" s="10"/>
      <c r="K1610" s="10"/>
    </row>
    <row r="1611" hidden="1">
      <c r="A1611" s="531" t="s">
        <v>13432</v>
      </c>
      <c r="B1611" s="531">
        <v>6782.0</v>
      </c>
      <c r="C1611" s="11" t="s">
        <v>11095</v>
      </c>
      <c r="D1611" s="533">
        <v>0.75</v>
      </c>
      <c r="E1611" s="533">
        <v>0.75</v>
      </c>
      <c r="F1611" s="11" t="s">
        <v>1656</v>
      </c>
      <c r="G1611" s="10"/>
      <c r="H1611" s="11" t="s">
        <v>11096</v>
      </c>
      <c r="I1611" s="10"/>
      <c r="J1611" s="10"/>
      <c r="K1611" s="10"/>
    </row>
    <row r="1612" hidden="1">
      <c r="A1612" s="531" t="s">
        <v>13433</v>
      </c>
      <c r="B1612" s="531">
        <v>6658.0</v>
      </c>
      <c r="C1612" s="11" t="s">
        <v>11095</v>
      </c>
      <c r="D1612" s="533">
        <v>0.85</v>
      </c>
      <c r="E1612" s="533">
        <v>0.85</v>
      </c>
      <c r="F1612" s="11" t="s">
        <v>1656</v>
      </c>
      <c r="G1612" s="10"/>
      <c r="H1612" s="11" t="s">
        <v>11096</v>
      </c>
      <c r="I1612" s="10"/>
      <c r="J1612" s="10"/>
      <c r="K1612" s="10"/>
    </row>
    <row r="1613" hidden="1">
      <c r="A1613" s="531" t="s">
        <v>13434</v>
      </c>
      <c r="B1613" s="531">
        <v>2345.0</v>
      </c>
      <c r="C1613" s="11" t="s">
        <v>11095</v>
      </c>
      <c r="D1613" s="533">
        <v>0.9</v>
      </c>
      <c r="E1613" s="533">
        <v>0.9</v>
      </c>
      <c r="F1613" s="11" t="s">
        <v>1656</v>
      </c>
      <c r="G1613" s="10"/>
      <c r="H1613" s="11" t="s">
        <v>11096</v>
      </c>
      <c r="I1613" s="10"/>
      <c r="J1613" s="10"/>
      <c r="K1613" s="10"/>
    </row>
    <row r="1614" hidden="1">
      <c r="A1614" s="531" t="s">
        <v>13435</v>
      </c>
      <c r="B1614" s="531">
        <v>2345.0</v>
      </c>
      <c r="C1614" s="11" t="s">
        <v>11095</v>
      </c>
      <c r="D1614" s="533">
        <v>0.9</v>
      </c>
      <c r="E1614" s="533">
        <v>0.9</v>
      </c>
      <c r="F1614" s="11" t="s">
        <v>1656</v>
      </c>
      <c r="G1614" s="10"/>
      <c r="H1614" s="11" t="s">
        <v>11096</v>
      </c>
      <c r="I1614" s="10"/>
      <c r="J1614" s="10"/>
      <c r="K1614" s="10"/>
    </row>
    <row r="1615" hidden="1">
      <c r="A1615" s="531" t="s">
        <v>13436</v>
      </c>
      <c r="B1615" s="531">
        <v>2345.0</v>
      </c>
      <c r="C1615" s="11" t="s">
        <v>11095</v>
      </c>
      <c r="D1615" s="533">
        <v>0.9</v>
      </c>
      <c r="E1615" s="533">
        <v>0.9</v>
      </c>
      <c r="F1615" s="11" t="s">
        <v>1656</v>
      </c>
      <c r="G1615" s="10"/>
      <c r="H1615" s="11" t="s">
        <v>11096</v>
      </c>
      <c r="I1615" s="10"/>
      <c r="J1615" s="10"/>
      <c r="K1615" s="10"/>
    </row>
    <row r="1616" hidden="1">
      <c r="A1616" s="531" t="s">
        <v>13437</v>
      </c>
      <c r="B1616" s="531">
        <v>4933.0</v>
      </c>
      <c r="C1616" s="11" t="s">
        <v>11095</v>
      </c>
      <c r="D1616" s="533">
        <v>0.75</v>
      </c>
      <c r="E1616" s="533">
        <v>0.75</v>
      </c>
      <c r="F1616" s="11" t="s">
        <v>1656</v>
      </c>
      <c r="G1616" s="10"/>
      <c r="H1616" s="11" t="s">
        <v>11096</v>
      </c>
      <c r="I1616" s="10"/>
      <c r="J1616" s="10"/>
      <c r="K1616" s="10"/>
    </row>
    <row r="1617" hidden="1">
      <c r="A1617" s="531" t="s">
        <v>13438</v>
      </c>
      <c r="B1617" s="531">
        <v>6712.0</v>
      </c>
      <c r="C1617" s="11" t="s">
        <v>11095</v>
      </c>
      <c r="D1617" s="533">
        <v>0.75</v>
      </c>
      <c r="E1617" s="533">
        <v>0.75</v>
      </c>
      <c r="F1617" s="11" t="s">
        <v>1656</v>
      </c>
      <c r="G1617" s="10"/>
      <c r="H1617" s="11" t="s">
        <v>11096</v>
      </c>
      <c r="I1617" s="10"/>
      <c r="J1617" s="10"/>
      <c r="K1617" s="10"/>
    </row>
    <row r="1618" hidden="1">
      <c r="A1618" s="531" t="s">
        <v>13439</v>
      </c>
      <c r="B1618" s="531">
        <v>4933.0</v>
      </c>
      <c r="C1618" s="11" t="s">
        <v>11095</v>
      </c>
      <c r="D1618" s="533">
        <v>0.75</v>
      </c>
      <c r="E1618" s="533">
        <v>0.75</v>
      </c>
      <c r="F1618" s="11" t="s">
        <v>1656</v>
      </c>
      <c r="G1618" s="10"/>
      <c r="H1618" s="11" t="s">
        <v>11096</v>
      </c>
      <c r="I1618" s="10"/>
      <c r="J1618" s="10"/>
      <c r="K1618" s="10"/>
    </row>
    <row r="1619" hidden="1">
      <c r="A1619" s="531" t="s">
        <v>13440</v>
      </c>
      <c r="B1619" s="531">
        <v>986.0</v>
      </c>
      <c r="C1619" s="11" t="s">
        <v>11095</v>
      </c>
      <c r="D1619" s="533">
        <v>0.85</v>
      </c>
      <c r="E1619" s="533">
        <v>0.85</v>
      </c>
      <c r="F1619" s="11" t="s">
        <v>1656</v>
      </c>
      <c r="G1619" s="10"/>
      <c r="H1619" s="11" t="s">
        <v>11096</v>
      </c>
      <c r="I1619" s="10"/>
      <c r="J1619" s="10"/>
      <c r="K1619" s="10"/>
    </row>
    <row r="1620" hidden="1">
      <c r="A1620" s="531" t="s">
        <v>13441</v>
      </c>
      <c r="B1620" s="531">
        <v>6732.0</v>
      </c>
      <c r="C1620" s="11" t="s">
        <v>11095</v>
      </c>
      <c r="D1620" s="533">
        <v>0.8</v>
      </c>
      <c r="E1620" s="533">
        <v>0.8</v>
      </c>
      <c r="F1620" s="11" t="s">
        <v>1656</v>
      </c>
      <c r="G1620" s="10"/>
      <c r="H1620" s="11" t="s">
        <v>11096</v>
      </c>
      <c r="I1620" s="10"/>
      <c r="J1620" s="10"/>
      <c r="K1620" s="10"/>
    </row>
    <row r="1621" hidden="1">
      <c r="A1621" s="531" t="s">
        <v>13442</v>
      </c>
      <c r="B1621" s="531">
        <v>2345.0</v>
      </c>
      <c r="C1621" s="11" t="s">
        <v>11095</v>
      </c>
      <c r="D1621" s="533">
        <v>0.9</v>
      </c>
      <c r="E1621" s="533">
        <v>0.9</v>
      </c>
      <c r="F1621" s="11" t="s">
        <v>1656</v>
      </c>
      <c r="G1621" s="10"/>
      <c r="H1621" s="11" t="s">
        <v>11096</v>
      </c>
      <c r="I1621" s="10"/>
      <c r="J1621" s="10"/>
      <c r="K1621" s="10"/>
    </row>
    <row r="1622" hidden="1">
      <c r="A1622" s="531" t="s">
        <v>13443</v>
      </c>
      <c r="B1622" s="531">
        <v>2345.0</v>
      </c>
      <c r="C1622" s="11" t="s">
        <v>11095</v>
      </c>
      <c r="D1622" s="533">
        <v>0.9</v>
      </c>
      <c r="E1622" s="533">
        <v>0.9</v>
      </c>
      <c r="F1622" s="11" t="s">
        <v>1656</v>
      </c>
      <c r="G1622" s="10"/>
      <c r="H1622" s="11" t="s">
        <v>11096</v>
      </c>
      <c r="I1622" s="10"/>
      <c r="J1622" s="10"/>
      <c r="K1622" s="10"/>
    </row>
    <row r="1623" hidden="1">
      <c r="A1623" s="531" t="s">
        <v>13444</v>
      </c>
      <c r="B1623" s="531">
        <v>2345.0</v>
      </c>
      <c r="C1623" s="11" t="s">
        <v>11095</v>
      </c>
      <c r="D1623" s="533">
        <v>0.9</v>
      </c>
      <c r="E1623" s="533">
        <v>0.9</v>
      </c>
      <c r="F1623" s="11" t="s">
        <v>1656</v>
      </c>
      <c r="G1623" s="10"/>
      <c r="H1623" s="11" t="s">
        <v>11096</v>
      </c>
      <c r="I1623" s="10"/>
      <c r="J1623" s="10"/>
      <c r="K1623" s="10"/>
    </row>
    <row r="1624" hidden="1">
      <c r="A1624" s="531" t="s">
        <v>13445</v>
      </c>
      <c r="B1624" s="531">
        <v>6780.0</v>
      </c>
      <c r="C1624" s="11" t="s">
        <v>11095</v>
      </c>
      <c r="D1624" s="533">
        <v>0.75</v>
      </c>
      <c r="E1624" s="533">
        <v>0.75</v>
      </c>
      <c r="F1624" s="11" t="s">
        <v>1656</v>
      </c>
      <c r="G1624" s="10"/>
      <c r="H1624" s="11" t="s">
        <v>11096</v>
      </c>
      <c r="I1624" s="10"/>
      <c r="J1624" s="10"/>
      <c r="K1624" s="10"/>
    </row>
    <row r="1625" hidden="1">
      <c r="A1625" s="531" t="s">
        <v>13446</v>
      </c>
      <c r="B1625" s="531">
        <v>6727.0</v>
      </c>
      <c r="C1625" s="11" t="s">
        <v>11095</v>
      </c>
      <c r="D1625" s="533">
        <v>0.75</v>
      </c>
      <c r="E1625" s="533">
        <v>0.75</v>
      </c>
      <c r="F1625" s="11" t="s">
        <v>1656</v>
      </c>
      <c r="G1625" s="10"/>
      <c r="H1625" s="11" t="s">
        <v>11096</v>
      </c>
      <c r="I1625" s="10"/>
      <c r="J1625" s="10"/>
      <c r="K1625" s="10"/>
    </row>
    <row r="1626" hidden="1">
      <c r="A1626" s="531" t="s">
        <v>13447</v>
      </c>
      <c r="B1626" s="531">
        <v>2345.0</v>
      </c>
      <c r="C1626" s="11" t="s">
        <v>11095</v>
      </c>
      <c r="D1626" s="533">
        <v>0.9</v>
      </c>
      <c r="E1626" s="533">
        <v>0.9</v>
      </c>
      <c r="F1626" s="11" t="s">
        <v>1656</v>
      </c>
      <c r="G1626" s="10"/>
      <c r="H1626" s="11" t="s">
        <v>11096</v>
      </c>
      <c r="I1626" s="10"/>
      <c r="J1626" s="10"/>
      <c r="K1626" s="10"/>
    </row>
    <row r="1627" hidden="1">
      <c r="A1627" s="531" t="s">
        <v>13448</v>
      </c>
      <c r="B1627" s="531">
        <v>7246.0</v>
      </c>
      <c r="C1627" s="11" t="s">
        <v>11095</v>
      </c>
      <c r="D1627" s="533">
        <v>0.75</v>
      </c>
      <c r="E1627" s="533">
        <v>0.75</v>
      </c>
      <c r="F1627" s="11" t="s">
        <v>1656</v>
      </c>
      <c r="G1627" s="10"/>
      <c r="H1627" s="11" t="s">
        <v>11096</v>
      </c>
      <c r="I1627" s="10"/>
      <c r="J1627" s="10"/>
      <c r="K1627" s="10"/>
    </row>
    <row r="1628" hidden="1">
      <c r="A1628" s="531" t="s">
        <v>13449</v>
      </c>
      <c r="B1628" s="531">
        <v>2207.0</v>
      </c>
      <c r="C1628" s="11" t="s">
        <v>11095</v>
      </c>
      <c r="D1628" s="533">
        <v>0.75</v>
      </c>
      <c r="E1628" s="533">
        <v>0.75</v>
      </c>
      <c r="F1628" s="11" t="s">
        <v>1656</v>
      </c>
      <c r="G1628" s="10"/>
      <c r="H1628" s="11" t="s">
        <v>11096</v>
      </c>
      <c r="I1628" s="10"/>
      <c r="J1628" s="10"/>
      <c r="K1628" s="10"/>
    </row>
    <row r="1629" hidden="1">
      <c r="A1629" s="531" t="s">
        <v>13450</v>
      </c>
      <c r="B1629" s="531">
        <v>2345.0</v>
      </c>
      <c r="C1629" s="11" t="s">
        <v>11095</v>
      </c>
      <c r="D1629" s="533">
        <v>0.9</v>
      </c>
      <c r="E1629" s="533">
        <v>0.9</v>
      </c>
      <c r="F1629" s="11" t="s">
        <v>1656</v>
      </c>
      <c r="G1629" s="10"/>
      <c r="H1629" s="11" t="s">
        <v>11096</v>
      </c>
      <c r="I1629" s="10"/>
      <c r="J1629" s="10"/>
      <c r="K1629" s="10"/>
    </row>
    <row r="1630" hidden="1">
      <c r="A1630" s="531" t="s">
        <v>13451</v>
      </c>
      <c r="B1630" s="531">
        <v>2345.0</v>
      </c>
      <c r="C1630" s="11" t="s">
        <v>11095</v>
      </c>
      <c r="D1630" s="533">
        <v>0.9</v>
      </c>
      <c r="E1630" s="533">
        <v>0.9</v>
      </c>
      <c r="F1630" s="11" t="s">
        <v>1656</v>
      </c>
      <c r="G1630" s="10"/>
      <c r="H1630" s="11" t="s">
        <v>11096</v>
      </c>
      <c r="I1630" s="10"/>
      <c r="J1630" s="10"/>
      <c r="K1630" s="10"/>
    </row>
    <row r="1631" hidden="1">
      <c r="A1631" s="531" t="s">
        <v>13452</v>
      </c>
      <c r="B1631" s="531">
        <v>285.0</v>
      </c>
      <c r="C1631" s="11" t="s">
        <v>11095</v>
      </c>
      <c r="D1631" s="533">
        <v>0.88</v>
      </c>
      <c r="E1631" s="533">
        <v>0.88</v>
      </c>
      <c r="F1631" s="11" t="s">
        <v>1656</v>
      </c>
      <c r="G1631" s="10"/>
      <c r="H1631" s="11" t="s">
        <v>11096</v>
      </c>
      <c r="I1631" s="10"/>
      <c r="J1631" s="10"/>
      <c r="K1631" s="10"/>
    </row>
    <row r="1632" hidden="1">
      <c r="A1632" s="531" t="s">
        <v>13453</v>
      </c>
      <c r="B1632" s="531">
        <v>6732.0</v>
      </c>
      <c r="C1632" s="11" t="s">
        <v>11095</v>
      </c>
      <c r="D1632" s="533">
        <v>0.8</v>
      </c>
      <c r="E1632" s="533">
        <v>0.8</v>
      </c>
      <c r="F1632" s="11" t="s">
        <v>1656</v>
      </c>
      <c r="G1632" s="10"/>
      <c r="H1632" s="11" t="s">
        <v>11096</v>
      </c>
      <c r="I1632" s="10"/>
      <c r="J1632" s="10"/>
      <c r="K1632" s="10"/>
    </row>
    <row r="1633" hidden="1">
      <c r="A1633" s="531" t="s">
        <v>13454</v>
      </c>
      <c r="B1633" s="531">
        <v>14590.0</v>
      </c>
      <c r="C1633" s="11" t="s">
        <v>11298</v>
      </c>
      <c r="D1633" s="533">
        <v>0.9</v>
      </c>
      <c r="E1633" s="533">
        <v>0.9</v>
      </c>
      <c r="F1633" s="11" t="s">
        <v>1656</v>
      </c>
      <c r="G1633" s="10"/>
      <c r="H1633" s="11" t="s">
        <v>11299</v>
      </c>
      <c r="I1633" s="10"/>
      <c r="J1633" s="10"/>
      <c r="K1633" s="10"/>
    </row>
    <row r="1634" hidden="1">
      <c r="A1634" s="531" t="s">
        <v>13455</v>
      </c>
      <c r="B1634" s="531">
        <v>2345.0</v>
      </c>
      <c r="C1634" s="11" t="s">
        <v>11095</v>
      </c>
      <c r="D1634" s="533">
        <v>0.9</v>
      </c>
      <c r="E1634" s="533">
        <v>0.9</v>
      </c>
      <c r="F1634" s="11" t="s">
        <v>1656</v>
      </c>
      <c r="G1634" s="10"/>
      <c r="H1634" s="11" t="s">
        <v>11096</v>
      </c>
      <c r="I1634" s="10"/>
      <c r="J1634" s="10"/>
      <c r="K1634" s="10"/>
    </row>
    <row r="1635" hidden="1">
      <c r="A1635" s="531" t="s">
        <v>13456</v>
      </c>
      <c r="B1635" s="531">
        <v>2345.0</v>
      </c>
      <c r="C1635" s="11" t="s">
        <v>11095</v>
      </c>
      <c r="D1635" s="533">
        <v>0.9</v>
      </c>
      <c r="E1635" s="533">
        <v>0.9</v>
      </c>
      <c r="F1635" s="11" t="s">
        <v>1656</v>
      </c>
      <c r="G1635" s="10"/>
      <c r="H1635" s="11" t="s">
        <v>11096</v>
      </c>
      <c r="I1635" s="10"/>
      <c r="J1635" s="10"/>
      <c r="K1635" s="10"/>
    </row>
    <row r="1636" hidden="1">
      <c r="A1636" s="531" t="s">
        <v>13457</v>
      </c>
      <c r="B1636" s="531">
        <v>14590.0</v>
      </c>
      <c r="C1636" s="11" t="s">
        <v>11298</v>
      </c>
      <c r="D1636" s="533">
        <v>0.9</v>
      </c>
      <c r="E1636" s="533">
        <v>0.9</v>
      </c>
      <c r="F1636" s="11" t="s">
        <v>1656</v>
      </c>
      <c r="G1636" s="10"/>
      <c r="H1636" s="11" t="s">
        <v>11299</v>
      </c>
      <c r="I1636" s="10"/>
      <c r="J1636" s="10"/>
      <c r="K1636" s="10"/>
    </row>
    <row r="1637" hidden="1">
      <c r="A1637" s="531" t="s">
        <v>13458</v>
      </c>
      <c r="B1637" s="531">
        <v>6909.0</v>
      </c>
      <c r="C1637" s="11" t="s">
        <v>11095</v>
      </c>
      <c r="D1637" s="533">
        <v>0.75</v>
      </c>
      <c r="E1637" s="533">
        <v>0.75</v>
      </c>
      <c r="F1637" s="11" t="s">
        <v>1656</v>
      </c>
      <c r="G1637" s="10"/>
      <c r="H1637" s="11" t="s">
        <v>11096</v>
      </c>
      <c r="I1637" s="10"/>
      <c r="J1637" s="10"/>
      <c r="K1637" s="10"/>
    </row>
    <row r="1638" hidden="1">
      <c r="A1638" s="531" t="s">
        <v>13459</v>
      </c>
      <c r="B1638" s="531">
        <v>285.0</v>
      </c>
      <c r="C1638" s="11" t="s">
        <v>11095</v>
      </c>
      <c r="D1638" s="533">
        <v>0.88</v>
      </c>
      <c r="E1638" s="533">
        <v>0.88</v>
      </c>
      <c r="F1638" s="11" t="s">
        <v>1656</v>
      </c>
      <c r="G1638" s="10"/>
      <c r="H1638" s="11" t="s">
        <v>11096</v>
      </c>
      <c r="I1638" s="10"/>
      <c r="J1638" s="10"/>
      <c r="K1638" s="10"/>
    </row>
    <row r="1639" hidden="1">
      <c r="A1639" s="531" t="s">
        <v>13460</v>
      </c>
      <c r="B1639" s="531">
        <v>285.0</v>
      </c>
      <c r="C1639" s="11" t="s">
        <v>11095</v>
      </c>
      <c r="D1639" s="533">
        <v>0.88</v>
      </c>
      <c r="E1639" s="533">
        <v>0.88</v>
      </c>
      <c r="F1639" s="11" t="s">
        <v>1656</v>
      </c>
      <c r="G1639" s="10"/>
      <c r="H1639" s="11" t="s">
        <v>11096</v>
      </c>
      <c r="I1639" s="10"/>
      <c r="J1639" s="10"/>
      <c r="K1639" s="10"/>
    </row>
    <row r="1640" hidden="1">
      <c r="A1640" s="531" t="s">
        <v>13461</v>
      </c>
      <c r="B1640" s="531">
        <v>2345.0</v>
      </c>
      <c r="C1640" s="11" t="s">
        <v>11095</v>
      </c>
      <c r="D1640" s="533">
        <v>0.9</v>
      </c>
      <c r="E1640" s="533">
        <v>0.9</v>
      </c>
      <c r="F1640" s="11" t="s">
        <v>1656</v>
      </c>
      <c r="G1640" s="10"/>
      <c r="H1640" s="11" t="s">
        <v>11096</v>
      </c>
      <c r="I1640" s="10"/>
      <c r="J1640" s="10"/>
      <c r="K1640" s="10"/>
    </row>
    <row r="1641" hidden="1">
      <c r="A1641" s="531" t="s">
        <v>13462</v>
      </c>
      <c r="B1641" s="531">
        <v>189.0</v>
      </c>
      <c r="C1641" s="11" t="s">
        <v>11095</v>
      </c>
      <c r="D1641" s="533">
        <v>0.88</v>
      </c>
      <c r="E1641" s="533">
        <v>0.88</v>
      </c>
      <c r="F1641" s="11" t="s">
        <v>1656</v>
      </c>
      <c r="G1641" s="10"/>
      <c r="H1641" s="11" t="s">
        <v>11096</v>
      </c>
      <c r="I1641" s="10"/>
      <c r="J1641" s="10"/>
      <c r="K1641" s="10"/>
    </row>
    <row r="1642" hidden="1">
      <c r="A1642" s="531" t="s">
        <v>13463</v>
      </c>
      <c r="B1642" s="531">
        <v>6950.0</v>
      </c>
      <c r="C1642" s="11" t="s">
        <v>11095</v>
      </c>
      <c r="D1642" s="533">
        <v>0.75</v>
      </c>
      <c r="E1642" s="533">
        <v>0.75</v>
      </c>
      <c r="F1642" s="11" t="s">
        <v>1656</v>
      </c>
      <c r="G1642" s="10"/>
      <c r="H1642" s="11" t="s">
        <v>11096</v>
      </c>
      <c r="I1642" s="10"/>
      <c r="J1642" s="10"/>
      <c r="K1642" s="10"/>
    </row>
    <row r="1643" hidden="1">
      <c r="A1643" s="531" t="s">
        <v>13464</v>
      </c>
      <c r="B1643" s="531">
        <v>6909.0</v>
      </c>
      <c r="C1643" s="11" t="s">
        <v>11095</v>
      </c>
      <c r="D1643" s="533">
        <v>0.75</v>
      </c>
      <c r="E1643" s="533">
        <v>0.75</v>
      </c>
      <c r="F1643" s="11" t="s">
        <v>1656</v>
      </c>
      <c r="G1643" s="10"/>
      <c r="H1643" s="11" t="s">
        <v>11096</v>
      </c>
      <c r="I1643" s="10"/>
      <c r="J1643" s="10"/>
      <c r="K1643" s="10"/>
    </row>
    <row r="1644" hidden="1">
      <c r="A1644" s="531" t="s">
        <v>13465</v>
      </c>
      <c r="B1644" s="531">
        <v>2345.0</v>
      </c>
      <c r="C1644" s="11" t="s">
        <v>11095</v>
      </c>
      <c r="D1644" s="533">
        <v>0.9</v>
      </c>
      <c r="E1644" s="533">
        <v>0.9</v>
      </c>
      <c r="F1644" s="11" t="s">
        <v>1656</v>
      </c>
      <c r="G1644" s="10"/>
      <c r="H1644" s="11" t="s">
        <v>11096</v>
      </c>
      <c r="I1644" s="10"/>
      <c r="J1644" s="10"/>
      <c r="K1644" s="10"/>
    </row>
    <row r="1645" hidden="1">
      <c r="A1645" s="531" t="s">
        <v>13466</v>
      </c>
      <c r="B1645" s="531">
        <v>189.0</v>
      </c>
      <c r="C1645" s="11" t="s">
        <v>11095</v>
      </c>
      <c r="D1645" s="533">
        <v>0.88</v>
      </c>
      <c r="E1645" s="533">
        <v>0.88</v>
      </c>
      <c r="F1645" s="11" t="s">
        <v>1656</v>
      </c>
      <c r="G1645" s="10"/>
      <c r="H1645" s="11" t="s">
        <v>11096</v>
      </c>
      <c r="I1645" s="10"/>
      <c r="J1645" s="10"/>
      <c r="K1645" s="10"/>
    </row>
    <row r="1646" hidden="1">
      <c r="A1646" s="531" t="s">
        <v>13467</v>
      </c>
      <c r="B1646" s="531">
        <v>986.0</v>
      </c>
      <c r="C1646" s="11" t="s">
        <v>11095</v>
      </c>
      <c r="D1646" s="533">
        <v>0.85</v>
      </c>
      <c r="E1646" s="533">
        <v>0.85</v>
      </c>
      <c r="F1646" s="11" t="s">
        <v>1656</v>
      </c>
      <c r="G1646" s="10"/>
      <c r="H1646" s="11" t="s">
        <v>11096</v>
      </c>
      <c r="I1646" s="10"/>
      <c r="J1646" s="10"/>
      <c r="K1646" s="10"/>
    </row>
    <row r="1647" hidden="1">
      <c r="A1647" s="531" t="s">
        <v>13468</v>
      </c>
      <c r="B1647" s="531">
        <v>6940.0</v>
      </c>
      <c r="C1647" s="11" t="s">
        <v>11095</v>
      </c>
      <c r="D1647" s="533">
        <v>0.75</v>
      </c>
      <c r="E1647" s="533">
        <v>0.75</v>
      </c>
      <c r="F1647" s="11" t="s">
        <v>1656</v>
      </c>
      <c r="G1647" s="10"/>
      <c r="H1647" s="11" t="s">
        <v>11096</v>
      </c>
      <c r="I1647" s="10"/>
      <c r="J1647" s="10"/>
      <c r="K1647" s="10"/>
    </row>
    <row r="1648" hidden="1">
      <c r="A1648" s="531" t="s">
        <v>13469</v>
      </c>
      <c r="B1648" s="531">
        <v>189.0</v>
      </c>
      <c r="C1648" s="11" t="s">
        <v>11095</v>
      </c>
      <c r="D1648" s="533">
        <v>0.88</v>
      </c>
      <c r="E1648" s="533">
        <v>0.88</v>
      </c>
      <c r="F1648" s="11" t="s">
        <v>1656</v>
      </c>
      <c r="G1648" s="10"/>
      <c r="H1648" s="11" t="s">
        <v>11096</v>
      </c>
      <c r="I1648" s="10"/>
      <c r="J1648" s="10"/>
      <c r="K1648" s="10"/>
    </row>
    <row r="1649" hidden="1">
      <c r="A1649" s="531" t="s">
        <v>13470</v>
      </c>
      <c r="B1649" s="531">
        <v>2345.0</v>
      </c>
      <c r="C1649" s="11" t="s">
        <v>11095</v>
      </c>
      <c r="D1649" s="533">
        <v>0.9</v>
      </c>
      <c r="E1649" s="533">
        <v>0.9</v>
      </c>
      <c r="F1649" s="11" t="s">
        <v>1656</v>
      </c>
      <c r="G1649" s="10"/>
      <c r="H1649" s="11" t="s">
        <v>11096</v>
      </c>
      <c r="I1649" s="10"/>
      <c r="J1649" s="10"/>
      <c r="K1649" s="10"/>
    </row>
    <row r="1650" hidden="1">
      <c r="A1650" s="531" t="s">
        <v>13471</v>
      </c>
      <c r="B1650" s="531">
        <v>6732.0</v>
      </c>
      <c r="C1650" s="11" t="s">
        <v>11095</v>
      </c>
      <c r="D1650" s="533">
        <v>0.8</v>
      </c>
      <c r="E1650" s="533">
        <v>0.8</v>
      </c>
      <c r="F1650" s="11" t="s">
        <v>1656</v>
      </c>
      <c r="G1650" s="10"/>
      <c r="H1650" s="11" t="s">
        <v>11096</v>
      </c>
      <c r="I1650" s="10"/>
      <c r="J1650" s="10"/>
      <c r="K1650" s="10"/>
    </row>
    <row r="1651" hidden="1">
      <c r="A1651" s="531" t="s">
        <v>13472</v>
      </c>
      <c r="B1651" s="531">
        <v>2345.0</v>
      </c>
      <c r="C1651" s="11" t="s">
        <v>11095</v>
      </c>
      <c r="D1651" s="533">
        <v>0.9</v>
      </c>
      <c r="E1651" s="533">
        <v>0.9</v>
      </c>
      <c r="F1651" s="11" t="s">
        <v>1656</v>
      </c>
      <c r="G1651" s="10"/>
      <c r="H1651" s="11" t="s">
        <v>11096</v>
      </c>
      <c r="I1651" s="10"/>
      <c r="J1651" s="10"/>
      <c r="K1651" s="10"/>
    </row>
    <row r="1652" hidden="1">
      <c r="A1652" s="531" t="s">
        <v>13473</v>
      </c>
      <c r="B1652" s="531">
        <v>3312.0</v>
      </c>
      <c r="C1652" s="11" t="s">
        <v>11095</v>
      </c>
      <c r="D1652" s="533">
        <v>0.75</v>
      </c>
      <c r="E1652" s="533">
        <v>0.75</v>
      </c>
      <c r="F1652" s="11" t="s">
        <v>1656</v>
      </c>
      <c r="G1652" s="10"/>
      <c r="H1652" s="11" t="s">
        <v>11096</v>
      </c>
      <c r="I1652" s="10"/>
      <c r="J1652" s="10"/>
      <c r="K1652" s="10"/>
    </row>
    <row r="1653" hidden="1">
      <c r="A1653" s="531" t="s">
        <v>13474</v>
      </c>
      <c r="B1653" s="531">
        <v>285.0</v>
      </c>
      <c r="C1653" s="11" t="s">
        <v>11095</v>
      </c>
      <c r="D1653" s="533">
        <v>0.88</v>
      </c>
      <c r="E1653" s="533">
        <v>0.88</v>
      </c>
      <c r="F1653" s="11" t="s">
        <v>1656</v>
      </c>
      <c r="G1653" s="10"/>
      <c r="H1653" s="11" t="s">
        <v>11096</v>
      </c>
      <c r="I1653" s="10"/>
      <c r="J1653" s="10"/>
      <c r="K1653" s="10"/>
    </row>
    <row r="1654" hidden="1">
      <c r="A1654" s="531" t="s">
        <v>13475</v>
      </c>
      <c r="B1654" s="531">
        <v>986.0</v>
      </c>
      <c r="C1654" s="11" t="s">
        <v>11095</v>
      </c>
      <c r="D1654" s="533">
        <v>0.85</v>
      </c>
      <c r="E1654" s="533">
        <v>0.85</v>
      </c>
      <c r="F1654" s="11" t="s">
        <v>1656</v>
      </c>
      <c r="G1654" s="10"/>
      <c r="H1654" s="11" t="s">
        <v>11096</v>
      </c>
      <c r="I1654" s="10"/>
      <c r="J1654" s="10"/>
      <c r="K1654" s="10"/>
    </row>
    <row r="1655" hidden="1">
      <c r="A1655" s="531" t="s">
        <v>13476</v>
      </c>
      <c r="B1655" s="531">
        <v>5458.0</v>
      </c>
      <c r="C1655" s="11" t="s">
        <v>11095</v>
      </c>
      <c r="D1655" s="533">
        <v>0.75</v>
      </c>
      <c r="E1655" s="533">
        <v>0.75</v>
      </c>
      <c r="F1655" s="11" t="s">
        <v>1656</v>
      </c>
      <c r="G1655" s="10"/>
      <c r="H1655" s="11" t="s">
        <v>11096</v>
      </c>
      <c r="I1655" s="10"/>
      <c r="J1655" s="10"/>
      <c r="K1655" s="10"/>
    </row>
    <row r="1656" hidden="1">
      <c r="A1656" s="531" t="s">
        <v>13477</v>
      </c>
      <c r="B1656" s="531">
        <v>6727.0</v>
      </c>
      <c r="C1656" s="11" t="s">
        <v>11095</v>
      </c>
      <c r="D1656" s="533">
        <v>0.75</v>
      </c>
      <c r="E1656" s="533">
        <v>0.75</v>
      </c>
      <c r="F1656" s="11" t="s">
        <v>1656</v>
      </c>
      <c r="G1656" s="10"/>
      <c r="H1656" s="11" t="s">
        <v>11096</v>
      </c>
      <c r="I1656" s="10"/>
      <c r="J1656" s="10"/>
      <c r="K1656" s="10"/>
    </row>
    <row r="1657" hidden="1">
      <c r="A1657" s="531" t="s">
        <v>13478</v>
      </c>
      <c r="B1657" s="531">
        <v>285.0</v>
      </c>
      <c r="C1657" s="11" t="s">
        <v>11095</v>
      </c>
      <c r="D1657" s="533">
        <v>0.88</v>
      </c>
      <c r="E1657" s="533">
        <v>0.88</v>
      </c>
      <c r="F1657" s="11" t="s">
        <v>1656</v>
      </c>
      <c r="G1657" s="10"/>
      <c r="H1657" s="11" t="s">
        <v>11096</v>
      </c>
      <c r="I1657" s="10"/>
      <c r="J1657" s="10"/>
      <c r="K1657" s="10"/>
    </row>
    <row r="1658" hidden="1">
      <c r="A1658" s="531" t="s">
        <v>13479</v>
      </c>
      <c r="B1658" s="531">
        <v>5458.0</v>
      </c>
      <c r="C1658" s="11" t="s">
        <v>11095</v>
      </c>
      <c r="D1658" s="533">
        <v>0.75</v>
      </c>
      <c r="E1658" s="533">
        <v>0.75</v>
      </c>
      <c r="F1658" s="11" t="s">
        <v>1656</v>
      </c>
      <c r="G1658" s="10"/>
      <c r="H1658" s="11" t="s">
        <v>11096</v>
      </c>
      <c r="I1658" s="10"/>
      <c r="J1658" s="10"/>
      <c r="K1658" s="10"/>
    </row>
    <row r="1659" hidden="1">
      <c r="A1659" s="531" t="s">
        <v>13480</v>
      </c>
      <c r="B1659" s="531">
        <v>6732.0</v>
      </c>
      <c r="C1659" s="11" t="s">
        <v>11095</v>
      </c>
      <c r="D1659" s="533">
        <v>0.8</v>
      </c>
      <c r="E1659" s="533">
        <v>0.8</v>
      </c>
      <c r="F1659" s="11" t="s">
        <v>1656</v>
      </c>
      <c r="G1659" s="10"/>
      <c r="H1659" s="11" t="s">
        <v>11096</v>
      </c>
      <c r="I1659" s="10"/>
      <c r="J1659" s="10"/>
      <c r="K1659" s="10"/>
    </row>
    <row r="1660" hidden="1">
      <c r="A1660" s="531" t="s">
        <v>13481</v>
      </c>
      <c r="B1660" s="531">
        <v>6732.0</v>
      </c>
      <c r="C1660" s="11" t="s">
        <v>11095</v>
      </c>
      <c r="D1660" s="533">
        <v>0.8</v>
      </c>
      <c r="E1660" s="533">
        <v>0.8</v>
      </c>
      <c r="F1660" s="11" t="s">
        <v>1656</v>
      </c>
      <c r="G1660" s="10"/>
      <c r="H1660" s="11" t="s">
        <v>11096</v>
      </c>
      <c r="I1660" s="10"/>
      <c r="J1660" s="10"/>
      <c r="K1660" s="10"/>
    </row>
    <row r="1661" hidden="1">
      <c r="A1661" s="531" t="s">
        <v>13482</v>
      </c>
      <c r="B1661" s="531">
        <v>2345.0</v>
      </c>
      <c r="C1661" s="11" t="s">
        <v>11095</v>
      </c>
      <c r="D1661" s="533">
        <v>0.9</v>
      </c>
      <c r="E1661" s="533">
        <v>0.9</v>
      </c>
      <c r="F1661" s="11" t="s">
        <v>1656</v>
      </c>
      <c r="G1661" s="10"/>
      <c r="H1661" s="11" t="s">
        <v>11096</v>
      </c>
      <c r="I1661" s="10"/>
      <c r="J1661" s="10"/>
      <c r="K1661" s="10"/>
    </row>
    <row r="1662" hidden="1">
      <c r="A1662" s="531" t="s">
        <v>13483</v>
      </c>
      <c r="B1662" s="531">
        <v>6732.0</v>
      </c>
      <c r="C1662" s="11" t="s">
        <v>11095</v>
      </c>
      <c r="D1662" s="533">
        <v>0.8</v>
      </c>
      <c r="E1662" s="533">
        <v>0.8</v>
      </c>
      <c r="F1662" s="11" t="s">
        <v>1656</v>
      </c>
      <c r="G1662" s="10"/>
      <c r="H1662" s="11" t="s">
        <v>11096</v>
      </c>
      <c r="I1662" s="10"/>
      <c r="J1662" s="10"/>
      <c r="K1662" s="10"/>
    </row>
    <row r="1663" hidden="1">
      <c r="A1663" s="531" t="s">
        <v>13484</v>
      </c>
      <c r="B1663" s="531">
        <v>2345.0</v>
      </c>
      <c r="C1663" s="11" t="s">
        <v>11095</v>
      </c>
      <c r="D1663" s="533">
        <v>0.9</v>
      </c>
      <c r="E1663" s="533">
        <v>0.9</v>
      </c>
      <c r="F1663" s="11" t="s">
        <v>1656</v>
      </c>
      <c r="G1663" s="10"/>
      <c r="H1663" s="11" t="s">
        <v>11096</v>
      </c>
      <c r="I1663" s="10"/>
      <c r="J1663" s="10"/>
      <c r="K1663" s="10"/>
    </row>
    <row r="1664" hidden="1">
      <c r="A1664" s="531" t="s">
        <v>13485</v>
      </c>
      <c r="B1664" s="531">
        <v>283.0</v>
      </c>
      <c r="C1664" s="11" t="s">
        <v>11095</v>
      </c>
      <c r="D1664" s="533">
        <v>0.75</v>
      </c>
      <c r="E1664" s="533">
        <v>0.75</v>
      </c>
      <c r="F1664" s="11" t="s">
        <v>1656</v>
      </c>
      <c r="G1664" s="10"/>
      <c r="H1664" s="11" t="s">
        <v>11096</v>
      </c>
      <c r="I1664" s="10"/>
      <c r="J1664" s="10"/>
      <c r="K1664" s="10"/>
    </row>
    <row r="1665" hidden="1">
      <c r="A1665" s="531" t="s">
        <v>13486</v>
      </c>
      <c r="B1665" s="531">
        <v>2345.0</v>
      </c>
      <c r="C1665" s="11" t="s">
        <v>11095</v>
      </c>
      <c r="D1665" s="533">
        <v>0.9</v>
      </c>
      <c r="E1665" s="533">
        <v>0.9</v>
      </c>
      <c r="F1665" s="11" t="s">
        <v>1656</v>
      </c>
      <c r="G1665" s="10"/>
      <c r="H1665" s="11" t="s">
        <v>11096</v>
      </c>
      <c r="I1665" s="10"/>
      <c r="J1665" s="10"/>
      <c r="K1665" s="10"/>
    </row>
    <row r="1666" hidden="1">
      <c r="A1666" s="531" t="s">
        <v>13487</v>
      </c>
      <c r="B1666" s="531">
        <v>6732.0</v>
      </c>
      <c r="C1666" s="11" t="s">
        <v>11095</v>
      </c>
      <c r="D1666" s="533">
        <v>0.8</v>
      </c>
      <c r="E1666" s="533">
        <v>0.8</v>
      </c>
      <c r="F1666" s="11" t="s">
        <v>1656</v>
      </c>
      <c r="G1666" s="10"/>
      <c r="H1666" s="11" t="s">
        <v>11096</v>
      </c>
      <c r="I1666" s="10"/>
      <c r="J1666" s="10"/>
      <c r="K1666" s="10"/>
    </row>
    <row r="1667" hidden="1">
      <c r="A1667" s="531" t="s">
        <v>13488</v>
      </c>
      <c r="B1667" s="531">
        <v>986.0</v>
      </c>
      <c r="C1667" s="11" t="s">
        <v>11095</v>
      </c>
      <c r="D1667" s="533">
        <v>0.85</v>
      </c>
      <c r="E1667" s="533">
        <v>0.85</v>
      </c>
      <c r="F1667" s="11" t="s">
        <v>1656</v>
      </c>
      <c r="G1667" s="10"/>
      <c r="H1667" s="11" t="s">
        <v>11096</v>
      </c>
      <c r="I1667" s="10"/>
      <c r="J1667" s="10"/>
      <c r="K1667" s="10"/>
    </row>
    <row r="1668" hidden="1">
      <c r="A1668" s="531" t="s">
        <v>13489</v>
      </c>
      <c r="B1668" s="531">
        <v>6658.0</v>
      </c>
      <c r="C1668" s="11" t="s">
        <v>11095</v>
      </c>
      <c r="D1668" s="533">
        <v>0.85</v>
      </c>
      <c r="E1668" s="533">
        <v>0.85</v>
      </c>
      <c r="F1668" s="11" t="s">
        <v>1656</v>
      </c>
      <c r="G1668" s="10"/>
      <c r="H1668" s="11" t="s">
        <v>11096</v>
      </c>
      <c r="I1668" s="10"/>
      <c r="J1668" s="10"/>
      <c r="K1668" s="10"/>
    </row>
    <row r="1669" hidden="1">
      <c r="A1669" s="531" t="s">
        <v>13490</v>
      </c>
      <c r="B1669" s="531">
        <v>2345.0</v>
      </c>
      <c r="C1669" s="11" t="s">
        <v>11095</v>
      </c>
      <c r="D1669" s="533">
        <v>0.9</v>
      </c>
      <c r="E1669" s="533">
        <v>0.9</v>
      </c>
      <c r="F1669" s="11" t="s">
        <v>1656</v>
      </c>
      <c r="G1669" s="10"/>
      <c r="H1669" s="11" t="s">
        <v>11096</v>
      </c>
      <c r="I1669" s="10"/>
      <c r="J1669" s="10"/>
      <c r="K1669" s="10"/>
    </row>
    <row r="1670" hidden="1">
      <c r="A1670" s="531" t="s">
        <v>13491</v>
      </c>
      <c r="B1670" s="531">
        <v>986.0</v>
      </c>
      <c r="C1670" s="11" t="s">
        <v>11095</v>
      </c>
      <c r="D1670" s="533">
        <v>0.85</v>
      </c>
      <c r="E1670" s="533">
        <v>0.85</v>
      </c>
      <c r="F1670" s="11" t="s">
        <v>1656</v>
      </c>
      <c r="G1670" s="10"/>
      <c r="H1670" s="11" t="s">
        <v>11096</v>
      </c>
      <c r="I1670" s="10"/>
      <c r="J1670" s="10"/>
      <c r="K1670" s="10"/>
    </row>
    <row r="1671" hidden="1">
      <c r="A1671" s="531" t="s">
        <v>13492</v>
      </c>
      <c r="B1671" s="531">
        <v>986.0</v>
      </c>
      <c r="C1671" s="11" t="s">
        <v>11095</v>
      </c>
      <c r="D1671" s="533">
        <v>0.85</v>
      </c>
      <c r="E1671" s="533">
        <v>0.85</v>
      </c>
      <c r="F1671" s="11" t="s">
        <v>1656</v>
      </c>
      <c r="G1671" s="10"/>
      <c r="H1671" s="11" t="s">
        <v>11096</v>
      </c>
      <c r="I1671" s="10"/>
      <c r="J1671" s="10"/>
      <c r="K1671" s="10"/>
    </row>
    <row r="1672" hidden="1">
      <c r="A1672" s="531" t="s">
        <v>13493</v>
      </c>
      <c r="B1672" s="531">
        <v>5458.0</v>
      </c>
      <c r="C1672" s="11" t="s">
        <v>11095</v>
      </c>
      <c r="D1672" s="533">
        <v>0.75</v>
      </c>
      <c r="E1672" s="533">
        <v>0.75</v>
      </c>
      <c r="F1672" s="11" t="s">
        <v>1656</v>
      </c>
      <c r="G1672" s="10"/>
      <c r="H1672" s="11" t="s">
        <v>11096</v>
      </c>
      <c r="I1672" s="10"/>
      <c r="J1672" s="10"/>
      <c r="K1672" s="10"/>
    </row>
    <row r="1673" hidden="1">
      <c r="A1673" s="531" t="s">
        <v>13494</v>
      </c>
      <c r="B1673" s="531">
        <v>6697.0</v>
      </c>
      <c r="C1673" s="11" t="s">
        <v>11095</v>
      </c>
      <c r="D1673" s="533">
        <v>0.75</v>
      </c>
      <c r="E1673" s="533">
        <v>0.75</v>
      </c>
      <c r="F1673" s="11" t="s">
        <v>1656</v>
      </c>
      <c r="G1673" s="10"/>
      <c r="H1673" s="11" t="s">
        <v>11096</v>
      </c>
      <c r="I1673" s="10"/>
      <c r="J1673" s="10"/>
      <c r="K1673" s="10"/>
    </row>
    <row r="1674" hidden="1">
      <c r="A1674" s="531" t="s">
        <v>13495</v>
      </c>
      <c r="B1674" s="531">
        <v>986.0</v>
      </c>
      <c r="C1674" s="11" t="s">
        <v>11095</v>
      </c>
      <c r="D1674" s="533">
        <v>0.85</v>
      </c>
      <c r="E1674" s="533">
        <v>0.85</v>
      </c>
      <c r="F1674" s="11" t="s">
        <v>1656</v>
      </c>
      <c r="G1674" s="10"/>
      <c r="H1674" s="11" t="s">
        <v>11096</v>
      </c>
      <c r="I1674" s="10"/>
      <c r="J1674" s="10"/>
      <c r="K1674" s="10"/>
    </row>
    <row r="1675" hidden="1">
      <c r="A1675" s="531" t="s">
        <v>13496</v>
      </c>
      <c r="B1675" s="531">
        <v>285.0</v>
      </c>
      <c r="C1675" s="11" t="s">
        <v>11095</v>
      </c>
      <c r="D1675" s="533">
        <v>0.88</v>
      </c>
      <c r="E1675" s="533">
        <v>0.88</v>
      </c>
      <c r="F1675" s="11" t="s">
        <v>1656</v>
      </c>
      <c r="G1675" s="10"/>
      <c r="H1675" s="11" t="s">
        <v>11096</v>
      </c>
      <c r="I1675" s="10"/>
      <c r="J1675" s="10"/>
      <c r="K1675" s="10"/>
    </row>
    <row r="1676" hidden="1">
      <c r="A1676" s="531" t="s">
        <v>13497</v>
      </c>
      <c r="B1676" s="531">
        <v>285.0</v>
      </c>
      <c r="C1676" s="11" t="s">
        <v>11095</v>
      </c>
      <c r="D1676" s="533">
        <v>0.88</v>
      </c>
      <c r="E1676" s="533">
        <v>0.88</v>
      </c>
      <c r="F1676" s="11" t="s">
        <v>1656</v>
      </c>
      <c r="G1676" s="10"/>
      <c r="H1676" s="11" t="s">
        <v>11096</v>
      </c>
      <c r="I1676" s="10"/>
      <c r="J1676" s="10"/>
      <c r="K1676" s="10"/>
    </row>
    <row r="1677" hidden="1">
      <c r="A1677" s="531" t="s">
        <v>13498</v>
      </c>
      <c r="B1677" s="531">
        <v>6732.0</v>
      </c>
      <c r="C1677" s="11" t="s">
        <v>11095</v>
      </c>
      <c r="D1677" s="533">
        <v>0.8</v>
      </c>
      <c r="E1677" s="533">
        <v>0.8</v>
      </c>
      <c r="F1677" s="11" t="s">
        <v>1656</v>
      </c>
      <c r="G1677" s="10"/>
      <c r="H1677" s="11" t="s">
        <v>11096</v>
      </c>
      <c r="I1677" s="10"/>
      <c r="J1677" s="10"/>
      <c r="K1677" s="10"/>
    </row>
    <row r="1678" hidden="1">
      <c r="A1678" s="531" t="s">
        <v>13499</v>
      </c>
      <c r="B1678" s="531">
        <v>2345.0</v>
      </c>
      <c r="C1678" s="11" t="s">
        <v>11095</v>
      </c>
      <c r="D1678" s="533">
        <v>0.9</v>
      </c>
      <c r="E1678" s="533">
        <v>0.9</v>
      </c>
      <c r="F1678" s="11" t="s">
        <v>1656</v>
      </c>
      <c r="G1678" s="10"/>
      <c r="H1678" s="11" t="s">
        <v>11096</v>
      </c>
      <c r="I1678" s="10"/>
      <c r="J1678" s="10"/>
      <c r="K1678" s="10"/>
    </row>
    <row r="1679" hidden="1">
      <c r="A1679" s="531" t="s">
        <v>13500</v>
      </c>
      <c r="B1679" s="531">
        <v>6732.0</v>
      </c>
      <c r="C1679" s="11" t="s">
        <v>11095</v>
      </c>
      <c r="D1679" s="533">
        <v>0.8</v>
      </c>
      <c r="E1679" s="533">
        <v>0.8</v>
      </c>
      <c r="F1679" s="11" t="s">
        <v>1656</v>
      </c>
      <c r="G1679" s="10"/>
      <c r="H1679" s="11" t="s">
        <v>11096</v>
      </c>
      <c r="I1679" s="10"/>
      <c r="J1679" s="10"/>
      <c r="K1679" s="10"/>
    </row>
    <row r="1680" hidden="1">
      <c r="A1680" s="531" t="s">
        <v>13501</v>
      </c>
      <c r="B1680" s="531">
        <v>2345.0</v>
      </c>
      <c r="C1680" s="11" t="s">
        <v>11095</v>
      </c>
      <c r="D1680" s="533">
        <v>0.9</v>
      </c>
      <c r="E1680" s="533">
        <v>0.9</v>
      </c>
      <c r="F1680" s="11" t="s">
        <v>1656</v>
      </c>
      <c r="G1680" s="10"/>
      <c r="H1680" s="11" t="s">
        <v>11096</v>
      </c>
      <c r="I1680" s="10"/>
      <c r="J1680" s="10"/>
      <c r="K1680" s="10"/>
    </row>
    <row r="1681" hidden="1">
      <c r="A1681" s="531" t="s">
        <v>13502</v>
      </c>
      <c r="B1681" s="531">
        <v>285.0</v>
      </c>
      <c r="C1681" s="11" t="s">
        <v>11095</v>
      </c>
      <c r="D1681" s="533">
        <v>0.88</v>
      </c>
      <c r="E1681" s="533">
        <v>0.88</v>
      </c>
      <c r="F1681" s="11" t="s">
        <v>1656</v>
      </c>
      <c r="G1681" s="10"/>
      <c r="H1681" s="11" t="s">
        <v>11096</v>
      </c>
      <c r="I1681" s="10"/>
      <c r="J1681" s="10"/>
      <c r="K1681" s="10"/>
    </row>
    <row r="1682" hidden="1">
      <c r="A1682" s="531" t="s">
        <v>13503</v>
      </c>
      <c r="B1682" s="531">
        <v>6732.0</v>
      </c>
      <c r="C1682" s="11" t="s">
        <v>11095</v>
      </c>
      <c r="D1682" s="533">
        <v>0.8</v>
      </c>
      <c r="E1682" s="533">
        <v>0.8</v>
      </c>
      <c r="F1682" s="11" t="s">
        <v>1656</v>
      </c>
      <c r="G1682" s="10"/>
      <c r="H1682" s="11" t="s">
        <v>11096</v>
      </c>
      <c r="I1682" s="10"/>
      <c r="J1682" s="10"/>
      <c r="K1682" s="10"/>
    </row>
    <row r="1683" hidden="1">
      <c r="A1683" s="531" t="s">
        <v>13504</v>
      </c>
      <c r="B1683" s="531">
        <v>986.0</v>
      </c>
      <c r="C1683" s="11" t="s">
        <v>11095</v>
      </c>
      <c r="D1683" s="533">
        <v>0.85</v>
      </c>
      <c r="E1683" s="533">
        <v>0.85</v>
      </c>
      <c r="F1683" s="11" t="s">
        <v>1656</v>
      </c>
      <c r="G1683" s="10"/>
      <c r="H1683" s="11" t="s">
        <v>11096</v>
      </c>
      <c r="I1683" s="10"/>
      <c r="J1683" s="10"/>
      <c r="K1683" s="10"/>
    </row>
    <row r="1684" hidden="1">
      <c r="A1684" s="531" t="s">
        <v>13505</v>
      </c>
      <c r="B1684" s="531">
        <v>986.0</v>
      </c>
      <c r="C1684" s="11" t="s">
        <v>11095</v>
      </c>
      <c r="D1684" s="533">
        <v>0.85</v>
      </c>
      <c r="E1684" s="533">
        <v>0.85</v>
      </c>
      <c r="F1684" s="11" t="s">
        <v>1656</v>
      </c>
      <c r="G1684" s="10"/>
      <c r="H1684" s="11" t="s">
        <v>11096</v>
      </c>
      <c r="I1684" s="10"/>
      <c r="J1684" s="10"/>
      <c r="K1684" s="10"/>
    </row>
    <row r="1685" hidden="1">
      <c r="A1685" s="531" t="s">
        <v>13506</v>
      </c>
      <c r="B1685" s="531">
        <v>6779.0</v>
      </c>
      <c r="C1685" s="11" t="s">
        <v>11095</v>
      </c>
      <c r="D1685" s="533">
        <v>0.75</v>
      </c>
      <c r="E1685" s="533">
        <v>0.75</v>
      </c>
      <c r="F1685" s="11" t="s">
        <v>1656</v>
      </c>
      <c r="G1685" s="10"/>
      <c r="H1685" s="11" t="s">
        <v>11096</v>
      </c>
      <c r="I1685" s="10"/>
      <c r="J1685" s="10"/>
      <c r="K1685" s="10"/>
    </row>
    <row r="1686" hidden="1">
      <c r="A1686" s="531" t="s">
        <v>13507</v>
      </c>
      <c r="B1686" s="531">
        <v>2345.0</v>
      </c>
      <c r="C1686" s="11" t="s">
        <v>11095</v>
      </c>
      <c r="D1686" s="533">
        <v>0.9</v>
      </c>
      <c r="E1686" s="533">
        <v>0.9</v>
      </c>
      <c r="F1686" s="11" t="s">
        <v>1656</v>
      </c>
      <c r="G1686" s="10"/>
      <c r="H1686" s="11" t="s">
        <v>11096</v>
      </c>
      <c r="I1686" s="10"/>
      <c r="J1686" s="10"/>
      <c r="K1686" s="10"/>
    </row>
    <row r="1687" hidden="1">
      <c r="A1687" s="531" t="s">
        <v>13508</v>
      </c>
      <c r="B1687" s="531">
        <v>986.0</v>
      </c>
      <c r="C1687" s="11" t="s">
        <v>11095</v>
      </c>
      <c r="D1687" s="533">
        <v>0.85</v>
      </c>
      <c r="E1687" s="533">
        <v>0.85</v>
      </c>
      <c r="F1687" s="11" t="s">
        <v>1656</v>
      </c>
      <c r="G1687" s="10"/>
      <c r="H1687" s="11" t="s">
        <v>11096</v>
      </c>
      <c r="I1687" s="10"/>
      <c r="J1687" s="10"/>
      <c r="K1687" s="10"/>
    </row>
    <row r="1688" hidden="1">
      <c r="A1688" s="531" t="s">
        <v>13509</v>
      </c>
      <c r="B1688" s="531">
        <v>6539.0</v>
      </c>
      <c r="C1688" s="11" t="s">
        <v>11095</v>
      </c>
      <c r="D1688" s="533">
        <v>0.75</v>
      </c>
      <c r="E1688" s="533">
        <v>0.75</v>
      </c>
      <c r="F1688" s="11" t="s">
        <v>1656</v>
      </c>
      <c r="G1688" s="10"/>
      <c r="H1688" s="11" t="s">
        <v>11096</v>
      </c>
      <c r="I1688" s="10"/>
      <c r="J1688" s="10"/>
      <c r="K1688" s="10"/>
    </row>
    <row r="1689" hidden="1">
      <c r="A1689" s="531" t="s">
        <v>13510</v>
      </c>
      <c r="B1689" s="531">
        <v>6909.0</v>
      </c>
      <c r="C1689" s="11" t="s">
        <v>11095</v>
      </c>
      <c r="D1689" s="533">
        <v>0.75</v>
      </c>
      <c r="E1689" s="533">
        <v>0.75</v>
      </c>
      <c r="F1689" s="11" t="s">
        <v>1656</v>
      </c>
      <c r="G1689" s="10"/>
      <c r="H1689" s="11" t="s">
        <v>11096</v>
      </c>
      <c r="I1689" s="10"/>
      <c r="J1689" s="10"/>
      <c r="K1689" s="10"/>
    </row>
    <row r="1690" hidden="1">
      <c r="A1690" s="531" t="s">
        <v>13511</v>
      </c>
      <c r="B1690" s="531">
        <v>2345.0</v>
      </c>
      <c r="C1690" s="11" t="s">
        <v>11095</v>
      </c>
      <c r="D1690" s="533">
        <v>0.9</v>
      </c>
      <c r="E1690" s="533">
        <v>0.9</v>
      </c>
      <c r="F1690" s="11" t="s">
        <v>1656</v>
      </c>
      <c r="G1690" s="10"/>
      <c r="H1690" s="11" t="s">
        <v>11096</v>
      </c>
      <c r="I1690" s="10"/>
      <c r="J1690" s="10"/>
      <c r="K1690" s="10"/>
    </row>
    <row r="1691" hidden="1">
      <c r="A1691" s="531" t="s">
        <v>13512</v>
      </c>
      <c r="B1691" s="531">
        <v>6732.0</v>
      </c>
      <c r="C1691" s="11" t="s">
        <v>11095</v>
      </c>
      <c r="D1691" s="533">
        <v>0.8</v>
      </c>
      <c r="E1691" s="533">
        <v>0.8</v>
      </c>
      <c r="F1691" s="11" t="s">
        <v>1656</v>
      </c>
      <c r="G1691" s="10"/>
      <c r="H1691" s="11" t="s">
        <v>11096</v>
      </c>
      <c r="I1691" s="10"/>
      <c r="J1691" s="10"/>
      <c r="K1691" s="10"/>
    </row>
    <row r="1692" hidden="1">
      <c r="A1692" s="531" t="s">
        <v>13513</v>
      </c>
      <c r="B1692" s="531">
        <v>6890.0</v>
      </c>
      <c r="C1692" s="11" t="s">
        <v>11095</v>
      </c>
      <c r="D1692" s="533">
        <v>0.75</v>
      </c>
      <c r="E1692" s="533">
        <v>0.75</v>
      </c>
      <c r="F1692" s="11" t="s">
        <v>1656</v>
      </c>
      <c r="G1692" s="10"/>
      <c r="H1692" s="11" t="s">
        <v>11096</v>
      </c>
      <c r="I1692" s="10"/>
      <c r="J1692" s="10"/>
      <c r="K1692" s="10"/>
    </row>
    <row r="1693" hidden="1">
      <c r="A1693" s="531" t="s">
        <v>13514</v>
      </c>
      <c r="B1693" s="531">
        <v>6732.0</v>
      </c>
      <c r="C1693" s="11" t="s">
        <v>11095</v>
      </c>
      <c r="D1693" s="533">
        <v>0.8</v>
      </c>
      <c r="E1693" s="533">
        <v>0.8</v>
      </c>
      <c r="F1693" s="11" t="s">
        <v>1656</v>
      </c>
      <c r="G1693" s="10"/>
      <c r="H1693" s="11" t="s">
        <v>11096</v>
      </c>
      <c r="I1693" s="10"/>
      <c r="J1693" s="10"/>
      <c r="K1693" s="10"/>
    </row>
    <row r="1694" hidden="1">
      <c r="A1694" s="531" t="s">
        <v>13515</v>
      </c>
      <c r="B1694" s="531">
        <v>2345.0</v>
      </c>
      <c r="C1694" s="11" t="s">
        <v>11095</v>
      </c>
      <c r="D1694" s="533">
        <v>0.9</v>
      </c>
      <c r="E1694" s="533">
        <v>0.9</v>
      </c>
      <c r="F1694" s="11" t="s">
        <v>1656</v>
      </c>
      <c r="G1694" s="10"/>
      <c r="H1694" s="11" t="s">
        <v>11096</v>
      </c>
      <c r="I1694" s="10"/>
      <c r="J1694" s="10"/>
      <c r="K1694" s="10"/>
    </row>
    <row r="1695" hidden="1">
      <c r="A1695" s="531" t="s">
        <v>13516</v>
      </c>
      <c r="B1695" s="531">
        <v>2345.0</v>
      </c>
      <c r="C1695" s="11" t="s">
        <v>11095</v>
      </c>
      <c r="D1695" s="533">
        <v>0.9</v>
      </c>
      <c r="E1695" s="533">
        <v>0.9</v>
      </c>
      <c r="F1695" s="11" t="s">
        <v>1656</v>
      </c>
      <c r="G1695" s="10"/>
      <c r="H1695" s="11" t="s">
        <v>11096</v>
      </c>
      <c r="I1695" s="10"/>
      <c r="J1695" s="10"/>
      <c r="K1695" s="10"/>
    </row>
    <row r="1696" hidden="1">
      <c r="A1696" s="531" t="s">
        <v>13517</v>
      </c>
      <c r="B1696" s="531">
        <v>2345.0</v>
      </c>
      <c r="C1696" s="11" t="s">
        <v>11095</v>
      </c>
      <c r="D1696" s="533">
        <v>0.9</v>
      </c>
      <c r="E1696" s="533">
        <v>0.9</v>
      </c>
      <c r="F1696" s="11" t="s">
        <v>1656</v>
      </c>
      <c r="G1696" s="10"/>
      <c r="H1696" s="11" t="s">
        <v>11096</v>
      </c>
      <c r="I1696" s="10"/>
      <c r="J1696" s="10"/>
      <c r="K1696" s="10"/>
    </row>
    <row r="1697" hidden="1">
      <c r="A1697" s="531" t="s">
        <v>13518</v>
      </c>
      <c r="B1697" s="531">
        <v>6732.0</v>
      </c>
      <c r="C1697" s="11" t="s">
        <v>11095</v>
      </c>
      <c r="D1697" s="533">
        <v>0.8</v>
      </c>
      <c r="E1697" s="533">
        <v>0.8</v>
      </c>
      <c r="F1697" s="11" t="s">
        <v>1656</v>
      </c>
      <c r="G1697" s="10"/>
      <c r="H1697" s="11" t="s">
        <v>11096</v>
      </c>
      <c r="I1697" s="10"/>
      <c r="J1697" s="10"/>
      <c r="K1697" s="10"/>
    </row>
    <row r="1698" hidden="1">
      <c r="A1698" s="531" t="s">
        <v>13519</v>
      </c>
      <c r="B1698" s="531">
        <v>6727.0</v>
      </c>
      <c r="C1698" s="11" t="s">
        <v>11095</v>
      </c>
      <c r="D1698" s="533">
        <v>0.75</v>
      </c>
      <c r="E1698" s="533">
        <v>0.75</v>
      </c>
      <c r="F1698" s="11" t="s">
        <v>1656</v>
      </c>
      <c r="G1698" s="10"/>
      <c r="H1698" s="11" t="s">
        <v>11096</v>
      </c>
      <c r="I1698" s="10"/>
      <c r="J1698" s="10"/>
      <c r="K1698" s="10"/>
    </row>
    <row r="1699" hidden="1">
      <c r="A1699" s="531" t="s">
        <v>13520</v>
      </c>
      <c r="B1699" s="531">
        <v>2345.0</v>
      </c>
      <c r="C1699" s="11" t="s">
        <v>11095</v>
      </c>
      <c r="D1699" s="533">
        <v>0.9</v>
      </c>
      <c r="E1699" s="533">
        <v>0.9</v>
      </c>
      <c r="F1699" s="11" t="s">
        <v>1656</v>
      </c>
      <c r="G1699" s="10"/>
      <c r="H1699" s="11" t="s">
        <v>11096</v>
      </c>
      <c r="I1699" s="10"/>
      <c r="J1699" s="10"/>
      <c r="K1699" s="10"/>
    </row>
    <row r="1700" hidden="1">
      <c r="A1700" s="531" t="s">
        <v>13521</v>
      </c>
      <c r="B1700" s="531">
        <v>2345.0</v>
      </c>
      <c r="C1700" s="11" t="s">
        <v>11095</v>
      </c>
      <c r="D1700" s="533">
        <v>0.9</v>
      </c>
      <c r="E1700" s="533">
        <v>0.9</v>
      </c>
      <c r="F1700" s="11" t="s">
        <v>1656</v>
      </c>
      <c r="G1700" s="10"/>
      <c r="H1700" s="11" t="s">
        <v>11096</v>
      </c>
      <c r="I1700" s="10"/>
      <c r="J1700" s="10"/>
      <c r="K1700" s="10"/>
    </row>
    <row r="1701" hidden="1">
      <c r="A1701" s="531" t="s">
        <v>13522</v>
      </c>
      <c r="B1701" s="531">
        <v>6732.0</v>
      </c>
      <c r="C1701" s="11" t="s">
        <v>11095</v>
      </c>
      <c r="D1701" s="533">
        <v>0.8</v>
      </c>
      <c r="E1701" s="533">
        <v>0.8</v>
      </c>
      <c r="F1701" s="11" t="s">
        <v>1656</v>
      </c>
      <c r="G1701" s="10"/>
      <c r="H1701" s="11" t="s">
        <v>11096</v>
      </c>
      <c r="I1701" s="10"/>
      <c r="J1701" s="10"/>
      <c r="K1701" s="10"/>
    </row>
    <row r="1702" hidden="1">
      <c r="A1702" s="531" t="s">
        <v>13523</v>
      </c>
      <c r="B1702" s="531">
        <v>285.0</v>
      </c>
      <c r="C1702" s="11" t="s">
        <v>11095</v>
      </c>
      <c r="D1702" s="533">
        <v>0.88</v>
      </c>
      <c r="E1702" s="533">
        <v>0.88</v>
      </c>
      <c r="F1702" s="11" t="s">
        <v>1656</v>
      </c>
      <c r="G1702" s="10"/>
      <c r="H1702" s="11" t="s">
        <v>11096</v>
      </c>
      <c r="I1702" s="10"/>
      <c r="J1702" s="10"/>
      <c r="K1702" s="10"/>
    </row>
    <row r="1703" hidden="1">
      <c r="A1703" s="531" t="s">
        <v>13524</v>
      </c>
      <c r="B1703" s="531">
        <v>6732.0</v>
      </c>
      <c r="C1703" s="11" t="s">
        <v>11095</v>
      </c>
      <c r="D1703" s="533">
        <v>0.8</v>
      </c>
      <c r="E1703" s="533">
        <v>0.8</v>
      </c>
      <c r="F1703" s="11" t="s">
        <v>1656</v>
      </c>
      <c r="G1703" s="10"/>
      <c r="H1703" s="11" t="s">
        <v>11096</v>
      </c>
      <c r="I1703" s="10"/>
      <c r="J1703" s="10"/>
      <c r="K1703" s="10"/>
    </row>
    <row r="1704" hidden="1">
      <c r="A1704" s="531" t="s">
        <v>13525</v>
      </c>
      <c r="B1704" s="531">
        <v>189.0</v>
      </c>
      <c r="C1704" s="11" t="s">
        <v>11095</v>
      </c>
      <c r="D1704" s="533">
        <v>0.88</v>
      </c>
      <c r="E1704" s="533">
        <v>0.88</v>
      </c>
      <c r="F1704" s="11" t="s">
        <v>1656</v>
      </c>
      <c r="G1704" s="10"/>
      <c r="H1704" s="11" t="s">
        <v>11096</v>
      </c>
      <c r="I1704" s="10"/>
      <c r="J1704" s="10"/>
      <c r="K1704" s="10"/>
    </row>
    <row r="1705" hidden="1">
      <c r="A1705" s="531" t="s">
        <v>13526</v>
      </c>
      <c r="B1705" s="531">
        <v>285.0</v>
      </c>
      <c r="C1705" s="11" t="s">
        <v>11095</v>
      </c>
      <c r="D1705" s="533">
        <v>0.88</v>
      </c>
      <c r="E1705" s="533">
        <v>0.88</v>
      </c>
      <c r="F1705" s="11" t="s">
        <v>1656</v>
      </c>
      <c r="G1705" s="10"/>
      <c r="H1705" s="11" t="s">
        <v>11096</v>
      </c>
      <c r="I1705" s="10"/>
      <c r="J1705" s="10"/>
      <c r="K1705" s="10"/>
    </row>
    <row r="1706" hidden="1">
      <c r="A1706" s="531" t="s">
        <v>13527</v>
      </c>
      <c r="B1706" s="531">
        <v>986.0</v>
      </c>
      <c r="C1706" s="11" t="s">
        <v>11095</v>
      </c>
      <c r="D1706" s="533">
        <v>0.85</v>
      </c>
      <c r="E1706" s="533">
        <v>0.85</v>
      </c>
      <c r="F1706" s="11" t="s">
        <v>1656</v>
      </c>
      <c r="G1706" s="10"/>
      <c r="H1706" s="11" t="s">
        <v>11096</v>
      </c>
      <c r="I1706" s="10"/>
      <c r="J1706" s="10"/>
      <c r="K1706" s="10"/>
    </row>
    <row r="1707" hidden="1">
      <c r="A1707" s="531" t="s">
        <v>13528</v>
      </c>
      <c r="B1707" s="531">
        <v>6779.0</v>
      </c>
      <c r="C1707" s="11" t="s">
        <v>11095</v>
      </c>
      <c r="D1707" s="533">
        <v>0.75</v>
      </c>
      <c r="E1707" s="533">
        <v>0.75</v>
      </c>
      <c r="F1707" s="11" t="s">
        <v>1656</v>
      </c>
      <c r="G1707" s="10"/>
      <c r="H1707" s="11" t="s">
        <v>11096</v>
      </c>
      <c r="I1707" s="10"/>
      <c r="J1707" s="10"/>
      <c r="K1707" s="10"/>
    </row>
    <row r="1708" hidden="1">
      <c r="A1708" s="531" t="s">
        <v>13529</v>
      </c>
      <c r="B1708" s="531">
        <v>2345.0</v>
      </c>
      <c r="C1708" s="11" t="s">
        <v>11095</v>
      </c>
      <c r="D1708" s="533">
        <v>0.9</v>
      </c>
      <c r="E1708" s="533">
        <v>0.9</v>
      </c>
      <c r="F1708" s="11" t="s">
        <v>1656</v>
      </c>
      <c r="G1708" s="10"/>
      <c r="H1708" s="11" t="s">
        <v>11096</v>
      </c>
      <c r="I1708" s="10"/>
      <c r="J1708" s="10"/>
      <c r="K1708" s="10"/>
    </row>
    <row r="1709" hidden="1">
      <c r="A1709" s="531" t="s">
        <v>13530</v>
      </c>
      <c r="B1709" s="531">
        <v>6133.0</v>
      </c>
      <c r="C1709" s="11" t="s">
        <v>11095</v>
      </c>
      <c r="D1709" s="533">
        <v>0.75</v>
      </c>
      <c r="E1709" s="533">
        <v>0.75</v>
      </c>
      <c r="F1709" s="11" t="s">
        <v>1656</v>
      </c>
      <c r="G1709" s="10"/>
      <c r="H1709" s="11" t="s">
        <v>11096</v>
      </c>
      <c r="I1709" s="10"/>
      <c r="J1709" s="10"/>
      <c r="K1709" s="10"/>
    </row>
    <row r="1710" hidden="1">
      <c r="A1710" s="531" t="s">
        <v>13531</v>
      </c>
      <c r="B1710" s="531">
        <v>14590.0</v>
      </c>
      <c r="C1710" s="11" t="s">
        <v>11298</v>
      </c>
      <c r="D1710" s="533">
        <v>0.9</v>
      </c>
      <c r="E1710" s="533">
        <v>0.9</v>
      </c>
      <c r="F1710" s="11" t="s">
        <v>1656</v>
      </c>
      <c r="G1710" s="10"/>
      <c r="H1710" s="11" t="s">
        <v>11299</v>
      </c>
      <c r="I1710" s="10"/>
      <c r="J1710" s="10"/>
      <c r="K1710" s="10"/>
    </row>
    <row r="1711" hidden="1">
      <c r="A1711" s="531" t="s">
        <v>13532</v>
      </c>
      <c r="B1711" s="531">
        <v>2345.0</v>
      </c>
      <c r="C1711" s="11" t="s">
        <v>11095</v>
      </c>
      <c r="D1711" s="533">
        <v>0.9</v>
      </c>
      <c r="E1711" s="533">
        <v>0.9</v>
      </c>
      <c r="F1711" s="11" t="s">
        <v>1656</v>
      </c>
      <c r="G1711" s="10"/>
      <c r="H1711" s="11" t="s">
        <v>11096</v>
      </c>
      <c r="I1711" s="10"/>
      <c r="J1711" s="10"/>
      <c r="K1711" s="10"/>
    </row>
    <row r="1712" hidden="1">
      <c r="A1712" s="531" t="s">
        <v>13533</v>
      </c>
      <c r="B1712" s="531">
        <v>6732.0</v>
      </c>
      <c r="C1712" s="11" t="s">
        <v>11095</v>
      </c>
      <c r="D1712" s="533">
        <v>0.8</v>
      </c>
      <c r="E1712" s="533">
        <v>0.8</v>
      </c>
      <c r="F1712" s="11" t="s">
        <v>1656</v>
      </c>
      <c r="G1712" s="10"/>
      <c r="H1712" s="11" t="s">
        <v>11096</v>
      </c>
      <c r="I1712" s="10"/>
      <c r="J1712" s="10"/>
      <c r="K1712" s="10"/>
    </row>
    <row r="1713" hidden="1">
      <c r="A1713" s="531" t="s">
        <v>13534</v>
      </c>
      <c r="B1713" s="531">
        <v>2345.0</v>
      </c>
      <c r="C1713" s="11" t="s">
        <v>11095</v>
      </c>
      <c r="D1713" s="533">
        <v>0.9</v>
      </c>
      <c r="E1713" s="533">
        <v>0.9</v>
      </c>
      <c r="F1713" s="11" t="s">
        <v>1656</v>
      </c>
      <c r="G1713" s="10"/>
      <c r="H1713" s="11" t="s">
        <v>11096</v>
      </c>
      <c r="I1713" s="10"/>
      <c r="J1713" s="10"/>
      <c r="K1713" s="10"/>
    </row>
    <row r="1714" hidden="1">
      <c r="A1714" s="531" t="s">
        <v>13535</v>
      </c>
      <c r="B1714" s="531">
        <v>189.0</v>
      </c>
      <c r="C1714" s="11" t="s">
        <v>11095</v>
      </c>
      <c r="D1714" s="533">
        <v>0.88</v>
      </c>
      <c r="E1714" s="533">
        <v>0.88</v>
      </c>
      <c r="F1714" s="11" t="s">
        <v>1656</v>
      </c>
      <c r="G1714" s="10"/>
      <c r="H1714" s="11" t="s">
        <v>11096</v>
      </c>
      <c r="I1714" s="10"/>
      <c r="J1714" s="10"/>
      <c r="K1714" s="10"/>
    </row>
    <row r="1715" hidden="1">
      <c r="A1715" s="531" t="s">
        <v>13536</v>
      </c>
      <c r="B1715" s="531">
        <v>285.0</v>
      </c>
      <c r="C1715" s="11" t="s">
        <v>11095</v>
      </c>
      <c r="D1715" s="533">
        <v>0.88</v>
      </c>
      <c r="E1715" s="533">
        <v>0.88</v>
      </c>
      <c r="F1715" s="11" t="s">
        <v>1656</v>
      </c>
      <c r="G1715" s="10"/>
      <c r="H1715" s="11" t="s">
        <v>11096</v>
      </c>
      <c r="I1715" s="10"/>
      <c r="J1715" s="10"/>
      <c r="K1715" s="10"/>
    </row>
    <row r="1716" hidden="1">
      <c r="A1716" s="531" t="s">
        <v>13537</v>
      </c>
      <c r="B1716" s="531">
        <v>6658.0</v>
      </c>
      <c r="C1716" s="11" t="s">
        <v>11095</v>
      </c>
      <c r="D1716" s="533">
        <v>0.85</v>
      </c>
      <c r="E1716" s="533">
        <v>0.85</v>
      </c>
      <c r="F1716" s="11" t="s">
        <v>1656</v>
      </c>
      <c r="G1716" s="10"/>
      <c r="H1716" s="11" t="s">
        <v>11096</v>
      </c>
      <c r="I1716" s="10"/>
      <c r="J1716" s="10"/>
      <c r="K1716" s="10"/>
    </row>
    <row r="1717" hidden="1">
      <c r="A1717" s="531" t="s">
        <v>13538</v>
      </c>
      <c r="B1717" s="531">
        <v>6732.0</v>
      </c>
      <c r="C1717" s="11" t="s">
        <v>11095</v>
      </c>
      <c r="D1717" s="533">
        <v>0.8</v>
      </c>
      <c r="E1717" s="533">
        <v>0.8</v>
      </c>
      <c r="F1717" s="11" t="s">
        <v>1656</v>
      </c>
      <c r="G1717" s="10"/>
      <c r="H1717" s="11" t="s">
        <v>11096</v>
      </c>
      <c r="I1717" s="10"/>
      <c r="J1717" s="10"/>
      <c r="K1717" s="10"/>
    </row>
    <row r="1718" hidden="1">
      <c r="A1718" s="531" t="s">
        <v>13539</v>
      </c>
      <c r="B1718" s="531">
        <v>6919.0</v>
      </c>
      <c r="C1718" s="11" t="s">
        <v>11095</v>
      </c>
      <c r="D1718" s="533">
        <v>0.75</v>
      </c>
      <c r="E1718" s="533">
        <v>0.75</v>
      </c>
      <c r="F1718" s="11" t="s">
        <v>1656</v>
      </c>
      <c r="G1718" s="10"/>
      <c r="H1718" s="11" t="s">
        <v>11096</v>
      </c>
      <c r="I1718" s="10"/>
      <c r="J1718" s="10"/>
      <c r="K1718" s="10"/>
    </row>
    <row r="1719" hidden="1">
      <c r="A1719" s="531" t="s">
        <v>13540</v>
      </c>
      <c r="B1719" s="531">
        <v>6732.0</v>
      </c>
      <c r="C1719" s="11" t="s">
        <v>11095</v>
      </c>
      <c r="D1719" s="533">
        <v>0.8</v>
      </c>
      <c r="E1719" s="533">
        <v>0.8</v>
      </c>
      <c r="F1719" s="11" t="s">
        <v>1656</v>
      </c>
      <c r="G1719" s="10"/>
      <c r="H1719" s="11" t="s">
        <v>11096</v>
      </c>
      <c r="I1719" s="10"/>
      <c r="J1719" s="10"/>
      <c r="K1719" s="10"/>
    </row>
    <row r="1720" hidden="1">
      <c r="A1720" s="531" t="s">
        <v>13541</v>
      </c>
      <c r="B1720" s="531">
        <v>6732.0</v>
      </c>
      <c r="C1720" s="11" t="s">
        <v>11095</v>
      </c>
      <c r="D1720" s="533">
        <v>0.8</v>
      </c>
      <c r="E1720" s="533">
        <v>0.8</v>
      </c>
      <c r="F1720" s="11" t="s">
        <v>1656</v>
      </c>
      <c r="G1720" s="10"/>
      <c r="H1720" s="11" t="s">
        <v>11096</v>
      </c>
      <c r="I1720" s="10"/>
      <c r="J1720" s="10"/>
      <c r="K1720" s="10"/>
    </row>
    <row r="1721" hidden="1">
      <c r="A1721" s="531" t="s">
        <v>13542</v>
      </c>
      <c r="B1721" s="531">
        <v>285.0</v>
      </c>
      <c r="C1721" s="11" t="s">
        <v>11095</v>
      </c>
      <c r="D1721" s="533">
        <v>0.88</v>
      </c>
      <c r="E1721" s="533">
        <v>0.88</v>
      </c>
      <c r="F1721" s="11" t="s">
        <v>1656</v>
      </c>
      <c r="G1721" s="10"/>
      <c r="H1721" s="11" t="s">
        <v>11096</v>
      </c>
      <c r="I1721" s="10"/>
      <c r="J1721" s="10"/>
      <c r="K1721" s="10"/>
    </row>
    <row r="1722" hidden="1">
      <c r="A1722" s="531" t="s">
        <v>13543</v>
      </c>
      <c r="B1722" s="531">
        <v>6732.0</v>
      </c>
      <c r="C1722" s="11" t="s">
        <v>11095</v>
      </c>
      <c r="D1722" s="533">
        <v>0.8</v>
      </c>
      <c r="E1722" s="533">
        <v>0.8</v>
      </c>
      <c r="F1722" s="11" t="s">
        <v>1656</v>
      </c>
      <c r="G1722" s="10"/>
      <c r="H1722" s="11" t="s">
        <v>11096</v>
      </c>
      <c r="I1722" s="10"/>
      <c r="J1722" s="10"/>
      <c r="K1722" s="10"/>
    </row>
    <row r="1723" hidden="1">
      <c r="A1723" s="531" t="s">
        <v>13544</v>
      </c>
      <c r="B1723" s="531">
        <v>467.0</v>
      </c>
      <c r="C1723" s="11" t="s">
        <v>11095</v>
      </c>
      <c r="D1723" s="533">
        <v>0.75</v>
      </c>
      <c r="E1723" s="533">
        <v>0.75</v>
      </c>
      <c r="F1723" s="11" t="s">
        <v>1656</v>
      </c>
      <c r="G1723" s="10"/>
      <c r="H1723" s="11" t="s">
        <v>11096</v>
      </c>
      <c r="I1723" s="10"/>
      <c r="J1723" s="10"/>
      <c r="K1723" s="10"/>
    </row>
    <row r="1724" hidden="1">
      <c r="A1724" s="531" t="s">
        <v>13545</v>
      </c>
      <c r="B1724" s="531">
        <v>2345.0</v>
      </c>
      <c r="C1724" s="11" t="s">
        <v>11095</v>
      </c>
      <c r="D1724" s="533">
        <v>0.9</v>
      </c>
      <c r="E1724" s="533">
        <v>0.9</v>
      </c>
      <c r="F1724" s="11" t="s">
        <v>1656</v>
      </c>
      <c r="G1724" s="10"/>
      <c r="H1724" s="11" t="s">
        <v>11096</v>
      </c>
      <c r="I1724" s="10"/>
      <c r="J1724" s="10"/>
      <c r="K1724" s="10"/>
    </row>
    <row r="1725" hidden="1">
      <c r="A1725" s="531" t="s">
        <v>13546</v>
      </c>
      <c r="B1725" s="531">
        <v>6890.0</v>
      </c>
      <c r="C1725" s="11" t="s">
        <v>11095</v>
      </c>
      <c r="D1725" s="533">
        <v>0.75</v>
      </c>
      <c r="E1725" s="533">
        <v>0.75</v>
      </c>
      <c r="F1725" s="11" t="s">
        <v>1656</v>
      </c>
      <c r="G1725" s="10"/>
      <c r="H1725" s="11" t="s">
        <v>11096</v>
      </c>
      <c r="I1725" s="10"/>
      <c r="J1725" s="10"/>
      <c r="K1725" s="10"/>
    </row>
    <row r="1726" hidden="1">
      <c r="A1726" s="531" t="s">
        <v>13547</v>
      </c>
      <c r="B1726" s="531">
        <v>2345.0</v>
      </c>
      <c r="C1726" s="11" t="s">
        <v>11095</v>
      </c>
      <c r="D1726" s="533">
        <v>0.9</v>
      </c>
      <c r="E1726" s="533">
        <v>0.9</v>
      </c>
      <c r="F1726" s="11" t="s">
        <v>1656</v>
      </c>
      <c r="G1726" s="10"/>
      <c r="H1726" s="11" t="s">
        <v>11096</v>
      </c>
      <c r="I1726" s="10"/>
      <c r="J1726" s="10"/>
      <c r="K1726" s="10"/>
    </row>
    <row r="1727" hidden="1">
      <c r="A1727" s="531" t="s">
        <v>13548</v>
      </c>
      <c r="B1727" s="531">
        <v>986.0</v>
      </c>
      <c r="C1727" s="11" t="s">
        <v>11095</v>
      </c>
      <c r="D1727" s="533">
        <v>0.85</v>
      </c>
      <c r="E1727" s="533">
        <v>0.85</v>
      </c>
      <c r="F1727" s="11" t="s">
        <v>1656</v>
      </c>
      <c r="G1727" s="10"/>
      <c r="H1727" s="11" t="s">
        <v>11096</v>
      </c>
      <c r="I1727" s="10"/>
      <c r="J1727" s="10"/>
      <c r="K1727" s="10"/>
    </row>
    <row r="1728" hidden="1">
      <c r="A1728" s="531" t="s">
        <v>13549</v>
      </c>
      <c r="B1728" s="531">
        <v>986.0</v>
      </c>
      <c r="C1728" s="11" t="s">
        <v>11095</v>
      </c>
      <c r="D1728" s="533">
        <v>0.85</v>
      </c>
      <c r="E1728" s="533">
        <v>0.85</v>
      </c>
      <c r="F1728" s="11" t="s">
        <v>1656</v>
      </c>
      <c r="G1728" s="10"/>
      <c r="H1728" s="11" t="s">
        <v>11096</v>
      </c>
      <c r="I1728" s="10"/>
      <c r="J1728" s="10"/>
      <c r="K1728" s="10"/>
    </row>
    <row r="1729" hidden="1">
      <c r="A1729" s="531" t="s">
        <v>13550</v>
      </c>
      <c r="B1729" s="531">
        <v>986.0</v>
      </c>
      <c r="C1729" s="11" t="s">
        <v>11095</v>
      </c>
      <c r="D1729" s="533">
        <v>0.85</v>
      </c>
      <c r="E1729" s="533">
        <v>0.85</v>
      </c>
      <c r="F1729" s="11" t="s">
        <v>1656</v>
      </c>
      <c r="G1729" s="10"/>
      <c r="H1729" s="11" t="s">
        <v>11096</v>
      </c>
      <c r="I1729" s="10"/>
      <c r="J1729" s="10"/>
      <c r="K1729" s="10"/>
    </row>
    <row r="1730" hidden="1">
      <c r="A1730" s="531" t="s">
        <v>13551</v>
      </c>
      <c r="B1730" s="531">
        <v>663.0</v>
      </c>
      <c r="C1730" s="11" t="s">
        <v>11095</v>
      </c>
      <c r="D1730" s="533">
        <v>0.85</v>
      </c>
      <c r="E1730" s="533">
        <v>0.85</v>
      </c>
      <c r="F1730" s="11" t="s">
        <v>1656</v>
      </c>
      <c r="G1730" s="10"/>
      <c r="H1730" s="11" t="s">
        <v>11096</v>
      </c>
      <c r="I1730" s="10"/>
      <c r="J1730" s="10"/>
      <c r="K1730" s="10"/>
    </row>
    <row r="1731" hidden="1">
      <c r="A1731" s="531" t="s">
        <v>13552</v>
      </c>
      <c r="B1731" s="531">
        <v>986.0</v>
      </c>
      <c r="C1731" s="11" t="s">
        <v>11095</v>
      </c>
      <c r="D1731" s="533">
        <v>0.85</v>
      </c>
      <c r="E1731" s="533">
        <v>0.85</v>
      </c>
      <c r="F1731" s="11" t="s">
        <v>1656</v>
      </c>
      <c r="G1731" s="10"/>
      <c r="H1731" s="11" t="s">
        <v>11096</v>
      </c>
      <c r="I1731" s="10"/>
      <c r="J1731" s="10"/>
      <c r="K1731" s="10"/>
    </row>
    <row r="1732" hidden="1">
      <c r="A1732" s="531" t="s">
        <v>13553</v>
      </c>
      <c r="B1732" s="531">
        <v>6658.0</v>
      </c>
      <c r="C1732" s="11" t="s">
        <v>11095</v>
      </c>
      <c r="D1732" s="533">
        <v>0.85</v>
      </c>
      <c r="E1732" s="533">
        <v>0.85</v>
      </c>
      <c r="F1732" s="11" t="s">
        <v>1656</v>
      </c>
      <c r="G1732" s="10"/>
      <c r="H1732" s="11" t="s">
        <v>11096</v>
      </c>
      <c r="I1732" s="10"/>
      <c r="J1732" s="10"/>
      <c r="K1732" s="10"/>
    </row>
    <row r="1733" hidden="1">
      <c r="A1733" s="531" t="s">
        <v>13554</v>
      </c>
      <c r="B1733" s="531">
        <v>6732.0</v>
      </c>
      <c r="C1733" s="11" t="s">
        <v>11095</v>
      </c>
      <c r="D1733" s="533">
        <v>0.8</v>
      </c>
      <c r="E1733" s="533">
        <v>0.8</v>
      </c>
      <c r="F1733" s="11" t="s">
        <v>1656</v>
      </c>
      <c r="G1733" s="10"/>
      <c r="H1733" s="11" t="s">
        <v>11096</v>
      </c>
      <c r="I1733" s="10"/>
      <c r="J1733" s="10"/>
      <c r="K1733" s="10"/>
    </row>
    <row r="1734" hidden="1">
      <c r="A1734" s="531" t="s">
        <v>13555</v>
      </c>
      <c r="B1734" s="531">
        <v>6732.0</v>
      </c>
      <c r="C1734" s="11" t="s">
        <v>11095</v>
      </c>
      <c r="D1734" s="533">
        <v>0.8</v>
      </c>
      <c r="E1734" s="533">
        <v>0.8</v>
      </c>
      <c r="F1734" s="11" t="s">
        <v>1656</v>
      </c>
      <c r="G1734" s="10"/>
      <c r="H1734" s="11" t="s">
        <v>11096</v>
      </c>
      <c r="I1734" s="10"/>
      <c r="J1734" s="10"/>
      <c r="K1734" s="10"/>
    </row>
    <row r="1735" hidden="1">
      <c r="A1735" s="531" t="s">
        <v>13556</v>
      </c>
      <c r="B1735" s="531">
        <v>6732.0</v>
      </c>
      <c r="C1735" s="11" t="s">
        <v>11095</v>
      </c>
      <c r="D1735" s="533">
        <v>0.8</v>
      </c>
      <c r="E1735" s="533">
        <v>0.8</v>
      </c>
      <c r="F1735" s="11" t="s">
        <v>1656</v>
      </c>
      <c r="G1735" s="10"/>
      <c r="H1735" s="11" t="s">
        <v>11096</v>
      </c>
      <c r="I1735" s="10"/>
      <c r="J1735" s="10"/>
      <c r="K1735" s="10"/>
    </row>
    <row r="1736" hidden="1">
      <c r="A1736" s="531" t="s">
        <v>13557</v>
      </c>
      <c r="B1736" s="531">
        <v>6658.0</v>
      </c>
      <c r="C1736" s="11" t="s">
        <v>11095</v>
      </c>
      <c r="D1736" s="533">
        <v>0.85</v>
      </c>
      <c r="E1736" s="533">
        <v>0.85</v>
      </c>
      <c r="F1736" s="11" t="s">
        <v>1656</v>
      </c>
      <c r="G1736" s="10"/>
      <c r="H1736" s="11" t="s">
        <v>11096</v>
      </c>
      <c r="I1736" s="10"/>
      <c r="J1736" s="10"/>
      <c r="K1736" s="10"/>
    </row>
    <row r="1737" hidden="1">
      <c r="A1737" s="531" t="s">
        <v>13558</v>
      </c>
      <c r="B1737" s="531">
        <v>2345.0</v>
      </c>
      <c r="C1737" s="11" t="s">
        <v>11095</v>
      </c>
      <c r="D1737" s="533">
        <v>0.9</v>
      </c>
      <c r="E1737" s="533">
        <v>0.9</v>
      </c>
      <c r="F1737" s="11" t="s">
        <v>1656</v>
      </c>
      <c r="G1737" s="10"/>
      <c r="H1737" s="11" t="s">
        <v>11096</v>
      </c>
      <c r="I1737" s="10"/>
      <c r="J1737" s="10"/>
      <c r="K1737" s="10"/>
    </row>
    <row r="1738" hidden="1">
      <c r="A1738" s="531" t="s">
        <v>13559</v>
      </c>
      <c r="B1738" s="531">
        <v>7251.0</v>
      </c>
      <c r="C1738" s="11" t="s">
        <v>11095</v>
      </c>
      <c r="D1738" s="533">
        <v>0.75</v>
      </c>
      <c r="E1738" s="533">
        <v>0.75</v>
      </c>
      <c r="F1738" s="11" t="s">
        <v>1656</v>
      </c>
      <c r="G1738" s="10"/>
      <c r="H1738" s="11" t="s">
        <v>11096</v>
      </c>
      <c r="I1738" s="10"/>
      <c r="J1738" s="10"/>
      <c r="K1738" s="10"/>
    </row>
    <row r="1739" hidden="1">
      <c r="A1739" s="531" t="s">
        <v>13560</v>
      </c>
      <c r="B1739" s="531">
        <v>285.0</v>
      </c>
      <c r="C1739" s="11" t="s">
        <v>11095</v>
      </c>
      <c r="D1739" s="533">
        <v>0.88</v>
      </c>
      <c r="E1739" s="533">
        <v>0.88</v>
      </c>
      <c r="F1739" s="11" t="s">
        <v>1656</v>
      </c>
      <c r="G1739" s="10"/>
      <c r="H1739" s="11" t="s">
        <v>11096</v>
      </c>
      <c r="I1739" s="10"/>
      <c r="J1739" s="10"/>
      <c r="K1739" s="10"/>
    </row>
    <row r="1740" hidden="1">
      <c r="A1740" s="531" t="s">
        <v>13561</v>
      </c>
      <c r="B1740" s="531">
        <v>2345.0</v>
      </c>
      <c r="C1740" s="11" t="s">
        <v>11095</v>
      </c>
      <c r="D1740" s="533">
        <v>0.9</v>
      </c>
      <c r="E1740" s="533">
        <v>0.9</v>
      </c>
      <c r="F1740" s="11" t="s">
        <v>1656</v>
      </c>
      <c r="G1740" s="10"/>
      <c r="H1740" s="11" t="s">
        <v>11096</v>
      </c>
      <c r="I1740" s="10"/>
      <c r="J1740" s="10"/>
      <c r="K1740" s="10"/>
    </row>
    <row r="1741" hidden="1">
      <c r="A1741" s="531" t="s">
        <v>13562</v>
      </c>
      <c r="B1741" s="531">
        <v>285.0</v>
      </c>
      <c r="C1741" s="11" t="s">
        <v>11095</v>
      </c>
      <c r="D1741" s="533">
        <v>0.88</v>
      </c>
      <c r="E1741" s="533">
        <v>0.88</v>
      </c>
      <c r="F1741" s="11" t="s">
        <v>1656</v>
      </c>
      <c r="G1741" s="10"/>
      <c r="H1741" s="11" t="s">
        <v>11096</v>
      </c>
      <c r="I1741" s="10"/>
      <c r="J1741" s="10"/>
      <c r="K1741" s="10"/>
    </row>
    <row r="1742" hidden="1">
      <c r="A1742" s="531" t="s">
        <v>13563</v>
      </c>
      <c r="B1742" s="531">
        <v>6732.0</v>
      </c>
      <c r="C1742" s="11" t="s">
        <v>11095</v>
      </c>
      <c r="D1742" s="533">
        <v>0.8</v>
      </c>
      <c r="E1742" s="533">
        <v>0.8</v>
      </c>
      <c r="F1742" s="11" t="s">
        <v>1656</v>
      </c>
      <c r="G1742" s="10"/>
      <c r="H1742" s="11" t="s">
        <v>11096</v>
      </c>
      <c r="I1742" s="10"/>
      <c r="J1742" s="10"/>
      <c r="K1742" s="10"/>
    </row>
    <row r="1743" hidden="1">
      <c r="A1743" s="531" t="s">
        <v>13564</v>
      </c>
      <c r="B1743" s="531">
        <v>986.0</v>
      </c>
      <c r="C1743" s="11" t="s">
        <v>11095</v>
      </c>
      <c r="D1743" s="533">
        <v>0.85</v>
      </c>
      <c r="E1743" s="533">
        <v>0.85</v>
      </c>
      <c r="F1743" s="11" t="s">
        <v>1656</v>
      </c>
      <c r="G1743" s="10"/>
      <c r="H1743" s="11" t="s">
        <v>11096</v>
      </c>
      <c r="I1743" s="10"/>
      <c r="J1743" s="10"/>
      <c r="K1743" s="10"/>
    </row>
    <row r="1744" hidden="1">
      <c r="A1744" s="531" t="s">
        <v>13565</v>
      </c>
      <c r="B1744" s="531">
        <v>1360.0</v>
      </c>
      <c r="C1744" s="11" t="s">
        <v>11095</v>
      </c>
      <c r="D1744" s="533">
        <v>0.75</v>
      </c>
      <c r="E1744" s="533">
        <v>0.75</v>
      </c>
      <c r="F1744" s="11" t="s">
        <v>1656</v>
      </c>
      <c r="G1744" s="10"/>
      <c r="H1744" s="11" t="s">
        <v>11096</v>
      </c>
      <c r="I1744" s="10"/>
      <c r="J1744" s="10"/>
      <c r="K1744" s="10"/>
    </row>
    <row r="1745" hidden="1">
      <c r="A1745" s="531" t="s">
        <v>13566</v>
      </c>
      <c r="B1745" s="531">
        <v>467.0</v>
      </c>
      <c r="C1745" s="11" t="s">
        <v>11095</v>
      </c>
      <c r="D1745" s="533">
        <v>0.75</v>
      </c>
      <c r="E1745" s="533">
        <v>0.75</v>
      </c>
      <c r="F1745" s="11" t="s">
        <v>1656</v>
      </c>
      <c r="G1745" s="10"/>
      <c r="H1745" s="11" t="s">
        <v>11096</v>
      </c>
      <c r="I1745" s="10"/>
      <c r="J1745" s="10"/>
      <c r="K1745" s="10"/>
    </row>
    <row r="1746" hidden="1">
      <c r="A1746" s="531" t="s">
        <v>13567</v>
      </c>
      <c r="B1746" s="531">
        <v>2345.0</v>
      </c>
      <c r="C1746" s="11" t="s">
        <v>11095</v>
      </c>
      <c r="D1746" s="533">
        <v>0.9</v>
      </c>
      <c r="E1746" s="533">
        <v>0.9</v>
      </c>
      <c r="F1746" s="11" t="s">
        <v>1656</v>
      </c>
      <c r="G1746" s="10"/>
      <c r="H1746" s="11" t="s">
        <v>11096</v>
      </c>
      <c r="I1746" s="10"/>
      <c r="J1746" s="10"/>
      <c r="K1746" s="10"/>
    </row>
    <row r="1747" hidden="1">
      <c r="A1747" s="531" t="s">
        <v>13568</v>
      </c>
      <c r="B1747" s="531">
        <v>2345.0</v>
      </c>
      <c r="C1747" s="11" t="s">
        <v>11095</v>
      </c>
      <c r="D1747" s="533">
        <v>0.9</v>
      </c>
      <c r="E1747" s="533">
        <v>0.9</v>
      </c>
      <c r="F1747" s="11" t="s">
        <v>1656</v>
      </c>
      <c r="G1747" s="10"/>
      <c r="H1747" s="11" t="s">
        <v>11096</v>
      </c>
      <c r="I1747" s="10"/>
      <c r="J1747" s="10"/>
      <c r="K1747" s="10"/>
    </row>
    <row r="1748" hidden="1">
      <c r="A1748" s="531" t="s">
        <v>13569</v>
      </c>
      <c r="B1748" s="531">
        <v>14507.0</v>
      </c>
      <c r="C1748" s="11" t="s">
        <v>11095</v>
      </c>
      <c r="D1748" s="533">
        <v>0.75</v>
      </c>
      <c r="E1748" s="533">
        <v>0.75</v>
      </c>
      <c r="F1748" s="11" t="s">
        <v>1656</v>
      </c>
      <c r="G1748" s="10"/>
      <c r="H1748" s="11" t="s">
        <v>11096</v>
      </c>
      <c r="I1748" s="10"/>
      <c r="J1748" s="10"/>
      <c r="K1748" s="10"/>
    </row>
    <row r="1749" hidden="1">
      <c r="A1749" s="531" t="s">
        <v>13570</v>
      </c>
      <c r="B1749" s="531">
        <v>2345.0</v>
      </c>
      <c r="C1749" s="11" t="s">
        <v>11095</v>
      </c>
      <c r="D1749" s="533">
        <v>0.9</v>
      </c>
      <c r="E1749" s="533">
        <v>0.9</v>
      </c>
      <c r="F1749" s="11" t="s">
        <v>1656</v>
      </c>
      <c r="G1749" s="10"/>
      <c r="H1749" s="11" t="s">
        <v>11096</v>
      </c>
      <c r="I1749" s="10"/>
      <c r="J1749" s="10"/>
      <c r="K1749" s="10"/>
    </row>
    <row r="1750" hidden="1">
      <c r="A1750" s="531" t="s">
        <v>13571</v>
      </c>
      <c r="B1750" s="531">
        <v>2345.0</v>
      </c>
      <c r="C1750" s="11" t="s">
        <v>11095</v>
      </c>
      <c r="D1750" s="533">
        <v>0.9</v>
      </c>
      <c r="E1750" s="533">
        <v>0.9</v>
      </c>
      <c r="F1750" s="11" t="s">
        <v>1656</v>
      </c>
      <c r="G1750" s="10"/>
      <c r="H1750" s="11" t="s">
        <v>11096</v>
      </c>
      <c r="I1750" s="10"/>
      <c r="J1750" s="10"/>
      <c r="K1750" s="10"/>
    </row>
    <row r="1751" hidden="1">
      <c r="A1751" s="531" t="s">
        <v>13572</v>
      </c>
      <c r="B1751" s="531">
        <v>7003.0</v>
      </c>
      <c r="C1751" s="11" t="s">
        <v>11095</v>
      </c>
      <c r="D1751" s="533">
        <v>0.85</v>
      </c>
      <c r="E1751" s="533">
        <v>0.85</v>
      </c>
      <c r="F1751" s="11" t="s">
        <v>1656</v>
      </c>
      <c r="G1751" s="10"/>
      <c r="H1751" s="11" t="s">
        <v>11096</v>
      </c>
      <c r="I1751" s="10"/>
      <c r="J1751" s="10"/>
      <c r="K1751" s="10"/>
    </row>
    <row r="1752" hidden="1">
      <c r="A1752" s="531" t="s">
        <v>13573</v>
      </c>
      <c r="B1752" s="531">
        <v>6952.0</v>
      </c>
      <c r="C1752" s="11" t="s">
        <v>11095</v>
      </c>
      <c r="D1752" s="533">
        <v>0.75</v>
      </c>
      <c r="E1752" s="533">
        <v>0.75</v>
      </c>
      <c r="F1752" s="11" t="s">
        <v>1656</v>
      </c>
      <c r="G1752" s="10"/>
      <c r="H1752" s="11" t="s">
        <v>11096</v>
      </c>
      <c r="I1752" s="10"/>
      <c r="J1752" s="10"/>
      <c r="K1752" s="10"/>
    </row>
    <row r="1753" hidden="1">
      <c r="A1753" s="531" t="s">
        <v>13574</v>
      </c>
      <c r="B1753" s="531">
        <v>7520.0</v>
      </c>
      <c r="C1753" s="11" t="s">
        <v>11095</v>
      </c>
      <c r="D1753" s="533">
        <v>0.75</v>
      </c>
      <c r="E1753" s="533">
        <v>0.75</v>
      </c>
      <c r="F1753" s="11" t="s">
        <v>1656</v>
      </c>
      <c r="G1753" s="10"/>
      <c r="H1753" s="11" t="s">
        <v>11096</v>
      </c>
      <c r="I1753" s="10"/>
      <c r="J1753" s="10"/>
      <c r="K1753" s="10"/>
    </row>
    <row r="1754" hidden="1">
      <c r="A1754" s="531" t="s">
        <v>13575</v>
      </c>
      <c r="B1754" s="531">
        <v>2345.0</v>
      </c>
      <c r="C1754" s="11" t="s">
        <v>11095</v>
      </c>
      <c r="D1754" s="533">
        <v>0.9</v>
      </c>
      <c r="E1754" s="533">
        <v>0.9</v>
      </c>
      <c r="F1754" s="11" t="s">
        <v>1656</v>
      </c>
      <c r="G1754" s="10"/>
      <c r="H1754" s="11" t="s">
        <v>11096</v>
      </c>
      <c r="I1754" s="10"/>
      <c r="J1754" s="10"/>
      <c r="K1754" s="10"/>
    </row>
    <row r="1755" hidden="1">
      <c r="A1755" s="531" t="s">
        <v>13576</v>
      </c>
      <c r="B1755" s="531">
        <v>6732.0</v>
      </c>
      <c r="C1755" s="11" t="s">
        <v>11095</v>
      </c>
      <c r="D1755" s="533">
        <v>0.8</v>
      </c>
      <c r="E1755" s="533">
        <v>0.8</v>
      </c>
      <c r="F1755" s="11" t="s">
        <v>1656</v>
      </c>
      <c r="G1755" s="10"/>
      <c r="H1755" s="11" t="s">
        <v>11096</v>
      </c>
      <c r="I1755" s="10"/>
      <c r="J1755" s="10"/>
      <c r="K1755" s="10"/>
    </row>
    <row r="1756" hidden="1">
      <c r="A1756" s="531" t="s">
        <v>13577</v>
      </c>
      <c r="B1756" s="531">
        <v>2345.0</v>
      </c>
      <c r="C1756" s="11" t="s">
        <v>11095</v>
      </c>
      <c r="D1756" s="533">
        <v>0.9</v>
      </c>
      <c r="E1756" s="533">
        <v>0.9</v>
      </c>
      <c r="F1756" s="11" t="s">
        <v>1656</v>
      </c>
      <c r="G1756" s="10"/>
      <c r="H1756" s="11" t="s">
        <v>11096</v>
      </c>
      <c r="I1756" s="10"/>
      <c r="J1756" s="10"/>
      <c r="K1756" s="10"/>
    </row>
    <row r="1757" hidden="1">
      <c r="A1757" s="531" t="s">
        <v>13578</v>
      </c>
      <c r="B1757" s="531">
        <v>6732.0</v>
      </c>
      <c r="C1757" s="11" t="s">
        <v>11095</v>
      </c>
      <c r="D1757" s="533">
        <v>0.8</v>
      </c>
      <c r="E1757" s="533">
        <v>0.8</v>
      </c>
      <c r="F1757" s="11" t="s">
        <v>1656</v>
      </c>
      <c r="G1757" s="10"/>
      <c r="H1757" s="11" t="s">
        <v>11096</v>
      </c>
      <c r="I1757" s="10"/>
      <c r="J1757" s="10"/>
      <c r="K1757" s="10"/>
    </row>
    <row r="1758" hidden="1">
      <c r="A1758" s="531" t="s">
        <v>13579</v>
      </c>
      <c r="B1758" s="531">
        <v>2345.0</v>
      </c>
      <c r="C1758" s="11" t="s">
        <v>11095</v>
      </c>
      <c r="D1758" s="533">
        <v>0.9</v>
      </c>
      <c r="E1758" s="533">
        <v>0.9</v>
      </c>
      <c r="F1758" s="11" t="s">
        <v>1656</v>
      </c>
      <c r="G1758" s="10"/>
      <c r="H1758" s="11" t="s">
        <v>11096</v>
      </c>
      <c r="I1758" s="10"/>
      <c r="J1758" s="10"/>
      <c r="K1758" s="10"/>
    </row>
    <row r="1759" hidden="1">
      <c r="A1759" s="531" t="s">
        <v>13580</v>
      </c>
      <c r="B1759" s="531">
        <v>6732.0</v>
      </c>
      <c r="C1759" s="11" t="s">
        <v>11095</v>
      </c>
      <c r="D1759" s="533">
        <v>0.8</v>
      </c>
      <c r="E1759" s="533">
        <v>0.8</v>
      </c>
      <c r="F1759" s="11" t="s">
        <v>1656</v>
      </c>
      <c r="G1759" s="10"/>
      <c r="H1759" s="11" t="s">
        <v>11096</v>
      </c>
      <c r="I1759" s="10"/>
      <c r="J1759" s="10"/>
      <c r="K1759" s="10"/>
    </row>
    <row r="1760" hidden="1">
      <c r="A1760" s="531" t="s">
        <v>13581</v>
      </c>
      <c r="B1760" s="531">
        <v>986.0</v>
      </c>
      <c r="C1760" s="11" t="s">
        <v>11095</v>
      </c>
      <c r="D1760" s="533">
        <v>0.85</v>
      </c>
      <c r="E1760" s="533">
        <v>0.85</v>
      </c>
      <c r="F1760" s="11" t="s">
        <v>1656</v>
      </c>
      <c r="G1760" s="10"/>
      <c r="H1760" s="11" t="s">
        <v>11096</v>
      </c>
      <c r="I1760" s="10"/>
      <c r="J1760" s="10"/>
      <c r="K1760" s="10"/>
    </row>
    <row r="1761" hidden="1">
      <c r="A1761" s="531" t="s">
        <v>13582</v>
      </c>
      <c r="B1761" s="531">
        <v>6732.0</v>
      </c>
      <c r="C1761" s="11" t="s">
        <v>11095</v>
      </c>
      <c r="D1761" s="533">
        <v>0.8</v>
      </c>
      <c r="E1761" s="533">
        <v>0.8</v>
      </c>
      <c r="F1761" s="11" t="s">
        <v>1656</v>
      </c>
      <c r="G1761" s="10"/>
      <c r="H1761" s="11" t="s">
        <v>11096</v>
      </c>
      <c r="I1761" s="10"/>
      <c r="J1761" s="10"/>
      <c r="K1761" s="10"/>
    </row>
    <row r="1762" hidden="1">
      <c r="A1762" s="531" t="s">
        <v>13583</v>
      </c>
      <c r="B1762" s="531">
        <v>6732.0</v>
      </c>
      <c r="C1762" s="11" t="s">
        <v>11095</v>
      </c>
      <c r="D1762" s="533">
        <v>0.8</v>
      </c>
      <c r="E1762" s="533">
        <v>0.8</v>
      </c>
      <c r="F1762" s="11" t="s">
        <v>1656</v>
      </c>
      <c r="G1762" s="10"/>
      <c r="H1762" s="11" t="s">
        <v>11096</v>
      </c>
      <c r="I1762" s="10"/>
      <c r="J1762" s="10"/>
      <c r="K1762" s="10"/>
    </row>
    <row r="1763" hidden="1">
      <c r="A1763" s="531" t="s">
        <v>13584</v>
      </c>
      <c r="B1763" s="531">
        <v>6909.0</v>
      </c>
      <c r="C1763" s="11" t="s">
        <v>11095</v>
      </c>
      <c r="D1763" s="533">
        <v>0.75</v>
      </c>
      <c r="E1763" s="533">
        <v>0.75</v>
      </c>
      <c r="F1763" s="11" t="s">
        <v>1656</v>
      </c>
      <c r="G1763" s="10"/>
      <c r="H1763" s="11" t="s">
        <v>11096</v>
      </c>
      <c r="I1763" s="10"/>
      <c r="J1763" s="10"/>
      <c r="K1763" s="10"/>
    </row>
    <row r="1764" hidden="1">
      <c r="A1764" s="531" t="s">
        <v>13585</v>
      </c>
      <c r="B1764" s="531">
        <v>6732.0</v>
      </c>
      <c r="C1764" s="11" t="s">
        <v>11095</v>
      </c>
      <c r="D1764" s="533">
        <v>0.8</v>
      </c>
      <c r="E1764" s="533">
        <v>0.8</v>
      </c>
      <c r="F1764" s="11" t="s">
        <v>1656</v>
      </c>
      <c r="G1764" s="10"/>
      <c r="H1764" s="11" t="s">
        <v>11096</v>
      </c>
      <c r="I1764" s="10"/>
      <c r="J1764" s="10"/>
      <c r="K1764" s="10"/>
    </row>
    <row r="1765" hidden="1">
      <c r="A1765" s="531" t="s">
        <v>13586</v>
      </c>
      <c r="B1765" s="531">
        <v>2345.0</v>
      </c>
      <c r="C1765" s="11" t="s">
        <v>11095</v>
      </c>
      <c r="D1765" s="533">
        <v>0.9</v>
      </c>
      <c r="E1765" s="533">
        <v>0.9</v>
      </c>
      <c r="F1765" s="11" t="s">
        <v>1656</v>
      </c>
      <c r="G1765" s="10"/>
      <c r="H1765" s="11" t="s">
        <v>11096</v>
      </c>
      <c r="I1765" s="10"/>
      <c r="J1765" s="10"/>
      <c r="K1765" s="10"/>
    </row>
    <row r="1766" hidden="1">
      <c r="A1766" s="531" t="s">
        <v>13587</v>
      </c>
      <c r="B1766" s="531">
        <v>285.0</v>
      </c>
      <c r="C1766" s="11" t="s">
        <v>11095</v>
      </c>
      <c r="D1766" s="533">
        <v>0.88</v>
      </c>
      <c r="E1766" s="533">
        <v>0.88</v>
      </c>
      <c r="F1766" s="11" t="s">
        <v>1656</v>
      </c>
      <c r="G1766" s="10"/>
      <c r="H1766" s="11" t="s">
        <v>11096</v>
      </c>
      <c r="I1766" s="10"/>
      <c r="J1766" s="10"/>
      <c r="K1766" s="10"/>
    </row>
    <row r="1767" hidden="1">
      <c r="A1767" s="531" t="s">
        <v>13588</v>
      </c>
      <c r="B1767" s="531">
        <v>6732.0</v>
      </c>
      <c r="C1767" s="11" t="s">
        <v>11095</v>
      </c>
      <c r="D1767" s="533">
        <v>0.8</v>
      </c>
      <c r="E1767" s="533">
        <v>0.8</v>
      </c>
      <c r="F1767" s="11" t="s">
        <v>1656</v>
      </c>
      <c r="G1767" s="10"/>
      <c r="H1767" s="11" t="s">
        <v>11096</v>
      </c>
      <c r="I1767" s="10"/>
      <c r="J1767" s="10"/>
      <c r="K1767" s="10"/>
    </row>
    <row r="1768" hidden="1">
      <c r="A1768" s="531" t="s">
        <v>13589</v>
      </c>
      <c r="B1768" s="531">
        <v>7003.0</v>
      </c>
      <c r="C1768" s="11" t="s">
        <v>11095</v>
      </c>
      <c r="D1768" s="533">
        <v>0.85</v>
      </c>
      <c r="E1768" s="533">
        <v>0.85</v>
      </c>
      <c r="F1768" s="11" t="s">
        <v>1656</v>
      </c>
      <c r="G1768" s="10"/>
      <c r="H1768" s="11" t="s">
        <v>11096</v>
      </c>
      <c r="I1768" s="10"/>
      <c r="J1768" s="10"/>
      <c r="K1768" s="10"/>
    </row>
    <row r="1769" hidden="1">
      <c r="A1769" s="531" t="s">
        <v>13590</v>
      </c>
      <c r="B1769" s="531">
        <v>7129.0</v>
      </c>
      <c r="C1769" s="11" t="s">
        <v>11095</v>
      </c>
      <c r="D1769" s="533">
        <v>0.75</v>
      </c>
      <c r="E1769" s="533">
        <v>0.75</v>
      </c>
      <c r="F1769" s="11" t="s">
        <v>1656</v>
      </c>
      <c r="G1769" s="10"/>
      <c r="H1769" s="11" t="s">
        <v>11096</v>
      </c>
      <c r="I1769" s="10"/>
      <c r="J1769" s="10"/>
      <c r="K1769" s="10"/>
    </row>
    <row r="1770" hidden="1">
      <c r="A1770" s="531" t="s">
        <v>13591</v>
      </c>
      <c r="B1770" s="531">
        <v>986.0</v>
      </c>
      <c r="C1770" s="11" t="s">
        <v>11095</v>
      </c>
      <c r="D1770" s="533">
        <v>0.85</v>
      </c>
      <c r="E1770" s="533">
        <v>0.85</v>
      </c>
      <c r="F1770" s="11" t="s">
        <v>1656</v>
      </c>
      <c r="G1770" s="10"/>
      <c r="H1770" s="11" t="s">
        <v>11096</v>
      </c>
      <c r="I1770" s="10"/>
      <c r="J1770" s="10"/>
      <c r="K1770" s="10"/>
    </row>
    <row r="1771" hidden="1">
      <c r="A1771" s="531" t="s">
        <v>13592</v>
      </c>
      <c r="B1771" s="531">
        <v>2345.0</v>
      </c>
      <c r="C1771" s="11" t="s">
        <v>11095</v>
      </c>
      <c r="D1771" s="533">
        <v>0.9</v>
      </c>
      <c r="E1771" s="533">
        <v>0.9</v>
      </c>
      <c r="F1771" s="11" t="s">
        <v>1656</v>
      </c>
      <c r="G1771" s="10"/>
      <c r="H1771" s="11" t="s">
        <v>11096</v>
      </c>
      <c r="I1771" s="10"/>
      <c r="J1771" s="10"/>
      <c r="K1771" s="10"/>
    </row>
    <row r="1772" hidden="1">
      <c r="A1772" s="531" t="s">
        <v>13593</v>
      </c>
      <c r="B1772" s="531">
        <v>285.0</v>
      </c>
      <c r="C1772" s="11" t="s">
        <v>11095</v>
      </c>
      <c r="D1772" s="533">
        <v>0.88</v>
      </c>
      <c r="E1772" s="533">
        <v>0.88</v>
      </c>
      <c r="F1772" s="11" t="s">
        <v>1656</v>
      </c>
      <c r="G1772" s="10"/>
      <c r="H1772" s="11" t="s">
        <v>11096</v>
      </c>
      <c r="I1772" s="10"/>
      <c r="J1772" s="10"/>
      <c r="K1772" s="10"/>
    </row>
    <row r="1773" hidden="1">
      <c r="A1773" s="531" t="s">
        <v>13594</v>
      </c>
      <c r="B1773" s="531">
        <v>14590.0</v>
      </c>
      <c r="C1773" s="11" t="s">
        <v>11298</v>
      </c>
      <c r="D1773" s="533">
        <v>0.9</v>
      </c>
      <c r="E1773" s="533">
        <v>0.9</v>
      </c>
      <c r="F1773" s="11" t="s">
        <v>1656</v>
      </c>
      <c r="G1773" s="10"/>
      <c r="H1773" s="11" t="s">
        <v>11299</v>
      </c>
      <c r="I1773" s="10"/>
      <c r="J1773" s="10"/>
      <c r="K1773" s="10"/>
    </row>
    <row r="1774" hidden="1">
      <c r="A1774" s="531" t="s">
        <v>13595</v>
      </c>
      <c r="B1774" s="531">
        <v>14590.0</v>
      </c>
      <c r="C1774" s="11" t="s">
        <v>11298</v>
      </c>
      <c r="D1774" s="533">
        <v>0.9</v>
      </c>
      <c r="E1774" s="533">
        <v>0.9</v>
      </c>
      <c r="F1774" s="11" t="s">
        <v>1656</v>
      </c>
      <c r="G1774" s="10"/>
      <c r="H1774" s="11" t="s">
        <v>11299</v>
      </c>
      <c r="I1774" s="10"/>
      <c r="J1774" s="10"/>
      <c r="K1774" s="10"/>
    </row>
    <row r="1775" hidden="1">
      <c r="A1775" s="531" t="s">
        <v>13596</v>
      </c>
      <c r="B1775" s="531">
        <v>986.0</v>
      </c>
      <c r="C1775" s="11" t="s">
        <v>11095</v>
      </c>
      <c r="D1775" s="533">
        <v>0.85</v>
      </c>
      <c r="E1775" s="533">
        <v>0.85</v>
      </c>
      <c r="F1775" s="11" t="s">
        <v>1656</v>
      </c>
      <c r="G1775" s="10"/>
      <c r="H1775" s="11" t="s">
        <v>11096</v>
      </c>
      <c r="I1775" s="10"/>
      <c r="J1775" s="10"/>
      <c r="K1775" s="10"/>
    </row>
    <row r="1776" hidden="1">
      <c r="A1776" s="531" t="s">
        <v>13597</v>
      </c>
      <c r="B1776" s="531">
        <v>285.0</v>
      </c>
      <c r="C1776" s="11" t="s">
        <v>11095</v>
      </c>
      <c r="D1776" s="533">
        <v>0.88</v>
      </c>
      <c r="E1776" s="533">
        <v>0.88</v>
      </c>
      <c r="F1776" s="11" t="s">
        <v>1656</v>
      </c>
      <c r="G1776" s="10"/>
      <c r="H1776" s="11" t="s">
        <v>11096</v>
      </c>
      <c r="I1776" s="10"/>
      <c r="J1776" s="10"/>
      <c r="K1776" s="10"/>
    </row>
    <row r="1777" hidden="1">
      <c r="A1777" s="531" t="s">
        <v>13598</v>
      </c>
      <c r="B1777" s="531">
        <v>285.0</v>
      </c>
      <c r="C1777" s="11" t="s">
        <v>11095</v>
      </c>
      <c r="D1777" s="533">
        <v>0.88</v>
      </c>
      <c r="E1777" s="533">
        <v>0.88</v>
      </c>
      <c r="F1777" s="11" t="s">
        <v>1656</v>
      </c>
      <c r="G1777" s="10"/>
      <c r="H1777" s="11" t="s">
        <v>11096</v>
      </c>
      <c r="I1777" s="10"/>
      <c r="J1777" s="10"/>
      <c r="K1777" s="10"/>
    </row>
    <row r="1778" hidden="1">
      <c r="A1778" s="531" t="s">
        <v>13599</v>
      </c>
      <c r="B1778" s="531">
        <v>285.0</v>
      </c>
      <c r="C1778" s="11" t="s">
        <v>11095</v>
      </c>
      <c r="D1778" s="533">
        <v>0.88</v>
      </c>
      <c r="E1778" s="533">
        <v>0.88</v>
      </c>
      <c r="F1778" s="11" t="s">
        <v>1656</v>
      </c>
      <c r="G1778" s="10"/>
      <c r="H1778" s="11" t="s">
        <v>11096</v>
      </c>
      <c r="I1778" s="10"/>
      <c r="J1778" s="10"/>
      <c r="K1778" s="10"/>
    </row>
    <row r="1779" hidden="1">
      <c r="A1779" s="531" t="s">
        <v>13600</v>
      </c>
      <c r="B1779" s="531">
        <v>7032.0</v>
      </c>
      <c r="C1779" s="11" t="s">
        <v>11095</v>
      </c>
      <c r="D1779" s="533">
        <v>0.75</v>
      </c>
      <c r="E1779" s="533">
        <v>0.75</v>
      </c>
      <c r="F1779" s="11" t="s">
        <v>1656</v>
      </c>
      <c r="G1779" s="10"/>
      <c r="H1779" s="11" t="s">
        <v>11096</v>
      </c>
      <c r="I1779" s="10"/>
      <c r="J1779" s="10"/>
      <c r="K1779" s="10"/>
    </row>
    <row r="1780" hidden="1">
      <c r="A1780" s="531" t="s">
        <v>13601</v>
      </c>
      <c r="B1780" s="531">
        <v>2345.0</v>
      </c>
      <c r="C1780" s="11" t="s">
        <v>11095</v>
      </c>
      <c r="D1780" s="533">
        <v>0.9</v>
      </c>
      <c r="E1780" s="533">
        <v>0.9</v>
      </c>
      <c r="F1780" s="11" t="s">
        <v>1656</v>
      </c>
      <c r="G1780" s="10"/>
      <c r="H1780" s="11" t="s">
        <v>11096</v>
      </c>
      <c r="I1780" s="10"/>
      <c r="J1780" s="10"/>
      <c r="K1780" s="10"/>
    </row>
    <row r="1781" hidden="1">
      <c r="A1781" s="531" t="s">
        <v>13602</v>
      </c>
      <c r="B1781" s="531">
        <v>2345.0</v>
      </c>
      <c r="C1781" s="11" t="s">
        <v>11095</v>
      </c>
      <c r="D1781" s="533">
        <v>0.9</v>
      </c>
      <c r="E1781" s="533">
        <v>0.9</v>
      </c>
      <c r="F1781" s="11" t="s">
        <v>1656</v>
      </c>
      <c r="G1781" s="10"/>
      <c r="H1781" s="11" t="s">
        <v>11096</v>
      </c>
      <c r="I1781" s="10"/>
      <c r="J1781" s="10"/>
      <c r="K1781" s="10"/>
    </row>
    <row r="1782" hidden="1">
      <c r="A1782" s="531" t="s">
        <v>13603</v>
      </c>
      <c r="B1782" s="531">
        <v>6732.0</v>
      </c>
      <c r="C1782" s="11" t="s">
        <v>11095</v>
      </c>
      <c r="D1782" s="533">
        <v>0.8</v>
      </c>
      <c r="E1782" s="533">
        <v>0.8</v>
      </c>
      <c r="F1782" s="11" t="s">
        <v>1656</v>
      </c>
      <c r="G1782" s="10"/>
      <c r="H1782" s="11" t="s">
        <v>11096</v>
      </c>
      <c r="I1782" s="10"/>
      <c r="J1782" s="10"/>
      <c r="K1782" s="10"/>
    </row>
    <row r="1783" hidden="1">
      <c r="A1783" s="531" t="s">
        <v>13604</v>
      </c>
      <c r="B1783" s="531">
        <v>2345.0</v>
      </c>
      <c r="C1783" s="11" t="s">
        <v>11095</v>
      </c>
      <c r="D1783" s="533">
        <v>0.9</v>
      </c>
      <c r="E1783" s="533">
        <v>0.9</v>
      </c>
      <c r="F1783" s="11" t="s">
        <v>1656</v>
      </c>
      <c r="G1783" s="10"/>
      <c r="H1783" s="11" t="s">
        <v>11096</v>
      </c>
      <c r="I1783" s="10"/>
      <c r="J1783" s="10"/>
      <c r="K1783" s="10"/>
    </row>
    <row r="1784" hidden="1">
      <c r="A1784" s="531" t="s">
        <v>13605</v>
      </c>
      <c r="B1784" s="531">
        <v>2345.0</v>
      </c>
      <c r="C1784" s="11" t="s">
        <v>11095</v>
      </c>
      <c r="D1784" s="533">
        <v>0.9</v>
      </c>
      <c r="E1784" s="533">
        <v>0.9</v>
      </c>
      <c r="F1784" s="11" t="s">
        <v>1656</v>
      </c>
      <c r="G1784" s="10"/>
      <c r="H1784" s="11" t="s">
        <v>11096</v>
      </c>
      <c r="I1784" s="10"/>
      <c r="J1784" s="10"/>
      <c r="K1784" s="10"/>
    </row>
    <row r="1785" hidden="1">
      <c r="A1785" s="531" t="s">
        <v>13606</v>
      </c>
      <c r="B1785" s="531">
        <v>2345.0</v>
      </c>
      <c r="C1785" s="11" t="s">
        <v>11095</v>
      </c>
      <c r="D1785" s="533">
        <v>0.9</v>
      </c>
      <c r="E1785" s="533">
        <v>0.9</v>
      </c>
      <c r="F1785" s="11" t="s">
        <v>1656</v>
      </c>
      <c r="G1785" s="10"/>
      <c r="H1785" s="11" t="s">
        <v>11096</v>
      </c>
      <c r="I1785" s="10"/>
      <c r="J1785" s="10"/>
      <c r="K1785" s="10"/>
    </row>
    <row r="1786" hidden="1">
      <c r="A1786" s="531" t="s">
        <v>13607</v>
      </c>
      <c r="B1786" s="531">
        <v>2345.0</v>
      </c>
      <c r="C1786" s="11" t="s">
        <v>11095</v>
      </c>
      <c r="D1786" s="533">
        <v>0.9</v>
      </c>
      <c r="E1786" s="533">
        <v>0.9</v>
      </c>
      <c r="F1786" s="11" t="s">
        <v>1656</v>
      </c>
      <c r="G1786" s="10"/>
      <c r="H1786" s="11" t="s">
        <v>11096</v>
      </c>
      <c r="I1786" s="10"/>
      <c r="J1786" s="10"/>
      <c r="K1786" s="10"/>
    </row>
    <row r="1787" hidden="1">
      <c r="A1787" s="531" t="s">
        <v>13608</v>
      </c>
      <c r="B1787" s="531">
        <v>2345.0</v>
      </c>
      <c r="C1787" s="11" t="s">
        <v>11095</v>
      </c>
      <c r="D1787" s="533">
        <v>0.9</v>
      </c>
      <c r="E1787" s="533">
        <v>0.9</v>
      </c>
      <c r="F1787" s="11" t="s">
        <v>1656</v>
      </c>
      <c r="G1787" s="10"/>
      <c r="H1787" s="11" t="s">
        <v>11096</v>
      </c>
      <c r="I1787" s="10"/>
      <c r="J1787" s="10"/>
      <c r="K1787" s="10"/>
    </row>
    <row r="1788" hidden="1">
      <c r="A1788" s="531" t="s">
        <v>13609</v>
      </c>
      <c r="B1788" s="531">
        <v>2345.0</v>
      </c>
      <c r="C1788" s="11" t="s">
        <v>11095</v>
      </c>
      <c r="D1788" s="533">
        <v>0.9</v>
      </c>
      <c r="E1788" s="533">
        <v>0.9</v>
      </c>
      <c r="F1788" s="11" t="s">
        <v>1656</v>
      </c>
      <c r="G1788" s="10"/>
      <c r="H1788" s="11" t="s">
        <v>11096</v>
      </c>
      <c r="I1788" s="10"/>
      <c r="J1788" s="10"/>
      <c r="K1788" s="10"/>
    </row>
    <row r="1789" hidden="1">
      <c r="A1789" s="531" t="s">
        <v>13610</v>
      </c>
      <c r="B1789" s="531">
        <v>3312.0</v>
      </c>
      <c r="C1789" s="11" t="s">
        <v>11095</v>
      </c>
      <c r="D1789" s="533">
        <v>0.75</v>
      </c>
      <c r="E1789" s="533">
        <v>0.75</v>
      </c>
      <c r="F1789" s="11" t="s">
        <v>1656</v>
      </c>
      <c r="G1789" s="10"/>
      <c r="H1789" s="11" t="s">
        <v>11096</v>
      </c>
      <c r="I1789" s="10"/>
      <c r="J1789" s="10"/>
      <c r="K1789" s="10"/>
    </row>
    <row r="1790" hidden="1">
      <c r="A1790" s="531" t="s">
        <v>13611</v>
      </c>
      <c r="B1790" s="531">
        <v>2345.0</v>
      </c>
      <c r="C1790" s="11" t="s">
        <v>11095</v>
      </c>
      <c r="D1790" s="533">
        <v>0.9</v>
      </c>
      <c r="E1790" s="533">
        <v>0.9</v>
      </c>
      <c r="F1790" s="11" t="s">
        <v>1656</v>
      </c>
      <c r="G1790" s="10"/>
      <c r="H1790" s="11" t="s">
        <v>11096</v>
      </c>
      <c r="I1790" s="10"/>
      <c r="J1790" s="10"/>
      <c r="K1790" s="10"/>
    </row>
    <row r="1791" hidden="1">
      <c r="A1791" s="531" t="s">
        <v>13612</v>
      </c>
      <c r="B1791" s="531">
        <v>2345.0</v>
      </c>
      <c r="C1791" s="11" t="s">
        <v>11095</v>
      </c>
      <c r="D1791" s="533">
        <v>0.9</v>
      </c>
      <c r="E1791" s="533">
        <v>0.9</v>
      </c>
      <c r="F1791" s="11" t="s">
        <v>1656</v>
      </c>
      <c r="G1791" s="10"/>
      <c r="H1791" s="11" t="s">
        <v>11096</v>
      </c>
      <c r="I1791" s="10"/>
      <c r="J1791" s="10"/>
      <c r="K1791" s="10"/>
    </row>
    <row r="1792" hidden="1">
      <c r="A1792" s="531" t="s">
        <v>13613</v>
      </c>
      <c r="B1792" s="531">
        <v>6796.0</v>
      </c>
      <c r="C1792" s="11" t="s">
        <v>11095</v>
      </c>
      <c r="D1792" s="533">
        <v>0.75</v>
      </c>
      <c r="E1792" s="533">
        <v>0.75</v>
      </c>
      <c r="F1792" s="11" t="s">
        <v>1656</v>
      </c>
      <c r="G1792" s="10"/>
      <c r="H1792" s="11" t="s">
        <v>11096</v>
      </c>
      <c r="I1792" s="10"/>
      <c r="J1792" s="10"/>
      <c r="K1792" s="10"/>
    </row>
    <row r="1793" hidden="1">
      <c r="A1793" s="531" t="s">
        <v>13614</v>
      </c>
      <c r="B1793" s="531">
        <v>2345.0</v>
      </c>
      <c r="C1793" s="11" t="s">
        <v>11095</v>
      </c>
      <c r="D1793" s="533">
        <v>0.9</v>
      </c>
      <c r="E1793" s="533">
        <v>0.9</v>
      </c>
      <c r="F1793" s="11" t="s">
        <v>1656</v>
      </c>
      <c r="G1793" s="10"/>
      <c r="H1793" s="11" t="s">
        <v>11096</v>
      </c>
      <c r="I1793" s="10"/>
      <c r="J1793" s="10"/>
      <c r="K1793" s="10"/>
    </row>
    <row r="1794" hidden="1">
      <c r="A1794" s="531" t="s">
        <v>13615</v>
      </c>
      <c r="B1794" s="531">
        <v>14590.0</v>
      </c>
      <c r="C1794" s="11" t="s">
        <v>11298</v>
      </c>
      <c r="D1794" s="533">
        <v>0.9</v>
      </c>
      <c r="E1794" s="533">
        <v>0.9</v>
      </c>
      <c r="F1794" s="11" t="s">
        <v>1656</v>
      </c>
      <c r="G1794" s="10"/>
      <c r="H1794" s="11" t="s">
        <v>11299</v>
      </c>
      <c r="I1794" s="10"/>
      <c r="J1794" s="10"/>
      <c r="K1794" s="10"/>
    </row>
    <row r="1795" hidden="1">
      <c r="A1795" s="531" t="s">
        <v>13616</v>
      </c>
      <c r="B1795" s="531">
        <v>2345.0</v>
      </c>
      <c r="C1795" s="11" t="s">
        <v>11095</v>
      </c>
      <c r="D1795" s="533">
        <v>0.9</v>
      </c>
      <c r="E1795" s="533">
        <v>0.9</v>
      </c>
      <c r="F1795" s="11" t="s">
        <v>1656</v>
      </c>
      <c r="G1795" s="10"/>
      <c r="H1795" s="11" t="s">
        <v>11096</v>
      </c>
      <c r="I1795" s="10"/>
      <c r="J1795" s="10"/>
      <c r="K1795" s="10"/>
    </row>
    <row r="1796" hidden="1">
      <c r="A1796" s="531" t="s">
        <v>13617</v>
      </c>
      <c r="B1796" s="531">
        <v>6697.0</v>
      </c>
      <c r="C1796" s="11" t="s">
        <v>11095</v>
      </c>
      <c r="D1796" s="533">
        <v>0.75</v>
      </c>
      <c r="E1796" s="533">
        <v>0.75</v>
      </c>
      <c r="F1796" s="11" t="s">
        <v>1656</v>
      </c>
      <c r="G1796" s="10"/>
      <c r="H1796" s="11" t="s">
        <v>11096</v>
      </c>
      <c r="I1796" s="10"/>
      <c r="J1796" s="10"/>
      <c r="K1796" s="10"/>
    </row>
    <row r="1797" hidden="1">
      <c r="A1797" s="531" t="s">
        <v>13618</v>
      </c>
      <c r="B1797" s="531">
        <v>2345.0</v>
      </c>
      <c r="C1797" s="11" t="s">
        <v>11095</v>
      </c>
      <c r="D1797" s="533">
        <v>0.9</v>
      </c>
      <c r="E1797" s="533">
        <v>0.9</v>
      </c>
      <c r="F1797" s="11" t="s">
        <v>1656</v>
      </c>
      <c r="G1797" s="10"/>
      <c r="H1797" s="11" t="s">
        <v>11096</v>
      </c>
      <c r="I1797" s="10"/>
      <c r="J1797" s="10"/>
      <c r="K1797" s="10"/>
    </row>
    <row r="1798" hidden="1">
      <c r="A1798" s="531" t="s">
        <v>13619</v>
      </c>
      <c r="B1798" s="531">
        <v>2345.0</v>
      </c>
      <c r="C1798" s="11" t="s">
        <v>11095</v>
      </c>
      <c r="D1798" s="533">
        <v>0.9</v>
      </c>
      <c r="E1798" s="533">
        <v>0.9</v>
      </c>
      <c r="F1798" s="11" t="s">
        <v>1656</v>
      </c>
      <c r="G1798" s="10"/>
      <c r="H1798" s="11" t="s">
        <v>11096</v>
      </c>
      <c r="I1798" s="10"/>
      <c r="J1798" s="10"/>
      <c r="K1798" s="10"/>
    </row>
    <row r="1799" hidden="1">
      <c r="A1799" s="531" t="s">
        <v>13620</v>
      </c>
      <c r="B1799" s="531">
        <v>2345.0</v>
      </c>
      <c r="C1799" s="11" t="s">
        <v>11095</v>
      </c>
      <c r="D1799" s="533">
        <v>0.9</v>
      </c>
      <c r="E1799" s="533">
        <v>0.9</v>
      </c>
      <c r="F1799" s="11" t="s">
        <v>1656</v>
      </c>
      <c r="G1799" s="10"/>
      <c r="H1799" s="11" t="s">
        <v>11096</v>
      </c>
      <c r="I1799" s="10"/>
      <c r="J1799" s="10"/>
      <c r="K1799" s="10"/>
    </row>
    <row r="1800" hidden="1">
      <c r="A1800" s="531" t="s">
        <v>13621</v>
      </c>
      <c r="B1800" s="531">
        <v>6732.0</v>
      </c>
      <c r="C1800" s="11" t="s">
        <v>11095</v>
      </c>
      <c r="D1800" s="533">
        <v>0.8</v>
      </c>
      <c r="E1800" s="533">
        <v>0.8</v>
      </c>
      <c r="F1800" s="11" t="s">
        <v>1656</v>
      </c>
      <c r="G1800" s="10"/>
      <c r="H1800" s="11" t="s">
        <v>11096</v>
      </c>
      <c r="I1800" s="10"/>
      <c r="J1800" s="10"/>
      <c r="K1800" s="10"/>
    </row>
    <row r="1801" hidden="1">
      <c r="A1801" s="531" t="s">
        <v>13622</v>
      </c>
      <c r="B1801" s="531">
        <v>489.0</v>
      </c>
      <c r="C1801" s="11" t="s">
        <v>11095</v>
      </c>
      <c r="D1801" s="533">
        <v>0.75</v>
      </c>
      <c r="E1801" s="533">
        <v>0.75</v>
      </c>
      <c r="F1801" s="11" t="s">
        <v>1656</v>
      </c>
      <c r="G1801" s="10"/>
      <c r="H1801" s="11" t="s">
        <v>11096</v>
      </c>
      <c r="I1801" s="10"/>
      <c r="J1801" s="10"/>
      <c r="K1801" s="10"/>
    </row>
    <row r="1802" hidden="1">
      <c r="A1802" s="531" t="s">
        <v>13623</v>
      </c>
      <c r="B1802" s="531">
        <v>14590.0</v>
      </c>
      <c r="C1802" s="11" t="s">
        <v>11298</v>
      </c>
      <c r="D1802" s="533">
        <v>0.9</v>
      </c>
      <c r="E1802" s="533">
        <v>0.9</v>
      </c>
      <c r="F1802" s="11" t="s">
        <v>1656</v>
      </c>
      <c r="G1802" s="10"/>
      <c r="H1802" s="11" t="s">
        <v>11299</v>
      </c>
      <c r="I1802" s="10"/>
      <c r="J1802" s="10"/>
      <c r="K1802" s="10"/>
    </row>
    <row r="1803" hidden="1">
      <c r="A1803" s="531" t="s">
        <v>13624</v>
      </c>
      <c r="B1803" s="531">
        <v>986.0</v>
      </c>
      <c r="C1803" s="11" t="s">
        <v>11095</v>
      </c>
      <c r="D1803" s="533">
        <v>0.85</v>
      </c>
      <c r="E1803" s="533">
        <v>0.85</v>
      </c>
      <c r="F1803" s="11" t="s">
        <v>1656</v>
      </c>
      <c r="G1803" s="10"/>
      <c r="H1803" s="11" t="s">
        <v>11096</v>
      </c>
      <c r="I1803" s="10"/>
      <c r="J1803" s="10"/>
      <c r="K1803" s="10"/>
    </row>
    <row r="1804" hidden="1">
      <c r="A1804" s="531" t="s">
        <v>13625</v>
      </c>
      <c r="B1804" s="531">
        <v>6805.0</v>
      </c>
      <c r="C1804" s="11" t="s">
        <v>11095</v>
      </c>
      <c r="D1804" s="533">
        <v>0.75</v>
      </c>
      <c r="E1804" s="533">
        <v>0.75</v>
      </c>
      <c r="F1804" s="11" t="s">
        <v>1656</v>
      </c>
      <c r="G1804" s="10"/>
      <c r="H1804" s="11" t="s">
        <v>11096</v>
      </c>
      <c r="I1804" s="10"/>
      <c r="J1804" s="10"/>
      <c r="K1804" s="10"/>
    </row>
    <row r="1805" hidden="1">
      <c r="A1805" s="531" t="s">
        <v>13626</v>
      </c>
      <c r="B1805" s="531">
        <v>2345.0</v>
      </c>
      <c r="C1805" s="11" t="s">
        <v>11095</v>
      </c>
      <c r="D1805" s="533">
        <v>0.9</v>
      </c>
      <c r="E1805" s="533">
        <v>0.9</v>
      </c>
      <c r="F1805" s="11" t="s">
        <v>1656</v>
      </c>
      <c r="G1805" s="10"/>
      <c r="H1805" s="11" t="s">
        <v>11096</v>
      </c>
      <c r="I1805" s="10"/>
      <c r="J1805" s="10"/>
      <c r="K1805" s="10"/>
    </row>
    <row r="1806" hidden="1">
      <c r="A1806" s="531" t="s">
        <v>13627</v>
      </c>
      <c r="B1806" s="531">
        <v>285.0</v>
      </c>
      <c r="C1806" s="11" t="s">
        <v>11095</v>
      </c>
      <c r="D1806" s="533">
        <v>0.88</v>
      </c>
      <c r="E1806" s="533">
        <v>0.88</v>
      </c>
      <c r="F1806" s="11" t="s">
        <v>1656</v>
      </c>
      <c r="G1806" s="10"/>
      <c r="H1806" s="11" t="s">
        <v>11096</v>
      </c>
      <c r="I1806" s="10"/>
      <c r="J1806" s="10"/>
      <c r="K1806" s="10"/>
    </row>
    <row r="1807" hidden="1">
      <c r="A1807" s="531" t="s">
        <v>13628</v>
      </c>
      <c r="B1807" s="531">
        <v>986.0</v>
      </c>
      <c r="C1807" s="11" t="s">
        <v>11095</v>
      </c>
      <c r="D1807" s="533">
        <v>0.85</v>
      </c>
      <c r="E1807" s="533">
        <v>0.85</v>
      </c>
      <c r="F1807" s="11" t="s">
        <v>1656</v>
      </c>
      <c r="G1807" s="10"/>
      <c r="H1807" s="11" t="s">
        <v>11096</v>
      </c>
      <c r="I1807" s="10"/>
      <c r="J1807" s="10"/>
      <c r="K1807" s="10"/>
    </row>
    <row r="1808" hidden="1">
      <c r="A1808" s="531" t="s">
        <v>13629</v>
      </c>
      <c r="B1808" s="531">
        <v>3404.0</v>
      </c>
      <c r="C1808" s="11" t="s">
        <v>11095</v>
      </c>
      <c r="D1808" s="533">
        <v>0.75</v>
      </c>
      <c r="E1808" s="533">
        <v>0.75</v>
      </c>
      <c r="F1808" s="11" t="s">
        <v>1656</v>
      </c>
      <c r="G1808" s="10"/>
      <c r="H1808" s="11" t="s">
        <v>11096</v>
      </c>
      <c r="I1808" s="10"/>
      <c r="J1808" s="10"/>
      <c r="K1808" s="10"/>
    </row>
    <row r="1809" hidden="1">
      <c r="A1809" s="531" t="s">
        <v>13630</v>
      </c>
      <c r="B1809" s="531">
        <v>2345.0</v>
      </c>
      <c r="C1809" s="11" t="s">
        <v>11095</v>
      </c>
      <c r="D1809" s="533">
        <v>0.9</v>
      </c>
      <c r="E1809" s="533">
        <v>0.9</v>
      </c>
      <c r="F1809" s="11" t="s">
        <v>1656</v>
      </c>
      <c r="G1809" s="10"/>
      <c r="H1809" s="11" t="s">
        <v>11096</v>
      </c>
      <c r="I1809" s="10"/>
      <c r="J1809" s="10"/>
      <c r="K1809" s="10"/>
    </row>
    <row r="1810" hidden="1">
      <c r="A1810" s="531" t="s">
        <v>13631</v>
      </c>
      <c r="B1810" s="531">
        <v>2345.0</v>
      </c>
      <c r="C1810" s="11" t="s">
        <v>11095</v>
      </c>
      <c r="D1810" s="533">
        <v>0.9</v>
      </c>
      <c r="E1810" s="533">
        <v>0.9</v>
      </c>
      <c r="F1810" s="11" t="s">
        <v>1656</v>
      </c>
      <c r="G1810" s="10"/>
      <c r="H1810" s="11" t="s">
        <v>11096</v>
      </c>
      <c r="I1810" s="10"/>
      <c r="J1810" s="10"/>
      <c r="K1810" s="10"/>
    </row>
    <row r="1811" hidden="1">
      <c r="A1811" s="531" t="s">
        <v>13632</v>
      </c>
      <c r="B1811" s="531">
        <v>7008.0</v>
      </c>
      <c r="C1811" s="11" t="s">
        <v>11095</v>
      </c>
      <c r="D1811" s="533">
        <v>0.75</v>
      </c>
      <c r="E1811" s="533">
        <v>0.75</v>
      </c>
      <c r="F1811" s="11" t="s">
        <v>1656</v>
      </c>
      <c r="G1811" s="10"/>
      <c r="H1811" s="11" t="s">
        <v>11096</v>
      </c>
      <c r="I1811" s="10"/>
      <c r="J1811" s="10"/>
      <c r="K1811" s="10"/>
    </row>
    <row r="1812" hidden="1">
      <c r="A1812" s="531" t="s">
        <v>13633</v>
      </c>
      <c r="B1812" s="531">
        <v>5458.0</v>
      </c>
      <c r="C1812" s="11" t="s">
        <v>11095</v>
      </c>
      <c r="D1812" s="533">
        <v>0.75</v>
      </c>
      <c r="E1812" s="533">
        <v>0.75</v>
      </c>
      <c r="F1812" s="11" t="s">
        <v>1656</v>
      </c>
      <c r="G1812" s="10"/>
      <c r="H1812" s="11" t="s">
        <v>11096</v>
      </c>
      <c r="I1812" s="10"/>
      <c r="J1812" s="10"/>
      <c r="K1812" s="10"/>
    </row>
    <row r="1813" hidden="1">
      <c r="A1813" s="531" t="s">
        <v>13634</v>
      </c>
      <c r="B1813" s="531">
        <v>2345.0</v>
      </c>
      <c r="C1813" s="11" t="s">
        <v>11095</v>
      </c>
      <c r="D1813" s="533">
        <v>0.9</v>
      </c>
      <c r="E1813" s="533">
        <v>0.9</v>
      </c>
      <c r="F1813" s="11" t="s">
        <v>1656</v>
      </c>
      <c r="G1813" s="10"/>
      <c r="H1813" s="11" t="s">
        <v>11096</v>
      </c>
      <c r="I1813" s="10"/>
      <c r="J1813" s="10"/>
      <c r="K1813" s="10"/>
    </row>
    <row r="1814" hidden="1">
      <c r="A1814" s="531" t="s">
        <v>13635</v>
      </c>
      <c r="B1814" s="531">
        <v>6658.0</v>
      </c>
      <c r="C1814" s="11" t="s">
        <v>11095</v>
      </c>
      <c r="D1814" s="533">
        <v>0.85</v>
      </c>
      <c r="E1814" s="533">
        <v>0.85</v>
      </c>
      <c r="F1814" s="11" t="s">
        <v>1656</v>
      </c>
      <c r="G1814" s="10"/>
      <c r="H1814" s="11" t="s">
        <v>11096</v>
      </c>
      <c r="I1814" s="10"/>
      <c r="J1814" s="10"/>
      <c r="K1814" s="10"/>
    </row>
    <row r="1815" hidden="1">
      <c r="A1815" s="531" t="s">
        <v>13636</v>
      </c>
      <c r="B1815" s="531">
        <v>6732.0</v>
      </c>
      <c r="C1815" s="11" t="s">
        <v>11095</v>
      </c>
      <c r="D1815" s="533">
        <v>0.8</v>
      </c>
      <c r="E1815" s="533">
        <v>0.8</v>
      </c>
      <c r="F1815" s="11" t="s">
        <v>1656</v>
      </c>
      <c r="G1815" s="10"/>
      <c r="H1815" s="11" t="s">
        <v>11096</v>
      </c>
      <c r="I1815" s="10"/>
      <c r="J1815" s="10"/>
      <c r="K1815" s="10"/>
    </row>
    <row r="1816" hidden="1">
      <c r="A1816" s="531" t="s">
        <v>13637</v>
      </c>
      <c r="B1816" s="531">
        <v>189.0</v>
      </c>
      <c r="C1816" s="11" t="s">
        <v>11095</v>
      </c>
      <c r="D1816" s="533">
        <v>0.88</v>
      </c>
      <c r="E1816" s="533">
        <v>0.88</v>
      </c>
      <c r="F1816" s="11" t="s">
        <v>1656</v>
      </c>
      <c r="G1816" s="10"/>
      <c r="H1816" s="11" t="s">
        <v>11096</v>
      </c>
      <c r="I1816" s="10"/>
      <c r="J1816" s="10"/>
      <c r="K1816" s="10"/>
    </row>
    <row r="1817" hidden="1">
      <c r="A1817" s="531" t="s">
        <v>13638</v>
      </c>
      <c r="B1817" s="531">
        <v>285.0</v>
      </c>
      <c r="C1817" s="11" t="s">
        <v>11095</v>
      </c>
      <c r="D1817" s="533">
        <v>0.88</v>
      </c>
      <c r="E1817" s="533">
        <v>0.88</v>
      </c>
      <c r="F1817" s="11" t="s">
        <v>1656</v>
      </c>
      <c r="G1817" s="10"/>
      <c r="H1817" s="11" t="s">
        <v>11096</v>
      </c>
      <c r="I1817" s="10"/>
      <c r="J1817" s="10"/>
      <c r="K1817" s="10"/>
    </row>
    <row r="1818" hidden="1">
      <c r="A1818" s="531" t="s">
        <v>13639</v>
      </c>
      <c r="B1818" s="531">
        <v>9730.0</v>
      </c>
      <c r="C1818" s="11" t="s">
        <v>11095</v>
      </c>
      <c r="D1818" s="533">
        <v>0.75</v>
      </c>
      <c r="E1818" s="533">
        <v>0.75</v>
      </c>
      <c r="F1818" s="11" t="s">
        <v>1656</v>
      </c>
      <c r="G1818" s="10"/>
      <c r="H1818" s="11" t="s">
        <v>11096</v>
      </c>
      <c r="I1818" s="10"/>
      <c r="J1818" s="10"/>
      <c r="K1818" s="10"/>
    </row>
    <row r="1819" hidden="1">
      <c r="A1819" s="531" t="s">
        <v>13640</v>
      </c>
      <c r="B1819" s="531">
        <v>6732.0</v>
      </c>
      <c r="C1819" s="11" t="s">
        <v>11095</v>
      </c>
      <c r="D1819" s="533">
        <v>0.8</v>
      </c>
      <c r="E1819" s="533">
        <v>0.8</v>
      </c>
      <c r="F1819" s="11" t="s">
        <v>1656</v>
      </c>
      <c r="G1819" s="10"/>
      <c r="H1819" s="11" t="s">
        <v>11096</v>
      </c>
      <c r="I1819" s="10"/>
      <c r="J1819" s="10"/>
      <c r="K1819" s="10"/>
    </row>
    <row r="1820" hidden="1">
      <c r="A1820" s="531" t="s">
        <v>13641</v>
      </c>
      <c r="B1820" s="531">
        <v>2345.0</v>
      </c>
      <c r="C1820" s="11" t="s">
        <v>11095</v>
      </c>
      <c r="D1820" s="533">
        <v>0.9</v>
      </c>
      <c r="E1820" s="533">
        <v>0.9</v>
      </c>
      <c r="F1820" s="11" t="s">
        <v>1656</v>
      </c>
      <c r="G1820" s="10"/>
      <c r="H1820" s="11" t="s">
        <v>11096</v>
      </c>
      <c r="I1820" s="10"/>
      <c r="J1820" s="10"/>
      <c r="K1820" s="10"/>
    </row>
    <row r="1821" hidden="1">
      <c r="A1821" s="531" t="s">
        <v>13642</v>
      </c>
      <c r="B1821" s="531">
        <v>6924.0</v>
      </c>
      <c r="C1821" s="11" t="s">
        <v>11095</v>
      </c>
      <c r="D1821" s="533">
        <v>0.75</v>
      </c>
      <c r="E1821" s="533">
        <v>0.75</v>
      </c>
      <c r="F1821" s="11" t="s">
        <v>1656</v>
      </c>
      <c r="G1821" s="10"/>
      <c r="H1821" s="11" t="s">
        <v>11096</v>
      </c>
      <c r="I1821" s="10"/>
      <c r="J1821" s="10"/>
      <c r="K1821" s="10"/>
    </row>
    <row r="1822" hidden="1">
      <c r="A1822" s="531" t="s">
        <v>13643</v>
      </c>
      <c r="B1822" s="531">
        <v>285.0</v>
      </c>
      <c r="C1822" s="11" t="s">
        <v>11095</v>
      </c>
      <c r="D1822" s="533">
        <v>0.88</v>
      </c>
      <c r="E1822" s="533">
        <v>0.88</v>
      </c>
      <c r="F1822" s="11" t="s">
        <v>1656</v>
      </c>
      <c r="G1822" s="10"/>
      <c r="H1822" s="11" t="s">
        <v>11096</v>
      </c>
      <c r="I1822" s="10"/>
      <c r="J1822" s="10"/>
      <c r="K1822" s="10"/>
    </row>
    <row r="1823" hidden="1">
      <c r="A1823" s="531" t="s">
        <v>13644</v>
      </c>
      <c r="B1823" s="531">
        <v>2345.0</v>
      </c>
      <c r="C1823" s="11" t="s">
        <v>11095</v>
      </c>
      <c r="D1823" s="533">
        <v>0.9</v>
      </c>
      <c r="E1823" s="533">
        <v>0.9</v>
      </c>
      <c r="F1823" s="11" t="s">
        <v>1656</v>
      </c>
      <c r="G1823" s="10"/>
      <c r="H1823" s="11" t="s">
        <v>11096</v>
      </c>
      <c r="I1823" s="10"/>
      <c r="J1823" s="10"/>
      <c r="K1823" s="10"/>
    </row>
    <row r="1824" hidden="1">
      <c r="A1824" s="531" t="s">
        <v>13645</v>
      </c>
      <c r="B1824" s="531">
        <v>6939.0</v>
      </c>
      <c r="C1824" s="11" t="s">
        <v>11095</v>
      </c>
      <c r="D1824" s="533">
        <v>0.85</v>
      </c>
      <c r="E1824" s="533">
        <v>0.85</v>
      </c>
      <c r="F1824" s="11" t="s">
        <v>1656</v>
      </c>
      <c r="G1824" s="10"/>
      <c r="H1824" s="11" t="s">
        <v>11096</v>
      </c>
      <c r="I1824" s="10"/>
      <c r="J1824" s="10"/>
      <c r="K1824" s="10"/>
    </row>
    <row r="1825" hidden="1">
      <c r="A1825" s="531" t="s">
        <v>13646</v>
      </c>
      <c r="B1825" s="531">
        <v>2345.0</v>
      </c>
      <c r="C1825" s="11" t="s">
        <v>11095</v>
      </c>
      <c r="D1825" s="533">
        <v>0.9</v>
      </c>
      <c r="E1825" s="533">
        <v>0.9</v>
      </c>
      <c r="F1825" s="11" t="s">
        <v>1656</v>
      </c>
      <c r="G1825" s="10"/>
      <c r="H1825" s="11" t="s">
        <v>11096</v>
      </c>
      <c r="I1825" s="10"/>
      <c r="J1825" s="10"/>
      <c r="K1825" s="10"/>
    </row>
    <row r="1826" hidden="1">
      <c r="A1826" s="531" t="s">
        <v>13647</v>
      </c>
      <c r="B1826" s="531">
        <v>6778.0</v>
      </c>
      <c r="C1826" s="11" t="s">
        <v>11095</v>
      </c>
      <c r="D1826" s="533">
        <v>0.75</v>
      </c>
      <c r="E1826" s="533">
        <v>0.75</v>
      </c>
      <c r="F1826" s="11" t="s">
        <v>1656</v>
      </c>
      <c r="G1826" s="10"/>
      <c r="H1826" s="11" t="s">
        <v>11096</v>
      </c>
      <c r="I1826" s="10"/>
      <c r="J1826" s="10"/>
      <c r="K1826" s="10"/>
    </row>
    <row r="1827" hidden="1">
      <c r="A1827" s="531" t="s">
        <v>13648</v>
      </c>
      <c r="B1827" s="531">
        <v>2345.0</v>
      </c>
      <c r="C1827" s="11" t="s">
        <v>11095</v>
      </c>
      <c r="D1827" s="533">
        <v>0.9</v>
      </c>
      <c r="E1827" s="533">
        <v>0.9</v>
      </c>
      <c r="F1827" s="11" t="s">
        <v>1656</v>
      </c>
      <c r="G1827" s="10"/>
      <c r="H1827" s="11" t="s">
        <v>11096</v>
      </c>
      <c r="I1827" s="10"/>
      <c r="J1827" s="10"/>
      <c r="K1827" s="10"/>
    </row>
    <row r="1828" hidden="1">
      <c r="A1828" s="531" t="s">
        <v>13649</v>
      </c>
      <c r="B1828" s="531">
        <v>2205.0</v>
      </c>
      <c r="C1828" s="11" t="s">
        <v>11095</v>
      </c>
      <c r="D1828" s="533">
        <v>0.75</v>
      </c>
      <c r="E1828" s="533">
        <v>0.75</v>
      </c>
      <c r="F1828" s="11" t="s">
        <v>1656</v>
      </c>
      <c r="G1828" s="10"/>
      <c r="H1828" s="11" t="s">
        <v>11096</v>
      </c>
      <c r="I1828" s="10"/>
      <c r="J1828" s="10"/>
      <c r="K1828" s="10"/>
    </row>
    <row r="1829" hidden="1">
      <c r="A1829" s="531" t="s">
        <v>13650</v>
      </c>
      <c r="B1829" s="531">
        <v>986.0</v>
      </c>
      <c r="C1829" s="11" t="s">
        <v>11095</v>
      </c>
      <c r="D1829" s="533">
        <v>0.85</v>
      </c>
      <c r="E1829" s="533">
        <v>0.85</v>
      </c>
      <c r="F1829" s="11" t="s">
        <v>1656</v>
      </c>
      <c r="G1829" s="10"/>
      <c r="H1829" s="11" t="s">
        <v>11096</v>
      </c>
      <c r="I1829" s="10"/>
      <c r="J1829" s="10"/>
      <c r="K1829" s="10"/>
    </row>
    <row r="1830" hidden="1">
      <c r="A1830" s="531" t="s">
        <v>13651</v>
      </c>
      <c r="B1830" s="531">
        <v>2345.0</v>
      </c>
      <c r="C1830" s="11" t="s">
        <v>11095</v>
      </c>
      <c r="D1830" s="533">
        <v>0.9</v>
      </c>
      <c r="E1830" s="533">
        <v>0.9</v>
      </c>
      <c r="F1830" s="11" t="s">
        <v>1656</v>
      </c>
      <c r="G1830" s="10"/>
      <c r="H1830" s="11" t="s">
        <v>11096</v>
      </c>
      <c r="I1830" s="10"/>
      <c r="J1830" s="10"/>
      <c r="K1830" s="10"/>
    </row>
    <row r="1831" hidden="1">
      <c r="A1831" s="531" t="s">
        <v>13652</v>
      </c>
      <c r="B1831" s="531">
        <v>986.0</v>
      </c>
      <c r="C1831" s="11" t="s">
        <v>11095</v>
      </c>
      <c r="D1831" s="533">
        <v>0.85</v>
      </c>
      <c r="E1831" s="533">
        <v>0.85</v>
      </c>
      <c r="F1831" s="11" t="s">
        <v>1656</v>
      </c>
      <c r="G1831" s="10"/>
      <c r="H1831" s="11" t="s">
        <v>11096</v>
      </c>
      <c r="I1831" s="10"/>
      <c r="J1831" s="10"/>
      <c r="K1831" s="10"/>
    </row>
    <row r="1832" hidden="1">
      <c r="A1832" s="531" t="s">
        <v>13653</v>
      </c>
      <c r="B1832" s="531">
        <v>189.0</v>
      </c>
      <c r="C1832" s="11" t="s">
        <v>11095</v>
      </c>
      <c r="D1832" s="533">
        <v>0.88</v>
      </c>
      <c r="E1832" s="533">
        <v>0.88</v>
      </c>
      <c r="F1832" s="11" t="s">
        <v>1656</v>
      </c>
      <c r="G1832" s="10"/>
      <c r="H1832" s="11" t="s">
        <v>11096</v>
      </c>
      <c r="I1832" s="10"/>
      <c r="J1832" s="10"/>
      <c r="K1832" s="10"/>
    </row>
    <row r="1833" hidden="1">
      <c r="A1833" s="531" t="s">
        <v>13654</v>
      </c>
      <c r="B1833" s="531">
        <v>6732.0</v>
      </c>
      <c r="C1833" s="11" t="s">
        <v>11095</v>
      </c>
      <c r="D1833" s="533">
        <v>0.8</v>
      </c>
      <c r="E1833" s="533">
        <v>0.8</v>
      </c>
      <c r="F1833" s="11" t="s">
        <v>1656</v>
      </c>
      <c r="G1833" s="10"/>
      <c r="H1833" s="11" t="s">
        <v>11096</v>
      </c>
      <c r="I1833" s="10"/>
      <c r="J1833" s="10"/>
      <c r="K1833" s="10"/>
    </row>
    <row r="1834" hidden="1">
      <c r="A1834" s="531" t="s">
        <v>13655</v>
      </c>
      <c r="B1834" s="531">
        <v>6770.0</v>
      </c>
      <c r="C1834" s="11" t="s">
        <v>11095</v>
      </c>
      <c r="D1834" s="533">
        <v>0.75</v>
      </c>
      <c r="E1834" s="533">
        <v>0.75</v>
      </c>
      <c r="F1834" s="11" t="s">
        <v>1656</v>
      </c>
      <c r="G1834" s="10"/>
      <c r="H1834" s="11" t="s">
        <v>11096</v>
      </c>
      <c r="I1834" s="10"/>
      <c r="J1834" s="10"/>
      <c r="K1834" s="10"/>
    </row>
    <row r="1835" hidden="1">
      <c r="A1835" s="531" t="s">
        <v>13656</v>
      </c>
      <c r="B1835" s="531">
        <v>6727.0</v>
      </c>
      <c r="C1835" s="11" t="s">
        <v>11095</v>
      </c>
      <c r="D1835" s="533">
        <v>0.75</v>
      </c>
      <c r="E1835" s="533">
        <v>0.75</v>
      </c>
      <c r="F1835" s="11" t="s">
        <v>1656</v>
      </c>
      <c r="G1835" s="10"/>
      <c r="H1835" s="11" t="s">
        <v>11096</v>
      </c>
      <c r="I1835" s="10"/>
      <c r="J1835" s="10"/>
      <c r="K1835" s="10"/>
    </row>
    <row r="1836" hidden="1">
      <c r="A1836" s="531" t="s">
        <v>13657</v>
      </c>
      <c r="B1836" s="531">
        <v>2345.0</v>
      </c>
      <c r="C1836" s="11" t="s">
        <v>11095</v>
      </c>
      <c r="D1836" s="533">
        <v>0.9</v>
      </c>
      <c r="E1836" s="533">
        <v>0.9</v>
      </c>
      <c r="F1836" s="11" t="s">
        <v>1656</v>
      </c>
      <c r="G1836" s="10"/>
      <c r="H1836" s="11" t="s">
        <v>11096</v>
      </c>
      <c r="I1836" s="10"/>
      <c r="J1836" s="10"/>
      <c r="K1836" s="10"/>
    </row>
    <row r="1837" hidden="1">
      <c r="A1837" s="531" t="s">
        <v>13658</v>
      </c>
      <c r="B1837" s="531">
        <v>6732.0</v>
      </c>
      <c r="C1837" s="11" t="s">
        <v>11095</v>
      </c>
      <c r="D1837" s="533">
        <v>0.8</v>
      </c>
      <c r="E1837" s="533">
        <v>0.8</v>
      </c>
      <c r="F1837" s="11" t="s">
        <v>1656</v>
      </c>
      <c r="G1837" s="10"/>
      <c r="H1837" s="11" t="s">
        <v>11096</v>
      </c>
      <c r="I1837" s="10"/>
      <c r="J1837" s="10"/>
      <c r="K1837" s="10"/>
    </row>
    <row r="1838" hidden="1">
      <c r="A1838" s="531" t="s">
        <v>13659</v>
      </c>
      <c r="B1838" s="531">
        <v>6732.0</v>
      </c>
      <c r="C1838" s="11" t="s">
        <v>11095</v>
      </c>
      <c r="D1838" s="533">
        <v>0.8</v>
      </c>
      <c r="E1838" s="533">
        <v>0.8</v>
      </c>
      <c r="F1838" s="11" t="s">
        <v>1656</v>
      </c>
      <c r="G1838" s="10"/>
      <c r="H1838" s="11" t="s">
        <v>11096</v>
      </c>
      <c r="I1838" s="10"/>
      <c r="J1838" s="10"/>
      <c r="K1838" s="10"/>
    </row>
    <row r="1839" hidden="1">
      <c r="A1839" s="531" t="s">
        <v>13660</v>
      </c>
      <c r="B1839" s="531">
        <v>3312.0</v>
      </c>
      <c r="C1839" s="11" t="s">
        <v>11095</v>
      </c>
      <c r="D1839" s="533">
        <v>0.75</v>
      </c>
      <c r="E1839" s="533">
        <v>0.75</v>
      </c>
      <c r="F1839" s="11" t="s">
        <v>1656</v>
      </c>
      <c r="G1839" s="10"/>
      <c r="H1839" s="11" t="s">
        <v>11096</v>
      </c>
      <c r="I1839" s="10"/>
      <c r="J1839" s="10"/>
      <c r="K1839" s="10"/>
    </row>
    <row r="1840" hidden="1">
      <c r="A1840" s="531" t="s">
        <v>13661</v>
      </c>
      <c r="B1840" s="531">
        <v>986.0</v>
      </c>
      <c r="C1840" s="11" t="s">
        <v>11095</v>
      </c>
      <c r="D1840" s="533">
        <v>0.85</v>
      </c>
      <c r="E1840" s="533">
        <v>0.85</v>
      </c>
      <c r="F1840" s="11" t="s">
        <v>1656</v>
      </c>
      <c r="G1840" s="10"/>
      <c r="H1840" s="11" t="s">
        <v>11096</v>
      </c>
      <c r="I1840" s="10"/>
      <c r="J1840" s="10"/>
      <c r="K1840" s="10"/>
    </row>
    <row r="1841" hidden="1">
      <c r="A1841" s="531" t="s">
        <v>13662</v>
      </c>
      <c r="B1841" s="531">
        <v>6732.0</v>
      </c>
      <c r="C1841" s="11" t="s">
        <v>11095</v>
      </c>
      <c r="D1841" s="533">
        <v>0.8</v>
      </c>
      <c r="E1841" s="533">
        <v>0.8</v>
      </c>
      <c r="F1841" s="11" t="s">
        <v>1656</v>
      </c>
      <c r="G1841" s="10"/>
      <c r="H1841" s="11" t="s">
        <v>11096</v>
      </c>
      <c r="I1841" s="10"/>
      <c r="J1841" s="10"/>
      <c r="K1841" s="10"/>
    </row>
    <row r="1842" hidden="1">
      <c r="A1842" s="531" t="s">
        <v>13663</v>
      </c>
      <c r="B1842" s="531">
        <v>189.0</v>
      </c>
      <c r="C1842" s="11" t="s">
        <v>11095</v>
      </c>
      <c r="D1842" s="533">
        <v>0.88</v>
      </c>
      <c r="E1842" s="533">
        <v>0.88</v>
      </c>
      <c r="F1842" s="11" t="s">
        <v>1656</v>
      </c>
      <c r="G1842" s="10"/>
      <c r="H1842" s="11" t="s">
        <v>11096</v>
      </c>
      <c r="I1842" s="10"/>
      <c r="J1842" s="10"/>
      <c r="K1842" s="10"/>
    </row>
    <row r="1843" hidden="1">
      <c r="A1843" s="531" t="s">
        <v>13664</v>
      </c>
      <c r="B1843" s="531">
        <v>2207.0</v>
      </c>
      <c r="C1843" s="11" t="s">
        <v>11095</v>
      </c>
      <c r="D1843" s="533">
        <v>0.75</v>
      </c>
      <c r="E1843" s="533">
        <v>0.75</v>
      </c>
      <c r="F1843" s="11" t="s">
        <v>1656</v>
      </c>
      <c r="G1843" s="10"/>
      <c r="H1843" s="11" t="s">
        <v>11096</v>
      </c>
      <c r="I1843" s="10"/>
      <c r="J1843" s="10"/>
      <c r="K1843" s="10"/>
    </row>
    <row r="1844" hidden="1">
      <c r="A1844" s="531" t="s">
        <v>13665</v>
      </c>
      <c r="B1844" s="531">
        <v>2345.0</v>
      </c>
      <c r="C1844" s="11" t="s">
        <v>11095</v>
      </c>
      <c r="D1844" s="533">
        <v>0.9</v>
      </c>
      <c r="E1844" s="533">
        <v>0.9</v>
      </c>
      <c r="F1844" s="11" t="s">
        <v>1656</v>
      </c>
      <c r="G1844" s="10"/>
      <c r="H1844" s="11" t="s">
        <v>11096</v>
      </c>
      <c r="I1844" s="10"/>
      <c r="J1844" s="10"/>
      <c r="K1844" s="10"/>
    </row>
    <row r="1845" hidden="1">
      <c r="A1845" s="531" t="s">
        <v>13666</v>
      </c>
      <c r="B1845" s="531">
        <v>6909.0</v>
      </c>
      <c r="C1845" s="11" t="s">
        <v>11095</v>
      </c>
      <c r="D1845" s="533">
        <v>0.75</v>
      </c>
      <c r="E1845" s="533">
        <v>0.75</v>
      </c>
      <c r="F1845" s="11" t="s">
        <v>1656</v>
      </c>
      <c r="G1845" s="10"/>
      <c r="H1845" s="11" t="s">
        <v>11096</v>
      </c>
      <c r="I1845" s="10"/>
      <c r="J1845" s="10"/>
      <c r="K1845" s="10"/>
    </row>
    <row r="1846" hidden="1">
      <c r="A1846" s="531" t="s">
        <v>13667</v>
      </c>
      <c r="B1846" s="531">
        <v>6770.0</v>
      </c>
      <c r="C1846" s="11" t="s">
        <v>11095</v>
      </c>
      <c r="D1846" s="533">
        <v>0.75</v>
      </c>
      <c r="E1846" s="533">
        <v>0.75</v>
      </c>
      <c r="F1846" s="11" t="s">
        <v>1656</v>
      </c>
      <c r="G1846" s="10"/>
      <c r="H1846" s="11" t="s">
        <v>11096</v>
      </c>
      <c r="I1846" s="10"/>
      <c r="J1846" s="10"/>
      <c r="K1846" s="10"/>
    </row>
    <row r="1847" hidden="1">
      <c r="A1847" s="531" t="s">
        <v>13668</v>
      </c>
      <c r="B1847" s="531">
        <v>6893.0</v>
      </c>
      <c r="C1847" s="11" t="s">
        <v>11095</v>
      </c>
      <c r="D1847" s="533">
        <v>0.75</v>
      </c>
      <c r="E1847" s="533">
        <v>0.75</v>
      </c>
      <c r="F1847" s="11" t="s">
        <v>1656</v>
      </c>
      <c r="G1847" s="10"/>
      <c r="H1847" s="11" t="s">
        <v>11096</v>
      </c>
      <c r="I1847" s="10"/>
      <c r="J1847" s="10"/>
      <c r="K1847" s="10"/>
    </row>
    <row r="1848" hidden="1">
      <c r="A1848" s="531" t="s">
        <v>13669</v>
      </c>
      <c r="B1848" s="531">
        <v>2345.0</v>
      </c>
      <c r="C1848" s="11" t="s">
        <v>11095</v>
      </c>
      <c r="D1848" s="533">
        <v>0.9</v>
      </c>
      <c r="E1848" s="533">
        <v>0.9</v>
      </c>
      <c r="F1848" s="11" t="s">
        <v>1656</v>
      </c>
      <c r="G1848" s="10"/>
      <c r="H1848" s="11" t="s">
        <v>11096</v>
      </c>
      <c r="I1848" s="10"/>
      <c r="J1848" s="10"/>
      <c r="K1848" s="10"/>
    </row>
    <row r="1849" hidden="1">
      <c r="A1849" s="531" t="s">
        <v>13670</v>
      </c>
      <c r="B1849" s="531">
        <v>986.0</v>
      </c>
      <c r="C1849" s="11" t="s">
        <v>11095</v>
      </c>
      <c r="D1849" s="533">
        <v>0.85</v>
      </c>
      <c r="E1849" s="533">
        <v>0.85</v>
      </c>
      <c r="F1849" s="11" t="s">
        <v>1656</v>
      </c>
      <c r="G1849" s="10"/>
      <c r="H1849" s="11" t="s">
        <v>11096</v>
      </c>
      <c r="I1849" s="10"/>
      <c r="J1849" s="10"/>
      <c r="K1849" s="10"/>
    </row>
    <row r="1850" hidden="1">
      <c r="A1850" s="531" t="s">
        <v>13671</v>
      </c>
      <c r="B1850" s="531">
        <v>14590.0</v>
      </c>
      <c r="C1850" s="11" t="s">
        <v>11298</v>
      </c>
      <c r="D1850" s="533">
        <v>0.9</v>
      </c>
      <c r="E1850" s="533">
        <v>0.9</v>
      </c>
      <c r="F1850" s="11" t="s">
        <v>1656</v>
      </c>
      <c r="G1850" s="10"/>
      <c r="H1850" s="11" t="s">
        <v>11299</v>
      </c>
      <c r="I1850" s="10"/>
      <c r="J1850" s="10"/>
      <c r="K1850" s="10"/>
    </row>
    <row r="1851" hidden="1">
      <c r="A1851" s="531" t="s">
        <v>13672</v>
      </c>
      <c r="B1851" s="531">
        <v>6732.0</v>
      </c>
      <c r="C1851" s="11" t="s">
        <v>11095</v>
      </c>
      <c r="D1851" s="533">
        <v>0.8</v>
      </c>
      <c r="E1851" s="533">
        <v>0.8</v>
      </c>
      <c r="F1851" s="11" t="s">
        <v>1656</v>
      </c>
      <c r="G1851" s="10"/>
      <c r="H1851" s="11" t="s">
        <v>11096</v>
      </c>
      <c r="I1851" s="10"/>
      <c r="J1851" s="10"/>
      <c r="K1851" s="10"/>
    </row>
    <row r="1852" hidden="1">
      <c r="A1852" s="531" t="s">
        <v>13673</v>
      </c>
      <c r="B1852" s="531">
        <v>986.0</v>
      </c>
      <c r="C1852" s="11" t="s">
        <v>11095</v>
      </c>
      <c r="D1852" s="533">
        <v>0.85</v>
      </c>
      <c r="E1852" s="533">
        <v>0.85</v>
      </c>
      <c r="F1852" s="11" t="s">
        <v>1656</v>
      </c>
      <c r="G1852" s="10"/>
      <c r="H1852" s="11" t="s">
        <v>11096</v>
      </c>
      <c r="I1852" s="10"/>
      <c r="J1852" s="10"/>
      <c r="K1852" s="10"/>
    </row>
    <row r="1853" hidden="1">
      <c r="A1853" s="531" t="s">
        <v>13674</v>
      </c>
      <c r="B1853" s="531">
        <v>2345.0</v>
      </c>
      <c r="C1853" s="11" t="s">
        <v>11095</v>
      </c>
      <c r="D1853" s="533">
        <v>0.9</v>
      </c>
      <c r="E1853" s="533">
        <v>0.9</v>
      </c>
      <c r="F1853" s="11" t="s">
        <v>1656</v>
      </c>
      <c r="G1853" s="10"/>
      <c r="H1853" s="11" t="s">
        <v>11096</v>
      </c>
      <c r="I1853" s="10"/>
      <c r="J1853" s="10"/>
      <c r="K1853" s="10"/>
    </row>
    <row r="1854" hidden="1">
      <c r="A1854" s="531" t="s">
        <v>13675</v>
      </c>
      <c r="B1854" s="531">
        <v>6732.0</v>
      </c>
      <c r="C1854" s="11" t="s">
        <v>11095</v>
      </c>
      <c r="D1854" s="533">
        <v>0.8</v>
      </c>
      <c r="E1854" s="533">
        <v>0.8</v>
      </c>
      <c r="F1854" s="11" t="s">
        <v>1656</v>
      </c>
      <c r="G1854" s="10"/>
      <c r="H1854" s="11" t="s">
        <v>11096</v>
      </c>
      <c r="I1854" s="10"/>
      <c r="J1854" s="10"/>
      <c r="K1854" s="10"/>
    </row>
    <row r="1855" hidden="1">
      <c r="A1855" s="531" t="s">
        <v>13676</v>
      </c>
      <c r="B1855" s="531">
        <v>986.0</v>
      </c>
      <c r="C1855" s="11" t="s">
        <v>11095</v>
      </c>
      <c r="D1855" s="533">
        <v>0.85</v>
      </c>
      <c r="E1855" s="533">
        <v>0.85</v>
      </c>
      <c r="F1855" s="11" t="s">
        <v>1656</v>
      </c>
      <c r="G1855" s="10"/>
      <c r="H1855" s="11" t="s">
        <v>11096</v>
      </c>
      <c r="I1855" s="10"/>
      <c r="J1855" s="10"/>
      <c r="K1855" s="10"/>
    </row>
    <row r="1856" hidden="1">
      <c r="A1856" s="531" t="s">
        <v>13677</v>
      </c>
      <c r="B1856" s="531">
        <v>7092.0</v>
      </c>
      <c r="C1856" s="11" t="s">
        <v>11095</v>
      </c>
      <c r="D1856" s="533">
        <v>0.85</v>
      </c>
      <c r="E1856" s="533">
        <v>0.85</v>
      </c>
      <c r="F1856" s="11" t="s">
        <v>1656</v>
      </c>
      <c r="G1856" s="10"/>
      <c r="H1856" s="11" t="s">
        <v>11096</v>
      </c>
      <c r="I1856" s="10"/>
      <c r="J1856" s="10"/>
      <c r="K1856" s="10"/>
    </row>
    <row r="1857" hidden="1">
      <c r="A1857" s="531" t="s">
        <v>13678</v>
      </c>
      <c r="B1857" s="531">
        <v>2345.0</v>
      </c>
      <c r="C1857" s="11" t="s">
        <v>11095</v>
      </c>
      <c r="D1857" s="533">
        <v>0.9</v>
      </c>
      <c r="E1857" s="533">
        <v>0.9</v>
      </c>
      <c r="F1857" s="11" t="s">
        <v>1656</v>
      </c>
      <c r="G1857" s="10"/>
      <c r="H1857" s="11" t="s">
        <v>11096</v>
      </c>
      <c r="I1857" s="10"/>
      <c r="J1857" s="10"/>
      <c r="K1857" s="10"/>
    </row>
    <row r="1858" hidden="1">
      <c r="A1858" s="531" t="s">
        <v>13679</v>
      </c>
      <c r="B1858" s="531">
        <v>2345.0</v>
      </c>
      <c r="C1858" s="11" t="s">
        <v>11095</v>
      </c>
      <c r="D1858" s="533">
        <v>0.9</v>
      </c>
      <c r="E1858" s="533">
        <v>0.9</v>
      </c>
      <c r="F1858" s="11" t="s">
        <v>1656</v>
      </c>
      <c r="G1858" s="10"/>
      <c r="H1858" s="11" t="s">
        <v>11096</v>
      </c>
      <c r="I1858" s="10"/>
      <c r="J1858" s="10"/>
      <c r="K1858" s="10"/>
    </row>
    <row r="1859" hidden="1">
      <c r="A1859" s="531" t="s">
        <v>13680</v>
      </c>
      <c r="B1859" s="531">
        <v>2345.0</v>
      </c>
      <c r="C1859" s="11" t="s">
        <v>11095</v>
      </c>
      <c r="D1859" s="533">
        <v>0.9</v>
      </c>
      <c r="E1859" s="533">
        <v>0.9</v>
      </c>
      <c r="F1859" s="11" t="s">
        <v>1656</v>
      </c>
      <c r="G1859" s="10"/>
      <c r="H1859" s="11" t="s">
        <v>11096</v>
      </c>
      <c r="I1859" s="10"/>
      <c r="J1859" s="10"/>
      <c r="K1859" s="10"/>
    </row>
    <row r="1860" hidden="1">
      <c r="A1860" s="531" t="s">
        <v>13681</v>
      </c>
      <c r="B1860" s="531">
        <v>2345.0</v>
      </c>
      <c r="C1860" s="11" t="s">
        <v>11095</v>
      </c>
      <c r="D1860" s="533">
        <v>0.9</v>
      </c>
      <c r="E1860" s="533">
        <v>0.9</v>
      </c>
      <c r="F1860" s="11" t="s">
        <v>1656</v>
      </c>
      <c r="G1860" s="10"/>
      <c r="H1860" s="11" t="s">
        <v>11096</v>
      </c>
      <c r="I1860" s="10"/>
      <c r="J1860" s="10"/>
      <c r="K1860" s="10"/>
    </row>
    <row r="1861" hidden="1">
      <c r="A1861" s="531" t="s">
        <v>13682</v>
      </c>
      <c r="B1861" s="531">
        <v>6732.0</v>
      </c>
      <c r="C1861" s="11" t="s">
        <v>11095</v>
      </c>
      <c r="D1861" s="533">
        <v>0.8</v>
      </c>
      <c r="E1861" s="533">
        <v>0.8</v>
      </c>
      <c r="F1861" s="11" t="s">
        <v>1656</v>
      </c>
      <c r="G1861" s="10"/>
      <c r="H1861" s="11" t="s">
        <v>11096</v>
      </c>
      <c r="I1861" s="10"/>
      <c r="J1861" s="10"/>
      <c r="K1861" s="10"/>
    </row>
    <row r="1862" hidden="1">
      <c r="A1862" s="531" t="s">
        <v>13683</v>
      </c>
      <c r="B1862" s="531">
        <v>7073.0</v>
      </c>
      <c r="C1862" s="11" t="s">
        <v>11095</v>
      </c>
      <c r="D1862" s="533">
        <v>0.75</v>
      </c>
      <c r="E1862" s="533">
        <v>0.75</v>
      </c>
      <c r="F1862" s="11" t="s">
        <v>1656</v>
      </c>
      <c r="G1862" s="10"/>
      <c r="H1862" s="11" t="s">
        <v>11096</v>
      </c>
      <c r="I1862" s="10"/>
      <c r="J1862" s="10"/>
      <c r="K1862" s="10"/>
    </row>
    <row r="1863" hidden="1">
      <c r="A1863" s="531" t="s">
        <v>13684</v>
      </c>
      <c r="B1863" s="531">
        <v>986.0</v>
      </c>
      <c r="C1863" s="11" t="s">
        <v>11095</v>
      </c>
      <c r="D1863" s="533">
        <v>0.85</v>
      </c>
      <c r="E1863" s="533">
        <v>0.85</v>
      </c>
      <c r="F1863" s="11" t="s">
        <v>1656</v>
      </c>
      <c r="G1863" s="10"/>
      <c r="H1863" s="11" t="s">
        <v>11096</v>
      </c>
      <c r="I1863" s="10"/>
      <c r="J1863" s="10"/>
      <c r="K1863" s="10"/>
    </row>
    <row r="1864" hidden="1">
      <c r="A1864" s="531" t="s">
        <v>13685</v>
      </c>
      <c r="B1864" s="531">
        <v>2345.0</v>
      </c>
      <c r="C1864" s="11" t="s">
        <v>11095</v>
      </c>
      <c r="D1864" s="533">
        <v>0.9</v>
      </c>
      <c r="E1864" s="533">
        <v>0.9</v>
      </c>
      <c r="F1864" s="11" t="s">
        <v>1656</v>
      </c>
      <c r="G1864" s="10"/>
      <c r="H1864" s="11" t="s">
        <v>11096</v>
      </c>
      <c r="I1864" s="10"/>
      <c r="J1864" s="10"/>
      <c r="K1864" s="10"/>
    </row>
    <row r="1865" hidden="1">
      <c r="A1865" s="531" t="s">
        <v>13686</v>
      </c>
      <c r="B1865" s="531">
        <v>189.0</v>
      </c>
      <c r="C1865" s="11" t="s">
        <v>11095</v>
      </c>
      <c r="D1865" s="533">
        <v>0.88</v>
      </c>
      <c r="E1865" s="533">
        <v>0.88</v>
      </c>
      <c r="F1865" s="11" t="s">
        <v>1656</v>
      </c>
      <c r="G1865" s="10"/>
      <c r="H1865" s="11" t="s">
        <v>11096</v>
      </c>
      <c r="I1865" s="10"/>
      <c r="J1865" s="10"/>
      <c r="K1865" s="10"/>
    </row>
    <row r="1866" hidden="1">
      <c r="A1866" s="531" t="s">
        <v>13687</v>
      </c>
      <c r="B1866" s="531">
        <v>6972.0</v>
      </c>
      <c r="C1866" s="11" t="s">
        <v>11095</v>
      </c>
      <c r="D1866" s="533">
        <v>0.75</v>
      </c>
      <c r="E1866" s="533">
        <v>0.75</v>
      </c>
      <c r="F1866" s="11" t="s">
        <v>1656</v>
      </c>
      <c r="G1866" s="10"/>
      <c r="H1866" s="11" t="s">
        <v>11096</v>
      </c>
      <c r="I1866" s="10"/>
      <c r="J1866" s="10"/>
      <c r="K1866" s="10"/>
    </row>
    <row r="1867" hidden="1">
      <c r="A1867" s="531" t="s">
        <v>13688</v>
      </c>
      <c r="B1867" s="531">
        <v>986.0</v>
      </c>
      <c r="C1867" s="11" t="s">
        <v>11095</v>
      </c>
      <c r="D1867" s="533">
        <v>0.85</v>
      </c>
      <c r="E1867" s="533">
        <v>0.85</v>
      </c>
      <c r="F1867" s="11" t="s">
        <v>1656</v>
      </c>
      <c r="G1867" s="10"/>
      <c r="H1867" s="11" t="s">
        <v>11096</v>
      </c>
      <c r="I1867" s="10"/>
      <c r="J1867" s="10"/>
      <c r="K1867" s="10"/>
    </row>
    <row r="1868" hidden="1">
      <c r="A1868" s="531" t="s">
        <v>13689</v>
      </c>
      <c r="B1868" s="531">
        <v>2345.0</v>
      </c>
      <c r="C1868" s="11" t="s">
        <v>11095</v>
      </c>
      <c r="D1868" s="533">
        <v>0.9</v>
      </c>
      <c r="E1868" s="533">
        <v>0.9</v>
      </c>
      <c r="F1868" s="11" t="s">
        <v>1656</v>
      </c>
      <c r="G1868" s="10"/>
      <c r="H1868" s="11" t="s">
        <v>11096</v>
      </c>
      <c r="I1868" s="10"/>
      <c r="J1868" s="10"/>
      <c r="K1868" s="10"/>
    </row>
    <row r="1869" hidden="1">
      <c r="A1869" s="531" t="s">
        <v>13690</v>
      </c>
      <c r="B1869" s="531">
        <v>986.0</v>
      </c>
      <c r="C1869" s="11" t="s">
        <v>11095</v>
      </c>
      <c r="D1869" s="533">
        <v>0.85</v>
      </c>
      <c r="E1869" s="533">
        <v>0.85</v>
      </c>
      <c r="F1869" s="11" t="s">
        <v>1656</v>
      </c>
      <c r="G1869" s="10"/>
      <c r="H1869" s="11" t="s">
        <v>11096</v>
      </c>
      <c r="I1869" s="10"/>
      <c r="J1869" s="10"/>
      <c r="K1869" s="10"/>
    </row>
    <row r="1870" hidden="1">
      <c r="A1870" s="531" t="s">
        <v>13691</v>
      </c>
      <c r="B1870" s="531">
        <v>6909.0</v>
      </c>
      <c r="C1870" s="11" t="s">
        <v>11095</v>
      </c>
      <c r="D1870" s="533">
        <v>0.75</v>
      </c>
      <c r="E1870" s="533">
        <v>0.75</v>
      </c>
      <c r="F1870" s="11" t="s">
        <v>1656</v>
      </c>
      <c r="G1870" s="10"/>
      <c r="H1870" s="11" t="s">
        <v>11096</v>
      </c>
      <c r="I1870" s="10"/>
      <c r="J1870" s="10"/>
      <c r="K1870" s="10"/>
    </row>
    <row r="1871" hidden="1">
      <c r="A1871" s="531" t="s">
        <v>13692</v>
      </c>
      <c r="B1871" s="531">
        <v>986.0</v>
      </c>
      <c r="C1871" s="11" t="s">
        <v>11095</v>
      </c>
      <c r="D1871" s="533">
        <v>0.85</v>
      </c>
      <c r="E1871" s="533">
        <v>0.85</v>
      </c>
      <c r="F1871" s="11" t="s">
        <v>1656</v>
      </c>
      <c r="G1871" s="10"/>
      <c r="H1871" s="11" t="s">
        <v>11096</v>
      </c>
      <c r="I1871" s="10"/>
      <c r="J1871" s="10"/>
      <c r="K1871" s="10"/>
    </row>
    <row r="1872" hidden="1">
      <c r="A1872" s="531" t="s">
        <v>13693</v>
      </c>
      <c r="B1872" s="531">
        <v>285.0</v>
      </c>
      <c r="C1872" s="11" t="s">
        <v>11095</v>
      </c>
      <c r="D1872" s="533">
        <v>0.88</v>
      </c>
      <c r="E1872" s="533">
        <v>0.88</v>
      </c>
      <c r="F1872" s="11" t="s">
        <v>1656</v>
      </c>
      <c r="G1872" s="10"/>
      <c r="H1872" s="11" t="s">
        <v>11096</v>
      </c>
      <c r="I1872" s="10"/>
      <c r="J1872" s="10"/>
      <c r="K1872" s="10"/>
    </row>
    <row r="1873" hidden="1">
      <c r="A1873" s="531" t="s">
        <v>13694</v>
      </c>
      <c r="B1873" s="531">
        <v>2345.0</v>
      </c>
      <c r="C1873" s="11" t="s">
        <v>11095</v>
      </c>
      <c r="D1873" s="533">
        <v>0.9</v>
      </c>
      <c r="E1873" s="533">
        <v>0.9</v>
      </c>
      <c r="F1873" s="11" t="s">
        <v>1656</v>
      </c>
      <c r="G1873" s="10"/>
      <c r="H1873" s="11" t="s">
        <v>11096</v>
      </c>
      <c r="I1873" s="10"/>
      <c r="J1873" s="10"/>
      <c r="K1873" s="10"/>
    </row>
    <row r="1874" hidden="1">
      <c r="A1874" s="531" t="s">
        <v>13695</v>
      </c>
      <c r="B1874" s="531">
        <v>2345.0</v>
      </c>
      <c r="C1874" s="11" t="s">
        <v>11095</v>
      </c>
      <c r="D1874" s="533">
        <v>0.9</v>
      </c>
      <c r="E1874" s="533">
        <v>0.9</v>
      </c>
      <c r="F1874" s="11" t="s">
        <v>1656</v>
      </c>
      <c r="G1874" s="10"/>
      <c r="H1874" s="11" t="s">
        <v>11096</v>
      </c>
      <c r="I1874" s="10"/>
      <c r="J1874" s="10"/>
      <c r="K1874" s="10"/>
    </row>
    <row r="1875" hidden="1">
      <c r="A1875" s="531" t="s">
        <v>13696</v>
      </c>
      <c r="B1875" s="531">
        <v>285.0</v>
      </c>
      <c r="C1875" s="11" t="s">
        <v>11095</v>
      </c>
      <c r="D1875" s="533">
        <v>0.88</v>
      </c>
      <c r="E1875" s="533">
        <v>0.88</v>
      </c>
      <c r="F1875" s="11" t="s">
        <v>1656</v>
      </c>
      <c r="G1875" s="10"/>
      <c r="H1875" s="11" t="s">
        <v>11096</v>
      </c>
      <c r="I1875" s="10"/>
      <c r="J1875" s="10"/>
      <c r="K1875" s="10"/>
    </row>
    <row r="1876" hidden="1">
      <c r="A1876" s="531" t="s">
        <v>13697</v>
      </c>
      <c r="B1876" s="531">
        <v>6919.0</v>
      </c>
      <c r="C1876" s="11" t="s">
        <v>11095</v>
      </c>
      <c r="D1876" s="533">
        <v>0.75</v>
      </c>
      <c r="E1876" s="533">
        <v>0.75</v>
      </c>
      <c r="F1876" s="11" t="s">
        <v>1656</v>
      </c>
      <c r="G1876" s="10"/>
      <c r="H1876" s="11" t="s">
        <v>11096</v>
      </c>
      <c r="I1876" s="10"/>
      <c r="J1876" s="10"/>
      <c r="K1876" s="10"/>
    </row>
    <row r="1877" hidden="1">
      <c r="A1877" s="531" t="s">
        <v>13698</v>
      </c>
      <c r="B1877" s="531">
        <v>2345.0</v>
      </c>
      <c r="C1877" s="11" t="s">
        <v>11095</v>
      </c>
      <c r="D1877" s="533">
        <v>0.9</v>
      </c>
      <c r="E1877" s="533">
        <v>0.9</v>
      </c>
      <c r="F1877" s="11" t="s">
        <v>1656</v>
      </c>
      <c r="G1877" s="10"/>
      <c r="H1877" s="11" t="s">
        <v>11096</v>
      </c>
      <c r="I1877" s="10"/>
      <c r="J1877" s="10"/>
      <c r="K1877" s="10"/>
    </row>
    <row r="1878" hidden="1">
      <c r="A1878" s="531" t="s">
        <v>13699</v>
      </c>
      <c r="B1878" s="531">
        <v>6713.0</v>
      </c>
      <c r="C1878" s="11" t="s">
        <v>11095</v>
      </c>
      <c r="D1878" s="533">
        <v>0.75</v>
      </c>
      <c r="E1878" s="533">
        <v>0.75</v>
      </c>
      <c r="F1878" s="11" t="s">
        <v>1656</v>
      </c>
      <c r="G1878" s="10"/>
      <c r="H1878" s="11" t="s">
        <v>11096</v>
      </c>
      <c r="I1878" s="10"/>
      <c r="J1878" s="10"/>
      <c r="K1878" s="10"/>
    </row>
    <row r="1879" hidden="1">
      <c r="A1879" s="531" t="s">
        <v>13700</v>
      </c>
      <c r="B1879" s="531">
        <v>285.0</v>
      </c>
      <c r="C1879" s="11" t="s">
        <v>11095</v>
      </c>
      <c r="D1879" s="533">
        <v>0.88</v>
      </c>
      <c r="E1879" s="533">
        <v>0.88</v>
      </c>
      <c r="F1879" s="11" t="s">
        <v>1656</v>
      </c>
      <c r="G1879" s="10"/>
      <c r="H1879" s="11" t="s">
        <v>11096</v>
      </c>
      <c r="I1879" s="10"/>
      <c r="J1879" s="10"/>
      <c r="K1879" s="10"/>
    </row>
    <row r="1880" hidden="1">
      <c r="A1880" s="531" t="s">
        <v>13701</v>
      </c>
      <c r="B1880" s="531">
        <v>5458.0</v>
      </c>
      <c r="C1880" s="11" t="s">
        <v>11095</v>
      </c>
      <c r="D1880" s="533">
        <v>0.75</v>
      </c>
      <c r="E1880" s="533">
        <v>0.75</v>
      </c>
      <c r="F1880" s="11" t="s">
        <v>1656</v>
      </c>
      <c r="G1880" s="10"/>
      <c r="H1880" s="11" t="s">
        <v>11096</v>
      </c>
      <c r="I1880" s="10"/>
      <c r="J1880" s="10"/>
      <c r="K1880" s="10"/>
    </row>
    <row r="1881" hidden="1">
      <c r="A1881" s="531" t="s">
        <v>13702</v>
      </c>
      <c r="B1881" s="531">
        <v>7008.0</v>
      </c>
      <c r="C1881" s="11" t="s">
        <v>11095</v>
      </c>
      <c r="D1881" s="533">
        <v>0.75</v>
      </c>
      <c r="E1881" s="533">
        <v>0.75</v>
      </c>
      <c r="F1881" s="11" t="s">
        <v>1656</v>
      </c>
      <c r="G1881" s="10"/>
      <c r="H1881" s="11" t="s">
        <v>11096</v>
      </c>
      <c r="I1881" s="10"/>
      <c r="J1881" s="10"/>
      <c r="K1881" s="10"/>
    </row>
    <row r="1882" hidden="1">
      <c r="A1882" s="531" t="s">
        <v>13703</v>
      </c>
      <c r="B1882" s="531">
        <v>6909.0</v>
      </c>
      <c r="C1882" s="11" t="s">
        <v>11095</v>
      </c>
      <c r="D1882" s="533">
        <v>0.75</v>
      </c>
      <c r="E1882" s="533">
        <v>0.75</v>
      </c>
      <c r="F1882" s="11" t="s">
        <v>1656</v>
      </c>
      <c r="G1882" s="10"/>
      <c r="H1882" s="11" t="s">
        <v>11096</v>
      </c>
      <c r="I1882" s="10"/>
      <c r="J1882" s="10"/>
      <c r="K1882" s="10"/>
    </row>
    <row r="1883" hidden="1">
      <c r="A1883" s="531" t="s">
        <v>13704</v>
      </c>
      <c r="B1883" s="531">
        <v>285.0</v>
      </c>
      <c r="C1883" s="11" t="s">
        <v>11095</v>
      </c>
      <c r="D1883" s="533">
        <v>0.88</v>
      </c>
      <c r="E1883" s="533">
        <v>0.88</v>
      </c>
      <c r="F1883" s="11" t="s">
        <v>1656</v>
      </c>
      <c r="G1883" s="10"/>
      <c r="H1883" s="11" t="s">
        <v>11096</v>
      </c>
      <c r="I1883" s="10"/>
      <c r="J1883" s="10"/>
      <c r="K1883" s="10"/>
    </row>
    <row r="1884" hidden="1">
      <c r="A1884" s="531" t="s">
        <v>13705</v>
      </c>
      <c r="B1884" s="531">
        <v>986.0</v>
      </c>
      <c r="C1884" s="11" t="s">
        <v>11095</v>
      </c>
      <c r="D1884" s="533">
        <v>0.85</v>
      </c>
      <c r="E1884" s="533">
        <v>0.85</v>
      </c>
      <c r="F1884" s="11" t="s">
        <v>1656</v>
      </c>
      <c r="G1884" s="10"/>
      <c r="H1884" s="11" t="s">
        <v>11096</v>
      </c>
      <c r="I1884" s="10"/>
      <c r="J1884" s="10"/>
      <c r="K1884" s="10"/>
    </row>
    <row r="1885" hidden="1">
      <c r="A1885" s="531" t="s">
        <v>13706</v>
      </c>
      <c r="B1885" s="531">
        <v>285.0</v>
      </c>
      <c r="C1885" s="11" t="s">
        <v>11095</v>
      </c>
      <c r="D1885" s="533">
        <v>0.88</v>
      </c>
      <c r="E1885" s="533">
        <v>0.88</v>
      </c>
      <c r="F1885" s="11" t="s">
        <v>1656</v>
      </c>
      <c r="G1885" s="10"/>
      <c r="H1885" s="11" t="s">
        <v>11096</v>
      </c>
      <c r="I1885" s="10"/>
      <c r="J1885" s="10"/>
      <c r="K1885" s="10"/>
    </row>
    <row r="1886" hidden="1">
      <c r="A1886" s="531" t="s">
        <v>13707</v>
      </c>
      <c r="B1886" s="531">
        <v>6732.0</v>
      </c>
      <c r="C1886" s="11" t="s">
        <v>11095</v>
      </c>
      <c r="D1886" s="533">
        <v>0.8</v>
      </c>
      <c r="E1886" s="533">
        <v>0.8</v>
      </c>
      <c r="F1886" s="11" t="s">
        <v>1656</v>
      </c>
      <c r="G1886" s="10"/>
      <c r="H1886" s="11" t="s">
        <v>11096</v>
      </c>
      <c r="I1886" s="10"/>
      <c r="J1886" s="10"/>
      <c r="K1886" s="10"/>
    </row>
    <row r="1887" hidden="1">
      <c r="A1887" s="531" t="s">
        <v>13708</v>
      </c>
      <c r="B1887" s="531">
        <v>6732.0</v>
      </c>
      <c r="C1887" s="11" t="s">
        <v>11095</v>
      </c>
      <c r="D1887" s="533">
        <v>0.8</v>
      </c>
      <c r="E1887" s="533">
        <v>0.8</v>
      </c>
      <c r="F1887" s="11" t="s">
        <v>1656</v>
      </c>
      <c r="G1887" s="10"/>
      <c r="H1887" s="11" t="s">
        <v>11096</v>
      </c>
      <c r="I1887" s="10"/>
      <c r="J1887" s="10"/>
      <c r="K1887" s="10"/>
    </row>
    <row r="1888" hidden="1">
      <c r="A1888" s="531" t="s">
        <v>13709</v>
      </c>
      <c r="B1888" s="531">
        <v>2345.0</v>
      </c>
      <c r="C1888" s="11" t="s">
        <v>11095</v>
      </c>
      <c r="D1888" s="533">
        <v>0.9</v>
      </c>
      <c r="E1888" s="533">
        <v>0.9</v>
      </c>
      <c r="F1888" s="11" t="s">
        <v>1656</v>
      </c>
      <c r="G1888" s="10"/>
      <c r="H1888" s="11" t="s">
        <v>11096</v>
      </c>
      <c r="I1888" s="10"/>
      <c r="J1888" s="10"/>
      <c r="K1888" s="10"/>
    </row>
    <row r="1889" hidden="1">
      <c r="A1889" s="531" t="s">
        <v>13710</v>
      </c>
      <c r="B1889" s="531">
        <v>6732.0</v>
      </c>
      <c r="C1889" s="11" t="s">
        <v>11095</v>
      </c>
      <c r="D1889" s="533">
        <v>0.8</v>
      </c>
      <c r="E1889" s="533">
        <v>0.8</v>
      </c>
      <c r="F1889" s="11" t="s">
        <v>1656</v>
      </c>
      <c r="G1889" s="10"/>
      <c r="H1889" s="11" t="s">
        <v>11096</v>
      </c>
      <c r="I1889" s="10"/>
      <c r="J1889" s="10"/>
      <c r="K1889" s="10"/>
    </row>
    <row r="1890" hidden="1">
      <c r="A1890" s="531" t="s">
        <v>13711</v>
      </c>
      <c r="B1890" s="531">
        <v>986.0</v>
      </c>
      <c r="C1890" s="11" t="s">
        <v>11095</v>
      </c>
      <c r="D1890" s="533">
        <v>0.85</v>
      </c>
      <c r="E1890" s="533">
        <v>0.85</v>
      </c>
      <c r="F1890" s="11" t="s">
        <v>1656</v>
      </c>
      <c r="G1890" s="10"/>
      <c r="H1890" s="11" t="s">
        <v>11096</v>
      </c>
      <c r="I1890" s="10"/>
      <c r="J1890" s="10"/>
      <c r="K1890" s="10"/>
    </row>
    <row r="1891" hidden="1">
      <c r="A1891" s="531" t="s">
        <v>13712</v>
      </c>
      <c r="B1891" s="531">
        <v>2345.0</v>
      </c>
      <c r="C1891" s="11" t="s">
        <v>11095</v>
      </c>
      <c r="D1891" s="533">
        <v>0.9</v>
      </c>
      <c r="E1891" s="533">
        <v>0.9</v>
      </c>
      <c r="F1891" s="11" t="s">
        <v>1656</v>
      </c>
      <c r="G1891" s="10"/>
      <c r="H1891" s="11" t="s">
        <v>11096</v>
      </c>
      <c r="I1891" s="10"/>
      <c r="J1891" s="10"/>
      <c r="K1891" s="10"/>
    </row>
    <row r="1892" hidden="1">
      <c r="A1892" s="531" t="s">
        <v>13713</v>
      </c>
      <c r="B1892" s="531">
        <v>2345.0</v>
      </c>
      <c r="C1892" s="11" t="s">
        <v>11095</v>
      </c>
      <c r="D1892" s="533">
        <v>0.9</v>
      </c>
      <c r="E1892" s="533">
        <v>0.9</v>
      </c>
      <c r="F1892" s="11" t="s">
        <v>1656</v>
      </c>
      <c r="G1892" s="10"/>
      <c r="H1892" s="11" t="s">
        <v>11096</v>
      </c>
      <c r="I1892" s="10"/>
      <c r="J1892" s="10"/>
      <c r="K1892" s="10"/>
    </row>
    <row r="1893" hidden="1">
      <c r="A1893" s="531" t="s">
        <v>13714</v>
      </c>
      <c r="B1893" s="531">
        <v>2345.0</v>
      </c>
      <c r="C1893" s="11" t="s">
        <v>11095</v>
      </c>
      <c r="D1893" s="533">
        <v>0.9</v>
      </c>
      <c r="E1893" s="533">
        <v>0.9</v>
      </c>
      <c r="F1893" s="11" t="s">
        <v>1656</v>
      </c>
      <c r="G1893" s="10"/>
      <c r="H1893" s="11" t="s">
        <v>11096</v>
      </c>
      <c r="I1893" s="10"/>
      <c r="J1893" s="10"/>
      <c r="K1893" s="10"/>
    </row>
    <row r="1894" hidden="1">
      <c r="A1894" s="531" t="s">
        <v>13715</v>
      </c>
      <c r="B1894" s="531">
        <v>6767.0</v>
      </c>
      <c r="C1894" s="11" t="s">
        <v>11095</v>
      </c>
      <c r="D1894" s="533">
        <v>0.75</v>
      </c>
      <c r="E1894" s="533">
        <v>0.75</v>
      </c>
      <c r="F1894" s="11" t="s">
        <v>1656</v>
      </c>
      <c r="G1894" s="10"/>
      <c r="H1894" s="11" t="s">
        <v>11096</v>
      </c>
      <c r="I1894" s="10"/>
      <c r="J1894" s="10"/>
      <c r="K1894" s="10"/>
    </row>
    <row r="1895" hidden="1">
      <c r="A1895" s="531" t="s">
        <v>13716</v>
      </c>
      <c r="B1895" s="531">
        <v>6732.0</v>
      </c>
      <c r="C1895" s="11" t="s">
        <v>11095</v>
      </c>
      <c r="D1895" s="533">
        <v>0.8</v>
      </c>
      <c r="E1895" s="533">
        <v>0.8</v>
      </c>
      <c r="F1895" s="11" t="s">
        <v>1656</v>
      </c>
      <c r="G1895" s="10"/>
      <c r="H1895" s="11" t="s">
        <v>11096</v>
      </c>
      <c r="I1895" s="10"/>
      <c r="J1895" s="10"/>
      <c r="K1895" s="10"/>
    </row>
    <row r="1896" hidden="1">
      <c r="A1896" s="531" t="s">
        <v>13717</v>
      </c>
      <c r="B1896" s="531">
        <v>986.0</v>
      </c>
      <c r="C1896" s="11" t="s">
        <v>11095</v>
      </c>
      <c r="D1896" s="533">
        <v>0.85</v>
      </c>
      <c r="E1896" s="533">
        <v>0.85</v>
      </c>
      <c r="F1896" s="11" t="s">
        <v>1656</v>
      </c>
      <c r="G1896" s="10"/>
      <c r="H1896" s="11" t="s">
        <v>11096</v>
      </c>
      <c r="I1896" s="10"/>
      <c r="J1896" s="10"/>
      <c r="K1896" s="10"/>
    </row>
    <row r="1897" hidden="1">
      <c r="A1897" s="531" t="s">
        <v>13718</v>
      </c>
      <c r="B1897" s="531">
        <v>2345.0</v>
      </c>
      <c r="C1897" s="11" t="s">
        <v>11095</v>
      </c>
      <c r="D1897" s="533">
        <v>0.9</v>
      </c>
      <c r="E1897" s="533">
        <v>0.9</v>
      </c>
      <c r="F1897" s="11" t="s">
        <v>1656</v>
      </c>
      <c r="G1897" s="10"/>
      <c r="H1897" s="11" t="s">
        <v>11096</v>
      </c>
      <c r="I1897" s="10"/>
      <c r="J1897" s="10"/>
      <c r="K1897" s="10"/>
    </row>
    <row r="1898" hidden="1">
      <c r="A1898" s="531" t="s">
        <v>13719</v>
      </c>
      <c r="B1898" s="531">
        <v>2345.0</v>
      </c>
      <c r="C1898" s="11" t="s">
        <v>11095</v>
      </c>
      <c r="D1898" s="533">
        <v>0.9</v>
      </c>
      <c r="E1898" s="533">
        <v>0.9</v>
      </c>
      <c r="F1898" s="11" t="s">
        <v>1656</v>
      </c>
      <c r="G1898" s="10"/>
      <c r="H1898" s="11" t="s">
        <v>11096</v>
      </c>
      <c r="I1898" s="10"/>
      <c r="J1898" s="10"/>
      <c r="K1898" s="10"/>
    </row>
    <row r="1899" hidden="1">
      <c r="A1899" s="531" t="s">
        <v>13720</v>
      </c>
      <c r="B1899" s="531">
        <v>285.0</v>
      </c>
      <c r="C1899" s="11" t="s">
        <v>11095</v>
      </c>
      <c r="D1899" s="533">
        <v>0.88</v>
      </c>
      <c r="E1899" s="533">
        <v>0.88</v>
      </c>
      <c r="F1899" s="11" t="s">
        <v>1656</v>
      </c>
      <c r="G1899" s="10"/>
      <c r="H1899" s="11" t="s">
        <v>11096</v>
      </c>
      <c r="I1899" s="10"/>
      <c r="J1899" s="10"/>
      <c r="K1899" s="10"/>
    </row>
    <row r="1900" hidden="1">
      <c r="A1900" s="531" t="s">
        <v>13721</v>
      </c>
      <c r="B1900" s="531">
        <v>285.0</v>
      </c>
      <c r="C1900" s="11" t="s">
        <v>11095</v>
      </c>
      <c r="D1900" s="533">
        <v>0.88</v>
      </c>
      <c r="E1900" s="533">
        <v>0.88</v>
      </c>
      <c r="F1900" s="11" t="s">
        <v>1656</v>
      </c>
      <c r="G1900" s="10"/>
      <c r="H1900" s="11" t="s">
        <v>11096</v>
      </c>
      <c r="I1900" s="10"/>
      <c r="J1900" s="10"/>
      <c r="K1900" s="10"/>
    </row>
    <row r="1901" hidden="1">
      <c r="A1901" s="531" t="s">
        <v>13722</v>
      </c>
      <c r="B1901" s="531">
        <v>285.0</v>
      </c>
      <c r="C1901" s="11" t="s">
        <v>11095</v>
      </c>
      <c r="D1901" s="533">
        <v>0.88</v>
      </c>
      <c r="E1901" s="533">
        <v>0.88</v>
      </c>
      <c r="F1901" s="11" t="s">
        <v>1656</v>
      </c>
      <c r="G1901" s="10"/>
      <c r="H1901" s="11" t="s">
        <v>11096</v>
      </c>
      <c r="I1901" s="10"/>
      <c r="J1901" s="10"/>
      <c r="K1901" s="10"/>
    </row>
    <row r="1902" hidden="1">
      <c r="A1902" s="531" t="s">
        <v>13723</v>
      </c>
      <c r="B1902" s="531">
        <v>2345.0</v>
      </c>
      <c r="C1902" s="11" t="s">
        <v>11095</v>
      </c>
      <c r="D1902" s="533">
        <v>0.9</v>
      </c>
      <c r="E1902" s="533">
        <v>0.9</v>
      </c>
      <c r="F1902" s="11" t="s">
        <v>1656</v>
      </c>
      <c r="G1902" s="10"/>
      <c r="H1902" s="11" t="s">
        <v>11096</v>
      </c>
      <c r="I1902" s="10"/>
      <c r="J1902" s="10"/>
      <c r="K1902" s="10"/>
    </row>
    <row r="1903" hidden="1">
      <c r="A1903" s="531" t="s">
        <v>13724</v>
      </c>
      <c r="B1903" s="531">
        <v>2345.0</v>
      </c>
      <c r="C1903" s="11" t="s">
        <v>11095</v>
      </c>
      <c r="D1903" s="533">
        <v>0.9</v>
      </c>
      <c r="E1903" s="533">
        <v>0.9</v>
      </c>
      <c r="F1903" s="11" t="s">
        <v>1656</v>
      </c>
      <c r="G1903" s="10"/>
      <c r="H1903" s="11" t="s">
        <v>11096</v>
      </c>
      <c r="I1903" s="10"/>
      <c r="J1903" s="10"/>
      <c r="K1903" s="10"/>
    </row>
    <row r="1904" hidden="1">
      <c r="A1904" s="531" t="s">
        <v>13725</v>
      </c>
      <c r="B1904" s="531">
        <v>6732.0</v>
      </c>
      <c r="C1904" s="11" t="s">
        <v>11095</v>
      </c>
      <c r="D1904" s="533">
        <v>0.8</v>
      </c>
      <c r="E1904" s="533">
        <v>0.8</v>
      </c>
      <c r="F1904" s="11" t="s">
        <v>1656</v>
      </c>
      <c r="G1904" s="10"/>
      <c r="H1904" s="11" t="s">
        <v>11096</v>
      </c>
      <c r="I1904" s="10"/>
      <c r="J1904" s="10"/>
      <c r="K1904" s="10"/>
    </row>
    <row r="1905" hidden="1">
      <c r="A1905" s="531" t="s">
        <v>13726</v>
      </c>
      <c r="B1905" s="531">
        <v>285.0</v>
      </c>
      <c r="C1905" s="11" t="s">
        <v>11095</v>
      </c>
      <c r="D1905" s="533">
        <v>0.88</v>
      </c>
      <c r="E1905" s="533">
        <v>0.88</v>
      </c>
      <c r="F1905" s="11" t="s">
        <v>1656</v>
      </c>
      <c r="G1905" s="10"/>
      <c r="H1905" s="11" t="s">
        <v>11096</v>
      </c>
      <c r="I1905" s="10"/>
      <c r="J1905" s="10"/>
      <c r="K1905" s="10"/>
    </row>
    <row r="1906" hidden="1">
      <c r="A1906" s="531" t="s">
        <v>13727</v>
      </c>
      <c r="B1906" s="531">
        <v>6732.0</v>
      </c>
      <c r="C1906" s="11" t="s">
        <v>11095</v>
      </c>
      <c r="D1906" s="533">
        <v>0.8</v>
      </c>
      <c r="E1906" s="533">
        <v>0.8</v>
      </c>
      <c r="F1906" s="11" t="s">
        <v>1656</v>
      </c>
      <c r="G1906" s="10"/>
      <c r="H1906" s="11" t="s">
        <v>11096</v>
      </c>
      <c r="I1906" s="10"/>
      <c r="J1906" s="10"/>
      <c r="K1906" s="10"/>
    </row>
    <row r="1907" hidden="1">
      <c r="A1907" s="531" t="s">
        <v>13728</v>
      </c>
      <c r="B1907" s="531">
        <v>986.0</v>
      </c>
      <c r="C1907" s="11" t="s">
        <v>11095</v>
      </c>
      <c r="D1907" s="533">
        <v>0.85</v>
      </c>
      <c r="E1907" s="533">
        <v>0.85</v>
      </c>
      <c r="F1907" s="11" t="s">
        <v>1656</v>
      </c>
      <c r="G1907" s="10"/>
      <c r="H1907" s="11" t="s">
        <v>11096</v>
      </c>
      <c r="I1907" s="10"/>
      <c r="J1907" s="10"/>
      <c r="K1907" s="10"/>
    </row>
    <row r="1908" hidden="1">
      <c r="A1908" s="531" t="s">
        <v>13729</v>
      </c>
      <c r="B1908" s="531">
        <v>2345.0</v>
      </c>
      <c r="C1908" s="11" t="s">
        <v>11095</v>
      </c>
      <c r="D1908" s="533">
        <v>0.9</v>
      </c>
      <c r="E1908" s="533">
        <v>0.9</v>
      </c>
      <c r="F1908" s="11" t="s">
        <v>1656</v>
      </c>
      <c r="G1908" s="10"/>
      <c r="H1908" s="11" t="s">
        <v>11096</v>
      </c>
      <c r="I1908" s="10"/>
      <c r="J1908" s="10"/>
      <c r="K1908" s="10"/>
    </row>
    <row r="1909" hidden="1">
      <c r="A1909" s="531" t="s">
        <v>13730</v>
      </c>
      <c r="B1909" s="531">
        <v>285.0</v>
      </c>
      <c r="C1909" s="11" t="s">
        <v>11095</v>
      </c>
      <c r="D1909" s="533">
        <v>0.88</v>
      </c>
      <c r="E1909" s="533">
        <v>0.88</v>
      </c>
      <c r="F1909" s="11" t="s">
        <v>1656</v>
      </c>
      <c r="G1909" s="10"/>
      <c r="H1909" s="11" t="s">
        <v>11096</v>
      </c>
      <c r="I1909" s="10"/>
      <c r="J1909" s="10"/>
      <c r="K1909" s="10"/>
    </row>
    <row r="1910" hidden="1">
      <c r="A1910" s="531" t="s">
        <v>13731</v>
      </c>
      <c r="B1910" s="531">
        <v>14590.0</v>
      </c>
      <c r="C1910" s="11" t="s">
        <v>11298</v>
      </c>
      <c r="D1910" s="533">
        <v>0.9</v>
      </c>
      <c r="E1910" s="533">
        <v>0.9</v>
      </c>
      <c r="F1910" s="11" t="s">
        <v>1656</v>
      </c>
      <c r="G1910" s="10"/>
      <c r="H1910" s="11" t="s">
        <v>11299</v>
      </c>
      <c r="I1910" s="10"/>
      <c r="J1910" s="10"/>
      <c r="K1910" s="10"/>
    </row>
    <row r="1911" hidden="1">
      <c r="A1911" s="531" t="s">
        <v>13732</v>
      </c>
      <c r="B1911" s="531">
        <v>986.0</v>
      </c>
      <c r="C1911" s="11" t="s">
        <v>11095</v>
      </c>
      <c r="D1911" s="533">
        <v>0.85</v>
      </c>
      <c r="E1911" s="533">
        <v>0.85</v>
      </c>
      <c r="F1911" s="11" t="s">
        <v>1656</v>
      </c>
      <c r="G1911" s="10"/>
      <c r="H1911" s="11" t="s">
        <v>11096</v>
      </c>
      <c r="I1911" s="10"/>
      <c r="J1911" s="10"/>
      <c r="K1911" s="10"/>
    </row>
    <row r="1912" hidden="1">
      <c r="A1912" s="531" t="s">
        <v>13733</v>
      </c>
      <c r="B1912" s="531">
        <v>2345.0</v>
      </c>
      <c r="C1912" s="11" t="s">
        <v>11095</v>
      </c>
      <c r="D1912" s="533">
        <v>0.9</v>
      </c>
      <c r="E1912" s="533">
        <v>0.9</v>
      </c>
      <c r="F1912" s="11" t="s">
        <v>1656</v>
      </c>
      <c r="G1912" s="10"/>
      <c r="H1912" s="11" t="s">
        <v>11096</v>
      </c>
      <c r="I1912" s="10"/>
      <c r="J1912" s="10"/>
      <c r="K1912" s="10"/>
    </row>
    <row r="1913" hidden="1">
      <c r="A1913" s="531" t="s">
        <v>13734</v>
      </c>
      <c r="B1913" s="531">
        <v>285.0</v>
      </c>
      <c r="C1913" s="11" t="s">
        <v>11095</v>
      </c>
      <c r="D1913" s="533">
        <v>0.88</v>
      </c>
      <c r="E1913" s="533">
        <v>0.88</v>
      </c>
      <c r="F1913" s="11" t="s">
        <v>1656</v>
      </c>
      <c r="G1913" s="10"/>
      <c r="H1913" s="11" t="s">
        <v>11096</v>
      </c>
      <c r="I1913" s="10"/>
      <c r="J1913" s="10"/>
      <c r="K1913" s="10"/>
    </row>
    <row r="1914" hidden="1">
      <c r="A1914" s="531" t="s">
        <v>13735</v>
      </c>
      <c r="B1914" s="531">
        <v>2345.0</v>
      </c>
      <c r="C1914" s="11" t="s">
        <v>11095</v>
      </c>
      <c r="D1914" s="533">
        <v>0.9</v>
      </c>
      <c r="E1914" s="533">
        <v>0.9</v>
      </c>
      <c r="F1914" s="11" t="s">
        <v>1656</v>
      </c>
      <c r="G1914" s="10"/>
      <c r="H1914" s="11" t="s">
        <v>11096</v>
      </c>
      <c r="I1914" s="10"/>
      <c r="J1914" s="10"/>
      <c r="K1914" s="10"/>
    </row>
    <row r="1915" hidden="1">
      <c r="A1915" s="531" t="s">
        <v>13736</v>
      </c>
      <c r="B1915" s="531">
        <v>1334.0</v>
      </c>
      <c r="C1915" s="11" t="s">
        <v>11095</v>
      </c>
      <c r="D1915" s="533">
        <v>0.75</v>
      </c>
      <c r="E1915" s="533">
        <v>0.75</v>
      </c>
      <c r="F1915" s="11" t="s">
        <v>1656</v>
      </c>
      <c r="G1915" s="10"/>
      <c r="H1915" s="11" t="s">
        <v>11096</v>
      </c>
      <c r="I1915" s="10"/>
      <c r="J1915" s="10"/>
      <c r="K1915" s="10"/>
    </row>
    <row r="1916" hidden="1">
      <c r="A1916" s="531" t="s">
        <v>13737</v>
      </c>
      <c r="B1916" s="531">
        <v>7283.0</v>
      </c>
      <c r="C1916" s="11" t="s">
        <v>11095</v>
      </c>
      <c r="D1916" s="533">
        <v>0.75</v>
      </c>
      <c r="E1916" s="533">
        <v>0.75</v>
      </c>
      <c r="F1916" s="11" t="s">
        <v>1656</v>
      </c>
      <c r="G1916" s="10"/>
      <c r="H1916" s="11" t="s">
        <v>11096</v>
      </c>
      <c r="I1916" s="10"/>
      <c r="J1916" s="10"/>
      <c r="K1916" s="10"/>
    </row>
    <row r="1917" hidden="1">
      <c r="A1917" s="531" t="s">
        <v>13738</v>
      </c>
      <c r="B1917" s="531">
        <v>2345.0</v>
      </c>
      <c r="C1917" s="11" t="s">
        <v>11095</v>
      </c>
      <c r="D1917" s="533">
        <v>0.9</v>
      </c>
      <c r="E1917" s="533">
        <v>0.9</v>
      </c>
      <c r="F1917" s="11" t="s">
        <v>1656</v>
      </c>
      <c r="G1917" s="10"/>
      <c r="H1917" s="11" t="s">
        <v>11096</v>
      </c>
      <c r="I1917" s="10"/>
      <c r="J1917" s="10"/>
      <c r="K1917" s="10"/>
    </row>
    <row r="1918" hidden="1">
      <c r="A1918" s="531" t="s">
        <v>13739</v>
      </c>
      <c r="B1918" s="531">
        <v>2345.0</v>
      </c>
      <c r="C1918" s="11" t="s">
        <v>11095</v>
      </c>
      <c r="D1918" s="533">
        <v>0.9</v>
      </c>
      <c r="E1918" s="533">
        <v>0.9</v>
      </c>
      <c r="F1918" s="11" t="s">
        <v>1656</v>
      </c>
      <c r="G1918" s="10"/>
      <c r="H1918" s="11" t="s">
        <v>11096</v>
      </c>
      <c r="I1918" s="10"/>
      <c r="J1918" s="10"/>
      <c r="K1918" s="10"/>
    </row>
    <row r="1919" hidden="1">
      <c r="A1919" s="531" t="s">
        <v>13740</v>
      </c>
      <c r="B1919" s="531">
        <v>285.0</v>
      </c>
      <c r="C1919" s="11" t="s">
        <v>11095</v>
      </c>
      <c r="D1919" s="533">
        <v>0.88</v>
      </c>
      <c r="E1919" s="533">
        <v>0.88</v>
      </c>
      <c r="F1919" s="11" t="s">
        <v>1656</v>
      </c>
      <c r="G1919" s="10"/>
      <c r="H1919" s="11" t="s">
        <v>11096</v>
      </c>
      <c r="I1919" s="10"/>
      <c r="J1919" s="10"/>
      <c r="K1919" s="10"/>
    </row>
    <row r="1920" hidden="1">
      <c r="A1920" s="531" t="s">
        <v>13741</v>
      </c>
      <c r="B1920" s="531">
        <v>285.0</v>
      </c>
      <c r="C1920" s="11" t="s">
        <v>11095</v>
      </c>
      <c r="D1920" s="533">
        <v>0.88</v>
      </c>
      <c r="E1920" s="533">
        <v>0.88</v>
      </c>
      <c r="F1920" s="11" t="s">
        <v>1656</v>
      </c>
      <c r="G1920" s="10"/>
      <c r="H1920" s="11" t="s">
        <v>11096</v>
      </c>
      <c r="I1920" s="10"/>
      <c r="J1920" s="10"/>
      <c r="K1920" s="10"/>
    </row>
    <row r="1921" hidden="1">
      <c r="A1921" s="531" t="s">
        <v>13742</v>
      </c>
      <c r="B1921" s="531">
        <v>6750.0</v>
      </c>
      <c r="C1921" s="11" t="s">
        <v>11095</v>
      </c>
      <c r="D1921" s="533">
        <v>0.75</v>
      </c>
      <c r="E1921" s="533">
        <v>0.75</v>
      </c>
      <c r="F1921" s="11" t="s">
        <v>1656</v>
      </c>
      <c r="G1921" s="10"/>
      <c r="H1921" s="11" t="s">
        <v>11096</v>
      </c>
      <c r="I1921" s="10"/>
      <c r="J1921" s="10"/>
      <c r="K1921" s="10"/>
    </row>
    <row r="1922" hidden="1">
      <c r="A1922" s="531" t="s">
        <v>13743</v>
      </c>
      <c r="B1922" s="531">
        <v>7251.0</v>
      </c>
      <c r="C1922" s="11" t="s">
        <v>11095</v>
      </c>
      <c r="D1922" s="533">
        <v>0.75</v>
      </c>
      <c r="E1922" s="533">
        <v>0.75</v>
      </c>
      <c r="F1922" s="11" t="s">
        <v>1656</v>
      </c>
      <c r="G1922" s="10"/>
      <c r="H1922" s="11" t="s">
        <v>11096</v>
      </c>
      <c r="I1922" s="10"/>
      <c r="J1922" s="10"/>
      <c r="K1922" s="10"/>
    </row>
    <row r="1923" hidden="1">
      <c r="A1923" s="531" t="s">
        <v>13744</v>
      </c>
      <c r="B1923" s="531">
        <v>5566.0</v>
      </c>
      <c r="C1923" s="11" t="s">
        <v>11095</v>
      </c>
      <c r="D1923" s="533">
        <v>0.85</v>
      </c>
      <c r="E1923" s="533">
        <v>0.85</v>
      </c>
      <c r="F1923" s="11" t="s">
        <v>1656</v>
      </c>
      <c r="G1923" s="10"/>
      <c r="H1923" s="11" t="s">
        <v>11096</v>
      </c>
      <c r="I1923" s="10"/>
      <c r="J1923" s="10"/>
      <c r="K1923" s="10"/>
    </row>
    <row r="1924" hidden="1">
      <c r="A1924" s="531" t="s">
        <v>13745</v>
      </c>
      <c r="B1924" s="531">
        <v>285.0</v>
      </c>
      <c r="C1924" s="11" t="s">
        <v>11095</v>
      </c>
      <c r="D1924" s="533">
        <v>0.88</v>
      </c>
      <c r="E1924" s="533">
        <v>0.88</v>
      </c>
      <c r="F1924" s="11" t="s">
        <v>1656</v>
      </c>
      <c r="G1924" s="10"/>
      <c r="H1924" s="11" t="s">
        <v>11096</v>
      </c>
      <c r="I1924" s="10"/>
      <c r="J1924" s="10"/>
      <c r="K1924" s="10"/>
    </row>
    <row r="1925" hidden="1">
      <c r="A1925" s="531" t="s">
        <v>13746</v>
      </c>
      <c r="B1925" s="531">
        <v>285.0</v>
      </c>
      <c r="C1925" s="11" t="s">
        <v>11095</v>
      </c>
      <c r="D1925" s="533">
        <v>0.88</v>
      </c>
      <c r="E1925" s="533">
        <v>0.88</v>
      </c>
      <c r="F1925" s="11" t="s">
        <v>1656</v>
      </c>
      <c r="G1925" s="10"/>
      <c r="H1925" s="11" t="s">
        <v>11096</v>
      </c>
      <c r="I1925" s="10"/>
      <c r="J1925" s="10"/>
      <c r="K1925" s="10"/>
    </row>
    <row r="1926" hidden="1">
      <c r="A1926" s="531" t="s">
        <v>13747</v>
      </c>
      <c r="B1926" s="531">
        <v>2345.0</v>
      </c>
      <c r="C1926" s="11" t="s">
        <v>11095</v>
      </c>
      <c r="D1926" s="533">
        <v>0.9</v>
      </c>
      <c r="E1926" s="533">
        <v>0.9</v>
      </c>
      <c r="F1926" s="11" t="s">
        <v>1656</v>
      </c>
      <c r="G1926" s="10"/>
      <c r="H1926" s="11" t="s">
        <v>11096</v>
      </c>
      <c r="I1926" s="10"/>
      <c r="J1926" s="10"/>
      <c r="K1926" s="10"/>
    </row>
    <row r="1927" hidden="1">
      <c r="A1927" s="531" t="s">
        <v>13748</v>
      </c>
      <c r="B1927" s="531">
        <v>6727.0</v>
      </c>
      <c r="C1927" s="11" t="s">
        <v>11095</v>
      </c>
      <c r="D1927" s="533">
        <v>0.75</v>
      </c>
      <c r="E1927" s="533">
        <v>0.75</v>
      </c>
      <c r="F1927" s="11" t="s">
        <v>1656</v>
      </c>
      <c r="G1927" s="10"/>
      <c r="H1927" s="11" t="s">
        <v>11096</v>
      </c>
      <c r="I1927" s="10"/>
      <c r="J1927" s="10"/>
      <c r="K1927" s="10"/>
    </row>
    <row r="1928" hidden="1">
      <c r="A1928" s="531" t="s">
        <v>13749</v>
      </c>
      <c r="B1928" s="531">
        <v>986.0</v>
      </c>
      <c r="C1928" s="11" t="s">
        <v>11095</v>
      </c>
      <c r="D1928" s="533">
        <v>0.85</v>
      </c>
      <c r="E1928" s="533">
        <v>0.85</v>
      </c>
      <c r="F1928" s="11" t="s">
        <v>1656</v>
      </c>
      <c r="G1928" s="10"/>
      <c r="H1928" s="11" t="s">
        <v>11096</v>
      </c>
      <c r="I1928" s="10"/>
      <c r="J1928" s="10"/>
      <c r="K1928" s="10"/>
    </row>
    <row r="1929" hidden="1">
      <c r="A1929" s="531" t="s">
        <v>13750</v>
      </c>
      <c r="B1929" s="531">
        <v>2345.0</v>
      </c>
      <c r="C1929" s="11" t="s">
        <v>11095</v>
      </c>
      <c r="D1929" s="533">
        <v>0.9</v>
      </c>
      <c r="E1929" s="533">
        <v>0.9</v>
      </c>
      <c r="F1929" s="11" t="s">
        <v>1656</v>
      </c>
      <c r="G1929" s="10"/>
      <c r="H1929" s="11" t="s">
        <v>11096</v>
      </c>
      <c r="I1929" s="10"/>
      <c r="J1929" s="10"/>
      <c r="K1929" s="10"/>
    </row>
    <row r="1930" hidden="1">
      <c r="A1930" s="531" t="s">
        <v>13751</v>
      </c>
      <c r="B1930" s="531">
        <v>2345.0</v>
      </c>
      <c r="C1930" s="11" t="s">
        <v>11095</v>
      </c>
      <c r="D1930" s="533">
        <v>0.9</v>
      </c>
      <c r="E1930" s="533">
        <v>0.9</v>
      </c>
      <c r="F1930" s="11" t="s">
        <v>1656</v>
      </c>
      <c r="G1930" s="10"/>
      <c r="H1930" s="11" t="s">
        <v>11096</v>
      </c>
      <c r="I1930" s="10"/>
      <c r="J1930" s="10"/>
      <c r="K1930" s="10"/>
    </row>
    <row r="1931" hidden="1">
      <c r="A1931" s="531" t="s">
        <v>13752</v>
      </c>
      <c r="B1931" s="531">
        <v>2345.0</v>
      </c>
      <c r="C1931" s="11" t="s">
        <v>11095</v>
      </c>
      <c r="D1931" s="533">
        <v>0.9</v>
      </c>
      <c r="E1931" s="533">
        <v>0.9</v>
      </c>
      <c r="F1931" s="11" t="s">
        <v>1656</v>
      </c>
      <c r="G1931" s="10"/>
      <c r="H1931" s="11" t="s">
        <v>11096</v>
      </c>
      <c r="I1931" s="10"/>
      <c r="J1931" s="10"/>
      <c r="K1931" s="10"/>
    </row>
    <row r="1932" hidden="1">
      <c r="A1932" s="531" t="s">
        <v>13753</v>
      </c>
      <c r="B1932" s="531">
        <v>14590.0</v>
      </c>
      <c r="C1932" s="11" t="s">
        <v>11298</v>
      </c>
      <c r="D1932" s="533">
        <v>0.9</v>
      </c>
      <c r="E1932" s="533">
        <v>0.9</v>
      </c>
      <c r="F1932" s="11" t="s">
        <v>1656</v>
      </c>
      <c r="G1932" s="10"/>
      <c r="H1932" s="11" t="s">
        <v>11299</v>
      </c>
      <c r="I1932" s="10"/>
      <c r="J1932" s="10"/>
      <c r="K1932" s="10"/>
    </row>
    <row r="1933" hidden="1">
      <c r="A1933" s="531" t="s">
        <v>13754</v>
      </c>
      <c r="B1933" s="531">
        <v>2345.0</v>
      </c>
      <c r="C1933" s="11" t="s">
        <v>11095</v>
      </c>
      <c r="D1933" s="533">
        <v>0.9</v>
      </c>
      <c r="E1933" s="533">
        <v>0.9</v>
      </c>
      <c r="F1933" s="11" t="s">
        <v>1656</v>
      </c>
      <c r="G1933" s="10"/>
      <c r="H1933" s="11" t="s">
        <v>11096</v>
      </c>
      <c r="I1933" s="10"/>
      <c r="J1933" s="10"/>
      <c r="K1933" s="10"/>
    </row>
    <row r="1934" hidden="1">
      <c r="A1934" s="531" t="s">
        <v>13755</v>
      </c>
      <c r="B1934" s="531">
        <v>2345.0</v>
      </c>
      <c r="C1934" s="11" t="s">
        <v>11095</v>
      </c>
      <c r="D1934" s="533">
        <v>0.9</v>
      </c>
      <c r="E1934" s="533">
        <v>0.9</v>
      </c>
      <c r="F1934" s="11" t="s">
        <v>1656</v>
      </c>
      <c r="G1934" s="10"/>
      <c r="H1934" s="11" t="s">
        <v>11096</v>
      </c>
      <c r="I1934" s="10"/>
      <c r="J1934" s="10"/>
      <c r="K1934" s="10"/>
    </row>
    <row r="1935" hidden="1">
      <c r="A1935" s="531" t="s">
        <v>13756</v>
      </c>
      <c r="B1935" s="531">
        <v>6463.0</v>
      </c>
      <c r="C1935" s="11" t="s">
        <v>11095</v>
      </c>
      <c r="D1935" s="533">
        <v>0.75</v>
      </c>
      <c r="E1935" s="533">
        <v>0.75</v>
      </c>
      <c r="F1935" s="11" t="s">
        <v>1656</v>
      </c>
      <c r="G1935" s="10"/>
      <c r="H1935" s="11" t="s">
        <v>11096</v>
      </c>
      <c r="I1935" s="10"/>
      <c r="J1935" s="10"/>
      <c r="K1935" s="10"/>
    </row>
    <row r="1936" hidden="1">
      <c r="A1936" s="531" t="s">
        <v>13757</v>
      </c>
      <c r="B1936" s="531">
        <v>2345.0</v>
      </c>
      <c r="C1936" s="11" t="s">
        <v>11095</v>
      </c>
      <c r="D1936" s="533">
        <v>0.9</v>
      </c>
      <c r="E1936" s="533">
        <v>0.9</v>
      </c>
      <c r="F1936" s="11" t="s">
        <v>1656</v>
      </c>
      <c r="G1936" s="10"/>
      <c r="H1936" s="11" t="s">
        <v>11096</v>
      </c>
      <c r="I1936" s="10"/>
      <c r="J1936" s="10"/>
      <c r="K1936" s="10"/>
    </row>
    <row r="1937" hidden="1">
      <c r="A1937" s="531" t="s">
        <v>13758</v>
      </c>
      <c r="B1937" s="531">
        <v>2345.0</v>
      </c>
      <c r="C1937" s="11" t="s">
        <v>11095</v>
      </c>
      <c r="D1937" s="533">
        <v>0.9</v>
      </c>
      <c r="E1937" s="533">
        <v>0.9</v>
      </c>
      <c r="F1937" s="11" t="s">
        <v>1656</v>
      </c>
      <c r="G1937" s="10"/>
      <c r="H1937" s="11" t="s">
        <v>11096</v>
      </c>
      <c r="I1937" s="10"/>
      <c r="J1937" s="10"/>
      <c r="K1937" s="10"/>
    </row>
    <row r="1938" hidden="1">
      <c r="A1938" s="531" t="s">
        <v>13759</v>
      </c>
      <c r="B1938" s="531">
        <v>14590.0</v>
      </c>
      <c r="C1938" s="11" t="s">
        <v>11298</v>
      </c>
      <c r="D1938" s="533">
        <v>0.9</v>
      </c>
      <c r="E1938" s="533">
        <v>0.9</v>
      </c>
      <c r="F1938" s="11" t="s">
        <v>1656</v>
      </c>
      <c r="G1938" s="10"/>
      <c r="H1938" s="11" t="s">
        <v>11299</v>
      </c>
      <c r="I1938" s="10"/>
      <c r="J1938" s="10"/>
      <c r="K1938" s="10"/>
    </row>
    <row r="1939" hidden="1">
      <c r="A1939" s="531" t="s">
        <v>13760</v>
      </c>
      <c r="B1939" s="531">
        <v>986.0</v>
      </c>
      <c r="C1939" s="11" t="s">
        <v>11095</v>
      </c>
      <c r="D1939" s="533">
        <v>0.85</v>
      </c>
      <c r="E1939" s="533">
        <v>0.85</v>
      </c>
      <c r="F1939" s="11" t="s">
        <v>1656</v>
      </c>
      <c r="G1939" s="10"/>
      <c r="H1939" s="11" t="s">
        <v>11096</v>
      </c>
      <c r="I1939" s="10"/>
      <c r="J1939" s="10"/>
      <c r="K1939" s="10"/>
    </row>
    <row r="1940" hidden="1">
      <c r="A1940" s="531" t="s">
        <v>13761</v>
      </c>
      <c r="B1940" s="531">
        <v>2345.0</v>
      </c>
      <c r="C1940" s="11" t="s">
        <v>11095</v>
      </c>
      <c r="D1940" s="533">
        <v>0.9</v>
      </c>
      <c r="E1940" s="533">
        <v>0.9</v>
      </c>
      <c r="F1940" s="11" t="s">
        <v>1656</v>
      </c>
      <c r="G1940" s="10"/>
      <c r="H1940" s="11" t="s">
        <v>11096</v>
      </c>
      <c r="I1940" s="10"/>
      <c r="J1940" s="10"/>
      <c r="K1940" s="10"/>
    </row>
    <row r="1941" hidden="1">
      <c r="A1941" s="531" t="s">
        <v>13762</v>
      </c>
      <c r="B1941" s="531">
        <v>189.0</v>
      </c>
      <c r="C1941" s="11" t="s">
        <v>11095</v>
      </c>
      <c r="D1941" s="533">
        <v>0.88</v>
      </c>
      <c r="E1941" s="533">
        <v>0.88</v>
      </c>
      <c r="F1941" s="11" t="s">
        <v>1656</v>
      </c>
      <c r="G1941" s="10"/>
      <c r="H1941" s="11" t="s">
        <v>11096</v>
      </c>
      <c r="I1941" s="10"/>
      <c r="J1941" s="10"/>
      <c r="K1941" s="10"/>
    </row>
    <row r="1942" hidden="1">
      <c r="A1942" s="531" t="s">
        <v>13763</v>
      </c>
      <c r="B1942" s="531">
        <v>2345.0</v>
      </c>
      <c r="C1942" s="11" t="s">
        <v>11095</v>
      </c>
      <c r="D1942" s="533">
        <v>0.9</v>
      </c>
      <c r="E1942" s="533">
        <v>0.9</v>
      </c>
      <c r="F1942" s="11" t="s">
        <v>1656</v>
      </c>
      <c r="G1942" s="10"/>
      <c r="H1942" s="11" t="s">
        <v>11096</v>
      </c>
      <c r="I1942" s="10"/>
      <c r="J1942" s="10"/>
      <c r="K1942" s="10"/>
    </row>
    <row r="1943" hidden="1">
      <c r="A1943" s="531" t="s">
        <v>13764</v>
      </c>
      <c r="B1943" s="531">
        <v>2345.0</v>
      </c>
      <c r="C1943" s="11" t="s">
        <v>11095</v>
      </c>
      <c r="D1943" s="533">
        <v>0.9</v>
      </c>
      <c r="E1943" s="533">
        <v>0.9</v>
      </c>
      <c r="F1943" s="11" t="s">
        <v>1656</v>
      </c>
      <c r="G1943" s="10"/>
      <c r="H1943" s="11" t="s">
        <v>11096</v>
      </c>
      <c r="I1943" s="10"/>
      <c r="J1943" s="10"/>
      <c r="K1943" s="10"/>
    </row>
    <row r="1944" hidden="1">
      <c r="A1944" s="531" t="s">
        <v>13765</v>
      </c>
      <c r="B1944" s="531">
        <v>2345.0</v>
      </c>
      <c r="C1944" s="11" t="s">
        <v>11095</v>
      </c>
      <c r="D1944" s="533">
        <v>0.9</v>
      </c>
      <c r="E1944" s="533">
        <v>0.9</v>
      </c>
      <c r="F1944" s="11" t="s">
        <v>1656</v>
      </c>
      <c r="G1944" s="10"/>
      <c r="H1944" s="11" t="s">
        <v>11096</v>
      </c>
      <c r="I1944" s="10"/>
      <c r="J1944" s="10"/>
      <c r="K1944" s="10"/>
    </row>
    <row r="1945" hidden="1">
      <c r="A1945" s="531" t="s">
        <v>13766</v>
      </c>
      <c r="B1945" s="531">
        <v>6732.0</v>
      </c>
      <c r="C1945" s="11" t="s">
        <v>11095</v>
      </c>
      <c r="D1945" s="533">
        <v>0.8</v>
      </c>
      <c r="E1945" s="533">
        <v>0.8</v>
      </c>
      <c r="F1945" s="11" t="s">
        <v>1656</v>
      </c>
      <c r="G1945" s="10"/>
      <c r="H1945" s="11" t="s">
        <v>11096</v>
      </c>
      <c r="I1945" s="10"/>
      <c r="J1945" s="10"/>
      <c r="K1945" s="10"/>
    </row>
    <row r="1946" hidden="1">
      <c r="A1946" s="531" t="s">
        <v>13767</v>
      </c>
      <c r="B1946" s="531">
        <v>285.0</v>
      </c>
      <c r="C1946" s="11" t="s">
        <v>11095</v>
      </c>
      <c r="D1946" s="533">
        <v>0.88</v>
      </c>
      <c r="E1946" s="533">
        <v>0.88</v>
      </c>
      <c r="F1946" s="11" t="s">
        <v>1656</v>
      </c>
      <c r="G1946" s="10"/>
      <c r="H1946" s="11" t="s">
        <v>11096</v>
      </c>
      <c r="I1946" s="10"/>
      <c r="J1946" s="10"/>
      <c r="K1946" s="10"/>
    </row>
    <row r="1947" hidden="1">
      <c r="A1947" s="531" t="s">
        <v>13768</v>
      </c>
      <c r="B1947" s="531">
        <v>2345.0</v>
      </c>
      <c r="C1947" s="11" t="s">
        <v>11095</v>
      </c>
      <c r="D1947" s="533">
        <v>0.9</v>
      </c>
      <c r="E1947" s="533">
        <v>0.9</v>
      </c>
      <c r="F1947" s="11" t="s">
        <v>1656</v>
      </c>
      <c r="G1947" s="10"/>
      <c r="H1947" s="11" t="s">
        <v>11096</v>
      </c>
      <c r="I1947" s="10"/>
      <c r="J1947" s="10"/>
      <c r="K1947" s="10"/>
    </row>
    <row r="1948" hidden="1">
      <c r="A1948" s="531" t="s">
        <v>13769</v>
      </c>
      <c r="B1948" s="531">
        <v>285.0</v>
      </c>
      <c r="C1948" s="11" t="s">
        <v>11095</v>
      </c>
      <c r="D1948" s="533">
        <v>0.88</v>
      </c>
      <c r="E1948" s="533">
        <v>0.88</v>
      </c>
      <c r="F1948" s="11" t="s">
        <v>1656</v>
      </c>
      <c r="G1948" s="10"/>
      <c r="H1948" s="11" t="s">
        <v>11096</v>
      </c>
      <c r="I1948" s="10"/>
      <c r="J1948" s="10"/>
      <c r="K1948" s="10"/>
    </row>
    <row r="1949" hidden="1">
      <c r="A1949" s="531" t="s">
        <v>13770</v>
      </c>
      <c r="B1949" s="531">
        <v>6805.0</v>
      </c>
      <c r="C1949" s="11" t="s">
        <v>11095</v>
      </c>
      <c r="D1949" s="533">
        <v>0.75</v>
      </c>
      <c r="E1949" s="533">
        <v>0.75</v>
      </c>
      <c r="F1949" s="11" t="s">
        <v>1656</v>
      </c>
      <c r="G1949" s="10"/>
      <c r="H1949" s="11" t="s">
        <v>11096</v>
      </c>
      <c r="I1949" s="10"/>
      <c r="J1949" s="10"/>
      <c r="K1949" s="10"/>
    </row>
    <row r="1950" hidden="1">
      <c r="A1950" s="531" t="s">
        <v>13771</v>
      </c>
      <c r="B1950" s="531">
        <v>11708.0</v>
      </c>
      <c r="C1950" s="11" t="s">
        <v>11095</v>
      </c>
      <c r="D1950" s="533">
        <v>0.75</v>
      </c>
      <c r="E1950" s="533">
        <v>0.75</v>
      </c>
      <c r="F1950" s="11" t="s">
        <v>1656</v>
      </c>
      <c r="G1950" s="10"/>
      <c r="H1950" s="11" t="s">
        <v>11096</v>
      </c>
      <c r="I1950" s="10"/>
      <c r="J1950" s="10"/>
      <c r="K1950" s="10"/>
    </row>
    <row r="1951" hidden="1">
      <c r="A1951" s="531" t="s">
        <v>13772</v>
      </c>
      <c r="B1951" s="531">
        <v>2345.0</v>
      </c>
      <c r="C1951" s="11" t="s">
        <v>11095</v>
      </c>
      <c r="D1951" s="533">
        <v>0.9</v>
      </c>
      <c r="E1951" s="533">
        <v>0.9</v>
      </c>
      <c r="F1951" s="11" t="s">
        <v>1656</v>
      </c>
      <c r="G1951" s="10"/>
      <c r="H1951" s="11" t="s">
        <v>11096</v>
      </c>
      <c r="I1951" s="10"/>
      <c r="J1951" s="10"/>
      <c r="K1951" s="10"/>
    </row>
    <row r="1952" hidden="1">
      <c r="A1952" s="531" t="s">
        <v>13773</v>
      </c>
      <c r="B1952" s="531">
        <v>2345.0</v>
      </c>
      <c r="C1952" s="11" t="s">
        <v>11095</v>
      </c>
      <c r="D1952" s="533">
        <v>0.9</v>
      </c>
      <c r="E1952" s="533">
        <v>0.9</v>
      </c>
      <c r="F1952" s="11" t="s">
        <v>1656</v>
      </c>
      <c r="G1952" s="10"/>
      <c r="H1952" s="11" t="s">
        <v>11096</v>
      </c>
      <c r="I1952" s="10"/>
      <c r="J1952" s="10"/>
      <c r="K1952" s="10"/>
    </row>
    <row r="1953" hidden="1">
      <c r="A1953" s="531" t="s">
        <v>13774</v>
      </c>
      <c r="B1953" s="531">
        <v>5458.0</v>
      </c>
      <c r="C1953" s="11" t="s">
        <v>11095</v>
      </c>
      <c r="D1953" s="533">
        <v>0.75</v>
      </c>
      <c r="E1953" s="533">
        <v>0.75</v>
      </c>
      <c r="F1953" s="11" t="s">
        <v>1656</v>
      </c>
      <c r="G1953" s="10"/>
      <c r="H1953" s="11" t="s">
        <v>11096</v>
      </c>
      <c r="I1953" s="10"/>
      <c r="J1953" s="10"/>
      <c r="K1953" s="10"/>
    </row>
    <row r="1954" hidden="1">
      <c r="A1954" s="531" t="s">
        <v>13775</v>
      </c>
      <c r="B1954" s="531">
        <v>285.0</v>
      </c>
      <c r="C1954" s="11" t="s">
        <v>11095</v>
      </c>
      <c r="D1954" s="533">
        <v>0.88</v>
      </c>
      <c r="E1954" s="533">
        <v>0.88</v>
      </c>
      <c r="F1954" s="11" t="s">
        <v>1656</v>
      </c>
      <c r="G1954" s="10"/>
      <c r="H1954" s="11" t="s">
        <v>11096</v>
      </c>
      <c r="I1954" s="10"/>
      <c r="J1954" s="10"/>
      <c r="K1954" s="10"/>
    </row>
    <row r="1955" hidden="1">
      <c r="A1955" s="531" t="s">
        <v>13776</v>
      </c>
      <c r="B1955" s="531">
        <v>3312.0</v>
      </c>
      <c r="C1955" s="11" t="s">
        <v>11095</v>
      </c>
      <c r="D1955" s="533">
        <v>0.75</v>
      </c>
      <c r="E1955" s="533">
        <v>0.75</v>
      </c>
      <c r="F1955" s="11" t="s">
        <v>1656</v>
      </c>
      <c r="G1955" s="10"/>
      <c r="H1955" s="11" t="s">
        <v>11096</v>
      </c>
      <c r="I1955" s="10"/>
      <c r="J1955" s="10"/>
      <c r="K1955" s="10"/>
    </row>
    <row r="1956" hidden="1">
      <c r="A1956" s="531" t="s">
        <v>13777</v>
      </c>
      <c r="B1956" s="531">
        <v>2345.0</v>
      </c>
      <c r="C1956" s="11" t="s">
        <v>11095</v>
      </c>
      <c r="D1956" s="533">
        <v>0.9</v>
      </c>
      <c r="E1956" s="533">
        <v>0.9</v>
      </c>
      <c r="F1956" s="11" t="s">
        <v>1656</v>
      </c>
      <c r="G1956" s="10"/>
      <c r="H1956" s="11" t="s">
        <v>11096</v>
      </c>
      <c r="I1956" s="10"/>
      <c r="J1956" s="10"/>
      <c r="K1956" s="10"/>
    </row>
    <row r="1957" hidden="1">
      <c r="A1957" s="531" t="s">
        <v>13778</v>
      </c>
      <c r="B1957" s="531">
        <v>6658.0</v>
      </c>
      <c r="C1957" s="11" t="s">
        <v>11095</v>
      </c>
      <c r="D1957" s="533">
        <v>0.85</v>
      </c>
      <c r="E1957" s="533">
        <v>0.85</v>
      </c>
      <c r="F1957" s="11" t="s">
        <v>1656</v>
      </c>
      <c r="G1957" s="10"/>
      <c r="H1957" s="11" t="s">
        <v>11096</v>
      </c>
      <c r="I1957" s="10"/>
      <c r="J1957" s="10"/>
      <c r="K1957" s="10"/>
    </row>
    <row r="1958" hidden="1">
      <c r="A1958" s="531" t="s">
        <v>13779</v>
      </c>
      <c r="B1958" s="531">
        <v>2345.0</v>
      </c>
      <c r="C1958" s="11" t="s">
        <v>11095</v>
      </c>
      <c r="D1958" s="533">
        <v>0.9</v>
      </c>
      <c r="E1958" s="533">
        <v>0.9</v>
      </c>
      <c r="F1958" s="11" t="s">
        <v>1656</v>
      </c>
      <c r="G1958" s="10"/>
      <c r="H1958" s="11" t="s">
        <v>11096</v>
      </c>
      <c r="I1958" s="10"/>
      <c r="J1958" s="10"/>
      <c r="K1958" s="10"/>
    </row>
    <row r="1959" hidden="1">
      <c r="A1959" s="531" t="s">
        <v>13780</v>
      </c>
      <c r="B1959" s="531">
        <v>2345.0</v>
      </c>
      <c r="C1959" s="11" t="s">
        <v>11095</v>
      </c>
      <c r="D1959" s="533">
        <v>0.9</v>
      </c>
      <c r="E1959" s="533">
        <v>0.9</v>
      </c>
      <c r="F1959" s="11" t="s">
        <v>1656</v>
      </c>
      <c r="G1959" s="10"/>
      <c r="H1959" s="11" t="s">
        <v>11096</v>
      </c>
      <c r="I1959" s="10"/>
      <c r="J1959" s="10"/>
      <c r="K1959" s="10"/>
    </row>
    <row r="1960" hidden="1">
      <c r="A1960" s="531" t="s">
        <v>13781</v>
      </c>
      <c r="B1960" s="531">
        <v>285.0</v>
      </c>
      <c r="C1960" s="11" t="s">
        <v>11095</v>
      </c>
      <c r="D1960" s="533">
        <v>0.88</v>
      </c>
      <c r="E1960" s="533">
        <v>0.88</v>
      </c>
      <c r="F1960" s="11" t="s">
        <v>1656</v>
      </c>
      <c r="G1960" s="10"/>
      <c r="H1960" s="11" t="s">
        <v>11096</v>
      </c>
      <c r="I1960" s="10"/>
      <c r="J1960" s="10"/>
      <c r="K1960" s="10"/>
    </row>
    <row r="1961" hidden="1">
      <c r="A1961" s="531" t="s">
        <v>13782</v>
      </c>
      <c r="B1961" s="531">
        <v>2345.0</v>
      </c>
      <c r="C1961" s="11" t="s">
        <v>11095</v>
      </c>
      <c r="D1961" s="533">
        <v>0.9</v>
      </c>
      <c r="E1961" s="533">
        <v>0.9</v>
      </c>
      <c r="F1961" s="11" t="s">
        <v>1656</v>
      </c>
      <c r="G1961" s="10"/>
      <c r="H1961" s="11" t="s">
        <v>11096</v>
      </c>
      <c r="I1961" s="10"/>
      <c r="J1961" s="10"/>
      <c r="K1961" s="10"/>
    </row>
    <row r="1962" hidden="1">
      <c r="A1962" s="531" t="s">
        <v>13783</v>
      </c>
      <c r="B1962" s="531">
        <v>6732.0</v>
      </c>
      <c r="C1962" s="11" t="s">
        <v>11095</v>
      </c>
      <c r="D1962" s="533">
        <v>0.8</v>
      </c>
      <c r="E1962" s="533">
        <v>0.8</v>
      </c>
      <c r="F1962" s="11" t="s">
        <v>1656</v>
      </c>
      <c r="G1962" s="10"/>
      <c r="H1962" s="11" t="s">
        <v>11096</v>
      </c>
      <c r="I1962" s="10"/>
      <c r="J1962" s="10"/>
      <c r="K1962" s="10"/>
    </row>
    <row r="1963" hidden="1">
      <c r="A1963" s="531" t="s">
        <v>13784</v>
      </c>
      <c r="B1963" s="531">
        <v>6732.0</v>
      </c>
      <c r="C1963" s="11" t="s">
        <v>11095</v>
      </c>
      <c r="D1963" s="533">
        <v>0.8</v>
      </c>
      <c r="E1963" s="533">
        <v>0.8</v>
      </c>
      <c r="F1963" s="11" t="s">
        <v>1656</v>
      </c>
      <c r="G1963" s="10"/>
      <c r="H1963" s="11" t="s">
        <v>11096</v>
      </c>
      <c r="I1963" s="10"/>
      <c r="J1963" s="10"/>
      <c r="K1963" s="10"/>
    </row>
    <row r="1964" hidden="1">
      <c r="A1964" s="531" t="s">
        <v>13785</v>
      </c>
      <c r="B1964" s="531">
        <v>6916.0</v>
      </c>
      <c r="C1964" s="11" t="s">
        <v>11095</v>
      </c>
      <c r="D1964" s="533">
        <v>0.75</v>
      </c>
      <c r="E1964" s="533">
        <v>0.75</v>
      </c>
      <c r="F1964" s="11" t="s">
        <v>1656</v>
      </c>
      <c r="G1964" s="10"/>
      <c r="H1964" s="11" t="s">
        <v>11096</v>
      </c>
      <c r="I1964" s="10"/>
      <c r="J1964" s="10"/>
      <c r="K1964" s="10"/>
    </row>
    <row r="1965" hidden="1">
      <c r="A1965" s="531" t="s">
        <v>13786</v>
      </c>
      <c r="B1965" s="531">
        <v>986.0</v>
      </c>
      <c r="C1965" s="11" t="s">
        <v>11095</v>
      </c>
      <c r="D1965" s="533">
        <v>0.85</v>
      </c>
      <c r="E1965" s="533">
        <v>0.85</v>
      </c>
      <c r="F1965" s="11" t="s">
        <v>1656</v>
      </c>
      <c r="G1965" s="10"/>
      <c r="H1965" s="11" t="s">
        <v>11096</v>
      </c>
      <c r="I1965" s="10"/>
      <c r="J1965" s="10"/>
      <c r="K1965" s="10"/>
    </row>
    <row r="1966" hidden="1">
      <c r="A1966" s="531" t="s">
        <v>13787</v>
      </c>
      <c r="B1966" s="531">
        <v>986.0</v>
      </c>
      <c r="C1966" s="11" t="s">
        <v>11095</v>
      </c>
      <c r="D1966" s="533">
        <v>0.85</v>
      </c>
      <c r="E1966" s="533">
        <v>0.85</v>
      </c>
      <c r="F1966" s="11" t="s">
        <v>1656</v>
      </c>
      <c r="G1966" s="10"/>
      <c r="H1966" s="11" t="s">
        <v>11096</v>
      </c>
      <c r="I1966" s="10"/>
      <c r="J1966" s="10"/>
      <c r="K1966" s="10"/>
    </row>
    <row r="1967" hidden="1">
      <c r="A1967" s="531" t="s">
        <v>13788</v>
      </c>
      <c r="B1967" s="531">
        <v>986.0</v>
      </c>
      <c r="C1967" s="11" t="s">
        <v>11095</v>
      </c>
      <c r="D1967" s="533">
        <v>0.85</v>
      </c>
      <c r="E1967" s="533">
        <v>0.85</v>
      </c>
      <c r="F1967" s="11" t="s">
        <v>1656</v>
      </c>
      <c r="G1967" s="10"/>
      <c r="H1967" s="11" t="s">
        <v>11096</v>
      </c>
      <c r="I1967" s="10"/>
      <c r="J1967" s="10"/>
      <c r="K1967" s="10"/>
    </row>
    <row r="1968" hidden="1">
      <c r="A1968" s="531" t="s">
        <v>13789</v>
      </c>
      <c r="B1968" s="531">
        <v>189.0</v>
      </c>
      <c r="C1968" s="11" t="s">
        <v>11095</v>
      </c>
      <c r="D1968" s="533">
        <v>0.88</v>
      </c>
      <c r="E1968" s="533">
        <v>0.88</v>
      </c>
      <c r="F1968" s="11" t="s">
        <v>1656</v>
      </c>
      <c r="G1968" s="10"/>
      <c r="H1968" s="11" t="s">
        <v>11096</v>
      </c>
      <c r="I1968" s="10"/>
      <c r="J1968" s="10"/>
      <c r="K1968" s="10"/>
    </row>
    <row r="1969" hidden="1">
      <c r="A1969" s="531" t="s">
        <v>13790</v>
      </c>
      <c r="B1969" s="531">
        <v>2345.0</v>
      </c>
      <c r="C1969" s="11" t="s">
        <v>11095</v>
      </c>
      <c r="D1969" s="533">
        <v>0.9</v>
      </c>
      <c r="E1969" s="533">
        <v>0.9</v>
      </c>
      <c r="F1969" s="11" t="s">
        <v>1656</v>
      </c>
      <c r="G1969" s="10"/>
      <c r="H1969" s="11" t="s">
        <v>11096</v>
      </c>
      <c r="I1969" s="10"/>
      <c r="J1969" s="10"/>
      <c r="K1969" s="10"/>
    </row>
    <row r="1970" hidden="1">
      <c r="A1970" s="531" t="s">
        <v>13791</v>
      </c>
      <c r="B1970" s="531">
        <v>285.0</v>
      </c>
      <c r="C1970" s="11" t="s">
        <v>11095</v>
      </c>
      <c r="D1970" s="533">
        <v>0.88</v>
      </c>
      <c r="E1970" s="533">
        <v>0.88</v>
      </c>
      <c r="F1970" s="11" t="s">
        <v>1656</v>
      </c>
      <c r="G1970" s="10"/>
      <c r="H1970" s="11" t="s">
        <v>11096</v>
      </c>
      <c r="I1970" s="10"/>
      <c r="J1970" s="10"/>
      <c r="K1970" s="10"/>
    </row>
    <row r="1971" hidden="1">
      <c r="A1971" s="531" t="s">
        <v>13792</v>
      </c>
      <c r="B1971" s="531">
        <v>6732.0</v>
      </c>
      <c r="C1971" s="11" t="s">
        <v>11095</v>
      </c>
      <c r="D1971" s="533">
        <v>0.8</v>
      </c>
      <c r="E1971" s="533">
        <v>0.8</v>
      </c>
      <c r="F1971" s="11" t="s">
        <v>1656</v>
      </c>
      <c r="G1971" s="10"/>
      <c r="H1971" s="11" t="s">
        <v>11096</v>
      </c>
      <c r="I1971" s="10"/>
      <c r="J1971" s="10"/>
      <c r="K1971" s="10"/>
    </row>
    <row r="1972" hidden="1">
      <c r="A1972" s="531" t="s">
        <v>13793</v>
      </c>
      <c r="B1972" s="531">
        <v>2345.0</v>
      </c>
      <c r="C1972" s="11" t="s">
        <v>11095</v>
      </c>
      <c r="D1972" s="533">
        <v>0.9</v>
      </c>
      <c r="E1972" s="533">
        <v>0.9</v>
      </c>
      <c r="F1972" s="11" t="s">
        <v>1656</v>
      </c>
      <c r="G1972" s="10"/>
      <c r="H1972" s="11" t="s">
        <v>11096</v>
      </c>
      <c r="I1972" s="10"/>
      <c r="J1972" s="10"/>
      <c r="K1972" s="10"/>
    </row>
    <row r="1973" hidden="1">
      <c r="A1973" s="531" t="s">
        <v>13794</v>
      </c>
      <c r="B1973" s="531">
        <v>930.0</v>
      </c>
      <c r="C1973" s="11" t="s">
        <v>11095</v>
      </c>
      <c r="D1973" s="533">
        <v>0.75</v>
      </c>
      <c r="E1973" s="533">
        <v>0.75</v>
      </c>
      <c r="F1973" s="11" t="s">
        <v>1656</v>
      </c>
      <c r="G1973" s="10"/>
      <c r="H1973" s="11" t="s">
        <v>11096</v>
      </c>
      <c r="I1973" s="10"/>
      <c r="J1973" s="10"/>
      <c r="K1973" s="10"/>
    </row>
    <row r="1974" hidden="1">
      <c r="A1974" s="531" t="s">
        <v>13795</v>
      </c>
      <c r="B1974" s="531">
        <v>2345.0</v>
      </c>
      <c r="C1974" s="11" t="s">
        <v>11095</v>
      </c>
      <c r="D1974" s="533">
        <v>0.9</v>
      </c>
      <c r="E1974" s="533">
        <v>0.9</v>
      </c>
      <c r="F1974" s="11" t="s">
        <v>1656</v>
      </c>
      <c r="G1974" s="10"/>
      <c r="H1974" s="11" t="s">
        <v>11096</v>
      </c>
      <c r="I1974" s="10"/>
      <c r="J1974" s="10"/>
      <c r="K1974" s="10"/>
    </row>
    <row r="1975" hidden="1">
      <c r="A1975" s="531" t="s">
        <v>13796</v>
      </c>
      <c r="B1975" s="531">
        <v>6969.0</v>
      </c>
      <c r="C1975" s="11" t="s">
        <v>11095</v>
      </c>
      <c r="D1975" s="533">
        <v>0.75</v>
      </c>
      <c r="E1975" s="533">
        <v>0.75</v>
      </c>
      <c r="F1975" s="11" t="s">
        <v>1656</v>
      </c>
      <c r="G1975" s="10"/>
      <c r="H1975" s="11" t="s">
        <v>11096</v>
      </c>
      <c r="I1975" s="10"/>
      <c r="J1975" s="10"/>
      <c r="K1975" s="10"/>
    </row>
    <row r="1976" hidden="1">
      <c r="A1976" s="531" t="s">
        <v>13797</v>
      </c>
      <c r="B1976" s="531">
        <v>285.0</v>
      </c>
      <c r="C1976" s="11" t="s">
        <v>11095</v>
      </c>
      <c r="D1976" s="533">
        <v>0.88</v>
      </c>
      <c r="E1976" s="533">
        <v>0.88</v>
      </c>
      <c r="F1976" s="11" t="s">
        <v>1656</v>
      </c>
      <c r="G1976" s="10"/>
      <c r="H1976" s="11" t="s">
        <v>11096</v>
      </c>
      <c r="I1976" s="10"/>
      <c r="J1976" s="10"/>
      <c r="K1976" s="10"/>
    </row>
    <row r="1977" hidden="1">
      <c r="A1977" s="531" t="s">
        <v>13798</v>
      </c>
      <c r="B1977" s="531">
        <v>986.0</v>
      </c>
      <c r="C1977" s="11" t="s">
        <v>11095</v>
      </c>
      <c r="D1977" s="533">
        <v>0.85</v>
      </c>
      <c r="E1977" s="533">
        <v>0.85</v>
      </c>
      <c r="F1977" s="11" t="s">
        <v>1656</v>
      </c>
      <c r="G1977" s="10"/>
      <c r="H1977" s="11" t="s">
        <v>11096</v>
      </c>
      <c r="I1977" s="10"/>
      <c r="J1977" s="10"/>
      <c r="K1977" s="10"/>
    </row>
    <row r="1978" hidden="1">
      <c r="A1978" s="531" t="s">
        <v>13799</v>
      </c>
      <c r="B1978" s="531">
        <v>986.0</v>
      </c>
      <c r="C1978" s="11" t="s">
        <v>11095</v>
      </c>
      <c r="D1978" s="533">
        <v>0.85</v>
      </c>
      <c r="E1978" s="533">
        <v>0.85</v>
      </c>
      <c r="F1978" s="11" t="s">
        <v>1656</v>
      </c>
      <c r="G1978" s="10"/>
      <c r="H1978" s="11" t="s">
        <v>11096</v>
      </c>
      <c r="I1978" s="10"/>
      <c r="J1978" s="10"/>
      <c r="K1978" s="10"/>
    </row>
    <row r="1979" hidden="1">
      <c r="A1979" s="531" t="s">
        <v>13800</v>
      </c>
      <c r="B1979" s="531">
        <v>6732.0</v>
      </c>
      <c r="C1979" s="11" t="s">
        <v>11095</v>
      </c>
      <c r="D1979" s="533">
        <v>0.8</v>
      </c>
      <c r="E1979" s="533">
        <v>0.8</v>
      </c>
      <c r="F1979" s="11" t="s">
        <v>1656</v>
      </c>
      <c r="G1979" s="10"/>
      <c r="H1979" s="11" t="s">
        <v>11096</v>
      </c>
      <c r="I1979" s="10"/>
      <c r="J1979" s="10"/>
      <c r="K1979" s="10"/>
    </row>
    <row r="1980" hidden="1">
      <c r="A1980" s="531" t="s">
        <v>13801</v>
      </c>
      <c r="B1980" s="531">
        <v>5389.0</v>
      </c>
      <c r="C1980" s="11" t="s">
        <v>11095</v>
      </c>
      <c r="D1980" s="533">
        <v>0.75</v>
      </c>
      <c r="E1980" s="533">
        <v>0.75</v>
      </c>
      <c r="F1980" s="11" t="s">
        <v>1656</v>
      </c>
      <c r="G1980" s="10"/>
      <c r="H1980" s="11" t="s">
        <v>11096</v>
      </c>
      <c r="I1980" s="10"/>
      <c r="J1980" s="10"/>
      <c r="K1980" s="10"/>
    </row>
    <row r="1981" hidden="1">
      <c r="A1981" s="531" t="s">
        <v>13802</v>
      </c>
      <c r="B1981" s="531">
        <v>2345.0</v>
      </c>
      <c r="C1981" s="11" t="s">
        <v>11095</v>
      </c>
      <c r="D1981" s="533">
        <v>0.9</v>
      </c>
      <c r="E1981" s="533">
        <v>0.9</v>
      </c>
      <c r="F1981" s="11" t="s">
        <v>1656</v>
      </c>
      <c r="G1981" s="10"/>
      <c r="H1981" s="11" t="s">
        <v>11096</v>
      </c>
      <c r="I1981" s="10"/>
      <c r="J1981" s="10"/>
      <c r="K1981" s="10"/>
    </row>
    <row r="1982" hidden="1">
      <c r="A1982" s="531" t="s">
        <v>13803</v>
      </c>
      <c r="B1982" s="531">
        <v>285.0</v>
      </c>
      <c r="C1982" s="11" t="s">
        <v>11095</v>
      </c>
      <c r="D1982" s="533">
        <v>0.88</v>
      </c>
      <c r="E1982" s="533">
        <v>0.88</v>
      </c>
      <c r="F1982" s="11" t="s">
        <v>1656</v>
      </c>
      <c r="G1982" s="10"/>
      <c r="H1982" s="11" t="s">
        <v>11096</v>
      </c>
      <c r="I1982" s="10"/>
      <c r="J1982" s="10"/>
      <c r="K1982" s="10"/>
    </row>
    <row r="1983" hidden="1">
      <c r="A1983" s="531" t="s">
        <v>13804</v>
      </c>
      <c r="B1983" s="531">
        <v>6939.0</v>
      </c>
      <c r="C1983" s="11" t="s">
        <v>11095</v>
      </c>
      <c r="D1983" s="533">
        <v>0.85</v>
      </c>
      <c r="E1983" s="533">
        <v>0.85</v>
      </c>
      <c r="F1983" s="11" t="s">
        <v>1656</v>
      </c>
      <c r="G1983" s="10"/>
      <c r="H1983" s="11" t="s">
        <v>11096</v>
      </c>
      <c r="I1983" s="10"/>
      <c r="J1983" s="10"/>
      <c r="K1983" s="10"/>
    </row>
    <row r="1984" hidden="1">
      <c r="A1984" s="531" t="s">
        <v>13805</v>
      </c>
      <c r="B1984" s="531">
        <v>2345.0</v>
      </c>
      <c r="C1984" s="11" t="s">
        <v>11095</v>
      </c>
      <c r="D1984" s="533">
        <v>0.9</v>
      </c>
      <c r="E1984" s="533">
        <v>0.9</v>
      </c>
      <c r="F1984" s="11" t="s">
        <v>1656</v>
      </c>
      <c r="G1984" s="10"/>
      <c r="H1984" s="11" t="s">
        <v>11096</v>
      </c>
      <c r="I1984" s="10"/>
      <c r="J1984" s="10"/>
      <c r="K1984" s="10"/>
    </row>
    <row r="1985" hidden="1">
      <c r="A1985" s="531" t="s">
        <v>13806</v>
      </c>
      <c r="B1985" s="531">
        <v>2345.0</v>
      </c>
      <c r="C1985" s="11" t="s">
        <v>11095</v>
      </c>
      <c r="D1985" s="533">
        <v>0.9</v>
      </c>
      <c r="E1985" s="533">
        <v>0.9</v>
      </c>
      <c r="F1985" s="11" t="s">
        <v>1656</v>
      </c>
      <c r="G1985" s="10"/>
      <c r="H1985" s="11" t="s">
        <v>11096</v>
      </c>
      <c r="I1985" s="10"/>
      <c r="J1985" s="10"/>
      <c r="K1985" s="10"/>
    </row>
    <row r="1986" hidden="1">
      <c r="A1986" s="531" t="s">
        <v>13807</v>
      </c>
      <c r="B1986" s="531">
        <v>2345.0</v>
      </c>
      <c r="C1986" s="11" t="s">
        <v>11095</v>
      </c>
      <c r="D1986" s="533">
        <v>0.9</v>
      </c>
      <c r="E1986" s="533">
        <v>0.9</v>
      </c>
      <c r="F1986" s="11" t="s">
        <v>1656</v>
      </c>
      <c r="G1986" s="10"/>
      <c r="H1986" s="11" t="s">
        <v>11096</v>
      </c>
      <c r="I1986" s="10"/>
      <c r="J1986" s="10"/>
      <c r="K1986" s="10"/>
    </row>
    <row r="1987" hidden="1">
      <c r="A1987" s="531" t="s">
        <v>13808</v>
      </c>
      <c r="B1987" s="531">
        <v>986.0</v>
      </c>
      <c r="C1987" s="11" t="s">
        <v>11095</v>
      </c>
      <c r="D1987" s="533">
        <v>0.85</v>
      </c>
      <c r="E1987" s="533">
        <v>0.85</v>
      </c>
      <c r="F1987" s="11" t="s">
        <v>1656</v>
      </c>
      <c r="G1987" s="10"/>
      <c r="H1987" s="11" t="s">
        <v>11096</v>
      </c>
      <c r="I1987" s="10"/>
      <c r="J1987" s="10"/>
      <c r="K1987" s="10"/>
    </row>
    <row r="1988" hidden="1">
      <c r="A1988" s="531" t="s">
        <v>13809</v>
      </c>
      <c r="B1988" s="531">
        <v>6909.0</v>
      </c>
      <c r="C1988" s="11" t="s">
        <v>11095</v>
      </c>
      <c r="D1988" s="533">
        <v>0.75</v>
      </c>
      <c r="E1988" s="533">
        <v>0.75</v>
      </c>
      <c r="F1988" s="11" t="s">
        <v>1656</v>
      </c>
      <c r="G1988" s="10"/>
      <c r="H1988" s="11" t="s">
        <v>11096</v>
      </c>
      <c r="I1988" s="10"/>
      <c r="J1988" s="10"/>
      <c r="K1988" s="10"/>
    </row>
    <row r="1989" hidden="1">
      <c r="A1989" s="531" t="s">
        <v>13810</v>
      </c>
      <c r="B1989" s="531">
        <v>2345.0</v>
      </c>
      <c r="C1989" s="11" t="s">
        <v>11095</v>
      </c>
      <c r="D1989" s="533">
        <v>0.9</v>
      </c>
      <c r="E1989" s="533">
        <v>0.9</v>
      </c>
      <c r="F1989" s="11" t="s">
        <v>1656</v>
      </c>
      <c r="G1989" s="10"/>
      <c r="H1989" s="11" t="s">
        <v>11096</v>
      </c>
      <c r="I1989" s="10"/>
      <c r="J1989" s="10"/>
      <c r="K1989" s="10"/>
    </row>
    <row r="1990" hidden="1">
      <c r="A1990" s="531" t="s">
        <v>13811</v>
      </c>
      <c r="B1990" s="531">
        <v>285.0</v>
      </c>
      <c r="C1990" s="11" t="s">
        <v>11095</v>
      </c>
      <c r="D1990" s="533">
        <v>0.88</v>
      </c>
      <c r="E1990" s="533">
        <v>0.88</v>
      </c>
      <c r="F1990" s="11" t="s">
        <v>1656</v>
      </c>
      <c r="G1990" s="10"/>
      <c r="H1990" s="11" t="s">
        <v>11096</v>
      </c>
      <c r="I1990" s="10"/>
      <c r="J1990" s="10"/>
      <c r="K1990" s="10"/>
    </row>
    <row r="1991" hidden="1">
      <c r="A1991" s="531" t="s">
        <v>13812</v>
      </c>
      <c r="B1991" s="531">
        <v>2345.0</v>
      </c>
      <c r="C1991" s="11" t="s">
        <v>11095</v>
      </c>
      <c r="D1991" s="533">
        <v>0.9</v>
      </c>
      <c r="E1991" s="533">
        <v>0.9</v>
      </c>
      <c r="F1991" s="11" t="s">
        <v>1656</v>
      </c>
      <c r="G1991" s="10"/>
      <c r="H1991" s="11" t="s">
        <v>11096</v>
      </c>
      <c r="I1991" s="10"/>
      <c r="J1991" s="10"/>
      <c r="K1991" s="10"/>
    </row>
    <row r="1992" hidden="1">
      <c r="A1992" s="531" t="s">
        <v>13813</v>
      </c>
      <c r="B1992" s="531">
        <v>2345.0</v>
      </c>
      <c r="C1992" s="11" t="s">
        <v>11095</v>
      </c>
      <c r="D1992" s="533">
        <v>0.9</v>
      </c>
      <c r="E1992" s="533">
        <v>0.9</v>
      </c>
      <c r="F1992" s="11" t="s">
        <v>1656</v>
      </c>
      <c r="G1992" s="10"/>
      <c r="H1992" s="11" t="s">
        <v>11096</v>
      </c>
      <c r="I1992" s="10"/>
      <c r="J1992" s="10"/>
      <c r="K1992" s="10"/>
    </row>
    <row r="1993" hidden="1">
      <c r="A1993" s="531" t="s">
        <v>13814</v>
      </c>
      <c r="B1993" s="531">
        <v>986.0</v>
      </c>
      <c r="C1993" s="11" t="s">
        <v>11095</v>
      </c>
      <c r="D1993" s="533">
        <v>0.85</v>
      </c>
      <c r="E1993" s="533">
        <v>0.85</v>
      </c>
      <c r="F1993" s="11" t="s">
        <v>1656</v>
      </c>
      <c r="G1993" s="10"/>
      <c r="H1993" s="11" t="s">
        <v>11096</v>
      </c>
      <c r="I1993" s="10"/>
      <c r="J1993" s="10"/>
      <c r="K1993" s="10"/>
    </row>
    <row r="1994" hidden="1">
      <c r="A1994" s="531" t="s">
        <v>13815</v>
      </c>
      <c r="B1994" s="531">
        <v>889.0</v>
      </c>
      <c r="C1994" s="11" t="s">
        <v>11095</v>
      </c>
      <c r="D1994" s="533">
        <v>0.75</v>
      </c>
      <c r="E1994" s="533">
        <v>0.75</v>
      </c>
      <c r="F1994" s="11" t="s">
        <v>1656</v>
      </c>
      <c r="G1994" s="10"/>
      <c r="H1994" s="11" t="s">
        <v>11096</v>
      </c>
      <c r="I1994" s="10"/>
      <c r="J1994" s="10"/>
      <c r="K1994" s="10"/>
    </row>
    <row r="1995" hidden="1">
      <c r="A1995" s="531" t="s">
        <v>13816</v>
      </c>
      <c r="B1995" s="531">
        <v>2345.0</v>
      </c>
      <c r="C1995" s="11" t="s">
        <v>11095</v>
      </c>
      <c r="D1995" s="533">
        <v>0.9</v>
      </c>
      <c r="E1995" s="533">
        <v>0.9</v>
      </c>
      <c r="F1995" s="11" t="s">
        <v>1656</v>
      </c>
      <c r="G1995" s="10"/>
      <c r="H1995" s="11" t="s">
        <v>11096</v>
      </c>
      <c r="I1995" s="10"/>
      <c r="J1995" s="10"/>
      <c r="K1995" s="10"/>
    </row>
    <row r="1996" hidden="1">
      <c r="A1996" s="531" t="s">
        <v>13817</v>
      </c>
      <c r="B1996" s="531">
        <v>6732.0</v>
      </c>
      <c r="C1996" s="11" t="s">
        <v>11095</v>
      </c>
      <c r="D1996" s="533">
        <v>0.8</v>
      </c>
      <c r="E1996" s="533">
        <v>0.8</v>
      </c>
      <c r="F1996" s="11" t="s">
        <v>1656</v>
      </c>
      <c r="G1996" s="10"/>
      <c r="H1996" s="11" t="s">
        <v>11096</v>
      </c>
      <c r="I1996" s="10"/>
      <c r="J1996" s="10"/>
      <c r="K1996" s="10"/>
    </row>
    <row r="1997" hidden="1">
      <c r="A1997" s="531" t="s">
        <v>13818</v>
      </c>
      <c r="B1997" s="531">
        <v>6780.0</v>
      </c>
      <c r="C1997" s="11" t="s">
        <v>11095</v>
      </c>
      <c r="D1997" s="533">
        <v>0.75</v>
      </c>
      <c r="E1997" s="533">
        <v>0.75</v>
      </c>
      <c r="F1997" s="11" t="s">
        <v>1656</v>
      </c>
      <c r="G1997" s="10"/>
      <c r="H1997" s="11" t="s">
        <v>11096</v>
      </c>
      <c r="I1997" s="10"/>
      <c r="J1997" s="10"/>
      <c r="K1997" s="10"/>
    </row>
    <row r="1998" hidden="1">
      <c r="A1998" s="531" t="s">
        <v>13819</v>
      </c>
      <c r="B1998" s="531">
        <v>6133.0</v>
      </c>
      <c r="C1998" s="11" t="s">
        <v>11095</v>
      </c>
      <c r="D1998" s="533">
        <v>0.75</v>
      </c>
      <c r="E1998" s="533">
        <v>0.75</v>
      </c>
      <c r="F1998" s="11" t="s">
        <v>1656</v>
      </c>
      <c r="G1998" s="10"/>
      <c r="H1998" s="11" t="s">
        <v>11096</v>
      </c>
      <c r="I1998" s="10"/>
      <c r="J1998" s="10"/>
      <c r="K1998" s="10"/>
    </row>
    <row r="1999" hidden="1">
      <c r="A1999" s="531" t="s">
        <v>13820</v>
      </c>
      <c r="B1999" s="531">
        <v>285.0</v>
      </c>
      <c r="C1999" s="11" t="s">
        <v>11095</v>
      </c>
      <c r="D1999" s="533">
        <v>0.88</v>
      </c>
      <c r="E1999" s="533">
        <v>0.88</v>
      </c>
      <c r="F1999" s="11" t="s">
        <v>1656</v>
      </c>
      <c r="G1999" s="10"/>
      <c r="H1999" s="11" t="s">
        <v>11096</v>
      </c>
      <c r="I1999" s="10"/>
      <c r="J1999" s="10"/>
      <c r="K1999" s="10"/>
    </row>
    <row r="2000" hidden="1">
      <c r="A2000" s="531" t="s">
        <v>13821</v>
      </c>
      <c r="B2000" s="531">
        <v>2345.0</v>
      </c>
      <c r="C2000" s="11" t="s">
        <v>11095</v>
      </c>
      <c r="D2000" s="533">
        <v>0.9</v>
      </c>
      <c r="E2000" s="533">
        <v>0.9</v>
      </c>
      <c r="F2000" s="11" t="s">
        <v>1656</v>
      </c>
      <c r="G2000" s="10"/>
      <c r="H2000" s="11" t="s">
        <v>11096</v>
      </c>
      <c r="I2000" s="10"/>
      <c r="J2000" s="10"/>
      <c r="K2000" s="10"/>
    </row>
    <row r="2001" hidden="1">
      <c r="A2001" s="531" t="s">
        <v>13822</v>
      </c>
      <c r="B2001" s="531">
        <v>2345.0</v>
      </c>
      <c r="C2001" s="11" t="s">
        <v>11095</v>
      </c>
      <c r="D2001" s="533">
        <v>0.9</v>
      </c>
      <c r="E2001" s="533">
        <v>0.9</v>
      </c>
      <c r="F2001" s="11" t="s">
        <v>1656</v>
      </c>
      <c r="G2001" s="10"/>
      <c r="H2001" s="11" t="s">
        <v>11096</v>
      </c>
      <c r="I2001" s="10"/>
      <c r="J2001" s="10"/>
      <c r="K2001" s="10"/>
    </row>
    <row r="2002" hidden="1">
      <c r="A2002" s="531" t="s">
        <v>13823</v>
      </c>
      <c r="B2002" s="531">
        <v>2345.0</v>
      </c>
      <c r="C2002" s="11" t="s">
        <v>11095</v>
      </c>
      <c r="D2002" s="533">
        <v>0.9</v>
      </c>
      <c r="E2002" s="533">
        <v>0.9</v>
      </c>
      <c r="F2002" s="11" t="s">
        <v>1656</v>
      </c>
      <c r="G2002" s="10"/>
      <c r="H2002" s="11" t="s">
        <v>11096</v>
      </c>
      <c r="I2002" s="10"/>
      <c r="J2002" s="10"/>
      <c r="K2002" s="10"/>
    </row>
    <row r="2003" hidden="1">
      <c r="A2003" s="531" t="s">
        <v>13824</v>
      </c>
      <c r="B2003" s="531">
        <v>2345.0</v>
      </c>
      <c r="C2003" s="11" t="s">
        <v>11095</v>
      </c>
      <c r="D2003" s="533">
        <v>0.9</v>
      </c>
      <c r="E2003" s="533">
        <v>0.9</v>
      </c>
      <c r="F2003" s="11" t="s">
        <v>1656</v>
      </c>
      <c r="G2003" s="10"/>
      <c r="H2003" s="11" t="s">
        <v>11096</v>
      </c>
      <c r="I2003" s="10"/>
      <c r="J2003" s="10"/>
      <c r="K2003" s="10"/>
    </row>
    <row r="2004" hidden="1">
      <c r="A2004" s="531" t="s">
        <v>13825</v>
      </c>
      <c r="B2004" s="531">
        <v>5488.0</v>
      </c>
      <c r="C2004" s="11" t="s">
        <v>11095</v>
      </c>
      <c r="D2004" s="533">
        <v>0.75</v>
      </c>
      <c r="E2004" s="533">
        <v>0.75</v>
      </c>
      <c r="F2004" s="11" t="s">
        <v>1656</v>
      </c>
      <c r="G2004" s="10"/>
      <c r="H2004" s="11" t="s">
        <v>11096</v>
      </c>
      <c r="I2004" s="10"/>
      <c r="J2004" s="10"/>
      <c r="K2004" s="10"/>
    </row>
    <row r="2005" hidden="1">
      <c r="A2005" s="531" t="s">
        <v>13826</v>
      </c>
      <c r="B2005" s="531">
        <v>6998.0</v>
      </c>
      <c r="C2005" s="11" t="s">
        <v>11095</v>
      </c>
      <c r="D2005" s="533">
        <v>0.75</v>
      </c>
      <c r="E2005" s="533">
        <v>0.75</v>
      </c>
      <c r="F2005" s="11" t="s">
        <v>1656</v>
      </c>
      <c r="G2005" s="10"/>
      <c r="H2005" s="11" t="s">
        <v>11096</v>
      </c>
      <c r="I2005" s="10"/>
      <c r="J2005" s="10"/>
      <c r="K2005" s="10"/>
    </row>
    <row r="2006" hidden="1">
      <c r="A2006" s="531" t="s">
        <v>13827</v>
      </c>
      <c r="B2006" s="531">
        <v>986.0</v>
      </c>
      <c r="C2006" s="11" t="s">
        <v>11095</v>
      </c>
      <c r="D2006" s="533">
        <v>0.85</v>
      </c>
      <c r="E2006" s="533">
        <v>0.85</v>
      </c>
      <c r="F2006" s="11" t="s">
        <v>1656</v>
      </c>
      <c r="G2006" s="10"/>
      <c r="H2006" s="11" t="s">
        <v>11096</v>
      </c>
      <c r="I2006" s="10"/>
      <c r="J2006" s="10"/>
      <c r="K2006" s="10"/>
    </row>
    <row r="2007" hidden="1">
      <c r="A2007" s="531" t="s">
        <v>13828</v>
      </c>
      <c r="B2007" s="531">
        <v>489.0</v>
      </c>
      <c r="C2007" s="11" t="s">
        <v>11095</v>
      </c>
      <c r="D2007" s="533">
        <v>0.75</v>
      </c>
      <c r="E2007" s="533">
        <v>0.75</v>
      </c>
      <c r="F2007" s="11" t="s">
        <v>1656</v>
      </c>
      <c r="G2007" s="10"/>
      <c r="H2007" s="11" t="s">
        <v>11096</v>
      </c>
      <c r="I2007" s="10"/>
      <c r="J2007" s="10"/>
      <c r="K2007" s="10"/>
    </row>
    <row r="2008" hidden="1">
      <c r="A2008" s="531" t="s">
        <v>13829</v>
      </c>
      <c r="B2008" s="531">
        <v>6732.0</v>
      </c>
      <c r="C2008" s="11" t="s">
        <v>11095</v>
      </c>
      <c r="D2008" s="533">
        <v>0.8</v>
      </c>
      <c r="E2008" s="533">
        <v>0.8</v>
      </c>
      <c r="F2008" s="11" t="s">
        <v>1656</v>
      </c>
      <c r="G2008" s="10"/>
      <c r="H2008" s="11" t="s">
        <v>11096</v>
      </c>
      <c r="I2008" s="10"/>
      <c r="J2008" s="10"/>
      <c r="K2008" s="10"/>
    </row>
    <row r="2009" hidden="1">
      <c r="A2009" s="531" t="s">
        <v>13830</v>
      </c>
      <c r="B2009" s="531">
        <v>6727.0</v>
      </c>
      <c r="C2009" s="11" t="s">
        <v>11095</v>
      </c>
      <c r="D2009" s="533">
        <v>0.75</v>
      </c>
      <c r="E2009" s="533">
        <v>0.75</v>
      </c>
      <c r="F2009" s="11" t="s">
        <v>1656</v>
      </c>
      <c r="G2009" s="10"/>
      <c r="H2009" s="11" t="s">
        <v>11096</v>
      </c>
      <c r="I2009" s="10"/>
      <c r="J2009" s="10"/>
      <c r="K2009" s="10"/>
    </row>
    <row r="2010" hidden="1">
      <c r="A2010" s="531" t="s">
        <v>13831</v>
      </c>
      <c r="B2010" s="531">
        <v>2345.0</v>
      </c>
      <c r="C2010" s="11" t="s">
        <v>11095</v>
      </c>
      <c r="D2010" s="533">
        <v>0.9</v>
      </c>
      <c r="E2010" s="533">
        <v>0.9</v>
      </c>
      <c r="F2010" s="11" t="s">
        <v>1656</v>
      </c>
      <c r="G2010" s="10"/>
      <c r="H2010" s="11" t="s">
        <v>11096</v>
      </c>
      <c r="I2010" s="10"/>
      <c r="J2010" s="10"/>
      <c r="K2010" s="10"/>
    </row>
    <row r="2011" hidden="1">
      <c r="A2011" s="531" t="s">
        <v>13832</v>
      </c>
      <c r="B2011" s="531">
        <v>189.0</v>
      </c>
      <c r="C2011" s="11" t="s">
        <v>11095</v>
      </c>
      <c r="D2011" s="533">
        <v>0.88</v>
      </c>
      <c r="E2011" s="533">
        <v>0.88</v>
      </c>
      <c r="F2011" s="11" t="s">
        <v>1656</v>
      </c>
      <c r="G2011" s="10"/>
      <c r="H2011" s="11" t="s">
        <v>11096</v>
      </c>
      <c r="I2011" s="10"/>
      <c r="J2011" s="10"/>
      <c r="K2011" s="10"/>
    </row>
    <row r="2012" hidden="1">
      <c r="A2012" s="531" t="s">
        <v>13833</v>
      </c>
      <c r="B2012" s="531">
        <v>2345.0</v>
      </c>
      <c r="C2012" s="11" t="s">
        <v>11095</v>
      </c>
      <c r="D2012" s="533">
        <v>0.9</v>
      </c>
      <c r="E2012" s="533">
        <v>0.9</v>
      </c>
      <c r="F2012" s="11" t="s">
        <v>1656</v>
      </c>
      <c r="G2012" s="10"/>
      <c r="H2012" s="11" t="s">
        <v>11096</v>
      </c>
      <c r="I2012" s="10"/>
      <c r="J2012" s="10"/>
      <c r="K2012" s="10"/>
    </row>
    <row r="2013" hidden="1">
      <c r="A2013" s="531" t="s">
        <v>13834</v>
      </c>
      <c r="B2013" s="531">
        <v>2345.0</v>
      </c>
      <c r="C2013" s="11" t="s">
        <v>11095</v>
      </c>
      <c r="D2013" s="533">
        <v>0.9</v>
      </c>
      <c r="E2013" s="533">
        <v>0.9</v>
      </c>
      <c r="F2013" s="11" t="s">
        <v>1656</v>
      </c>
      <c r="G2013" s="10"/>
      <c r="H2013" s="11" t="s">
        <v>11096</v>
      </c>
      <c r="I2013" s="10"/>
      <c r="J2013" s="10"/>
      <c r="K2013" s="10"/>
    </row>
    <row r="2014" hidden="1">
      <c r="A2014" s="531" t="s">
        <v>13835</v>
      </c>
      <c r="B2014" s="531">
        <v>986.0</v>
      </c>
      <c r="C2014" s="11" t="s">
        <v>11095</v>
      </c>
      <c r="D2014" s="533">
        <v>0.85</v>
      </c>
      <c r="E2014" s="533">
        <v>0.85</v>
      </c>
      <c r="F2014" s="11" t="s">
        <v>1656</v>
      </c>
      <c r="G2014" s="10"/>
      <c r="H2014" s="11" t="s">
        <v>11096</v>
      </c>
      <c r="I2014" s="10"/>
      <c r="J2014" s="10"/>
      <c r="K2014" s="10"/>
    </row>
    <row r="2015" hidden="1">
      <c r="A2015" s="531" t="s">
        <v>13836</v>
      </c>
      <c r="B2015" s="531">
        <v>6732.0</v>
      </c>
      <c r="C2015" s="11" t="s">
        <v>11095</v>
      </c>
      <c r="D2015" s="533">
        <v>0.8</v>
      </c>
      <c r="E2015" s="533">
        <v>0.8</v>
      </c>
      <c r="F2015" s="11" t="s">
        <v>1656</v>
      </c>
      <c r="G2015" s="10"/>
      <c r="H2015" s="11" t="s">
        <v>11096</v>
      </c>
      <c r="I2015" s="10"/>
      <c r="J2015" s="10"/>
      <c r="K2015" s="10"/>
    </row>
    <row r="2016" hidden="1">
      <c r="A2016" s="531" t="s">
        <v>13837</v>
      </c>
      <c r="B2016" s="531">
        <v>2345.0</v>
      </c>
      <c r="C2016" s="11" t="s">
        <v>11095</v>
      </c>
      <c r="D2016" s="533">
        <v>0.9</v>
      </c>
      <c r="E2016" s="533">
        <v>0.9</v>
      </c>
      <c r="F2016" s="11" t="s">
        <v>1656</v>
      </c>
      <c r="G2016" s="10"/>
      <c r="H2016" s="11" t="s">
        <v>11096</v>
      </c>
      <c r="I2016" s="10"/>
      <c r="J2016" s="10"/>
      <c r="K2016" s="10"/>
    </row>
    <row r="2017" hidden="1">
      <c r="A2017" s="531" t="s">
        <v>13838</v>
      </c>
      <c r="B2017" s="531">
        <v>6727.0</v>
      </c>
      <c r="C2017" s="11" t="s">
        <v>11095</v>
      </c>
      <c r="D2017" s="533">
        <v>0.75</v>
      </c>
      <c r="E2017" s="533">
        <v>0.75</v>
      </c>
      <c r="F2017" s="11" t="s">
        <v>1656</v>
      </c>
      <c r="G2017" s="10"/>
      <c r="H2017" s="11" t="s">
        <v>11096</v>
      </c>
      <c r="I2017" s="10"/>
      <c r="J2017" s="10"/>
      <c r="K2017" s="10"/>
    </row>
    <row r="2018" hidden="1">
      <c r="A2018" s="531" t="s">
        <v>13839</v>
      </c>
      <c r="B2018" s="531">
        <v>285.0</v>
      </c>
      <c r="C2018" s="11" t="s">
        <v>11095</v>
      </c>
      <c r="D2018" s="533">
        <v>0.88</v>
      </c>
      <c r="E2018" s="533">
        <v>0.88</v>
      </c>
      <c r="F2018" s="11" t="s">
        <v>1656</v>
      </c>
      <c r="G2018" s="10"/>
      <c r="H2018" s="11" t="s">
        <v>11096</v>
      </c>
      <c r="I2018" s="10"/>
      <c r="J2018" s="10"/>
      <c r="K2018" s="10"/>
    </row>
    <row r="2019" hidden="1">
      <c r="A2019" s="531" t="s">
        <v>13840</v>
      </c>
      <c r="B2019" s="531">
        <v>2345.0</v>
      </c>
      <c r="C2019" s="11" t="s">
        <v>11095</v>
      </c>
      <c r="D2019" s="533">
        <v>0.9</v>
      </c>
      <c r="E2019" s="533">
        <v>0.9</v>
      </c>
      <c r="F2019" s="11" t="s">
        <v>1656</v>
      </c>
      <c r="G2019" s="10"/>
      <c r="H2019" s="11" t="s">
        <v>11096</v>
      </c>
      <c r="I2019" s="10"/>
      <c r="J2019" s="10"/>
      <c r="K2019" s="10"/>
    </row>
    <row r="2020" hidden="1">
      <c r="A2020" s="531" t="s">
        <v>13841</v>
      </c>
      <c r="B2020" s="531">
        <v>6732.0</v>
      </c>
      <c r="C2020" s="11" t="s">
        <v>11095</v>
      </c>
      <c r="D2020" s="533">
        <v>0.8</v>
      </c>
      <c r="E2020" s="533">
        <v>0.8</v>
      </c>
      <c r="F2020" s="11" t="s">
        <v>1656</v>
      </c>
      <c r="G2020" s="10"/>
      <c r="H2020" s="11" t="s">
        <v>11096</v>
      </c>
      <c r="I2020" s="10"/>
      <c r="J2020" s="10"/>
      <c r="K2020" s="10"/>
    </row>
    <row r="2021" hidden="1">
      <c r="A2021" s="531" t="s">
        <v>13842</v>
      </c>
      <c r="B2021" s="531">
        <v>2345.0</v>
      </c>
      <c r="C2021" s="11" t="s">
        <v>11095</v>
      </c>
      <c r="D2021" s="533">
        <v>0.9</v>
      </c>
      <c r="E2021" s="533">
        <v>0.9</v>
      </c>
      <c r="F2021" s="11" t="s">
        <v>1656</v>
      </c>
      <c r="G2021" s="10"/>
      <c r="H2021" s="11" t="s">
        <v>11096</v>
      </c>
      <c r="I2021" s="10"/>
      <c r="J2021" s="10"/>
      <c r="K2021" s="10"/>
    </row>
    <row r="2022" hidden="1">
      <c r="A2022" s="531" t="s">
        <v>13843</v>
      </c>
      <c r="B2022" s="531">
        <v>6732.0</v>
      </c>
      <c r="C2022" s="11" t="s">
        <v>11095</v>
      </c>
      <c r="D2022" s="533">
        <v>0.8</v>
      </c>
      <c r="E2022" s="533">
        <v>0.8</v>
      </c>
      <c r="F2022" s="11" t="s">
        <v>1656</v>
      </c>
      <c r="G2022" s="10"/>
      <c r="H2022" s="11" t="s">
        <v>11096</v>
      </c>
      <c r="I2022" s="10"/>
      <c r="J2022" s="10"/>
      <c r="K2022" s="10"/>
    </row>
    <row r="2023" hidden="1">
      <c r="A2023" s="531" t="s">
        <v>13844</v>
      </c>
      <c r="B2023" s="531">
        <v>7333.0</v>
      </c>
      <c r="C2023" s="11" t="s">
        <v>11095</v>
      </c>
      <c r="D2023" s="533">
        <v>0.75</v>
      </c>
      <c r="E2023" s="533">
        <v>0.75</v>
      </c>
      <c r="F2023" s="11" t="s">
        <v>1656</v>
      </c>
      <c r="G2023" s="10"/>
      <c r="H2023" s="11" t="s">
        <v>11096</v>
      </c>
      <c r="I2023" s="10"/>
      <c r="J2023" s="10"/>
      <c r="K2023" s="10"/>
    </row>
    <row r="2024" hidden="1">
      <c r="A2024" s="531" t="s">
        <v>13845</v>
      </c>
      <c r="B2024" s="531">
        <v>285.0</v>
      </c>
      <c r="C2024" s="11" t="s">
        <v>11095</v>
      </c>
      <c r="D2024" s="533">
        <v>0.88</v>
      </c>
      <c r="E2024" s="533">
        <v>0.88</v>
      </c>
      <c r="F2024" s="11" t="s">
        <v>1656</v>
      </c>
      <c r="G2024" s="10"/>
      <c r="H2024" s="11" t="s">
        <v>11096</v>
      </c>
      <c r="I2024" s="10"/>
      <c r="J2024" s="10"/>
      <c r="K2024" s="10"/>
    </row>
    <row r="2025" hidden="1">
      <c r="A2025" s="531" t="s">
        <v>13846</v>
      </c>
      <c r="B2025" s="531">
        <v>6732.0</v>
      </c>
      <c r="C2025" s="11" t="s">
        <v>11095</v>
      </c>
      <c r="D2025" s="533">
        <v>0.8</v>
      </c>
      <c r="E2025" s="533">
        <v>0.8</v>
      </c>
      <c r="F2025" s="11" t="s">
        <v>1656</v>
      </c>
      <c r="G2025" s="10"/>
      <c r="H2025" s="11" t="s">
        <v>11096</v>
      </c>
      <c r="I2025" s="10"/>
      <c r="J2025" s="10"/>
      <c r="K2025" s="10"/>
    </row>
    <row r="2026" hidden="1">
      <c r="A2026" s="531" t="s">
        <v>13847</v>
      </c>
      <c r="B2026" s="531">
        <v>285.0</v>
      </c>
      <c r="C2026" s="11" t="s">
        <v>11095</v>
      </c>
      <c r="D2026" s="533">
        <v>0.88</v>
      </c>
      <c r="E2026" s="533">
        <v>0.88</v>
      </c>
      <c r="F2026" s="11" t="s">
        <v>1656</v>
      </c>
      <c r="G2026" s="10"/>
      <c r="H2026" s="11" t="s">
        <v>11096</v>
      </c>
      <c r="I2026" s="10"/>
      <c r="J2026" s="10"/>
      <c r="K2026" s="10"/>
    </row>
    <row r="2027" hidden="1">
      <c r="A2027" s="531" t="s">
        <v>13848</v>
      </c>
      <c r="B2027" s="531">
        <v>6908.0</v>
      </c>
      <c r="C2027" s="11" t="s">
        <v>11095</v>
      </c>
      <c r="D2027" s="533">
        <v>0.75</v>
      </c>
      <c r="E2027" s="533">
        <v>0.75</v>
      </c>
      <c r="F2027" s="11" t="s">
        <v>1656</v>
      </c>
      <c r="G2027" s="10"/>
      <c r="H2027" s="11" t="s">
        <v>11096</v>
      </c>
      <c r="I2027" s="10"/>
      <c r="J2027" s="10"/>
      <c r="K2027" s="10"/>
    </row>
    <row r="2028" hidden="1">
      <c r="A2028" s="531" t="s">
        <v>13849</v>
      </c>
      <c r="B2028" s="531">
        <v>6732.0</v>
      </c>
      <c r="C2028" s="11" t="s">
        <v>11095</v>
      </c>
      <c r="D2028" s="533">
        <v>0.8</v>
      </c>
      <c r="E2028" s="533">
        <v>0.8</v>
      </c>
      <c r="F2028" s="11" t="s">
        <v>1656</v>
      </c>
      <c r="G2028" s="10"/>
      <c r="H2028" s="11" t="s">
        <v>11096</v>
      </c>
      <c r="I2028" s="10"/>
      <c r="J2028" s="10"/>
      <c r="K2028" s="10"/>
    </row>
    <row r="2029" hidden="1">
      <c r="A2029" s="531" t="s">
        <v>13850</v>
      </c>
      <c r="B2029" s="531">
        <v>3404.0</v>
      </c>
      <c r="C2029" s="11" t="s">
        <v>11095</v>
      </c>
      <c r="D2029" s="533">
        <v>0.75</v>
      </c>
      <c r="E2029" s="533">
        <v>0.75</v>
      </c>
      <c r="F2029" s="11" t="s">
        <v>1656</v>
      </c>
      <c r="G2029" s="10"/>
      <c r="H2029" s="11" t="s">
        <v>11096</v>
      </c>
      <c r="I2029" s="10"/>
      <c r="J2029" s="10"/>
      <c r="K2029" s="10"/>
    </row>
    <row r="2030" hidden="1">
      <c r="A2030" s="531" t="s">
        <v>13851</v>
      </c>
      <c r="B2030" s="531">
        <v>285.0</v>
      </c>
      <c r="C2030" s="11" t="s">
        <v>11095</v>
      </c>
      <c r="D2030" s="533">
        <v>0.88</v>
      </c>
      <c r="E2030" s="533">
        <v>0.88</v>
      </c>
      <c r="F2030" s="11" t="s">
        <v>1656</v>
      </c>
      <c r="G2030" s="10"/>
      <c r="H2030" s="11" t="s">
        <v>11096</v>
      </c>
      <c r="I2030" s="10"/>
      <c r="J2030" s="10"/>
      <c r="K2030" s="10"/>
    </row>
    <row r="2031" hidden="1">
      <c r="A2031" s="531" t="s">
        <v>13852</v>
      </c>
      <c r="B2031" s="531">
        <v>986.0</v>
      </c>
      <c r="C2031" s="11" t="s">
        <v>11095</v>
      </c>
      <c r="D2031" s="533">
        <v>0.85</v>
      </c>
      <c r="E2031" s="533">
        <v>0.85</v>
      </c>
      <c r="F2031" s="11" t="s">
        <v>1656</v>
      </c>
      <c r="G2031" s="10"/>
      <c r="H2031" s="11" t="s">
        <v>11096</v>
      </c>
      <c r="I2031" s="10"/>
      <c r="J2031" s="10"/>
      <c r="K2031" s="10"/>
    </row>
    <row r="2032" hidden="1">
      <c r="A2032" s="531" t="s">
        <v>13853</v>
      </c>
      <c r="B2032" s="531">
        <v>3404.0</v>
      </c>
      <c r="C2032" s="11" t="s">
        <v>11095</v>
      </c>
      <c r="D2032" s="533">
        <v>0.75</v>
      </c>
      <c r="E2032" s="533">
        <v>0.75</v>
      </c>
      <c r="F2032" s="11" t="s">
        <v>1656</v>
      </c>
      <c r="G2032" s="10"/>
      <c r="H2032" s="11" t="s">
        <v>11096</v>
      </c>
      <c r="I2032" s="10"/>
      <c r="J2032" s="10"/>
      <c r="K2032" s="10"/>
    </row>
    <row r="2033" hidden="1">
      <c r="A2033" s="531" t="s">
        <v>13854</v>
      </c>
      <c r="B2033" s="531">
        <v>6732.0</v>
      </c>
      <c r="C2033" s="11" t="s">
        <v>11095</v>
      </c>
      <c r="D2033" s="533">
        <v>0.8</v>
      </c>
      <c r="E2033" s="533">
        <v>0.8</v>
      </c>
      <c r="F2033" s="11" t="s">
        <v>1656</v>
      </c>
      <c r="G2033" s="10"/>
      <c r="H2033" s="11" t="s">
        <v>11096</v>
      </c>
      <c r="I2033" s="10"/>
      <c r="J2033" s="10"/>
      <c r="K2033" s="10"/>
    </row>
    <row r="2034" hidden="1">
      <c r="A2034" s="531" t="s">
        <v>13855</v>
      </c>
      <c r="B2034" s="531">
        <v>6732.0</v>
      </c>
      <c r="C2034" s="11" t="s">
        <v>11095</v>
      </c>
      <c r="D2034" s="533">
        <v>0.8</v>
      </c>
      <c r="E2034" s="533">
        <v>0.8</v>
      </c>
      <c r="F2034" s="11" t="s">
        <v>1656</v>
      </c>
      <c r="G2034" s="10"/>
      <c r="H2034" s="11" t="s">
        <v>11096</v>
      </c>
      <c r="I2034" s="10"/>
      <c r="J2034" s="10"/>
      <c r="K2034" s="10"/>
    </row>
    <row r="2035" hidden="1">
      <c r="A2035" s="531" t="s">
        <v>13856</v>
      </c>
      <c r="B2035" s="531">
        <v>6732.0</v>
      </c>
      <c r="C2035" s="11" t="s">
        <v>11095</v>
      </c>
      <c r="D2035" s="533">
        <v>0.8</v>
      </c>
      <c r="E2035" s="533">
        <v>0.8</v>
      </c>
      <c r="F2035" s="11" t="s">
        <v>1656</v>
      </c>
      <c r="G2035" s="10"/>
      <c r="H2035" s="11" t="s">
        <v>11096</v>
      </c>
      <c r="I2035" s="10"/>
      <c r="J2035" s="10"/>
      <c r="K2035" s="10"/>
    </row>
    <row r="2036" hidden="1">
      <c r="A2036" s="531" t="s">
        <v>13857</v>
      </c>
      <c r="B2036" s="531">
        <v>6732.0</v>
      </c>
      <c r="C2036" s="11" t="s">
        <v>11095</v>
      </c>
      <c r="D2036" s="533">
        <v>0.8</v>
      </c>
      <c r="E2036" s="533">
        <v>0.8</v>
      </c>
      <c r="F2036" s="11" t="s">
        <v>1656</v>
      </c>
      <c r="G2036" s="10"/>
      <c r="H2036" s="11" t="s">
        <v>11096</v>
      </c>
      <c r="I2036" s="10"/>
      <c r="J2036" s="10"/>
      <c r="K2036" s="10"/>
    </row>
    <row r="2037" hidden="1">
      <c r="A2037" s="531" t="s">
        <v>13858</v>
      </c>
      <c r="B2037" s="531">
        <v>3404.0</v>
      </c>
      <c r="C2037" s="11" t="s">
        <v>11095</v>
      </c>
      <c r="D2037" s="533">
        <v>0.75</v>
      </c>
      <c r="E2037" s="533">
        <v>0.75</v>
      </c>
      <c r="F2037" s="11" t="s">
        <v>1656</v>
      </c>
      <c r="G2037" s="10"/>
      <c r="H2037" s="11" t="s">
        <v>11096</v>
      </c>
      <c r="I2037" s="10"/>
      <c r="J2037" s="10"/>
      <c r="K2037" s="10"/>
    </row>
    <row r="2038" hidden="1">
      <c r="A2038" s="531" t="s">
        <v>13859</v>
      </c>
      <c r="B2038" s="531">
        <v>6732.0</v>
      </c>
      <c r="C2038" s="11" t="s">
        <v>11095</v>
      </c>
      <c r="D2038" s="533">
        <v>0.8</v>
      </c>
      <c r="E2038" s="533">
        <v>0.8</v>
      </c>
      <c r="F2038" s="11" t="s">
        <v>1656</v>
      </c>
      <c r="G2038" s="10"/>
      <c r="H2038" s="11" t="s">
        <v>11096</v>
      </c>
      <c r="I2038" s="10"/>
      <c r="J2038" s="10"/>
      <c r="K2038" s="10"/>
    </row>
    <row r="2039" hidden="1">
      <c r="A2039" s="531" t="s">
        <v>13860</v>
      </c>
      <c r="B2039" s="531">
        <v>2345.0</v>
      </c>
      <c r="C2039" s="11" t="s">
        <v>11095</v>
      </c>
      <c r="D2039" s="533">
        <v>0.9</v>
      </c>
      <c r="E2039" s="533">
        <v>0.9</v>
      </c>
      <c r="F2039" s="11" t="s">
        <v>1656</v>
      </c>
      <c r="G2039" s="10"/>
      <c r="H2039" s="11" t="s">
        <v>11096</v>
      </c>
      <c r="I2039" s="10"/>
      <c r="J2039" s="10"/>
      <c r="K2039" s="10"/>
    </row>
    <row r="2040" hidden="1">
      <c r="A2040" s="531" t="s">
        <v>13861</v>
      </c>
      <c r="B2040" s="531">
        <v>986.0</v>
      </c>
      <c r="C2040" s="11" t="s">
        <v>11095</v>
      </c>
      <c r="D2040" s="533">
        <v>0.85</v>
      </c>
      <c r="E2040" s="533">
        <v>0.85</v>
      </c>
      <c r="F2040" s="11" t="s">
        <v>1656</v>
      </c>
      <c r="G2040" s="10"/>
      <c r="H2040" s="11" t="s">
        <v>11096</v>
      </c>
      <c r="I2040" s="10"/>
      <c r="J2040" s="10"/>
      <c r="K2040" s="10"/>
    </row>
    <row r="2041" hidden="1">
      <c r="A2041" s="531" t="s">
        <v>13862</v>
      </c>
      <c r="B2041" s="531">
        <v>3312.0</v>
      </c>
      <c r="C2041" s="11" t="s">
        <v>11095</v>
      </c>
      <c r="D2041" s="533">
        <v>0.75</v>
      </c>
      <c r="E2041" s="533">
        <v>0.75</v>
      </c>
      <c r="F2041" s="11" t="s">
        <v>1656</v>
      </c>
      <c r="G2041" s="10"/>
      <c r="H2041" s="11" t="s">
        <v>11096</v>
      </c>
      <c r="I2041" s="10"/>
      <c r="J2041" s="10"/>
      <c r="K2041" s="10"/>
    </row>
    <row r="2042" hidden="1">
      <c r="A2042" s="531" t="s">
        <v>13863</v>
      </c>
      <c r="B2042" s="531">
        <v>986.0</v>
      </c>
      <c r="C2042" s="11" t="s">
        <v>11095</v>
      </c>
      <c r="D2042" s="533">
        <v>0.85</v>
      </c>
      <c r="E2042" s="533">
        <v>0.85</v>
      </c>
      <c r="F2042" s="11" t="s">
        <v>1656</v>
      </c>
      <c r="G2042" s="10"/>
      <c r="H2042" s="11" t="s">
        <v>11096</v>
      </c>
      <c r="I2042" s="10"/>
      <c r="J2042" s="10"/>
      <c r="K2042" s="10"/>
    </row>
    <row r="2043" hidden="1">
      <c r="A2043" s="531" t="s">
        <v>13864</v>
      </c>
      <c r="B2043" s="531">
        <v>285.0</v>
      </c>
      <c r="C2043" s="11" t="s">
        <v>11095</v>
      </c>
      <c r="D2043" s="533">
        <v>0.88</v>
      </c>
      <c r="E2043" s="533">
        <v>0.88</v>
      </c>
      <c r="F2043" s="11" t="s">
        <v>1656</v>
      </c>
      <c r="G2043" s="10"/>
      <c r="H2043" s="11" t="s">
        <v>11096</v>
      </c>
      <c r="I2043" s="10"/>
      <c r="J2043" s="10"/>
      <c r="K2043" s="10"/>
    </row>
    <row r="2044" hidden="1">
      <c r="A2044" s="531" t="s">
        <v>13865</v>
      </c>
      <c r="B2044" s="531">
        <v>2345.0</v>
      </c>
      <c r="C2044" s="11" t="s">
        <v>11095</v>
      </c>
      <c r="D2044" s="533">
        <v>0.9</v>
      </c>
      <c r="E2044" s="533">
        <v>0.9</v>
      </c>
      <c r="F2044" s="11" t="s">
        <v>1656</v>
      </c>
      <c r="G2044" s="10"/>
      <c r="H2044" s="11" t="s">
        <v>11096</v>
      </c>
      <c r="I2044" s="10"/>
      <c r="J2044" s="10"/>
      <c r="K2044" s="10"/>
    </row>
    <row r="2045" hidden="1">
      <c r="A2045" s="531" t="s">
        <v>13866</v>
      </c>
      <c r="B2045" s="531">
        <v>2345.0</v>
      </c>
      <c r="C2045" s="11" t="s">
        <v>11095</v>
      </c>
      <c r="D2045" s="533">
        <v>0.9</v>
      </c>
      <c r="E2045" s="533">
        <v>0.9</v>
      </c>
      <c r="F2045" s="11" t="s">
        <v>1656</v>
      </c>
      <c r="G2045" s="10"/>
      <c r="H2045" s="11" t="s">
        <v>11096</v>
      </c>
      <c r="I2045" s="10"/>
      <c r="J2045" s="10"/>
      <c r="K2045" s="10"/>
    </row>
    <row r="2046" hidden="1">
      <c r="A2046" s="531" t="s">
        <v>13867</v>
      </c>
      <c r="B2046" s="531">
        <v>2345.0</v>
      </c>
      <c r="C2046" s="11" t="s">
        <v>11095</v>
      </c>
      <c r="D2046" s="533">
        <v>0.9</v>
      </c>
      <c r="E2046" s="533">
        <v>0.9</v>
      </c>
      <c r="F2046" s="11" t="s">
        <v>1656</v>
      </c>
      <c r="G2046" s="10"/>
      <c r="H2046" s="11" t="s">
        <v>11096</v>
      </c>
      <c r="I2046" s="10"/>
      <c r="J2046" s="10"/>
      <c r="K2046" s="10"/>
    </row>
    <row r="2047" hidden="1">
      <c r="A2047" s="531" t="s">
        <v>13868</v>
      </c>
      <c r="B2047" s="531">
        <v>285.0</v>
      </c>
      <c r="C2047" s="11" t="s">
        <v>11095</v>
      </c>
      <c r="D2047" s="533">
        <v>0.88</v>
      </c>
      <c r="E2047" s="533">
        <v>0.88</v>
      </c>
      <c r="F2047" s="11" t="s">
        <v>1656</v>
      </c>
      <c r="G2047" s="10"/>
      <c r="H2047" s="11" t="s">
        <v>11096</v>
      </c>
      <c r="I2047" s="10"/>
      <c r="J2047" s="10"/>
      <c r="K2047" s="10"/>
    </row>
    <row r="2048" hidden="1">
      <c r="A2048" s="531" t="s">
        <v>13869</v>
      </c>
      <c r="B2048" s="531">
        <v>6658.0</v>
      </c>
      <c r="C2048" s="11" t="s">
        <v>11095</v>
      </c>
      <c r="D2048" s="533">
        <v>0.85</v>
      </c>
      <c r="E2048" s="533">
        <v>0.85</v>
      </c>
      <c r="F2048" s="11" t="s">
        <v>1656</v>
      </c>
      <c r="G2048" s="10"/>
      <c r="H2048" s="11" t="s">
        <v>11096</v>
      </c>
      <c r="I2048" s="10"/>
      <c r="J2048" s="10"/>
      <c r="K2048" s="10"/>
    </row>
    <row r="2049" hidden="1">
      <c r="A2049" s="531" t="s">
        <v>13870</v>
      </c>
      <c r="B2049" s="531">
        <v>6767.0</v>
      </c>
      <c r="C2049" s="11" t="s">
        <v>11095</v>
      </c>
      <c r="D2049" s="533">
        <v>0.75</v>
      </c>
      <c r="E2049" s="533">
        <v>0.75</v>
      </c>
      <c r="F2049" s="11" t="s">
        <v>1656</v>
      </c>
      <c r="G2049" s="10"/>
      <c r="H2049" s="11" t="s">
        <v>11096</v>
      </c>
      <c r="I2049" s="10"/>
      <c r="J2049" s="10"/>
      <c r="K2049" s="10"/>
    </row>
    <row r="2050" hidden="1">
      <c r="A2050" s="531" t="s">
        <v>13871</v>
      </c>
      <c r="B2050" s="531">
        <v>285.0</v>
      </c>
      <c r="C2050" s="11" t="s">
        <v>11095</v>
      </c>
      <c r="D2050" s="533">
        <v>0.88</v>
      </c>
      <c r="E2050" s="533">
        <v>0.88</v>
      </c>
      <c r="F2050" s="11" t="s">
        <v>1656</v>
      </c>
      <c r="G2050" s="10"/>
      <c r="H2050" s="11" t="s">
        <v>11096</v>
      </c>
      <c r="I2050" s="10"/>
      <c r="J2050" s="10"/>
      <c r="K2050" s="10"/>
    </row>
    <row r="2051" hidden="1">
      <c r="A2051" s="531" t="s">
        <v>13872</v>
      </c>
      <c r="B2051" s="531">
        <v>285.0</v>
      </c>
      <c r="C2051" s="11" t="s">
        <v>11095</v>
      </c>
      <c r="D2051" s="533">
        <v>0.88</v>
      </c>
      <c r="E2051" s="533">
        <v>0.88</v>
      </c>
      <c r="F2051" s="11" t="s">
        <v>1656</v>
      </c>
      <c r="G2051" s="10"/>
      <c r="H2051" s="11" t="s">
        <v>11096</v>
      </c>
      <c r="I2051" s="10"/>
      <c r="J2051" s="10"/>
      <c r="K2051" s="10"/>
    </row>
    <row r="2052" hidden="1">
      <c r="A2052" s="531" t="s">
        <v>13873</v>
      </c>
      <c r="B2052" s="531">
        <v>6972.0</v>
      </c>
      <c r="C2052" s="11" t="s">
        <v>11095</v>
      </c>
      <c r="D2052" s="533">
        <v>0.75</v>
      </c>
      <c r="E2052" s="533">
        <v>0.75</v>
      </c>
      <c r="F2052" s="11" t="s">
        <v>1656</v>
      </c>
      <c r="G2052" s="10"/>
      <c r="H2052" s="11" t="s">
        <v>11096</v>
      </c>
      <c r="I2052" s="10"/>
      <c r="J2052" s="10"/>
      <c r="K2052" s="10"/>
    </row>
    <row r="2053" hidden="1">
      <c r="A2053" s="531" t="s">
        <v>13874</v>
      </c>
      <c r="B2053" s="531">
        <v>14516.0</v>
      </c>
      <c r="C2053" s="11" t="s">
        <v>11095</v>
      </c>
      <c r="D2053" s="533">
        <v>0.75</v>
      </c>
      <c r="E2053" s="533">
        <v>0.75</v>
      </c>
      <c r="F2053" s="11" t="s">
        <v>1656</v>
      </c>
      <c r="G2053" s="10"/>
      <c r="H2053" s="11" t="s">
        <v>11096</v>
      </c>
      <c r="I2053" s="10"/>
      <c r="J2053" s="10"/>
      <c r="K2053" s="10"/>
    </row>
    <row r="2054" hidden="1">
      <c r="A2054" s="531" t="s">
        <v>13875</v>
      </c>
      <c r="B2054" s="531">
        <v>285.0</v>
      </c>
      <c r="C2054" s="11" t="s">
        <v>11095</v>
      </c>
      <c r="D2054" s="533">
        <v>0.88</v>
      </c>
      <c r="E2054" s="533">
        <v>0.88</v>
      </c>
      <c r="F2054" s="11" t="s">
        <v>1656</v>
      </c>
      <c r="G2054" s="10"/>
      <c r="H2054" s="11" t="s">
        <v>11096</v>
      </c>
      <c r="I2054" s="10"/>
      <c r="J2054" s="10"/>
      <c r="K2054" s="10"/>
    </row>
    <row r="2055" hidden="1">
      <c r="A2055" s="531" t="s">
        <v>13876</v>
      </c>
      <c r="B2055" s="531">
        <v>986.0</v>
      </c>
      <c r="C2055" s="11" t="s">
        <v>11095</v>
      </c>
      <c r="D2055" s="533">
        <v>0.85</v>
      </c>
      <c r="E2055" s="533">
        <v>0.85</v>
      </c>
      <c r="F2055" s="11" t="s">
        <v>1656</v>
      </c>
      <c r="G2055" s="10"/>
      <c r="H2055" s="11" t="s">
        <v>11096</v>
      </c>
      <c r="I2055" s="10"/>
      <c r="J2055" s="10"/>
      <c r="K2055" s="10"/>
    </row>
    <row r="2056" hidden="1">
      <c r="A2056" s="531" t="s">
        <v>13877</v>
      </c>
      <c r="B2056" s="531">
        <v>6732.0</v>
      </c>
      <c r="C2056" s="11" t="s">
        <v>11095</v>
      </c>
      <c r="D2056" s="533">
        <v>0.8</v>
      </c>
      <c r="E2056" s="533">
        <v>0.8</v>
      </c>
      <c r="F2056" s="11" t="s">
        <v>1656</v>
      </c>
      <c r="G2056" s="10"/>
      <c r="H2056" s="11" t="s">
        <v>11096</v>
      </c>
      <c r="I2056" s="10"/>
      <c r="J2056" s="10"/>
      <c r="K2056" s="10"/>
    </row>
    <row r="2057" hidden="1">
      <c r="A2057" s="531" t="s">
        <v>13878</v>
      </c>
      <c r="B2057" s="531">
        <v>2345.0</v>
      </c>
      <c r="C2057" s="11" t="s">
        <v>11095</v>
      </c>
      <c r="D2057" s="533">
        <v>0.9</v>
      </c>
      <c r="E2057" s="533">
        <v>0.9</v>
      </c>
      <c r="F2057" s="11" t="s">
        <v>1656</v>
      </c>
      <c r="G2057" s="10"/>
      <c r="H2057" s="11" t="s">
        <v>11096</v>
      </c>
      <c r="I2057" s="10"/>
      <c r="J2057" s="10"/>
      <c r="K2057" s="10"/>
    </row>
    <row r="2058" hidden="1">
      <c r="A2058" s="531" t="s">
        <v>13879</v>
      </c>
      <c r="B2058" s="531">
        <v>6732.0</v>
      </c>
      <c r="C2058" s="11" t="s">
        <v>11095</v>
      </c>
      <c r="D2058" s="533">
        <v>0.8</v>
      </c>
      <c r="E2058" s="533">
        <v>0.8</v>
      </c>
      <c r="F2058" s="11" t="s">
        <v>1656</v>
      </c>
      <c r="G2058" s="10"/>
      <c r="H2058" s="11" t="s">
        <v>11096</v>
      </c>
      <c r="I2058" s="10"/>
      <c r="J2058" s="10"/>
      <c r="K2058" s="10"/>
    </row>
    <row r="2059" hidden="1">
      <c r="A2059" s="531" t="s">
        <v>13880</v>
      </c>
      <c r="B2059" s="531">
        <v>14590.0</v>
      </c>
      <c r="C2059" s="11" t="s">
        <v>11298</v>
      </c>
      <c r="D2059" s="533">
        <v>0.9</v>
      </c>
      <c r="E2059" s="533">
        <v>0.9</v>
      </c>
      <c r="F2059" s="11" t="s">
        <v>1656</v>
      </c>
      <c r="G2059" s="10"/>
      <c r="H2059" s="11" t="s">
        <v>11299</v>
      </c>
      <c r="I2059" s="10"/>
      <c r="J2059" s="10"/>
      <c r="K2059" s="10"/>
    </row>
    <row r="2060" hidden="1">
      <c r="A2060" s="531" t="s">
        <v>13881</v>
      </c>
      <c r="B2060" s="531">
        <v>11708.0</v>
      </c>
      <c r="C2060" s="11" t="s">
        <v>11095</v>
      </c>
      <c r="D2060" s="533">
        <v>0.75</v>
      </c>
      <c r="E2060" s="533">
        <v>0.75</v>
      </c>
      <c r="F2060" s="11" t="s">
        <v>1656</v>
      </c>
      <c r="G2060" s="10"/>
      <c r="H2060" s="11" t="s">
        <v>11096</v>
      </c>
      <c r="I2060" s="10"/>
      <c r="J2060" s="10"/>
      <c r="K2060" s="10"/>
    </row>
    <row r="2061" hidden="1">
      <c r="A2061" s="531" t="s">
        <v>13882</v>
      </c>
      <c r="B2061" s="531">
        <v>6732.0</v>
      </c>
      <c r="C2061" s="11" t="s">
        <v>11095</v>
      </c>
      <c r="D2061" s="533">
        <v>0.8</v>
      </c>
      <c r="E2061" s="533">
        <v>0.8</v>
      </c>
      <c r="F2061" s="11" t="s">
        <v>1656</v>
      </c>
      <c r="G2061" s="10"/>
      <c r="H2061" s="11" t="s">
        <v>11096</v>
      </c>
      <c r="I2061" s="10"/>
      <c r="J2061" s="10"/>
      <c r="K2061" s="10"/>
    </row>
    <row r="2062" hidden="1">
      <c r="A2062" s="531" t="s">
        <v>13883</v>
      </c>
      <c r="B2062" s="531">
        <v>285.0</v>
      </c>
      <c r="C2062" s="11" t="s">
        <v>11095</v>
      </c>
      <c r="D2062" s="533">
        <v>0.88</v>
      </c>
      <c r="E2062" s="533">
        <v>0.88</v>
      </c>
      <c r="F2062" s="11" t="s">
        <v>1656</v>
      </c>
      <c r="G2062" s="10"/>
      <c r="H2062" s="11" t="s">
        <v>11096</v>
      </c>
      <c r="I2062" s="10"/>
      <c r="J2062" s="10"/>
      <c r="K2062" s="10"/>
    </row>
    <row r="2063" hidden="1">
      <c r="A2063" s="531" t="s">
        <v>13884</v>
      </c>
      <c r="B2063" s="531">
        <v>986.0</v>
      </c>
      <c r="C2063" s="11" t="s">
        <v>11095</v>
      </c>
      <c r="D2063" s="533">
        <v>0.85</v>
      </c>
      <c r="E2063" s="533">
        <v>0.85</v>
      </c>
      <c r="F2063" s="11" t="s">
        <v>1656</v>
      </c>
      <c r="G2063" s="10"/>
      <c r="H2063" s="11" t="s">
        <v>11096</v>
      </c>
      <c r="I2063" s="10"/>
      <c r="J2063" s="10"/>
      <c r="K2063" s="10"/>
    </row>
    <row r="2064" hidden="1">
      <c r="A2064" s="531" t="s">
        <v>13885</v>
      </c>
      <c r="B2064" s="531">
        <v>2345.0</v>
      </c>
      <c r="C2064" s="11" t="s">
        <v>11095</v>
      </c>
      <c r="D2064" s="533">
        <v>0.9</v>
      </c>
      <c r="E2064" s="533">
        <v>0.9</v>
      </c>
      <c r="F2064" s="11" t="s">
        <v>1656</v>
      </c>
      <c r="G2064" s="10"/>
      <c r="H2064" s="11" t="s">
        <v>11096</v>
      </c>
      <c r="I2064" s="10"/>
      <c r="J2064" s="10"/>
      <c r="K2064" s="10"/>
    </row>
    <row r="2065" hidden="1">
      <c r="A2065" s="531" t="s">
        <v>13886</v>
      </c>
      <c r="B2065" s="531">
        <v>285.0</v>
      </c>
      <c r="C2065" s="11" t="s">
        <v>11095</v>
      </c>
      <c r="D2065" s="533">
        <v>0.88</v>
      </c>
      <c r="E2065" s="533">
        <v>0.88</v>
      </c>
      <c r="F2065" s="11" t="s">
        <v>1656</v>
      </c>
      <c r="G2065" s="10"/>
      <c r="H2065" s="11" t="s">
        <v>11096</v>
      </c>
      <c r="I2065" s="10"/>
      <c r="J2065" s="10"/>
      <c r="K2065" s="10"/>
    </row>
    <row r="2066" hidden="1">
      <c r="A2066" s="531" t="s">
        <v>13887</v>
      </c>
      <c r="B2066" s="531">
        <v>6772.0</v>
      </c>
      <c r="C2066" s="11" t="s">
        <v>11095</v>
      </c>
      <c r="D2066" s="533">
        <v>0.75</v>
      </c>
      <c r="E2066" s="533">
        <v>0.75</v>
      </c>
      <c r="F2066" s="11" t="s">
        <v>1656</v>
      </c>
      <c r="G2066" s="10"/>
      <c r="H2066" s="11" t="s">
        <v>11096</v>
      </c>
      <c r="I2066" s="10"/>
      <c r="J2066" s="10"/>
      <c r="K2066" s="10"/>
    </row>
    <row r="2067" hidden="1">
      <c r="A2067" s="531" t="s">
        <v>13888</v>
      </c>
      <c r="B2067" s="531">
        <v>7003.0</v>
      </c>
      <c r="C2067" s="11" t="s">
        <v>11095</v>
      </c>
      <c r="D2067" s="533">
        <v>0.85</v>
      </c>
      <c r="E2067" s="533">
        <v>0.85</v>
      </c>
      <c r="F2067" s="11" t="s">
        <v>1656</v>
      </c>
      <c r="G2067" s="10"/>
      <c r="H2067" s="11" t="s">
        <v>11096</v>
      </c>
      <c r="I2067" s="10"/>
      <c r="J2067" s="10"/>
      <c r="K2067" s="10"/>
    </row>
    <row r="2068" hidden="1">
      <c r="A2068" s="531" t="s">
        <v>13889</v>
      </c>
      <c r="B2068" s="531">
        <v>2345.0</v>
      </c>
      <c r="C2068" s="11" t="s">
        <v>11095</v>
      </c>
      <c r="D2068" s="533">
        <v>0.9</v>
      </c>
      <c r="E2068" s="533">
        <v>0.9</v>
      </c>
      <c r="F2068" s="11" t="s">
        <v>1656</v>
      </c>
      <c r="G2068" s="10"/>
      <c r="H2068" s="11" t="s">
        <v>11096</v>
      </c>
      <c r="I2068" s="10"/>
      <c r="J2068" s="10"/>
      <c r="K2068" s="10"/>
    </row>
    <row r="2069" hidden="1">
      <c r="A2069" s="531" t="s">
        <v>13890</v>
      </c>
      <c r="B2069" s="531">
        <v>2345.0</v>
      </c>
      <c r="C2069" s="11" t="s">
        <v>11095</v>
      </c>
      <c r="D2069" s="533">
        <v>0.9</v>
      </c>
      <c r="E2069" s="533">
        <v>0.9</v>
      </c>
      <c r="F2069" s="11" t="s">
        <v>1656</v>
      </c>
      <c r="G2069" s="10"/>
      <c r="H2069" s="11" t="s">
        <v>11096</v>
      </c>
      <c r="I2069" s="10"/>
      <c r="J2069" s="10"/>
      <c r="K2069" s="10"/>
    </row>
    <row r="2070" hidden="1">
      <c r="A2070" s="531" t="s">
        <v>13891</v>
      </c>
      <c r="B2070" s="531">
        <v>986.0</v>
      </c>
      <c r="C2070" s="11" t="s">
        <v>11095</v>
      </c>
      <c r="D2070" s="533">
        <v>0.85</v>
      </c>
      <c r="E2070" s="533">
        <v>0.85</v>
      </c>
      <c r="F2070" s="11" t="s">
        <v>1656</v>
      </c>
      <c r="G2070" s="10"/>
      <c r="H2070" s="11" t="s">
        <v>11096</v>
      </c>
      <c r="I2070" s="10"/>
      <c r="J2070" s="10"/>
      <c r="K2070" s="10"/>
    </row>
    <row r="2071" hidden="1">
      <c r="A2071" s="531" t="s">
        <v>13892</v>
      </c>
      <c r="B2071" s="531">
        <v>986.0</v>
      </c>
      <c r="C2071" s="11" t="s">
        <v>11095</v>
      </c>
      <c r="D2071" s="533">
        <v>0.85</v>
      </c>
      <c r="E2071" s="533">
        <v>0.85</v>
      </c>
      <c r="F2071" s="11" t="s">
        <v>1656</v>
      </c>
      <c r="G2071" s="10"/>
      <c r="H2071" s="11" t="s">
        <v>11096</v>
      </c>
      <c r="I2071" s="10"/>
      <c r="J2071" s="10"/>
      <c r="K2071" s="10"/>
    </row>
    <row r="2072" hidden="1">
      <c r="A2072" s="531" t="s">
        <v>13893</v>
      </c>
      <c r="B2072" s="531">
        <v>14590.0</v>
      </c>
      <c r="C2072" s="11" t="s">
        <v>11298</v>
      </c>
      <c r="D2072" s="533">
        <v>0.9</v>
      </c>
      <c r="E2072" s="533">
        <v>0.9</v>
      </c>
      <c r="F2072" s="11" t="s">
        <v>1656</v>
      </c>
      <c r="G2072" s="10"/>
      <c r="H2072" s="11" t="s">
        <v>11299</v>
      </c>
      <c r="I2072" s="10"/>
      <c r="J2072" s="10"/>
      <c r="K2072" s="10"/>
    </row>
    <row r="2073" hidden="1">
      <c r="A2073" s="531" t="s">
        <v>13894</v>
      </c>
      <c r="B2073" s="531">
        <v>986.0</v>
      </c>
      <c r="C2073" s="11" t="s">
        <v>11095</v>
      </c>
      <c r="D2073" s="533">
        <v>0.85</v>
      </c>
      <c r="E2073" s="533">
        <v>0.85</v>
      </c>
      <c r="F2073" s="11" t="s">
        <v>1656</v>
      </c>
      <c r="G2073" s="10"/>
      <c r="H2073" s="11" t="s">
        <v>11096</v>
      </c>
      <c r="I2073" s="10"/>
      <c r="J2073" s="10"/>
      <c r="K2073" s="10"/>
    </row>
    <row r="2074" hidden="1">
      <c r="A2074" s="531" t="s">
        <v>13895</v>
      </c>
      <c r="B2074" s="531">
        <v>2345.0</v>
      </c>
      <c r="C2074" s="11" t="s">
        <v>11095</v>
      </c>
      <c r="D2074" s="533">
        <v>0.9</v>
      </c>
      <c r="E2074" s="533">
        <v>0.9</v>
      </c>
      <c r="F2074" s="11" t="s">
        <v>1656</v>
      </c>
      <c r="G2074" s="10"/>
      <c r="H2074" s="11" t="s">
        <v>11096</v>
      </c>
      <c r="I2074" s="10"/>
      <c r="J2074" s="10"/>
      <c r="K2074" s="10"/>
    </row>
    <row r="2075" hidden="1">
      <c r="A2075" s="531" t="s">
        <v>13896</v>
      </c>
      <c r="B2075" s="531">
        <v>189.0</v>
      </c>
      <c r="C2075" s="11" t="s">
        <v>11095</v>
      </c>
      <c r="D2075" s="533">
        <v>0.88</v>
      </c>
      <c r="E2075" s="533">
        <v>0.88</v>
      </c>
      <c r="F2075" s="11" t="s">
        <v>1656</v>
      </c>
      <c r="G2075" s="10"/>
      <c r="H2075" s="11" t="s">
        <v>11096</v>
      </c>
      <c r="I2075" s="10"/>
      <c r="J2075" s="10"/>
      <c r="K2075" s="10"/>
    </row>
    <row r="2076" hidden="1">
      <c r="A2076" s="531" t="s">
        <v>13897</v>
      </c>
      <c r="B2076" s="531">
        <v>6106.0</v>
      </c>
      <c r="C2076" s="11" t="s">
        <v>11095</v>
      </c>
      <c r="D2076" s="533">
        <v>0.75</v>
      </c>
      <c r="E2076" s="533">
        <v>0.75</v>
      </c>
      <c r="F2076" s="11" t="s">
        <v>1656</v>
      </c>
      <c r="G2076" s="10"/>
      <c r="H2076" s="11" t="s">
        <v>11096</v>
      </c>
      <c r="I2076" s="10"/>
      <c r="J2076" s="10"/>
      <c r="K2076" s="10"/>
    </row>
    <row r="2077" hidden="1">
      <c r="A2077" s="531" t="s">
        <v>13898</v>
      </c>
      <c r="B2077" s="531">
        <v>2345.0</v>
      </c>
      <c r="C2077" s="11" t="s">
        <v>11095</v>
      </c>
      <c r="D2077" s="533">
        <v>0.9</v>
      </c>
      <c r="E2077" s="533">
        <v>0.9</v>
      </c>
      <c r="F2077" s="11" t="s">
        <v>1656</v>
      </c>
      <c r="G2077" s="10"/>
      <c r="H2077" s="11" t="s">
        <v>11096</v>
      </c>
      <c r="I2077" s="10"/>
      <c r="J2077" s="10"/>
      <c r="K2077" s="10"/>
    </row>
    <row r="2078" hidden="1">
      <c r="A2078" s="531" t="s">
        <v>13899</v>
      </c>
      <c r="B2078" s="531">
        <v>6732.0</v>
      </c>
      <c r="C2078" s="11" t="s">
        <v>11095</v>
      </c>
      <c r="D2078" s="533">
        <v>0.8</v>
      </c>
      <c r="E2078" s="533">
        <v>0.8</v>
      </c>
      <c r="F2078" s="11" t="s">
        <v>1656</v>
      </c>
      <c r="G2078" s="10"/>
      <c r="H2078" s="11" t="s">
        <v>11096</v>
      </c>
      <c r="I2078" s="10"/>
      <c r="J2078" s="10"/>
      <c r="K2078" s="10"/>
    </row>
    <row r="2079" hidden="1">
      <c r="A2079" s="531" t="s">
        <v>13900</v>
      </c>
      <c r="B2079" s="531">
        <v>986.0</v>
      </c>
      <c r="C2079" s="11" t="s">
        <v>11095</v>
      </c>
      <c r="D2079" s="533">
        <v>0.85</v>
      </c>
      <c r="E2079" s="533">
        <v>0.85</v>
      </c>
      <c r="F2079" s="11" t="s">
        <v>1656</v>
      </c>
      <c r="G2079" s="10"/>
      <c r="H2079" s="11" t="s">
        <v>11096</v>
      </c>
      <c r="I2079" s="10"/>
      <c r="J2079" s="10"/>
      <c r="K2079" s="10"/>
    </row>
    <row r="2080" hidden="1">
      <c r="A2080" s="531" t="s">
        <v>13901</v>
      </c>
      <c r="B2080" s="531">
        <v>2345.0</v>
      </c>
      <c r="C2080" s="11" t="s">
        <v>11095</v>
      </c>
      <c r="D2080" s="533">
        <v>0.9</v>
      </c>
      <c r="E2080" s="533">
        <v>0.9</v>
      </c>
      <c r="F2080" s="11" t="s">
        <v>1656</v>
      </c>
      <c r="G2080" s="10"/>
      <c r="H2080" s="11" t="s">
        <v>11096</v>
      </c>
      <c r="I2080" s="10"/>
      <c r="J2080" s="10"/>
      <c r="K2080" s="10"/>
    </row>
    <row r="2081" hidden="1">
      <c r="A2081" s="531" t="s">
        <v>13902</v>
      </c>
      <c r="B2081" s="531">
        <v>285.0</v>
      </c>
      <c r="C2081" s="11" t="s">
        <v>11095</v>
      </c>
      <c r="D2081" s="533">
        <v>0.88</v>
      </c>
      <c r="E2081" s="533">
        <v>0.88</v>
      </c>
      <c r="F2081" s="11" t="s">
        <v>1656</v>
      </c>
      <c r="G2081" s="10"/>
      <c r="H2081" s="11" t="s">
        <v>11096</v>
      </c>
      <c r="I2081" s="10"/>
      <c r="J2081" s="10"/>
      <c r="K2081" s="10"/>
    </row>
    <row r="2082" hidden="1">
      <c r="A2082" s="531" t="s">
        <v>13903</v>
      </c>
      <c r="B2082" s="531">
        <v>6732.0</v>
      </c>
      <c r="C2082" s="11" t="s">
        <v>11095</v>
      </c>
      <c r="D2082" s="533">
        <v>0.8</v>
      </c>
      <c r="E2082" s="533">
        <v>0.8</v>
      </c>
      <c r="F2082" s="11" t="s">
        <v>1656</v>
      </c>
      <c r="G2082" s="10"/>
      <c r="H2082" s="11" t="s">
        <v>11096</v>
      </c>
      <c r="I2082" s="10"/>
      <c r="J2082" s="10"/>
      <c r="K2082" s="10"/>
    </row>
    <row r="2083" hidden="1">
      <c r="A2083" s="531" t="s">
        <v>13904</v>
      </c>
      <c r="B2083" s="531">
        <v>2345.0</v>
      </c>
      <c r="C2083" s="11" t="s">
        <v>11095</v>
      </c>
      <c r="D2083" s="533">
        <v>0.9</v>
      </c>
      <c r="E2083" s="533">
        <v>0.9</v>
      </c>
      <c r="F2083" s="11" t="s">
        <v>1656</v>
      </c>
      <c r="G2083" s="10"/>
      <c r="H2083" s="11" t="s">
        <v>11096</v>
      </c>
      <c r="I2083" s="10"/>
      <c r="J2083" s="10"/>
      <c r="K2083" s="10"/>
    </row>
    <row r="2084" hidden="1">
      <c r="A2084" s="531" t="s">
        <v>13905</v>
      </c>
      <c r="B2084" s="531">
        <v>2345.0</v>
      </c>
      <c r="C2084" s="11" t="s">
        <v>11095</v>
      </c>
      <c r="D2084" s="533">
        <v>0.9</v>
      </c>
      <c r="E2084" s="533">
        <v>0.9</v>
      </c>
      <c r="F2084" s="11" t="s">
        <v>1656</v>
      </c>
      <c r="G2084" s="10"/>
      <c r="H2084" s="11" t="s">
        <v>11096</v>
      </c>
      <c r="I2084" s="10"/>
      <c r="J2084" s="10"/>
      <c r="K2084" s="10"/>
    </row>
    <row r="2085" hidden="1">
      <c r="A2085" s="531" t="s">
        <v>13906</v>
      </c>
      <c r="B2085" s="531">
        <v>2345.0</v>
      </c>
      <c r="C2085" s="11" t="s">
        <v>11095</v>
      </c>
      <c r="D2085" s="533">
        <v>0.9</v>
      </c>
      <c r="E2085" s="533">
        <v>0.9</v>
      </c>
      <c r="F2085" s="11" t="s">
        <v>1656</v>
      </c>
      <c r="G2085" s="10"/>
      <c r="H2085" s="11" t="s">
        <v>11096</v>
      </c>
      <c r="I2085" s="10"/>
      <c r="J2085" s="10"/>
      <c r="K2085" s="10"/>
    </row>
    <row r="2086" hidden="1">
      <c r="A2086" s="531" t="s">
        <v>13907</v>
      </c>
      <c r="B2086" s="531">
        <v>285.0</v>
      </c>
      <c r="C2086" s="11" t="s">
        <v>11095</v>
      </c>
      <c r="D2086" s="533">
        <v>0.88</v>
      </c>
      <c r="E2086" s="533">
        <v>0.88</v>
      </c>
      <c r="F2086" s="11" t="s">
        <v>1656</v>
      </c>
      <c r="G2086" s="10"/>
      <c r="H2086" s="11" t="s">
        <v>11096</v>
      </c>
      <c r="I2086" s="10"/>
      <c r="J2086" s="10"/>
      <c r="K2086" s="10"/>
    </row>
    <row r="2087" hidden="1">
      <c r="A2087" s="531" t="s">
        <v>13908</v>
      </c>
      <c r="B2087" s="531">
        <v>2345.0</v>
      </c>
      <c r="C2087" s="11" t="s">
        <v>11095</v>
      </c>
      <c r="D2087" s="533">
        <v>0.9</v>
      </c>
      <c r="E2087" s="533">
        <v>0.9</v>
      </c>
      <c r="F2087" s="11" t="s">
        <v>1656</v>
      </c>
      <c r="G2087" s="10"/>
      <c r="H2087" s="11" t="s">
        <v>11096</v>
      </c>
      <c r="I2087" s="10"/>
      <c r="J2087" s="10"/>
      <c r="K2087" s="10"/>
    </row>
    <row r="2088" hidden="1">
      <c r="A2088" s="531" t="s">
        <v>13909</v>
      </c>
      <c r="B2088" s="531">
        <v>6732.0</v>
      </c>
      <c r="C2088" s="11" t="s">
        <v>11095</v>
      </c>
      <c r="D2088" s="533">
        <v>0.8</v>
      </c>
      <c r="E2088" s="533">
        <v>0.8</v>
      </c>
      <c r="F2088" s="11" t="s">
        <v>1656</v>
      </c>
      <c r="G2088" s="10"/>
      <c r="H2088" s="11" t="s">
        <v>11096</v>
      </c>
      <c r="I2088" s="10"/>
      <c r="J2088" s="10"/>
      <c r="K2088" s="10"/>
    </row>
    <row r="2089" hidden="1">
      <c r="A2089" s="531" t="s">
        <v>13910</v>
      </c>
      <c r="B2089" s="531">
        <v>2345.0</v>
      </c>
      <c r="C2089" s="11" t="s">
        <v>11095</v>
      </c>
      <c r="D2089" s="533">
        <v>0.9</v>
      </c>
      <c r="E2089" s="533">
        <v>0.9</v>
      </c>
      <c r="F2089" s="11" t="s">
        <v>1656</v>
      </c>
      <c r="G2089" s="10"/>
      <c r="H2089" s="11" t="s">
        <v>11096</v>
      </c>
      <c r="I2089" s="10"/>
      <c r="J2089" s="10"/>
      <c r="K2089" s="10"/>
    </row>
    <row r="2090" hidden="1">
      <c r="A2090" s="531" t="s">
        <v>13911</v>
      </c>
      <c r="B2090" s="531">
        <v>2345.0</v>
      </c>
      <c r="C2090" s="11" t="s">
        <v>11095</v>
      </c>
      <c r="D2090" s="533">
        <v>0.9</v>
      </c>
      <c r="E2090" s="533">
        <v>0.9</v>
      </c>
      <c r="F2090" s="11" t="s">
        <v>1656</v>
      </c>
      <c r="G2090" s="10"/>
      <c r="H2090" s="11" t="s">
        <v>11096</v>
      </c>
      <c r="I2090" s="10"/>
      <c r="J2090" s="10"/>
      <c r="K2090" s="10"/>
    </row>
    <row r="2091" hidden="1">
      <c r="A2091" s="531" t="s">
        <v>13912</v>
      </c>
      <c r="B2091" s="531">
        <v>2345.0</v>
      </c>
      <c r="C2091" s="11" t="s">
        <v>11095</v>
      </c>
      <c r="D2091" s="533">
        <v>0.9</v>
      </c>
      <c r="E2091" s="533">
        <v>0.9</v>
      </c>
      <c r="F2091" s="11" t="s">
        <v>1656</v>
      </c>
      <c r="G2091" s="10"/>
      <c r="H2091" s="11" t="s">
        <v>11096</v>
      </c>
      <c r="I2091" s="10"/>
      <c r="J2091" s="10"/>
      <c r="K2091" s="10"/>
    </row>
    <row r="2092" hidden="1">
      <c r="A2092" s="531" t="s">
        <v>13913</v>
      </c>
      <c r="B2092" s="531">
        <v>6727.0</v>
      </c>
      <c r="C2092" s="11" t="s">
        <v>11095</v>
      </c>
      <c r="D2092" s="533">
        <v>0.75</v>
      </c>
      <c r="E2092" s="533">
        <v>0.75</v>
      </c>
      <c r="F2092" s="11" t="s">
        <v>1656</v>
      </c>
      <c r="G2092" s="10"/>
      <c r="H2092" s="11" t="s">
        <v>11096</v>
      </c>
      <c r="I2092" s="10"/>
      <c r="J2092" s="10"/>
      <c r="K2092" s="10"/>
    </row>
    <row r="2093" hidden="1">
      <c r="A2093" s="531" t="s">
        <v>13914</v>
      </c>
      <c r="B2093" s="531">
        <v>986.0</v>
      </c>
      <c r="C2093" s="11" t="s">
        <v>11095</v>
      </c>
      <c r="D2093" s="533">
        <v>0.85</v>
      </c>
      <c r="E2093" s="533">
        <v>0.85</v>
      </c>
      <c r="F2093" s="11" t="s">
        <v>1656</v>
      </c>
      <c r="G2093" s="10"/>
      <c r="H2093" s="11" t="s">
        <v>11096</v>
      </c>
      <c r="I2093" s="10"/>
      <c r="J2093" s="10"/>
      <c r="K2093" s="10"/>
    </row>
    <row r="2094" hidden="1">
      <c r="A2094" s="531" t="s">
        <v>13915</v>
      </c>
      <c r="B2094" s="531">
        <v>2345.0</v>
      </c>
      <c r="C2094" s="11" t="s">
        <v>11095</v>
      </c>
      <c r="D2094" s="533">
        <v>0.9</v>
      </c>
      <c r="E2094" s="533">
        <v>0.9</v>
      </c>
      <c r="F2094" s="11" t="s">
        <v>1656</v>
      </c>
      <c r="G2094" s="10"/>
      <c r="H2094" s="11" t="s">
        <v>11096</v>
      </c>
      <c r="I2094" s="10"/>
      <c r="J2094" s="10"/>
      <c r="K2094" s="10"/>
    </row>
    <row r="2095" hidden="1">
      <c r="A2095" s="531" t="s">
        <v>13916</v>
      </c>
      <c r="B2095" s="531">
        <v>2345.0</v>
      </c>
      <c r="C2095" s="11" t="s">
        <v>11095</v>
      </c>
      <c r="D2095" s="533">
        <v>0.9</v>
      </c>
      <c r="E2095" s="533">
        <v>0.9</v>
      </c>
      <c r="F2095" s="11" t="s">
        <v>1656</v>
      </c>
      <c r="G2095" s="10"/>
      <c r="H2095" s="11" t="s">
        <v>11096</v>
      </c>
      <c r="I2095" s="10"/>
      <c r="J2095" s="10"/>
      <c r="K2095" s="10"/>
    </row>
    <row r="2096" hidden="1">
      <c r="A2096" s="531" t="s">
        <v>13917</v>
      </c>
      <c r="B2096" s="531">
        <v>6887.0</v>
      </c>
      <c r="C2096" s="11" t="s">
        <v>11095</v>
      </c>
      <c r="D2096" s="533">
        <v>0.75</v>
      </c>
      <c r="E2096" s="533">
        <v>0.75</v>
      </c>
      <c r="F2096" s="11" t="s">
        <v>1656</v>
      </c>
      <c r="G2096" s="10"/>
      <c r="H2096" s="11" t="s">
        <v>11096</v>
      </c>
      <c r="I2096" s="10"/>
      <c r="J2096" s="10"/>
      <c r="K2096" s="10"/>
    </row>
    <row r="2097" hidden="1">
      <c r="A2097" s="531" t="s">
        <v>13918</v>
      </c>
      <c r="B2097" s="531">
        <v>6732.0</v>
      </c>
      <c r="C2097" s="11" t="s">
        <v>11095</v>
      </c>
      <c r="D2097" s="533">
        <v>0.8</v>
      </c>
      <c r="E2097" s="533">
        <v>0.8</v>
      </c>
      <c r="F2097" s="11" t="s">
        <v>1656</v>
      </c>
      <c r="G2097" s="10"/>
      <c r="H2097" s="11" t="s">
        <v>11096</v>
      </c>
      <c r="I2097" s="10"/>
      <c r="J2097" s="10"/>
      <c r="K2097" s="10"/>
    </row>
    <row r="2098" hidden="1">
      <c r="A2098" s="531" t="s">
        <v>13919</v>
      </c>
      <c r="B2098" s="531">
        <v>2345.0</v>
      </c>
      <c r="C2098" s="11" t="s">
        <v>11095</v>
      </c>
      <c r="D2098" s="533">
        <v>0.9</v>
      </c>
      <c r="E2098" s="533">
        <v>0.9</v>
      </c>
      <c r="F2098" s="11" t="s">
        <v>1656</v>
      </c>
      <c r="G2098" s="10"/>
      <c r="H2098" s="11" t="s">
        <v>11096</v>
      </c>
      <c r="I2098" s="10"/>
      <c r="J2098" s="10"/>
      <c r="K2098" s="10"/>
    </row>
    <row r="2099" hidden="1">
      <c r="A2099" s="531" t="s">
        <v>13920</v>
      </c>
      <c r="B2099" s="531">
        <v>6732.0</v>
      </c>
      <c r="C2099" s="11" t="s">
        <v>11095</v>
      </c>
      <c r="D2099" s="533">
        <v>0.8</v>
      </c>
      <c r="E2099" s="533">
        <v>0.8</v>
      </c>
      <c r="F2099" s="11" t="s">
        <v>1656</v>
      </c>
      <c r="G2099" s="10"/>
      <c r="H2099" s="11" t="s">
        <v>11096</v>
      </c>
      <c r="I2099" s="10"/>
      <c r="J2099" s="10"/>
      <c r="K2099" s="10"/>
    </row>
    <row r="2100" hidden="1">
      <c r="A2100" s="531" t="s">
        <v>13921</v>
      </c>
      <c r="B2100" s="531">
        <v>6778.0</v>
      </c>
      <c r="C2100" s="11" t="s">
        <v>11095</v>
      </c>
      <c r="D2100" s="533">
        <v>0.75</v>
      </c>
      <c r="E2100" s="533">
        <v>0.75</v>
      </c>
      <c r="F2100" s="11" t="s">
        <v>1656</v>
      </c>
      <c r="G2100" s="10"/>
      <c r="H2100" s="11" t="s">
        <v>11096</v>
      </c>
      <c r="I2100" s="10"/>
      <c r="J2100" s="10"/>
      <c r="K2100" s="10"/>
    </row>
    <row r="2101" hidden="1">
      <c r="A2101" s="531" t="s">
        <v>13922</v>
      </c>
      <c r="B2101" s="531">
        <v>4933.0</v>
      </c>
      <c r="C2101" s="11" t="s">
        <v>11095</v>
      </c>
      <c r="D2101" s="533">
        <v>0.75</v>
      </c>
      <c r="E2101" s="533">
        <v>0.75</v>
      </c>
      <c r="F2101" s="11" t="s">
        <v>1656</v>
      </c>
      <c r="G2101" s="10"/>
      <c r="H2101" s="11" t="s">
        <v>11096</v>
      </c>
      <c r="I2101" s="10"/>
      <c r="J2101" s="10"/>
      <c r="K2101" s="10"/>
    </row>
    <row r="2102" hidden="1">
      <c r="A2102" s="531" t="s">
        <v>13923</v>
      </c>
      <c r="B2102" s="531">
        <v>986.0</v>
      </c>
      <c r="C2102" s="11" t="s">
        <v>11095</v>
      </c>
      <c r="D2102" s="533">
        <v>0.85</v>
      </c>
      <c r="E2102" s="533">
        <v>0.85</v>
      </c>
      <c r="F2102" s="11" t="s">
        <v>1656</v>
      </c>
      <c r="G2102" s="10"/>
      <c r="H2102" s="11" t="s">
        <v>11096</v>
      </c>
      <c r="I2102" s="10"/>
      <c r="J2102" s="10"/>
      <c r="K2102" s="10"/>
    </row>
    <row r="2103" hidden="1">
      <c r="A2103" s="531" t="s">
        <v>13924</v>
      </c>
      <c r="B2103" s="531">
        <v>986.0</v>
      </c>
      <c r="C2103" s="11" t="s">
        <v>11095</v>
      </c>
      <c r="D2103" s="533">
        <v>0.85</v>
      </c>
      <c r="E2103" s="533">
        <v>0.85</v>
      </c>
      <c r="F2103" s="11" t="s">
        <v>1656</v>
      </c>
      <c r="G2103" s="10"/>
      <c r="H2103" s="11" t="s">
        <v>11096</v>
      </c>
      <c r="I2103" s="10"/>
      <c r="J2103" s="10"/>
      <c r="K2103" s="10"/>
    </row>
    <row r="2104" hidden="1">
      <c r="A2104" s="531" t="s">
        <v>13925</v>
      </c>
      <c r="B2104" s="531">
        <v>6580.0</v>
      </c>
      <c r="C2104" s="11" t="s">
        <v>11095</v>
      </c>
      <c r="D2104" s="533">
        <v>0.75</v>
      </c>
      <c r="E2104" s="533">
        <v>0.75</v>
      </c>
      <c r="F2104" s="11" t="s">
        <v>1656</v>
      </c>
      <c r="G2104" s="10"/>
      <c r="H2104" s="11" t="s">
        <v>11096</v>
      </c>
      <c r="I2104" s="10"/>
      <c r="J2104" s="10"/>
      <c r="K2104" s="10"/>
    </row>
    <row r="2105" hidden="1">
      <c r="A2105" s="531" t="s">
        <v>13926</v>
      </c>
      <c r="B2105" s="531">
        <v>2345.0</v>
      </c>
      <c r="C2105" s="11" t="s">
        <v>11095</v>
      </c>
      <c r="D2105" s="533">
        <v>0.9</v>
      </c>
      <c r="E2105" s="533">
        <v>0.9</v>
      </c>
      <c r="F2105" s="11" t="s">
        <v>1656</v>
      </c>
      <c r="G2105" s="10"/>
      <c r="H2105" s="11" t="s">
        <v>11096</v>
      </c>
      <c r="I2105" s="10"/>
      <c r="J2105" s="10"/>
      <c r="K2105" s="10"/>
    </row>
    <row r="2106" hidden="1">
      <c r="A2106" s="531" t="s">
        <v>13927</v>
      </c>
      <c r="B2106" s="531">
        <v>6916.0</v>
      </c>
      <c r="C2106" s="11" t="s">
        <v>11095</v>
      </c>
      <c r="D2106" s="533">
        <v>0.75</v>
      </c>
      <c r="E2106" s="533">
        <v>0.75</v>
      </c>
      <c r="F2106" s="11" t="s">
        <v>1656</v>
      </c>
      <c r="G2106" s="10"/>
      <c r="H2106" s="11" t="s">
        <v>11096</v>
      </c>
      <c r="I2106" s="10"/>
      <c r="J2106" s="10"/>
      <c r="K2106" s="10"/>
    </row>
    <row r="2107" hidden="1">
      <c r="A2107" s="531" t="s">
        <v>13928</v>
      </c>
      <c r="B2107" s="531">
        <v>2345.0</v>
      </c>
      <c r="C2107" s="11" t="s">
        <v>11095</v>
      </c>
      <c r="D2107" s="533">
        <v>0.9</v>
      </c>
      <c r="E2107" s="533">
        <v>0.9</v>
      </c>
      <c r="F2107" s="11" t="s">
        <v>1656</v>
      </c>
      <c r="G2107" s="10"/>
      <c r="H2107" s="11" t="s">
        <v>11096</v>
      </c>
      <c r="I2107" s="10"/>
      <c r="J2107" s="10"/>
      <c r="K2107" s="10"/>
    </row>
    <row r="2108" hidden="1">
      <c r="A2108" s="531" t="s">
        <v>13929</v>
      </c>
      <c r="B2108" s="531">
        <v>2345.0</v>
      </c>
      <c r="C2108" s="11" t="s">
        <v>11095</v>
      </c>
      <c r="D2108" s="533">
        <v>0.9</v>
      </c>
      <c r="E2108" s="533">
        <v>0.9</v>
      </c>
      <c r="F2108" s="11" t="s">
        <v>1656</v>
      </c>
      <c r="G2108" s="10"/>
      <c r="H2108" s="11" t="s">
        <v>11096</v>
      </c>
      <c r="I2108" s="10"/>
      <c r="J2108" s="10"/>
      <c r="K2108" s="10"/>
    </row>
    <row r="2109" hidden="1">
      <c r="A2109" s="531" t="s">
        <v>13930</v>
      </c>
      <c r="B2109" s="531">
        <v>2345.0</v>
      </c>
      <c r="C2109" s="11" t="s">
        <v>11095</v>
      </c>
      <c r="D2109" s="533">
        <v>0.9</v>
      </c>
      <c r="E2109" s="533">
        <v>0.9</v>
      </c>
      <c r="F2109" s="11" t="s">
        <v>1656</v>
      </c>
      <c r="G2109" s="10"/>
      <c r="H2109" s="11" t="s">
        <v>11096</v>
      </c>
      <c r="I2109" s="10"/>
      <c r="J2109" s="10"/>
      <c r="K2109" s="10"/>
    </row>
    <row r="2110" hidden="1">
      <c r="A2110" s="531" t="s">
        <v>13931</v>
      </c>
      <c r="B2110" s="531">
        <v>2345.0</v>
      </c>
      <c r="C2110" s="11" t="s">
        <v>11095</v>
      </c>
      <c r="D2110" s="533">
        <v>0.9</v>
      </c>
      <c r="E2110" s="533">
        <v>0.9</v>
      </c>
      <c r="F2110" s="11" t="s">
        <v>1656</v>
      </c>
      <c r="G2110" s="10"/>
      <c r="H2110" s="11" t="s">
        <v>11096</v>
      </c>
      <c r="I2110" s="10"/>
      <c r="J2110" s="10"/>
      <c r="K2110" s="10"/>
    </row>
    <row r="2111" hidden="1">
      <c r="A2111" s="531" t="s">
        <v>13932</v>
      </c>
      <c r="B2111" s="531">
        <v>986.0</v>
      </c>
      <c r="C2111" s="11" t="s">
        <v>11095</v>
      </c>
      <c r="D2111" s="533">
        <v>0.85</v>
      </c>
      <c r="E2111" s="533">
        <v>0.85</v>
      </c>
      <c r="F2111" s="11" t="s">
        <v>1656</v>
      </c>
      <c r="G2111" s="10"/>
      <c r="H2111" s="11" t="s">
        <v>11096</v>
      </c>
      <c r="I2111" s="10"/>
      <c r="J2111" s="10"/>
      <c r="K2111" s="10"/>
    </row>
    <row r="2112" hidden="1">
      <c r="A2112" s="531" t="s">
        <v>13933</v>
      </c>
      <c r="B2112" s="531">
        <v>3378.0</v>
      </c>
      <c r="C2112" s="11" t="s">
        <v>11095</v>
      </c>
      <c r="D2112" s="533">
        <v>0.75</v>
      </c>
      <c r="E2112" s="533">
        <v>0.75</v>
      </c>
      <c r="F2112" s="11" t="s">
        <v>1656</v>
      </c>
      <c r="G2112" s="10"/>
      <c r="H2112" s="11" t="s">
        <v>11096</v>
      </c>
      <c r="I2112" s="10"/>
      <c r="J2112" s="10"/>
      <c r="K2112" s="10"/>
    </row>
    <row r="2113" hidden="1">
      <c r="A2113" s="531" t="s">
        <v>13934</v>
      </c>
      <c r="B2113" s="531">
        <v>2345.0</v>
      </c>
      <c r="C2113" s="11" t="s">
        <v>11095</v>
      </c>
      <c r="D2113" s="533">
        <v>0.9</v>
      </c>
      <c r="E2113" s="533">
        <v>0.9</v>
      </c>
      <c r="F2113" s="11" t="s">
        <v>1656</v>
      </c>
      <c r="G2113" s="10"/>
      <c r="H2113" s="11" t="s">
        <v>11096</v>
      </c>
      <c r="I2113" s="10"/>
      <c r="J2113" s="10"/>
      <c r="K2113" s="10"/>
    </row>
    <row r="2114" hidden="1">
      <c r="A2114" s="531" t="s">
        <v>13935</v>
      </c>
      <c r="B2114" s="531">
        <v>2345.0</v>
      </c>
      <c r="C2114" s="11" t="s">
        <v>11095</v>
      </c>
      <c r="D2114" s="533">
        <v>0.9</v>
      </c>
      <c r="E2114" s="533">
        <v>0.9</v>
      </c>
      <c r="F2114" s="11" t="s">
        <v>1656</v>
      </c>
      <c r="G2114" s="10"/>
      <c r="H2114" s="11" t="s">
        <v>11096</v>
      </c>
      <c r="I2114" s="10"/>
      <c r="J2114" s="10"/>
      <c r="K2114" s="10"/>
    </row>
    <row r="2115" hidden="1">
      <c r="A2115" s="531" t="s">
        <v>13936</v>
      </c>
      <c r="B2115" s="531">
        <v>2345.0</v>
      </c>
      <c r="C2115" s="11" t="s">
        <v>11095</v>
      </c>
      <c r="D2115" s="533">
        <v>0.9</v>
      </c>
      <c r="E2115" s="533">
        <v>0.9</v>
      </c>
      <c r="F2115" s="11" t="s">
        <v>1656</v>
      </c>
      <c r="G2115" s="10"/>
      <c r="H2115" s="11" t="s">
        <v>11096</v>
      </c>
      <c r="I2115" s="10"/>
      <c r="J2115" s="10"/>
      <c r="K2115" s="10"/>
    </row>
    <row r="2116" hidden="1">
      <c r="A2116" s="531" t="s">
        <v>13937</v>
      </c>
      <c r="B2116" s="531">
        <v>986.0</v>
      </c>
      <c r="C2116" s="11" t="s">
        <v>11095</v>
      </c>
      <c r="D2116" s="533">
        <v>0.85</v>
      </c>
      <c r="E2116" s="533">
        <v>0.85</v>
      </c>
      <c r="F2116" s="11" t="s">
        <v>1656</v>
      </c>
      <c r="G2116" s="10"/>
      <c r="H2116" s="11" t="s">
        <v>11096</v>
      </c>
      <c r="I2116" s="10"/>
      <c r="J2116" s="10"/>
      <c r="K2116" s="10"/>
    </row>
    <row r="2117" hidden="1">
      <c r="A2117" s="531" t="s">
        <v>13938</v>
      </c>
      <c r="B2117" s="531">
        <v>1360.0</v>
      </c>
      <c r="C2117" s="11" t="s">
        <v>11095</v>
      </c>
      <c r="D2117" s="533">
        <v>0.75</v>
      </c>
      <c r="E2117" s="533">
        <v>0.75</v>
      </c>
      <c r="F2117" s="11" t="s">
        <v>1656</v>
      </c>
      <c r="G2117" s="10"/>
      <c r="H2117" s="11" t="s">
        <v>11096</v>
      </c>
      <c r="I2117" s="10"/>
      <c r="J2117" s="10"/>
      <c r="K2117" s="10"/>
    </row>
    <row r="2118" hidden="1">
      <c r="A2118" s="531" t="s">
        <v>13939</v>
      </c>
      <c r="B2118" s="531">
        <v>986.0</v>
      </c>
      <c r="C2118" s="11" t="s">
        <v>11095</v>
      </c>
      <c r="D2118" s="533">
        <v>0.85</v>
      </c>
      <c r="E2118" s="533">
        <v>0.85</v>
      </c>
      <c r="F2118" s="11" t="s">
        <v>1656</v>
      </c>
      <c r="G2118" s="10"/>
      <c r="H2118" s="11" t="s">
        <v>11096</v>
      </c>
      <c r="I2118" s="10"/>
      <c r="J2118" s="10"/>
      <c r="K2118" s="10"/>
    </row>
    <row r="2119" hidden="1">
      <c r="A2119" s="531" t="s">
        <v>13940</v>
      </c>
      <c r="B2119" s="531">
        <v>6909.0</v>
      </c>
      <c r="C2119" s="11" t="s">
        <v>11095</v>
      </c>
      <c r="D2119" s="533">
        <v>0.75</v>
      </c>
      <c r="E2119" s="533">
        <v>0.75</v>
      </c>
      <c r="F2119" s="11" t="s">
        <v>1656</v>
      </c>
      <c r="G2119" s="10"/>
      <c r="H2119" s="11" t="s">
        <v>11096</v>
      </c>
      <c r="I2119" s="10"/>
      <c r="J2119" s="10"/>
      <c r="K2119" s="10"/>
    </row>
    <row r="2120" hidden="1">
      <c r="A2120" s="531" t="s">
        <v>13941</v>
      </c>
      <c r="B2120" s="531">
        <v>285.0</v>
      </c>
      <c r="C2120" s="11" t="s">
        <v>11095</v>
      </c>
      <c r="D2120" s="533">
        <v>0.88</v>
      </c>
      <c r="E2120" s="533">
        <v>0.88</v>
      </c>
      <c r="F2120" s="11" t="s">
        <v>1656</v>
      </c>
      <c r="G2120" s="10"/>
      <c r="H2120" s="11" t="s">
        <v>11096</v>
      </c>
      <c r="I2120" s="10"/>
      <c r="J2120" s="10"/>
      <c r="K2120" s="10"/>
    </row>
    <row r="2121" hidden="1">
      <c r="A2121" s="531" t="s">
        <v>13942</v>
      </c>
      <c r="B2121" s="531">
        <v>2345.0</v>
      </c>
      <c r="C2121" s="11" t="s">
        <v>11095</v>
      </c>
      <c r="D2121" s="533">
        <v>0.9</v>
      </c>
      <c r="E2121" s="533">
        <v>0.9</v>
      </c>
      <c r="F2121" s="11" t="s">
        <v>1656</v>
      </c>
      <c r="G2121" s="10"/>
      <c r="H2121" s="11" t="s">
        <v>11096</v>
      </c>
      <c r="I2121" s="10"/>
      <c r="J2121" s="10"/>
      <c r="K2121" s="10"/>
    </row>
    <row r="2122" hidden="1">
      <c r="A2122" s="531" t="s">
        <v>13943</v>
      </c>
      <c r="B2122" s="531">
        <v>2345.0</v>
      </c>
      <c r="C2122" s="11" t="s">
        <v>11095</v>
      </c>
      <c r="D2122" s="533">
        <v>0.9</v>
      </c>
      <c r="E2122" s="533">
        <v>0.9</v>
      </c>
      <c r="F2122" s="11" t="s">
        <v>1656</v>
      </c>
      <c r="G2122" s="10"/>
      <c r="H2122" s="11" t="s">
        <v>11096</v>
      </c>
      <c r="I2122" s="10"/>
      <c r="J2122" s="10"/>
      <c r="K2122" s="10"/>
    </row>
    <row r="2123" hidden="1">
      <c r="A2123" s="531" t="s">
        <v>13944</v>
      </c>
      <c r="B2123" s="531">
        <v>986.0</v>
      </c>
      <c r="C2123" s="11" t="s">
        <v>11095</v>
      </c>
      <c r="D2123" s="533">
        <v>0.85</v>
      </c>
      <c r="E2123" s="533">
        <v>0.85</v>
      </c>
      <c r="F2123" s="11" t="s">
        <v>1656</v>
      </c>
      <c r="G2123" s="10"/>
      <c r="H2123" s="11" t="s">
        <v>11096</v>
      </c>
      <c r="I2123" s="10"/>
      <c r="J2123" s="10"/>
      <c r="K2123" s="10"/>
    </row>
    <row r="2124" hidden="1">
      <c r="A2124" s="531" t="s">
        <v>13945</v>
      </c>
      <c r="B2124" s="531">
        <v>6732.0</v>
      </c>
      <c r="C2124" s="11" t="s">
        <v>11095</v>
      </c>
      <c r="D2124" s="533">
        <v>0.8</v>
      </c>
      <c r="E2124" s="533">
        <v>0.8</v>
      </c>
      <c r="F2124" s="11" t="s">
        <v>1656</v>
      </c>
      <c r="G2124" s="10"/>
      <c r="H2124" s="11" t="s">
        <v>11096</v>
      </c>
      <c r="I2124" s="10"/>
      <c r="J2124" s="10"/>
      <c r="K2124" s="10"/>
    </row>
    <row r="2125" hidden="1">
      <c r="A2125" s="531" t="s">
        <v>13946</v>
      </c>
      <c r="B2125" s="531">
        <v>285.0</v>
      </c>
      <c r="C2125" s="11" t="s">
        <v>11095</v>
      </c>
      <c r="D2125" s="533">
        <v>0.88</v>
      </c>
      <c r="E2125" s="533">
        <v>0.88</v>
      </c>
      <c r="F2125" s="11" t="s">
        <v>1656</v>
      </c>
      <c r="G2125" s="10"/>
      <c r="H2125" s="11" t="s">
        <v>11096</v>
      </c>
      <c r="I2125" s="10"/>
      <c r="J2125" s="10"/>
      <c r="K2125" s="10"/>
    </row>
    <row r="2126" hidden="1">
      <c r="A2126" s="531" t="s">
        <v>13947</v>
      </c>
      <c r="B2126" s="531">
        <v>285.0</v>
      </c>
      <c r="C2126" s="11" t="s">
        <v>11095</v>
      </c>
      <c r="D2126" s="533">
        <v>0.88</v>
      </c>
      <c r="E2126" s="533">
        <v>0.88</v>
      </c>
      <c r="F2126" s="11" t="s">
        <v>1656</v>
      </c>
      <c r="G2126" s="10"/>
      <c r="H2126" s="11" t="s">
        <v>11096</v>
      </c>
      <c r="I2126" s="10"/>
      <c r="J2126" s="10"/>
      <c r="K2126" s="10"/>
    </row>
    <row r="2127" hidden="1">
      <c r="A2127" s="531" t="s">
        <v>13948</v>
      </c>
      <c r="B2127" s="531">
        <v>6805.0</v>
      </c>
      <c r="C2127" s="11" t="s">
        <v>11095</v>
      </c>
      <c r="D2127" s="533">
        <v>0.75</v>
      </c>
      <c r="E2127" s="533">
        <v>0.75</v>
      </c>
      <c r="F2127" s="11" t="s">
        <v>1656</v>
      </c>
      <c r="G2127" s="10"/>
      <c r="H2127" s="11" t="s">
        <v>11096</v>
      </c>
      <c r="I2127" s="10"/>
      <c r="J2127" s="10"/>
      <c r="K2127" s="10"/>
    </row>
    <row r="2128" hidden="1">
      <c r="A2128" s="531" t="s">
        <v>13949</v>
      </c>
      <c r="B2128" s="531">
        <v>986.0</v>
      </c>
      <c r="C2128" s="11" t="s">
        <v>11095</v>
      </c>
      <c r="D2128" s="533">
        <v>0.85</v>
      </c>
      <c r="E2128" s="533">
        <v>0.85</v>
      </c>
      <c r="F2128" s="11" t="s">
        <v>1656</v>
      </c>
      <c r="G2128" s="10"/>
      <c r="H2128" s="11" t="s">
        <v>11096</v>
      </c>
      <c r="I2128" s="10"/>
      <c r="J2128" s="10"/>
      <c r="K2128" s="10"/>
    </row>
    <row r="2129" hidden="1">
      <c r="A2129" s="531" t="s">
        <v>13950</v>
      </c>
      <c r="B2129" s="531">
        <v>6678.0</v>
      </c>
      <c r="C2129" s="11" t="s">
        <v>11095</v>
      </c>
      <c r="D2129" s="533">
        <v>0.75</v>
      </c>
      <c r="E2129" s="533">
        <v>0.75</v>
      </c>
      <c r="F2129" s="11" t="s">
        <v>1656</v>
      </c>
      <c r="G2129" s="10"/>
      <c r="H2129" s="11" t="s">
        <v>11096</v>
      </c>
      <c r="I2129" s="10"/>
      <c r="J2129" s="10"/>
      <c r="K2129" s="10"/>
    </row>
    <row r="2130" hidden="1">
      <c r="A2130" s="531" t="s">
        <v>13951</v>
      </c>
      <c r="B2130" s="531">
        <v>986.0</v>
      </c>
      <c r="C2130" s="11" t="s">
        <v>11095</v>
      </c>
      <c r="D2130" s="533">
        <v>0.85</v>
      </c>
      <c r="E2130" s="533">
        <v>0.85</v>
      </c>
      <c r="F2130" s="11" t="s">
        <v>1656</v>
      </c>
      <c r="G2130" s="10"/>
      <c r="H2130" s="11" t="s">
        <v>11096</v>
      </c>
      <c r="I2130" s="10"/>
      <c r="J2130" s="10"/>
      <c r="K2130" s="10"/>
    </row>
    <row r="2131" hidden="1">
      <c r="A2131" s="531" t="s">
        <v>13952</v>
      </c>
      <c r="B2131" s="531">
        <v>2345.0</v>
      </c>
      <c r="C2131" s="11" t="s">
        <v>11095</v>
      </c>
      <c r="D2131" s="533">
        <v>0.9</v>
      </c>
      <c r="E2131" s="533">
        <v>0.9</v>
      </c>
      <c r="F2131" s="11" t="s">
        <v>1656</v>
      </c>
      <c r="G2131" s="10"/>
      <c r="H2131" s="11" t="s">
        <v>11096</v>
      </c>
      <c r="I2131" s="10"/>
      <c r="J2131" s="10"/>
      <c r="K2131" s="10"/>
    </row>
    <row r="2132" hidden="1">
      <c r="A2132" s="531" t="s">
        <v>13953</v>
      </c>
      <c r="B2132" s="531">
        <v>2345.0</v>
      </c>
      <c r="C2132" s="11" t="s">
        <v>11095</v>
      </c>
      <c r="D2132" s="533">
        <v>0.9</v>
      </c>
      <c r="E2132" s="533">
        <v>0.9</v>
      </c>
      <c r="F2132" s="11" t="s">
        <v>1656</v>
      </c>
      <c r="G2132" s="10"/>
      <c r="H2132" s="11" t="s">
        <v>11096</v>
      </c>
      <c r="I2132" s="10"/>
      <c r="J2132" s="10"/>
      <c r="K2132" s="10"/>
    </row>
    <row r="2133" hidden="1">
      <c r="A2133" s="531" t="s">
        <v>13954</v>
      </c>
      <c r="B2133" s="531">
        <v>6727.0</v>
      </c>
      <c r="C2133" s="11" t="s">
        <v>11095</v>
      </c>
      <c r="D2133" s="533">
        <v>0.75</v>
      </c>
      <c r="E2133" s="533">
        <v>0.75</v>
      </c>
      <c r="F2133" s="11" t="s">
        <v>1656</v>
      </c>
      <c r="G2133" s="10"/>
      <c r="H2133" s="11" t="s">
        <v>11096</v>
      </c>
      <c r="I2133" s="10"/>
      <c r="J2133" s="10"/>
      <c r="K2133" s="10"/>
    </row>
    <row r="2134" hidden="1">
      <c r="A2134" s="531" t="s">
        <v>13955</v>
      </c>
      <c r="B2134" s="531">
        <v>6732.0</v>
      </c>
      <c r="C2134" s="11" t="s">
        <v>11095</v>
      </c>
      <c r="D2134" s="533">
        <v>0.8</v>
      </c>
      <c r="E2134" s="533">
        <v>0.8</v>
      </c>
      <c r="F2134" s="11" t="s">
        <v>1656</v>
      </c>
      <c r="G2134" s="10"/>
      <c r="H2134" s="11" t="s">
        <v>11096</v>
      </c>
      <c r="I2134" s="10"/>
      <c r="J2134" s="10"/>
      <c r="K2134" s="10"/>
    </row>
    <row r="2135" hidden="1">
      <c r="A2135" s="531" t="s">
        <v>13956</v>
      </c>
      <c r="B2135" s="531">
        <v>6732.0</v>
      </c>
      <c r="C2135" s="11" t="s">
        <v>11095</v>
      </c>
      <c r="D2135" s="533">
        <v>0.8</v>
      </c>
      <c r="E2135" s="533">
        <v>0.8</v>
      </c>
      <c r="F2135" s="11" t="s">
        <v>1656</v>
      </c>
      <c r="G2135" s="10"/>
      <c r="H2135" s="11" t="s">
        <v>11096</v>
      </c>
      <c r="I2135" s="10"/>
      <c r="J2135" s="10"/>
      <c r="K2135" s="10"/>
    </row>
    <row r="2136" hidden="1">
      <c r="A2136" s="531" t="s">
        <v>13957</v>
      </c>
      <c r="B2136" s="531">
        <v>986.0</v>
      </c>
      <c r="C2136" s="11" t="s">
        <v>11095</v>
      </c>
      <c r="D2136" s="533">
        <v>0.85</v>
      </c>
      <c r="E2136" s="533">
        <v>0.85</v>
      </c>
      <c r="F2136" s="11" t="s">
        <v>1656</v>
      </c>
      <c r="G2136" s="10"/>
      <c r="H2136" s="11" t="s">
        <v>11096</v>
      </c>
      <c r="I2136" s="10"/>
      <c r="J2136" s="10"/>
      <c r="K2136" s="10"/>
    </row>
    <row r="2137" hidden="1">
      <c r="A2137" s="531" t="s">
        <v>13958</v>
      </c>
      <c r="B2137" s="531">
        <v>986.0</v>
      </c>
      <c r="C2137" s="11" t="s">
        <v>11095</v>
      </c>
      <c r="D2137" s="533">
        <v>0.85</v>
      </c>
      <c r="E2137" s="533">
        <v>0.85</v>
      </c>
      <c r="F2137" s="11" t="s">
        <v>1656</v>
      </c>
      <c r="G2137" s="10"/>
      <c r="H2137" s="11" t="s">
        <v>11096</v>
      </c>
      <c r="I2137" s="10"/>
      <c r="J2137" s="10"/>
      <c r="K2137" s="10"/>
    </row>
    <row r="2138" hidden="1">
      <c r="A2138" s="531" t="s">
        <v>13959</v>
      </c>
      <c r="B2138" s="531">
        <v>986.0</v>
      </c>
      <c r="C2138" s="11" t="s">
        <v>11095</v>
      </c>
      <c r="D2138" s="533">
        <v>0.85</v>
      </c>
      <c r="E2138" s="533">
        <v>0.85</v>
      </c>
      <c r="F2138" s="11" t="s">
        <v>1656</v>
      </c>
      <c r="G2138" s="10"/>
      <c r="H2138" s="11" t="s">
        <v>11096</v>
      </c>
      <c r="I2138" s="10"/>
      <c r="J2138" s="10"/>
      <c r="K2138" s="10"/>
    </row>
    <row r="2139" hidden="1">
      <c r="A2139" s="531" t="s">
        <v>13960</v>
      </c>
      <c r="B2139" s="531">
        <v>6732.0</v>
      </c>
      <c r="C2139" s="11" t="s">
        <v>11095</v>
      </c>
      <c r="D2139" s="533">
        <v>0.8</v>
      </c>
      <c r="E2139" s="533">
        <v>0.8</v>
      </c>
      <c r="F2139" s="11" t="s">
        <v>1656</v>
      </c>
      <c r="G2139" s="10"/>
      <c r="H2139" s="11" t="s">
        <v>11096</v>
      </c>
      <c r="I2139" s="10"/>
      <c r="J2139" s="10"/>
      <c r="K2139" s="10"/>
    </row>
    <row r="2140" hidden="1">
      <c r="A2140" s="531" t="s">
        <v>13961</v>
      </c>
      <c r="B2140" s="531">
        <v>6732.0</v>
      </c>
      <c r="C2140" s="11" t="s">
        <v>11095</v>
      </c>
      <c r="D2140" s="533">
        <v>0.8</v>
      </c>
      <c r="E2140" s="533">
        <v>0.8</v>
      </c>
      <c r="F2140" s="11" t="s">
        <v>1656</v>
      </c>
      <c r="G2140" s="10"/>
      <c r="H2140" s="11" t="s">
        <v>11096</v>
      </c>
      <c r="I2140" s="10"/>
      <c r="J2140" s="10"/>
      <c r="K2140" s="10"/>
    </row>
    <row r="2141" hidden="1">
      <c r="A2141" s="531" t="s">
        <v>13962</v>
      </c>
      <c r="B2141" s="531">
        <v>6580.0</v>
      </c>
      <c r="C2141" s="11" t="s">
        <v>11095</v>
      </c>
      <c r="D2141" s="533">
        <v>0.75</v>
      </c>
      <c r="E2141" s="533">
        <v>0.75</v>
      </c>
      <c r="F2141" s="11" t="s">
        <v>1656</v>
      </c>
      <c r="G2141" s="10"/>
      <c r="H2141" s="11" t="s">
        <v>11096</v>
      </c>
      <c r="I2141" s="10"/>
      <c r="J2141" s="10"/>
      <c r="K2141" s="10"/>
    </row>
    <row r="2142" hidden="1">
      <c r="A2142" s="531" t="s">
        <v>13963</v>
      </c>
      <c r="B2142" s="531">
        <v>2345.0</v>
      </c>
      <c r="C2142" s="11" t="s">
        <v>11095</v>
      </c>
      <c r="D2142" s="533">
        <v>0.9</v>
      </c>
      <c r="E2142" s="533">
        <v>0.9</v>
      </c>
      <c r="F2142" s="11" t="s">
        <v>1656</v>
      </c>
      <c r="G2142" s="10"/>
      <c r="H2142" s="11" t="s">
        <v>11096</v>
      </c>
      <c r="I2142" s="10"/>
      <c r="J2142" s="10"/>
      <c r="K2142" s="10"/>
    </row>
    <row r="2143" hidden="1">
      <c r="A2143" s="531" t="s">
        <v>13964</v>
      </c>
      <c r="B2143" s="531">
        <v>986.0</v>
      </c>
      <c r="C2143" s="11" t="s">
        <v>11095</v>
      </c>
      <c r="D2143" s="533">
        <v>0.85</v>
      </c>
      <c r="E2143" s="533">
        <v>0.85</v>
      </c>
      <c r="F2143" s="11" t="s">
        <v>1656</v>
      </c>
      <c r="G2143" s="10"/>
      <c r="H2143" s="11" t="s">
        <v>11096</v>
      </c>
      <c r="I2143" s="10"/>
      <c r="J2143" s="10"/>
      <c r="K2143" s="10"/>
    </row>
    <row r="2144" hidden="1">
      <c r="A2144" s="531" t="s">
        <v>13965</v>
      </c>
      <c r="B2144" s="531">
        <v>6676.0</v>
      </c>
      <c r="C2144" s="11" t="s">
        <v>11095</v>
      </c>
      <c r="D2144" s="533">
        <v>0.75</v>
      </c>
      <c r="E2144" s="533">
        <v>0.75</v>
      </c>
      <c r="F2144" s="11" t="s">
        <v>1656</v>
      </c>
      <c r="G2144" s="10"/>
      <c r="H2144" s="11" t="s">
        <v>11096</v>
      </c>
      <c r="I2144" s="10"/>
      <c r="J2144" s="10"/>
      <c r="K2144" s="10"/>
    </row>
    <row r="2145" hidden="1">
      <c r="A2145" s="531" t="s">
        <v>13966</v>
      </c>
      <c r="B2145" s="531">
        <v>2345.0</v>
      </c>
      <c r="C2145" s="11" t="s">
        <v>11095</v>
      </c>
      <c r="D2145" s="533">
        <v>0.9</v>
      </c>
      <c r="E2145" s="533">
        <v>0.9</v>
      </c>
      <c r="F2145" s="11" t="s">
        <v>1656</v>
      </c>
      <c r="G2145" s="10"/>
      <c r="H2145" s="11" t="s">
        <v>11096</v>
      </c>
      <c r="I2145" s="10"/>
      <c r="J2145" s="10"/>
      <c r="K2145" s="10"/>
    </row>
    <row r="2146" hidden="1">
      <c r="A2146" s="531" t="s">
        <v>13967</v>
      </c>
      <c r="B2146" s="531">
        <v>2345.0</v>
      </c>
      <c r="C2146" s="11" t="s">
        <v>11095</v>
      </c>
      <c r="D2146" s="533">
        <v>0.9</v>
      </c>
      <c r="E2146" s="533">
        <v>0.9</v>
      </c>
      <c r="F2146" s="11" t="s">
        <v>1656</v>
      </c>
      <c r="G2146" s="10"/>
      <c r="H2146" s="11" t="s">
        <v>11096</v>
      </c>
      <c r="I2146" s="10"/>
      <c r="J2146" s="10"/>
      <c r="K2146" s="10"/>
    </row>
    <row r="2147" hidden="1">
      <c r="A2147" s="531" t="s">
        <v>13968</v>
      </c>
      <c r="B2147" s="531">
        <v>986.0</v>
      </c>
      <c r="C2147" s="11" t="s">
        <v>11095</v>
      </c>
      <c r="D2147" s="533">
        <v>0.85</v>
      </c>
      <c r="E2147" s="533">
        <v>0.85</v>
      </c>
      <c r="F2147" s="11" t="s">
        <v>1656</v>
      </c>
      <c r="G2147" s="10"/>
      <c r="H2147" s="11" t="s">
        <v>11096</v>
      </c>
      <c r="I2147" s="10"/>
      <c r="J2147" s="10"/>
      <c r="K2147" s="10"/>
    </row>
    <row r="2148" hidden="1">
      <c r="A2148" s="531" t="s">
        <v>13969</v>
      </c>
      <c r="B2148" s="531">
        <v>986.0</v>
      </c>
      <c r="C2148" s="11" t="s">
        <v>11095</v>
      </c>
      <c r="D2148" s="533">
        <v>0.85</v>
      </c>
      <c r="E2148" s="533">
        <v>0.85</v>
      </c>
      <c r="F2148" s="11" t="s">
        <v>1656</v>
      </c>
      <c r="G2148" s="10"/>
      <c r="H2148" s="11" t="s">
        <v>11096</v>
      </c>
      <c r="I2148" s="10"/>
      <c r="J2148" s="10"/>
      <c r="K2148" s="10"/>
    </row>
    <row r="2149" hidden="1">
      <c r="A2149" s="531" t="s">
        <v>13970</v>
      </c>
      <c r="B2149" s="531">
        <v>2345.0</v>
      </c>
      <c r="C2149" s="11" t="s">
        <v>11095</v>
      </c>
      <c r="D2149" s="533">
        <v>0.9</v>
      </c>
      <c r="E2149" s="533">
        <v>0.9</v>
      </c>
      <c r="F2149" s="11" t="s">
        <v>1656</v>
      </c>
      <c r="G2149" s="10"/>
      <c r="H2149" s="11" t="s">
        <v>11096</v>
      </c>
      <c r="I2149" s="10"/>
      <c r="J2149" s="10"/>
      <c r="K2149" s="10"/>
    </row>
    <row r="2150" hidden="1">
      <c r="A2150" s="531" t="s">
        <v>13971</v>
      </c>
      <c r="B2150" s="531">
        <v>2345.0</v>
      </c>
      <c r="C2150" s="11" t="s">
        <v>11095</v>
      </c>
      <c r="D2150" s="533">
        <v>0.9</v>
      </c>
      <c r="E2150" s="533">
        <v>0.9</v>
      </c>
      <c r="F2150" s="11" t="s">
        <v>1656</v>
      </c>
      <c r="G2150" s="10"/>
      <c r="H2150" s="11" t="s">
        <v>11096</v>
      </c>
      <c r="I2150" s="10"/>
      <c r="J2150" s="10"/>
      <c r="K2150" s="10"/>
    </row>
    <row r="2151" hidden="1">
      <c r="A2151" s="531" t="s">
        <v>13972</v>
      </c>
      <c r="B2151" s="531">
        <v>6924.0</v>
      </c>
      <c r="C2151" s="11" t="s">
        <v>11095</v>
      </c>
      <c r="D2151" s="533">
        <v>0.75</v>
      </c>
      <c r="E2151" s="533">
        <v>0.75</v>
      </c>
      <c r="F2151" s="11" t="s">
        <v>1656</v>
      </c>
      <c r="G2151" s="10"/>
      <c r="H2151" s="11" t="s">
        <v>11096</v>
      </c>
      <c r="I2151" s="10"/>
      <c r="J2151" s="10"/>
      <c r="K2151" s="10"/>
    </row>
    <row r="2152" hidden="1">
      <c r="A2152" s="531" t="s">
        <v>13973</v>
      </c>
      <c r="B2152" s="531">
        <v>285.0</v>
      </c>
      <c r="C2152" s="11" t="s">
        <v>11095</v>
      </c>
      <c r="D2152" s="533">
        <v>0.88</v>
      </c>
      <c r="E2152" s="533">
        <v>0.88</v>
      </c>
      <c r="F2152" s="11" t="s">
        <v>1656</v>
      </c>
      <c r="G2152" s="10"/>
      <c r="H2152" s="11" t="s">
        <v>11096</v>
      </c>
      <c r="I2152" s="10"/>
      <c r="J2152" s="10"/>
      <c r="K2152" s="10"/>
    </row>
    <row r="2153" hidden="1">
      <c r="A2153" s="531" t="s">
        <v>13974</v>
      </c>
      <c r="B2153" s="531">
        <v>2345.0</v>
      </c>
      <c r="C2153" s="11" t="s">
        <v>11095</v>
      </c>
      <c r="D2153" s="533">
        <v>0.9</v>
      </c>
      <c r="E2153" s="533">
        <v>0.9</v>
      </c>
      <c r="F2153" s="11" t="s">
        <v>1656</v>
      </c>
      <c r="G2153" s="10"/>
      <c r="H2153" s="11" t="s">
        <v>11096</v>
      </c>
      <c r="I2153" s="10"/>
      <c r="J2153" s="10"/>
      <c r="K2153" s="10"/>
    </row>
    <row r="2154" hidden="1">
      <c r="A2154" s="531" t="s">
        <v>13975</v>
      </c>
      <c r="B2154" s="531">
        <v>7333.0</v>
      </c>
      <c r="C2154" s="11" t="s">
        <v>11095</v>
      </c>
      <c r="D2154" s="533">
        <v>0.75</v>
      </c>
      <c r="E2154" s="533">
        <v>0.75</v>
      </c>
      <c r="F2154" s="11" t="s">
        <v>1656</v>
      </c>
      <c r="G2154" s="10"/>
      <c r="H2154" s="11" t="s">
        <v>11096</v>
      </c>
      <c r="I2154" s="10"/>
      <c r="J2154" s="10"/>
      <c r="K2154" s="10"/>
    </row>
    <row r="2155" hidden="1">
      <c r="A2155" s="531" t="s">
        <v>13976</v>
      </c>
      <c r="B2155" s="531">
        <v>285.0</v>
      </c>
      <c r="C2155" s="11" t="s">
        <v>11095</v>
      </c>
      <c r="D2155" s="533">
        <v>0.88</v>
      </c>
      <c r="E2155" s="533">
        <v>0.88</v>
      </c>
      <c r="F2155" s="11" t="s">
        <v>1656</v>
      </c>
      <c r="G2155" s="10"/>
      <c r="H2155" s="11" t="s">
        <v>11096</v>
      </c>
      <c r="I2155" s="10"/>
      <c r="J2155" s="10"/>
      <c r="K2155" s="10"/>
    </row>
    <row r="2156" hidden="1">
      <c r="A2156" s="531" t="s">
        <v>13977</v>
      </c>
      <c r="B2156" s="531">
        <v>986.0</v>
      </c>
      <c r="C2156" s="11" t="s">
        <v>11095</v>
      </c>
      <c r="D2156" s="533">
        <v>0.85</v>
      </c>
      <c r="E2156" s="533">
        <v>0.85</v>
      </c>
      <c r="F2156" s="11" t="s">
        <v>1656</v>
      </c>
      <c r="G2156" s="10"/>
      <c r="H2156" s="11" t="s">
        <v>11096</v>
      </c>
      <c r="I2156" s="10"/>
      <c r="J2156" s="10"/>
      <c r="K2156" s="10"/>
    </row>
    <row r="2157" hidden="1">
      <c r="A2157" s="531" t="s">
        <v>13978</v>
      </c>
      <c r="B2157" s="531">
        <v>3307.0</v>
      </c>
      <c r="C2157" s="11" t="s">
        <v>11095</v>
      </c>
      <c r="D2157" s="533">
        <v>0.75</v>
      </c>
      <c r="E2157" s="533">
        <v>0.75</v>
      </c>
      <c r="F2157" s="11" t="s">
        <v>1656</v>
      </c>
      <c r="G2157" s="10"/>
      <c r="H2157" s="11" t="s">
        <v>11096</v>
      </c>
      <c r="I2157" s="10"/>
      <c r="J2157" s="10"/>
      <c r="K2157" s="10"/>
    </row>
    <row r="2158" hidden="1">
      <c r="A2158" s="531" t="s">
        <v>13979</v>
      </c>
      <c r="B2158" s="531">
        <v>285.0</v>
      </c>
      <c r="C2158" s="11" t="s">
        <v>11095</v>
      </c>
      <c r="D2158" s="533">
        <v>0.88</v>
      </c>
      <c r="E2158" s="533">
        <v>0.88</v>
      </c>
      <c r="F2158" s="11" t="s">
        <v>1656</v>
      </c>
      <c r="G2158" s="10"/>
      <c r="H2158" s="11" t="s">
        <v>11096</v>
      </c>
      <c r="I2158" s="10"/>
      <c r="J2158" s="10"/>
      <c r="K2158" s="10"/>
    </row>
    <row r="2159" hidden="1">
      <c r="A2159" s="531" t="s">
        <v>13980</v>
      </c>
      <c r="B2159" s="531">
        <v>986.0</v>
      </c>
      <c r="C2159" s="11" t="s">
        <v>11095</v>
      </c>
      <c r="D2159" s="533">
        <v>0.85</v>
      </c>
      <c r="E2159" s="533">
        <v>0.85</v>
      </c>
      <c r="F2159" s="11" t="s">
        <v>1656</v>
      </c>
      <c r="G2159" s="10"/>
      <c r="H2159" s="11" t="s">
        <v>11096</v>
      </c>
      <c r="I2159" s="10"/>
      <c r="J2159" s="10"/>
      <c r="K2159" s="10"/>
    </row>
    <row r="2160" hidden="1">
      <c r="A2160" s="531" t="s">
        <v>13981</v>
      </c>
      <c r="B2160" s="531">
        <v>6732.0</v>
      </c>
      <c r="C2160" s="11" t="s">
        <v>11095</v>
      </c>
      <c r="D2160" s="533">
        <v>0.8</v>
      </c>
      <c r="E2160" s="533">
        <v>0.8</v>
      </c>
      <c r="F2160" s="11" t="s">
        <v>1656</v>
      </c>
      <c r="G2160" s="10"/>
      <c r="H2160" s="11" t="s">
        <v>11096</v>
      </c>
      <c r="I2160" s="10"/>
      <c r="J2160" s="10"/>
      <c r="K2160" s="10"/>
    </row>
    <row r="2161" hidden="1">
      <c r="A2161" s="531" t="s">
        <v>13982</v>
      </c>
      <c r="B2161" s="531">
        <v>2345.0</v>
      </c>
      <c r="C2161" s="11" t="s">
        <v>11095</v>
      </c>
      <c r="D2161" s="533">
        <v>0.9</v>
      </c>
      <c r="E2161" s="533">
        <v>0.9</v>
      </c>
      <c r="F2161" s="11" t="s">
        <v>1656</v>
      </c>
      <c r="G2161" s="10"/>
      <c r="H2161" s="11" t="s">
        <v>11096</v>
      </c>
      <c r="I2161" s="10"/>
      <c r="J2161" s="10"/>
      <c r="K2161" s="10"/>
    </row>
    <row r="2162" hidden="1">
      <c r="A2162" s="531" t="s">
        <v>13983</v>
      </c>
      <c r="B2162" s="531">
        <v>6909.0</v>
      </c>
      <c r="C2162" s="11" t="s">
        <v>11095</v>
      </c>
      <c r="D2162" s="533">
        <v>0.75</v>
      </c>
      <c r="E2162" s="533">
        <v>0.75</v>
      </c>
      <c r="F2162" s="11" t="s">
        <v>1656</v>
      </c>
      <c r="G2162" s="10"/>
      <c r="H2162" s="11" t="s">
        <v>11096</v>
      </c>
      <c r="I2162" s="10"/>
      <c r="J2162" s="10"/>
      <c r="K2162" s="10"/>
    </row>
    <row r="2163" hidden="1">
      <c r="A2163" s="531" t="s">
        <v>13984</v>
      </c>
      <c r="B2163" s="531">
        <v>6580.0</v>
      </c>
      <c r="C2163" s="11" t="s">
        <v>11095</v>
      </c>
      <c r="D2163" s="533">
        <v>0.75</v>
      </c>
      <c r="E2163" s="533">
        <v>0.75</v>
      </c>
      <c r="F2163" s="11" t="s">
        <v>1656</v>
      </c>
      <c r="G2163" s="10"/>
      <c r="H2163" s="11" t="s">
        <v>11096</v>
      </c>
      <c r="I2163" s="10"/>
      <c r="J2163" s="10"/>
      <c r="K2163" s="10"/>
    </row>
    <row r="2164" hidden="1">
      <c r="A2164" s="531" t="s">
        <v>13985</v>
      </c>
      <c r="B2164" s="531">
        <v>2345.0</v>
      </c>
      <c r="C2164" s="11" t="s">
        <v>11095</v>
      </c>
      <c r="D2164" s="533">
        <v>0.9</v>
      </c>
      <c r="E2164" s="533">
        <v>0.9</v>
      </c>
      <c r="F2164" s="11" t="s">
        <v>1656</v>
      </c>
      <c r="G2164" s="10"/>
      <c r="H2164" s="11" t="s">
        <v>11096</v>
      </c>
      <c r="I2164" s="10"/>
      <c r="J2164" s="10"/>
      <c r="K2164" s="10"/>
    </row>
    <row r="2165" hidden="1">
      <c r="A2165" s="531" t="s">
        <v>13986</v>
      </c>
      <c r="B2165" s="531">
        <v>986.0</v>
      </c>
      <c r="C2165" s="11" t="s">
        <v>11095</v>
      </c>
      <c r="D2165" s="533">
        <v>0.85</v>
      </c>
      <c r="E2165" s="533">
        <v>0.85</v>
      </c>
      <c r="F2165" s="11" t="s">
        <v>1656</v>
      </c>
      <c r="G2165" s="10"/>
      <c r="H2165" s="11" t="s">
        <v>11096</v>
      </c>
      <c r="I2165" s="10"/>
      <c r="J2165" s="10"/>
      <c r="K2165" s="10"/>
    </row>
    <row r="2166" hidden="1">
      <c r="A2166" s="531" t="s">
        <v>13987</v>
      </c>
      <c r="B2166" s="531">
        <v>3404.0</v>
      </c>
      <c r="C2166" s="11" t="s">
        <v>11095</v>
      </c>
      <c r="D2166" s="533">
        <v>0.75</v>
      </c>
      <c r="E2166" s="533">
        <v>0.75</v>
      </c>
      <c r="F2166" s="11" t="s">
        <v>1656</v>
      </c>
      <c r="G2166" s="10"/>
      <c r="H2166" s="11" t="s">
        <v>11096</v>
      </c>
      <c r="I2166" s="10"/>
      <c r="J2166" s="10"/>
      <c r="K2166" s="10"/>
    </row>
    <row r="2167" hidden="1">
      <c r="A2167" s="531" t="s">
        <v>13988</v>
      </c>
      <c r="B2167" s="531">
        <v>7005.0</v>
      </c>
      <c r="C2167" s="11" t="s">
        <v>11095</v>
      </c>
      <c r="D2167" s="533">
        <v>0.75</v>
      </c>
      <c r="E2167" s="533">
        <v>0.75</v>
      </c>
      <c r="F2167" s="11" t="s">
        <v>1656</v>
      </c>
      <c r="G2167" s="10"/>
      <c r="H2167" s="11" t="s">
        <v>11096</v>
      </c>
      <c r="I2167" s="10"/>
      <c r="J2167" s="10"/>
      <c r="K2167" s="10"/>
    </row>
    <row r="2168" hidden="1">
      <c r="A2168" s="531" t="s">
        <v>13989</v>
      </c>
      <c r="B2168" s="531">
        <v>3404.0</v>
      </c>
      <c r="C2168" s="11" t="s">
        <v>11095</v>
      </c>
      <c r="D2168" s="533">
        <v>0.75</v>
      </c>
      <c r="E2168" s="533">
        <v>0.75</v>
      </c>
      <c r="F2168" s="11" t="s">
        <v>1656</v>
      </c>
      <c r="G2168" s="10"/>
      <c r="H2168" s="11" t="s">
        <v>11096</v>
      </c>
      <c r="I2168" s="10"/>
      <c r="J2168" s="10"/>
      <c r="K2168" s="10"/>
    </row>
    <row r="2169" hidden="1">
      <c r="A2169" s="531" t="s">
        <v>13990</v>
      </c>
      <c r="B2169" s="531">
        <v>6909.0</v>
      </c>
      <c r="C2169" s="11" t="s">
        <v>11095</v>
      </c>
      <c r="D2169" s="533">
        <v>0.75</v>
      </c>
      <c r="E2169" s="533">
        <v>0.75</v>
      </c>
      <c r="F2169" s="11" t="s">
        <v>1656</v>
      </c>
      <c r="G2169" s="10"/>
      <c r="H2169" s="11" t="s">
        <v>11096</v>
      </c>
      <c r="I2169" s="10"/>
      <c r="J2169" s="10"/>
      <c r="K2169" s="10"/>
    </row>
    <row r="2170" hidden="1">
      <c r="A2170" s="531" t="s">
        <v>13991</v>
      </c>
      <c r="B2170" s="531">
        <v>6732.0</v>
      </c>
      <c r="C2170" s="11" t="s">
        <v>11095</v>
      </c>
      <c r="D2170" s="533">
        <v>0.8</v>
      </c>
      <c r="E2170" s="533">
        <v>0.8</v>
      </c>
      <c r="F2170" s="11" t="s">
        <v>1656</v>
      </c>
      <c r="G2170" s="10"/>
      <c r="H2170" s="11" t="s">
        <v>11096</v>
      </c>
      <c r="I2170" s="10"/>
      <c r="J2170" s="10"/>
      <c r="K2170" s="10"/>
    </row>
    <row r="2171" hidden="1">
      <c r="A2171" s="531" t="s">
        <v>13992</v>
      </c>
      <c r="B2171" s="531">
        <v>3404.0</v>
      </c>
      <c r="C2171" s="11" t="s">
        <v>11095</v>
      </c>
      <c r="D2171" s="533">
        <v>0.75</v>
      </c>
      <c r="E2171" s="533">
        <v>0.75</v>
      </c>
      <c r="F2171" s="11" t="s">
        <v>1656</v>
      </c>
      <c r="G2171" s="10"/>
      <c r="H2171" s="11" t="s">
        <v>11096</v>
      </c>
      <c r="I2171" s="10"/>
      <c r="J2171" s="10"/>
      <c r="K2171" s="10"/>
    </row>
    <row r="2172" hidden="1">
      <c r="A2172" s="531" t="s">
        <v>13993</v>
      </c>
      <c r="B2172" s="531">
        <v>2345.0</v>
      </c>
      <c r="C2172" s="11" t="s">
        <v>11095</v>
      </c>
      <c r="D2172" s="533">
        <v>0.9</v>
      </c>
      <c r="E2172" s="533">
        <v>0.9</v>
      </c>
      <c r="F2172" s="11" t="s">
        <v>1656</v>
      </c>
      <c r="G2172" s="10"/>
      <c r="H2172" s="11" t="s">
        <v>11096</v>
      </c>
      <c r="I2172" s="10"/>
      <c r="J2172" s="10"/>
      <c r="K2172" s="10"/>
    </row>
    <row r="2173" hidden="1">
      <c r="A2173" s="531" t="s">
        <v>13994</v>
      </c>
      <c r="B2173" s="531">
        <v>285.0</v>
      </c>
      <c r="C2173" s="11" t="s">
        <v>11095</v>
      </c>
      <c r="D2173" s="533">
        <v>0.88</v>
      </c>
      <c r="E2173" s="533">
        <v>0.88</v>
      </c>
      <c r="F2173" s="11" t="s">
        <v>1656</v>
      </c>
      <c r="G2173" s="10"/>
      <c r="H2173" s="11" t="s">
        <v>11096</v>
      </c>
      <c r="I2173" s="10"/>
      <c r="J2173" s="10"/>
      <c r="K2173" s="10"/>
    </row>
    <row r="2174" hidden="1">
      <c r="A2174" s="531" t="s">
        <v>13995</v>
      </c>
      <c r="B2174" s="531">
        <v>2345.0</v>
      </c>
      <c r="C2174" s="11" t="s">
        <v>11095</v>
      </c>
      <c r="D2174" s="533">
        <v>0.9</v>
      </c>
      <c r="E2174" s="533">
        <v>0.9</v>
      </c>
      <c r="F2174" s="11" t="s">
        <v>1656</v>
      </c>
      <c r="G2174" s="10"/>
      <c r="H2174" s="11" t="s">
        <v>11096</v>
      </c>
      <c r="I2174" s="10"/>
      <c r="J2174" s="10"/>
      <c r="K2174" s="10"/>
    </row>
    <row r="2175" hidden="1">
      <c r="A2175" s="531" t="s">
        <v>13996</v>
      </c>
      <c r="B2175" s="531">
        <v>7129.0</v>
      </c>
      <c r="C2175" s="11" t="s">
        <v>11095</v>
      </c>
      <c r="D2175" s="533">
        <v>0.75</v>
      </c>
      <c r="E2175" s="533">
        <v>0.75</v>
      </c>
      <c r="F2175" s="11" t="s">
        <v>1656</v>
      </c>
      <c r="G2175" s="10"/>
      <c r="H2175" s="11" t="s">
        <v>11096</v>
      </c>
      <c r="I2175" s="10"/>
      <c r="J2175" s="10"/>
      <c r="K2175" s="10"/>
    </row>
    <row r="2176" hidden="1">
      <c r="A2176" s="531" t="s">
        <v>13997</v>
      </c>
      <c r="B2176" s="531">
        <v>2345.0</v>
      </c>
      <c r="C2176" s="11" t="s">
        <v>11095</v>
      </c>
      <c r="D2176" s="533">
        <v>0.9</v>
      </c>
      <c r="E2176" s="533">
        <v>0.9</v>
      </c>
      <c r="F2176" s="11" t="s">
        <v>1656</v>
      </c>
      <c r="G2176" s="10"/>
      <c r="H2176" s="11" t="s">
        <v>11096</v>
      </c>
      <c r="I2176" s="10"/>
      <c r="J2176" s="10"/>
      <c r="K2176" s="10"/>
    </row>
    <row r="2177" hidden="1">
      <c r="A2177" s="531" t="s">
        <v>13998</v>
      </c>
      <c r="B2177" s="531">
        <v>2345.0</v>
      </c>
      <c r="C2177" s="11" t="s">
        <v>11095</v>
      </c>
      <c r="D2177" s="533">
        <v>0.9</v>
      </c>
      <c r="E2177" s="533">
        <v>0.9</v>
      </c>
      <c r="F2177" s="11" t="s">
        <v>1656</v>
      </c>
      <c r="G2177" s="10"/>
      <c r="H2177" s="11" t="s">
        <v>11096</v>
      </c>
      <c r="I2177" s="10"/>
      <c r="J2177" s="10"/>
      <c r="K2177" s="10"/>
    </row>
    <row r="2178" hidden="1">
      <c r="A2178" s="531" t="s">
        <v>13999</v>
      </c>
      <c r="B2178" s="531">
        <v>6732.0</v>
      </c>
      <c r="C2178" s="11" t="s">
        <v>11095</v>
      </c>
      <c r="D2178" s="533">
        <v>0.8</v>
      </c>
      <c r="E2178" s="533">
        <v>0.8</v>
      </c>
      <c r="F2178" s="11" t="s">
        <v>1656</v>
      </c>
      <c r="G2178" s="10"/>
      <c r="H2178" s="11" t="s">
        <v>11096</v>
      </c>
      <c r="I2178" s="10"/>
      <c r="J2178" s="10"/>
      <c r="K2178" s="10"/>
    </row>
    <row r="2179" hidden="1">
      <c r="A2179" s="531" t="s">
        <v>14000</v>
      </c>
      <c r="B2179" s="531">
        <v>2345.0</v>
      </c>
      <c r="C2179" s="11" t="s">
        <v>11095</v>
      </c>
      <c r="D2179" s="533">
        <v>0.9</v>
      </c>
      <c r="E2179" s="533">
        <v>0.9</v>
      </c>
      <c r="F2179" s="11" t="s">
        <v>1656</v>
      </c>
      <c r="G2179" s="10"/>
      <c r="H2179" s="11" t="s">
        <v>11096</v>
      </c>
      <c r="I2179" s="10"/>
      <c r="J2179" s="10"/>
      <c r="K2179" s="10"/>
    </row>
    <row r="2180" hidden="1">
      <c r="A2180" s="531" t="s">
        <v>14001</v>
      </c>
      <c r="B2180" s="531">
        <v>2345.0</v>
      </c>
      <c r="C2180" s="11" t="s">
        <v>11095</v>
      </c>
      <c r="D2180" s="533">
        <v>0.9</v>
      </c>
      <c r="E2180" s="533">
        <v>0.9</v>
      </c>
      <c r="F2180" s="11" t="s">
        <v>1656</v>
      </c>
      <c r="G2180" s="10"/>
      <c r="H2180" s="11" t="s">
        <v>11096</v>
      </c>
      <c r="I2180" s="10"/>
      <c r="J2180" s="10"/>
      <c r="K2180" s="10"/>
    </row>
    <row r="2181" hidden="1">
      <c r="A2181" s="531" t="s">
        <v>14002</v>
      </c>
      <c r="B2181" s="531">
        <v>6669.0</v>
      </c>
      <c r="C2181" s="11" t="s">
        <v>11095</v>
      </c>
      <c r="D2181" s="533">
        <v>0.75</v>
      </c>
      <c r="E2181" s="533">
        <v>0.75</v>
      </c>
      <c r="F2181" s="11" t="s">
        <v>1656</v>
      </c>
      <c r="G2181" s="10"/>
      <c r="H2181" s="11" t="s">
        <v>11096</v>
      </c>
      <c r="I2181" s="10"/>
      <c r="J2181" s="10"/>
      <c r="K2181" s="10"/>
    </row>
    <row r="2182" hidden="1">
      <c r="A2182" s="531" t="s">
        <v>14003</v>
      </c>
      <c r="B2182" s="531">
        <v>6732.0</v>
      </c>
      <c r="C2182" s="11" t="s">
        <v>11095</v>
      </c>
      <c r="D2182" s="533">
        <v>0.8</v>
      </c>
      <c r="E2182" s="533">
        <v>0.8</v>
      </c>
      <c r="F2182" s="11" t="s">
        <v>1656</v>
      </c>
      <c r="G2182" s="10"/>
      <c r="H2182" s="11" t="s">
        <v>11096</v>
      </c>
      <c r="I2182" s="10"/>
      <c r="J2182" s="10"/>
      <c r="K2182" s="10"/>
    </row>
    <row r="2183" hidden="1">
      <c r="A2183" s="531" t="s">
        <v>14004</v>
      </c>
      <c r="B2183" s="531">
        <v>2345.0</v>
      </c>
      <c r="C2183" s="11" t="s">
        <v>11095</v>
      </c>
      <c r="D2183" s="533">
        <v>0.9</v>
      </c>
      <c r="E2183" s="533">
        <v>0.9</v>
      </c>
      <c r="F2183" s="11" t="s">
        <v>1656</v>
      </c>
      <c r="G2183" s="10"/>
      <c r="H2183" s="11" t="s">
        <v>11096</v>
      </c>
      <c r="I2183" s="10"/>
      <c r="J2183" s="10"/>
      <c r="K2183" s="10"/>
    </row>
    <row r="2184" hidden="1">
      <c r="A2184" s="531" t="s">
        <v>14005</v>
      </c>
      <c r="B2184" s="531">
        <v>8225.0</v>
      </c>
      <c r="C2184" s="11" t="s">
        <v>11095</v>
      </c>
      <c r="D2184" s="533">
        <v>0.75</v>
      </c>
      <c r="E2184" s="533">
        <v>0.75</v>
      </c>
      <c r="F2184" s="11" t="s">
        <v>1656</v>
      </c>
      <c r="G2184" s="10"/>
      <c r="H2184" s="11" t="s">
        <v>11096</v>
      </c>
      <c r="I2184" s="10"/>
      <c r="J2184" s="10"/>
      <c r="K2184" s="10"/>
    </row>
    <row r="2185" hidden="1">
      <c r="A2185" s="531" t="s">
        <v>14006</v>
      </c>
      <c r="B2185" s="531">
        <v>2345.0</v>
      </c>
      <c r="C2185" s="11" t="s">
        <v>11095</v>
      </c>
      <c r="D2185" s="533">
        <v>0.9</v>
      </c>
      <c r="E2185" s="533">
        <v>0.9</v>
      </c>
      <c r="F2185" s="11" t="s">
        <v>1656</v>
      </c>
      <c r="G2185" s="10"/>
      <c r="H2185" s="11" t="s">
        <v>11096</v>
      </c>
      <c r="I2185" s="10"/>
      <c r="J2185" s="10"/>
      <c r="K2185" s="10"/>
    </row>
    <row r="2186" hidden="1">
      <c r="A2186" s="531" t="s">
        <v>14007</v>
      </c>
      <c r="B2186" s="531">
        <v>986.0</v>
      </c>
      <c r="C2186" s="11" t="s">
        <v>11095</v>
      </c>
      <c r="D2186" s="533">
        <v>0.85</v>
      </c>
      <c r="E2186" s="533">
        <v>0.85</v>
      </c>
      <c r="F2186" s="11" t="s">
        <v>1656</v>
      </c>
      <c r="G2186" s="10"/>
      <c r="H2186" s="11" t="s">
        <v>11096</v>
      </c>
      <c r="I2186" s="10"/>
      <c r="J2186" s="10"/>
      <c r="K2186" s="10"/>
    </row>
    <row r="2187" hidden="1">
      <c r="A2187" s="531" t="s">
        <v>14008</v>
      </c>
      <c r="B2187" s="531">
        <v>285.0</v>
      </c>
      <c r="C2187" s="11" t="s">
        <v>11095</v>
      </c>
      <c r="D2187" s="533">
        <v>0.88</v>
      </c>
      <c r="E2187" s="533">
        <v>0.88</v>
      </c>
      <c r="F2187" s="11" t="s">
        <v>1656</v>
      </c>
      <c r="G2187" s="10"/>
      <c r="H2187" s="11" t="s">
        <v>11096</v>
      </c>
      <c r="I2187" s="10"/>
      <c r="J2187" s="10"/>
      <c r="K2187" s="10"/>
    </row>
    <row r="2188" hidden="1">
      <c r="A2188" s="531" t="s">
        <v>14009</v>
      </c>
      <c r="B2188" s="531">
        <v>2345.0</v>
      </c>
      <c r="C2188" s="11" t="s">
        <v>11095</v>
      </c>
      <c r="D2188" s="533">
        <v>0.9</v>
      </c>
      <c r="E2188" s="533">
        <v>0.9</v>
      </c>
      <c r="F2188" s="11" t="s">
        <v>1656</v>
      </c>
      <c r="G2188" s="10"/>
      <c r="H2188" s="11" t="s">
        <v>11096</v>
      </c>
      <c r="I2188" s="10"/>
      <c r="J2188" s="10"/>
      <c r="K2188" s="10"/>
    </row>
    <row r="2189" hidden="1">
      <c r="A2189" s="531" t="s">
        <v>14010</v>
      </c>
      <c r="B2189" s="531">
        <v>2345.0</v>
      </c>
      <c r="C2189" s="11" t="s">
        <v>11095</v>
      </c>
      <c r="D2189" s="533">
        <v>0.9</v>
      </c>
      <c r="E2189" s="533">
        <v>0.9</v>
      </c>
      <c r="F2189" s="11" t="s">
        <v>1656</v>
      </c>
      <c r="G2189" s="10"/>
      <c r="H2189" s="11" t="s">
        <v>11096</v>
      </c>
      <c r="I2189" s="10"/>
      <c r="J2189" s="10"/>
      <c r="K2189" s="10"/>
    </row>
    <row r="2190" hidden="1">
      <c r="A2190" s="531" t="s">
        <v>14011</v>
      </c>
      <c r="B2190" s="531">
        <v>2345.0</v>
      </c>
      <c r="C2190" s="11" t="s">
        <v>11095</v>
      </c>
      <c r="D2190" s="533">
        <v>0.9</v>
      </c>
      <c r="E2190" s="533">
        <v>0.9</v>
      </c>
      <c r="F2190" s="11" t="s">
        <v>1656</v>
      </c>
      <c r="G2190" s="10"/>
      <c r="H2190" s="11" t="s">
        <v>11096</v>
      </c>
      <c r="I2190" s="10"/>
      <c r="J2190" s="10"/>
      <c r="K2190" s="10"/>
    </row>
    <row r="2191" hidden="1">
      <c r="A2191" s="531" t="s">
        <v>14012</v>
      </c>
      <c r="B2191" s="531">
        <v>2345.0</v>
      </c>
      <c r="C2191" s="11" t="s">
        <v>11095</v>
      </c>
      <c r="D2191" s="533">
        <v>0.9</v>
      </c>
      <c r="E2191" s="533">
        <v>0.9</v>
      </c>
      <c r="F2191" s="11" t="s">
        <v>1656</v>
      </c>
      <c r="G2191" s="10"/>
      <c r="H2191" s="11" t="s">
        <v>11096</v>
      </c>
      <c r="I2191" s="10"/>
      <c r="J2191" s="10"/>
      <c r="K2191" s="10"/>
    </row>
    <row r="2192" hidden="1">
      <c r="A2192" s="359" t="s">
        <v>10389</v>
      </c>
      <c r="B2192" s="531"/>
      <c r="C2192" s="11" t="s">
        <v>11095</v>
      </c>
      <c r="D2192" s="533">
        <v>0.75</v>
      </c>
      <c r="E2192" s="533">
        <v>0.75</v>
      </c>
      <c r="F2192" s="11" t="s">
        <v>1656</v>
      </c>
      <c r="G2192" s="10"/>
      <c r="H2192" s="11" t="s">
        <v>11096</v>
      </c>
      <c r="I2192" s="10"/>
      <c r="J2192" s="10"/>
      <c r="K2192" s="10"/>
    </row>
    <row r="2193" hidden="1">
      <c r="A2193" s="359" t="s">
        <v>7810</v>
      </c>
      <c r="B2193" s="531"/>
      <c r="C2193" s="11" t="s">
        <v>11095</v>
      </c>
      <c r="D2193" s="533">
        <v>0.75</v>
      </c>
      <c r="E2193" s="533">
        <v>0.75</v>
      </c>
      <c r="F2193" s="11" t="s">
        <v>1656</v>
      </c>
      <c r="G2193" s="10"/>
      <c r="H2193" s="11" t="s">
        <v>11096</v>
      </c>
      <c r="I2193" s="10"/>
      <c r="J2193" s="10"/>
      <c r="K2193" s="10"/>
    </row>
    <row r="2194" hidden="1">
      <c r="A2194" s="359" t="s">
        <v>10392</v>
      </c>
      <c r="B2194" s="531"/>
      <c r="C2194" s="11" t="s">
        <v>11095</v>
      </c>
      <c r="D2194" s="533">
        <v>0.75</v>
      </c>
      <c r="E2194" s="533">
        <v>0.75</v>
      </c>
      <c r="F2194" s="11" t="s">
        <v>1656</v>
      </c>
      <c r="G2194" s="10"/>
      <c r="H2194" s="11" t="s">
        <v>11096</v>
      </c>
      <c r="I2194" s="10"/>
      <c r="J2194" s="10"/>
      <c r="K2194" s="10"/>
    </row>
    <row r="2195" hidden="1">
      <c r="A2195" s="359" t="s">
        <v>7804</v>
      </c>
      <c r="B2195" s="531">
        <v>6668.0</v>
      </c>
      <c r="C2195" s="11" t="s">
        <v>11095</v>
      </c>
      <c r="D2195" s="533">
        <v>0.75</v>
      </c>
      <c r="E2195" s="533">
        <v>0.75</v>
      </c>
      <c r="F2195" s="11" t="s">
        <v>1656</v>
      </c>
      <c r="G2195" s="10"/>
      <c r="H2195" s="11" t="s">
        <v>11096</v>
      </c>
      <c r="I2195" s="10"/>
      <c r="J2195" s="10"/>
      <c r="K2195" s="10"/>
    </row>
    <row r="2196" hidden="1">
      <c r="A2196" s="359" t="s">
        <v>9598</v>
      </c>
      <c r="B2196" s="531"/>
      <c r="C2196" s="11" t="s">
        <v>11095</v>
      </c>
      <c r="D2196" s="533">
        <v>0.75</v>
      </c>
      <c r="E2196" s="533">
        <v>0.75</v>
      </c>
      <c r="F2196" s="11" t="s">
        <v>1656</v>
      </c>
      <c r="G2196" s="10"/>
      <c r="H2196" s="11" t="s">
        <v>11096</v>
      </c>
      <c r="I2196" s="10"/>
      <c r="J2196" s="10"/>
      <c r="K2196" s="10"/>
    </row>
    <row r="2197" hidden="1">
      <c r="A2197" s="359" t="s">
        <v>7794</v>
      </c>
      <c r="B2197" s="531"/>
      <c r="C2197" s="11" t="s">
        <v>11095</v>
      </c>
      <c r="D2197" s="533">
        <v>0.75</v>
      </c>
      <c r="E2197" s="533">
        <v>0.75</v>
      </c>
      <c r="F2197" s="11" t="s">
        <v>1656</v>
      </c>
      <c r="G2197" s="10"/>
      <c r="H2197" s="11" t="s">
        <v>11096</v>
      </c>
      <c r="I2197" s="10"/>
      <c r="J2197" s="10"/>
      <c r="K2197" s="10"/>
    </row>
    <row r="2198" hidden="1">
      <c r="A2198" s="359" t="s">
        <v>10397</v>
      </c>
      <c r="B2198" s="531"/>
      <c r="C2198" s="11" t="s">
        <v>11095</v>
      </c>
      <c r="D2198" s="533">
        <v>0.75</v>
      </c>
      <c r="E2198" s="533">
        <v>0.75</v>
      </c>
      <c r="F2198" s="11" t="s">
        <v>1656</v>
      </c>
      <c r="G2198" s="10"/>
      <c r="H2198" s="11" t="s">
        <v>11096</v>
      </c>
      <c r="I2198" s="10"/>
      <c r="J2198" s="10"/>
      <c r="K2198" s="10"/>
    </row>
    <row r="2199" hidden="1">
      <c r="A2199" s="359" t="s">
        <v>10398</v>
      </c>
      <c r="B2199" s="16">
        <v>14764.0</v>
      </c>
      <c r="C2199" s="11" t="s">
        <v>11095</v>
      </c>
      <c r="D2199" s="533">
        <v>0.75</v>
      </c>
      <c r="E2199" s="533">
        <v>0.75</v>
      </c>
      <c r="F2199" s="11" t="s">
        <v>1656</v>
      </c>
      <c r="G2199" s="10"/>
      <c r="H2199" s="11" t="s">
        <v>11096</v>
      </c>
      <c r="I2199" s="10"/>
      <c r="J2199" s="10"/>
      <c r="K2199" s="10"/>
    </row>
    <row r="2200" hidden="1">
      <c r="A2200" s="359" t="s">
        <v>10399</v>
      </c>
      <c r="B2200" s="531"/>
      <c r="C2200" s="11" t="s">
        <v>11095</v>
      </c>
      <c r="D2200" s="533">
        <v>0.75</v>
      </c>
      <c r="E2200" s="533">
        <v>0.75</v>
      </c>
      <c r="F2200" s="11" t="s">
        <v>1656</v>
      </c>
      <c r="G2200" s="10"/>
      <c r="H2200" s="11" t="s">
        <v>11096</v>
      </c>
      <c r="I2200" s="10"/>
      <c r="J2200" s="10"/>
      <c r="K2200" s="10"/>
    </row>
    <row r="2201" hidden="1">
      <c r="A2201" s="359" t="s">
        <v>10401</v>
      </c>
      <c r="B2201" s="531"/>
      <c r="C2201" s="11" t="s">
        <v>11095</v>
      </c>
      <c r="D2201" s="533">
        <v>0.75</v>
      </c>
      <c r="E2201" s="533">
        <v>0.75</v>
      </c>
      <c r="F2201" s="11" t="s">
        <v>1656</v>
      </c>
      <c r="G2201" s="10"/>
      <c r="H2201" s="11" t="s">
        <v>11096</v>
      </c>
      <c r="I2201" s="10"/>
      <c r="J2201" s="10"/>
      <c r="K2201" s="10"/>
    </row>
    <row r="2202" hidden="1">
      <c r="A2202" s="359" t="s">
        <v>7850</v>
      </c>
      <c r="B2202" s="531"/>
      <c r="C2202" s="11" t="s">
        <v>11095</v>
      </c>
      <c r="D2202" s="533">
        <v>0.75</v>
      </c>
      <c r="E2202" s="533">
        <v>0.75</v>
      </c>
      <c r="F2202" s="11" t="s">
        <v>1656</v>
      </c>
      <c r="G2202" s="10"/>
      <c r="H2202" s="11" t="s">
        <v>11096</v>
      </c>
      <c r="I2202" s="10"/>
      <c r="J2202" s="10"/>
      <c r="K2202" s="10"/>
    </row>
    <row r="2203" hidden="1">
      <c r="A2203" s="359" t="s">
        <v>7845</v>
      </c>
      <c r="B2203" s="531"/>
      <c r="C2203" s="11" t="s">
        <v>11095</v>
      </c>
      <c r="D2203" s="533">
        <v>0.75</v>
      </c>
      <c r="E2203" s="533">
        <v>0.75</v>
      </c>
      <c r="F2203" s="11" t="s">
        <v>1656</v>
      </c>
      <c r="G2203" s="10"/>
      <c r="H2203" s="11" t="s">
        <v>11096</v>
      </c>
      <c r="I2203" s="10"/>
      <c r="J2203" s="10"/>
      <c r="K2203" s="10"/>
    </row>
    <row r="2204" hidden="1">
      <c r="A2204" s="359" t="s">
        <v>10405</v>
      </c>
      <c r="B2204" s="531"/>
      <c r="C2204" s="11" t="s">
        <v>11095</v>
      </c>
      <c r="D2204" s="533">
        <v>0.75</v>
      </c>
      <c r="E2204" s="533">
        <v>0.75</v>
      </c>
      <c r="F2204" s="11" t="s">
        <v>1656</v>
      </c>
      <c r="G2204" s="10"/>
      <c r="H2204" s="11" t="s">
        <v>11096</v>
      </c>
      <c r="I2204" s="10"/>
      <c r="J2204" s="10"/>
      <c r="K2204" s="10"/>
    </row>
    <row r="2205" hidden="1">
      <c r="A2205" s="359" t="s">
        <v>7838</v>
      </c>
      <c r="B2205" s="531"/>
      <c r="C2205" s="11" t="s">
        <v>11095</v>
      </c>
      <c r="D2205" s="533">
        <v>0.75</v>
      </c>
      <c r="E2205" s="533">
        <v>0.75</v>
      </c>
      <c r="F2205" s="11" t="s">
        <v>1656</v>
      </c>
      <c r="G2205" s="10"/>
      <c r="H2205" s="11" t="s">
        <v>11096</v>
      </c>
      <c r="I2205" s="10"/>
      <c r="J2205" s="10"/>
      <c r="K2205" s="10"/>
    </row>
    <row r="2206" hidden="1">
      <c r="A2206" s="359" t="s">
        <v>7841</v>
      </c>
      <c r="B2206" s="531"/>
      <c r="C2206" s="11" t="s">
        <v>11095</v>
      </c>
      <c r="D2206" s="533">
        <v>0.75</v>
      </c>
      <c r="E2206" s="533">
        <v>0.75</v>
      </c>
      <c r="F2206" s="11" t="s">
        <v>1656</v>
      </c>
      <c r="G2206" s="10"/>
      <c r="H2206" s="11" t="s">
        <v>11096</v>
      </c>
      <c r="I2206" s="10"/>
      <c r="J2206" s="10"/>
      <c r="K2206" s="10"/>
    </row>
    <row r="2207" hidden="1">
      <c r="A2207" s="359" t="s">
        <v>10413</v>
      </c>
      <c r="B2207" s="531"/>
      <c r="C2207" s="11" t="s">
        <v>11095</v>
      </c>
      <c r="D2207" s="533">
        <v>0.75</v>
      </c>
      <c r="E2207" s="533">
        <v>0.75</v>
      </c>
      <c r="F2207" s="11" t="s">
        <v>1656</v>
      </c>
      <c r="G2207" s="10"/>
      <c r="H2207" s="11" t="s">
        <v>11096</v>
      </c>
      <c r="I2207" s="10"/>
      <c r="J2207" s="10"/>
      <c r="K2207" s="10"/>
    </row>
    <row r="2208" hidden="1">
      <c r="A2208" s="359" t="s">
        <v>10417</v>
      </c>
      <c r="B2208" s="531"/>
      <c r="C2208" s="11" t="s">
        <v>11095</v>
      </c>
      <c r="D2208" s="533">
        <v>0.75</v>
      </c>
      <c r="E2208" s="533">
        <v>0.75</v>
      </c>
      <c r="F2208" s="11" t="s">
        <v>1656</v>
      </c>
      <c r="G2208" s="10"/>
      <c r="H2208" s="11" t="s">
        <v>11096</v>
      </c>
      <c r="I2208" s="10"/>
      <c r="J2208" s="10"/>
      <c r="K2208" s="10"/>
    </row>
    <row r="2209" hidden="1">
      <c r="A2209" s="359" t="s">
        <v>10419</v>
      </c>
      <c r="B2209" s="531"/>
      <c r="C2209" s="11" t="s">
        <v>11095</v>
      </c>
      <c r="D2209" s="533">
        <v>0.75</v>
      </c>
      <c r="E2209" s="533">
        <v>0.75</v>
      </c>
      <c r="F2209" s="11" t="s">
        <v>1656</v>
      </c>
      <c r="G2209" s="10"/>
      <c r="H2209" s="11" t="s">
        <v>11096</v>
      </c>
      <c r="I2209" s="10"/>
      <c r="J2209" s="10"/>
      <c r="K2209" s="10"/>
    </row>
    <row r="2210" hidden="1">
      <c r="A2210" s="359" t="s">
        <v>7818</v>
      </c>
      <c r="B2210" s="531"/>
      <c r="C2210" s="11" t="s">
        <v>11095</v>
      </c>
      <c r="D2210" s="533">
        <v>0.75</v>
      </c>
      <c r="E2210" s="533">
        <v>0.75</v>
      </c>
      <c r="F2210" s="11" t="s">
        <v>1656</v>
      </c>
      <c r="G2210" s="10"/>
      <c r="H2210" s="11" t="s">
        <v>11096</v>
      </c>
      <c r="I2210" s="10"/>
      <c r="J2210" s="10"/>
      <c r="K2210" s="10"/>
    </row>
    <row r="2211" hidden="1">
      <c r="A2211" s="359" t="s">
        <v>10423</v>
      </c>
      <c r="B2211" s="512">
        <v>14540.0</v>
      </c>
      <c r="C2211" s="11" t="s">
        <v>11095</v>
      </c>
      <c r="D2211" s="533">
        <v>0.75</v>
      </c>
      <c r="E2211" s="533">
        <v>0.75</v>
      </c>
      <c r="F2211" s="11" t="s">
        <v>1656</v>
      </c>
      <c r="G2211" s="10"/>
      <c r="H2211" s="11" t="s">
        <v>11096</v>
      </c>
      <c r="I2211" s="10"/>
      <c r="J2211" s="10"/>
      <c r="K2211" s="10"/>
    </row>
    <row r="2212" hidden="1">
      <c r="A2212" s="359" t="s">
        <v>10426</v>
      </c>
      <c r="B2212" s="531"/>
      <c r="C2212" s="11" t="s">
        <v>11095</v>
      </c>
      <c r="D2212" s="533">
        <v>0.75</v>
      </c>
      <c r="E2212" s="533">
        <v>0.75</v>
      </c>
      <c r="F2212" s="11" t="s">
        <v>1656</v>
      </c>
      <c r="G2212" s="10"/>
      <c r="H2212" s="11" t="s">
        <v>11096</v>
      </c>
      <c r="I2212" s="10"/>
      <c r="J2212" s="10"/>
      <c r="K2212" s="10"/>
    </row>
    <row r="2213" hidden="1">
      <c r="A2213" s="359" t="s">
        <v>10428</v>
      </c>
      <c r="B2213" s="16">
        <v>14732.0</v>
      </c>
      <c r="C2213" s="11" t="s">
        <v>11095</v>
      </c>
      <c r="D2213" s="533">
        <v>0.75</v>
      </c>
      <c r="E2213" s="533">
        <v>0.75</v>
      </c>
      <c r="F2213" s="11" t="s">
        <v>1656</v>
      </c>
      <c r="G2213" s="10"/>
      <c r="H2213" s="11" t="s">
        <v>11096</v>
      </c>
      <c r="I2213" s="10"/>
      <c r="J2213" s="10"/>
      <c r="K2213" s="10"/>
    </row>
    <row r="2214" hidden="1">
      <c r="A2214" s="359" t="s">
        <v>10433</v>
      </c>
      <c r="B2214" s="531">
        <v>14770.0</v>
      </c>
      <c r="C2214" s="11" t="s">
        <v>11095</v>
      </c>
      <c r="D2214" s="533">
        <v>0.75</v>
      </c>
      <c r="E2214" s="533">
        <v>0.75</v>
      </c>
      <c r="F2214" s="11" t="s">
        <v>1656</v>
      </c>
      <c r="G2214" s="10"/>
      <c r="H2214" s="11" t="s">
        <v>11096</v>
      </c>
      <c r="I2214" s="10"/>
      <c r="J2214" s="10"/>
      <c r="K2214" s="10"/>
    </row>
    <row r="2215" hidden="1">
      <c r="A2215" s="359" t="s">
        <v>10434</v>
      </c>
      <c r="B2215" s="531"/>
      <c r="C2215" s="11" t="s">
        <v>11095</v>
      </c>
      <c r="D2215" s="533">
        <v>0.75</v>
      </c>
      <c r="E2215" s="533">
        <v>0.75</v>
      </c>
      <c r="F2215" s="11" t="s">
        <v>1656</v>
      </c>
      <c r="G2215" s="10"/>
      <c r="H2215" s="11" t="s">
        <v>11096</v>
      </c>
      <c r="I2215" s="10"/>
      <c r="J2215" s="10"/>
      <c r="K2215" s="10"/>
    </row>
    <row r="2216" hidden="1">
      <c r="A2216" s="359" t="s">
        <v>10436</v>
      </c>
      <c r="B2216" s="531">
        <v>14769.0</v>
      </c>
      <c r="C2216" s="11" t="s">
        <v>11095</v>
      </c>
      <c r="D2216" s="533">
        <v>0.75</v>
      </c>
      <c r="E2216" s="533">
        <v>0.75</v>
      </c>
      <c r="F2216" s="11" t="s">
        <v>1656</v>
      </c>
      <c r="G2216" s="10"/>
      <c r="H2216" s="11" t="s">
        <v>11096</v>
      </c>
      <c r="I2216" s="10"/>
      <c r="J2216" s="10"/>
      <c r="K2216" s="10"/>
    </row>
    <row r="2217" hidden="1">
      <c r="A2217" s="359" t="s">
        <v>14013</v>
      </c>
      <c r="B2217" s="531"/>
      <c r="C2217" s="11" t="s">
        <v>11095</v>
      </c>
      <c r="D2217" s="533">
        <v>0.75</v>
      </c>
      <c r="E2217" s="533">
        <v>0.75</v>
      </c>
      <c r="F2217" s="11" t="s">
        <v>1656</v>
      </c>
      <c r="G2217" s="10"/>
      <c r="H2217" s="11" t="s">
        <v>11096</v>
      </c>
      <c r="I2217" s="10"/>
      <c r="J2217" s="10"/>
      <c r="K2217" s="10"/>
    </row>
    <row r="2218" hidden="1">
      <c r="A2218" s="531" t="s">
        <v>14014</v>
      </c>
      <c r="B2218" s="531">
        <v>14663.0</v>
      </c>
      <c r="C2218" s="11" t="s">
        <v>11095</v>
      </c>
      <c r="D2218" s="533">
        <v>0.75</v>
      </c>
      <c r="E2218" s="533">
        <v>0.75</v>
      </c>
      <c r="F2218" s="11" t="s">
        <v>1656</v>
      </c>
      <c r="G2218" s="10"/>
      <c r="H2218" s="11" t="s">
        <v>11096</v>
      </c>
      <c r="I2218" s="10"/>
      <c r="J2218" s="10"/>
      <c r="K2218" s="10"/>
    </row>
    <row r="2219" hidden="1">
      <c r="A2219" s="531" t="s">
        <v>503</v>
      </c>
      <c r="B2219" s="531">
        <v>14727.0</v>
      </c>
      <c r="C2219" s="11" t="s">
        <v>11095</v>
      </c>
      <c r="D2219" s="533">
        <v>0.75</v>
      </c>
      <c r="E2219" s="533">
        <v>0.75</v>
      </c>
      <c r="F2219" s="11" t="s">
        <v>1656</v>
      </c>
      <c r="G2219" s="10"/>
      <c r="H2219" s="11" t="s">
        <v>11096</v>
      </c>
      <c r="I2219" s="10"/>
      <c r="J2219" s="10"/>
      <c r="K2219" s="10"/>
    </row>
    <row r="2220" hidden="1">
      <c r="A2220" s="531" t="s">
        <v>10440</v>
      </c>
      <c r="B2220" s="531">
        <v>14727.0</v>
      </c>
      <c r="C2220" s="11" t="s">
        <v>11095</v>
      </c>
      <c r="D2220" s="533">
        <v>0.75</v>
      </c>
      <c r="E2220" s="533">
        <v>0.75</v>
      </c>
      <c r="F2220" s="11" t="s">
        <v>1656</v>
      </c>
      <c r="G2220" s="10"/>
      <c r="H2220" s="11" t="s">
        <v>11096</v>
      </c>
      <c r="I2220" s="10"/>
      <c r="J2220" s="10"/>
      <c r="K2220" s="10"/>
    </row>
    <row r="2221" hidden="1">
      <c r="A2221" s="531" t="s">
        <v>14015</v>
      </c>
      <c r="B2221" s="531"/>
      <c r="C2221" s="11" t="s">
        <v>11095</v>
      </c>
      <c r="D2221" s="533">
        <v>0.75</v>
      </c>
      <c r="E2221" s="533">
        <v>0.75</v>
      </c>
      <c r="F2221" s="11" t="s">
        <v>1656</v>
      </c>
      <c r="G2221" s="10"/>
      <c r="H2221" s="11" t="s">
        <v>11096</v>
      </c>
      <c r="I2221" s="10"/>
      <c r="J2221" s="10"/>
      <c r="K2221" s="10"/>
    </row>
    <row r="2222" hidden="1">
      <c r="A2222" s="358" t="s">
        <v>14016</v>
      </c>
      <c r="B2222" s="531"/>
      <c r="C2222" s="11" t="s">
        <v>11095</v>
      </c>
      <c r="D2222" s="533">
        <v>0.75</v>
      </c>
      <c r="E2222" s="533">
        <v>0.75</v>
      </c>
      <c r="F2222" s="11" t="s">
        <v>1656</v>
      </c>
      <c r="G2222" s="10"/>
      <c r="H2222" s="11" t="s">
        <v>11096</v>
      </c>
      <c r="I2222" s="10"/>
      <c r="J2222" s="10"/>
      <c r="K2222" s="10"/>
    </row>
    <row r="2223" hidden="1">
      <c r="A2223" s="358" t="s">
        <v>14017</v>
      </c>
      <c r="B2223" s="531"/>
      <c r="C2223" s="11" t="s">
        <v>11095</v>
      </c>
      <c r="D2223" s="533">
        <v>0.75</v>
      </c>
      <c r="E2223" s="533">
        <v>0.75</v>
      </c>
      <c r="F2223" s="11" t="s">
        <v>1656</v>
      </c>
      <c r="G2223" s="10"/>
      <c r="H2223" s="11" t="s">
        <v>11096</v>
      </c>
      <c r="I2223" s="10"/>
      <c r="J2223" s="10"/>
      <c r="K2223" s="10"/>
    </row>
    <row r="2224" hidden="1">
      <c r="A2224" s="358" t="s">
        <v>14018</v>
      </c>
      <c r="B2224" s="531"/>
      <c r="C2224" s="11" t="s">
        <v>11095</v>
      </c>
      <c r="D2224" s="533">
        <v>0.75</v>
      </c>
      <c r="E2224" s="533">
        <v>0.75</v>
      </c>
      <c r="F2224" s="11" t="s">
        <v>1656</v>
      </c>
      <c r="G2224" s="10"/>
      <c r="H2224" s="11" t="s">
        <v>11096</v>
      </c>
      <c r="I2224" s="10"/>
      <c r="J2224" s="10"/>
      <c r="K2224" s="10"/>
    </row>
    <row r="2225" hidden="1">
      <c r="A2225" s="358" t="s">
        <v>14019</v>
      </c>
      <c r="B2225" s="531"/>
      <c r="C2225" s="11" t="s">
        <v>11095</v>
      </c>
      <c r="D2225" s="533">
        <v>0.75</v>
      </c>
      <c r="E2225" s="533">
        <v>0.75</v>
      </c>
      <c r="F2225" s="11" t="s">
        <v>1656</v>
      </c>
      <c r="G2225" s="10"/>
      <c r="H2225" s="11" t="s">
        <v>11096</v>
      </c>
      <c r="I2225" s="10"/>
      <c r="J2225" s="10"/>
      <c r="K2225" s="10"/>
    </row>
    <row r="2226" hidden="1">
      <c r="A2226" s="358" t="s">
        <v>14020</v>
      </c>
      <c r="B2226" s="531"/>
      <c r="C2226" s="11" t="s">
        <v>11095</v>
      </c>
      <c r="D2226" s="533">
        <v>0.75</v>
      </c>
      <c r="E2226" s="533">
        <v>0.75</v>
      </c>
      <c r="F2226" s="11" t="s">
        <v>1656</v>
      </c>
      <c r="G2226" s="10"/>
      <c r="H2226" s="11" t="s">
        <v>11096</v>
      </c>
      <c r="I2226" s="10"/>
      <c r="J2226" s="10"/>
      <c r="K2226" s="10"/>
    </row>
    <row r="2227" hidden="1">
      <c r="A2227" s="358" t="s">
        <v>14021</v>
      </c>
      <c r="B2227" s="531"/>
      <c r="C2227" s="11" t="s">
        <v>11095</v>
      </c>
      <c r="D2227" s="533">
        <v>0.75</v>
      </c>
      <c r="E2227" s="533">
        <v>0.75</v>
      </c>
      <c r="F2227" s="11" t="s">
        <v>1656</v>
      </c>
      <c r="G2227" s="10"/>
      <c r="H2227" s="11" t="s">
        <v>11096</v>
      </c>
      <c r="I2227" s="10"/>
      <c r="J2227" s="10"/>
      <c r="K2227" s="10"/>
    </row>
    <row r="2228" hidden="1">
      <c r="A2228" s="358" t="s">
        <v>14022</v>
      </c>
      <c r="B2228" s="531"/>
      <c r="C2228" s="11" t="s">
        <v>11095</v>
      </c>
      <c r="D2228" s="533">
        <v>0.75</v>
      </c>
      <c r="E2228" s="533">
        <v>0.75</v>
      </c>
      <c r="F2228" s="11" t="s">
        <v>1656</v>
      </c>
      <c r="G2228" s="10"/>
      <c r="H2228" s="11" t="s">
        <v>11096</v>
      </c>
      <c r="I2228" s="10"/>
      <c r="J2228" s="10"/>
      <c r="K2228" s="10"/>
    </row>
    <row r="2229" hidden="1">
      <c r="A2229" s="358" t="s">
        <v>14023</v>
      </c>
      <c r="B2229" s="531"/>
      <c r="C2229" s="11" t="s">
        <v>11095</v>
      </c>
      <c r="D2229" s="533">
        <v>0.75</v>
      </c>
      <c r="E2229" s="533">
        <v>0.75</v>
      </c>
      <c r="F2229" s="11" t="s">
        <v>1656</v>
      </c>
      <c r="G2229" s="10"/>
      <c r="H2229" s="11" t="s">
        <v>11096</v>
      </c>
      <c r="I2229" s="10"/>
      <c r="J2229" s="10"/>
      <c r="K2229" s="10"/>
    </row>
    <row r="2230" hidden="1">
      <c r="A2230" s="358" t="s">
        <v>14024</v>
      </c>
      <c r="B2230" s="531"/>
      <c r="C2230" s="11" t="s">
        <v>11095</v>
      </c>
      <c r="D2230" s="533">
        <v>0.75</v>
      </c>
      <c r="E2230" s="533">
        <v>0.75</v>
      </c>
      <c r="F2230" s="11" t="s">
        <v>1656</v>
      </c>
      <c r="G2230" s="10"/>
      <c r="H2230" s="11" t="s">
        <v>11096</v>
      </c>
      <c r="I2230" s="10"/>
      <c r="J2230" s="10"/>
      <c r="K2230" s="10"/>
    </row>
    <row r="2231" hidden="1">
      <c r="A2231" s="358" t="s">
        <v>14025</v>
      </c>
      <c r="B2231" s="531"/>
      <c r="C2231" s="11" t="s">
        <v>11095</v>
      </c>
      <c r="D2231" s="533">
        <v>0.75</v>
      </c>
      <c r="E2231" s="533">
        <v>0.75</v>
      </c>
      <c r="F2231" s="11" t="s">
        <v>1656</v>
      </c>
      <c r="G2231" s="10"/>
      <c r="H2231" s="11" t="s">
        <v>11096</v>
      </c>
      <c r="I2231" s="10"/>
      <c r="J2231" s="10"/>
      <c r="K2231" s="10"/>
    </row>
    <row r="2232" hidden="1">
      <c r="A2232" s="358" t="s">
        <v>14026</v>
      </c>
      <c r="B2232" s="531"/>
      <c r="C2232" s="11" t="s">
        <v>11095</v>
      </c>
      <c r="D2232" s="533">
        <v>0.75</v>
      </c>
      <c r="E2232" s="533">
        <v>0.75</v>
      </c>
      <c r="F2232" s="11" t="s">
        <v>1656</v>
      </c>
      <c r="G2232" s="10"/>
      <c r="H2232" s="11" t="s">
        <v>11096</v>
      </c>
      <c r="I2232" s="10"/>
      <c r="J2232" s="10"/>
      <c r="K2232" s="10"/>
    </row>
    <row r="2233" hidden="1">
      <c r="A2233" s="358" t="s">
        <v>14027</v>
      </c>
      <c r="B2233" s="531"/>
      <c r="C2233" s="11" t="s">
        <v>11095</v>
      </c>
      <c r="D2233" s="533">
        <v>0.75</v>
      </c>
      <c r="E2233" s="533">
        <v>0.75</v>
      </c>
      <c r="F2233" s="11" t="s">
        <v>1656</v>
      </c>
      <c r="G2233" s="10"/>
      <c r="H2233" s="11" t="s">
        <v>11096</v>
      </c>
      <c r="I2233" s="10"/>
      <c r="J2233" s="10"/>
      <c r="K2233" s="10"/>
    </row>
    <row r="2234" hidden="1">
      <c r="A2234" s="358" t="s">
        <v>14028</v>
      </c>
      <c r="B2234" s="531"/>
      <c r="C2234" s="11" t="s">
        <v>11095</v>
      </c>
      <c r="D2234" s="533">
        <v>0.75</v>
      </c>
      <c r="E2234" s="533">
        <v>0.75</v>
      </c>
      <c r="F2234" s="11" t="s">
        <v>1656</v>
      </c>
      <c r="G2234" s="10"/>
      <c r="H2234" s="11" t="s">
        <v>11096</v>
      </c>
      <c r="I2234" s="10"/>
      <c r="J2234" s="10"/>
      <c r="K2234" s="10"/>
    </row>
    <row r="2235" hidden="1">
      <c r="A2235" s="358" t="s">
        <v>14029</v>
      </c>
      <c r="B2235" s="531"/>
      <c r="C2235" s="11" t="s">
        <v>11095</v>
      </c>
      <c r="D2235" s="533">
        <v>0.75</v>
      </c>
      <c r="E2235" s="533">
        <v>0.75</v>
      </c>
      <c r="F2235" s="11" t="s">
        <v>1656</v>
      </c>
      <c r="G2235" s="10"/>
      <c r="H2235" s="11" t="s">
        <v>11096</v>
      </c>
      <c r="I2235" s="10"/>
      <c r="J2235" s="10"/>
      <c r="K2235" s="10"/>
    </row>
    <row r="2236" hidden="1">
      <c r="A2236" s="358" t="s">
        <v>14030</v>
      </c>
      <c r="B2236" s="531"/>
      <c r="C2236" s="11" t="s">
        <v>11095</v>
      </c>
      <c r="D2236" s="533">
        <v>0.75</v>
      </c>
      <c r="E2236" s="533">
        <v>0.75</v>
      </c>
      <c r="F2236" s="11" t="s">
        <v>1656</v>
      </c>
      <c r="G2236" s="10"/>
      <c r="H2236" s="11" t="s">
        <v>11096</v>
      </c>
      <c r="I2236" s="10"/>
      <c r="J2236" s="10"/>
      <c r="K2236" s="10"/>
    </row>
    <row r="2237" hidden="1">
      <c r="A2237" s="358" t="s">
        <v>14031</v>
      </c>
      <c r="B2237" s="531"/>
      <c r="C2237" s="11" t="s">
        <v>11095</v>
      </c>
      <c r="D2237" s="533">
        <v>0.75</v>
      </c>
      <c r="E2237" s="533">
        <v>0.75</v>
      </c>
      <c r="F2237" s="11" t="s">
        <v>1656</v>
      </c>
      <c r="G2237" s="10"/>
      <c r="H2237" s="11" t="s">
        <v>11096</v>
      </c>
      <c r="I2237" s="10"/>
      <c r="J2237" s="10"/>
      <c r="K2237" s="10"/>
    </row>
    <row r="2238" hidden="1">
      <c r="A2238" s="358" t="s">
        <v>14032</v>
      </c>
      <c r="B2238" s="531"/>
      <c r="C2238" s="11" t="s">
        <v>11095</v>
      </c>
      <c r="D2238" s="533">
        <v>0.75</v>
      </c>
      <c r="E2238" s="533">
        <v>0.75</v>
      </c>
      <c r="F2238" s="11" t="s">
        <v>1656</v>
      </c>
      <c r="G2238" s="10"/>
      <c r="H2238" s="11" t="s">
        <v>11096</v>
      </c>
      <c r="I2238" s="10"/>
      <c r="J2238" s="10"/>
      <c r="K2238" s="10"/>
    </row>
    <row r="2239" hidden="1">
      <c r="A2239" s="358" t="s">
        <v>14033</v>
      </c>
      <c r="B2239" s="531"/>
      <c r="C2239" s="11" t="s">
        <v>11095</v>
      </c>
      <c r="D2239" s="533">
        <v>0.75</v>
      </c>
      <c r="E2239" s="533">
        <v>0.75</v>
      </c>
      <c r="F2239" s="11" t="s">
        <v>1656</v>
      </c>
      <c r="G2239" s="10"/>
      <c r="H2239" s="11" t="s">
        <v>11096</v>
      </c>
      <c r="I2239" s="10"/>
      <c r="J2239" s="10"/>
      <c r="K2239" s="10"/>
    </row>
    <row r="2240" hidden="1">
      <c r="A2240" s="358" t="s">
        <v>14034</v>
      </c>
      <c r="B2240" s="531"/>
      <c r="C2240" s="11" t="s">
        <v>11095</v>
      </c>
      <c r="D2240" s="533">
        <v>0.75</v>
      </c>
      <c r="E2240" s="533">
        <v>0.75</v>
      </c>
      <c r="F2240" s="11" t="s">
        <v>1656</v>
      </c>
      <c r="G2240" s="10"/>
      <c r="H2240" s="11" t="s">
        <v>11096</v>
      </c>
      <c r="I2240" s="10"/>
      <c r="J2240" s="10"/>
      <c r="K2240" s="10"/>
    </row>
    <row r="2241" hidden="1">
      <c r="A2241" s="358" t="s">
        <v>14035</v>
      </c>
      <c r="B2241" s="531"/>
      <c r="C2241" s="11" t="s">
        <v>11095</v>
      </c>
      <c r="D2241" s="533">
        <v>0.75</v>
      </c>
      <c r="E2241" s="533">
        <v>0.75</v>
      </c>
      <c r="F2241" s="11" t="s">
        <v>1656</v>
      </c>
      <c r="G2241" s="10"/>
      <c r="H2241" s="11" t="s">
        <v>11096</v>
      </c>
      <c r="I2241" s="10"/>
      <c r="J2241" s="10"/>
      <c r="K2241" s="10"/>
    </row>
    <row r="2242" hidden="1">
      <c r="A2242" s="358" t="s">
        <v>14036</v>
      </c>
      <c r="B2242" s="531"/>
      <c r="C2242" s="11" t="s">
        <v>11095</v>
      </c>
      <c r="D2242" s="533">
        <v>0.75</v>
      </c>
      <c r="E2242" s="533">
        <v>0.75</v>
      </c>
      <c r="F2242" s="11" t="s">
        <v>1656</v>
      </c>
      <c r="G2242" s="10"/>
      <c r="H2242" s="11" t="s">
        <v>11096</v>
      </c>
      <c r="I2242" s="10"/>
      <c r="J2242" s="10"/>
      <c r="K2242" s="10"/>
    </row>
    <row r="2243" hidden="1">
      <c r="A2243" s="358" t="s">
        <v>14037</v>
      </c>
      <c r="B2243" s="531"/>
      <c r="C2243" s="11" t="s">
        <v>11095</v>
      </c>
      <c r="D2243" s="533">
        <v>0.75</v>
      </c>
      <c r="E2243" s="533">
        <v>0.75</v>
      </c>
      <c r="F2243" s="11" t="s">
        <v>1656</v>
      </c>
      <c r="G2243" s="10"/>
      <c r="H2243" s="11" t="s">
        <v>11096</v>
      </c>
      <c r="I2243" s="10"/>
      <c r="J2243" s="10"/>
      <c r="K2243" s="10"/>
    </row>
    <row r="2244" hidden="1">
      <c r="A2244" s="358" t="s">
        <v>14038</v>
      </c>
      <c r="B2244" s="531"/>
      <c r="C2244" s="11" t="s">
        <v>11095</v>
      </c>
      <c r="D2244" s="533">
        <v>0.75</v>
      </c>
      <c r="E2244" s="533">
        <v>0.75</v>
      </c>
      <c r="F2244" s="11" t="s">
        <v>1656</v>
      </c>
      <c r="G2244" s="10"/>
      <c r="H2244" s="11" t="s">
        <v>11096</v>
      </c>
      <c r="I2244" s="10"/>
      <c r="J2244" s="10"/>
      <c r="K2244" s="10"/>
    </row>
    <row r="2245" hidden="1">
      <c r="A2245" s="358" t="s">
        <v>14039</v>
      </c>
      <c r="B2245" s="531"/>
      <c r="C2245" s="11" t="s">
        <v>11095</v>
      </c>
      <c r="D2245" s="533">
        <v>0.75</v>
      </c>
      <c r="E2245" s="533">
        <v>0.75</v>
      </c>
      <c r="F2245" s="11" t="s">
        <v>1656</v>
      </c>
      <c r="G2245" s="10"/>
      <c r="H2245" s="11" t="s">
        <v>11096</v>
      </c>
      <c r="I2245" s="10"/>
      <c r="J2245" s="10"/>
      <c r="K2245" s="10"/>
    </row>
    <row r="2246" hidden="1">
      <c r="A2246" s="358" t="s">
        <v>14040</v>
      </c>
      <c r="B2246" s="531"/>
      <c r="C2246" s="11" t="s">
        <v>11095</v>
      </c>
      <c r="D2246" s="533">
        <v>0.75</v>
      </c>
      <c r="E2246" s="533">
        <v>0.75</v>
      </c>
      <c r="F2246" s="11" t="s">
        <v>1656</v>
      </c>
      <c r="G2246" s="10"/>
      <c r="H2246" s="11" t="s">
        <v>11096</v>
      </c>
      <c r="I2246" s="10"/>
      <c r="J2246" s="10"/>
      <c r="K2246" s="10"/>
    </row>
    <row r="2247" hidden="1">
      <c r="A2247" s="358" t="s">
        <v>14041</v>
      </c>
      <c r="B2247" s="531"/>
      <c r="C2247" s="11" t="s">
        <v>11095</v>
      </c>
      <c r="D2247" s="533">
        <v>0.75</v>
      </c>
      <c r="E2247" s="533">
        <v>0.75</v>
      </c>
      <c r="F2247" s="11" t="s">
        <v>1656</v>
      </c>
      <c r="G2247" s="10"/>
      <c r="H2247" s="11" t="s">
        <v>11096</v>
      </c>
      <c r="I2247" s="10"/>
      <c r="J2247" s="10"/>
      <c r="K2247" s="10"/>
    </row>
    <row r="2248" hidden="1">
      <c r="A2248" s="358" t="s">
        <v>14042</v>
      </c>
      <c r="B2248" s="531"/>
      <c r="C2248" s="11" t="s">
        <v>11095</v>
      </c>
      <c r="D2248" s="533">
        <v>0.75</v>
      </c>
      <c r="E2248" s="533">
        <v>0.75</v>
      </c>
      <c r="F2248" s="11" t="s">
        <v>1656</v>
      </c>
      <c r="G2248" s="10"/>
      <c r="H2248" s="11" t="s">
        <v>11096</v>
      </c>
      <c r="I2248" s="10"/>
      <c r="J2248" s="10"/>
      <c r="K2248" s="10"/>
    </row>
    <row r="2249" hidden="1">
      <c r="A2249" s="358" t="s">
        <v>14043</v>
      </c>
      <c r="B2249" s="531"/>
      <c r="C2249" s="11" t="s">
        <v>11095</v>
      </c>
      <c r="D2249" s="533">
        <v>0.75</v>
      </c>
      <c r="E2249" s="533">
        <v>0.75</v>
      </c>
      <c r="F2249" s="11" t="s">
        <v>1656</v>
      </c>
      <c r="G2249" s="10"/>
      <c r="H2249" s="11" t="s">
        <v>11096</v>
      </c>
      <c r="I2249" s="10"/>
      <c r="J2249" s="10"/>
      <c r="K2249" s="10"/>
    </row>
    <row r="2250" hidden="1">
      <c r="A2250" s="358" t="s">
        <v>14044</v>
      </c>
      <c r="B2250" s="531"/>
      <c r="C2250" s="11" t="s">
        <v>11095</v>
      </c>
      <c r="D2250" s="533">
        <v>0.75</v>
      </c>
      <c r="E2250" s="533">
        <v>0.75</v>
      </c>
      <c r="F2250" s="11" t="s">
        <v>1656</v>
      </c>
      <c r="G2250" s="10"/>
      <c r="H2250" s="11" t="s">
        <v>11096</v>
      </c>
      <c r="I2250" s="10"/>
      <c r="J2250" s="10"/>
      <c r="K2250" s="10"/>
    </row>
    <row r="2251" hidden="1">
      <c r="A2251" s="358" t="s">
        <v>14045</v>
      </c>
      <c r="B2251" s="531"/>
      <c r="C2251" s="11" t="s">
        <v>11095</v>
      </c>
      <c r="D2251" s="533">
        <v>0.75</v>
      </c>
      <c r="E2251" s="533">
        <v>0.75</v>
      </c>
      <c r="F2251" s="11" t="s">
        <v>1656</v>
      </c>
      <c r="G2251" s="10"/>
      <c r="H2251" s="11" t="s">
        <v>11096</v>
      </c>
      <c r="I2251" s="10"/>
      <c r="J2251" s="10"/>
      <c r="K2251" s="10"/>
    </row>
    <row r="2252" hidden="1">
      <c r="A2252" s="358" t="s">
        <v>14046</v>
      </c>
      <c r="B2252" s="531"/>
      <c r="C2252" s="11" t="s">
        <v>11095</v>
      </c>
      <c r="D2252" s="533">
        <v>0.75</v>
      </c>
      <c r="E2252" s="533">
        <v>0.75</v>
      </c>
      <c r="F2252" s="11" t="s">
        <v>1656</v>
      </c>
      <c r="G2252" s="10"/>
      <c r="H2252" s="11" t="s">
        <v>11096</v>
      </c>
      <c r="I2252" s="10"/>
      <c r="J2252" s="10"/>
      <c r="K2252" s="10"/>
    </row>
    <row r="2253" hidden="1">
      <c r="A2253" s="358" t="s">
        <v>14047</v>
      </c>
      <c r="B2253" s="531"/>
      <c r="C2253" s="11" t="s">
        <v>11095</v>
      </c>
      <c r="D2253" s="533">
        <v>0.75</v>
      </c>
      <c r="E2253" s="533">
        <v>0.75</v>
      </c>
      <c r="F2253" s="11" t="s">
        <v>1656</v>
      </c>
      <c r="G2253" s="10"/>
      <c r="H2253" s="11" t="s">
        <v>11096</v>
      </c>
      <c r="I2253" s="10"/>
      <c r="J2253" s="10"/>
      <c r="K2253" s="10"/>
    </row>
    <row r="2254" hidden="1">
      <c r="A2254" s="358" t="s">
        <v>14048</v>
      </c>
      <c r="B2254" s="531"/>
      <c r="C2254" s="11" t="s">
        <v>11095</v>
      </c>
      <c r="D2254" s="533">
        <v>0.75</v>
      </c>
      <c r="E2254" s="533">
        <v>0.75</v>
      </c>
      <c r="F2254" s="11" t="s">
        <v>1656</v>
      </c>
      <c r="G2254" s="10"/>
      <c r="H2254" s="11" t="s">
        <v>11096</v>
      </c>
      <c r="I2254" s="10"/>
      <c r="J2254" s="10"/>
      <c r="K2254" s="10"/>
    </row>
    <row r="2255" hidden="1">
      <c r="A2255" s="358" t="s">
        <v>14049</v>
      </c>
      <c r="B2255" s="531"/>
      <c r="C2255" s="11" t="s">
        <v>11095</v>
      </c>
      <c r="D2255" s="533">
        <v>0.75</v>
      </c>
      <c r="E2255" s="533">
        <v>0.75</v>
      </c>
      <c r="F2255" s="11" t="s">
        <v>1656</v>
      </c>
      <c r="G2255" s="10"/>
      <c r="H2255" s="11" t="s">
        <v>11096</v>
      </c>
      <c r="I2255" s="10"/>
      <c r="J2255" s="10"/>
      <c r="K2255" s="10"/>
    </row>
    <row r="2256" hidden="1">
      <c r="A2256" s="358" t="s">
        <v>14050</v>
      </c>
      <c r="B2256" s="531"/>
      <c r="C2256" s="11" t="s">
        <v>11095</v>
      </c>
      <c r="D2256" s="533">
        <v>0.75</v>
      </c>
      <c r="E2256" s="533">
        <v>0.75</v>
      </c>
      <c r="F2256" s="11" t="s">
        <v>1656</v>
      </c>
      <c r="G2256" s="10"/>
      <c r="H2256" s="11" t="s">
        <v>11096</v>
      </c>
      <c r="I2256" s="10"/>
      <c r="J2256" s="10"/>
      <c r="K2256" s="10"/>
    </row>
    <row r="2257" hidden="1">
      <c r="A2257" s="358" t="s">
        <v>14051</v>
      </c>
      <c r="B2257" s="531"/>
      <c r="C2257" s="11" t="s">
        <v>11095</v>
      </c>
      <c r="D2257" s="533">
        <v>0.75</v>
      </c>
      <c r="E2257" s="533">
        <v>0.75</v>
      </c>
      <c r="F2257" s="11" t="s">
        <v>1656</v>
      </c>
      <c r="G2257" s="10"/>
      <c r="H2257" s="11" t="s">
        <v>11096</v>
      </c>
      <c r="I2257" s="10"/>
      <c r="J2257" s="10"/>
      <c r="K2257" s="10"/>
    </row>
    <row r="2258" hidden="1">
      <c r="A2258" s="358" t="s">
        <v>14052</v>
      </c>
      <c r="B2258" s="531"/>
      <c r="C2258" s="11" t="s">
        <v>11095</v>
      </c>
      <c r="D2258" s="533">
        <v>0.75</v>
      </c>
      <c r="E2258" s="533">
        <v>0.75</v>
      </c>
      <c r="F2258" s="11" t="s">
        <v>1656</v>
      </c>
      <c r="G2258" s="10"/>
      <c r="H2258" s="11" t="s">
        <v>11096</v>
      </c>
      <c r="I2258" s="10"/>
      <c r="J2258" s="10"/>
      <c r="K2258" s="10"/>
    </row>
    <row r="2259" hidden="1">
      <c r="A2259" s="358" t="s">
        <v>14053</v>
      </c>
      <c r="B2259" s="531"/>
      <c r="C2259" s="11" t="s">
        <v>11095</v>
      </c>
      <c r="D2259" s="533">
        <v>0.75</v>
      </c>
      <c r="E2259" s="533">
        <v>0.75</v>
      </c>
      <c r="F2259" s="11" t="s">
        <v>1656</v>
      </c>
      <c r="G2259" s="10"/>
      <c r="H2259" s="11" t="s">
        <v>11096</v>
      </c>
      <c r="I2259" s="10"/>
      <c r="J2259" s="10"/>
      <c r="K2259" s="10"/>
    </row>
    <row r="2260" hidden="1">
      <c r="A2260" s="358" t="s">
        <v>14054</v>
      </c>
      <c r="B2260" s="531"/>
      <c r="C2260" s="11" t="s">
        <v>11095</v>
      </c>
      <c r="D2260" s="533">
        <v>0.75</v>
      </c>
      <c r="E2260" s="533">
        <v>0.75</v>
      </c>
      <c r="F2260" s="11" t="s">
        <v>1656</v>
      </c>
      <c r="G2260" s="10"/>
      <c r="H2260" s="11" t="s">
        <v>11096</v>
      </c>
      <c r="I2260" s="10"/>
      <c r="J2260" s="10"/>
      <c r="K2260" s="10"/>
    </row>
    <row r="2261" hidden="1">
      <c r="A2261" s="358" t="s">
        <v>14055</v>
      </c>
      <c r="B2261" s="531"/>
      <c r="C2261" s="11" t="s">
        <v>11095</v>
      </c>
      <c r="D2261" s="533">
        <v>0.75</v>
      </c>
      <c r="E2261" s="533">
        <v>0.75</v>
      </c>
      <c r="F2261" s="11" t="s">
        <v>1656</v>
      </c>
      <c r="G2261" s="10"/>
      <c r="H2261" s="11" t="s">
        <v>11096</v>
      </c>
      <c r="I2261" s="10"/>
      <c r="J2261" s="10"/>
      <c r="K2261" s="10"/>
    </row>
    <row r="2262" hidden="1">
      <c r="A2262" s="358" t="s">
        <v>14056</v>
      </c>
      <c r="B2262" s="531"/>
      <c r="C2262" s="11" t="s">
        <v>11095</v>
      </c>
      <c r="D2262" s="533">
        <v>0.75</v>
      </c>
      <c r="E2262" s="533">
        <v>0.75</v>
      </c>
      <c r="F2262" s="11" t="s">
        <v>1656</v>
      </c>
      <c r="G2262" s="10"/>
      <c r="H2262" s="11" t="s">
        <v>11096</v>
      </c>
      <c r="I2262" s="10"/>
      <c r="J2262" s="10"/>
      <c r="K2262" s="10"/>
    </row>
    <row r="2263" hidden="1">
      <c r="A2263" s="358" t="s">
        <v>14057</v>
      </c>
      <c r="B2263" s="531"/>
      <c r="C2263" s="11" t="s">
        <v>11095</v>
      </c>
      <c r="D2263" s="533">
        <v>0.75</v>
      </c>
      <c r="E2263" s="533">
        <v>0.75</v>
      </c>
      <c r="F2263" s="11" t="s">
        <v>1656</v>
      </c>
      <c r="G2263" s="10"/>
      <c r="H2263" s="11" t="s">
        <v>11096</v>
      </c>
      <c r="I2263" s="10"/>
      <c r="J2263" s="10"/>
      <c r="K2263" s="10"/>
    </row>
    <row r="2264" hidden="1">
      <c r="A2264" s="358" t="s">
        <v>14058</v>
      </c>
      <c r="B2264" s="531"/>
      <c r="C2264" s="11" t="s">
        <v>11095</v>
      </c>
      <c r="D2264" s="533">
        <v>0.75</v>
      </c>
      <c r="E2264" s="533">
        <v>0.75</v>
      </c>
      <c r="F2264" s="11" t="s">
        <v>1656</v>
      </c>
      <c r="G2264" s="10"/>
      <c r="H2264" s="11" t="s">
        <v>11096</v>
      </c>
      <c r="I2264" s="10"/>
      <c r="J2264" s="10"/>
      <c r="K2264" s="10"/>
    </row>
    <row r="2265" hidden="1">
      <c r="A2265" s="358" t="s">
        <v>14059</v>
      </c>
      <c r="B2265" s="531"/>
      <c r="C2265" s="11" t="s">
        <v>11095</v>
      </c>
      <c r="D2265" s="533">
        <v>0.75</v>
      </c>
      <c r="E2265" s="533">
        <v>0.75</v>
      </c>
      <c r="F2265" s="11" t="s">
        <v>1656</v>
      </c>
      <c r="G2265" s="10"/>
      <c r="H2265" s="11" t="s">
        <v>11096</v>
      </c>
      <c r="I2265" s="10"/>
      <c r="J2265" s="10"/>
      <c r="K2265" s="10"/>
    </row>
    <row r="2266" hidden="1">
      <c r="A2266" s="358" t="s">
        <v>14060</v>
      </c>
      <c r="B2266" s="531"/>
      <c r="C2266" s="11" t="s">
        <v>11095</v>
      </c>
      <c r="D2266" s="533">
        <v>0.75</v>
      </c>
      <c r="E2266" s="533">
        <v>0.75</v>
      </c>
      <c r="F2266" s="11" t="s">
        <v>1656</v>
      </c>
      <c r="G2266" s="10"/>
      <c r="H2266" s="11" t="s">
        <v>11096</v>
      </c>
      <c r="I2266" s="10"/>
      <c r="J2266" s="10"/>
      <c r="K2266" s="10"/>
    </row>
    <row r="2267" hidden="1">
      <c r="A2267" s="358" t="s">
        <v>14061</v>
      </c>
      <c r="B2267" s="531"/>
      <c r="C2267" s="11" t="s">
        <v>11095</v>
      </c>
      <c r="D2267" s="533">
        <v>0.75</v>
      </c>
      <c r="E2267" s="533">
        <v>0.75</v>
      </c>
      <c r="F2267" s="11" t="s">
        <v>1656</v>
      </c>
      <c r="G2267" s="10"/>
      <c r="H2267" s="11" t="s">
        <v>11096</v>
      </c>
      <c r="I2267" s="10"/>
      <c r="J2267" s="10"/>
      <c r="K2267" s="10"/>
    </row>
    <row r="2268" hidden="1">
      <c r="A2268" s="358" t="s">
        <v>14062</v>
      </c>
      <c r="B2268" s="531"/>
      <c r="C2268" s="11" t="s">
        <v>11095</v>
      </c>
      <c r="D2268" s="533">
        <v>0.75</v>
      </c>
      <c r="E2268" s="533">
        <v>0.75</v>
      </c>
      <c r="F2268" s="11" t="s">
        <v>1656</v>
      </c>
      <c r="G2268" s="10"/>
      <c r="H2268" s="11" t="s">
        <v>11096</v>
      </c>
      <c r="I2268" s="10"/>
      <c r="J2268" s="10"/>
      <c r="K2268" s="10"/>
    </row>
    <row r="2269" hidden="1">
      <c r="A2269" s="358" t="s">
        <v>14063</v>
      </c>
      <c r="B2269" s="531"/>
      <c r="C2269" s="11" t="s">
        <v>11095</v>
      </c>
      <c r="D2269" s="533">
        <v>0.75</v>
      </c>
      <c r="E2269" s="533">
        <v>0.75</v>
      </c>
      <c r="F2269" s="11" t="s">
        <v>1656</v>
      </c>
      <c r="G2269" s="10"/>
      <c r="H2269" s="11" t="s">
        <v>11096</v>
      </c>
      <c r="I2269" s="10"/>
      <c r="J2269" s="10"/>
      <c r="K2269" s="10"/>
    </row>
    <row r="2270" hidden="1">
      <c r="A2270" s="358" t="s">
        <v>14064</v>
      </c>
      <c r="B2270" s="531"/>
      <c r="C2270" s="11" t="s">
        <v>11095</v>
      </c>
      <c r="D2270" s="533">
        <v>0.75</v>
      </c>
      <c r="E2270" s="533">
        <v>0.75</v>
      </c>
      <c r="F2270" s="11" t="s">
        <v>1656</v>
      </c>
      <c r="G2270" s="10"/>
      <c r="H2270" s="11" t="s">
        <v>11096</v>
      </c>
      <c r="I2270" s="10"/>
      <c r="J2270" s="10"/>
      <c r="K2270" s="10"/>
    </row>
    <row r="2271" hidden="1">
      <c r="A2271" s="358" t="s">
        <v>14065</v>
      </c>
      <c r="B2271" s="531"/>
      <c r="C2271" s="11" t="s">
        <v>11095</v>
      </c>
      <c r="D2271" s="533">
        <v>0.75</v>
      </c>
      <c r="E2271" s="533">
        <v>0.75</v>
      </c>
      <c r="F2271" s="11" t="s">
        <v>1656</v>
      </c>
      <c r="G2271" s="10"/>
      <c r="H2271" s="11" t="s">
        <v>11096</v>
      </c>
      <c r="I2271" s="10"/>
      <c r="J2271" s="10"/>
      <c r="K2271" s="10"/>
    </row>
    <row r="2272" hidden="1">
      <c r="A2272" s="358" t="s">
        <v>14066</v>
      </c>
      <c r="B2272" s="531"/>
      <c r="C2272" s="11" t="s">
        <v>11095</v>
      </c>
      <c r="D2272" s="533">
        <v>0.75</v>
      </c>
      <c r="E2272" s="533">
        <v>0.75</v>
      </c>
      <c r="F2272" s="11" t="s">
        <v>1656</v>
      </c>
      <c r="G2272" s="10"/>
      <c r="H2272" s="11" t="s">
        <v>11096</v>
      </c>
      <c r="I2272" s="10"/>
      <c r="J2272" s="10"/>
      <c r="K2272" s="10"/>
    </row>
    <row r="2273" hidden="1">
      <c r="A2273" s="358" t="s">
        <v>14067</v>
      </c>
      <c r="B2273" s="531"/>
      <c r="C2273" s="11" t="s">
        <v>11095</v>
      </c>
      <c r="D2273" s="533">
        <v>0.75</v>
      </c>
      <c r="E2273" s="533">
        <v>0.75</v>
      </c>
      <c r="F2273" s="11" t="s">
        <v>1656</v>
      </c>
      <c r="G2273" s="10"/>
      <c r="H2273" s="11" t="s">
        <v>11096</v>
      </c>
      <c r="I2273" s="10"/>
      <c r="J2273" s="10"/>
      <c r="K2273" s="10"/>
    </row>
    <row r="2274" hidden="1">
      <c r="A2274" s="358" t="s">
        <v>14068</v>
      </c>
      <c r="B2274" s="531"/>
      <c r="C2274" s="11" t="s">
        <v>11095</v>
      </c>
      <c r="D2274" s="533">
        <v>0.75</v>
      </c>
      <c r="E2274" s="533">
        <v>0.75</v>
      </c>
      <c r="F2274" s="11" t="s">
        <v>1656</v>
      </c>
      <c r="G2274" s="10"/>
      <c r="H2274" s="11" t="s">
        <v>11096</v>
      </c>
      <c r="I2274" s="10"/>
      <c r="J2274" s="10"/>
      <c r="K2274" s="10"/>
    </row>
    <row r="2275" hidden="1">
      <c r="A2275" s="358" t="s">
        <v>14069</v>
      </c>
      <c r="B2275" s="531"/>
      <c r="C2275" s="11" t="s">
        <v>11095</v>
      </c>
      <c r="D2275" s="533">
        <v>0.75</v>
      </c>
      <c r="E2275" s="533">
        <v>0.75</v>
      </c>
      <c r="F2275" s="11" t="s">
        <v>1656</v>
      </c>
      <c r="G2275" s="10"/>
      <c r="H2275" s="11" t="s">
        <v>11096</v>
      </c>
      <c r="I2275" s="10"/>
      <c r="J2275" s="10"/>
      <c r="K2275" s="10"/>
    </row>
    <row r="2276" hidden="1">
      <c r="A2276" s="358" t="s">
        <v>14070</v>
      </c>
      <c r="B2276" s="531"/>
      <c r="C2276" s="11" t="s">
        <v>11095</v>
      </c>
      <c r="D2276" s="533">
        <v>0.75</v>
      </c>
      <c r="E2276" s="533">
        <v>0.75</v>
      </c>
      <c r="F2276" s="11" t="s">
        <v>1656</v>
      </c>
      <c r="G2276" s="10"/>
      <c r="H2276" s="11" t="s">
        <v>11096</v>
      </c>
      <c r="I2276" s="10"/>
      <c r="J2276" s="10"/>
      <c r="K2276" s="10"/>
    </row>
    <row r="2277" hidden="1">
      <c r="A2277" s="358" t="s">
        <v>14071</v>
      </c>
      <c r="B2277" s="531"/>
      <c r="C2277" s="11" t="s">
        <v>11095</v>
      </c>
      <c r="D2277" s="533">
        <v>0.75</v>
      </c>
      <c r="E2277" s="533">
        <v>0.75</v>
      </c>
      <c r="F2277" s="11" t="s">
        <v>1656</v>
      </c>
      <c r="G2277" s="10"/>
      <c r="H2277" s="11" t="s">
        <v>11096</v>
      </c>
      <c r="I2277" s="10"/>
      <c r="J2277" s="10"/>
      <c r="K2277" s="10"/>
    </row>
    <row r="2278" hidden="1">
      <c r="A2278" s="358" t="s">
        <v>14072</v>
      </c>
      <c r="B2278" s="531"/>
      <c r="C2278" s="11" t="s">
        <v>11095</v>
      </c>
      <c r="D2278" s="533">
        <v>0.75</v>
      </c>
      <c r="E2278" s="533">
        <v>0.75</v>
      </c>
      <c r="F2278" s="11" t="s">
        <v>1656</v>
      </c>
      <c r="G2278" s="10"/>
      <c r="H2278" s="11" t="s">
        <v>11096</v>
      </c>
      <c r="I2278" s="10"/>
      <c r="J2278" s="10"/>
      <c r="K2278" s="10"/>
    </row>
    <row r="2279" hidden="1">
      <c r="A2279" s="358" t="s">
        <v>14073</v>
      </c>
      <c r="B2279" s="531"/>
      <c r="C2279" s="11" t="s">
        <v>11095</v>
      </c>
      <c r="D2279" s="533">
        <v>0.75</v>
      </c>
      <c r="E2279" s="533">
        <v>0.75</v>
      </c>
      <c r="F2279" s="11" t="s">
        <v>1656</v>
      </c>
      <c r="G2279" s="10"/>
      <c r="H2279" s="11" t="s">
        <v>11096</v>
      </c>
      <c r="I2279" s="10"/>
      <c r="J2279" s="10"/>
      <c r="K2279" s="10"/>
    </row>
    <row r="2280" hidden="1">
      <c r="A2280" s="358" t="s">
        <v>14074</v>
      </c>
      <c r="B2280" s="531"/>
      <c r="C2280" s="11" t="s">
        <v>11095</v>
      </c>
      <c r="D2280" s="533">
        <v>0.75</v>
      </c>
      <c r="E2280" s="533">
        <v>0.75</v>
      </c>
      <c r="F2280" s="11" t="s">
        <v>1656</v>
      </c>
      <c r="G2280" s="10"/>
      <c r="H2280" s="11" t="s">
        <v>11096</v>
      </c>
      <c r="I2280" s="10"/>
      <c r="J2280" s="10"/>
      <c r="K2280" s="10"/>
    </row>
    <row r="2281" hidden="1">
      <c r="A2281" s="358" t="s">
        <v>14075</v>
      </c>
      <c r="B2281" s="531"/>
      <c r="C2281" s="11" t="s">
        <v>11095</v>
      </c>
      <c r="D2281" s="533">
        <v>0.75</v>
      </c>
      <c r="E2281" s="533">
        <v>0.75</v>
      </c>
      <c r="F2281" s="11" t="s">
        <v>1656</v>
      </c>
      <c r="G2281" s="10"/>
      <c r="H2281" s="11" t="s">
        <v>11096</v>
      </c>
      <c r="I2281" s="10"/>
      <c r="J2281" s="10"/>
      <c r="K2281" s="10"/>
    </row>
    <row r="2282" hidden="1">
      <c r="A2282" s="358" t="s">
        <v>14076</v>
      </c>
      <c r="B2282" s="531"/>
      <c r="C2282" s="11" t="s">
        <v>11095</v>
      </c>
      <c r="D2282" s="533">
        <v>0.75</v>
      </c>
      <c r="E2282" s="533">
        <v>0.75</v>
      </c>
      <c r="F2282" s="11" t="s">
        <v>1656</v>
      </c>
      <c r="G2282" s="10"/>
      <c r="H2282" s="11" t="s">
        <v>11096</v>
      </c>
      <c r="I2282" s="10"/>
      <c r="J2282" s="10"/>
      <c r="K2282" s="10"/>
    </row>
    <row r="2283" hidden="1">
      <c r="A2283" s="358" t="s">
        <v>14077</v>
      </c>
      <c r="B2283" s="531"/>
      <c r="C2283" s="11" t="s">
        <v>11095</v>
      </c>
      <c r="D2283" s="533">
        <v>0.75</v>
      </c>
      <c r="E2283" s="533">
        <v>0.75</v>
      </c>
      <c r="F2283" s="11" t="s">
        <v>1656</v>
      </c>
      <c r="G2283" s="10"/>
      <c r="H2283" s="11" t="s">
        <v>11096</v>
      </c>
      <c r="I2283" s="10"/>
      <c r="J2283" s="10"/>
      <c r="K2283" s="10"/>
    </row>
    <row r="2284" hidden="1">
      <c r="A2284" s="358" t="s">
        <v>14078</v>
      </c>
      <c r="B2284" s="531"/>
      <c r="C2284" s="11" t="s">
        <v>11095</v>
      </c>
      <c r="D2284" s="533">
        <v>0.75</v>
      </c>
      <c r="E2284" s="533">
        <v>0.75</v>
      </c>
      <c r="F2284" s="11" t="s">
        <v>1656</v>
      </c>
      <c r="G2284" s="10"/>
      <c r="H2284" s="11" t="s">
        <v>11096</v>
      </c>
      <c r="I2284" s="10"/>
      <c r="J2284" s="10"/>
      <c r="K2284" s="10"/>
    </row>
    <row r="2285" hidden="1">
      <c r="A2285" s="358" t="s">
        <v>14079</v>
      </c>
      <c r="B2285" s="531"/>
      <c r="C2285" s="11" t="s">
        <v>11095</v>
      </c>
      <c r="D2285" s="533">
        <v>0.75</v>
      </c>
      <c r="E2285" s="533">
        <v>0.75</v>
      </c>
      <c r="F2285" s="11" t="s">
        <v>1656</v>
      </c>
      <c r="G2285" s="10"/>
      <c r="H2285" s="11" t="s">
        <v>11096</v>
      </c>
      <c r="I2285" s="10"/>
      <c r="J2285" s="10"/>
      <c r="K2285" s="10"/>
    </row>
    <row r="2286" hidden="1">
      <c r="A2286" s="358" t="s">
        <v>14080</v>
      </c>
      <c r="B2286" s="531"/>
      <c r="C2286" s="11" t="s">
        <v>11095</v>
      </c>
      <c r="D2286" s="533">
        <v>0.75</v>
      </c>
      <c r="E2286" s="533">
        <v>0.75</v>
      </c>
      <c r="F2286" s="11" t="s">
        <v>1656</v>
      </c>
      <c r="G2286" s="10"/>
      <c r="H2286" s="11" t="s">
        <v>11096</v>
      </c>
      <c r="I2286" s="10"/>
      <c r="J2286" s="10"/>
      <c r="K2286" s="10"/>
    </row>
    <row r="2287" hidden="1">
      <c r="A2287" s="358" t="s">
        <v>14081</v>
      </c>
      <c r="B2287" s="531"/>
      <c r="C2287" s="11" t="s">
        <v>11095</v>
      </c>
      <c r="D2287" s="533">
        <v>0.75</v>
      </c>
      <c r="E2287" s="533">
        <v>0.75</v>
      </c>
      <c r="F2287" s="11" t="s">
        <v>1656</v>
      </c>
      <c r="G2287" s="10"/>
      <c r="H2287" s="11" t="s">
        <v>11096</v>
      </c>
      <c r="I2287" s="10"/>
      <c r="J2287" s="10"/>
      <c r="K2287" s="10"/>
    </row>
    <row r="2288" hidden="1">
      <c r="A2288" s="358" t="s">
        <v>14082</v>
      </c>
      <c r="B2288" s="531"/>
      <c r="C2288" s="11" t="s">
        <v>11095</v>
      </c>
      <c r="D2288" s="533">
        <v>0.75</v>
      </c>
      <c r="E2288" s="533">
        <v>0.75</v>
      </c>
      <c r="F2288" s="11" t="s">
        <v>1656</v>
      </c>
      <c r="G2288" s="10"/>
      <c r="H2288" s="11" t="s">
        <v>11096</v>
      </c>
      <c r="I2288" s="10"/>
      <c r="J2288" s="10"/>
      <c r="K2288" s="10"/>
    </row>
    <row r="2289" hidden="1">
      <c r="A2289" s="358" t="s">
        <v>14083</v>
      </c>
      <c r="B2289" s="531"/>
      <c r="C2289" s="11" t="s">
        <v>11095</v>
      </c>
      <c r="D2289" s="533">
        <v>0.75</v>
      </c>
      <c r="E2289" s="533">
        <v>0.75</v>
      </c>
      <c r="F2289" s="11" t="s">
        <v>1656</v>
      </c>
      <c r="G2289" s="10"/>
      <c r="H2289" s="11" t="s">
        <v>11096</v>
      </c>
      <c r="I2289" s="10"/>
      <c r="J2289" s="10"/>
      <c r="K2289" s="10"/>
    </row>
    <row r="2290" hidden="1">
      <c r="A2290" s="358" t="s">
        <v>14084</v>
      </c>
      <c r="B2290" s="531"/>
      <c r="C2290" s="11" t="s">
        <v>11095</v>
      </c>
      <c r="D2290" s="533">
        <v>0.75</v>
      </c>
      <c r="E2290" s="533">
        <v>0.75</v>
      </c>
      <c r="F2290" s="11" t="s">
        <v>1656</v>
      </c>
      <c r="G2290" s="10"/>
      <c r="H2290" s="11" t="s">
        <v>11096</v>
      </c>
      <c r="I2290" s="10"/>
      <c r="J2290" s="10"/>
      <c r="K2290" s="10"/>
    </row>
    <row r="2291" hidden="1">
      <c r="A2291" s="358" t="s">
        <v>14085</v>
      </c>
      <c r="B2291" s="531"/>
      <c r="C2291" s="11" t="s">
        <v>11095</v>
      </c>
      <c r="D2291" s="533">
        <v>0.75</v>
      </c>
      <c r="E2291" s="533">
        <v>0.75</v>
      </c>
      <c r="F2291" s="11" t="s">
        <v>1656</v>
      </c>
      <c r="G2291" s="10"/>
      <c r="H2291" s="11" t="s">
        <v>11096</v>
      </c>
      <c r="I2291" s="10"/>
      <c r="J2291" s="10"/>
      <c r="K2291" s="10"/>
    </row>
    <row r="2292" hidden="1">
      <c r="A2292" s="358" t="s">
        <v>14086</v>
      </c>
      <c r="B2292" s="531"/>
      <c r="C2292" s="11" t="s">
        <v>11095</v>
      </c>
      <c r="D2292" s="533">
        <v>0.75</v>
      </c>
      <c r="E2292" s="533">
        <v>0.75</v>
      </c>
      <c r="F2292" s="11" t="s">
        <v>1656</v>
      </c>
      <c r="G2292" s="10"/>
      <c r="H2292" s="11" t="s">
        <v>11096</v>
      </c>
      <c r="I2292" s="10"/>
      <c r="J2292" s="10"/>
      <c r="K2292" s="10"/>
    </row>
    <row r="2293" hidden="1">
      <c r="A2293" s="358" t="s">
        <v>14087</v>
      </c>
      <c r="B2293" s="531"/>
      <c r="C2293" s="11" t="s">
        <v>11095</v>
      </c>
      <c r="D2293" s="533">
        <v>0.75</v>
      </c>
      <c r="E2293" s="533">
        <v>0.75</v>
      </c>
      <c r="F2293" s="11" t="s">
        <v>1656</v>
      </c>
      <c r="G2293" s="10"/>
      <c r="H2293" s="11" t="s">
        <v>11096</v>
      </c>
      <c r="I2293" s="10"/>
      <c r="J2293" s="10"/>
      <c r="K2293" s="10"/>
    </row>
    <row r="2294" hidden="1">
      <c r="A2294" s="358" t="s">
        <v>14088</v>
      </c>
      <c r="B2294" s="531"/>
      <c r="C2294" s="11" t="s">
        <v>11095</v>
      </c>
      <c r="D2294" s="533">
        <v>0.75</v>
      </c>
      <c r="E2294" s="533">
        <v>0.75</v>
      </c>
      <c r="F2294" s="11" t="s">
        <v>1656</v>
      </c>
      <c r="G2294" s="10"/>
      <c r="H2294" s="11" t="s">
        <v>11096</v>
      </c>
      <c r="I2294" s="10"/>
      <c r="J2294" s="10"/>
      <c r="K2294" s="10"/>
    </row>
    <row r="2295" hidden="1">
      <c r="A2295" s="358" t="s">
        <v>14089</v>
      </c>
      <c r="B2295" s="531"/>
      <c r="C2295" s="11" t="s">
        <v>11095</v>
      </c>
      <c r="D2295" s="533">
        <v>0.75</v>
      </c>
      <c r="E2295" s="533">
        <v>0.75</v>
      </c>
      <c r="F2295" s="11" t="s">
        <v>1656</v>
      </c>
      <c r="G2295" s="10"/>
      <c r="H2295" s="11" t="s">
        <v>11096</v>
      </c>
      <c r="I2295" s="10"/>
      <c r="J2295" s="10"/>
      <c r="K2295" s="10"/>
    </row>
    <row r="2296" hidden="1">
      <c r="A2296" s="358" t="s">
        <v>14090</v>
      </c>
      <c r="B2296" s="531"/>
      <c r="C2296" s="11" t="s">
        <v>11095</v>
      </c>
      <c r="D2296" s="533">
        <v>0.75</v>
      </c>
      <c r="E2296" s="533">
        <v>0.75</v>
      </c>
      <c r="F2296" s="11" t="s">
        <v>1656</v>
      </c>
      <c r="G2296" s="10"/>
      <c r="H2296" s="11" t="s">
        <v>11096</v>
      </c>
      <c r="I2296" s="10"/>
      <c r="J2296" s="10"/>
      <c r="K2296" s="10"/>
    </row>
    <row r="2297" hidden="1">
      <c r="A2297" s="358" t="s">
        <v>14091</v>
      </c>
      <c r="B2297" s="531"/>
      <c r="C2297" s="11" t="s">
        <v>11095</v>
      </c>
      <c r="D2297" s="533">
        <v>0.75</v>
      </c>
      <c r="E2297" s="533">
        <v>0.75</v>
      </c>
      <c r="F2297" s="11" t="s">
        <v>1656</v>
      </c>
      <c r="G2297" s="10"/>
      <c r="H2297" s="11" t="s">
        <v>11096</v>
      </c>
      <c r="I2297" s="10"/>
      <c r="J2297" s="10"/>
      <c r="K2297" s="10"/>
    </row>
    <row r="2298" hidden="1">
      <c r="A2298" s="358" t="s">
        <v>14092</v>
      </c>
      <c r="B2298" s="531"/>
      <c r="C2298" s="11" t="s">
        <v>11095</v>
      </c>
      <c r="D2298" s="533">
        <v>0.75</v>
      </c>
      <c r="E2298" s="533">
        <v>0.75</v>
      </c>
      <c r="F2298" s="11" t="s">
        <v>1656</v>
      </c>
      <c r="G2298" s="10"/>
      <c r="H2298" s="11" t="s">
        <v>11096</v>
      </c>
      <c r="I2298" s="10"/>
      <c r="J2298" s="10"/>
      <c r="K2298" s="10"/>
    </row>
    <row r="2299" hidden="1">
      <c r="A2299" s="358" t="s">
        <v>14093</v>
      </c>
      <c r="B2299" s="531"/>
      <c r="C2299" s="11" t="s">
        <v>11095</v>
      </c>
      <c r="D2299" s="533">
        <v>0.75</v>
      </c>
      <c r="E2299" s="533">
        <v>0.75</v>
      </c>
      <c r="F2299" s="11" t="s">
        <v>1656</v>
      </c>
      <c r="G2299" s="10"/>
      <c r="H2299" s="11" t="s">
        <v>11096</v>
      </c>
      <c r="I2299" s="10"/>
      <c r="J2299" s="10"/>
      <c r="K2299" s="10"/>
    </row>
    <row r="2300" hidden="1">
      <c r="A2300" s="358" t="s">
        <v>14094</v>
      </c>
      <c r="B2300" s="531"/>
      <c r="C2300" s="11" t="s">
        <v>11095</v>
      </c>
      <c r="D2300" s="533">
        <v>0.75</v>
      </c>
      <c r="E2300" s="533">
        <v>0.75</v>
      </c>
      <c r="F2300" s="11" t="s">
        <v>1656</v>
      </c>
      <c r="G2300" s="10"/>
      <c r="H2300" s="11" t="s">
        <v>11096</v>
      </c>
      <c r="I2300" s="10"/>
      <c r="J2300" s="10"/>
      <c r="K2300" s="10"/>
    </row>
    <row r="2301" hidden="1">
      <c r="A2301" s="358" t="s">
        <v>14095</v>
      </c>
      <c r="B2301" s="531"/>
      <c r="C2301" s="11" t="s">
        <v>11095</v>
      </c>
      <c r="D2301" s="533">
        <v>0.75</v>
      </c>
      <c r="E2301" s="533">
        <v>0.75</v>
      </c>
      <c r="F2301" s="11" t="s">
        <v>1656</v>
      </c>
      <c r="G2301" s="10"/>
      <c r="H2301" s="11" t="s">
        <v>11096</v>
      </c>
      <c r="I2301" s="10"/>
      <c r="J2301" s="10"/>
      <c r="K2301" s="10"/>
    </row>
    <row r="2302" hidden="1">
      <c r="A2302" s="358" t="s">
        <v>14096</v>
      </c>
      <c r="B2302" s="531"/>
      <c r="C2302" s="11" t="s">
        <v>11095</v>
      </c>
      <c r="D2302" s="533">
        <v>0.75</v>
      </c>
      <c r="E2302" s="533">
        <v>0.75</v>
      </c>
      <c r="F2302" s="11" t="s">
        <v>1656</v>
      </c>
      <c r="G2302" s="10"/>
      <c r="H2302" s="11" t="s">
        <v>11096</v>
      </c>
      <c r="I2302" s="10"/>
      <c r="J2302" s="10"/>
      <c r="K2302" s="10"/>
    </row>
    <row r="2303" hidden="1">
      <c r="A2303" s="358" t="s">
        <v>14097</v>
      </c>
      <c r="B2303" s="531"/>
      <c r="C2303" s="11" t="s">
        <v>11095</v>
      </c>
      <c r="D2303" s="533">
        <v>0.75</v>
      </c>
      <c r="E2303" s="533">
        <v>0.75</v>
      </c>
      <c r="F2303" s="11" t="s">
        <v>1656</v>
      </c>
      <c r="G2303" s="10"/>
      <c r="H2303" s="11" t="s">
        <v>11096</v>
      </c>
      <c r="I2303" s="10"/>
      <c r="J2303" s="10"/>
      <c r="K2303" s="10"/>
    </row>
    <row r="2304" hidden="1">
      <c r="A2304" s="358" t="s">
        <v>14098</v>
      </c>
      <c r="B2304" s="531"/>
      <c r="C2304" s="11" t="s">
        <v>11095</v>
      </c>
      <c r="D2304" s="533">
        <v>0.75</v>
      </c>
      <c r="E2304" s="533">
        <v>0.75</v>
      </c>
      <c r="F2304" s="11" t="s">
        <v>1656</v>
      </c>
      <c r="G2304" s="10"/>
      <c r="H2304" s="11" t="s">
        <v>11096</v>
      </c>
      <c r="I2304" s="10"/>
      <c r="J2304" s="10"/>
      <c r="K2304" s="10"/>
    </row>
    <row r="2305" hidden="1">
      <c r="A2305" s="358" t="s">
        <v>14099</v>
      </c>
      <c r="B2305" s="531"/>
      <c r="C2305" s="11" t="s">
        <v>11095</v>
      </c>
      <c r="D2305" s="533">
        <v>0.75</v>
      </c>
      <c r="E2305" s="533">
        <v>0.75</v>
      </c>
      <c r="F2305" s="11" t="s">
        <v>1656</v>
      </c>
      <c r="G2305" s="10"/>
      <c r="H2305" s="11" t="s">
        <v>11096</v>
      </c>
      <c r="I2305" s="10"/>
      <c r="J2305" s="10"/>
      <c r="K2305" s="10"/>
    </row>
    <row r="2306" hidden="1">
      <c r="A2306" s="358" t="s">
        <v>14100</v>
      </c>
      <c r="B2306" s="531"/>
      <c r="C2306" s="11" t="s">
        <v>11095</v>
      </c>
      <c r="D2306" s="533">
        <v>0.75</v>
      </c>
      <c r="E2306" s="533">
        <v>0.75</v>
      </c>
      <c r="F2306" s="11" t="s">
        <v>1656</v>
      </c>
      <c r="G2306" s="10"/>
      <c r="H2306" s="11" t="s">
        <v>11096</v>
      </c>
      <c r="I2306" s="10"/>
      <c r="J2306" s="10"/>
      <c r="K2306" s="10"/>
    </row>
    <row r="2307" hidden="1">
      <c r="A2307" s="358" t="s">
        <v>14101</v>
      </c>
      <c r="B2307" s="531"/>
      <c r="C2307" s="11" t="s">
        <v>11095</v>
      </c>
      <c r="D2307" s="533">
        <v>0.75</v>
      </c>
      <c r="E2307" s="533">
        <v>0.75</v>
      </c>
      <c r="F2307" s="11" t="s">
        <v>1656</v>
      </c>
      <c r="G2307" s="10"/>
      <c r="H2307" s="11" t="s">
        <v>11096</v>
      </c>
      <c r="I2307" s="10"/>
      <c r="J2307" s="10"/>
      <c r="K2307" s="10"/>
    </row>
    <row r="2308" hidden="1">
      <c r="A2308" s="358" t="s">
        <v>14102</v>
      </c>
      <c r="B2308" s="531"/>
      <c r="C2308" s="11" t="s">
        <v>11095</v>
      </c>
      <c r="D2308" s="533">
        <v>0.75</v>
      </c>
      <c r="E2308" s="533">
        <v>0.75</v>
      </c>
      <c r="F2308" s="11" t="s">
        <v>1656</v>
      </c>
      <c r="G2308" s="10"/>
      <c r="H2308" s="11" t="s">
        <v>11096</v>
      </c>
      <c r="I2308" s="10"/>
      <c r="J2308" s="10"/>
      <c r="K2308" s="10"/>
    </row>
    <row r="2309" hidden="1">
      <c r="A2309" s="358" t="s">
        <v>14103</v>
      </c>
      <c r="B2309" s="531"/>
      <c r="C2309" s="11" t="s">
        <v>11095</v>
      </c>
      <c r="D2309" s="533">
        <v>0.75</v>
      </c>
      <c r="E2309" s="533">
        <v>0.75</v>
      </c>
      <c r="F2309" s="11" t="s">
        <v>1656</v>
      </c>
      <c r="G2309" s="10"/>
      <c r="H2309" s="11" t="s">
        <v>11096</v>
      </c>
      <c r="I2309" s="10"/>
      <c r="J2309" s="10"/>
      <c r="K2309" s="10"/>
    </row>
    <row r="2310" hidden="1">
      <c r="A2310" s="358" t="s">
        <v>14104</v>
      </c>
      <c r="B2310" s="531"/>
      <c r="C2310" s="11" t="s">
        <v>11095</v>
      </c>
      <c r="D2310" s="533">
        <v>0.75</v>
      </c>
      <c r="E2310" s="533">
        <v>0.75</v>
      </c>
      <c r="F2310" s="11" t="s">
        <v>1656</v>
      </c>
      <c r="G2310" s="10"/>
      <c r="H2310" s="11" t="s">
        <v>11096</v>
      </c>
      <c r="I2310" s="10"/>
      <c r="J2310" s="10"/>
      <c r="K2310" s="10"/>
    </row>
    <row r="2311" hidden="1">
      <c r="A2311" s="358" t="s">
        <v>14105</v>
      </c>
      <c r="B2311" s="531"/>
      <c r="C2311" s="11" t="s">
        <v>11095</v>
      </c>
      <c r="D2311" s="533">
        <v>0.75</v>
      </c>
      <c r="E2311" s="533">
        <v>0.75</v>
      </c>
      <c r="F2311" s="11" t="s">
        <v>1656</v>
      </c>
      <c r="G2311" s="10"/>
      <c r="H2311" s="11" t="s">
        <v>11096</v>
      </c>
      <c r="I2311" s="10"/>
      <c r="J2311" s="10"/>
      <c r="K2311" s="10"/>
    </row>
    <row r="2312" hidden="1">
      <c r="A2312" s="358" t="s">
        <v>14106</v>
      </c>
      <c r="B2312" s="531"/>
      <c r="C2312" s="11" t="s">
        <v>11095</v>
      </c>
      <c r="D2312" s="533">
        <v>0.75</v>
      </c>
      <c r="E2312" s="533">
        <v>0.75</v>
      </c>
      <c r="F2312" s="11" t="s">
        <v>1656</v>
      </c>
      <c r="G2312" s="10"/>
      <c r="H2312" s="11" t="s">
        <v>11096</v>
      </c>
      <c r="I2312" s="10"/>
      <c r="J2312" s="10"/>
      <c r="K2312" s="10"/>
    </row>
    <row r="2313" hidden="1">
      <c r="A2313" s="358" t="s">
        <v>14107</v>
      </c>
      <c r="B2313" s="531"/>
      <c r="C2313" s="11" t="s">
        <v>11095</v>
      </c>
      <c r="D2313" s="533">
        <v>0.75</v>
      </c>
      <c r="E2313" s="533">
        <v>0.75</v>
      </c>
      <c r="F2313" s="11" t="s">
        <v>1656</v>
      </c>
      <c r="G2313" s="10"/>
      <c r="H2313" s="11" t="s">
        <v>11096</v>
      </c>
      <c r="I2313" s="10"/>
      <c r="J2313" s="10"/>
      <c r="K2313" s="10"/>
    </row>
    <row r="2314" hidden="1">
      <c r="A2314" s="358" t="s">
        <v>14108</v>
      </c>
      <c r="B2314" s="531"/>
      <c r="C2314" s="11" t="s">
        <v>11095</v>
      </c>
      <c r="D2314" s="533">
        <v>0.75</v>
      </c>
      <c r="E2314" s="533">
        <v>0.75</v>
      </c>
      <c r="F2314" s="11" t="s">
        <v>1656</v>
      </c>
      <c r="G2314" s="10"/>
      <c r="H2314" s="11" t="s">
        <v>11096</v>
      </c>
      <c r="I2314" s="10"/>
      <c r="J2314" s="10"/>
      <c r="K2314" s="10"/>
    </row>
    <row r="2315" hidden="1">
      <c r="A2315" s="358" t="s">
        <v>14109</v>
      </c>
      <c r="B2315" s="531"/>
      <c r="C2315" s="11" t="s">
        <v>11095</v>
      </c>
      <c r="D2315" s="533">
        <v>0.75</v>
      </c>
      <c r="E2315" s="533">
        <v>0.75</v>
      </c>
      <c r="F2315" s="11" t="s">
        <v>1656</v>
      </c>
      <c r="G2315" s="10"/>
      <c r="H2315" s="11" t="s">
        <v>11096</v>
      </c>
      <c r="I2315" s="10"/>
      <c r="J2315" s="10"/>
      <c r="K2315" s="10"/>
    </row>
    <row r="2316" hidden="1">
      <c r="A2316" s="358" t="s">
        <v>14110</v>
      </c>
      <c r="B2316" s="531"/>
      <c r="C2316" s="11" t="s">
        <v>11095</v>
      </c>
      <c r="D2316" s="533">
        <v>0.75</v>
      </c>
      <c r="E2316" s="533">
        <v>0.75</v>
      </c>
      <c r="F2316" s="11" t="s">
        <v>1656</v>
      </c>
      <c r="G2316" s="10"/>
      <c r="H2316" s="11" t="s">
        <v>11096</v>
      </c>
      <c r="I2316" s="10"/>
      <c r="J2316" s="10"/>
      <c r="K2316" s="10"/>
    </row>
    <row r="2317" hidden="1">
      <c r="A2317" s="358" t="s">
        <v>14111</v>
      </c>
      <c r="B2317" s="531"/>
      <c r="C2317" s="11" t="s">
        <v>11095</v>
      </c>
      <c r="D2317" s="533">
        <v>0.75</v>
      </c>
      <c r="E2317" s="533">
        <v>0.75</v>
      </c>
      <c r="F2317" s="11" t="s">
        <v>1656</v>
      </c>
      <c r="G2317" s="10"/>
      <c r="H2317" s="11" t="s">
        <v>11096</v>
      </c>
      <c r="I2317" s="10"/>
      <c r="J2317" s="10"/>
      <c r="K2317" s="10"/>
    </row>
    <row r="2318" hidden="1">
      <c r="A2318" s="358" t="s">
        <v>14112</v>
      </c>
      <c r="B2318" s="531"/>
      <c r="C2318" s="11" t="s">
        <v>11095</v>
      </c>
      <c r="D2318" s="533">
        <v>0.75</v>
      </c>
      <c r="E2318" s="533">
        <v>0.75</v>
      </c>
      <c r="F2318" s="11" t="s">
        <v>1656</v>
      </c>
      <c r="G2318" s="10"/>
      <c r="H2318" s="11" t="s">
        <v>11096</v>
      </c>
      <c r="I2318" s="10"/>
      <c r="J2318" s="10"/>
      <c r="K2318" s="10"/>
    </row>
    <row r="2319" hidden="1">
      <c r="A2319" s="358" t="s">
        <v>14113</v>
      </c>
      <c r="B2319" s="531"/>
      <c r="C2319" s="11" t="s">
        <v>11095</v>
      </c>
      <c r="D2319" s="533">
        <v>0.75</v>
      </c>
      <c r="E2319" s="533">
        <v>0.75</v>
      </c>
      <c r="F2319" s="11" t="s">
        <v>1656</v>
      </c>
      <c r="G2319" s="10"/>
      <c r="H2319" s="11" t="s">
        <v>11096</v>
      </c>
      <c r="I2319" s="10"/>
      <c r="J2319" s="10"/>
      <c r="K2319" s="10"/>
    </row>
    <row r="2320" hidden="1">
      <c r="A2320" s="358" t="s">
        <v>14114</v>
      </c>
      <c r="B2320" s="531"/>
      <c r="C2320" s="11" t="s">
        <v>11095</v>
      </c>
      <c r="D2320" s="533">
        <v>0.75</v>
      </c>
      <c r="E2320" s="533">
        <v>0.75</v>
      </c>
      <c r="F2320" s="11" t="s">
        <v>1656</v>
      </c>
      <c r="G2320" s="10"/>
      <c r="H2320" s="11" t="s">
        <v>11096</v>
      </c>
      <c r="I2320" s="10"/>
      <c r="J2320" s="10"/>
      <c r="K2320" s="10"/>
    </row>
    <row r="2321" hidden="1">
      <c r="A2321" s="358" t="s">
        <v>14115</v>
      </c>
      <c r="B2321" s="531"/>
      <c r="C2321" s="11" t="s">
        <v>11095</v>
      </c>
      <c r="D2321" s="533">
        <v>0.75</v>
      </c>
      <c r="E2321" s="533">
        <v>0.75</v>
      </c>
      <c r="F2321" s="11" t="s">
        <v>1656</v>
      </c>
      <c r="G2321" s="10"/>
      <c r="H2321" s="11" t="s">
        <v>11096</v>
      </c>
      <c r="I2321" s="10"/>
      <c r="J2321" s="10"/>
      <c r="K2321" s="10"/>
    </row>
  </sheetData>
  <autoFilter ref="$A$1:$I$2321">
    <filterColumn colId="1">
      <filters>
        <filter val="6675"/>
      </filters>
    </filterColumn>
  </autoFilter>
  <customSheetViews>
    <customSheetView guid="{9968795E-3BFB-485F-960E-5F37103E47A5}" filter="1" showAutoFilter="1">
      <autoFilter ref="$A$1:$B$2321"/>
    </customSheetView>
  </customSheetViews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9.25"/>
    <col customWidth="1" min="3" max="3" width="65.38"/>
    <col customWidth="1" min="4" max="4" width="58.88"/>
    <col customWidth="1" min="5" max="5" width="19.0"/>
    <col hidden="1" min="7" max="8" width="12.63"/>
    <col customWidth="1" hidden="1" min="9" max="9" width="20.5"/>
  </cols>
  <sheetData>
    <row r="1">
      <c r="A1" s="358" t="s">
        <v>44</v>
      </c>
      <c r="B1" s="88" t="s">
        <v>1</v>
      </c>
      <c r="C1" s="57" t="s">
        <v>294</v>
      </c>
      <c r="D1" s="55" t="s">
        <v>248</v>
      </c>
      <c r="E1" s="348" t="s">
        <v>249</v>
      </c>
      <c r="F1" s="349" t="s">
        <v>250</v>
      </c>
      <c r="G1" s="88" t="s">
        <v>4476</v>
      </c>
      <c r="H1" s="88" t="s">
        <v>1</v>
      </c>
      <c r="I1" s="11" t="s">
        <v>14116</v>
      </c>
    </row>
    <row r="2">
      <c r="A2" s="18" t="s">
        <v>14117</v>
      </c>
      <c r="B2" s="11">
        <v>14672.0</v>
      </c>
      <c r="C2" s="11" t="s">
        <v>14118</v>
      </c>
      <c r="D2" s="547">
        <v>0.8</v>
      </c>
      <c r="E2" s="547">
        <v>0.8</v>
      </c>
      <c r="F2" s="229" t="s">
        <v>1656</v>
      </c>
      <c r="G2" s="18" t="s">
        <v>14117</v>
      </c>
      <c r="H2" s="88">
        <v>7227.0</v>
      </c>
      <c r="I2" s="88"/>
    </row>
    <row r="3">
      <c r="A3" s="18" t="s">
        <v>14119</v>
      </c>
      <c r="B3" s="11">
        <v>6947.0</v>
      </c>
      <c r="C3" s="11" t="s">
        <v>14118</v>
      </c>
      <c r="D3" s="547">
        <v>0.8</v>
      </c>
      <c r="E3" s="547">
        <v>0.8</v>
      </c>
      <c r="F3" s="229" t="s">
        <v>1656</v>
      </c>
      <c r="G3" s="18" t="s">
        <v>14119</v>
      </c>
      <c r="H3" s="88">
        <v>10258.0</v>
      </c>
      <c r="I3" s="88"/>
    </row>
    <row r="4">
      <c r="A4" s="18" t="s">
        <v>14120</v>
      </c>
      <c r="B4" s="11">
        <v>6947.0</v>
      </c>
      <c r="C4" s="11" t="s">
        <v>14118</v>
      </c>
      <c r="D4" s="547">
        <v>0.8</v>
      </c>
      <c r="E4" s="547">
        <v>0.8</v>
      </c>
      <c r="F4" s="229" t="s">
        <v>1656</v>
      </c>
      <c r="G4" s="18" t="s">
        <v>14120</v>
      </c>
      <c r="H4" s="88">
        <v>10258.0</v>
      </c>
      <c r="I4" s="88"/>
    </row>
    <row r="5">
      <c r="A5" s="18" t="s">
        <v>14121</v>
      </c>
      <c r="B5" s="175">
        <v>6678.0</v>
      </c>
      <c r="C5" s="11" t="s">
        <v>14118</v>
      </c>
      <c r="D5" s="547">
        <v>0.8</v>
      </c>
      <c r="E5" s="547">
        <v>0.8</v>
      </c>
      <c r="F5" s="229" t="s">
        <v>1656</v>
      </c>
      <c r="G5" s="18" t="s">
        <v>14121</v>
      </c>
      <c r="H5" s="88">
        <v>10923.0</v>
      </c>
      <c r="I5" s="88"/>
    </row>
    <row r="6">
      <c r="A6" s="18" t="s">
        <v>14122</v>
      </c>
      <c r="B6" s="88">
        <v>6675.0</v>
      </c>
      <c r="C6" s="11" t="s">
        <v>14118</v>
      </c>
      <c r="D6" s="547">
        <v>0.85</v>
      </c>
      <c r="E6" s="547">
        <v>0.85</v>
      </c>
      <c r="F6" s="229" t="s">
        <v>1656</v>
      </c>
      <c r="G6" s="18" t="s">
        <v>14122</v>
      </c>
      <c r="H6" s="88">
        <v>6675.0</v>
      </c>
      <c r="I6" s="88"/>
    </row>
    <row r="7">
      <c r="A7" s="18" t="s">
        <v>14123</v>
      </c>
      <c r="B7" s="11">
        <v>14659.0</v>
      </c>
      <c r="C7" s="11" t="s">
        <v>14118</v>
      </c>
      <c r="D7" s="547">
        <v>0.8</v>
      </c>
      <c r="E7" s="547">
        <v>0.8</v>
      </c>
      <c r="F7" s="229" t="s">
        <v>1656</v>
      </c>
      <c r="G7" s="18" t="s">
        <v>14123</v>
      </c>
      <c r="H7" s="88">
        <v>6603.0</v>
      </c>
      <c r="I7" s="88"/>
    </row>
    <row r="8">
      <c r="A8" s="18" t="s">
        <v>14124</v>
      </c>
      <c r="B8" s="11">
        <v>3404.0</v>
      </c>
      <c r="C8" s="11" t="s">
        <v>14118</v>
      </c>
      <c r="D8" s="547">
        <v>0.8</v>
      </c>
      <c r="E8" s="547">
        <v>0.8</v>
      </c>
      <c r="F8" s="229" t="s">
        <v>1656</v>
      </c>
      <c r="G8" s="18" t="s">
        <v>14124</v>
      </c>
      <c r="H8" s="88">
        <v>6772.0</v>
      </c>
      <c r="I8" s="88"/>
    </row>
    <row r="9">
      <c r="A9" s="18" t="s">
        <v>14125</v>
      </c>
      <c r="B9" s="11">
        <v>12553.0</v>
      </c>
      <c r="C9" s="11" t="s">
        <v>14118</v>
      </c>
      <c r="D9" s="547">
        <v>0.8</v>
      </c>
      <c r="E9" s="547">
        <v>0.8</v>
      </c>
      <c r="F9" s="229" t="s">
        <v>1656</v>
      </c>
      <c r="G9" s="18" t="s">
        <v>14125</v>
      </c>
      <c r="H9" s="88">
        <v>6928.0</v>
      </c>
      <c r="I9" s="88"/>
    </row>
    <row r="10">
      <c r="A10" s="18" t="s">
        <v>14126</v>
      </c>
      <c r="B10" s="11">
        <v>6936.0</v>
      </c>
      <c r="C10" s="11" t="s">
        <v>14118</v>
      </c>
      <c r="D10" s="547">
        <v>0.8</v>
      </c>
      <c r="E10" s="547">
        <v>0.8</v>
      </c>
      <c r="F10" s="229" t="s">
        <v>1656</v>
      </c>
      <c r="G10" s="18" t="s">
        <v>14126</v>
      </c>
      <c r="H10" s="88">
        <v>6936.0</v>
      </c>
      <c r="I10" s="88"/>
    </row>
    <row r="11">
      <c r="A11" s="18" t="s">
        <v>14127</v>
      </c>
      <c r="B11" s="88">
        <v>663.0</v>
      </c>
      <c r="C11" s="11" t="s">
        <v>14118</v>
      </c>
      <c r="D11" s="547">
        <v>0.8</v>
      </c>
      <c r="E11" s="547">
        <v>0.8</v>
      </c>
      <c r="F11" s="229" t="s">
        <v>1656</v>
      </c>
      <c r="G11" s="18" t="s">
        <v>14127</v>
      </c>
      <c r="H11" s="88">
        <v>663.0</v>
      </c>
      <c r="I11" s="88"/>
    </row>
    <row r="12">
      <c r="A12" s="18" t="s">
        <v>14128</v>
      </c>
      <c r="B12" s="11">
        <v>14025.0</v>
      </c>
      <c r="C12" s="11" t="s">
        <v>14118</v>
      </c>
      <c r="D12" s="547">
        <v>0.8</v>
      </c>
      <c r="E12" s="547">
        <v>0.8</v>
      </c>
      <c r="F12" s="229" t="s">
        <v>1656</v>
      </c>
      <c r="G12" s="18" t="s">
        <v>14128</v>
      </c>
      <c r="H12" s="88">
        <v>11104.0</v>
      </c>
      <c r="I12" s="88"/>
    </row>
    <row r="13">
      <c r="A13" s="18" t="s">
        <v>14129</v>
      </c>
      <c r="B13" s="11">
        <v>6903.0</v>
      </c>
      <c r="C13" s="11" t="s">
        <v>14118</v>
      </c>
      <c r="D13" s="547">
        <v>0.8</v>
      </c>
      <c r="E13" s="547">
        <v>0.8</v>
      </c>
      <c r="F13" s="229" t="s">
        <v>1656</v>
      </c>
      <c r="G13" s="18" t="s">
        <v>14129</v>
      </c>
      <c r="H13" s="88">
        <v>6675.0</v>
      </c>
      <c r="I13" s="88"/>
    </row>
    <row r="14">
      <c r="A14" s="18" t="s">
        <v>14130</v>
      </c>
      <c r="B14" s="88">
        <v>11601.0</v>
      </c>
      <c r="C14" s="11" t="s">
        <v>14118</v>
      </c>
      <c r="D14" s="547">
        <v>0.8</v>
      </c>
      <c r="E14" s="547">
        <v>0.8</v>
      </c>
      <c r="F14" s="229" t="s">
        <v>1656</v>
      </c>
      <c r="G14" s="18" t="s">
        <v>14130</v>
      </c>
      <c r="H14" s="88">
        <v>11601.0</v>
      </c>
      <c r="I14" s="88"/>
    </row>
    <row r="15">
      <c r="A15" s="18" t="s">
        <v>14131</v>
      </c>
      <c r="B15" s="88">
        <v>6924.0</v>
      </c>
      <c r="C15" s="11" t="s">
        <v>14118</v>
      </c>
      <c r="D15" s="547">
        <v>0.8</v>
      </c>
      <c r="E15" s="547">
        <v>0.8</v>
      </c>
      <c r="F15" s="229" t="s">
        <v>1656</v>
      </c>
      <c r="G15" s="18" t="s">
        <v>14131</v>
      </c>
      <c r="H15" s="88">
        <v>6924.0</v>
      </c>
      <c r="I15" s="88"/>
    </row>
    <row r="16">
      <c r="A16" s="18" t="s">
        <v>14132</v>
      </c>
      <c r="B16" s="88">
        <v>6121.0</v>
      </c>
      <c r="C16" s="11" t="s">
        <v>14118</v>
      </c>
      <c r="D16" s="547">
        <v>0.8</v>
      </c>
      <c r="E16" s="547">
        <v>0.8</v>
      </c>
      <c r="F16" s="229" t="s">
        <v>1656</v>
      </c>
      <c r="G16" s="18" t="s">
        <v>14132</v>
      </c>
      <c r="H16" s="88">
        <v>6121.0</v>
      </c>
      <c r="I16" s="88"/>
    </row>
    <row r="17">
      <c r="A17" s="18" t="s">
        <v>14133</v>
      </c>
      <c r="B17" s="88">
        <v>6121.0</v>
      </c>
      <c r="C17" s="11" t="s">
        <v>14118</v>
      </c>
      <c r="D17" s="547">
        <v>0.8</v>
      </c>
      <c r="E17" s="547">
        <v>0.8</v>
      </c>
      <c r="F17" s="229" t="s">
        <v>1656</v>
      </c>
      <c r="G17" s="18" t="s">
        <v>14133</v>
      </c>
      <c r="H17" s="88">
        <v>6121.0</v>
      </c>
      <c r="I17" s="88"/>
    </row>
    <row r="18">
      <c r="A18" s="18" t="s">
        <v>14134</v>
      </c>
      <c r="B18" s="88">
        <v>6827.0</v>
      </c>
      <c r="C18" s="11" t="s">
        <v>14118</v>
      </c>
      <c r="D18" s="547">
        <v>0.8</v>
      </c>
      <c r="E18" s="547">
        <v>0.8</v>
      </c>
      <c r="F18" s="229" t="s">
        <v>1656</v>
      </c>
      <c r="G18" s="18" t="s">
        <v>14134</v>
      </c>
      <c r="H18" s="88">
        <v>6827.0</v>
      </c>
      <c r="I18" s="88"/>
    </row>
    <row r="19">
      <c r="A19" s="18" t="s">
        <v>14135</v>
      </c>
      <c r="B19" s="88">
        <v>6827.0</v>
      </c>
      <c r="C19" s="11" t="s">
        <v>14118</v>
      </c>
      <c r="D19" s="547">
        <v>0.8</v>
      </c>
      <c r="E19" s="547">
        <v>0.8</v>
      </c>
      <c r="F19" s="229" t="s">
        <v>1656</v>
      </c>
      <c r="G19" s="18" t="s">
        <v>14135</v>
      </c>
      <c r="H19" s="88">
        <v>6827.0</v>
      </c>
      <c r="I19" s="88"/>
    </row>
    <row r="20">
      <c r="A20" s="18" t="s">
        <v>14136</v>
      </c>
      <c r="B20" s="88">
        <v>6121.0</v>
      </c>
      <c r="C20" s="11" t="s">
        <v>14118</v>
      </c>
      <c r="D20" s="547">
        <v>0.8</v>
      </c>
      <c r="E20" s="547">
        <v>0.8</v>
      </c>
      <c r="F20" s="229" t="s">
        <v>1656</v>
      </c>
      <c r="G20" s="18" t="s">
        <v>14136</v>
      </c>
      <c r="H20" s="88">
        <v>6121.0</v>
      </c>
      <c r="I20" s="88"/>
    </row>
    <row r="21">
      <c r="A21" s="18" t="s">
        <v>14137</v>
      </c>
      <c r="B21" s="88">
        <v>6121.0</v>
      </c>
      <c r="C21" s="11" t="s">
        <v>14118</v>
      </c>
      <c r="D21" s="547">
        <v>0.8</v>
      </c>
      <c r="E21" s="547">
        <v>0.8</v>
      </c>
      <c r="F21" s="229" t="s">
        <v>1656</v>
      </c>
      <c r="G21" s="18" t="s">
        <v>14137</v>
      </c>
      <c r="H21" s="88">
        <v>6121.0</v>
      </c>
      <c r="I21" s="88"/>
    </row>
    <row r="22">
      <c r="A22" s="18" t="s">
        <v>14138</v>
      </c>
      <c r="B22" s="88">
        <v>6121.0</v>
      </c>
      <c r="C22" s="11" t="s">
        <v>14118</v>
      </c>
      <c r="D22" s="547">
        <v>0.8</v>
      </c>
      <c r="E22" s="547">
        <v>0.8</v>
      </c>
      <c r="F22" s="229" t="s">
        <v>1656</v>
      </c>
      <c r="G22" s="18" t="s">
        <v>14138</v>
      </c>
      <c r="H22" s="88">
        <v>6121.0</v>
      </c>
      <c r="I22" s="88"/>
    </row>
    <row r="23">
      <c r="A23" s="18" t="s">
        <v>14139</v>
      </c>
      <c r="C23" s="11" t="s">
        <v>14118</v>
      </c>
      <c r="D23" s="547">
        <v>0.8</v>
      </c>
      <c r="E23" s="547">
        <v>0.8</v>
      </c>
      <c r="F23" s="229" t="s">
        <v>1656</v>
      </c>
      <c r="G23" s="18" t="s">
        <v>14139</v>
      </c>
      <c r="H23" s="88">
        <v>9307.0</v>
      </c>
      <c r="I23" s="88"/>
    </row>
    <row r="24">
      <c r="A24" s="18" t="s">
        <v>14140</v>
      </c>
      <c r="B24" s="11">
        <v>6706.0</v>
      </c>
      <c r="C24" s="11" t="s">
        <v>14118</v>
      </c>
      <c r="D24" s="74">
        <v>0.85</v>
      </c>
      <c r="E24" s="74">
        <v>0.85</v>
      </c>
      <c r="F24" s="229" t="s">
        <v>1656</v>
      </c>
      <c r="G24" s="18" t="s">
        <v>14140</v>
      </c>
      <c r="H24" s="88">
        <v>6706.0</v>
      </c>
      <c r="I24" s="88"/>
    </row>
    <row r="25">
      <c r="A25" s="88" t="s">
        <v>14141</v>
      </c>
      <c r="B25" s="11">
        <v>14646.0</v>
      </c>
      <c r="C25" s="11" t="s">
        <v>14118</v>
      </c>
      <c r="D25" s="547">
        <v>0.8</v>
      </c>
      <c r="E25" s="547">
        <v>0.8</v>
      </c>
      <c r="F25" s="229" t="s">
        <v>1656</v>
      </c>
      <c r="G25" s="88" t="s">
        <v>14141</v>
      </c>
      <c r="H25" s="88">
        <v>7083.0</v>
      </c>
      <c r="I25" s="88"/>
    </row>
    <row r="26">
      <c r="A26" s="88" t="s">
        <v>14142</v>
      </c>
      <c r="B26" s="11">
        <v>14575.0</v>
      </c>
      <c r="C26" s="11" t="s">
        <v>14118</v>
      </c>
      <c r="D26" s="547">
        <v>0.85</v>
      </c>
      <c r="E26" s="547">
        <v>0.85</v>
      </c>
      <c r="F26" s="229" t="s">
        <v>1656</v>
      </c>
      <c r="G26" s="88" t="s">
        <v>14142</v>
      </c>
      <c r="H26" s="88">
        <v>12301.0</v>
      </c>
      <c r="I26" s="88"/>
    </row>
    <row r="27">
      <c r="A27" s="88" t="s">
        <v>14143</v>
      </c>
      <c r="B27" s="11">
        <v>7104.0</v>
      </c>
      <c r="C27" s="11" t="s">
        <v>14118</v>
      </c>
      <c r="D27" s="547">
        <v>0.8</v>
      </c>
      <c r="E27" s="547">
        <v>0.8</v>
      </c>
      <c r="F27" s="229" t="s">
        <v>1656</v>
      </c>
      <c r="G27" s="88" t="s">
        <v>14143</v>
      </c>
      <c r="H27" s="88">
        <v>7227.0</v>
      </c>
      <c r="I27" s="88"/>
    </row>
    <row r="28">
      <c r="A28" s="88" t="s">
        <v>14144</v>
      </c>
      <c r="B28" s="11">
        <v>14750.0</v>
      </c>
      <c r="C28" s="11" t="s">
        <v>14118</v>
      </c>
      <c r="D28" s="547">
        <v>0.85</v>
      </c>
      <c r="E28" s="547">
        <v>0.85</v>
      </c>
      <c r="F28" s="229" t="s">
        <v>1656</v>
      </c>
      <c r="G28" s="88" t="s">
        <v>14144</v>
      </c>
      <c r="H28" s="88">
        <v>6873.0</v>
      </c>
      <c r="I28" s="88"/>
    </row>
    <row r="29">
      <c r="A29" s="88" t="s">
        <v>14145</v>
      </c>
      <c r="B29" s="11">
        <v>7104.0</v>
      </c>
      <c r="C29" s="11" t="s">
        <v>14118</v>
      </c>
      <c r="D29" s="547">
        <v>0.8</v>
      </c>
      <c r="E29" s="547">
        <v>0.8</v>
      </c>
      <c r="F29" s="229" t="s">
        <v>1656</v>
      </c>
      <c r="G29" s="88" t="s">
        <v>14145</v>
      </c>
      <c r="H29" s="88">
        <v>283.0</v>
      </c>
      <c r="I29" s="88"/>
    </row>
    <row r="30">
      <c r="A30" s="88" t="s">
        <v>14146</v>
      </c>
      <c r="B30" s="11">
        <v>6891.0</v>
      </c>
      <c r="C30" s="11" t="s">
        <v>14118</v>
      </c>
      <c r="D30" s="547">
        <v>0.8</v>
      </c>
      <c r="E30" s="547">
        <v>0.8</v>
      </c>
      <c r="F30" s="229" t="s">
        <v>1656</v>
      </c>
      <c r="G30" s="88" t="s">
        <v>14146</v>
      </c>
      <c r="H30" s="88">
        <v>6729.0</v>
      </c>
      <c r="I30" s="88"/>
    </row>
    <row r="31">
      <c r="A31" s="88" t="s">
        <v>14147</v>
      </c>
      <c r="B31" s="11">
        <v>14750.0</v>
      </c>
      <c r="C31" s="11" t="s">
        <v>14118</v>
      </c>
      <c r="D31" s="547">
        <v>0.85</v>
      </c>
      <c r="E31" s="547">
        <v>0.85</v>
      </c>
      <c r="F31" s="229" t="s">
        <v>1656</v>
      </c>
      <c r="G31" s="88" t="s">
        <v>14147</v>
      </c>
      <c r="H31" s="88">
        <v>6706.0</v>
      </c>
      <c r="I31" s="88"/>
    </row>
    <row r="32">
      <c r="A32" s="88" t="s">
        <v>14148</v>
      </c>
      <c r="B32" s="11">
        <v>14536.0</v>
      </c>
      <c r="C32" s="11" t="s">
        <v>14118</v>
      </c>
      <c r="D32" s="547">
        <v>0.8</v>
      </c>
      <c r="E32" s="547">
        <v>0.8</v>
      </c>
      <c r="F32" s="229" t="s">
        <v>1656</v>
      </c>
      <c r="G32" s="88" t="s">
        <v>14148</v>
      </c>
      <c r="H32" s="88">
        <v>6706.0</v>
      </c>
      <c r="I32" s="88"/>
    </row>
    <row r="33">
      <c r="A33" s="88" t="s">
        <v>14149</v>
      </c>
      <c r="B33" s="175">
        <v>6678.0</v>
      </c>
      <c r="C33" s="11" t="s">
        <v>14118</v>
      </c>
      <c r="D33" s="547">
        <v>0.8</v>
      </c>
      <c r="E33" s="547">
        <v>0.8</v>
      </c>
      <c r="F33" s="229" t="s">
        <v>1656</v>
      </c>
      <c r="G33" s="88" t="s">
        <v>14149</v>
      </c>
      <c r="H33" s="88">
        <v>283.0</v>
      </c>
      <c r="I33" s="88"/>
    </row>
    <row r="34">
      <c r="A34" s="88" t="s">
        <v>14150</v>
      </c>
      <c r="B34" s="11">
        <v>14750.0</v>
      </c>
      <c r="C34" s="11" t="s">
        <v>14118</v>
      </c>
      <c r="D34" s="547">
        <v>0.85</v>
      </c>
      <c r="E34" s="547">
        <v>0.85</v>
      </c>
      <c r="F34" s="229" t="s">
        <v>1656</v>
      </c>
      <c r="G34" s="88" t="s">
        <v>14150</v>
      </c>
      <c r="H34" s="88">
        <v>7227.0</v>
      </c>
      <c r="I34" s="88"/>
    </row>
    <row r="35">
      <c r="A35" s="88" t="s">
        <v>14151</v>
      </c>
      <c r="B35" s="11">
        <v>14750.0</v>
      </c>
      <c r="C35" s="11" t="s">
        <v>14118</v>
      </c>
      <c r="D35" s="547">
        <v>0.85</v>
      </c>
      <c r="E35" s="547">
        <v>0.85</v>
      </c>
      <c r="F35" s="229" t="s">
        <v>1656</v>
      </c>
      <c r="G35" s="88" t="s">
        <v>14151</v>
      </c>
      <c r="H35" s="88">
        <v>6706.0</v>
      </c>
      <c r="I35" s="88"/>
    </row>
    <row r="36">
      <c r="A36" s="88" t="s">
        <v>14152</v>
      </c>
      <c r="B36" s="11">
        <v>14750.0</v>
      </c>
      <c r="C36" s="11" t="s">
        <v>14118</v>
      </c>
      <c r="D36" s="547">
        <v>0.85</v>
      </c>
      <c r="E36" s="547">
        <v>0.85</v>
      </c>
      <c r="F36" s="229" t="s">
        <v>1656</v>
      </c>
      <c r="G36" s="88" t="s">
        <v>14152</v>
      </c>
      <c r="H36" s="88">
        <v>14033.0</v>
      </c>
      <c r="I36" s="88"/>
    </row>
    <row r="37">
      <c r="A37" s="88" t="s">
        <v>14153</v>
      </c>
      <c r="B37" s="88">
        <v>10923.0</v>
      </c>
      <c r="C37" s="11" t="s">
        <v>14118</v>
      </c>
      <c r="D37" s="547">
        <v>0.8</v>
      </c>
      <c r="E37" s="547">
        <v>0.8</v>
      </c>
      <c r="F37" s="229" t="s">
        <v>1656</v>
      </c>
      <c r="G37" s="88" t="s">
        <v>14153</v>
      </c>
      <c r="H37" s="88">
        <v>10923.0</v>
      </c>
      <c r="I37" s="88"/>
    </row>
    <row r="38">
      <c r="A38" s="88" t="s">
        <v>14154</v>
      </c>
      <c r="B38" s="11">
        <v>14750.0</v>
      </c>
      <c r="C38" s="11" t="s">
        <v>14118</v>
      </c>
      <c r="D38" s="547">
        <v>0.85</v>
      </c>
      <c r="E38" s="547">
        <v>0.85</v>
      </c>
      <c r="F38" s="229" t="s">
        <v>1656</v>
      </c>
      <c r="G38" s="88" t="s">
        <v>14154</v>
      </c>
      <c r="H38" s="88">
        <v>12609.0</v>
      </c>
      <c r="I38" s="88"/>
    </row>
    <row r="39">
      <c r="A39" s="88" t="s">
        <v>14155</v>
      </c>
      <c r="B39" s="88">
        <v>6629.0</v>
      </c>
      <c r="C39" s="11" t="s">
        <v>14118</v>
      </c>
      <c r="D39" s="547">
        <v>0.8</v>
      </c>
      <c r="E39" s="547">
        <v>0.8</v>
      </c>
      <c r="F39" s="229" t="s">
        <v>1656</v>
      </c>
      <c r="G39" s="88" t="s">
        <v>14155</v>
      </c>
      <c r="H39" s="88">
        <v>6629.0</v>
      </c>
      <c r="I39" s="88"/>
    </row>
    <row r="40">
      <c r="A40" s="88" t="s">
        <v>14156</v>
      </c>
      <c r="B40" s="11">
        <v>14757.0</v>
      </c>
      <c r="C40" s="11" t="s">
        <v>14118</v>
      </c>
      <c r="D40" s="547">
        <v>0.8</v>
      </c>
      <c r="E40" s="547">
        <v>0.8</v>
      </c>
      <c r="F40" s="229" t="s">
        <v>1656</v>
      </c>
      <c r="G40" s="88" t="s">
        <v>14156</v>
      </c>
      <c r="H40" s="88">
        <v>942.0</v>
      </c>
      <c r="I40" s="88"/>
    </row>
    <row r="41">
      <c r="A41" s="88" t="s">
        <v>14157</v>
      </c>
      <c r="B41" s="11">
        <v>14757.0</v>
      </c>
      <c r="C41" s="11" t="s">
        <v>14118</v>
      </c>
      <c r="D41" s="547">
        <v>0.8</v>
      </c>
      <c r="E41" s="547">
        <v>0.8</v>
      </c>
      <c r="F41" s="229" t="s">
        <v>1656</v>
      </c>
      <c r="G41" s="88" t="s">
        <v>14157</v>
      </c>
      <c r="H41" s="88">
        <v>942.0</v>
      </c>
      <c r="I41" s="88"/>
    </row>
    <row r="42">
      <c r="A42" s="88" t="s">
        <v>14158</v>
      </c>
      <c r="B42" s="11">
        <v>14757.0</v>
      </c>
      <c r="C42" s="11" t="s">
        <v>14118</v>
      </c>
      <c r="D42" s="547">
        <v>0.8</v>
      </c>
      <c r="E42" s="547">
        <v>0.8</v>
      </c>
      <c r="F42" s="229" t="s">
        <v>1656</v>
      </c>
      <c r="G42" s="88" t="s">
        <v>14158</v>
      </c>
      <c r="H42" s="88">
        <v>14020.0</v>
      </c>
      <c r="I42" s="88"/>
    </row>
    <row r="43">
      <c r="A43" s="88" t="s">
        <v>14159</v>
      </c>
      <c r="B43" s="11">
        <v>14482.0</v>
      </c>
      <c r="C43" s="11" t="s">
        <v>14118</v>
      </c>
      <c r="D43" s="547">
        <v>0.8</v>
      </c>
      <c r="E43" s="547">
        <v>0.8</v>
      </c>
      <c r="F43" s="229" t="s">
        <v>1656</v>
      </c>
      <c r="G43" s="88" t="s">
        <v>14159</v>
      </c>
      <c r="H43" s="88">
        <v>14482.0</v>
      </c>
      <c r="I43" s="88"/>
    </row>
    <row r="44">
      <c r="A44" s="88" t="s">
        <v>14160</v>
      </c>
      <c r="B44" s="11">
        <v>14757.0</v>
      </c>
      <c r="C44" s="11" t="s">
        <v>14118</v>
      </c>
      <c r="D44" s="547">
        <v>0.8</v>
      </c>
      <c r="E44" s="547">
        <v>0.8</v>
      </c>
      <c r="F44" s="229" t="s">
        <v>1656</v>
      </c>
      <c r="G44" s="88" t="s">
        <v>14160</v>
      </c>
      <c r="H44" s="88">
        <v>12609.0</v>
      </c>
      <c r="I44" s="88"/>
    </row>
    <row r="45">
      <c r="A45" s="88" t="s">
        <v>14161</v>
      </c>
      <c r="B45" s="11">
        <v>10258.0</v>
      </c>
      <c r="C45" s="11" t="s">
        <v>14118</v>
      </c>
      <c r="D45" s="547">
        <v>0.8</v>
      </c>
      <c r="E45" s="547">
        <v>0.8</v>
      </c>
      <c r="F45" s="229" t="s">
        <v>1656</v>
      </c>
      <c r="G45" s="88" t="s">
        <v>14161</v>
      </c>
      <c r="H45" s="88">
        <v>489.0</v>
      </c>
      <c r="I45" s="88"/>
    </row>
    <row r="46">
      <c r="A46" s="88" t="s">
        <v>14162</v>
      </c>
      <c r="B46" s="11">
        <v>6936.0</v>
      </c>
      <c r="C46" s="11" t="s">
        <v>14118</v>
      </c>
      <c r="D46" s="547">
        <v>0.8</v>
      </c>
      <c r="E46" s="547">
        <v>0.8</v>
      </c>
      <c r="F46" s="229" t="s">
        <v>1656</v>
      </c>
      <c r="G46" s="88" t="s">
        <v>14162</v>
      </c>
      <c r="H46" s="88">
        <v>1104.0</v>
      </c>
      <c r="I46" s="88"/>
    </row>
    <row r="47">
      <c r="A47" s="88" t="s">
        <v>14163</v>
      </c>
      <c r="B47" s="11">
        <v>10258.0</v>
      </c>
      <c r="C47" s="11" t="s">
        <v>14118</v>
      </c>
      <c r="D47" s="547">
        <v>0.8</v>
      </c>
      <c r="E47" s="547">
        <v>0.8</v>
      </c>
      <c r="F47" s="229" t="s">
        <v>1656</v>
      </c>
      <c r="G47" s="88" t="s">
        <v>14163</v>
      </c>
      <c r="H47" s="88">
        <v>7227.0</v>
      </c>
      <c r="I47" s="88"/>
    </row>
    <row r="48">
      <c r="A48" s="88" t="s">
        <v>14164</v>
      </c>
      <c r="B48" s="88">
        <v>13864.0</v>
      </c>
      <c r="C48" s="11" t="s">
        <v>14118</v>
      </c>
      <c r="D48" s="547">
        <v>0.8</v>
      </c>
      <c r="E48" s="547">
        <v>0.8</v>
      </c>
      <c r="F48" s="229" t="s">
        <v>1656</v>
      </c>
      <c r="G48" s="88" t="s">
        <v>14164</v>
      </c>
      <c r="H48" s="88">
        <v>13864.0</v>
      </c>
      <c r="I48" s="88"/>
    </row>
    <row r="49">
      <c r="A49" s="88" t="s">
        <v>14165</v>
      </c>
      <c r="B49" s="11">
        <v>14482.0</v>
      </c>
      <c r="C49" s="11" t="s">
        <v>14118</v>
      </c>
      <c r="D49" s="547">
        <v>0.8</v>
      </c>
      <c r="E49" s="547">
        <v>0.8</v>
      </c>
      <c r="F49" s="229" t="s">
        <v>1656</v>
      </c>
      <c r="G49" s="88" t="s">
        <v>14165</v>
      </c>
      <c r="H49" s="88">
        <v>14482.0</v>
      </c>
      <c r="I49" s="88"/>
    </row>
    <row r="50">
      <c r="A50" s="88" t="s">
        <v>14166</v>
      </c>
      <c r="B50" s="88">
        <v>14558.0</v>
      </c>
      <c r="C50" s="11" t="s">
        <v>14118</v>
      </c>
      <c r="D50" s="547">
        <v>0.8</v>
      </c>
      <c r="E50" s="547">
        <v>0.8</v>
      </c>
      <c r="F50" s="229" t="s">
        <v>1656</v>
      </c>
      <c r="G50" s="88" t="s">
        <v>14166</v>
      </c>
      <c r="H50" s="88">
        <v>14558.0</v>
      </c>
      <c r="I50" s="88"/>
    </row>
    <row r="51">
      <c r="A51" s="88" t="s">
        <v>14167</v>
      </c>
      <c r="B51" s="11">
        <v>14757.0</v>
      </c>
      <c r="C51" s="11" t="s">
        <v>14118</v>
      </c>
      <c r="D51" s="547">
        <v>0.8</v>
      </c>
      <c r="E51" s="547">
        <v>0.8</v>
      </c>
      <c r="F51" s="229" t="s">
        <v>1656</v>
      </c>
      <c r="G51" s="88" t="s">
        <v>14167</v>
      </c>
      <c r="H51" s="88">
        <v>13204.0</v>
      </c>
      <c r="I51" s="88"/>
    </row>
    <row r="52">
      <c r="A52" s="88" t="s">
        <v>14168</v>
      </c>
      <c r="B52" s="88">
        <v>6936.0</v>
      </c>
      <c r="C52" s="11" t="s">
        <v>14118</v>
      </c>
      <c r="D52" s="547">
        <v>0.8</v>
      </c>
      <c r="E52" s="547">
        <v>0.8</v>
      </c>
      <c r="F52" s="229" t="s">
        <v>1656</v>
      </c>
      <c r="G52" s="88" t="s">
        <v>14168</v>
      </c>
      <c r="H52" s="88">
        <v>6936.0</v>
      </c>
      <c r="I52" s="88"/>
    </row>
    <row r="53">
      <c r="A53" s="88" t="s">
        <v>14169</v>
      </c>
      <c r="B53" s="88">
        <v>6629.0</v>
      </c>
      <c r="C53" s="11" t="s">
        <v>14118</v>
      </c>
      <c r="D53" s="547">
        <v>0.8</v>
      </c>
      <c r="E53" s="547">
        <v>0.8</v>
      </c>
      <c r="F53" s="229" t="s">
        <v>1656</v>
      </c>
      <c r="G53" s="88" t="s">
        <v>14169</v>
      </c>
      <c r="H53" s="88">
        <v>6629.0</v>
      </c>
      <c r="I53" s="88"/>
    </row>
    <row r="54">
      <c r="A54" s="88" t="s">
        <v>14170</v>
      </c>
      <c r="B54" s="88">
        <v>13869.0</v>
      </c>
      <c r="C54" s="11" t="s">
        <v>14118</v>
      </c>
      <c r="D54" s="547">
        <v>0.8</v>
      </c>
      <c r="E54" s="547">
        <v>0.8</v>
      </c>
      <c r="F54" s="229" t="s">
        <v>1656</v>
      </c>
      <c r="G54" s="88" t="s">
        <v>14170</v>
      </c>
      <c r="H54" s="88">
        <v>13869.0</v>
      </c>
      <c r="I54" s="88"/>
    </row>
    <row r="55">
      <c r="A55" s="88" t="s">
        <v>14171</v>
      </c>
      <c r="C55" s="11" t="s">
        <v>14118</v>
      </c>
      <c r="D55" s="547">
        <v>0.8</v>
      </c>
      <c r="E55" s="547">
        <v>0.8</v>
      </c>
      <c r="F55" s="229" t="s">
        <v>1656</v>
      </c>
      <c r="G55" s="88" t="s">
        <v>14171</v>
      </c>
      <c r="H55" s="88">
        <v>7227.0</v>
      </c>
      <c r="I55" s="88"/>
    </row>
    <row r="56">
      <c r="A56" s="88" t="s">
        <v>7976</v>
      </c>
      <c r="C56" s="11" t="s">
        <v>14118</v>
      </c>
      <c r="D56" s="547">
        <v>0.8</v>
      </c>
      <c r="E56" s="547">
        <v>0.8</v>
      </c>
      <c r="F56" s="229" t="s">
        <v>1656</v>
      </c>
      <c r="G56" s="88" t="s">
        <v>7976</v>
      </c>
      <c r="H56" s="88">
        <v>6687.0</v>
      </c>
      <c r="I56" s="88"/>
    </row>
    <row r="57">
      <c r="A57" s="88" t="s">
        <v>7977</v>
      </c>
      <c r="B57" s="11">
        <v>14757.0</v>
      </c>
      <c r="C57" s="11" t="s">
        <v>14118</v>
      </c>
      <c r="D57" s="547">
        <v>0.8</v>
      </c>
      <c r="E57" s="547">
        <v>0.8</v>
      </c>
      <c r="F57" s="229" t="s">
        <v>1656</v>
      </c>
      <c r="G57" s="88" t="s">
        <v>7977</v>
      </c>
      <c r="H57" s="88">
        <v>7227.0</v>
      </c>
      <c r="I57" s="88"/>
    </row>
    <row r="58">
      <c r="A58" s="88" t="s">
        <v>7978</v>
      </c>
      <c r="B58" s="11">
        <v>14757.0</v>
      </c>
      <c r="C58" s="11" t="s">
        <v>14118</v>
      </c>
      <c r="D58" s="547">
        <v>0.8</v>
      </c>
      <c r="E58" s="547">
        <v>0.8</v>
      </c>
      <c r="F58" s="229" t="s">
        <v>1656</v>
      </c>
      <c r="G58" s="88" t="s">
        <v>7978</v>
      </c>
      <c r="H58" s="88">
        <v>7227.0</v>
      </c>
      <c r="I58" s="88"/>
    </row>
    <row r="59">
      <c r="A59" s="88" t="s">
        <v>14172</v>
      </c>
      <c r="B59" s="11">
        <v>14757.0</v>
      </c>
      <c r="C59" s="11" t="s">
        <v>14118</v>
      </c>
      <c r="D59" s="547">
        <v>0.8</v>
      </c>
      <c r="E59" s="547">
        <v>0.8</v>
      </c>
      <c r="F59" s="229" t="s">
        <v>1656</v>
      </c>
      <c r="G59" s="88" t="s">
        <v>14172</v>
      </c>
      <c r="H59" s="88">
        <v>7227.0</v>
      </c>
      <c r="I59" s="88"/>
    </row>
    <row r="60">
      <c r="A60" s="88" t="s">
        <v>7979</v>
      </c>
      <c r="C60" s="11" t="s">
        <v>14118</v>
      </c>
      <c r="D60" s="547">
        <v>0.8</v>
      </c>
      <c r="E60" s="547">
        <v>0.8</v>
      </c>
      <c r="F60" s="229" t="s">
        <v>1656</v>
      </c>
      <c r="G60" s="88" t="s">
        <v>7979</v>
      </c>
      <c r="H60" s="88">
        <v>1400.0</v>
      </c>
      <c r="I60" s="88"/>
    </row>
    <row r="61">
      <c r="A61" s="88" t="s">
        <v>7980</v>
      </c>
      <c r="C61" s="11" t="s">
        <v>14118</v>
      </c>
      <c r="D61" s="547">
        <v>0.8</v>
      </c>
      <c r="E61" s="547">
        <v>0.8</v>
      </c>
      <c r="F61" s="229" t="s">
        <v>1656</v>
      </c>
      <c r="G61" s="88" t="s">
        <v>7980</v>
      </c>
      <c r="H61" s="88">
        <v>7227.0</v>
      </c>
      <c r="I61" s="88"/>
    </row>
    <row r="62">
      <c r="A62" s="88" t="s">
        <v>14173</v>
      </c>
      <c r="B62" s="11">
        <v>6891.0</v>
      </c>
      <c r="C62" s="11" t="s">
        <v>14118</v>
      </c>
      <c r="D62" s="547">
        <v>0.8</v>
      </c>
      <c r="E62" s="547">
        <v>0.8</v>
      </c>
      <c r="F62" s="229" t="s">
        <v>1656</v>
      </c>
      <c r="G62" s="88" t="s">
        <v>14173</v>
      </c>
      <c r="H62" s="88">
        <v>6891.0</v>
      </c>
      <c r="I62" s="88"/>
    </row>
    <row r="63">
      <c r="A63" s="88" t="s">
        <v>7981</v>
      </c>
      <c r="B63" s="11">
        <v>6919.0</v>
      </c>
      <c r="C63" s="11" t="s">
        <v>14118</v>
      </c>
      <c r="D63" s="547">
        <v>0.8</v>
      </c>
      <c r="E63" s="547">
        <v>0.8</v>
      </c>
      <c r="F63" s="229" t="s">
        <v>1656</v>
      </c>
      <c r="G63" s="88" t="s">
        <v>7981</v>
      </c>
      <c r="H63" s="88">
        <v>7227.0</v>
      </c>
      <c r="I63" s="88"/>
    </row>
    <row r="64">
      <c r="A64" s="88" t="s">
        <v>7982</v>
      </c>
      <c r="C64" s="11" t="s">
        <v>14118</v>
      </c>
      <c r="D64" s="547">
        <v>0.8</v>
      </c>
      <c r="E64" s="547">
        <v>0.8</v>
      </c>
      <c r="F64" s="229" t="s">
        <v>1656</v>
      </c>
      <c r="G64" s="88" t="s">
        <v>7982</v>
      </c>
      <c r="H64" s="88">
        <v>7227.0</v>
      </c>
      <c r="I64" s="88"/>
    </row>
    <row r="65">
      <c r="A65" s="88" t="s">
        <v>7983</v>
      </c>
      <c r="C65" s="11" t="s">
        <v>14118</v>
      </c>
      <c r="D65" s="547">
        <v>0.8</v>
      </c>
      <c r="E65" s="547">
        <v>0.8</v>
      </c>
      <c r="F65" s="229" t="s">
        <v>1656</v>
      </c>
      <c r="G65" s="88" t="s">
        <v>7983</v>
      </c>
      <c r="H65" s="88">
        <v>14420.0</v>
      </c>
      <c r="I65" s="88"/>
    </row>
    <row r="66">
      <c r="A66" s="88" t="s">
        <v>7929</v>
      </c>
      <c r="C66" s="11" t="s">
        <v>14118</v>
      </c>
      <c r="D66" s="547">
        <v>0.8</v>
      </c>
      <c r="E66" s="547">
        <v>0.8</v>
      </c>
      <c r="F66" s="229" t="s">
        <v>1656</v>
      </c>
      <c r="G66" s="88" t="s">
        <v>7929</v>
      </c>
      <c r="H66" s="88">
        <v>7227.0</v>
      </c>
      <c r="I66" s="88"/>
    </row>
    <row r="67">
      <c r="A67" s="88" t="s">
        <v>7931</v>
      </c>
      <c r="C67" s="11" t="s">
        <v>14118</v>
      </c>
      <c r="D67" s="547">
        <v>0.8</v>
      </c>
      <c r="E67" s="547">
        <v>0.8</v>
      </c>
      <c r="F67" s="229" t="s">
        <v>1656</v>
      </c>
      <c r="G67" s="88" t="s">
        <v>7931</v>
      </c>
      <c r="H67" s="88">
        <v>7227.0</v>
      </c>
      <c r="I67" s="88"/>
    </row>
    <row r="68">
      <c r="A68" s="88" t="s">
        <v>7932</v>
      </c>
      <c r="C68" s="11" t="s">
        <v>14118</v>
      </c>
      <c r="D68" s="547">
        <v>0.8</v>
      </c>
      <c r="E68" s="547">
        <v>0.8</v>
      </c>
      <c r="F68" s="229" t="s">
        <v>1656</v>
      </c>
      <c r="G68" s="88" t="s">
        <v>7932</v>
      </c>
      <c r="H68" s="88">
        <v>7227.0</v>
      </c>
      <c r="I68" s="88"/>
    </row>
    <row r="69">
      <c r="A69" s="88" t="s">
        <v>7933</v>
      </c>
      <c r="C69" s="11" t="s">
        <v>14118</v>
      </c>
      <c r="D69" s="547">
        <v>0.8</v>
      </c>
      <c r="E69" s="547">
        <v>0.8</v>
      </c>
      <c r="F69" s="229" t="s">
        <v>1656</v>
      </c>
      <c r="G69" s="88" t="s">
        <v>7933</v>
      </c>
      <c r="H69" s="88">
        <v>7227.0</v>
      </c>
      <c r="I69" s="88"/>
    </row>
    <row r="70">
      <c r="A70" s="88" t="s">
        <v>7934</v>
      </c>
      <c r="C70" s="11" t="s">
        <v>14118</v>
      </c>
      <c r="D70" s="547">
        <v>0.8</v>
      </c>
      <c r="E70" s="547">
        <v>0.8</v>
      </c>
      <c r="F70" s="229" t="s">
        <v>1656</v>
      </c>
      <c r="G70" s="88" t="s">
        <v>7934</v>
      </c>
      <c r="H70" s="88">
        <v>7227.0</v>
      </c>
      <c r="I70" s="88"/>
    </row>
    <row r="71">
      <c r="A71" s="88" t="s">
        <v>7935</v>
      </c>
      <c r="C71" s="11" t="s">
        <v>14118</v>
      </c>
      <c r="D71" s="547">
        <v>0.8</v>
      </c>
      <c r="E71" s="547">
        <v>0.8</v>
      </c>
      <c r="F71" s="229" t="s">
        <v>1656</v>
      </c>
      <c r="G71" s="88" t="s">
        <v>7935</v>
      </c>
      <c r="H71" s="88">
        <v>7227.0</v>
      </c>
      <c r="I71" s="88"/>
    </row>
    <row r="72">
      <c r="A72" s="88" t="s">
        <v>7830</v>
      </c>
      <c r="B72" s="11">
        <v>7031.0</v>
      </c>
      <c r="C72" s="11" t="s">
        <v>14118</v>
      </c>
      <c r="D72" s="547">
        <v>0.8</v>
      </c>
      <c r="E72" s="547">
        <v>0.8</v>
      </c>
      <c r="F72" s="229" t="s">
        <v>1656</v>
      </c>
      <c r="G72" s="88" t="s">
        <v>7830</v>
      </c>
      <c r="H72" s="88">
        <v>7010.0</v>
      </c>
      <c r="I72" s="88"/>
    </row>
    <row r="73">
      <c r="A73" s="88" t="s">
        <v>7831</v>
      </c>
      <c r="C73" s="11" t="s">
        <v>14118</v>
      </c>
      <c r="D73" s="547">
        <v>0.8</v>
      </c>
      <c r="E73" s="547">
        <v>0.8</v>
      </c>
      <c r="F73" s="229" t="s">
        <v>1656</v>
      </c>
      <c r="G73" s="88" t="s">
        <v>7831</v>
      </c>
      <c r="H73" s="88">
        <v>14004.0</v>
      </c>
      <c r="I73" s="88"/>
    </row>
    <row r="74">
      <c r="A74" s="88" t="s">
        <v>7832</v>
      </c>
      <c r="B74" s="11">
        <v>6669.0</v>
      </c>
      <c r="C74" s="11" t="s">
        <v>14118</v>
      </c>
      <c r="D74" s="547">
        <v>0.8</v>
      </c>
      <c r="E74" s="547">
        <v>0.8</v>
      </c>
      <c r="F74" s="229" t="s">
        <v>1656</v>
      </c>
      <c r="G74" s="88" t="s">
        <v>7832</v>
      </c>
      <c r="H74" s="88">
        <v>6669.0</v>
      </c>
      <c r="I74" s="88"/>
    </row>
    <row r="75">
      <c r="A75" s="88" t="s">
        <v>7833</v>
      </c>
      <c r="B75" s="11">
        <v>6669.0</v>
      </c>
      <c r="C75" s="11" t="s">
        <v>14118</v>
      </c>
      <c r="D75" s="547">
        <v>0.8</v>
      </c>
      <c r="E75" s="547">
        <v>0.8</v>
      </c>
      <c r="F75" s="229" t="s">
        <v>1656</v>
      </c>
      <c r="G75" s="88" t="s">
        <v>7833</v>
      </c>
      <c r="H75" s="88">
        <v>6669.0</v>
      </c>
      <c r="I75" s="88"/>
    </row>
    <row r="76">
      <c r="A76" s="88" t="s">
        <v>7834</v>
      </c>
      <c r="B76" s="11">
        <v>6669.0</v>
      </c>
      <c r="C76" s="11" t="s">
        <v>14118</v>
      </c>
      <c r="D76" s="547">
        <v>0.8</v>
      </c>
      <c r="E76" s="547">
        <v>0.8</v>
      </c>
      <c r="F76" s="229" t="s">
        <v>1656</v>
      </c>
      <c r="G76" s="88" t="s">
        <v>7834</v>
      </c>
      <c r="H76" s="88">
        <v>6669.0</v>
      </c>
      <c r="I76" s="88"/>
    </row>
    <row r="77">
      <c r="A77" s="88" t="s">
        <v>7835</v>
      </c>
      <c r="B77" s="11">
        <v>14757.0</v>
      </c>
      <c r="C77" s="11" t="s">
        <v>14118</v>
      </c>
      <c r="D77" s="547">
        <v>0.8</v>
      </c>
      <c r="E77" s="547">
        <v>0.8</v>
      </c>
      <c r="F77" s="229" t="s">
        <v>1656</v>
      </c>
      <c r="G77" s="88" t="s">
        <v>7835</v>
      </c>
      <c r="H77" s="88">
        <v>7227.0</v>
      </c>
      <c r="I77" s="88"/>
    </row>
    <row r="78">
      <c r="A78" s="88" t="s">
        <v>7836</v>
      </c>
      <c r="B78" s="88">
        <v>7003.0</v>
      </c>
      <c r="C78" s="11" t="s">
        <v>14118</v>
      </c>
      <c r="D78" s="547">
        <v>0.8</v>
      </c>
      <c r="E78" s="547">
        <v>0.8</v>
      </c>
      <c r="F78" s="229" t="s">
        <v>1656</v>
      </c>
      <c r="G78" s="88" t="s">
        <v>7836</v>
      </c>
      <c r="H78" s="88">
        <v>7003.0</v>
      </c>
      <c r="I78" s="88"/>
    </row>
    <row r="79">
      <c r="A79" s="88" t="s">
        <v>7837</v>
      </c>
      <c r="B79" s="11">
        <v>14536.0</v>
      </c>
      <c r="C79" s="11" t="s">
        <v>14118</v>
      </c>
      <c r="D79" s="547">
        <v>0.8</v>
      </c>
      <c r="E79" s="547">
        <v>0.8</v>
      </c>
      <c r="F79" s="229" t="s">
        <v>1656</v>
      </c>
      <c r="G79" s="88" t="s">
        <v>7837</v>
      </c>
      <c r="H79" s="88">
        <v>12932.0</v>
      </c>
      <c r="I79" s="88"/>
    </row>
    <row r="80">
      <c r="A80" s="88" t="s">
        <v>7838</v>
      </c>
      <c r="B80" s="11">
        <v>14757.0</v>
      </c>
      <c r="C80" s="11" t="s">
        <v>14118</v>
      </c>
      <c r="D80" s="547">
        <v>0.8</v>
      </c>
      <c r="E80" s="547">
        <v>0.8</v>
      </c>
      <c r="F80" s="229" t="s">
        <v>1656</v>
      </c>
      <c r="G80" s="88" t="s">
        <v>7838</v>
      </c>
      <c r="H80" s="88">
        <v>7227.0</v>
      </c>
      <c r="I80" s="88"/>
    </row>
    <row r="81">
      <c r="A81" s="88" t="s">
        <v>7839</v>
      </c>
      <c r="B81" s="11">
        <v>14757.0</v>
      </c>
      <c r="C81" s="11" t="s">
        <v>14118</v>
      </c>
      <c r="D81" s="547">
        <v>0.8</v>
      </c>
      <c r="E81" s="547">
        <v>0.8</v>
      </c>
      <c r="F81" s="229" t="s">
        <v>1656</v>
      </c>
      <c r="G81" s="88" t="s">
        <v>7839</v>
      </c>
      <c r="H81" s="88">
        <v>7227.0</v>
      </c>
      <c r="I81" s="88"/>
    </row>
    <row r="82">
      <c r="A82" s="88" t="s">
        <v>7840</v>
      </c>
      <c r="B82" s="11">
        <v>14757.0</v>
      </c>
      <c r="C82" s="11" t="s">
        <v>14118</v>
      </c>
      <c r="D82" s="547">
        <v>0.8</v>
      </c>
      <c r="E82" s="547">
        <v>0.8</v>
      </c>
      <c r="F82" s="229" t="s">
        <v>1656</v>
      </c>
      <c r="G82" s="88" t="s">
        <v>7840</v>
      </c>
      <c r="H82" s="88">
        <v>6722.0</v>
      </c>
      <c r="I82" s="88"/>
    </row>
    <row r="83">
      <c r="A83" s="88" t="s">
        <v>7841</v>
      </c>
      <c r="B83" s="11">
        <v>14536.0</v>
      </c>
      <c r="C83" s="11" t="s">
        <v>14118</v>
      </c>
      <c r="D83" s="547">
        <v>0.8</v>
      </c>
      <c r="E83" s="547">
        <v>0.8</v>
      </c>
      <c r="F83" s="229" t="s">
        <v>1656</v>
      </c>
      <c r="G83" s="88" t="s">
        <v>7841</v>
      </c>
      <c r="H83" s="88">
        <v>7227.0</v>
      </c>
      <c r="I83" s="88"/>
    </row>
    <row r="84">
      <c r="A84" s="88" t="s">
        <v>7842</v>
      </c>
      <c r="B84" s="11">
        <v>14757.0</v>
      </c>
      <c r="C84" s="11" t="s">
        <v>14118</v>
      </c>
      <c r="D84" s="547">
        <v>0.8</v>
      </c>
      <c r="E84" s="547">
        <v>0.8</v>
      </c>
      <c r="F84" s="229" t="s">
        <v>1656</v>
      </c>
      <c r="G84" s="88" t="s">
        <v>7842</v>
      </c>
      <c r="H84" s="88">
        <v>7227.0</v>
      </c>
      <c r="I84" s="88"/>
    </row>
    <row r="85">
      <c r="A85" s="88" t="s">
        <v>7843</v>
      </c>
      <c r="B85" s="11">
        <v>14507.0</v>
      </c>
      <c r="C85" s="11" t="s">
        <v>14118</v>
      </c>
      <c r="D85" s="547">
        <v>0.8</v>
      </c>
      <c r="E85" s="547">
        <v>0.8</v>
      </c>
      <c r="F85" s="229" t="s">
        <v>1656</v>
      </c>
      <c r="G85" s="88" t="s">
        <v>7843</v>
      </c>
      <c r="H85" s="88">
        <v>6893.0</v>
      </c>
      <c r="I85" s="88"/>
    </row>
    <row r="86">
      <c r="A86" s="88" t="s">
        <v>7844</v>
      </c>
      <c r="B86" s="88">
        <v>14197.0</v>
      </c>
      <c r="C86" s="11" t="s">
        <v>14118</v>
      </c>
      <c r="D86" s="547">
        <v>0.8</v>
      </c>
      <c r="E86" s="547">
        <v>0.8</v>
      </c>
      <c r="F86" s="229" t="s">
        <v>1656</v>
      </c>
      <c r="G86" s="88" t="s">
        <v>7844</v>
      </c>
      <c r="H86" s="88">
        <v>14197.0</v>
      </c>
      <c r="I86" s="88"/>
    </row>
    <row r="87">
      <c r="A87" s="88" t="s">
        <v>7845</v>
      </c>
      <c r="B87" s="88">
        <v>7227.0</v>
      </c>
      <c r="C87" s="11" t="s">
        <v>14118</v>
      </c>
      <c r="D87" s="74">
        <v>0.9</v>
      </c>
      <c r="E87" s="74">
        <v>0.9</v>
      </c>
      <c r="F87" s="229" t="s">
        <v>1656</v>
      </c>
      <c r="G87" s="88" t="s">
        <v>7845</v>
      </c>
      <c r="H87" s="88">
        <v>7227.0</v>
      </c>
      <c r="I87" s="88"/>
    </row>
    <row r="88">
      <c r="A88" s="88" t="s">
        <v>7846</v>
      </c>
      <c r="B88" s="88">
        <v>7227.0</v>
      </c>
      <c r="C88" s="11" t="s">
        <v>14118</v>
      </c>
      <c r="D88" s="74">
        <v>0.9</v>
      </c>
      <c r="E88" s="74">
        <v>0.9</v>
      </c>
      <c r="F88" s="229" t="s">
        <v>1656</v>
      </c>
      <c r="G88" s="88" t="s">
        <v>7846</v>
      </c>
      <c r="H88" s="88">
        <v>7227.0</v>
      </c>
      <c r="I88" s="88"/>
    </row>
    <row r="89">
      <c r="A89" s="88" t="s">
        <v>7847</v>
      </c>
      <c r="B89" s="11">
        <v>14750.0</v>
      </c>
      <c r="C89" s="11" t="s">
        <v>14118</v>
      </c>
      <c r="D89" s="547">
        <v>0.85</v>
      </c>
      <c r="E89" s="547">
        <v>0.85</v>
      </c>
      <c r="F89" s="229" t="s">
        <v>1656</v>
      </c>
      <c r="G89" s="88" t="s">
        <v>7847</v>
      </c>
      <c r="H89" s="88">
        <v>6970.0</v>
      </c>
      <c r="I89" s="88"/>
    </row>
    <row r="90">
      <c r="A90" s="88" t="s">
        <v>7848</v>
      </c>
      <c r="B90" s="11">
        <v>14750.0</v>
      </c>
      <c r="C90" s="11" t="s">
        <v>14118</v>
      </c>
      <c r="D90" s="547">
        <v>0.85</v>
      </c>
      <c r="E90" s="547">
        <v>0.85</v>
      </c>
      <c r="F90" s="229" t="s">
        <v>1656</v>
      </c>
      <c r="G90" s="88" t="s">
        <v>7848</v>
      </c>
      <c r="H90" s="88">
        <v>663.0</v>
      </c>
      <c r="I90" s="88"/>
    </row>
    <row r="91">
      <c r="A91" s="88" t="s">
        <v>7849</v>
      </c>
      <c r="B91" s="11">
        <v>14750.0</v>
      </c>
      <c r="C91" s="11" t="s">
        <v>14118</v>
      </c>
      <c r="D91" s="547">
        <v>0.85</v>
      </c>
      <c r="E91" s="547">
        <v>0.85</v>
      </c>
      <c r="F91" s="229" t="s">
        <v>1656</v>
      </c>
      <c r="G91" s="88" t="s">
        <v>7849</v>
      </c>
      <c r="H91" s="88">
        <v>7003.0</v>
      </c>
      <c r="I91" s="88"/>
    </row>
    <row r="92">
      <c r="A92" s="88" t="s">
        <v>7850</v>
      </c>
      <c r="B92" s="11">
        <v>14750.0</v>
      </c>
      <c r="C92" s="11" t="s">
        <v>14118</v>
      </c>
      <c r="D92" s="547">
        <v>0.85</v>
      </c>
      <c r="E92" s="547">
        <v>0.85</v>
      </c>
      <c r="F92" s="229" t="s">
        <v>1656</v>
      </c>
      <c r="G92" s="88" t="s">
        <v>7850</v>
      </c>
      <c r="H92" s="88">
        <v>7227.0</v>
      </c>
      <c r="I92" s="88"/>
    </row>
    <row r="93">
      <c r="A93" s="88" t="s">
        <v>7851</v>
      </c>
      <c r="B93" s="11">
        <v>14750.0</v>
      </c>
      <c r="C93" s="11" t="s">
        <v>14118</v>
      </c>
      <c r="D93" s="547">
        <v>0.85</v>
      </c>
      <c r="E93" s="547">
        <v>0.85</v>
      </c>
      <c r="F93" s="229" t="s">
        <v>1656</v>
      </c>
      <c r="G93" s="88" t="s">
        <v>7851</v>
      </c>
      <c r="H93" s="88">
        <v>7227.0</v>
      </c>
      <c r="I93" s="88"/>
    </row>
    <row r="94">
      <c r="A94" s="88" t="s">
        <v>7852</v>
      </c>
      <c r="B94" s="11">
        <v>14476.0</v>
      </c>
      <c r="C94" s="11" t="s">
        <v>14118</v>
      </c>
      <c r="D94" s="547">
        <v>0.8</v>
      </c>
      <c r="E94" s="547">
        <v>0.8</v>
      </c>
      <c r="F94" s="229" t="s">
        <v>1656</v>
      </c>
      <c r="G94" s="88" t="s">
        <v>7852</v>
      </c>
      <c r="H94" s="88">
        <v>7227.0</v>
      </c>
      <c r="I94" s="88"/>
    </row>
    <row r="95">
      <c r="A95" s="88" t="s">
        <v>7853</v>
      </c>
      <c r="B95" s="11">
        <v>14750.0</v>
      </c>
      <c r="C95" s="11" t="s">
        <v>14118</v>
      </c>
      <c r="D95" s="547">
        <v>0.85</v>
      </c>
      <c r="E95" s="547">
        <v>0.85</v>
      </c>
      <c r="F95" s="229" t="s">
        <v>1656</v>
      </c>
      <c r="G95" s="88" t="s">
        <v>7853</v>
      </c>
      <c r="H95" s="88">
        <v>986.0</v>
      </c>
      <c r="I95" s="88"/>
    </row>
    <row r="96">
      <c r="A96" s="88" t="s">
        <v>7854</v>
      </c>
      <c r="B96" s="11">
        <v>14750.0</v>
      </c>
      <c r="C96" s="11" t="s">
        <v>14118</v>
      </c>
      <c r="D96" s="547">
        <v>0.85</v>
      </c>
      <c r="E96" s="547">
        <v>0.85</v>
      </c>
      <c r="F96" s="229" t="s">
        <v>1656</v>
      </c>
      <c r="G96" s="88" t="s">
        <v>7854</v>
      </c>
      <c r="H96" s="88">
        <v>986.0</v>
      </c>
      <c r="I96" s="88"/>
    </row>
    <row r="97">
      <c r="A97" s="88" t="s">
        <v>7855</v>
      </c>
      <c r="B97" s="11">
        <v>7023.0</v>
      </c>
      <c r="C97" s="11" t="s">
        <v>14118</v>
      </c>
      <c r="D97" s="547">
        <v>0.8</v>
      </c>
      <c r="E97" s="547">
        <v>0.8</v>
      </c>
      <c r="F97" s="229" t="s">
        <v>1656</v>
      </c>
      <c r="G97" s="88" t="s">
        <v>7855</v>
      </c>
      <c r="H97" s="88">
        <v>7619.0</v>
      </c>
      <c r="I97" s="88"/>
    </row>
    <row r="98">
      <c r="A98" s="88" t="s">
        <v>7856</v>
      </c>
      <c r="B98" s="11">
        <v>14757.0</v>
      </c>
      <c r="C98" s="11" t="s">
        <v>14118</v>
      </c>
      <c r="D98" s="547">
        <v>0.8</v>
      </c>
      <c r="E98" s="547">
        <v>0.8</v>
      </c>
      <c r="F98" s="229" t="s">
        <v>1656</v>
      </c>
      <c r="G98" s="88" t="s">
        <v>7856</v>
      </c>
      <c r="H98" s="88">
        <v>7227.0</v>
      </c>
      <c r="I98" s="88"/>
    </row>
    <row r="99">
      <c r="A99" s="88" t="s">
        <v>7857</v>
      </c>
      <c r="B99" s="88">
        <v>7227.0</v>
      </c>
      <c r="C99" s="11" t="s">
        <v>14118</v>
      </c>
      <c r="D99" s="74">
        <v>0.9</v>
      </c>
      <c r="E99" s="74">
        <v>0.9</v>
      </c>
      <c r="F99" s="229" t="s">
        <v>1656</v>
      </c>
      <c r="G99" s="88" t="s">
        <v>7857</v>
      </c>
      <c r="H99" s="88">
        <v>7227.0</v>
      </c>
      <c r="I99" s="88"/>
    </row>
    <row r="100">
      <c r="A100" s="88" t="s">
        <v>7858</v>
      </c>
      <c r="B100" s="11">
        <v>6675.0</v>
      </c>
      <c r="C100" s="11" t="s">
        <v>14118</v>
      </c>
      <c r="D100" s="547">
        <v>0.85</v>
      </c>
      <c r="E100" s="547">
        <v>0.85</v>
      </c>
      <c r="F100" s="229" t="s">
        <v>1656</v>
      </c>
      <c r="G100" s="88" t="s">
        <v>7858</v>
      </c>
      <c r="H100" s="88">
        <v>7149.0</v>
      </c>
      <c r="I100" s="88"/>
    </row>
    <row r="101">
      <c r="A101" s="88" t="s">
        <v>7779</v>
      </c>
      <c r="B101" s="11">
        <v>14757.0</v>
      </c>
      <c r="C101" s="11" t="s">
        <v>14118</v>
      </c>
      <c r="D101" s="547">
        <v>0.8</v>
      </c>
      <c r="E101" s="547">
        <v>0.8</v>
      </c>
      <c r="F101" s="229" t="s">
        <v>1656</v>
      </c>
      <c r="G101" s="88" t="s">
        <v>7779</v>
      </c>
      <c r="H101" s="88">
        <v>7227.0</v>
      </c>
      <c r="I101" s="88"/>
    </row>
    <row r="102">
      <c r="A102" s="88" t="s">
        <v>7780</v>
      </c>
      <c r="C102" s="11" t="s">
        <v>14118</v>
      </c>
      <c r="D102" s="547">
        <v>0.8</v>
      </c>
      <c r="E102" s="547">
        <v>0.8</v>
      </c>
      <c r="F102" s="229" t="s">
        <v>1656</v>
      </c>
      <c r="G102" s="88" t="s">
        <v>7780</v>
      </c>
      <c r="H102" s="88">
        <v>7227.0</v>
      </c>
      <c r="I102" s="88"/>
    </row>
    <row r="103">
      <c r="A103" s="88" t="s">
        <v>7781</v>
      </c>
      <c r="B103" s="11">
        <v>499.0</v>
      </c>
      <c r="C103" s="11" t="s">
        <v>14118</v>
      </c>
      <c r="D103" s="547">
        <v>0.8</v>
      </c>
      <c r="E103" s="547">
        <v>0.8</v>
      </c>
      <c r="F103" s="229" t="s">
        <v>1656</v>
      </c>
      <c r="G103" s="88" t="s">
        <v>7781</v>
      </c>
      <c r="H103" s="88">
        <v>7227.0</v>
      </c>
      <c r="I103" s="88"/>
    </row>
    <row r="104">
      <c r="A104" s="88" t="s">
        <v>7782</v>
      </c>
      <c r="B104" s="11">
        <v>14757.0</v>
      </c>
      <c r="C104" s="11" t="s">
        <v>14118</v>
      </c>
      <c r="D104" s="547">
        <v>0.8</v>
      </c>
      <c r="E104" s="547">
        <v>0.8</v>
      </c>
      <c r="F104" s="229" t="s">
        <v>1656</v>
      </c>
      <c r="G104" s="88" t="s">
        <v>7782</v>
      </c>
      <c r="H104" s="88">
        <v>14442.0</v>
      </c>
      <c r="I104" s="88"/>
    </row>
    <row r="105">
      <c r="A105" s="88" t="s">
        <v>7783</v>
      </c>
      <c r="B105" s="88">
        <v>6671.0</v>
      </c>
      <c r="C105" s="11" t="s">
        <v>14118</v>
      </c>
      <c r="D105" s="547">
        <v>0.8</v>
      </c>
      <c r="E105" s="547">
        <v>0.8</v>
      </c>
      <c r="F105" s="229" t="s">
        <v>1656</v>
      </c>
      <c r="G105" s="88" t="s">
        <v>7783</v>
      </c>
      <c r="H105" s="88">
        <v>6671.0</v>
      </c>
      <c r="I105" s="88"/>
    </row>
    <row r="106">
      <c r="A106" s="88" t="s">
        <v>7784</v>
      </c>
      <c r="B106" s="11">
        <v>6827.0</v>
      </c>
      <c r="C106" s="11" t="s">
        <v>14118</v>
      </c>
      <c r="D106" s="547">
        <v>0.8</v>
      </c>
      <c r="E106" s="547">
        <v>0.8</v>
      </c>
      <c r="F106" s="229" t="s">
        <v>1656</v>
      </c>
      <c r="G106" s="88" t="s">
        <v>7784</v>
      </c>
      <c r="H106" s="88">
        <v>5458.0</v>
      </c>
      <c r="I106" s="88"/>
    </row>
    <row r="107">
      <c r="A107" s="88" t="s">
        <v>7785</v>
      </c>
      <c r="B107" s="11">
        <v>6827.0</v>
      </c>
      <c r="C107" s="11" t="s">
        <v>14118</v>
      </c>
      <c r="D107" s="547">
        <v>0.8</v>
      </c>
      <c r="E107" s="547">
        <v>0.8</v>
      </c>
      <c r="F107" s="229" t="s">
        <v>1656</v>
      </c>
      <c r="G107" s="88" t="s">
        <v>7785</v>
      </c>
      <c r="H107" s="88">
        <v>14342.0</v>
      </c>
      <c r="I107" s="88"/>
    </row>
    <row r="108">
      <c r="A108" s="88" t="s">
        <v>7786</v>
      </c>
      <c r="B108" s="11">
        <v>6827.0</v>
      </c>
      <c r="C108" s="11" t="s">
        <v>14118</v>
      </c>
      <c r="D108" s="547">
        <v>0.8</v>
      </c>
      <c r="E108" s="547">
        <v>0.8</v>
      </c>
      <c r="F108" s="229" t="s">
        <v>1656</v>
      </c>
      <c r="G108" s="88" t="s">
        <v>7786</v>
      </c>
      <c r="H108" s="88">
        <v>7137.0</v>
      </c>
      <c r="I108" s="88"/>
    </row>
    <row r="109">
      <c r="A109" s="88" t="s">
        <v>7787</v>
      </c>
      <c r="B109" s="11">
        <v>6827.0</v>
      </c>
      <c r="C109" s="11" t="s">
        <v>14118</v>
      </c>
      <c r="D109" s="547">
        <v>0.8</v>
      </c>
      <c r="E109" s="547">
        <v>0.8</v>
      </c>
      <c r="F109" s="229" t="s">
        <v>1656</v>
      </c>
      <c r="G109" s="88" t="s">
        <v>7787</v>
      </c>
      <c r="H109" s="88">
        <v>7227.0</v>
      </c>
      <c r="I109" s="88"/>
    </row>
    <row r="110">
      <c r="A110" s="88" t="s">
        <v>7788</v>
      </c>
      <c r="B110" s="11">
        <v>6827.0</v>
      </c>
      <c r="C110" s="11" t="s">
        <v>14118</v>
      </c>
      <c r="D110" s="547">
        <v>0.8</v>
      </c>
      <c r="E110" s="547">
        <v>0.8</v>
      </c>
      <c r="F110" s="229" t="s">
        <v>1656</v>
      </c>
      <c r="G110" s="88" t="s">
        <v>7788</v>
      </c>
      <c r="H110" s="88">
        <v>7227.0</v>
      </c>
      <c r="I110" s="88"/>
    </row>
    <row r="111">
      <c r="A111" s="88" t="s">
        <v>7789</v>
      </c>
      <c r="B111" s="11">
        <v>6675.0</v>
      </c>
      <c r="C111" s="11" t="s">
        <v>14118</v>
      </c>
      <c r="D111" s="547">
        <v>0.85</v>
      </c>
      <c r="E111" s="547">
        <v>0.85</v>
      </c>
      <c r="F111" s="229" t="s">
        <v>1656</v>
      </c>
      <c r="G111" s="88" t="s">
        <v>7789</v>
      </c>
      <c r="H111" s="88">
        <v>7149.0</v>
      </c>
      <c r="I111" s="88"/>
    </row>
    <row r="112">
      <c r="A112" s="88" t="s">
        <v>7790</v>
      </c>
      <c r="B112" s="11">
        <v>6706.0</v>
      </c>
      <c r="C112" s="11" t="s">
        <v>14118</v>
      </c>
      <c r="D112" s="74">
        <v>0.85</v>
      </c>
      <c r="E112" s="74">
        <v>0.85</v>
      </c>
      <c r="F112" s="229" t="s">
        <v>1656</v>
      </c>
      <c r="G112" s="88" t="s">
        <v>7790</v>
      </c>
      <c r="H112" s="88">
        <v>6780.0</v>
      </c>
      <c r="I112" s="88"/>
    </row>
    <row r="113">
      <c r="A113" s="88" t="s">
        <v>7791</v>
      </c>
      <c r="B113" s="11">
        <v>6706.0</v>
      </c>
      <c r="C113" s="11" t="s">
        <v>14118</v>
      </c>
      <c r="D113" s="74">
        <v>0.85</v>
      </c>
      <c r="E113" s="74">
        <v>0.85</v>
      </c>
      <c r="F113" s="229" t="s">
        <v>1656</v>
      </c>
      <c r="G113" s="88" t="s">
        <v>7791</v>
      </c>
      <c r="H113" s="88">
        <v>909.0</v>
      </c>
      <c r="I113" s="88"/>
    </row>
    <row r="114">
      <c r="A114" s="88" t="s">
        <v>7792</v>
      </c>
      <c r="B114" s="11">
        <v>6706.0</v>
      </c>
      <c r="C114" s="11" t="s">
        <v>14118</v>
      </c>
      <c r="D114" s="74">
        <v>0.85</v>
      </c>
      <c r="E114" s="74">
        <v>0.85</v>
      </c>
      <c r="F114" s="229" t="s">
        <v>1656</v>
      </c>
      <c r="G114" s="88" t="s">
        <v>7792</v>
      </c>
      <c r="H114" s="88">
        <v>7619.0</v>
      </c>
      <c r="I114" s="88"/>
    </row>
    <row r="115">
      <c r="A115" s="88" t="s">
        <v>7793</v>
      </c>
      <c r="B115" s="11">
        <v>6706.0</v>
      </c>
      <c r="C115" s="11" t="s">
        <v>14118</v>
      </c>
      <c r="D115" s="74">
        <v>0.85</v>
      </c>
      <c r="E115" s="74">
        <v>0.85</v>
      </c>
      <c r="F115" s="229" t="s">
        <v>1656</v>
      </c>
      <c r="G115" s="88" t="s">
        <v>7793</v>
      </c>
      <c r="H115" s="88">
        <v>5458.0</v>
      </c>
      <c r="I115" s="88"/>
    </row>
    <row r="116">
      <c r="A116" s="88" t="s">
        <v>7794</v>
      </c>
      <c r="B116" s="11">
        <v>14750.0</v>
      </c>
      <c r="C116" s="11" t="s">
        <v>14118</v>
      </c>
      <c r="D116" s="547">
        <v>0.85</v>
      </c>
      <c r="E116" s="547">
        <v>0.85</v>
      </c>
      <c r="F116" s="229" t="s">
        <v>1656</v>
      </c>
      <c r="G116" s="88" t="s">
        <v>7794</v>
      </c>
      <c r="H116" s="88">
        <v>7003.0</v>
      </c>
      <c r="I116" s="88"/>
    </row>
    <row r="117">
      <c r="A117" s="88" t="s">
        <v>7795</v>
      </c>
      <c r="B117" s="11">
        <v>14750.0</v>
      </c>
      <c r="C117" s="11" t="s">
        <v>14118</v>
      </c>
      <c r="D117" s="547">
        <v>0.85</v>
      </c>
      <c r="E117" s="547">
        <v>0.85</v>
      </c>
      <c r="F117" s="229" t="s">
        <v>1656</v>
      </c>
      <c r="G117" s="88" t="s">
        <v>7795</v>
      </c>
      <c r="H117" s="88">
        <v>7023.0</v>
      </c>
      <c r="I117" s="88"/>
    </row>
    <row r="118">
      <c r="A118" s="88" t="s">
        <v>7796</v>
      </c>
      <c r="B118" s="11">
        <v>3307.0</v>
      </c>
      <c r="C118" s="11" t="s">
        <v>14118</v>
      </c>
      <c r="D118" s="547">
        <v>0.8</v>
      </c>
      <c r="E118" s="547">
        <v>0.8</v>
      </c>
      <c r="F118" s="229" t="s">
        <v>1656</v>
      </c>
      <c r="G118" s="88" t="s">
        <v>7796</v>
      </c>
      <c r="H118" s="88">
        <v>6728.0</v>
      </c>
      <c r="I118" s="88"/>
    </row>
    <row r="119">
      <c r="A119" s="88" t="s">
        <v>7797</v>
      </c>
      <c r="B119" s="16">
        <v>14750.0</v>
      </c>
      <c r="C119" s="11" t="s">
        <v>14118</v>
      </c>
      <c r="D119" s="547">
        <v>0.85</v>
      </c>
      <c r="E119" s="547">
        <v>0.85</v>
      </c>
      <c r="F119" s="229" t="s">
        <v>1656</v>
      </c>
      <c r="G119" s="88" t="s">
        <v>7797</v>
      </c>
      <c r="H119" s="88">
        <v>6779.0</v>
      </c>
      <c r="I119" s="88"/>
    </row>
    <row r="120">
      <c r="A120" s="88" t="s">
        <v>7798</v>
      </c>
      <c r="B120" s="16">
        <v>14750.0</v>
      </c>
      <c r="C120" s="11" t="s">
        <v>14118</v>
      </c>
      <c r="D120" s="547">
        <v>0.85</v>
      </c>
      <c r="E120" s="547">
        <v>0.85</v>
      </c>
      <c r="F120" s="229" t="s">
        <v>1656</v>
      </c>
      <c r="G120" s="88" t="s">
        <v>7798</v>
      </c>
      <c r="H120" s="88">
        <v>4687.0</v>
      </c>
      <c r="I120" s="88"/>
    </row>
    <row r="121">
      <c r="A121" s="88" t="s">
        <v>11086</v>
      </c>
      <c r="B121" s="16">
        <v>14750.0</v>
      </c>
      <c r="C121" s="11" t="s">
        <v>14118</v>
      </c>
      <c r="D121" s="547">
        <v>0.85</v>
      </c>
      <c r="E121" s="547">
        <v>0.85</v>
      </c>
      <c r="F121" s="229" t="s">
        <v>1656</v>
      </c>
      <c r="G121" s="88" t="s">
        <v>11086</v>
      </c>
      <c r="H121" s="88">
        <v>4687.0</v>
      </c>
      <c r="I121" s="88"/>
    </row>
    <row r="122">
      <c r="A122" s="88" t="s">
        <v>14174</v>
      </c>
      <c r="B122" s="16">
        <v>14750.0</v>
      </c>
      <c r="C122" s="11" t="s">
        <v>14118</v>
      </c>
      <c r="D122" s="547">
        <v>0.85</v>
      </c>
      <c r="E122" s="547">
        <v>0.85</v>
      </c>
      <c r="F122" s="229" t="s">
        <v>1656</v>
      </c>
      <c r="G122" s="88" t="s">
        <v>14174</v>
      </c>
      <c r="H122" s="88">
        <v>4687.0</v>
      </c>
      <c r="I122" s="88"/>
    </row>
    <row r="123">
      <c r="A123" s="88" t="s">
        <v>14175</v>
      </c>
      <c r="B123" s="16">
        <v>14750.0</v>
      </c>
      <c r="C123" s="11" t="s">
        <v>14118</v>
      </c>
      <c r="D123" s="547">
        <v>0.85</v>
      </c>
      <c r="E123" s="547">
        <v>0.85</v>
      </c>
      <c r="F123" s="229" t="s">
        <v>1656</v>
      </c>
      <c r="G123" s="88" t="s">
        <v>14175</v>
      </c>
      <c r="H123" s="88">
        <v>4687.0</v>
      </c>
      <c r="I123" s="88"/>
    </row>
    <row r="124">
      <c r="A124" s="88" t="s">
        <v>14176</v>
      </c>
      <c r="B124" s="11">
        <v>6919.0</v>
      </c>
      <c r="C124" s="11" t="s">
        <v>14118</v>
      </c>
      <c r="D124" s="547">
        <v>0.8</v>
      </c>
      <c r="E124" s="547">
        <v>0.8</v>
      </c>
      <c r="F124" s="229" t="s">
        <v>1656</v>
      </c>
      <c r="G124" s="88" t="s">
        <v>14176</v>
      </c>
      <c r="H124" s="88">
        <v>7227.0</v>
      </c>
      <c r="I124" s="88"/>
    </row>
    <row r="125">
      <c r="A125" s="88" t="s">
        <v>14177</v>
      </c>
      <c r="B125" s="88">
        <v>7227.0</v>
      </c>
      <c r="C125" s="11" t="s">
        <v>14118</v>
      </c>
      <c r="D125" s="74">
        <v>0.9</v>
      </c>
      <c r="E125" s="74">
        <v>0.9</v>
      </c>
      <c r="F125" s="229" t="s">
        <v>1656</v>
      </c>
      <c r="G125" s="88" t="s">
        <v>14177</v>
      </c>
      <c r="H125" s="88">
        <v>7227.0</v>
      </c>
      <c r="I125" s="88"/>
    </row>
    <row r="126">
      <c r="A126" s="88" t="s">
        <v>14178</v>
      </c>
      <c r="B126" s="11">
        <v>6919.0</v>
      </c>
      <c r="C126" s="11" t="s">
        <v>14118</v>
      </c>
      <c r="D126" s="547">
        <v>0.8</v>
      </c>
      <c r="E126" s="547">
        <v>0.8</v>
      </c>
      <c r="F126" s="229" t="s">
        <v>1656</v>
      </c>
      <c r="G126" s="88" t="s">
        <v>14178</v>
      </c>
      <c r="H126" s="88">
        <v>7227.0</v>
      </c>
      <c r="I126" s="88"/>
    </row>
    <row r="127">
      <c r="A127" s="88" t="s">
        <v>14179</v>
      </c>
      <c r="B127" s="11">
        <v>6919.0</v>
      </c>
      <c r="C127" s="11" t="s">
        <v>14118</v>
      </c>
      <c r="D127" s="547">
        <v>0.8</v>
      </c>
      <c r="E127" s="547">
        <v>0.8</v>
      </c>
      <c r="F127" s="229" t="s">
        <v>1656</v>
      </c>
      <c r="G127" s="88" t="s">
        <v>14179</v>
      </c>
      <c r="H127" s="88">
        <v>7227.0</v>
      </c>
      <c r="I127" s="88"/>
    </row>
    <row r="128">
      <c r="A128" s="88" t="s">
        <v>14180</v>
      </c>
      <c r="B128" s="11">
        <v>6919.0</v>
      </c>
      <c r="C128" s="11" t="s">
        <v>14118</v>
      </c>
      <c r="D128" s="547">
        <v>0.8</v>
      </c>
      <c r="E128" s="547">
        <v>0.8</v>
      </c>
      <c r="F128" s="229" t="s">
        <v>1656</v>
      </c>
      <c r="G128" s="88" t="s">
        <v>14180</v>
      </c>
      <c r="H128" s="88">
        <v>7227.0</v>
      </c>
      <c r="I128" s="88"/>
    </row>
    <row r="129">
      <c r="A129" s="88" t="s">
        <v>14181</v>
      </c>
      <c r="B129" s="11">
        <v>6919.0</v>
      </c>
      <c r="C129" s="11" t="s">
        <v>14118</v>
      </c>
      <c r="D129" s="547">
        <v>0.8</v>
      </c>
      <c r="E129" s="547">
        <v>0.8</v>
      </c>
      <c r="F129" s="229" t="s">
        <v>1656</v>
      </c>
      <c r="G129" s="88" t="s">
        <v>14181</v>
      </c>
      <c r="H129" s="88">
        <v>7227.0</v>
      </c>
      <c r="I129" s="88"/>
    </row>
    <row r="130">
      <c r="A130" s="88" t="s">
        <v>14182</v>
      </c>
      <c r="B130" s="11">
        <v>6919.0</v>
      </c>
      <c r="C130" s="11" t="s">
        <v>14118</v>
      </c>
      <c r="D130" s="547">
        <v>0.8</v>
      </c>
      <c r="E130" s="547">
        <v>0.8</v>
      </c>
      <c r="F130" s="229" t="s">
        <v>1656</v>
      </c>
      <c r="G130" s="88" t="s">
        <v>14182</v>
      </c>
      <c r="H130" s="88">
        <v>7227.0</v>
      </c>
      <c r="I130" s="88"/>
    </row>
    <row r="131">
      <c r="A131" s="88" t="s">
        <v>14183</v>
      </c>
      <c r="B131" s="11">
        <v>7157.0</v>
      </c>
      <c r="C131" s="11" t="s">
        <v>14118</v>
      </c>
      <c r="D131" s="547">
        <v>0.8</v>
      </c>
      <c r="E131" s="547">
        <v>0.8</v>
      </c>
      <c r="F131" s="229" t="s">
        <v>1656</v>
      </c>
      <c r="G131" s="88" t="s">
        <v>14183</v>
      </c>
      <c r="H131" s="88">
        <v>6779.0</v>
      </c>
      <c r="I131" s="88"/>
    </row>
    <row r="132">
      <c r="A132" s="88" t="s">
        <v>1461</v>
      </c>
      <c r="B132" s="11">
        <v>6919.0</v>
      </c>
      <c r="C132" s="11" t="s">
        <v>14118</v>
      </c>
      <c r="D132" s="547">
        <v>0.8</v>
      </c>
      <c r="E132" s="547">
        <v>0.8</v>
      </c>
      <c r="F132" s="229" t="s">
        <v>1656</v>
      </c>
      <c r="G132" s="88" t="s">
        <v>1461</v>
      </c>
      <c r="H132" s="88">
        <v>7227.0</v>
      </c>
      <c r="I132" s="88"/>
    </row>
    <row r="133">
      <c r="A133" s="88" t="s">
        <v>5173</v>
      </c>
      <c r="B133" s="11">
        <v>6919.0</v>
      </c>
      <c r="C133" s="11" t="s">
        <v>14118</v>
      </c>
      <c r="D133" s="547">
        <v>0.8</v>
      </c>
      <c r="E133" s="547">
        <v>0.8</v>
      </c>
      <c r="F133" s="229" t="s">
        <v>1656</v>
      </c>
      <c r="G133" s="88" t="s">
        <v>5173</v>
      </c>
      <c r="H133" s="88">
        <v>7227.0</v>
      </c>
      <c r="I133" s="88"/>
    </row>
    <row r="134">
      <c r="A134" s="88" t="s">
        <v>5176</v>
      </c>
      <c r="B134" s="11">
        <v>6919.0</v>
      </c>
      <c r="C134" s="11" t="s">
        <v>14118</v>
      </c>
      <c r="D134" s="547">
        <v>0.8</v>
      </c>
      <c r="E134" s="547">
        <v>0.8</v>
      </c>
      <c r="F134" s="229" t="s">
        <v>1656</v>
      </c>
      <c r="G134" s="88" t="s">
        <v>5176</v>
      </c>
      <c r="H134" s="88">
        <v>7227.0</v>
      </c>
      <c r="I134" s="88"/>
    </row>
    <row r="135">
      <c r="A135" s="88" t="s">
        <v>5178</v>
      </c>
      <c r="B135" s="11">
        <v>6919.0</v>
      </c>
      <c r="C135" s="11" t="s">
        <v>14118</v>
      </c>
      <c r="D135" s="547">
        <v>0.8</v>
      </c>
      <c r="E135" s="547">
        <v>0.8</v>
      </c>
      <c r="F135" s="229" t="s">
        <v>1656</v>
      </c>
      <c r="G135" s="88" t="s">
        <v>5178</v>
      </c>
      <c r="H135" s="88">
        <v>7227.0</v>
      </c>
      <c r="I135" s="88"/>
    </row>
    <row r="136">
      <c r="A136" s="88" t="s">
        <v>1557</v>
      </c>
      <c r="B136" s="11">
        <v>6919.0</v>
      </c>
      <c r="C136" s="11" t="s">
        <v>14118</v>
      </c>
      <c r="D136" s="547">
        <v>0.8</v>
      </c>
      <c r="E136" s="547">
        <v>0.8</v>
      </c>
      <c r="F136" s="229" t="s">
        <v>1656</v>
      </c>
      <c r="G136" s="88" t="s">
        <v>1557</v>
      </c>
      <c r="H136" s="88">
        <v>14277.0</v>
      </c>
      <c r="I136" s="88"/>
    </row>
    <row r="137">
      <c r="A137" s="88" t="s">
        <v>1558</v>
      </c>
      <c r="B137" s="11">
        <v>6919.0</v>
      </c>
      <c r="C137" s="11" t="s">
        <v>14118</v>
      </c>
      <c r="D137" s="547">
        <v>0.8</v>
      </c>
      <c r="E137" s="547">
        <v>0.8</v>
      </c>
      <c r="F137" s="229" t="s">
        <v>1656</v>
      </c>
      <c r="G137" s="88" t="s">
        <v>1558</v>
      </c>
      <c r="H137" s="88">
        <v>14277.0</v>
      </c>
      <c r="I137" s="88"/>
    </row>
    <row r="138">
      <c r="A138" s="88" t="s">
        <v>1559</v>
      </c>
      <c r="B138" s="11">
        <v>6919.0</v>
      </c>
      <c r="C138" s="11" t="s">
        <v>14118</v>
      </c>
      <c r="D138" s="547">
        <v>0.8</v>
      </c>
      <c r="E138" s="547">
        <v>0.8</v>
      </c>
      <c r="F138" s="229" t="s">
        <v>1656</v>
      </c>
      <c r="G138" s="88" t="s">
        <v>1559</v>
      </c>
      <c r="H138" s="88">
        <v>7227.0</v>
      </c>
      <c r="I138" s="88"/>
    </row>
    <row r="139">
      <c r="A139" s="88" t="s">
        <v>1560</v>
      </c>
      <c r="B139" s="11">
        <v>6919.0</v>
      </c>
      <c r="C139" s="11" t="s">
        <v>14118</v>
      </c>
      <c r="D139" s="547">
        <v>0.8</v>
      </c>
      <c r="E139" s="547">
        <v>0.8</v>
      </c>
      <c r="F139" s="229" t="s">
        <v>1656</v>
      </c>
      <c r="G139" s="88" t="s">
        <v>1560</v>
      </c>
      <c r="H139" s="88">
        <v>7227.0</v>
      </c>
      <c r="I139" s="88"/>
    </row>
    <row r="140">
      <c r="A140" s="88" t="s">
        <v>1561</v>
      </c>
      <c r="B140" s="11">
        <v>6919.0</v>
      </c>
      <c r="C140" s="11" t="s">
        <v>14118</v>
      </c>
      <c r="D140" s="547">
        <v>0.8</v>
      </c>
      <c r="E140" s="547">
        <v>0.8</v>
      </c>
      <c r="F140" s="229" t="s">
        <v>1656</v>
      </c>
      <c r="G140" s="88" t="s">
        <v>1561</v>
      </c>
      <c r="H140" s="88">
        <v>7227.0</v>
      </c>
      <c r="I140" s="88"/>
    </row>
    <row r="141">
      <c r="A141" s="88" t="s">
        <v>14184</v>
      </c>
      <c r="B141" s="11">
        <v>6919.0</v>
      </c>
      <c r="C141" s="11" t="s">
        <v>14118</v>
      </c>
      <c r="D141" s="547">
        <v>0.8</v>
      </c>
      <c r="E141" s="547">
        <v>0.8</v>
      </c>
      <c r="F141" s="229" t="s">
        <v>1656</v>
      </c>
      <c r="G141" s="88" t="s">
        <v>14184</v>
      </c>
      <c r="H141" s="88">
        <v>7227.0</v>
      </c>
      <c r="I141" s="88"/>
    </row>
    <row r="142">
      <c r="A142" s="88" t="s">
        <v>14185</v>
      </c>
      <c r="B142" s="11">
        <v>6919.0</v>
      </c>
      <c r="C142" s="11" t="s">
        <v>14118</v>
      </c>
      <c r="D142" s="547">
        <v>0.8</v>
      </c>
      <c r="E142" s="547">
        <v>0.8</v>
      </c>
      <c r="F142" s="229" t="s">
        <v>1656</v>
      </c>
      <c r="G142" s="88" t="s">
        <v>14185</v>
      </c>
      <c r="H142" s="88">
        <v>6675.0</v>
      </c>
      <c r="I142" s="88"/>
    </row>
    <row r="143">
      <c r="A143" s="88" t="s">
        <v>14186</v>
      </c>
      <c r="B143" s="11">
        <v>6919.0</v>
      </c>
      <c r="C143" s="11" t="s">
        <v>14118</v>
      </c>
      <c r="D143" s="547">
        <v>0.8</v>
      </c>
      <c r="E143" s="547">
        <v>0.8</v>
      </c>
      <c r="F143" s="229" t="s">
        <v>1656</v>
      </c>
      <c r="G143" s="88" t="s">
        <v>14186</v>
      </c>
      <c r="H143" s="88">
        <v>7227.0</v>
      </c>
      <c r="I143" s="88"/>
    </row>
    <row r="144">
      <c r="A144" s="88" t="s">
        <v>14187</v>
      </c>
      <c r="B144" s="88">
        <v>7142.0</v>
      </c>
      <c r="C144" s="11" t="s">
        <v>14118</v>
      </c>
      <c r="D144" s="547">
        <v>0.8</v>
      </c>
      <c r="E144" s="547">
        <v>0.8</v>
      </c>
      <c r="F144" s="229" t="s">
        <v>1656</v>
      </c>
      <c r="G144" s="88" t="s">
        <v>14187</v>
      </c>
      <c r="H144" s="88">
        <v>7142.0</v>
      </c>
      <c r="I144" s="88"/>
    </row>
    <row r="145">
      <c r="A145" s="88" t="s">
        <v>14188</v>
      </c>
      <c r="B145" s="88">
        <v>7227.0</v>
      </c>
      <c r="C145" s="11" t="s">
        <v>14118</v>
      </c>
      <c r="D145" s="74">
        <v>0.9</v>
      </c>
      <c r="E145" s="74">
        <v>0.9</v>
      </c>
      <c r="F145" s="229" t="s">
        <v>1656</v>
      </c>
      <c r="G145" s="88" t="s">
        <v>14188</v>
      </c>
      <c r="H145" s="88">
        <v>7227.0</v>
      </c>
      <c r="I145" s="88"/>
    </row>
    <row r="146">
      <c r="A146" s="88" t="s">
        <v>14189</v>
      </c>
      <c r="B146" s="88">
        <v>7227.0</v>
      </c>
      <c r="C146" s="11" t="s">
        <v>14118</v>
      </c>
      <c r="D146" s="74">
        <v>0.9</v>
      </c>
      <c r="E146" s="74">
        <v>0.9</v>
      </c>
      <c r="F146" s="229" t="s">
        <v>1656</v>
      </c>
      <c r="G146" s="88" t="s">
        <v>14189</v>
      </c>
      <c r="H146" s="88">
        <v>7227.0</v>
      </c>
      <c r="I146" s="88"/>
    </row>
    <row r="147">
      <c r="A147" s="88" t="s">
        <v>14190</v>
      </c>
      <c r="B147" s="88">
        <v>14536.0</v>
      </c>
      <c r="C147" s="11" t="s">
        <v>14118</v>
      </c>
      <c r="D147" s="547">
        <v>0.8</v>
      </c>
      <c r="E147" s="547">
        <v>0.8</v>
      </c>
      <c r="F147" s="229" t="s">
        <v>1656</v>
      </c>
      <c r="G147" s="88" t="s">
        <v>14190</v>
      </c>
      <c r="H147" s="88">
        <v>14536.0</v>
      </c>
      <c r="I147" s="88"/>
    </row>
    <row r="148">
      <c r="A148" s="88" t="s">
        <v>14191</v>
      </c>
      <c r="B148" s="88">
        <v>14536.0</v>
      </c>
      <c r="C148" s="11" t="s">
        <v>14118</v>
      </c>
      <c r="D148" s="547">
        <v>0.8</v>
      </c>
      <c r="E148" s="547">
        <v>0.8</v>
      </c>
      <c r="F148" s="229" t="s">
        <v>1656</v>
      </c>
      <c r="G148" s="88" t="s">
        <v>14191</v>
      </c>
      <c r="H148" s="88">
        <v>14536.0</v>
      </c>
      <c r="I148" s="88"/>
    </row>
    <row r="149">
      <c r="A149" s="88" t="s">
        <v>7953</v>
      </c>
      <c r="B149" s="11">
        <v>6919.0</v>
      </c>
      <c r="C149" s="11" t="s">
        <v>14118</v>
      </c>
      <c r="D149" s="547">
        <v>0.8</v>
      </c>
      <c r="E149" s="547">
        <v>0.8</v>
      </c>
      <c r="F149" s="229" t="s">
        <v>1656</v>
      </c>
      <c r="G149" s="88" t="s">
        <v>7953</v>
      </c>
      <c r="H149" s="88">
        <v>14571.0</v>
      </c>
      <c r="I149" s="88"/>
    </row>
    <row r="150">
      <c r="A150" s="88" t="s">
        <v>14192</v>
      </c>
      <c r="B150" s="11">
        <v>6919.0</v>
      </c>
      <c r="C150" s="11" t="s">
        <v>14118</v>
      </c>
      <c r="D150" s="547">
        <v>0.8</v>
      </c>
      <c r="E150" s="547">
        <v>0.8</v>
      </c>
      <c r="F150" s="229" t="s">
        <v>1656</v>
      </c>
      <c r="G150" s="88" t="s">
        <v>14192</v>
      </c>
      <c r="H150" s="88">
        <v>14571.0</v>
      </c>
      <c r="I150" s="88"/>
    </row>
    <row r="151">
      <c r="A151" s="88" t="s">
        <v>14193</v>
      </c>
      <c r="B151" s="11">
        <v>6919.0</v>
      </c>
      <c r="C151" s="11" t="s">
        <v>14118</v>
      </c>
      <c r="D151" s="547">
        <v>0.8</v>
      </c>
      <c r="E151" s="547">
        <v>0.8</v>
      </c>
      <c r="F151" s="229" t="s">
        <v>1656</v>
      </c>
      <c r="G151" s="88" t="s">
        <v>14193</v>
      </c>
      <c r="H151" s="88">
        <v>12553.0</v>
      </c>
      <c r="I151" s="88"/>
    </row>
    <row r="152">
      <c r="A152" s="88" t="s">
        <v>14194</v>
      </c>
      <c r="B152" s="11">
        <v>6919.0</v>
      </c>
      <c r="C152" s="11" t="s">
        <v>14118</v>
      </c>
      <c r="D152" s="547">
        <v>0.8</v>
      </c>
      <c r="E152" s="547">
        <v>0.8</v>
      </c>
      <c r="F152" s="229" t="s">
        <v>1656</v>
      </c>
      <c r="G152" s="88" t="s">
        <v>14194</v>
      </c>
      <c r="H152" s="88">
        <v>3307.0</v>
      </c>
      <c r="I152" s="88"/>
    </row>
    <row r="153">
      <c r="A153" s="88" t="s">
        <v>14195</v>
      </c>
      <c r="B153" s="11">
        <v>6919.0</v>
      </c>
      <c r="C153" s="11" t="s">
        <v>14118</v>
      </c>
      <c r="D153" s="547">
        <v>0.8</v>
      </c>
      <c r="E153" s="547">
        <v>0.8</v>
      </c>
      <c r="F153" s="229" t="s">
        <v>1656</v>
      </c>
      <c r="G153" s="88" t="s">
        <v>14195</v>
      </c>
      <c r="H153" s="88">
        <v>7847.0</v>
      </c>
      <c r="I153" s="88"/>
    </row>
    <row r="154">
      <c r="A154" s="88" t="s">
        <v>14196</v>
      </c>
      <c r="B154" s="11">
        <v>6919.0</v>
      </c>
      <c r="C154" s="11" t="s">
        <v>14118</v>
      </c>
      <c r="D154" s="547">
        <v>0.8</v>
      </c>
      <c r="E154" s="547">
        <v>0.8</v>
      </c>
      <c r="F154" s="229" t="s">
        <v>1656</v>
      </c>
      <c r="G154" s="88" t="s">
        <v>14196</v>
      </c>
      <c r="H154" s="88">
        <v>6887.0</v>
      </c>
      <c r="I154" s="88"/>
    </row>
    <row r="155">
      <c r="A155" s="88" t="s">
        <v>14197</v>
      </c>
      <c r="B155" s="11">
        <v>6919.0</v>
      </c>
      <c r="C155" s="11" t="s">
        <v>14118</v>
      </c>
      <c r="D155" s="547">
        <v>0.8</v>
      </c>
      <c r="E155" s="547">
        <v>0.8</v>
      </c>
      <c r="F155" s="229" t="s">
        <v>1656</v>
      </c>
      <c r="G155" s="88" t="s">
        <v>14197</v>
      </c>
      <c r="I155" s="88"/>
    </row>
    <row r="156">
      <c r="A156" s="88" t="s">
        <v>14198</v>
      </c>
      <c r="B156" s="11">
        <v>6919.0</v>
      </c>
      <c r="C156" s="11" t="s">
        <v>14118</v>
      </c>
      <c r="D156" s="547">
        <v>0.8</v>
      </c>
      <c r="E156" s="547">
        <v>0.8</v>
      </c>
      <c r="F156" s="229" t="s">
        <v>1656</v>
      </c>
      <c r="G156" s="88" t="s">
        <v>14198</v>
      </c>
      <c r="H156" s="88">
        <v>7229.0</v>
      </c>
      <c r="I156" s="88"/>
    </row>
    <row r="157">
      <c r="A157" s="88" t="s">
        <v>14199</v>
      </c>
      <c r="B157" s="11">
        <v>6919.0</v>
      </c>
      <c r="C157" s="11" t="s">
        <v>14118</v>
      </c>
      <c r="D157" s="547">
        <v>0.8</v>
      </c>
      <c r="E157" s="547">
        <v>0.8</v>
      </c>
      <c r="F157" s="229" t="s">
        <v>1656</v>
      </c>
      <c r="G157" s="88" t="s">
        <v>14199</v>
      </c>
      <c r="H157" s="88">
        <v>14525.0</v>
      </c>
      <c r="I157" s="88"/>
    </row>
    <row r="158">
      <c r="A158" s="88" t="s">
        <v>14200</v>
      </c>
      <c r="B158" s="11">
        <v>6919.0</v>
      </c>
      <c r="C158" s="11" t="s">
        <v>14118</v>
      </c>
      <c r="D158" s="547">
        <v>0.8</v>
      </c>
      <c r="E158" s="547">
        <v>0.8</v>
      </c>
      <c r="F158" s="229" t="s">
        <v>1656</v>
      </c>
      <c r="G158" s="88" t="s">
        <v>14200</v>
      </c>
      <c r="I158" s="88"/>
    </row>
    <row r="159">
      <c r="A159" s="88" t="s">
        <v>14201</v>
      </c>
      <c r="B159" s="11">
        <v>6919.0</v>
      </c>
      <c r="C159" s="11" t="s">
        <v>14118</v>
      </c>
      <c r="D159" s="547">
        <v>0.8</v>
      </c>
      <c r="E159" s="547">
        <v>0.8</v>
      </c>
      <c r="F159" s="229" t="s">
        <v>1656</v>
      </c>
      <c r="G159" s="88" t="s">
        <v>14201</v>
      </c>
      <c r="I159" s="88"/>
    </row>
    <row r="160">
      <c r="A160" s="88" t="s">
        <v>14202</v>
      </c>
      <c r="B160" s="11">
        <v>6919.0</v>
      </c>
      <c r="C160" s="11" t="s">
        <v>14118</v>
      </c>
      <c r="D160" s="547">
        <v>0.8</v>
      </c>
      <c r="E160" s="547">
        <v>0.8</v>
      </c>
      <c r="F160" s="229" t="s">
        <v>1656</v>
      </c>
      <c r="G160" s="88" t="s">
        <v>14202</v>
      </c>
      <c r="H160" s="88">
        <v>6903.0</v>
      </c>
      <c r="I160" s="88"/>
    </row>
    <row r="161">
      <c r="A161" s="88" t="s">
        <v>14203</v>
      </c>
      <c r="B161" s="11">
        <v>6947.0</v>
      </c>
      <c r="C161" s="11" t="s">
        <v>14118</v>
      </c>
      <c r="D161" s="547">
        <v>0.8</v>
      </c>
      <c r="E161" s="547">
        <v>0.8</v>
      </c>
      <c r="F161" s="229" t="s">
        <v>1656</v>
      </c>
      <c r="G161" s="88" t="s">
        <v>14203</v>
      </c>
      <c r="H161" s="88">
        <v>6947.0</v>
      </c>
      <c r="I161" s="88"/>
    </row>
    <row r="162">
      <c r="A162" s="88" t="s">
        <v>14204</v>
      </c>
      <c r="B162" s="11">
        <v>6919.0</v>
      </c>
      <c r="C162" s="11" t="s">
        <v>14118</v>
      </c>
      <c r="D162" s="547">
        <v>0.8</v>
      </c>
      <c r="E162" s="547">
        <v>0.8</v>
      </c>
      <c r="F162" s="229" t="s">
        <v>1656</v>
      </c>
      <c r="G162" s="88" t="s">
        <v>14204</v>
      </c>
      <c r="I162" s="88"/>
    </row>
    <row r="163">
      <c r="A163" s="88" t="s">
        <v>14205</v>
      </c>
      <c r="B163" s="11">
        <v>6919.0</v>
      </c>
      <c r="C163" s="11" t="s">
        <v>14118</v>
      </c>
      <c r="D163" s="547">
        <v>0.8</v>
      </c>
      <c r="E163" s="547">
        <v>0.8</v>
      </c>
      <c r="F163" s="229" t="s">
        <v>1656</v>
      </c>
      <c r="G163" s="88" t="s">
        <v>14205</v>
      </c>
      <c r="I163" s="88"/>
    </row>
    <row r="164">
      <c r="A164" s="88" t="s">
        <v>14206</v>
      </c>
      <c r="B164" s="11">
        <v>6919.0</v>
      </c>
      <c r="C164" s="11" t="s">
        <v>14118</v>
      </c>
      <c r="D164" s="547">
        <v>0.8</v>
      </c>
      <c r="E164" s="547">
        <v>0.8</v>
      </c>
      <c r="F164" s="229" t="s">
        <v>1656</v>
      </c>
      <c r="G164" s="88" t="s">
        <v>14206</v>
      </c>
      <c r="I164" s="88"/>
    </row>
    <row r="165">
      <c r="A165" s="88" t="s">
        <v>14207</v>
      </c>
      <c r="B165" s="11">
        <v>6919.0</v>
      </c>
      <c r="C165" s="11" t="s">
        <v>14118</v>
      </c>
      <c r="D165" s="547">
        <v>0.8</v>
      </c>
      <c r="E165" s="547">
        <v>0.8</v>
      </c>
      <c r="F165" s="229" t="s">
        <v>1656</v>
      </c>
      <c r="G165" s="88" t="s">
        <v>14207</v>
      </c>
      <c r="I165" s="88"/>
    </row>
    <row r="166">
      <c r="A166" s="88" t="s">
        <v>14208</v>
      </c>
      <c r="B166" s="11">
        <v>6947.0</v>
      </c>
      <c r="C166" s="11" t="s">
        <v>14118</v>
      </c>
      <c r="D166" s="547">
        <v>0.8</v>
      </c>
      <c r="E166" s="547">
        <v>0.8</v>
      </c>
      <c r="F166" s="229" t="s">
        <v>1656</v>
      </c>
      <c r="G166" s="88" t="s">
        <v>14208</v>
      </c>
      <c r="H166" s="88">
        <v>6947.0</v>
      </c>
      <c r="I166" s="88"/>
    </row>
    <row r="167">
      <c r="A167" s="88" t="s">
        <v>14209</v>
      </c>
      <c r="B167" s="11">
        <v>6919.0</v>
      </c>
      <c r="C167" s="11" t="s">
        <v>14118</v>
      </c>
      <c r="D167" s="547">
        <v>0.8</v>
      </c>
      <c r="E167" s="547">
        <v>0.8</v>
      </c>
      <c r="F167" s="229" t="s">
        <v>1656</v>
      </c>
      <c r="G167" s="88" t="s">
        <v>14209</v>
      </c>
      <c r="I167" s="88"/>
    </row>
    <row r="168">
      <c r="A168" s="88" t="s">
        <v>14210</v>
      </c>
      <c r="B168" s="11">
        <v>6919.0</v>
      </c>
      <c r="C168" s="11" t="s">
        <v>14118</v>
      </c>
      <c r="D168" s="547">
        <v>0.8</v>
      </c>
      <c r="E168" s="547">
        <v>0.8</v>
      </c>
      <c r="F168" s="229" t="s">
        <v>1656</v>
      </c>
      <c r="G168" s="88" t="s">
        <v>14210</v>
      </c>
      <c r="I168" s="88"/>
    </row>
    <row r="169">
      <c r="A169" s="88" t="s">
        <v>14211</v>
      </c>
      <c r="B169" s="11">
        <v>6919.0</v>
      </c>
      <c r="C169" s="11" t="s">
        <v>14118</v>
      </c>
      <c r="D169" s="547">
        <v>0.8</v>
      </c>
      <c r="E169" s="547">
        <v>0.8</v>
      </c>
      <c r="F169" s="229" t="s">
        <v>1656</v>
      </c>
      <c r="G169" s="88" t="s">
        <v>14211</v>
      </c>
      <c r="H169" s="88">
        <v>14525.0</v>
      </c>
      <c r="I169" s="88"/>
    </row>
    <row r="170">
      <c r="A170" s="88" t="s">
        <v>14212</v>
      </c>
      <c r="B170" s="11">
        <v>6919.0</v>
      </c>
      <c r="C170" s="11" t="s">
        <v>14118</v>
      </c>
      <c r="D170" s="547">
        <v>0.8</v>
      </c>
      <c r="E170" s="547">
        <v>0.8</v>
      </c>
      <c r="F170" s="229" t="s">
        <v>1656</v>
      </c>
      <c r="G170" s="88" t="s">
        <v>14212</v>
      </c>
      <c r="I170" s="88"/>
    </row>
    <row r="171">
      <c r="A171" s="88" t="s">
        <v>14213</v>
      </c>
      <c r="B171" s="11">
        <v>6947.0</v>
      </c>
      <c r="C171" s="11" t="s">
        <v>14118</v>
      </c>
      <c r="D171" s="547">
        <v>0.8</v>
      </c>
      <c r="E171" s="547">
        <v>0.8</v>
      </c>
      <c r="F171" s="229" t="s">
        <v>1656</v>
      </c>
      <c r="G171" s="88" t="s">
        <v>14213</v>
      </c>
      <c r="H171" s="88">
        <v>6947.0</v>
      </c>
      <c r="I171" s="88"/>
    </row>
    <row r="172">
      <c r="A172" s="88" t="s">
        <v>14214</v>
      </c>
      <c r="B172" s="11">
        <v>6919.0</v>
      </c>
      <c r="C172" s="11" t="s">
        <v>14118</v>
      </c>
      <c r="D172" s="547">
        <v>0.8</v>
      </c>
      <c r="E172" s="547">
        <v>0.8</v>
      </c>
      <c r="F172" s="229" t="s">
        <v>1656</v>
      </c>
      <c r="G172" s="88" t="s">
        <v>14214</v>
      </c>
      <c r="I172" s="88"/>
    </row>
    <row r="173">
      <c r="A173" s="88" t="s">
        <v>14215</v>
      </c>
      <c r="B173" s="11">
        <v>6919.0</v>
      </c>
      <c r="C173" s="11" t="s">
        <v>14118</v>
      </c>
      <c r="D173" s="547">
        <v>0.8</v>
      </c>
      <c r="E173" s="547">
        <v>0.8</v>
      </c>
      <c r="F173" s="229" t="s">
        <v>1656</v>
      </c>
      <c r="G173" s="88" t="s">
        <v>14215</v>
      </c>
      <c r="I173" s="88"/>
    </row>
    <row r="174">
      <c r="A174" s="88" t="s">
        <v>14216</v>
      </c>
      <c r="B174" s="11">
        <v>6919.0</v>
      </c>
      <c r="C174" s="11" t="s">
        <v>14118</v>
      </c>
      <c r="D174" s="547">
        <v>0.8</v>
      </c>
      <c r="E174" s="547">
        <v>0.8</v>
      </c>
      <c r="F174" s="229" t="s">
        <v>1656</v>
      </c>
      <c r="G174" s="88" t="s">
        <v>14216</v>
      </c>
      <c r="I174" s="88"/>
    </row>
    <row r="175">
      <c r="A175" s="88" t="s">
        <v>14217</v>
      </c>
      <c r="B175" s="11">
        <v>6919.0</v>
      </c>
      <c r="C175" s="11" t="s">
        <v>14118</v>
      </c>
      <c r="D175" s="547">
        <v>0.8</v>
      </c>
      <c r="E175" s="547">
        <v>0.8</v>
      </c>
      <c r="F175" s="229" t="s">
        <v>1656</v>
      </c>
      <c r="G175" s="88" t="s">
        <v>14217</v>
      </c>
      <c r="H175" s="88">
        <v>6668.0</v>
      </c>
      <c r="I175" s="88"/>
    </row>
    <row r="176">
      <c r="A176" s="88" t="s">
        <v>14218</v>
      </c>
      <c r="B176" s="11">
        <v>6919.0</v>
      </c>
      <c r="C176" s="11" t="s">
        <v>14118</v>
      </c>
      <c r="D176" s="547">
        <v>0.8</v>
      </c>
      <c r="E176" s="547">
        <v>0.8</v>
      </c>
      <c r="F176" s="229" t="s">
        <v>1656</v>
      </c>
      <c r="G176" s="88" t="s">
        <v>14218</v>
      </c>
      <c r="H176" s="88">
        <v>6668.0</v>
      </c>
      <c r="I176" s="88"/>
    </row>
    <row r="177">
      <c r="A177" s="88" t="s">
        <v>14219</v>
      </c>
      <c r="B177" s="11">
        <v>6919.0</v>
      </c>
      <c r="C177" s="11" t="s">
        <v>14118</v>
      </c>
      <c r="D177" s="547">
        <v>0.8</v>
      </c>
      <c r="E177" s="547">
        <v>0.8</v>
      </c>
      <c r="F177" s="229" t="s">
        <v>1656</v>
      </c>
      <c r="G177" s="88" t="s">
        <v>14219</v>
      </c>
      <c r="H177" s="88">
        <v>4426.0</v>
      </c>
      <c r="I177" s="88"/>
    </row>
    <row r="178">
      <c r="A178" s="88" t="s">
        <v>14220</v>
      </c>
      <c r="B178" s="11">
        <v>6919.0</v>
      </c>
      <c r="C178" s="11" t="s">
        <v>14118</v>
      </c>
      <c r="D178" s="547">
        <v>0.8</v>
      </c>
      <c r="E178" s="547">
        <v>0.8</v>
      </c>
      <c r="F178" s="229" t="s">
        <v>1656</v>
      </c>
      <c r="G178" s="88" t="s">
        <v>14220</v>
      </c>
      <c r="H178" s="88">
        <v>4426.0</v>
      </c>
      <c r="I178" s="88"/>
    </row>
    <row r="179">
      <c r="A179" s="88" t="s">
        <v>14221</v>
      </c>
      <c r="B179" s="11">
        <v>6919.0</v>
      </c>
      <c r="C179" s="11" t="s">
        <v>14118</v>
      </c>
      <c r="D179" s="547">
        <v>0.8</v>
      </c>
      <c r="E179" s="547">
        <v>0.8</v>
      </c>
      <c r="F179" s="229" t="s">
        <v>1656</v>
      </c>
      <c r="G179" s="88" t="s">
        <v>14221</v>
      </c>
      <c r="H179" s="88">
        <v>4426.0</v>
      </c>
      <c r="I179" s="88"/>
    </row>
    <row r="180">
      <c r="A180" s="88" t="s">
        <v>14222</v>
      </c>
      <c r="B180" s="11">
        <v>6919.0</v>
      </c>
      <c r="C180" s="11" t="s">
        <v>14118</v>
      </c>
      <c r="D180" s="547">
        <v>0.8</v>
      </c>
      <c r="E180" s="547">
        <v>0.8</v>
      </c>
      <c r="F180" s="229" t="s">
        <v>1656</v>
      </c>
      <c r="G180" s="88" t="s">
        <v>14222</v>
      </c>
      <c r="H180" s="88">
        <v>4426.0</v>
      </c>
      <c r="I180" s="88"/>
    </row>
    <row r="181">
      <c r="A181" s="88" t="s">
        <v>14223</v>
      </c>
      <c r="B181" s="11">
        <v>6919.0</v>
      </c>
      <c r="C181" s="11" t="s">
        <v>14118</v>
      </c>
      <c r="D181" s="547">
        <v>0.8</v>
      </c>
      <c r="E181" s="547">
        <v>0.8</v>
      </c>
      <c r="F181" s="229" t="s">
        <v>1656</v>
      </c>
      <c r="G181" s="88" t="s">
        <v>14223</v>
      </c>
      <c r="H181" s="88">
        <v>4426.0</v>
      </c>
      <c r="I181" s="88"/>
    </row>
    <row r="182">
      <c r="A182" s="88" t="s">
        <v>14224</v>
      </c>
      <c r="B182" s="11">
        <v>6919.0</v>
      </c>
      <c r="C182" s="11" t="s">
        <v>14118</v>
      </c>
      <c r="D182" s="547">
        <v>0.8</v>
      </c>
      <c r="E182" s="547">
        <v>0.8</v>
      </c>
      <c r="F182" s="229" t="s">
        <v>1656</v>
      </c>
      <c r="G182" s="88" t="s">
        <v>14224</v>
      </c>
      <c r="H182" s="88">
        <v>4426.0</v>
      </c>
      <c r="I182" s="88"/>
    </row>
    <row r="183">
      <c r="A183" s="88" t="s">
        <v>14225</v>
      </c>
      <c r="B183" s="11">
        <v>6919.0</v>
      </c>
      <c r="C183" s="11" t="s">
        <v>14118</v>
      </c>
      <c r="D183" s="547">
        <v>0.8</v>
      </c>
      <c r="E183" s="547">
        <v>0.8</v>
      </c>
      <c r="F183" s="229" t="s">
        <v>1656</v>
      </c>
      <c r="G183" s="88" t="s">
        <v>14225</v>
      </c>
      <c r="H183" s="88">
        <v>4426.0</v>
      </c>
      <c r="I183" s="88"/>
    </row>
    <row r="184">
      <c r="A184" s="88" t="s">
        <v>14226</v>
      </c>
      <c r="B184" s="11">
        <v>6919.0</v>
      </c>
      <c r="C184" s="11" t="s">
        <v>14118</v>
      </c>
      <c r="D184" s="547">
        <v>0.8</v>
      </c>
      <c r="E184" s="547">
        <v>0.8</v>
      </c>
      <c r="F184" s="229" t="s">
        <v>1656</v>
      </c>
      <c r="G184" s="88" t="s">
        <v>14226</v>
      </c>
      <c r="H184" s="88">
        <v>4426.0</v>
      </c>
      <c r="I184" s="88"/>
    </row>
    <row r="185">
      <c r="A185" s="88" t="s">
        <v>14227</v>
      </c>
      <c r="B185" s="11">
        <v>6919.0</v>
      </c>
      <c r="C185" s="11" t="s">
        <v>14118</v>
      </c>
      <c r="D185" s="547">
        <v>0.8</v>
      </c>
      <c r="E185" s="547">
        <v>0.8</v>
      </c>
      <c r="F185" s="229" t="s">
        <v>1656</v>
      </c>
      <c r="G185" s="88" t="s">
        <v>14227</v>
      </c>
      <c r="H185" s="88">
        <v>4426.0</v>
      </c>
      <c r="I185" s="88"/>
    </row>
    <row r="186">
      <c r="A186" s="88" t="s">
        <v>14228</v>
      </c>
      <c r="B186" s="11">
        <v>6919.0</v>
      </c>
      <c r="C186" s="11" t="s">
        <v>14118</v>
      </c>
      <c r="D186" s="547">
        <v>0.8</v>
      </c>
      <c r="E186" s="547">
        <v>0.8</v>
      </c>
      <c r="F186" s="229" t="s">
        <v>1656</v>
      </c>
      <c r="G186" s="88" t="s">
        <v>14228</v>
      </c>
      <c r="H186" s="88">
        <v>4426.0</v>
      </c>
      <c r="I186" s="88"/>
    </row>
    <row r="187">
      <c r="A187" s="88" t="s">
        <v>14229</v>
      </c>
      <c r="B187" s="11">
        <v>6919.0</v>
      </c>
      <c r="C187" s="11" t="s">
        <v>14118</v>
      </c>
      <c r="D187" s="547">
        <v>0.8</v>
      </c>
      <c r="E187" s="547">
        <v>0.8</v>
      </c>
      <c r="F187" s="229" t="s">
        <v>1656</v>
      </c>
      <c r="G187" s="88" t="s">
        <v>14229</v>
      </c>
      <c r="H187" s="88">
        <v>4426.0</v>
      </c>
      <c r="I187" s="88"/>
    </row>
    <row r="188">
      <c r="A188" s="88" t="s">
        <v>14230</v>
      </c>
      <c r="B188" s="11">
        <v>6919.0</v>
      </c>
      <c r="C188" s="11" t="s">
        <v>14118</v>
      </c>
      <c r="D188" s="547">
        <v>0.8</v>
      </c>
      <c r="E188" s="547">
        <v>0.8</v>
      </c>
      <c r="F188" s="229" t="s">
        <v>1656</v>
      </c>
      <c r="G188" s="88" t="s">
        <v>14230</v>
      </c>
      <c r="H188" s="88">
        <v>4426.0</v>
      </c>
      <c r="I188" s="88"/>
    </row>
    <row r="189">
      <c r="A189" s="88" t="s">
        <v>14231</v>
      </c>
      <c r="B189" s="11">
        <v>6919.0</v>
      </c>
      <c r="C189" s="11" t="s">
        <v>14118</v>
      </c>
      <c r="D189" s="547">
        <v>0.8</v>
      </c>
      <c r="E189" s="547">
        <v>0.8</v>
      </c>
      <c r="F189" s="229" t="s">
        <v>1656</v>
      </c>
      <c r="G189" s="88" t="s">
        <v>14231</v>
      </c>
      <c r="H189" s="88">
        <v>4426.0</v>
      </c>
      <c r="I189" s="88"/>
    </row>
    <row r="190">
      <c r="A190" s="88" t="s">
        <v>14232</v>
      </c>
      <c r="B190" s="11">
        <v>6919.0</v>
      </c>
      <c r="C190" s="11" t="s">
        <v>14118</v>
      </c>
      <c r="D190" s="547">
        <v>0.8</v>
      </c>
      <c r="E190" s="547">
        <v>0.8</v>
      </c>
      <c r="F190" s="229" t="s">
        <v>1656</v>
      </c>
      <c r="G190" s="88" t="s">
        <v>14232</v>
      </c>
      <c r="H190" s="88">
        <v>4426.0</v>
      </c>
      <c r="I190" s="88"/>
    </row>
    <row r="191">
      <c r="A191" s="88" t="s">
        <v>14233</v>
      </c>
      <c r="B191" s="11">
        <v>6919.0</v>
      </c>
      <c r="C191" s="11" t="s">
        <v>14118</v>
      </c>
      <c r="D191" s="547">
        <v>0.8</v>
      </c>
      <c r="E191" s="547">
        <v>0.8</v>
      </c>
      <c r="F191" s="229" t="s">
        <v>1656</v>
      </c>
      <c r="G191" s="88" t="s">
        <v>14233</v>
      </c>
      <c r="H191" s="88">
        <v>4426.0</v>
      </c>
      <c r="I191" s="88"/>
    </row>
    <row r="192">
      <c r="A192" s="88" t="s">
        <v>14234</v>
      </c>
      <c r="B192" s="11">
        <v>6919.0</v>
      </c>
      <c r="C192" s="11" t="s">
        <v>14118</v>
      </c>
      <c r="D192" s="547">
        <v>0.8</v>
      </c>
      <c r="E192" s="547">
        <v>0.8</v>
      </c>
      <c r="F192" s="229" t="s">
        <v>1656</v>
      </c>
      <c r="G192" s="88" t="s">
        <v>14234</v>
      </c>
      <c r="H192" s="88">
        <v>4426.0</v>
      </c>
      <c r="I192" s="88"/>
    </row>
    <row r="193">
      <c r="A193" s="88" t="s">
        <v>14235</v>
      </c>
      <c r="B193" s="11">
        <v>6919.0</v>
      </c>
      <c r="C193" s="11" t="s">
        <v>14118</v>
      </c>
      <c r="D193" s="547">
        <v>0.8</v>
      </c>
      <c r="E193" s="547">
        <v>0.8</v>
      </c>
      <c r="F193" s="229" t="s">
        <v>1656</v>
      </c>
      <c r="G193" s="88" t="s">
        <v>14235</v>
      </c>
      <c r="H193" s="88">
        <v>4426.0</v>
      </c>
      <c r="I193" s="88"/>
    </row>
    <row r="194">
      <c r="A194" s="88" t="s">
        <v>14236</v>
      </c>
      <c r="B194" s="11">
        <v>6919.0</v>
      </c>
      <c r="C194" s="11" t="s">
        <v>14118</v>
      </c>
      <c r="D194" s="547">
        <v>0.8</v>
      </c>
      <c r="E194" s="547">
        <v>0.8</v>
      </c>
      <c r="F194" s="229" t="s">
        <v>1656</v>
      </c>
      <c r="G194" s="88" t="s">
        <v>14236</v>
      </c>
      <c r="H194" s="88">
        <v>4426.0</v>
      </c>
      <c r="I194" s="88"/>
    </row>
    <row r="195">
      <c r="A195" s="88" t="s">
        <v>14237</v>
      </c>
      <c r="B195" s="11">
        <v>6919.0</v>
      </c>
      <c r="C195" s="11" t="s">
        <v>14118</v>
      </c>
      <c r="D195" s="547">
        <v>0.8</v>
      </c>
      <c r="E195" s="547">
        <v>0.8</v>
      </c>
      <c r="F195" s="229" t="s">
        <v>1656</v>
      </c>
      <c r="G195" s="88" t="s">
        <v>14237</v>
      </c>
      <c r="H195" s="88">
        <v>4426.0</v>
      </c>
    </row>
    <row r="196">
      <c r="A196" s="88" t="s">
        <v>14238</v>
      </c>
      <c r="B196" s="11">
        <v>6919.0</v>
      </c>
      <c r="C196" s="11" t="s">
        <v>14118</v>
      </c>
      <c r="D196" s="547">
        <v>0.8</v>
      </c>
      <c r="E196" s="547">
        <v>0.8</v>
      </c>
      <c r="F196" s="229" t="s">
        <v>1656</v>
      </c>
      <c r="G196" s="88" t="s">
        <v>14238</v>
      </c>
      <c r="H196" s="88">
        <v>4426.0</v>
      </c>
    </row>
    <row r="197">
      <c r="A197" s="18" t="s">
        <v>14239</v>
      </c>
      <c r="B197" s="18">
        <v>11045.0</v>
      </c>
      <c r="C197" s="11" t="s">
        <v>14118</v>
      </c>
      <c r="D197" s="547">
        <v>0.8</v>
      </c>
      <c r="E197" s="547">
        <v>0.8</v>
      </c>
      <c r="F197" s="88" t="s">
        <v>10980</v>
      </c>
      <c r="G197" s="18" t="s">
        <v>14239</v>
      </c>
      <c r="H197" s="18">
        <v>11045.0</v>
      </c>
      <c r="I197" s="88" t="s">
        <v>10980</v>
      </c>
    </row>
    <row r="198">
      <c r="A198" s="18" t="s">
        <v>14240</v>
      </c>
      <c r="B198" s="18">
        <v>12277.0</v>
      </c>
      <c r="C198" s="11" t="s">
        <v>14118</v>
      </c>
      <c r="D198" s="547">
        <v>0.8</v>
      </c>
      <c r="E198" s="547">
        <v>0.8</v>
      </c>
      <c r="F198" s="88" t="s">
        <v>10980</v>
      </c>
      <c r="G198" s="18" t="s">
        <v>14240</v>
      </c>
      <c r="H198" s="18">
        <v>12277.0</v>
      </c>
      <c r="I198" s="88" t="s">
        <v>10980</v>
      </c>
    </row>
    <row r="199">
      <c r="A199" s="18" t="s">
        <v>14241</v>
      </c>
      <c r="B199" s="18">
        <v>14419.0</v>
      </c>
      <c r="C199" s="11" t="s">
        <v>14118</v>
      </c>
      <c r="D199" s="547">
        <v>0.8</v>
      </c>
      <c r="E199" s="547">
        <v>0.8</v>
      </c>
      <c r="F199" s="88" t="s">
        <v>10980</v>
      </c>
      <c r="G199" s="18" t="s">
        <v>14241</v>
      </c>
      <c r="H199" s="18">
        <v>14419.0</v>
      </c>
      <c r="I199" s="88" t="s">
        <v>10980</v>
      </c>
    </row>
    <row r="200">
      <c r="A200" s="18" t="s">
        <v>14242</v>
      </c>
      <c r="B200" s="18">
        <v>11768.0</v>
      </c>
      <c r="C200" s="11" t="s">
        <v>14118</v>
      </c>
      <c r="D200" s="547">
        <v>0.8</v>
      </c>
      <c r="E200" s="547">
        <v>0.8</v>
      </c>
      <c r="F200" s="88" t="s">
        <v>10980</v>
      </c>
      <c r="G200" s="18" t="s">
        <v>14242</v>
      </c>
      <c r="H200" s="18">
        <v>11768.0</v>
      </c>
      <c r="I200" s="88" t="s">
        <v>10980</v>
      </c>
    </row>
    <row r="201">
      <c r="A201" s="18" t="s">
        <v>14243</v>
      </c>
      <c r="B201" s="18">
        <v>12609.0</v>
      </c>
      <c r="C201" s="11" t="s">
        <v>14118</v>
      </c>
      <c r="D201" s="547">
        <v>0.8</v>
      </c>
      <c r="E201" s="547">
        <v>0.8</v>
      </c>
      <c r="F201" s="88" t="s">
        <v>10980</v>
      </c>
      <c r="G201" s="18" t="s">
        <v>14243</v>
      </c>
      <c r="H201" s="18">
        <v>12609.0</v>
      </c>
      <c r="I201" s="88" t="s">
        <v>10980</v>
      </c>
    </row>
    <row r="202">
      <c r="A202" s="18" t="s">
        <v>14244</v>
      </c>
      <c r="B202" s="18">
        <v>8483.0</v>
      </c>
      <c r="C202" s="11" t="s">
        <v>14118</v>
      </c>
      <c r="D202" s="547">
        <v>0.8</v>
      </c>
      <c r="E202" s="547">
        <v>0.8</v>
      </c>
      <c r="F202" s="88" t="s">
        <v>10980</v>
      </c>
      <c r="G202" s="18" t="s">
        <v>14244</v>
      </c>
      <c r="H202" s="18">
        <v>8483.0</v>
      </c>
      <c r="I202" s="88" t="s">
        <v>10980</v>
      </c>
    </row>
    <row r="203">
      <c r="A203" s="18" t="s">
        <v>14245</v>
      </c>
      <c r="B203" s="88">
        <v>14608.0</v>
      </c>
      <c r="C203" s="11" t="s">
        <v>14118</v>
      </c>
      <c r="D203" s="547">
        <v>0.8</v>
      </c>
      <c r="E203" s="547">
        <v>0.8</v>
      </c>
      <c r="F203" s="88" t="s">
        <v>10980</v>
      </c>
      <c r="G203" s="18" t="s">
        <v>14245</v>
      </c>
      <c r="H203" s="88">
        <v>14608.0</v>
      </c>
      <c r="I203" s="88" t="s">
        <v>10980</v>
      </c>
    </row>
    <row r="204">
      <c r="A204" s="18" t="s">
        <v>14246</v>
      </c>
      <c r="B204" s="18">
        <v>14185.0</v>
      </c>
      <c r="C204" s="11" t="s">
        <v>14118</v>
      </c>
      <c r="D204" s="547">
        <v>0.8</v>
      </c>
      <c r="E204" s="547">
        <v>0.8</v>
      </c>
      <c r="F204" s="88" t="s">
        <v>10980</v>
      </c>
      <c r="G204" s="18" t="s">
        <v>14246</v>
      </c>
      <c r="H204" s="18">
        <v>14185.0</v>
      </c>
      <c r="I204" s="88" t="s">
        <v>10980</v>
      </c>
    </row>
    <row r="205">
      <c r="A205" s="18" t="s">
        <v>14247</v>
      </c>
      <c r="B205" s="18">
        <v>14185.0</v>
      </c>
      <c r="C205" s="11" t="s">
        <v>14118</v>
      </c>
      <c r="D205" s="547">
        <v>0.8</v>
      </c>
      <c r="E205" s="547">
        <v>0.8</v>
      </c>
      <c r="F205" s="88" t="s">
        <v>10980</v>
      </c>
      <c r="G205" s="18" t="s">
        <v>14247</v>
      </c>
      <c r="H205" s="18">
        <v>14185.0</v>
      </c>
      <c r="I205" s="88" t="s">
        <v>10980</v>
      </c>
    </row>
    <row r="206">
      <c r="A206" s="18" t="s">
        <v>14248</v>
      </c>
      <c r="B206" s="18">
        <v>10368.0</v>
      </c>
      <c r="C206" s="11" t="s">
        <v>14118</v>
      </c>
      <c r="D206" s="547">
        <v>0.8</v>
      </c>
      <c r="E206" s="547">
        <v>0.8</v>
      </c>
      <c r="F206" s="88" t="s">
        <v>10980</v>
      </c>
      <c r="G206" s="18" t="s">
        <v>14248</v>
      </c>
      <c r="H206" s="18">
        <v>10368.0</v>
      </c>
      <c r="I206" s="88" t="s">
        <v>10980</v>
      </c>
    </row>
    <row r="207">
      <c r="A207" s="18" t="s">
        <v>14249</v>
      </c>
      <c r="B207" s="512">
        <v>14540.0</v>
      </c>
      <c r="C207" s="11" t="s">
        <v>14118</v>
      </c>
      <c r="D207" s="547">
        <v>0.8</v>
      </c>
      <c r="E207" s="547">
        <v>0.8</v>
      </c>
      <c r="F207" s="88" t="s">
        <v>10980</v>
      </c>
      <c r="G207" s="18" t="s">
        <v>14249</v>
      </c>
      <c r="I207" s="88" t="s">
        <v>10980</v>
      </c>
    </row>
    <row r="208">
      <c r="A208" s="18" t="s">
        <v>14250</v>
      </c>
      <c r="B208" s="18">
        <v>13062.0</v>
      </c>
      <c r="C208" s="11" t="s">
        <v>14118</v>
      </c>
      <c r="D208" s="547">
        <v>0.8</v>
      </c>
      <c r="E208" s="547">
        <v>0.8</v>
      </c>
      <c r="F208" s="88" t="s">
        <v>10980</v>
      </c>
      <c r="G208" s="18" t="s">
        <v>14250</v>
      </c>
      <c r="H208" s="18">
        <v>13062.0</v>
      </c>
      <c r="I208" s="88" t="s">
        <v>10980</v>
      </c>
    </row>
    <row r="209">
      <c r="A209" s="18" t="s">
        <v>14251</v>
      </c>
      <c r="C209" s="11" t="s">
        <v>14118</v>
      </c>
      <c r="D209" s="547">
        <v>0.8</v>
      </c>
      <c r="E209" s="547">
        <v>0.8</v>
      </c>
      <c r="F209" s="88" t="s">
        <v>10980</v>
      </c>
      <c r="G209" s="18" t="s">
        <v>14251</v>
      </c>
      <c r="I209" s="88" t="s">
        <v>10980</v>
      </c>
    </row>
    <row r="210">
      <c r="A210" s="18" t="s">
        <v>14252</v>
      </c>
      <c r="C210" s="11" t="s">
        <v>14118</v>
      </c>
      <c r="D210" s="547">
        <v>0.8</v>
      </c>
      <c r="E210" s="547">
        <v>0.8</v>
      </c>
      <c r="F210" s="88" t="s">
        <v>10980</v>
      </c>
      <c r="G210" s="18" t="s">
        <v>14252</v>
      </c>
      <c r="I210" s="88" t="s">
        <v>10980</v>
      </c>
    </row>
    <row r="211">
      <c r="A211" s="18" t="s">
        <v>14253</v>
      </c>
      <c r="C211" s="11" t="s">
        <v>14118</v>
      </c>
      <c r="D211" s="547">
        <v>0.8</v>
      </c>
      <c r="E211" s="547">
        <v>0.8</v>
      </c>
      <c r="F211" s="88" t="s">
        <v>10980</v>
      </c>
      <c r="G211" s="18" t="s">
        <v>14253</v>
      </c>
      <c r="I211" s="88" t="s">
        <v>10980</v>
      </c>
    </row>
    <row r="212">
      <c r="A212" s="18" t="s">
        <v>14254</v>
      </c>
      <c r="B212" s="11">
        <v>14540.0</v>
      </c>
      <c r="C212" s="11" t="s">
        <v>14118</v>
      </c>
      <c r="D212" s="547">
        <v>0.8</v>
      </c>
      <c r="E212" s="547">
        <v>0.8</v>
      </c>
      <c r="F212" s="88" t="s">
        <v>10980</v>
      </c>
      <c r="G212" s="18" t="s">
        <v>14254</v>
      </c>
      <c r="I212" s="88" t="s">
        <v>10980</v>
      </c>
    </row>
    <row r="213">
      <c r="A213" s="18" t="s">
        <v>14255</v>
      </c>
      <c r="C213" s="11" t="s">
        <v>14118</v>
      </c>
      <c r="D213" s="547">
        <v>0.8</v>
      </c>
      <c r="E213" s="547">
        <v>0.8</v>
      </c>
      <c r="F213" s="88" t="s">
        <v>10980</v>
      </c>
      <c r="G213" s="18" t="s">
        <v>14255</v>
      </c>
      <c r="I213" s="88" t="s">
        <v>10980</v>
      </c>
    </row>
    <row r="214">
      <c r="A214" s="18" t="s">
        <v>14256</v>
      </c>
      <c r="C214" s="11" t="s">
        <v>14118</v>
      </c>
      <c r="D214" s="547">
        <v>0.8</v>
      </c>
      <c r="E214" s="547">
        <v>0.8</v>
      </c>
      <c r="F214" s="88" t="s">
        <v>10980</v>
      </c>
      <c r="G214" s="18" t="s">
        <v>14256</v>
      </c>
      <c r="I214" s="88" t="s">
        <v>10980</v>
      </c>
    </row>
    <row r="215">
      <c r="A215" s="18" t="s">
        <v>14257</v>
      </c>
      <c r="C215" s="11" t="s">
        <v>14118</v>
      </c>
      <c r="D215" s="547">
        <v>0.8</v>
      </c>
      <c r="E215" s="547">
        <v>0.8</v>
      </c>
      <c r="F215" s="88" t="s">
        <v>10980</v>
      </c>
      <c r="G215" s="18" t="s">
        <v>14257</v>
      </c>
      <c r="I215" s="88" t="s">
        <v>10980</v>
      </c>
    </row>
    <row r="216">
      <c r="A216" s="18" t="s">
        <v>14258</v>
      </c>
      <c r="C216" s="11" t="s">
        <v>14118</v>
      </c>
      <c r="D216" s="547">
        <v>0.8</v>
      </c>
      <c r="E216" s="547">
        <v>0.8</v>
      </c>
      <c r="F216" s="88" t="s">
        <v>10980</v>
      </c>
      <c r="G216" s="18" t="s">
        <v>14258</v>
      </c>
      <c r="I216" s="88" t="s">
        <v>10980</v>
      </c>
    </row>
    <row r="217">
      <c r="A217" s="18" t="s">
        <v>14259</v>
      </c>
      <c r="C217" s="11" t="s">
        <v>14118</v>
      </c>
      <c r="D217" s="547">
        <v>0.8</v>
      </c>
      <c r="E217" s="547">
        <v>0.8</v>
      </c>
      <c r="F217" s="88" t="s">
        <v>10980</v>
      </c>
      <c r="G217" s="18" t="s">
        <v>14259</v>
      </c>
      <c r="I217" s="88" t="s">
        <v>10980</v>
      </c>
    </row>
    <row r="218">
      <c r="A218" s="18" t="s">
        <v>6702</v>
      </c>
      <c r="C218" s="11" t="s">
        <v>14118</v>
      </c>
      <c r="D218" s="547">
        <v>0.8</v>
      </c>
      <c r="E218" s="547">
        <v>0.8</v>
      </c>
      <c r="F218" s="88" t="s">
        <v>10980</v>
      </c>
      <c r="G218" s="18" t="s">
        <v>6702</v>
      </c>
      <c r="I218" s="88" t="s">
        <v>10980</v>
      </c>
    </row>
    <row r="219">
      <c r="A219" s="18" t="s">
        <v>14260</v>
      </c>
      <c r="B219" s="11">
        <v>14631.0</v>
      </c>
      <c r="C219" s="11" t="s">
        <v>14118</v>
      </c>
      <c r="D219" s="547">
        <v>0.8</v>
      </c>
      <c r="E219" s="547">
        <v>0.8</v>
      </c>
      <c r="F219" s="88" t="s">
        <v>10980</v>
      </c>
      <c r="G219" s="18" t="s">
        <v>14260</v>
      </c>
      <c r="I219" s="88" t="s">
        <v>10980</v>
      </c>
    </row>
    <row r="220">
      <c r="A220" s="18" t="s">
        <v>14261</v>
      </c>
      <c r="C220" s="11" t="s">
        <v>14118</v>
      </c>
      <c r="D220" s="547">
        <v>0.8</v>
      </c>
      <c r="E220" s="547">
        <v>0.8</v>
      </c>
      <c r="F220" s="88" t="s">
        <v>10980</v>
      </c>
      <c r="G220" s="18" t="s">
        <v>14261</v>
      </c>
      <c r="I220" s="88" t="s">
        <v>10980</v>
      </c>
    </row>
    <row r="221">
      <c r="A221" s="7" t="s">
        <v>14262</v>
      </c>
      <c r="B221" s="66">
        <v>6603.0</v>
      </c>
      <c r="C221" s="11" t="s">
        <v>14118</v>
      </c>
      <c r="D221" s="547">
        <v>0.8</v>
      </c>
      <c r="E221" s="547">
        <v>0.8</v>
      </c>
    </row>
    <row r="222">
      <c r="A222" s="7" t="s">
        <v>14263</v>
      </c>
      <c r="B222" s="66">
        <v>6736.0</v>
      </c>
      <c r="C222" s="11" t="s">
        <v>14118</v>
      </c>
      <c r="D222" s="547">
        <v>0.8</v>
      </c>
      <c r="E222" s="547">
        <v>0.8</v>
      </c>
    </row>
    <row r="223">
      <c r="A223" s="7" t="s">
        <v>14264</v>
      </c>
      <c r="B223" s="66">
        <v>6736.0</v>
      </c>
      <c r="C223" s="11" t="s">
        <v>14118</v>
      </c>
      <c r="D223" s="547">
        <v>0.8</v>
      </c>
      <c r="E223" s="547">
        <v>0.8</v>
      </c>
    </row>
    <row r="224">
      <c r="A224" s="7" t="s">
        <v>14265</v>
      </c>
      <c r="B224" s="66">
        <v>6936.0</v>
      </c>
      <c r="C224" s="11" t="s">
        <v>14118</v>
      </c>
      <c r="D224" s="547">
        <v>0.8</v>
      </c>
      <c r="E224" s="547">
        <v>0.8</v>
      </c>
    </row>
    <row r="225">
      <c r="A225" s="7" t="s">
        <v>14266</v>
      </c>
      <c r="B225" s="66">
        <v>6121.0</v>
      </c>
      <c r="C225" s="11" t="s">
        <v>14118</v>
      </c>
      <c r="D225" s="547">
        <v>0.8</v>
      </c>
      <c r="E225" s="547">
        <v>0.8</v>
      </c>
    </row>
    <row r="226">
      <c r="A226" s="7" t="s">
        <v>14267</v>
      </c>
      <c r="B226" s="195">
        <v>14646.0</v>
      </c>
      <c r="C226" s="11" t="s">
        <v>14118</v>
      </c>
      <c r="D226" s="547">
        <v>0.8</v>
      </c>
      <c r="E226" s="547">
        <v>0.8</v>
      </c>
    </row>
    <row r="227">
      <c r="A227" s="7" t="s">
        <v>14268</v>
      </c>
      <c r="B227" s="66">
        <v>6706.0</v>
      </c>
      <c r="C227" s="11" t="s">
        <v>14118</v>
      </c>
      <c r="D227" s="74">
        <v>0.85</v>
      </c>
      <c r="E227" s="74">
        <v>0.85</v>
      </c>
    </row>
    <row r="228">
      <c r="A228" s="7" t="s">
        <v>14269</v>
      </c>
      <c r="B228" s="66">
        <v>6706.0</v>
      </c>
      <c r="C228" s="11" t="s">
        <v>14118</v>
      </c>
      <c r="D228" s="74">
        <v>0.85</v>
      </c>
      <c r="E228" s="74">
        <v>0.85</v>
      </c>
    </row>
    <row r="229">
      <c r="A229" s="7" t="s">
        <v>7930</v>
      </c>
      <c r="B229" s="66">
        <v>6887.0</v>
      </c>
      <c r="C229" s="11" t="s">
        <v>14118</v>
      </c>
      <c r="D229" s="547">
        <v>0.8</v>
      </c>
      <c r="E229" s="547">
        <v>0.8</v>
      </c>
    </row>
    <row r="230">
      <c r="A230" s="7" t="s">
        <v>14270</v>
      </c>
      <c r="B230" s="66">
        <v>7619.0</v>
      </c>
      <c r="C230" s="11" t="s">
        <v>14118</v>
      </c>
      <c r="D230" s="547">
        <v>0.8</v>
      </c>
      <c r="E230" s="547">
        <v>0.8</v>
      </c>
    </row>
    <row r="231">
      <c r="A231" s="548" t="s">
        <v>14271</v>
      </c>
      <c r="B231" s="86"/>
      <c r="C231" s="11" t="s">
        <v>14272</v>
      </c>
      <c r="D231" s="547">
        <v>0.8</v>
      </c>
      <c r="E231" s="547">
        <v>0.8</v>
      </c>
    </row>
    <row r="232">
      <c r="A232" s="548" t="s">
        <v>14273</v>
      </c>
      <c r="B232" s="548">
        <v>7619.0</v>
      </c>
    </row>
    <row r="233">
      <c r="A233" s="548" t="s">
        <v>14274</v>
      </c>
      <c r="B233" s="86"/>
    </row>
    <row r="234">
      <c r="A234" s="548" t="s">
        <v>14275</v>
      </c>
      <c r="B234" s="86"/>
    </row>
    <row r="235">
      <c r="A235" s="548" t="s">
        <v>14276</v>
      </c>
      <c r="B235" s="86"/>
    </row>
    <row r="236">
      <c r="A236" s="548" t="s">
        <v>14277</v>
      </c>
      <c r="B236" s="86"/>
    </row>
    <row r="237">
      <c r="A237" s="548" t="s">
        <v>14278</v>
      </c>
      <c r="B237" s="86"/>
    </row>
    <row r="238">
      <c r="A238" s="548" t="s">
        <v>14279</v>
      </c>
      <c r="B238" s="86"/>
    </row>
    <row r="239">
      <c r="A239" s="548" t="s">
        <v>14280</v>
      </c>
      <c r="B239" s="86"/>
    </row>
    <row r="240">
      <c r="A240" s="548" t="s">
        <v>14281</v>
      </c>
      <c r="B240" s="86"/>
    </row>
    <row r="241">
      <c r="A241" s="548" t="s">
        <v>14282</v>
      </c>
      <c r="B241" s="86"/>
    </row>
    <row r="242">
      <c r="A242" s="548" t="s">
        <v>14283</v>
      </c>
      <c r="B242" s="86"/>
    </row>
    <row r="243">
      <c r="A243" s="548" t="s">
        <v>14284</v>
      </c>
      <c r="B243" s="86"/>
      <c r="D243" s="549" t="s">
        <v>14285</v>
      </c>
    </row>
    <row r="244">
      <c r="A244" s="548" t="s">
        <v>14286</v>
      </c>
      <c r="B244" s="86"/>
    </row>
    <row r="245">
      <c r="A245" s="548" t="s">
        <v>14287</v>
      </c>
      <c r="B245" s="86"/>
    </row>
    <row r="246">
      <c r="A246" s="548" t="s">
        <v>14288</v>
      </c>
      <c r="B246" s="86"/>
    </row>
    <row r="247">
      <c r="A247" s="548" t="s">
        <v>14289</v>
      </c>
      <c r="B247" s="86"/>
    </row>
    <row r="248">
      <c r="A248" s="548" t="s">
        <v>14290</v>
      </c>
      <c r="B248" s="86"/>
    </row>
    <row r="249">
      <c r="A249" s="548" t="s">
        <v>14291</v>
      </c>
      <c r="B249" s="86"/>
    </row>
    <row r="250">
      <c r="A250" s="548" t="s">
        <v>14292</v>
      </c>
      <c r="B250" s="86"/>
    </row>
    <row r="251">
      <c r="A251" s="548" t="s">
        <v>14293</v>
      </c>
      <c r="B251" s="86"/>
    </row>
    <row r="252">
      <c r="A252" s="548" t="s">
        <v>14294</v>
      </c>
      <c r="B252" s="86"/>
    </row>
    <row r="253">
      <c r="A253" s="548" t="s">
        <v>14295</v>
      </c>
      <c r="B253" s="86"/>
    </row>
    <row r="254">
      <c r="A254" s="548" t="s">
        <v>14296</v>
      </c>
      <c r="B254" s="86"/>
    </row>
    <row r="255">
      <c r="A255" s="548" t="s">
        <v>14297</v>
      </c>
      <c r="B255" s="86"/>
    </row>
    <row r="256">
      <c r="A256" s="548" t="s">
        <v>14298</v>
      </c>
      <c r="B256" s="86"/>
    </row>
    <row r="257">
      <c r="A257" s="548" t="s">
        <v>14299</v>
      </c>
      <c r="B257" s="86"/>
    </row>
    <row r="258">
      <c r="A258" s="548" t="s">
        <v>14300</v>
      </c>
      <c r="B258" s="86"/>
    </row>
    <row r="259">
      <c r="A259" s="548" t="s">
        <v>14301</v>
      </c>
      <c r="B259" s="86"/>
    </row>
    <row r="260">
      <c r="A260" s="548" t="s">
        <v>14302</v>
      </c>
      <c r="B260" s="86"/>
    </row>
    <row r="261">
      <c r="A261" s="550" t="s">
        <v>14303</v>
      </c>
      <c r="B261" s="551"/>
      <c r="C261" s="11" t="s">
        <v>14304</v>
      </c>
    </row>
    <row r="262">
      <c r="A262" s="550" t="s">
        <v>14305</v>
      </c>
      <c r="B262" s="551"/>
      <c r="C262" s="11" t="s">
        <v>14304</v>
      </c>
    </row>
    <row r="263">
      <c r="A263" s="550" t="s">
        <v>14306</v>
      </c>
      <c r="B263" s="551"/>
      <c r="C263" s="11" t="s">
        <v>14304</v>
      </c>
    </row>
    <row r="264">
      <c r="A264" s="550" t="s">
        <v>14307</v>
      </c>
      <c r="B264" s="551"/>
      <c r="C264" s="11" t="s">
        <v>14304</v>
      </c>
    </row>
    <row r="265">
      <c r="A265" s="550" t="s">
        <v>14308</v>
      </c>
      <c r="B265" s="551"/>
      <c r="C265" s="11" t="s">
        <v>14304</v>
      </c>
    </row>
    <row r="266">
      <c r="A266" s="550" t="s">
        <v>14309</v>
      </c>
      <c r="B266" s="551"/>
      <c r="C266" s="11" t="s">
        <v>14304</v>
      </c>
    </row>
    <row r="267">
      <c r="A267" s="550" t="s">
        <v>14310</v>
      </c>
      <c r="B267" s="550">
        <v>7619.0</v>
      </c>
      <c r="C267" s="11" t="s">
        <v>14304</v>
      </c>
    </row>
    <row r="268">
      <c r="A268" s="550" t="s">
        <v>14311</v>
      </c>
      <c r="B268" s="551"/>
      <c r="C268" s="11" t="s">
        <v>14304</v>
      </c>
    </row>
    <row r="269">
      <c r="A269" s="550" t="s">
        <v>14312</v>
      </c>
      <c r="B269" s="551"/>
      <c r="C269" s="11" t="s">
        <v>14304</v>
      </c>
    </row>
    <row r="270">
      <c r="A270" s="550" t="s">
        <v>14313</v>
      </c>
      <c r="B270" s="550">
        <v>14536.0</v>
      </c>
      <c r="C270" s="11" t="s">
        <v>14304</v>
      </c>
    </row>
    <row r="273">
      <c r="D273" s="552"/>
    </row>
  </sheetData>
  <hyperlinks>
    <hyperlink r:id="rId1" ref="D243"/>
  </hyperlinks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6.88"/>
    <col customWidth="1" min="5" max="5" width="19.0"/>
  </cols>
  <sheetData>
    <row r="1">
      <c r="A1" s="358" t="s">
        <v>44</v>
      </c>
      <c r="B1" s="12" t="s">
        <v>1</v>
      </c>
      <c r="C1" s="57" t="s">
        <v>294</v>
      </c>
      <c r="D1" s="55" t="s">
        <v>248</v>
      </c>
      <c r="E1" s="348" t="s">
        <v>249</v>
      </c>
      <c r="F1" s="349" t="s">
        <v>250</v>
      </c>
    </row>
    <row r="2">
      <c r="A2" s="358" t="s">
        <v>14314</v>
      </c>
      <c r="B2" s="11">
        <v>663.0</v>
      </c>
      <c r="C2" s="11" t="s">
        <v>14315</v>
      </c>
      <c r="D2" s="74">
        <v>0.75</v>
      </c>
      <c r="E2" s="74">
        <v>0.75</v>
      </c>
      <c r="F2" s="229" t="s">
        <v>1656</v>
      </c>
    </row>
    <row r="3">
      <c r="A3" s="358" t="s">
        <v>14316</v>
      </c>
      <c r="B3" s="11">
        <v>663.0</v>
      </c>
      <c r="C3" s="11" t="s">
        <v>14315</v>
      </c>
      <c r="D3" s="74">
        <v>0.75</v>
      </c>
      <c r="E3" s="74">
        <v>0.75</v>
      </c>
      <c r="F3" s="229" t="s">
        <v>1656</v>
      </c>
    </row>
    <row r="4">
      <c r="A4" s="358" t="s">
        <v>14317</v>
      </c>
      <c r="B4" s="11">
        <v>3307.0</v>
      </c>
      <c r="C4" s="11" t="s">
        <v>14315</v>
      </c>
      <c r="D4" s="74">
        <v>0.75</v>
      </c>
      <c r="E4" s="74">
        <v>0.75</v>
      </c>
      <c r="F4" s="229" t="s">
        <v>1656</v>
      </c>
      <c r="G4" s="74"/>
    </row>
    <row r="5">
      <c r="A5" s="358" t="s">
        <v>14318</v>
      </c>
      <c r="C5" s="11" t="s">
        <v>14315</v>
      </c>
      <c r="D5" s="74">
        <v>0.75</v>
      </c>
      <c r="E5" s="74">
        <v>0.75</v>
      </c>
      <c r="F5" s="229" t="s">
        <v>1656</v>
      </c>
    </row>
    <row r="6">
      <c r="A6" s="358" t="s">
        <v>14319</v>
      </c>
      <c r="C6" s="11" t="s">
        <v>14315</v>
      </c>
      <c r="D6" s="74">
        <v>0.75</v>
      </c>
      <c r="E6" s="74">
        <v>0.75</v>
      </c>
      <c r="F6" s="229" t="s">
        <v>1656</v>
      </c>
    </row>
    <row r="7">
      <c r="A7" s="358" t="s">
        <v>14320</v>
      </c>
      <c r="C7" s="11" t="s">
        <v>14315</v>
      </c>
      <c r="D7" s="74">
        <v>0.75</v>
      </c>
      <c r="E7" s="74">
        <v>0.75</v>
      </c>
      <c r="F7" s="229" t="s">
        <v>1656</v>
      </c>
    </row>
    <row r="8">
      <c r="A8" s="358" t="s">
        <v>14321</v>
      </c>
      <c r="C8" s="11" t="s">
        <v>14315</v>
      </c>
      <c r="D8" s="74">
        <v>0.75</v>
      </c>
      <c r="E8" s="74">
        <v>0.75</v>
      </c>
      <c r="F8" s="229" t="s">
        <v>1656</v>
      </c>
    </row>
    <row r="9">
      <c r="A9" s="358" t="s">
        <v>14322</v>
      </c>
      <c r="C9" s="11" t="s">
        <v>14315</v>
      </c>
      <c r="D9" s="74">
        <v>0.75</v>
      </c>
      <c r="E9" s="74">
        <v>0.75</v>
      </c>
      <c r="F9" s="229" t="s">
        <v>1656</v>
      </c>
    </row>
    <row r="10">
      <c r="A10" s="358" t="s">
        <v>14323</v>
      </c>
      <c r="C10" s="11" t="s">
        <v>14315</v>
      </c>
      <c r="D10" s="74">
        <v>0.75</v>
      </c>
      <c r="E10" s="74">
        <v>0.75</v>
      </c>
      <c r="F10" s="229" t="s">
        <v>1656</v>
      </c>
    </row>
    <row r="11">
      <c r="A11" s="358" t="s">
        <v>14324</v>
      </c>
      <c r="C11" s="11" t="s">
        <v>14315</v>
      </c>
      <c r="D11" s="74">
        <v>0.75</v>
      </c>
      <c r="E11" s="74">
        <v>0.75</v>
      </c>
      <c r="F11" s="229" t="s">
        <v>1656</v>
      </c>
    </row>
    <row r="12">
      <c r="A12" s="358" t="s">
        <v>14325</v>
      </c>
      <c r="C12" s="11" t="s">
        <v>14315</v>
      </c>
      <c r="D12" s="74">
        <v>0.75</v>
      </c>
      <c r="E12" s="74">
        <v>0.75</v>
      </c>
      <c r="F12" s="229" t="s">
        <v>1656</v>
      </c>
    </row>
    <row r="13">
      <c r="A13" s="358" t="s">
        <v>14326</v>
      </c>
      <c r="C13" s="11" t="s">
        <v>14315</v>
      </c>
      <c r="D13" s="74">
        <v>0.75</v>
      </c>
      <c r="E13" s="74">
        <v>0.75</v>
      </c>
      <c r="F13" s="229" t="s">
        <v>1656</v>
      </c>
    </row>
    <row r="14">
      <c r="A14" s="358" t="s">
        <v>14327</v>
      </c>
      <c r="C14" s="11" t="s">
        <v>14315</v>
      </c>
      <c r="D14" s="74">
        <v>0.75</v>
      </c>
      <c r="E14" s="74">
        <v>0.75</v>
      </c>
      <c r="F14" s="229" t="s">
        <v>1656</v>
      </c>
    </row>
    <row r="15">
      <c r="A15" s="358" t="s">
        <v>14328</v>
      </c>
      <c r="C15" s="11" t="s">
        <v>14315</v>
      </c>
      <c r="D15" s="74">
        <v>0.75</v>
      </c>
      <c r="E15" s="74">
        <v>0.75</v>
      </c>
      <c r="F15" s="229" t="s">
        <v>1656</v>
      </c>
    </row>
    <row r="16">
      <c r="A16" s="358" t="s">
        <v>14329</v>
      </c>
      <c r="C16" s="11" t="s">
        <v>14315</v>
      </c>
      <c r="D16" s="74">
        <v>0.75</v>
      </c>
      <c r="E16" s="74">
        <v>0.75</v>
      </c>
      <c r="F16" s="229" t="s">
        <v>1656</v>
      </c>
    </row>
    <row r="17">
      <c r="A17" s="358" t="s">
        <v>14330</v>
      </c>
      <c r="B17" s="11">
        <v>3607.0</v>
      </c>
      <c r="C17" s="11" t="s">
        <v>14315</v>
      </c>
      <c r="D17" s="74">
        <v>0.75</v>
      </c>
      <c r="E17" s="74">
        <v>0.75</v>
      </c>
      <c r="F17" s="229" t="s">
        <v>1656</v>
      </c>
    </row>
    <row r="18">
      <c r="A18" s="358" t="s">
        <v>14331</v>
      </c>
      <c r="B18" s="11">
        <v>3607.0</v>
      </c>
      <c r="C18" s="11" t="s">
        <v>14315</v>
      </c>
      <c r="D18" s="74">
        <v>0.75</v>
      </c>
      <c r="E18" s="74">
        <v>0.75</v>
      </c>
      <c r="F18" s="229" t="s">
        <v>1656</v>
      </c>
    </row>
    <row r="19">
      <c r="A19" s="358" t="s">
        <v>14332</v>
      </c>
      <c r="B19" s="11">
        <v>3607.0</v>
      </c>
      <c r="C19" s="11" t="s">
        <v>14315</v>
      </c>
      <c r="D19" s="74">
        <v>0.75</v>
      </c>
      <c r="E19" s="74">
        <v>0.75</v>
      </c>
      <c r="F19" s="229" t="s">
        <v>1656</v>
      </c>
    </row>
    <row r="20">
      <c r="A20" s="358" t="s">
        <v>14333</v>
      </c>
      <c r="B20" s="11">
        <v>3607.0</v>
      </c>
      <c r="C20" s="11" t="s">
        <v>14315</v>
      </c>
      <c r="D20" s="74">
        <v>0.75</v>
      </c>
      <c r="E20" s="74">
        <v>0.75</v>
      </c>
      <c r="F20" s="229" t="s">
        <v>1656</v>
      </c>
    </row>
    <row r="21">
      <c r="A21" s="358" t="s">
        <v>14334</v>
      </c>
      <c r="C21" s="11" t="s">
        <v>14315</v>
      </c>
      <c r="D21" s="74">
        <v>0.75</v>
      </c>
      <c r="E21" s="74">
        <v>0.75</v>
      </c>
      <c r="F21" s="229" t="s">
        <v>1656</v>
      </c>
    </row>
    <row r="22">
      <c r="A22" s="358" t="s">
        <v>14335</v>
      </c>
      <c r="C22" s="11" t="s">
        <v>14315</v>
      </c>
      <c r="D22" s="74">
        <v>0.75</v>
      </c>
      <c r="E22" s="74">
        <v>0.75</v>
      </c>
      <c r="F22" s="229" t="s">
        <v>1656</v>
      </c>
    </row>
    <row r="23">
      <c r="A23" s="358" t="s">
        <v>14336</v>
      </c>
      <c r="C23" s="11" t="s">
        <v>14315</v>
      </c>
      <c r="D23" s="74">
        <v>0.75</v>
      </c>
      <c r="E23" s="74">
        <v>0.75</v>
      </c>
      <c r="F23" s="229" t="s">
        <v>1656</v>
      </c>
    </row>
    <row r="24">
      <c r="A24" s="358" t="s">
        <v>14337</v>
      </c>
      <c r="B24" s="11">
        <v>6675.0</v>
      </c>
      <c r="C24" s="11" t="s">
        <v>14315</v>
      </c>
      <c r="D24" s="74">
        <v>0.75</v>
      </c>
      <c r="E24" s="74">
        <v>0.75</v>
      </c>
      <c r="F24" s="229" t="s">
        <v>1656</v>
      </c>
    </row>
    <row r="25">
      <c r="A25" s="358" t="s">
        <v>14338</v>
      </c>
      <c r="B25" s="11">
        <v>6675.0</v>
      </c>
      <c r="C25" s="11" t="s">
        <v>14315</v>
      </c>
      <c r="D25" s="74">
        <v>0.75</v>
      </c>
      <c r="E25" s="74">
        <v>0.75</v>
      </c>
      <c r="F25" s="229" t="s">
        <v>1656</v>
      </c>
    </row>
    <row r="26">
      <c r="A26" s="358" t="s">
        <v>14339</v>
      </c>
      <c r="B26" s="11">
        <v>6675.0</v>
      </c>
      <c r="C26" s="11" t="s">
        <v>14315</v>
      </c>
      <c r="D26" s="74">
        <v>0.75</v>
      </c>
      <c r="E26" s="74">
        <v>0.75</v>
      </c>
      <c r="F26" s="229" t="s">
        <v>1656</v>
      </c>
    </row>
    <row r="27">
      <c r="A27" s="358" t="s">
        <v>14340</v>
      </c>
      <c r="B27" s="11">
        <v>7142.0</v>
      </c>
      <c r="C27" s="11" t="s">
        <v>14315</v>
      </c>
      <c r="D27" s="74">
        <v>0.75</v>
      </c>
      <c r="E27" s="74">
        <v>0.75</v>
      </c>
      <c r="F27" s="229" t="s">
        <v>1656</v>
      </c>
    </row>
    <row r="28">
      <c r="A28" s="358" t="s">
        <v>14341</v>
      </c>
      <c r="B28" s="11">
        <v>3607.0</v>
      </c>
      <c r="C28" s="11" t="s">
        <v>14315</v>
      </c>
      <c r="D28" s="74">
        <v>0.75</v>
      </c>
      <c r="E28" s="74">
        <v>0.75</v>
      </c>
      <c r="F28" s="229" t="s">
        <v>1656</v>
      </c>
    </row>
    <row r="29">
      <c r="A29" s="358" t="s">
        <v>14342</v>
      </c>
      <c r="C29" s="11" t="s">
        <v>14315</v>
      </c>
      <c r="D29" s="74">
        <v>0.75</v>
      </c>
      <c r="E29" s="74">
        <v>0.75</v>
      </c>
      <c r="F29" s="229" t="s">
        <v>1656</v>
      </c>
    </row>
    <row r="30">
      <c r="A30" s="358" t="s">
        <v>14343</v>
      </c>
      <c r="C30" s="11" t="s">
        <v>14315</v>
      </c>
      <c r="D30" s="74">
        <v>0.75</v>
      </c>
      <c r="E30" s="74">
        <v>0.75</v>
      </c>
      <c r="F30" s="229" t="s">
        <v>1656</v>
      </c>
    </row>
    <row r="31">
      <c r="A31" s="358" t="s">
        <v>14344</v>
      </c>
      <c r="C31" s="11" t="s">
        <v>14315</v>
      </c>
      <c r="D31" s="74">
        <v>0.75</v>
      </c>
      <c r="E31" s="74">
        <v>0.75</v>
      </c>
      <c r="F31" s="229" t="s">
        <v>1656</v>
      </c>
    </row>
    <row r="32">
      <c r="A32" s="358" t="s">
        <v>14345</v>
      </c>
      <c r="C32" s="11" t="s">
        <v>14315</v>
      </c>
      <c r="D32" s="74">
        <v>0.75</v>
      </c>
      <c r="E32" s="74">
        <v>0.75</v>
      </c>
      <c r="F32" s="229" t="s">
        <v>1656</v>
      </c>
    </row>
    <row r="33">
      <c r="A33" s="358" t="s">
        <v>14346</v>
      </c>
      <c r="C33" s="11" t="s">
        <v>14315</v>
      </c>
      <c r="D33" s="74">
        <v>0.75</v>
      </c>
      <c r="E33" s="74">
        <v>0.75</v>
      </c>
      <c r="F33" s="229" t="s">
        <v>1656</v>
      </c>
    </row>
    <row r="34">
      <c r="A34" s="358" t="s">
        <v>14347</v>
      </c>
      <c r="C34" s="11" t="s">
        <v>14315</v>
      </c>
      <c r="D34" s="74">
        <v>0.75</v>
      </c>
      <c r="E34" s="74">
        <v>0.75</v>
      </c>
      <c r="F34" s="229" t="s">
        <v>1656</v>
      </c>
    </row>
    <row r="35">
      <c r="A35" s="358" t="s">
        <v>10306</v>
      </c>
      <c r="C35" s="11" t="s">
        <v>14315</v>
      </c>
      <c r="D35" s="74">
        <v>0.75</v>
      </c>
      <c r="E35" s="74">
        <v>0.75</v>
      </c>
      <c r="F35" s="229" t="s">
        <v>1656</v>
      </c>
    </row>
    <row r="36">
      <c r="A36" s="358" t="s">
        <v>10298</v>
      </c>
      <c r="C36" s="11" t="s">
        <v>14315</v>
      </c>
      <c r="D36" s="74">
        <v>0.75</v>
      </c>
      <c r="E36" s="74">
        <v>0.75</v>
      </c>
      <c r="F36" s="229" t="s">
        <v>1656</v>
      </c>
    </row>
    <row r="37">
      <c r="A37" s="358" t="s">
        <v>14348</v>
      </c>
      <c r="C37" s="11" t="s">
        <v>14315</v>
      </c>
      <c r="D37" s="74">
        <v>0.75</v>
      </c>
      <c r="E37" s="74">
        <v>0.75</v>
      </c>
      <c r="F37" s="229" t="s">
        <v>1656</v>
      </c>
    </row>
    <row r="38">
      <c r="A38" s="358" t="s">
        <v>14349</v>
      </c>
      <c r="C38" s="11" t="s">
        <v>14315</v>
      </c>
      <c r="D38" s="74">
        <v>0.75</v>
      </c>
      <c r="E38" s="74">
        <v>0.75</v>
      </c>
      <c r="F38" s="229" t="s">
        <v>1656</v>
      </c>
    </row>
    <row r="39">
      <c r="A39" s="358" t="s">
        <v>14350</v>
      </c>
      <c r="B39" s="11">
        <v>6675.0</v>
      </c>
      <c r="C39" s="11" t="s">
        <v>14315</v>
      </c>
      <c r="D39" s="74">
        <v>0.75</v>
      </c>
      <c r="E39" s="74">
        <v>0.75</v>
      </c>
      <c r="F39" s="229" t="s">
        <v>1656</v>
      </c>
    </row>
    <row r="40">
      <c r="A40" s="358" t="s">
        <v>14351</v>
      </c>
      <c r="B40" s="11">
        <v>6675.0</v>
      </c>
      <c r="C40" s="11" t="s">
        <v>14315</v>
      </c>
      <c r="D40" s="74">
        <v>0.75</v>
      </c>
      <c r="E40" s="74">
        <v>0.75</v>
      </c>
      <c r="F40" s="229" t="s">
        <v>1656</v>
      </c>
    </row>
    <row r="41">
      <c r="A41" s="358" t="s">
        <v>10087</v>
      </c>
      <c r="B41" s="11">
        <v>6675.0</v>
      </c>
      <c r="C41" s="11" t="s">
        <v>14315</v>
      </c>
      <c r="D41" s="74">
        <v>0.75</v>
      </c>
      <c r="E41" s="74">
        <v>0.75</v>
      </c>
      <c r="F41" s="229" t="s">
        <v>1656</v>
      </c>
    </row>
    <row r="42">
      <c r="A42" s="358" t="s">
        <v>14352</v>
      </c>
      <c r="C42" s="11" t="s">
        <v>14315</v>
      </c>
      <c r="D42" s="74">
        <v>0.75</v>
      </c>
      <c r="E42" s="74">
        <v>0.75</v>
      </c>
      <c r="F42" s="229" t="s">
        <v>1656</v>
      </c>
    </row>
    <row r="43">
      <c r="A43" s="358" t="s">
        <v>14353</v>
      </c>
      <c r="C43" s="11" t="s">
        <v>14315</v>
      </c>
      <c r="D43" s="74">
        <v>0.75</v>
      </c>
      <c r="E43" s="74">
        <v>0.75</v>
      </c>
      <c r="F43" s="229" t="s">
        <v>1656</v>
      </c>
    </row>
    <row r="44">
      <c r="A44" s="358" t="s">
        <v>10309</v>
      </c>
      <c r="C44" s="11" t="s">
        <v>14315</v>
      </c>
      <c r="D44" s="74">
        <v>0.75</v>
      </c>
      <c r="E44" s="74">
        <v>0.75</v>
      </c>
      <c r="F44" s="229" t="s">
        <v>1656</v>
      </c>
    </row>
    <row r="45">
      <c r="A45" s="358" t="s">
        <v>14354</v>
      </c>
      <c r="C45" s="11" t="s">
        <v>14315</v>
      </c>
      <c r="D45" s="74">
        <v>0.75</v>
      </c>
      <c r="E45" s="74">
        <v>0.75</v>
      </c>
      <c r="F45" s="229" t="s">
        <v>1656</v>
      </c>
    </row>
    <row r="46">
      <c r="A46" s="358" t="s">
        <v>10119</v>
      </c>
      <c r="C46" s="11" t="s">
        <v>14315</v>
      </c>
      <c r="D46" s="74">
        <v>0.75</v>
      </c>
      <c r="E46" s="74">
        <v>0.75</v>
      </c>
      <c r="F46" s="229" t="s">
        <v>1656</v>
      </c>
    </row>
    <row r="47">
      <c r="A47" s="358" t="s">
        <v>14355</v>
      </c>
      <c r="B47" s="11">
        <v>6675.0</v>
      </c>
      <c r="C47" s="11" t="s">
        <v>14315</v>
      </c>
      <c r="D47" s="74">
        <v>0.75</v>
      </c>
      <c r="E47" s="74">
        <v>0.75</v>
      </c>
      <c r="F47" s="229" t="s">
        <v>1656</v>
      </c>
    </row>
    <row r="48">
      <c r="A48" s="358" t="s">
        <v>14356</v>
      </c>
      <c r="C48" s="11" t="s">
        <v>14315</v>
      </c>
      <c r="D48" s="74">
        <v>0.75</v>
      </c>
      <c r="E48" s="74">
        <v>0.75</v>
      </c>
      <c r="F48" s="229" t="s">
        <v>1656</v>
      </c>
    </row>
    <row r="49">
      <c r="A49" s="358" t="s">
        <v>14357</v>
      </c>
      <c r="C49" s="11" t="s">
        <v>14315</v>
      </c>
      <c r="D49" s="74">
        <v>0.75</v>
      </c>
      <c r="E49" s="74">
        <v>0.75</v>
      </c>
      <c r="F49" s="229" t="s">
        <v>1656</v>
      </c>
    </row>
    <row r="50">
      <c r="A50" s="358" t="s">
        <v>14358</v>
      </c>
      <c r="C50" s="11" t="s">
        <v>14315</v>
      </c>
      <c r="D50" s="74">
        <v>0.75</v>
      </c>
      <c r="E50" s="74">
        <v>0.75</v>
      </c>
      <c r="F50" s="229" t="s">
        <v>1656</v>
      </c>
    </row>
    <row r="51">
      <c r="A51" s="358" t="s">
        <v>14359</v>
      </c>
      <c r="C51" s="11" t="s">
        <v>14315</v>
      </c>
      <c r="D51" s="74">
        <v>0.75</v>
      </c>
      <c r="E51" s="74">
        <v>0.75</v>
      </c>
      <c r="F51" s="229" t="s">
        <v>1656</v>
      </c>
    </row>
    <row r="52">
      <c r="A52" s="358" t="s">
        <v>14360</v>
      </c>
      <c r="C52" s="11" t="s">
        <v>14315</v>
      </c>
      <c r="D52" s="74">
        <v>0.75</v>
      </c>
      <c r="E52" s="74">
        <v>0.75</v>
      </c>
      <c r="F52" s="229" t="s">
        <v>1656</v>
      </c>
    </row>
    <row r="53">
      <c r="A53" s="358" t="s">
        <v>14361</v>
      </c>
      <c r="C53" s="11" t="s">
        <v>14315</v>
      </c>
      <c r="D53" s="74">
        <v>0.75</v>
      </c>
      <c r="E53" s="74">
        <v>0.75</v>
      </c>
      <c r="F53" s="229" t="s">
        <v>1656</v>
      </c>
    </row>
    <row r="54">
      <c r="A54" s="358" t="s">
        <v>13084</v>
      </c>
      <c r="C54" s="11" t="s">
        <v>14315</v>
      </c>
      <c r="D54" s="74">
        <v>0.75</v>
      </c>
      <c r="E54" s="74">
        <v>0.75</v>
      </c>
      <c r="F54" s="229" t="s">
        <v>1656</v>
      </c>
    </row>
    <row r="55">
      <c r="A55" s="358" t="s">
        <v>14362</v>
      </c>
      <c r="C55" s="11" t="s">
        <v>14315</v>
      </c>
      <c r="D55" s="74">
        <v>0.75</v>
      </c>
      <c r="E55" s="74">
        <v>0.75</v>
      </c>
      <c r="F55" s="229" t="s">
        <v>1656</v>
      </c>
    </row>
    <row r="56">
      <c r="A56" s="358" t="s">
        <v>14363</v>
      </c>
      <c r="C56" s="11" t="s">
        <v>14315</v>
      </c>
      <c r="D56" s="74">
        <v>0.75</v>
      </c>
      <c r="E56" s="74">
        <v>0.75</v>
      </c>
      <c r="F56" s="229" t="s">
        <v>1656</v>
      </c>
    </row>
    <row r="57">
      <c r="A57" s="358" t="s">
        <v>14364</v>
      </c>
      <c r="B57" s="16">
        <v>499.0</v>
      </c>
      <c r="C57" s="11" t="s">
        <v>14315</v>
      </c>
      <c r="D57" s="74">
        <v>0.75</v>
      </c>
      <c r="E57" s="74">
        <v>0.75</v>
      </c>
      <c r="F57" s="229" t="s">
        <v>1656</v>
      </c>
    </row>
    <row r="58">
      <c r="A58" s="358" t="s">
        <v>14365</v>
      </c>
      <c r="C58" s="11" t="s">
        <v>14315</v>
      </c>
      <c r="D58" s="74">
        <v>0.75</v>
      </c>
      <c r="E58" s="74">
        <v>0.75</v>
      </c>
      <c r="F58" s="229" t="s">
        <v>1656</v>
      </c>
    </row>
    <row r="59">
      <c r="A59" s="358" t="s">
        <v>14366</v>
      </c>
      <c r="C59" s="11" t="s">
        <v>14315</v>
      </c>
      <c r="D59" s="74">
        <v>0.75</v>
      </c>
      <c r="E59" s="74">
        <v>0.75</v>
      </c>
      <c r="F59" s="229" t="s">
        <v>1656</v>
      </c>
    </row>
    <row r="60">
      <c r="A60" s="358" t="s">
        <v>10308</v>
      </c>
      <c r="C60" s="11" t="s">
        <v>14315</v>
      </c>
      <c r="D60" s="74">
        <v>0.75</v>
      </c>
      <c r="E60" s="74">
        <v>0.75</v>
      </c>
      <c r="F60" s="229" t="s">
        <v>1656</v>
      </c>
    </row>
    <row r="61">
      <c r="A61" s="358" t="s">
        <v>14367</v>
      </c>
      <c r="C61" s="11" t="s">
        <v>14315</v>
      </c>
      <c r="D61" s="74">
        <v>0.75</v>
      </c>
      <c r="E61" s="74">
        <v>0.75</v>
      </c>
      <c r="F61" s="229" t="s">
        <v>1656</v>
      </c>
    </row>
    <row r="62">
      <c r="A62" s="358" t="s">
        <v>14368</v>
      </c>
      <c r="C62" s="11" t="s">
        <v>14315</v>
      </c>
      <c r="D62" s="74">
        <v>0.75</v>
      </c>
      <c r="E62" s="74">
        <v>0.75</v>
      </c>
      <c r="F62" s="229" t="s">
        <v>1656</v>
      </c>
    </row>
    <row r="63">
      <c r="A63" s="358" t="s">
        <v>10305</v>
      </c>
      <c r="C63" s="11" t="s">
        <v>14315</v>
      </c>
      <c r="D63" s="74">
        <v>0.75</v>
      </c>
      <c r="E63" s="74">
        <v>0.75</v>
      </c>
      <c r="F63" s="229" t="s">
        <v>1656</v>
      </c>
    </row>
    <row r="64">
      <c r="A64" s="358" t="s">
        <v>14369</v>
      </c>
      <c r="C64" s="11" t="s">
        <v>14315</v>
      </c>
      <c r="D64" s="74">
        <v>0.75</v>
      </c>
      <c r="E64" s="74">
        <v>0.75</v>
      </c>
      <c r="F64" s="229" t="s">
        <v>1656</v>
      </c>
    </row>
    <row r="65">
      <c r="A65" s="358" t="s">
        <v>14370</v>
      </c>
      <c r="C65" s="11" t="s">
        <v>14315</v>
      </c>
      <c r="D65" s="74">
        <v>0.75</v>
      </c>
      <c r="E65" s="74">
        <v>0.75</v>
      </c>
      <c r="F65" s="229" t="s">
        <v>1656</v>
      </c>
    </row>
    <row r="66">
      <c r="A66" s="358" t="s">
        <v>14371</v>
      </c>
      <c r="C66" s="11" t="s">
        <v>14315</v>
      </c>
      <c r="D66" s="74">
        <v>0.75</v>
      </c>
      <c r="E66" s="74">
        <v>0.75</v>
      </c>
      <c r="F66" s="229" t="s">
        <v>1656</v>
      </c>
    </row>
    <row r="67">
      <c r="A67" s="358" t="s">
        <v>14372</v>
      </c>
      <c r="C67" s="11" t="s">
        <v>14315</v>
      </c>
      <c r="D67" s="74">
        <v>0.75</v>
      </c>
      <c r="E67" s="74">
        <v>0.75</v>
      </c>
      <c r="F67" s="229" t="s">
        <v>1656</v>
      </c>
    </row>
    <row r="68">
      <c r="A68" s="358" t="s">
        <v>14373</v>
      </c>
      <c r="C68" s="11" t="s">
        <v>14315</v>
      </c>
      <c r="D68" s="74">
        <v>0.75</v>
      </c>
      <c r="E68" s="74">
        <v>0.75</v>
      </c>
      <c r="F68" s="229" t="s">
        <v>1656</v>
      </c>
    </row>
    <row r="69">
      <c r="A69" s="358" t="s">
        <v>13222</v>
      </c>
      <c r="B69" s="16"/>
      <c r="C69" s="11" t="s">
        <v>14315</v>
      </c>
      <c r="D69" s="74">
        <v>0.75</v>
      </c>
      <c r="E69" s="74">
        <v>0.75</v>
      </c>
      <c r="F69" s="229" t="s">
        <v>1656</v>
      </c>
    </row>
    <row r="70">
      <c r="A70" s="358" t="s">
        <v>14374</v>
      </c>
      <c r="B70" s="11">
        <v>6947.0</v>
      </c>
      <c r="C70" s="11" t="s">
        <v>14315</v>
      </c>
      <c r="D70" s="74">
        <v>0.75</v>
      </c>
      <c r="E70" s="74">
        <v>0.75</v>
      </c>
      <c r="F70" s="229" t="s">
        <v>1656</v>
      </c>
    </row>
    <row r="71">
      <c r="A71" s="358" t="s">
        <v>14375</v>
      </c>
      <c r="B71" s="11">
        <v>14575.0</v>
      </c>
      <c r="C71" s="11" t="s">
        <v>14315</v>
      </c>
      <c r="D71" s="74">
        <v>0.85</v>
      </c>
      <c r="E71" s="74">
        <v>0.85</v>
      </c>
      <c r="F71" s="229" t="s">
        <v>1656</v>
      </c>
    </row>
    <row r="72">
      <c r="A72" s="358" t="s">
        <v>14376</v>
      </c>
      <c r="C72" s="11" t="s">
        <v>14315</v>
      </c>
      <c r="D72" s="74">
        <v>0.75</v>
      </c>
      <c r="E72" s="74">
        <v>0.75</v>
      </c>
      <c r="F72" s="229" t="s">
        <v>1656</v>
      </c>
    </row>
    <row r="73">
      <c r="A73" s="358" t="s">
        <v>14377</v>
      </c>
      <c r="C73" s="11" t="s">
        <v>14315</v>
      </c>
      <c r="D73" s="74">
        <v>0.75</v>
      </c>
      <c r="E73" s="74">
        <v>0.75</v>
      </c>
      <c r="F73" s="229" t="s">
        <v>1656</v>
      </c>
    </row>
    <row r="74">
      <c r="A74" s="358" t="s">
        <v>14378</v>
      </c>
      <c r="C74" s="11" t="s">
        <v>14315</v>
      </c>
      <c r="D74" s="74">
        <v>0.75</v>
      </c>
      <c r="E74" s="74">
        <v>0.75</v>
      </c>
      <c r="F74" s="229" t="s">
        <v>1656</v>
      </c>
    </row>
    <row r="75">
      <c r="A75" s="358" t="s">
        <v>14379</v>
      </c>
      <c r="C75" s="11" t="s">
        <v>14315</v>
      </c>
      <c r="D75" s="74">
        <v>0.75</v>
      </c>
      <c r="E75" s="74">
        <v>0.75</v>
      </c>
      <c r="F75" s="229" t="s">
        <v>1656</v>
      </c>
    </row>
    <row r="76">
      <c r="A76" s="358" t="s">
        <v>14380</v>
      </c>
      <c r="C76" s="11" t="s">
        <v>14315</v>
      </c>
      <c r="D76" s="74">
        <v>0.75</v>
      </c>
      <c r="E76" s="74">
        <v>0.75</v>
      </c>
      <c r="F76" s="229" t="s">
        <v>1656</v>
      </c>
    </row>
    <row r="77">
      <c r="A77" s="358" t="s">
        <v>7654</v>
      </c>
      <c r="C77" s="11" t="s">
        <v>14315</v>
      </c>
      <c r="D77" s="74">
        <v>0.75</v>
      </c>
      <c r="E77" s="74">
        <v>0.75</v>
      </c>
      <c r="F77" s="229" t="s">
        <v>1656</v>
      </c>
    </row>
    <row r="78">
      <c r="A78" s="358" t="s">
        <v>14381</v>
      </c>
      <c r="C78" s="11" t="s">
        <v>14315</v>
      </c>
      <c r="D78" s="74">
        <v>0.75</v>
      </c>
      <c r="E78" s="74">
        <v>0.75</v>
      </c>
      <c r="F78" s="229" t="s">
        <v>1656</v>
      </c>
    </row>
    <row r="79">
      <c r="A79" s="358" t="s">
        <v>14382</v>
      </c>
      <c r="C79" s="11" t="s">
        <v>14315</v>
      </c>
      <c r="D79" s="74">
        <v>0.75</v>
      </c>
      <c r="E79" s="74">
        <v>0.75</v>
      </c>
      <c r="F79" s="229" t="s">
        <v>1656</v>
      </c>
    </row>
    <row r="80">
      <c r="A80" s="358" t="s">
        <v>14383</v>
      </c>
      <c r="C80" s="11" t="s">
        <v>14315</v>
      </c>
      <c r="D80" s="74">
        <v>0.75</v>
      </c>
      <c r="E80" s="74">
        <v>0.75</v>
      </c>
      <c r="F80" s="229" t="s">
        <v>1656</v>
      </c>
    </row>
    <row r="81">
      <c r="A81" s="358" t="s">
        <v>14384</v>
      </c>
      <c r="C81" s="11" t="s">
        <v>14315</v>
      </c>
      <c r="D81" s="74">
        <v>0.75</v>
      </c>
      <c r="E81" s="74">
        <v>0.75</v>
      </c>
      <c r="F81" s="229" t="s">
        <v>1656</v>
      </c>
    </row>
    <row r="82">
      <c r="A82" s="358" t="s">
        <v>14385</v>
      </c>
      <c r="C82" s="11" t="s">
        <v>14315</v>
      </c>
      <c r="D82" s="74">
        <v>0.75</v>
      </c>
      <c r="E82" s="74">
        <v>0.75</v>
      </c>
      <c r="F82" s="229" t="s">
        <v>1656</v>
      </c>
      <c r="G82" s="11" t="s">
        <v>207</v>
      </c>
    </row>
    <row r="83">
      <c r="A83" s="358" t="s">
        <v>14386</v>
      </c>
      <c r="C83" s="11" t="s">
        <v>14315</v>
      </c>
      <c r="D83" s="74">
        <v>0.75</v>
      </c>
      <c r="E83" s="74">
        <v>0.75</v>
      </c>
      <c r="F83" s="229" t="s">
        <v>1656</v>
      </c>
      <c r="G83" s="11" t="s">
        <v>207</v>
      </c>
    </row>
    <row r="84">
      <c r="A84" s="358" t="s">
        <v>14387</v>
      </c>
      <c r="C84" s="11" t="s">
        <v>14315</v>
      </c>
      <c r="D84" s="74">
        <v>0.75</v>
      </c>
      <c r="E84" s="74">
        <v>0.75</v>
      </c>
      <c r="F84" s="229" t="s">
        <v>1656</v>
      </c>
      <c r="G84" s="11" t="s">
        <v>207</v>
      </c>
    </row>
    <row r="85">
      <c r="A85" s="358" t="s">
        <v>14388</v>
      </c>
      <c r="C85" s="11" t="s">
        <v>14315</v>
      </c>
      <c r="D85" s="74">
        <v>0.75</v>
      </c>
      <c r="E85" s="74">
        <v>0.75</v>
      </c>
      <c r="F85" s="229" t="s">
        <v>1656</v>
      </c>
      <c r="G85" s="11" t="s">
        <v>207</v>
      </c>
    </row>
    <row r="86">
      <c r="A86" s="358" t="s">
        <v>14389</v>
      </c>
      <c r="C86" s="11" t="s">
        <v>14315</v>
      </c>
      <c r="D86" s="74">
        <v>0.75</v>
      </c>
      <c r="E86" s="74">
        <v>0.75</v>
      </c>
      <c r="F86" s="229" t="s">
        <v>1656</v>
      </c>
      <c r="G86" s="11" t="s">
        <v>207</v>
      </c>
    </row>
    <row r="87">
      <c r="A87" s="358" t="s">
        <v>14390</v>
      </c>
      <c r="C87" s="11" t="s">
        <v>14315</v>
      </c>
      <c r="D87" s="74">
        <v>0.75</v>
      </c>
      <c r="E87" s="74">
        <v>0.75</v>
      </c>
      <c r="F87" s="229" t="s">
        <v>1656</v>
      </c>
      <c r="G87" s="11" t="s">
        <v>207</v>
      </c>
    </row>
    <row r="88">
      <c r="A88" s="358" t="s">
        <v>14391</v>
      </c>
      <c r="C88" s="11" t="s">
        <v>14315</v>
      </c>
      <c r="D88" s="74">
        <v>0.75</v>
      </c>
      <c r="E88" s="74">
        <v>0.75</v>
      </c>
      <c r="F88" s="229" t="s">
        <v>1656</v>
      </c>
      <c r="G88" s="11" t="s">
        <v>207</v>
      </c>
    </row>
    <row r="89">
      <c r="A89" s="17" t="s">
        <v>14392</v>
      </c>
      <c r="B89" s="11">
        <v>3607.0</v>
      </c>
      <c r="C89" s="11" t="s">
        <v>14315</v>
      </c>
      <c r="D89" s="74">
        <v>0.75</v>
      </c>
      <c r="E89" s="74">
        <v>0.75</v>
      </c>
      <c r="F89" s="229" t="s">
        <v>1656</v>
      </c>
    </row>
    <row r="90">
      <c r="A90" s="17" t="s">
        <v>12531</v>
      </c>
      <c r="B90" s="11">
        <v>6729.0</v>
      </c>
      <c r="C90" s="11" t="s">
        <v>14315</v>
      </c>
      <c r="D90" s="74">
        <v>0.75</v>
      </c>
      <c r="E90" s="74">
        <v>0.75</v>
      </c>
      <c r="F90" s="229" t="s">
        <v>1656</v>
      </c>
    </row>
    <row r="91">
      <c r="A91" s="5"/>
    </row>
    <row r="92">
      <c r="A92" s="5"/>
    </row>
    <row r="93">
      <c r="A93" s="5"/>
    </row>
    <row r="94">
      <c r="A94" s="5"/>
    </row>
    <row r="95">
      <c r="A95" s="5"/>
    </row>
    <row r="96">
      <c r="A96" s="5"/>
    </row>
    <row r="97">
      <c r="A97" s="5"/>
    </row>
    <row r="98">
      <c r="A98" s="5"/>
    </row>
    <row r="99">
      <c r="A99" s="5"/>
    </row>
    <row r="100">
      <c r="A100" s="5"/>
    </row>
    <row r="101">
      <c r="A101" s="5"/>
    </row>
    <row r="102">
      <c r="A102" s="5"/>
    </row>
    <row r="103">
      <c r="A103" s="5"/>
    </row>
    <row r="104">
      <c r="A104" s="5"/>
    </row>
    <row r="105">
      <c r="A105" s="5"/>
    </row>
    <row r="106">
      <c r="A106" s="5"/>
    </row>
    <row r="107">
      <c r="A107" s="5"/>
    </row>
    <row r="108">
      <c r="A108" s="5"/>
    </row>
    <row r="109">
      <c r="A109" s="5"/>
    </row>
    <row r="110">
      <c r="A110" s="5"/>
    </row>
    <row r="111">
      <c r="A111" s="5"/>
    </row>
    <row r="112">
      <c r="A112" s="5"/>
    </row>
    <row r="113">
      <c r="A113" s="5"/>
    </row>
    <row r="114">
      <c r="A114" s="5"/>
    </row>
    <row r="115">
      <c r="A115" s="5"/>
    </row>
    <row r="116">
      <c r="A116" s="5"/>
    </row>
    <row r="117">
      <c r="A117" s="5"/>
    </row>
    <row r="118">
      <c r="A118" s="5"/>
    </row>
    <row r="119">
      <c r="A119" s="5"/>
    </row>
    <row r="120">
      <c r="A120" s="5"/>
    </row>
    <row r="121">
      <c r="A121" s="5"/>
    </row>
    <row r="122">
      <c r="A122" s="5"/>
    </row>
    <row r="123">
      <c r="A123" s="5"/>
    </row>
    <row r="124">
      <c r="A124" s="5"/>
    </row>
    <row r="125">
      <c r="A125" s="5"/>
    </row>
    <row r="126">
      <c r="A126" s="5"/>
    </row>
    <row r="127">
      <c r="A127" s="5"/>
    </row>
    <row r="128">
      <c r="A128" s="5"/>
    </row>
    <row r="129">
      <c r="A129" s="5"/>
    </row>
    <row r="130">
      <c r="A130" s="5"/>
    </row>
    <row r="131">
      <c r="A131" s="5"/>
    </row>
    <row r="132">
      <c r="A132" s="5"/>
    </row>
    <row r="133">
      <c r="A133" s="5"/>
    </row>
    <row r="134">
      <c r="A134" s="5"/>
    </row>
    <row r="135">
      <c r="A135" s="5"/>
    </row>
    <row r="136">
      <c r="A136" s="5"/>
    </row>
    <row r="137">
      <c r="A137" s="5"/>
    </row>
    <row r="138">
      <c r="A138" s="5"/>
    </row>
    <row r="139">
      <c r="A139" s="5"/>
    </row>
    <row r="140">
      <c r="A140" s="5"/>
    </row>
    <row r="141">
      <c r="A141" s="5"/>
    </row>
    <row r="142">
      <c r="A142" s="5"/>
    </row>
    <row r="143">
      <c r="A143" s="5"/>
    </row>
    <row r="144">
      <c r="A144" s="5"/>
    </row>
    <row r="145">
      <c r="A145" s="5"/>
    </row>
    <row r="146">
      <c r="A146" s="5"/>
    </row>
    <row r="147">
      <c r="A147" s="5"/>
    </row>
    <row r="148">
      <c r="A148" s="5"/>
    </row>
    <row r="149">
      <c r="A149" s="5"/>
    </row>
    <row r="150">
      <c r="A150" s="5"/>
    </row>
    <row r="151">
      <c r="A151" s="5"/>
    </row>
    <row r="152">
      <c r="A152" s="5"/>
    </row>
    <row r="153">
      <c r="A153" s="5"/>
    </row>
    <row r="154">
      <c r="A154" s="5"/>
    </row>
    <row r="155">
      <c r="A155" s="5"/>
    </row>
    <row r="156">
      <c r="A156" s="5"/>
    </row>
    <row r="157">
      <c r="A157" s="5"/>
    </row>
    <row r="158">
      <c r="A158" s="5"/>
    </row>
    <row r="159">
      <c r="A159" s="5"/>
    </row>
    <row r="160">
      <c r="A160" s="5"/>
    </row>
    <row r="161">
      <c r="A161" s="5"/>
    </row>
    <row r="162">
      <c r="A162" s="5"/>
    </row>
    <row r="163">
      <c r="A163" s="5"/>
    </row>
    <row r="164">
      <c r="A164" s="5"/>
    </row>
    <row r="165">
      <c r="A165" s="5"/>
    </row>
    <row r="166">
      <c r="A166" s="5"/>
    </row>
    <row r="167">
      <c r="A167" s="5"/>
    </row>
    <row r="168">
      <c r="A168" s="5"/>
    </row>
    <row r="169">
      <c r="A169" s="5"/>
    </row>
    <row r="170">
      <c r="A170" s="5"/>
    </row>
    <row r="171">
      <c r="A171" s="5"/>
    </row>
    <row r="172">
      <c r="A172" s="5"/>
    </row>
    <row r="173">
      <c r="A173" s="5"/>
    </row>
    <row r="174">
      <c r="A174" s="5"/>
    </row>
    <row r="175">
      <c r="A175" s="5"/>
    </row>
    <row r="176">
      <c r="A176" s="5"/>
    </row>
    <row r="177">
      <c r="A177" s="5"/>
    </row>
    <row r="178">
      <c r="A178" s="5"/>
    </row>
    <row r="179">
      <c r="A179" s="5"/>
    </row>
    <row r="180">
      <c r="A180" s="5"/>
    </row>
    <row r="181">
      <c r="A181" s="5"/>
    </row>
    <row r="182">
      <c r="A182" s="5"/>
    </row>
    <row r="183">
      <c r="A183" s="5"/>
    </row>
    <row r="184">
      <c r="A184" s="5"/>
    </row>
    <row r="185">
      <c r="A185" s="5"/>
    </row>
    <row r="186">
      <c r="A186" s="5"/>
    </row>
    <row r="187">
      <c r="A187" s="5"/>
    </row>
    <row r="188">
      <c r="A188" s="5"/>
    </row>
    <row r="189">
      <c r="A189" s="5"/>
    </row>
    <row r="190">
      <c r="A190" s="5"/>
    </row>
    <row r="191">
      <c r="A191" s="5"/>
    </row>
    <row r="192">
      <c r="A192" s="5"/>
    </row>
    <row r="193">
      <c r="A193" s="5"/>
    </row>
    <row r="194">
      <c r="A194" s="5"/>
    </row>
    <row r="195">
      <c r="A195" s="5"/>
    </row>
    <row r="196">
      <c r="A196" s="5"/>
    </row>
    <row r="197">
      <c r="A197" s="5"/>
    </row>
    <row r="198">
      <c r="A198" s="5"/>
    </row>
    <row r="199">
      <c r="A199" s="5"/>
    </row>
    <row r="200">
      <c r="A200" s="5"/>
    </row>
    <row r="201">
      <c r="A201" s="5"/>
    </row>
    <row r="202">
      <c r="A202" s="5"/>
    </row>
    <row r="203">
      <c r="A203" s="5"/>
    </row>
    <row r="204">
      <c r="A204" s="5"/>
    </row>
    <row r="205">
      <c r="A205" s="5"/>
    </row>
    <row r="206">
      <c r="A206" s="5"/>
    </row>
    <row r="207">
      <c r="A207" s="5"/>
    </row>
    <row r="208">
      <c r="A208" s="5"/>
    </row>
    <row r="209">
      <c r="A209" s="5"/>
    </row>
    <row r="210">
      <c r="A210" s="5"/>
    </row>
    <row r="211">
      <c r="A211" s="5"/>
    </row>
    <row r="212">
      <c r="A212" s="5"/>
    </row>
    <row r="213">
      <c r="A213" s="5"/>
    </row>
    <row r="214">
      <c r="A214" s="5"/>
    </row>
    <row r="215">
      <c r="A215" s="5"/>
    </row>
    <row r="216">
      <c r="A216" s="5"/>
    </row>
    <row r="217">
      <c r="A217" s="5"/>
    </row>
    <row r="218">
      <c r="A218" s="5"/>
    </row>
    <row r="219">
      <c r="A219" s="5"/>
    </row>
    <row r="220">
      <c r="A220" s="5"/>
    </row>
    <row r="221">
      <c r="A221" s="5"/>
    </row>
    <row r="222">
      <c r="A222" s="5"/>
    </row>
    <row r="223">
      <c r="A223" s="5"/>
    </row>
    <row r="224">
      <c r="A224" s="5"/>
    </row>
    <row r="225">
      <c r="A225" s="5"/>
    </row>
    <row r="226">
      <c r="A226" s="5"/>
    </row>
    <row r="227">
      <c r="A227" s="5"/>
    </row>
    <row r="228">
      <c r="A228" s="5"/>
    </row>
    <row r="229">
      <c r="A229" s="5"/>
    </row>
    <row r="230">
      <c r="A230" s="5"/>
    </row>
    <row r="231">
      <c r="A231" s="5"/>
    </row>
    <row r="232">
      <c r="A232" s="5"/>
    </row>
    <row r="233">
      <c r="A233" s="5"/>
    </row>
    <row r="234">
      <c r="A234" s="5"/>
    </row>
    <row r="235">
      <c r="A235" s="5"/>
    </row>
    <row r="236">
      <c r="A236" s="5"/>
    </row>
    <row r="237">
      <c r="A237" s="5"/>
    </row>
    <row r="238">
      <c r="A238" s="5"/>
    </row>
    <row r="239">
      <c r="A239" s="5"/>
    </row>
    <row r="240">
      <c r="A240" s="5"/>
    </row>
    <row r="241">
      <c r="A241" s="5"/>
    </row>
    <row r="242">
      <c r="A242" s="5"/>
    </row>
    <row r="243">
      <c r="A243" s="5"/>
    </row>
    <row r="244">
      <c r="A244" s="5"/>
    </row>
    <row r="245">
      <c r="A245" s="5"/>
    </row>
    <row r="246">
      <c r="A246" s="5"/>
    </row>
    <row r="247">
      <c r="A247" s="5"/>
    </row>
    <row r="248">
      <c r="A248" s="5"/>
    </row>
    <row r="249">
      <c r="A249" s="5"/>
    </row>
    <row r="250">
      <c r="A250" s="5"/>
    </row>
    <row r="251">
      <c r="A251" s="5"/>
    </row>
    <row r="252">
      <c r="A252" s="5"/>
    </row>
    <row r="253">
      <c r="A253" s="5"/>
    </row>
    <row r="254">
      <c r="A254" s="5"/>
    </row>
    <row r="255">
      <c r="A255" s="5"/>
    </row>
    <row r="256">
      <c r="A256" s="5"/>
    </row>
    <row r="257">
      <c r="A257" s="5"/>
    </row>
    <row r="258">
      <c r="A258" s="5"/>
    </row>
    <row r="259">
      <c r="A259" s="5"/>
    </row>
    <row r="260">
      <c r="A260" s="5"/>
    </row>
    <row r="261">
      <c r="A261" s="5"/>
    </row>
    <row r="262">
      <c r="A262" s="5"/>
    </row>
    <row r="263">
      <c r="A263" s="5"/>
    </row>
    <row r="264">
      <c r="A264" s="5"/>
    </row>
    <row r="265">
      <c r="A265" s="5"/>
    </row>
    <row r="266">
      <c r="A266" s="5"/>
    </row>
    <row r="267">
      <c r="A267" s="5"/>
    </row>
    <row r="268">
      <c r="A268" s="5"/>
    </row>
    <row r="269">
      <c r="A269" s="5"/>
    </row>
    <row r="270">
      <c r="A270" s="5"/>
    </row>
    <row r="271">
      <c r="A271" s="5"/>
    </row>
    <row r="272">
      <c r="A272" s="5"/>
    </row>
    <row r="273">
      <c r="A273" s="5"/>
    </row>
    <row r="274">
      <c r="A274" s="5"/>
    </row>
    <row r="275">
      <c r="A275" s="5"/>
    </row>
    <row r="276">
      <c r="A276" s="5"/>
    </row>
    <row r="277">
      <c r="A277" s="5"/>
    </row>
    <row r="278">
      <c r="A278" s="5"/>
    </row>
    <row r="279">
      <c r="A279" s="5"/>
    </row>
    <row r="280">
      <c r="A280" s="5"/>
    </row>
    <row r="281">
      <c r="A281" s="5"/>
    </row>
    <row r="282">
      <c r="A282" s="5"/>
    </row>
    <row r="283">
      <c r="A283" s="5"/>
    </row>
    <row r="284">
      <c r="A284" s="5"/>
    </row>
    <row r="285">
      <c r="A285" s="5"/>
    </row>
    <row r="286">
      <c r="A286" s="5"/>
    </row>
    <row r="287">
      <c r="A287" s="5"/>
    </row>
    <row r="288">
      <c r="A288" s="5"/>
    </row>
    <row r="289">
      <c r="A289" s="5"/>
    </row>
    <row r="290">
      <c r="A290" s="5"/>
    </row>
    <row r="291">
      <c r="A291" s="5"/>
    </row>
    <row r="292">
      <c r="A292" s="5"/>
    </row>
    <row r="293">
      <c r="A293" s="5"/>
    </row>
    <row r="294">
      <c r="A294" s="5"/>
    </row>
    <row r="295">
      <c r="A295" s="5"/>
    </row>
    <row r="296">
      <c r="A296" s="5"/>
    </row>
    <row r="297">
      <c r="A297" s="5"/>
    </row>
    <row r="298">
      <c r="A298" s="5"/>
    </row>
    <row r="299">
      <c r="A299" s="5"/>
    </row>
    <row r="300">
      <c r="A300" s="5"/>
    </row>
    <row r="301">
      <c r="A301" s="5"/>
    </row>
    <row r="302">
      <c r="A302" s="5"/>
    </row>
    <row r="303">
      <c r="A303" s="5"/>
    </row>
    <row r="304">
      <c r="A304" s="5"/>
    </row>
    <row r="305">
      <c r="A305" s="5"/>
    </row>
    <row r="306">
      <c r="A306" s="5"/>
    </row>
    <row r="307">
      <c r="A307" s="5"/>
    </row>
    <row r="308">
      <c r="A308" s="5"/>
    </row>
    <row r="309">
      <c r="A309" s="5"/>
    </row>
    <row r="310">
      <c r="A310" s="5"/>
    </row>
    <row r="311">
      <c r="A311" s="5"/>
    </row>
    <row r="312">
      <c r="A312" s="5"/>
    </row>
    <row r="313">
      <c r="A313" s="5"/>
    </row>
    <row r="314">
      <c r="A314" s="5"/>
    </row>
    <row r="315">
      <c r="A315" s="5"/>
    </row>
    <row r="316">
      <c r="A316" s="5"/>
    </row>
    <row r="317">
      <c r="A317" s="5"/>
    </row>
    <row r="318">
      <c r="A318" s="5"/>
    </row>
    <row r="319">
      <c r="A319" s="5"/>
    </row>
    <row r="320">
      <c r="A320" s="5"/>
    </row>
    <row r="321">
      <c r="A321" s="5"/>
    </row>
    <row r="322">
      <c r="A322" s="5"/>
    </row>
    <row r="323">
      <c r="A323" s="5"/>
    </row>
    <row r="324">
      <c r="A324" s="5"/>
    </row>
    <row r="325">
      <c r="A325" s="5"/>
    </row>
    <row r="326">
      <c r="A326" s="5"/>
    </row>
    <row r="327">
      <c r="A327" s="5"/>
    </row>
    <row r="328">
      <c r="A328" s="5"/>
    </row>
    <row r="329">
      <c r="A329" s="5"/>
    </row>
    <row r="330">
      <c r="A330" s="5"/>
    </row>
    <row r="331">
      <c r="A331" s="5"/>
    </row>
    <row r="332">
      <c r="A332" s="5"/>
    </row>
    <row r="333">
      <c r="A333" s="5"/>
    </row>
    <row r="334">
      <c r="A334" s="5"/>
    </row>
    <row r="335">
      <c r="A335" s="5"/>
    </row>
    <row r="336">
      <c r="A336" s="5"/>
    </row>
    <row r="337">
      <c r="A337" s="5"/>
    </row>
    <row r="338">
      <c r="A338" s="5"/>
    </row>
    <row r="339">
      <c r="A339" s="5"/>
    </row>
    <row r="340">
      <c r="A340" s="5"/>
    </row>
    <row r="341">
      <c r="A341" s="5"/>
    </row>
    <row r="342">
      <c r="A342" s="5"/>
    </row>
    <row r="343">
      <c r="A343" s="5"/>
    </row>
    <row r="344">
      <c r="A344" s="5"/>
    </row>
    <row r="345">
      <c r="A345" s="5"/>
    </row>
    <row r="346">
      <c r="A346" s="5"/>
    </row>
    <row r="347">
      <c r="A347" s="5"/>
    </row>
    <row r="348">
      <c r="A348" s="5"/>
    </row>
    <row r="349">
      <c r="A349" s="5"/>
    </row>
    <row r="350">
      <c r="A350" s="5"/>
    </row>
    <row r="351">
      <c r="A351" s="5"/>
    </row>
    <row r="352">
      <c r="A352" s="5"/>
    </row>
    <row r="353">
      <c r="A353" s="5"/>
    </row>
    <row r="354">
      <c r="A354" s="5"/>
    </row>
    <row r="355">
      <c r="A355" s="5"/>
    </row>
    <row r="356">
      <c r="A356" s="5"/>
    </row>
    <row r="357">
      <c r="A357" s="5"/>
    </row>
    <row r="358">
      <c r="A358" s="5"/>
    </row>
    <row r="359">
      <c r="A359" s="5"/>
    </row>
    <row r="360">
      <c r="A360" s="5"/>
    </row>
    <row r="361">
      <c r="A361" s="5"/>
    </row>
    <row r="362">
      <c r="A362" s="5"/>
    </row>
    <row r="363">
      <c r="A363" s="5"/>
    </row>
    <row r="364">
      <c r="A364" s="5"/>
    </row>
    <row r="365">
      <c r="A365" s="5"/>
    </row>
    <row r="366">
      <c r="A366" s="5"/>
    </row>
    <row r="367">
      <c r="A367" s="5"/>
    </row>
    <row r="368">
      <c r="A368" s="5"/>
    </row>
    <row r="369">
      <c r="A369" s="5"/>
    </row>
    <row r="370">
      <c r="A370" s="5"/>
    </row>
    <row r="371">
      <c r="A371" s="5"/>
    </row>
    <row r="372">
      <c r="A372" s="5"/>
    </row>
    <row r="373">
      <c r="A373" s="5"/>
    </row>
    <row r="374">
      <c r="A374" s="5"/>
    </row>
    <row r="375">
      <c r="A375" s="5"/>
    </row>
    <row r="376">
      <c r="A376" s="5"/>
    </row>
    <row r="377">
      <c r="A377" s="5"/>
    </row>
    <row r="378">
      <c r="A378" s="5"/>
    </row>
    <row r="379">
      <c r="A379" s="5"/>
    </row>
    <row r="380">
      <c r="A380" s="5"/>
    </row>
    <row r="381">
      <c r="A381" s="5"/>
    </row>
    <row r="382">
      <c r="A382" s="5"/>
    </row>
    <row r="383">
      <c r="A383" s="5"/>
    </row>
    <row r="384">
      <c r="A384" s="5"/>
    </row>
    <row r="385">
      <c r="A385" s="5"/>
    </row>
    <row r="386">
      <c r="A386" s="5"/>
    </row>
    <row r="387">
      <c r="A387" s="5"/>
    </row>
    <row r="388">
      <c r="A388" s="5"/>
    </row>
    <row r="389">
      <c r="A389" s="5"/>
    </row>
    <row r="390">
      <c r="A390" s="5"/>
    </row>
    <row r="391">
      <c r="A391" s="5"/>
    </row>
    <row r="392">
      <c r="A392" s="5"/>
    </row>
    <row r="393">
      <c r="A393" s="5"/>
    </row>
    <row r="394">
      <c r="A394" s="5"/>
    </row>
    <row r="395">
      <c r="A395" s="5"/>
    </row>
    <row r="396">
      <c r="A396" s="5"/>
    </row>
    <row r="397">
      <c r="A397" s="5"/>
    </row>
    <row r="398">
      <c r="A398" s="5"/>
    </row>
    <row r="399">
      <c r="A399" s="5"/>
    </row>
    <row r="400">
      <c r="A400" s="5"/>
    </row>
    <row r="401">
      <c r="A401" s="5"/>
    </row>
    <row r="402">
      <c r="A402" s="5"/>
    </row>
    <row r="403">
      <c r="A403" s="5"/>
    </row>
    <row r="404">
      <c r="A404" s="5"/>
    </row>
    <row r="405">
      <c r="A405" s="5"/>
    </row>
    <row r="406">
      <c r="A406" s="5"/>
    </row>
    <row r="407">
      <c r="A407" s="5"/>
    </row>
    <row r="408">
      <c r="A408" s="5"/>
    </row>
    <row r="409">
      <c r="A409" s="5"/>
    </row>
    <row r="410">
      <c r="A410" s="5"/>
    </row>
    <row r="411">
      <c r="A411" s="5"/>
    </row>
    <row r="412">
      <c r="A412" s="5"/>
    </row>
    <row r="413">
      <c r="A413" s="5"/>
    </row>
    <row r="414">
      <c r="A414" s="5"/>
    </row>
    <row r="415">
      <c r="A415" s="5"/>
    </row>
    <row r="416">
      <c r="A416" s="5"/>
    </row>
    <row r="417">
      <c r="A417" s="5"/>
    </row>
    <row r="418">
      <c r="A418" s="5"/>
    </row>
    <row r="419">
      <c r="A419" s="5"/>
    </row>
    <row r="420">
      <c r="A420" s="5"/>
    </row>
    <row r="421">
      <c r="A421" s="5"/>
    </row>
    <row r="422">
      <c r="A422" s="5"/>
    </row>
    <row r="423">
      <c r="A423" s="5"/>
    </row>
    <row r="424">
      <c r="A424" s="5"/>
    </row>
    <row r="425">
      <c r="A425" s="5"/>
    </row>
    <row r="426">
      <c r="A426" s="5"/>
    </row>
    <row r="427">
      <c r="A427" s="5"/>
    </row>
    <row r="428">
      <c r="A428" s="5"/>
    </row>
    <row r="429">
      <c r="A429" s="5"/>
    </row>
    <row r="430">
      <c r="A430" s="5"/>
    </row>
    <row r="431">
      <c r="A431" s="5"/>
    </row>
    <row r="432">
      <c r="A432" s="5"/>
    </row>
    <row r="433">
      <c r="A433" s="5"/>
    </row>
    <row r="434">
      <c r="A434" s="5"/>
    </row>
    <row r="435">
      <c r="A435" s="5"/>
    </row>
    <row r="436">
      <c r="A436" s="5"/>
    </row>
    <row r="437">
      <c r="A437" s="5"/>
    </row>
    <row r="438">
      <c r="A438" s="5"/>
    </row>
    <row r="439">
      <c r="A439" s="5"/>
    </row>
    <row r="440">
      <c r="A440" s="5"/>
    </row>
    <row r="441">
      <c r="A441" s="5"/>
    </row>
    <row r="442">
      <c r="A442" s="5"/>
    </row>
    <row r="443">
      <c r="A443" s="5"/>
    </row>
    <row r="444">
      <c r="A444" s="5"/>
    </row>
    <row r="445">
      <c r="A445" s="5"/>
    </row>
    <row r="446">
      <c r="A446" s="5"/>
    </row>
    <row r="447">
      <c r="A447" s="5"/>
    </row>
    <row r="448">
      <c r="A448" s="5"/>
    </row>
    <row r="449">
      <c r="A449" s="5"/>
    </row>
    <row r="450">
      <c r="A450" s="5"/>
    </row>
    <row r="451">
      <c r="A451" s="5"/>
    </row>
    <row r="452">
      <c r="A452" s="5"/>
    </row>
    <row r="453">
      <c r="A453" s="5"/>
    </row>
    <row r="454">
      <c r="A454" s="5"/>
    </row>
    <row r="455">
      <c r="A455" s="5"/>
    </row>
    <row r="456">
      <c r="A456" s="5"/>
    </row>
    <row r="457">
      <c r="A457" s="5"/>
    </row>
    <row r="458">
      <c r="A458" s="5"/>
    </row>
    <row r="459">
      <c r="A459" s="5"/>
    </row>
    <row r="460">
      <c r="A460" s="5"/>
    </row>
    <row r="461">
      <c r="A461" s="5"/>
    </row>
    <row r="462">
      <c r="A462" s="5"/>
    </row>
    <row r="463">
      <c r="A463" s="5"/>
    </row>
    <row r="464">
      <c r="A464" s="5"/>
    </row>
    <row r="465">
      <c r="A465" s="5"/>
    </row>
    <row r="466">
      <c r="A466" s="5"/>
    </row>
    <row r="467">
      <c r="A467" s="5"/>
    </row>
    <row r="468">
      <c r="A468" s="5"/>
    </row>
    <row r="469">
      <c r="A469" s="5"/>
    </row>
    <row r="470">
      <c r="A470" s="5"/>
    </row>
    <row r="471">
      <c r="A471" s="5"/>
    </row>
    <row r="472">
      <c r="A472" s="5"/>
    </row>
    <row r="473">
      <c r="A473" s="5"/>
    </row>
    <row r="474">
      <c r="A474" s="5"/>
    </row>
    <row r="475">
      <c r="A475" s="5"/>
    </row>
    <row r="476">
      <c r="A476" s="5"/>
    </row>
    <row r="477">
      <c r="A477" s="5"/>
    </row>
    <row r="478">
      <c r="A478" s="5"/>
    </row>
    <row r="479">
      <c r="A479" s="5"/>
    </row>
    <row r="480">
      <c r="A480" s="5"/>
    </row>
    <row r="481">
      <c r="A481" s="5"/>
    </row>
    <row r="482">
      <c r="A482" s="5"/>
    </row>
    <row r="483">
      <c r="A483" s="5"/>
    </row>
    <row r="484">
      <c r="A484" s="5"/>
    </row>
    <row r="485">
      <c r="A485" s="5"/>
    </row>
    <row r="486">
      <c r="A486" s="5"/>
    </row>
    <row r="487">
      <c r="A487" s="5"/>
    </row>
    <row r="488">
      <c r="A488" s="5"/>
    </row>
    <row r="489">
      <c r="A489" s="5"/>
    </row>
    <row r="490">
      <c r="A490" s="5"/>
    </row>
    <row r="491">
      <c r="A491" s="5"/>
    </row>
    <row r="492">
      <c r="A492" s="5"/>
    </row>
    <row r="493">
      <c r="A493" s="5"/>
    </row>
    <row r="494">
      <c r="A494" s="5"/>
    </row>
    <row r="495">
      <c r="A495" s="5"/>
    </row>
    <row r="496">
      <c r="A496" s="5"/>
    </row>
    <row r="497">
      <c r="A497" s="5"/>
    </row>
    <row r="498">
      <c r="A498" s="5"/>
    </row>
    <row r="499">
      <c r="A499" s="5"/>
    </row>
    <row r="500">
      <c r="A500" s="5"/>
    </row>
    <row r="501">
      <c r="A501" s="5"/>
    </row>
    <row r="502">
      <c r="A502" s="5"/>
    </row>
    <row r="503">
      <c r="A503" s="5"/>
    </row>
    <row r="504">
      <c r="A504" s="5"/>
    </row>
    <row r="505">
      <c r="A505" s="5"/>
    </row>
    <row r="506">
      <c r="A506" s="5"/>
    </row>
    <row r="507">
      <c r="A507" s="5"/>
    </row>
    <row r="508">
      <c r="A508" s="5"/>
    </row>
    <row r="509">
      <c r="A509" s="5"/>
    </row>
    <row r="510">
      <c r="A510" s="5"/>
    </row>
    <row r="511">
      <c r="A511" s="5"/>
    </row>
    <row r="512">
      <c r="A512" s="5"/>
    </row>
    <row r="513">
      <c r="A513" s="5"/>
    </row>
    <row r="514">
      <c r="A514" s="5"/>
    </row>
    <row r="515">
      <c r="A515" s="5"/>
    </row>
    <row r="516">
      <c r="A516" s="5"/>
    </row>
    <row r="517">
      <c r="A517" s="5"/>
    </row>
    <row r="518">
      <c r="A518" s="5"/>
    </row>
    <row r="519">
      <c r="A519" s="5"/>
    </row>
    <row r="520">
      <c r="A520" s="5"/>
    </row>
    <row r="521">
      <c r="A521" s="5"/>
    </row>
    <row r="522">
      <c r="A522" s="5"/>
    </row>
    <row r="523">
      <c r="A523" s="5"/>
    </row>
    <row r="524">
      <c r="A524" s="5"/>
    </row>
    <row r="525">
      <c r="A525" s="5"/>
    </row>
    <row r="526">
      <c r="A526" s="5"/>
    </row>
    <row r="527">
      <c r="A527" s="5"/>
    </row>
    <row r="528">
      <c r="A528" s="5"/>
    </row>
    <row r="529">
      <c r="A529" s="5"/>
    </row>
    <row r="530">
      <c r="A530" s="5"/>
    </row>
    <row r="531">
      <c r="A531" s="5"/>
    </row>
    <row r="532">
      <c r="A532" s="5"/>
    </row>
    <row r="533">
      <c r="A533" s="5"/>
    </row>
    <row r="534">
      <c r="A534" s="5"/>
    </row>
    <row r="535">
      <c r="A535" s="5"/>
    </row>
    <row r="536">
      <c r="A536" s="5"/>
    </row>
    <row r="537">
      <c r="A537" s="5"/>
    </row>
    <row r="538">
      <c r="A538" s="5"/>
    </row>
    <row r="539">
      <c r="A539" s="5"/>
    </row>
    <row r="540">
      <c r="A540" s="5"/>
    </row>
    <row r="541">
      <c r="A541" s="5"/>
    </row>
    <row r="542">
      <c r="A542" s="5"/>
    </row>
    <row r="543">
      <c r="A543" s="5"/>
    </row>
    <row r="544">
      <c r="A544" s="5"/>
    </row>
    <row r="545">
      <c r="A545" s="5"/>
    </row>
    <row r="546">
      <c r="A546" s="5"/>
    </row>
    <row r="547">
      <c r="A547" s="5"/>
    </row>
    <row r="548">
      <c r="A548" s="5"/>
    </row>
    <row r="549">
      <c r="A549" s="5"/>
    </row>
    <row r="550">
      <c r="A550" s="5"/>
    </row>
    <row r="551">
      <c r="A551" s="5"/>
    </row>
    <row r="552">
      <c r="A552" s="5"/>
    </row>
    <row r="553">
      <c r="A553" s="5"/>
    </row>
    <row r="554">
      <c r="A554" s="5"/>
    </row>
    <row r="555">
      <c r="A555" s="5"/>
    </row>
    <row r="556">
      <c r="A556" s="5"/>
    </row>
    <row r="557">
      <c r="A557" s="5"/>
    </row>
    <row r="558">
      <c r="A558" s="5"/>
    </row>
    <row r="559">
      <c r="A559" s="5"/>
    </row>
    <row r="560">
      <c r="A560" s="5"/>
    </row>
    <row r="561">
      <c r="A561" s="5"/>
    </row>
    <row r="562">
      <c r="A562" s="5"/>
    </row>
    <row r="563">
      <c r="A563" s="5"/>
    </row>
    <row r="564">
      <c r="A564" s="5"/>
    </row>
    <row r="565">
      <c r="A565" s="5"/>
    </row>
    <row r="566">
      <c r="A566" s="5"/>
    </row>
    <row r="567">
      <c r="A567" s="5"/>
    </row>
    <row r="568">
      <c r="A568" s="5"/>
    </row>
    <row r="569">
      <c r="A569" s="5"/>
    </row>
    <row r="570">
      <c r="A570" s="5"/>
    </row>
    <row r="571">
      <c r="A571" s="5"/>
    </row>
    <row r="572">
      <c r="A572" s="5"/>
    </row>
    <row r="573">
      <c r="A573" s="5"/>
    </row>
    <row r="574">
      <c r="A574" s="5"/>
    </row>
    <row r="575">
      <c r="A575" s="5"/>
    </row>
    <row r="576">
      <c r="A576" s="5"/>
    </row>
    <row r="577">
      <c r="A577" s="5"/>
    </row>
    <row r="578">
      <c r="A578" s="5"/>
    </row>
    <row r="579">
      <c r="A579" s="5"/>
    </row>
    <row r="580">
      <c r="A580" s="5"/>
    </row>
    <row r="581">
      <c r="A581" s="5"/>
    </row>
    <row r="582">
      <c r="A582" s="5"/>
    </row>
    <row r="583">
      <c r="A583" s="5"/>
    </row>
    <row r="584">
      <c r="A584" s="5"/>
    </row>
    <row r="585">
      <c r="A585" s="5"/>
    </row>
    <row r="586">
      <c r="A586" s="5"/>
    </row>
    <row r="587">
      <c r="A587" s="5"/>
    </row>
    <row r="588">
      <c r="A588" s="5"/>
    </row>
    <row r="589">
      <c r="A589" s="5"/>
    </row>
    <row r="590">
      <c r="A590" s="5"/>
    </row>
    <row r="591">
      <c r="A591" s="5"/>
    </row>
    <row r="592">
      <c r="A592" s="5"/>
    </row>
    <row r="593">
      <c r="A593" s="5"/>
    </row>
    <row r="594">
      <c r="A594" s="5"/>
    </row>
    <row r="595">
      <c r="A595" s="5"/>
    </row>
    <row r="596">
      <c r="A596" s="5"/>
    </row>
    <row r="597">
      <c r="A597" s="5"/>
    </row>
    <row r="598">
      <c r="A598" s="5"/>
    </row>
    <row r="599">
      <c r="A599" s="5"/>
    </row>
    <row r="600">
      <c r="A600" s="5"/>
    </row>
    <row r="601">
      <c r="A601" s="5"/>
    </row>
    <row r="602">
      <c r="A602" s="5"/>
    </row>
    <row r="603">
      <c r="A603" s="5"/>
    </row>
    <row r="604">
      <c r="A604" s="5"/>
    </row>
    <row r="605">
      <c r="A605" s="5"/>
    </row>
    <row r="606">
      <c r="A606" s="5"/>
    </row>
    <row r="607">
      <c r="A607" s="5"/>
    </row>
    <row r="608">
      <c r="A608" s="5"/>
    </row>
    <row r="609">
      <c r="A609" s="5"/>
    </row>
    <row r="610">
      <c r="A610" s="5"/>
    </row>
    <row r="611">
      <c r="A611" s="5"/>
    </row>
    <row r="612">
      <c r="A612" s="5"/>
    </row>
    <row r="613">
      <c r="A613" s="5"/>
    </row>
    <row r="614">
      <c r="A614" s="5"/>
    </row>
    <row r="615">
      <c r="A615" s="5"/>
    </row>
    <row r="616">
      <c r="A616" s="5"/>
    </row>
    <row r="617">
      <c r="A617" s="5"/>
    </row>
    <row r="618">
      <c r="A618" s="5"/>
    </row>
    <row r="619">
      <c r="A619" s="5"/>
    </row>
    <row r="620">
      <c r="A620" s="5"/>
    </row>
    <row r="621">
      <c r="A621" s="5"/>
    </row>
    <row r="622">
      <c r="A622" s="5"/>
    </row>
    <row r="623">
      <c r="A623" s="5"/>
    </row>
    <row r="624">
      <c r="A624" s="5"/>
    </row>
    <row r="625">
      <c r="A625" s="5"/>
    </row>
    <row r="626">
      <c r="A626" s="5"/>
    </row>
    <row r="627">
      <c r="A627" s="5"/>
    </row>
    <row r="628">
      <c r="A628" s="5"/>
    </row>
    <row r="629">
      <c r="A629" s="5"/>
    </row>
    <row r="630">
      <c r="A630" s="5"/>
    </row>
    <row r="631">
      <c r="A631" s="5"/>
    </row>
    <row r="632">
      <c r="A632" s="5"/>
    </row>
    <row r="633">
      <c r="A633" s="5"/>
    </row>
    <row r="634">
      <c r="A634" s="5"/>
    </row>
    <row r="635">
      <c r="A635" s="5"/>
    </row>
    <row r="636">
      <c r="A636" s="5"/>
    </row>
    <row r="637">
      <c r="A637" s="5"/>
    </row>
    <row r="638">
      <c r="A638" s="5"/>
    </row>
    <row r="639">
      <c r="A639" s="5"/>
    </row>
    <row r="640">
      <c r="A640" s="5"/>
    </row>
    <row r="641">
      <c r="A641" s="5"/>
    </row>
    <row r="642">
      <c r="A642" s="5"/>
    </row>
    <row r="643">
      <c r="A643" s="5"/>
    </row>
    <row r="644">
      <c r="A644" s="5"/>
    </row>
    <row r="645">
      <c r="A645" s="5"/>
    </row>
    <row r="646">
      <c r="A646" s="5"/>
    </row>
    <row r="647">
      <c r="A647" s="5"/>
    </row>
    <row r="648">
      <c r="A648" s="5"/>
    </row>
    <row r="649">
      <c r="A649" s="5"/>
    </row>
    <row r="650">
      <c r="A650" s="5"/>
    </row>
    <row r="651">
      <c r="A651" s="5"/>
    </row>
    <row r="652">
      <c r="A652" s="5"/>
    </row>
    <row r="653">
      <c r="A653" s="5"/>
    </row>
    <row r="654">
      <c r="A654" s="5"/>
    </row>
    <row r="655">
      <c r="A655" s="5"/>
    </row>
    <row r="656">
      <c r="A656" s="5"/>
    </row>
    <row r="657">
      <c r="A657" s="5"/>
    </row>
    <row r="658">
      <c r="A658" s="5"/>
    </row>
    <row r="659">
      <c r="A659" s="5"/>
    </row>
    <row r="660">
      <c r="A660" s="5"/>
    </row>
    <row r="661">
      <c r="A661" s="5"/>
    </row>
    <row r="662">
      <c r="A662" s="5"/>
    </row>
    <row r="663">
      <c r="A663" s="5"/>
    </row>
    <row r="664">
      <c r="A664" s="5"/>
    </row>
    <row r="665">
      <c r="A665" s="5"/>
    </row>
    <row r="666">
      <c r="A666" s="5"/>
    </row>
    <row r="667">
      <c r="A667" s="5"/>
    </row>
    <row r="668">
      <c r="A668" s="5"/>
    </row>
    <row r="669">
      <c r="A669" s="5"/>
    </row>
    <row r="670">
      <c r="A670" s="5"/>
    </row>
    <row r="671">
      <c r="A671" s="5"/>
    </row>
    <row r="672">
      <c r="A672" s="5"/>
    </row>
    <row r="673">
      <c r="A673" s="5"/>
    </row>
    <row r="674">
      <c r="A674" s="5"/>
    </row>
    <row r="675">
      <c r="A675" s="5"/>
    </row>
    <row r="676">
      <c r="A676" s="5"/>
    </row>
    <row r="677">
      <c r="A677" s="5"/>
    </row>
    <row r="678">
      <c r="A678" s="5"/>
    </row>
    <row r="679">
      <c r="A679" s="5"/>
    </row>
    <row r="680">
      <c r="A680" s="5"/>
    </row>
    <row r="681">
      <c r="A681" s="5"/>
    </row>
    <row r="682">
      <c r="A682" s="5"/>
    </row>
    <row r="683">
      <c r="A683" s="5"/>
    </row>
    <row r="684">
      <c r="A684" s="5"/>
    </row>
    <row r="685">
      <c r="A685" s="5"/>
    </row>
    <row r="686">
      <c r="A686" s="5"/>
    </row>
    <row r="687">
      <c r="A687" s="5"/>
    </row>
    <row r="688">
      <c r="A688" s="5"/>
    </row>
    <row r="689">
      <c r="A689" s="5"/>
    </row>
    <row r="690">
      <c r="A690" s="5"/>
    </row>
    <row r="691">
      <c r="A691" s="5"/>
    </row>
    <row r="692">
      <c r="A692" s="5"/>
    </row>
    <row r="693">
      <c r="A693" s="5"/>
    </row>
    <row r="694">
      <c r="A694" s="5"/>
    </row>
    <row r="695">
      <c r="A695" s="5"/>
    </row>
    <row r="696">
      <c r="A696" s="5"/>
    </row>
    <row r="697">
      <c r="A697" s="5"/>
    </row>
    <row r="698">
      <c r="A698" s="5"/>
    </row>
    <row r="699">
      <c r="A699" s="5"/>
    </row>
    <row r="700">
      <c r="A700" s="5"/>
    </row>
    <row r="701">
      <c r="A701" s="5"/>
    </row>
    <row r="702">
      <c r="A702" s="5"/>
    </row>
    <row r="703">
      <c r="A703" s="5"/>
    </row>
    <row r="704">
      <c r="A704" s="5"/>
    </row>
    <row r="705">
      <c r="A705" s="5"/>
    </row>
    <row r="706">
      <c r="A706" s="5"/>
    </row>
    <row r="707">
      <c r="A707" s="5"/>
    </row>
    <row r="708">
      <c r="A708" s="5"/>
    </row>
    <row r="709">
      <c r="A709" s="5"/>
    </row>
    <row r="710">
      <c r="A710" s="5"/>
    </row>
    <row r="711">
      <c r="A711" s="5"/>
    </row>
    <row r="712">
      <c r="A712" s="5"/>
    </row>
    <row r="713">
      <c r="A713" s="5"/>
    </row>
    <row r="714">
      <c r="A714" s="5"/>
    </row>
    <row r="715">
      <c r="A715" s="5"/>
    </row>
    <row r="716">
      <c r="A716" s="5"/>
    </row>
    <row r="717">
      <c r="A717" s="5"/>
    </row>
    <row r="718">
      <c r="A718" s="5"/>
    </row>
    <row r="719">
      <c r="A719" s="5"/>
    </row>
    <row r="720">
      <c r="A720" s="5"/>
    </row>
    <row r="721">
      <c r="A721" s="5"/>
    </row>
    <row r="722">
      <c r="A722" s="5"/>
    </row>
    <row r="723">
      <c r="A723" s="5"/>
    </row>
    <row r="724">
      <c r="A724" s="5"/>
    </row>
    <row r="725">
      <c r="A725" s="5"/>
    </row>
    <row r="726">
      <c r="A726" s="5"/>
    </row>
    <row r="727">
      <c r="A727" s="5"/>
    </row>
    <row r="728">
      <c r="A728" s="5"/>
    </row>
    <row r="729">
      <c r="A729" s="5"/>
    </row>
    <row r="730">
      <c r="A730" s="5"/>
    </row>
    <row r="731">
      <c r="A731" s="5"/>
    </row>
    <row r="732">
      <c r="A732" s="5"/>
    </row>
    <row r="733">
      <c r="A733" s="5"/>
    </row>
    <row r="734">
      <c r="A734" s="5"/>
    </row>
    <row r="735">
      <c r="A735" s="5"/>
    </row>
    <row r="736">
      <c r="A736" s="5"/>
    </row>
    <row r="737">
      <c r="A737" s="5"/>
    </row>
    <row r="738">
      <c r="A738" s="5"/>
    </row>
    <row r="739">
      <c r="A739" s="5"/>
    </row>
    <row r="740">
      <c r="A740" s="5"/>
    </row>
    <row r="741">
      <c r="A741" s="5"/>
    </row>
    <row r="742">
      <c r="A742" s="5"/>
    </row>
    <row r="743">
      <c r="A743" s="5"/>
    </row>
    <row r="744">
      <c r="A744" s="5"/>
    </row>
    <row r="745">
      <c r="A745" s="5"/>
    </row>
    <row r="746">
      <c r="A746" s="5"/>
    </row>
    <row r="747">
      <c r="A747" s="5"/>
    </row>
    <row r="748">
      <c r="A748" s="5"/>
    </row>
    <row r="749">
      <c r="A749" s="5"/>
    </row>
    <row r="750">
      <c r="A750" s="5"/>
    </row>
    <row r="751">
      <c r="A751" s="5"/>
    </row>
    <row r="752">
      <c r="A752" s="5"/>
    </row>
    <row r="753">
      <c r="A753" s="5"/>
    </row>
    <row r="754">
      <c r="A754" s="5"/>
    </row>
    <row r="755">
      <c r="A755" s="5"/>
    </row>
    <row r="756">
      <c r="A756" s="5"/>
    </row>
    <row r="757">
      <c r="A757" s="5"/>
    </row>
    <row r="758">
      <c r="A758" s="5"/>
    </row>
    <row r="759">
      <c r="A759" s="5"/>
    </row>
    <row r="760">
      <c r="A760" s="5"/>
    </row>
    <row r="761">
      <c r="A761" s="5"/>
    </row>
    <row r="762">
      <c r="A762" s="5"/>
    </row>
    <row r="763">
      <c r="A763" s="5"/>
    </row>
    <row r="764">
      <c r="A764" s="5"/>
    </row>
    <row r="765">
      <c r="A765" s="5"/>
    </row>
    <row r="766">
      <c r="A766" s="5"/>
    </row>
    <row r="767">
      <c r="A767" s="5"/>
    </row>
    <row r="768">
      <c r="A768" s="5"/>
    </row>
    <row r="769">
      <c r="A769" s="5"/>
    </row>
    <row r="770">
      <c r="A770" s="5"/>
    </row>
    <row r="771">
      <c r="A771" s="5"/>
    </row>
    <row r="772">
      <c r="A772" s="5"/>
    </row>
    <row r="773">
      <c r="A773" s="5"/>
    </row>
    <row r="774">
      <c r="A774" s="5"/>
    </row>
    <row r="775">
      <c r="A775" s="5"/>
    </row>
    <row r="776">
      <c r="A776" s="5"/>
    </row>
    <row r="777">
      <c r="A777" s="5"/>
    </row>
    <row r="778">
      <c r="A778" s="5"/>
    </row>
    <row r="779">
      <c r="A779" s="5"/>
    </row>
    <row r="780">
      <c r="A780" s="5"/>
    </row>
    <row r="781">
      <c r="A781" s="5"/>
    </row>
    <row r="782">
      <c r="A782" s="5"/>
    </row>
    <row r="783">
      <c r="A783" s="5"/>
    </row>
    <row r="784">
      <c r="A784" s="5"/>
    </row>
    <row r="785">
      <c r="A785" s="5"/>
    </row>
    <row r="786">
      <c r="A786" s="5"/>
    </row>
    <row r="787">
      <c r="A787" s="5"/>
    </row>
    <row r="788">
      <c r="A788" s="5"/>
    </row>
    <row r="789">
      <c r="A789" s="5"/>
    </row>
    <row r="790">
      <c r="A790" s="5"/>
    </row>
    <row r="791">
      <c r="A791" s="5"/>
    </row>
    <row r="792">
      <c r="A792" s="5"/>
    </row>
    <row r="793">
      <c r="A793" s="5"/>
    </row>
    <row r="794">
      <c r="A794" s="5"/>
    </row>
    <row r="795">
      <c r="A795" s="5"/>
    </row>
    <row r="796">
      <c r="A796" s="5"/>
    </row>
    <row r="797">
      <c r="A797" s="5"/>
    </row>
    <row r="798">
      <c r="A798" s="5"/>
    </row>
    <row r="799">
      <c r="A799" s="5"/>
    </row>
    <row r="800">
      <c r="A800" s="5"/>
    </row>
    <row r="801">
      <c r="A801" s="5"/>
    </row>
    <row r="802">
      <c r="A802" s="5"/>
    </row>
    <row r="803">
      <c r="A803" s="5"/>
    </row>
    <row r="804">
      <c r="A804" s="5"/>
    </row>
    <row r="805">
      <c r="A805" s="5"/>
    </row>
    <row r="806">
      <c r="A806" s="5"/>
    </row>
    <row r="807">
      <c r="A807" s="5"/>
    </row>
    <row r="808">
      <c r="A808" s="5"/>
    </row>
    <row r="809">
      <c r="A809" s="5"/>
    </row>
    <row r="810">
      <c r="A810" s="5"/>
    </row>
    <row r="811">
      <c r="A811" s="5"/>
    </row>
    <row r="812">
      <c r="A812" s="5"/>
    </row>
    <row r="813">
      <c r="A813" s="5"/>
    </row>
    <row r="814">
      <c r="A814" s="5"/>
    </row>
    <row r="815">
      <c r="A815" s="5"/>
    </row>
    <row r="816">
      <c r="A816" s="5"/>
    </row>
    <row r="817">
      <c r="A817" s="5"/>
    </row>
    <row r="818">
      <c r="A818" s="5"/>
    </row>
    <row r="819">
      <c r="A819" s="5"/>
    </row>
    <row r="820">
      <c r="A820" s="5"/>
    </row>
    <row r="821">
      <c r="A821" s="5"/>
    </row>
    <row r="822">
      <c r="A822" s="5"/>
    </row>
    <row r="823">
      <c r="A823" s="5"/>
    </row>
    <row r="824">
      <c r="A824" s="5"/>
    </row>
    <row r="825">
      <c r="A825" s="5"/>
    </row>
    <row r="826">
      <c r="A826" s="5"/>
    </row>
    <row r="827">
      <c r="A827" s="5"/>
    </row>
    <row r="828">
      <c r="A828" s="5"/>
    </row>
    <row r="829">
      <c r="A829" s="5"/>
    </row>
    <row r="830">
      <c r="A830" s="5"/>
    </row>
    <row r="831">
      <c r="A831" s="5"/>
    </row>
    <row r="832">
      <c r="A832" s="5"/>
    </row>
    <row r="833">
      <c r="A833" s="5"/>
    </row>
    <row r="834">
      <c r="A834" s="5"/>
    </row>
    <row r="835">
      <c r="A835" s="5"/>
    </row>
    <row r="836">
      <c r="A836" s="5"/>
    </row>
    <row r="837">
      <c r="A837" s="5"/>
    </row>
    <row r="838">
      <c r="A838" s="5"/>
    </row>
    <row r="839">
      <c r="A839" s="5"/>
    </row>
    <row r="840">
      <c r="A840" s="5"/>
    </row>
    <row r="841">
      <c r="A841" s="5"/>
    </row>
    <row r="842">
      <c r="A842" s="5"/>
    </row>
    <row r="843">
      <c r="A843" s="5"/>
    </row>
    <row r="844">
      <c r="A844" s="5"/>
    </row>
    <row r="845">
      <c r="A845" s="5"/>
    </row>
    <row r="846">
      <c r="A846" s="5"/>
    </row>
    <row r="847">
      <c r="A847" s="5"/>
    </row>
    <row r="848">
      <c r="A848" s="5"/>
    </row>
    <row r="849">
      <c r="A849" s="5"/>
    </row>
    <row r="850">
      <c r="A850" s="5"/>
    </row>
    <row r="851">
      <c r="A851" s="5"/>
    </row>
    <row r="852">
      <c r="A852" s="5"/>
    </row>
    <row r="853">
      <c r="A853" s="5"/>
    </row>
    <row r="854">
      <c r="A854" s="5"/>
    </row>
    <row r="855">
      <c r="A855" s="5"/>
    </row>
    <row r="856">
      <c r="A856" s="5"/>
    </row>
    <row r="857">
      <c r="A857" s="5"/>
    </row>
    <row r="858">
      <c r="A858" s="5"/>
    </row>
    <row r="859">
      <c r="A859" s="5"/>
    </row>
    <row r="860">
      <c r="A860" s="5"/>
    </row>
    <row r="861">
      <c r="A861" s="5"/>
    </row>
    <row r="862">
      <c r="A862" s="5"/>
    </row>
    <row r="863">
      <c r="A863" s="5"/>
    </row>
    <row r="864">
      <c r="A864" s="5"/>
    </row>
    <row r="865">
      <c r="A865" s="5"/>
    </row>
    <row r="866">
      <c r="A866" s="5"/>
    </row>
    <row r="867">
      <c r="A867" s="5"/>
    </row>
    <row r="868">
      <c r="A868" s="5"/>
    </row>
    <row r="869">
      <c r="A869" s="5"/>
    </row>
    <row r="870">
      <c r="A870" s="5"/>
    </row>
    <row r="871">
      <c r="A871" s="5"/>
    </row>
    <row r="872">
      <c r="A872" s="5"/>
    </row>
    <row r="873">
      <c r="A873" s="5"/>
    </row>
    <row r="874">
      <c r="A874" s="5"/>
    </row>
    <row r="875">
      <c r="A875" s="5"/>
    </row>
    <row r="876">
      <c r="A876" s="5"/>
    </row>
    <row r="877">
      <c r="A877" s="5"/>
    </row>
    <row r="878">
      <c r="A878" s="5"/>
    </row>
    <row r="879">
      <c r="A879" s="5"/>
    </row>
    <row r="880">
      <c r="A880" s="5"/>
    </row>
    <row r="881">
      <c r="A881" s="5"/>
    </row>
    <row r="882">
      <c r="A882" s="5"/>
    </row>
    <row r="883">
      <c r="A883" s="5"/>
    </row>
    <row r="884">
      <c r="A884" s="5"/>
    </row>
    <row r="885">
      <c r="A885" s="5"/>
    </row>
    <row r="886">
      <c r="A886" s="5"/>
    </row>
    <row r="887">
      <c r="A887" s="5"/>
    </row>
    <row r="888">
      <c r="A888" s="5"/>
    </row>
    <row r="889">
      <c r="A889" s="5"/>
    </row>
    <row r="890">
      <c r="A890" s="5"/>
    </row>
    <row r="891">
      <c r="A891" s="5"/>
    </row>
    <row r="892">
      <c r="A892" s="5"/>
    </row>
    <row r="893">
      <c r="A893" s="5"/>
    </row>
    <row r="894">
      <c r="A894" s="5"/>
      <c r="B894" s="3"/>
      <c r="C894" s="17"/>
    </row>
    <row r="895">
      <c r="A895" s="5"/>
      <c r="B895" s="7"/>
      <c r="C895" s="17"/>
    </row>
    <row r="896">
      <c r="A896" s="5"/>
      <c r="B896" s="7"/>
      <c r="C896" s="17"/>
    </row>
    <row r="897">
      <c r="A897" s="5"/>
      <c r="B897" s="7"/>
      <c r="C897" s="17"/>
    </row>
    <row r="898">
      <c r="A898" s="5"/>
      <c r="B898" s="7"/>
      <c r="C898" s="17"/>
    </row>
    <row r="899">
      <c r="A899" s="5"/>
      <c r="B899" s="7"/>
      <c r="C899" s="17"/>
    </row>
    <row r="900">
      <c r="A900" s="5"/>
      <c r="B900" s="7"/>
      <c r="C900" s="17"/>
    </row>
    <row r="901">
      <c r="A901" s="5"/>
      <c r="B901" s="7"/>
      <c r="C901" s="17"/>
    </row>
    <row r="902">
      <c r="A902" s="5"/>
      <c r="B902" s="7"/>
      <c r="C902" s="17"/>
    </row>
  </sheetData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/>
  </sheetViews>
  <sheetFormatPr customHeight="1" defaultColWidth="12.63" defaultRowHeight="15.75"/>
  <sheetData>
    <row r="1">
      <c r="A1" s="353" t="s">
        <v>4476</v>
      </c>
      <c r="C1" s="353" t="s">
        <v>1</v>
      </c>
      <c r="D1" s="60" t="s">
        <v>14393</v>
      </c>
      <c r="F1" s="11" t="str">
        <f>"Empty codes:"&amp; COUNTBLANK(C2:C941)</f>
        <v>Empty codes:0</v>
      </c>
    </row>
    <row r="2" ht="16.5" customHeight="1">
      <c r="A2" s="21" t="s">
        <v>14394</v>
      </c>
      <c r="B2" s="11">
        <v>1.0</v>
      </c>
      <c r="C2" s="81">
        <v>1334.0</v>
      </c>
      <c r="D2" s="81"/>
      <c r="E2" s="126"/>
      <c r="F2" s="126"/>
      <c r="G2" s="126"/>
      <c r="H2" s="126"/>
      <c r="I2" s="126"/>
    </row>
    <row r="3">
      <c r="A3" s="21" t="s">
        <v>14395</v>
      </c>
      <c r="B3" s="11">
        <v>1.0</v>
      </c>
      <c r="C3" s="81">
        <v>663.0</v>
      </c>
      <c r="D3" s="81"/>
      <c r="E3" s="126"/>
      <c r="F3" s="126"/>
      <c r="G3" s="126"/>
      <c r="H3" s="126"/>
      <c r="I3" s="126"/>
    </row>
    <row r="4">
      <c r="A4" s="21" t="s">
        <v>14396</v>
      </c>
      <c r="B4" s="11">
        <v>1.0</v>
      </c>
      <c r="C4" s="81">
        <v>3482.0</v>
      </c>
      <c r="D4" s="81"/>
      <c r="E4" s="126"/>
      <c r="F4" s="126"/>
      <c r="G4" s="126"/>
      <c r="H4" s="553"/>
      <c r="I4" s="126"/>
    </row>
    <row r="5">
      <c r="A5" s="21" t="s">
        <v>14397</v>
      </c>
      <c r="B5" s="11">
        <v>1.0</v>
      </c>
      <c r="C5" s="81">
        <v>3482.0</v>
      </c>
      <c r="D5" s="81"/>
      <c r="E5" s="126"/>
      <c r="F5" s="126"/>
      <c r="G5" s="126"/>
      <c r="H5" s="553"/>
      <c r="I5" s="126"/>
    </row>
    <row r="6">
      <c r="A6" s="21" t="s">
        <v>14398</v>
      </c>
      <c r="B6" s="11">
        <v>1.0</v>
      </c>
      <c r="C6" s="81">
        <v>3482.0</v>
      </c>
      <c r="D6" s="81"/>
      <c r="E6" s="126"/>
      <c r="F6" s="126"/>
      <c r="G6" s="126"/>
      <c r="H6" s="553"/>
      <c r="I6" s="126"/>
    </row>
    <row r="7">
      <c r="A7" s="21" t="s">
        <v>14399</v>
      </c>
      <c r="B7" s="11">
        <v>1.0</v>
      </c>
      <c r="C7" s="81">
        <v>3482.0</v>
      </c>
      <c r="D7" s="81"/>
      <c r="E7" s="126"/>
      <c r="F7" s="554"/>
      <c r="H7" s="553"/>
      <c r="I7" s="126"/>
    </row>
    <row r="8">
      <c r="A8" s="21" t="s">
        <v>14400</v>
      </c>
      <c r="B8" s="11">
        <v>1.0</v>
      </c>
      <c r="C8" s="81">
        <v>3482.0</v>
      </c>
      <c r="D8" s="81"/>
      <c r="F8" s="554"/>
    </row>
    <row r="9">
      <c r="A9" s="21" t="s">
        <v>14401</v>
      </c>
      <c r="B9" s="11">
        <v>1.0</v>
      </c>
      <c r="C9" s="81">
        <v>6898.0</v>
      </c>
      <c r="D9" s="81"/>
      <c r="F9" s="554"/>
    </row>
    <row r="10">
      <c r="A10" s="21" t="s">
        <v>14402</v>
      </c>
      <c r="B10" s="11">
        <v>1.0</v>
      </c>
      <c r="C10" s="81">
        <v>6898.0</v>
      </c>
      <c r="D10" s="81"/>
      <c r="F10" s="554"/>
    </row>
    <row r="11">
      <c r="A11" s="21" t="s">
        <v>14403</v>
      </c>
      <c r="B11" s="11">
        <v>1.0</v>
      </c>
      <c r="C11" s="81">
        <v>6898.0</v>
      </c>
      <c r="D11" s="81"/>
      <c r="F11" s="554"/>
    </row>
    <row r="12">
      <c r="A12" s="21" t="s">
        <v>14404</v>
      </c>
      <c r="B12" s="11">
        <v>1.0</v>
      </c>
      <c r="C12" s="81">
        <v>6898.0</v>
      </c>
      <c r="D12" s="81"/>
      <c r="F12" s="554"/>
    </row>
    <row r="13">
      <c r="A13" s="21" t="s">
        <v>14405</v>
      </c>
      <c r="B13" s="11">
        <v>1.0</v>
      </c>
      <c r="C13" s="81">
        <v>6898.0</v>
      </c>
      <c r="D13" s="81"/>
      <c r="F13" s="554"/>
    </row>
    <row r="14">
      <c r="A14" s="21" t="s">
        <v>14406</v>
      </c>
      <c r="B14" s="11">
        <v>1.0</v>
      </c>
      <c r="C14" s="11">
        <v>7149.0</v>
      </c>
      <c r="D14" s="81">
        <v>6898.0</v>
      </c>
      <c r="F14" s="554"/>
    </row>
    <row r="15">
      <c r="A15" s="21" t="s">
        <v>14407</v>
      </c>
      <c r="B15" s="11">
        <v>1.0</v>
      </c>
      <c r="C15" s="11">
        <v>7149.0</v>
      </c>
      <c r="D15" s="81">
        <v>6898.0</v>
      </c>
      <c r="F15" s="554"/>
    </row>
    <row r="16">
      <c r="A16" s="21" t="s">
        <v>14408</v>
      </c>
      <c r="B16" s="11">
        <v>1.0</v>
      </c>
      <c r="C16" s="11">
        <v>7149.0</v>
      </c>
      <c r="D16" s="81">
        <v>6898.0</v>
      </c>
      <c r="F16" s="554"/>
    </row>
    <row r="17">
      <c r="A17" s="21" t="s">
        <v>14409</v>
      </c>
      <c r="B17" s="11">
        <v>1.0</v>
      </c>
      <c r="C17" s="11">
        <v>7149.0</v>
      </c>
      <c r="D17" s="81">
        <v>6898.0</v>
      </c>
      <c r="F17" s="554"/>
    </row>
    <row r="18">
      <c r="A18" s="21" t="s">
        <v>14410</v>
      </c>
      <c r="B18" s="11">
        <v>1.0</v>
      </c>
      <c r="C18" s="11">
        <v>7149.0</v>
      </c>
      <c r="D18" s="81">
        <v>6898.0</v>
      </c>
      <c r="F18" s="554"/>
    </row>
    <row r="19">
      <c r="A19" s="21" t="s">
        <v>14411</v>
      </c>
      <c r="B19" s="11">
        <v>1.0</v>
      </c>
      <c r="C19" s="11">
        <v>7149.0</v>
      </c>
      <c r="D19" s="81">
        <v>6898.0</v>
      </c>
      <c r="F19" s="554"/>
    </row>
    <row r="20">
      <c r="A20" s="21" t="s">
        <v>14412</v>
      </c>
      <c r="B20" s="11">
        <v>1.0</v>
      </c>
      <c r="C20" s="81">
        <v>3360.0</v>
      </c>
      <c r="D20" s="81"/>
      <c r="F20" s="554"/>
    </row>
    <row r="21">
      <c r="A21" s="21" t="s">
        <v>14413</v>
      </c>
      <c r="B21" s="11">
        <v>1.0</v>
      </c>
      <c r="C21" s="81">
        <v>3360.0</v>
      </c>
      <c r="D21" s="81"/>
    </row>
    <row r="22">
      <c r="A22" s="21" t="s">
        <v>14414</v>
      </c>
      <c r="B22" s="11">
        <v>1.0</v>
      </c>
      <c r="C22" s="81">
        <v>3360.0</v>
      </c>
      <c r="D22" s="81"/>
      <c r="E22" s="126"/>
      <c r="F22" s="201"/>
      <c r="G22" s="126"/>
      <c r="H22" s="126"/>
      <c r="I22" s="126"/>
    </row>
    <row r="23">
      <c r="A23" s="21" t="s">
        <v>14415</v>
      </c>
      <c r="B23" s="11">
        <v>1.0</v>
      </c>
      <c r="C23" s="81">
        <v>3360.0</v>
      </c>
      <c r="D23" s="81"/>
      <c r="E23" s="126"/>
      <c r="F23" s="201"/>
      <c r="G23" s="126"/>
      <c r="H23" s="126"/>
      <c r="I23" s="126"/>
    </row>
    <row r="24">
      <c r="A24" s="21" t="s">
        <v>14416</v>
      </c>
      <c r="B24" s="11">
        <v>1.0</v>
      </c>
      <c r="C24" s="81">
        <v>3360.0</v>
      </c>
      <c r="D24" s="81"/>
      <c r="E24" s="126"/>
      <c r="F24" s="201"/>
      <c r="G24" s="126"/>
      <c r="H24" s="126"/>
      <c r="I24" s="126"/>
    </row>
    <row r="25">
      <c r="A25" s="21" t="s">
        <v>14417</v>
      </c>
      <c r="B25" s="11">
        <v>1.0</v>
      </c>
      <c r="C25" s="81">
        <v>3360.0</v>
      </c>
      <c r="D25" s="81"/>
      <c r="E25" s="126"/>
      <c r="F25" s="201"/>
      <c r="G25" s="126"/>
      <c r="H25" s="126"/>
      <c r="I25" s="126"/>
    </row>
    <row r="26">
      <c r="A26" s="21" t="s">
        <v>14418</v>
      </c>
      <c r="B26" s="11">
        <v>1.0</v>
      </c>
      <c r="C26" s="81">
        <v>3360.0</v>
      </c>
      <c r="D26" s="81"/>
      <c r="E26" s="126"/>
      <c r="F26" s="201"/>
      <c r="G26" s="126"/>
      <c r="H26" s="126"/>
      <c r="I26" s="126"/>
    </row>
    <row r="27">
      <c r="A27" s="21" t="s">
        <v>14419</v>
      </c>
      <c r="B27" s="11">
        <v>1.0</v>
      </c>
      <c r="C27" s="81">
        <v>3360.0</v>
      </c>
      <c r="D27" s="81"/>
      <c r="E27" s="126"/>
      <c r="F27" s="201"/>
      <c r="G27" s="126"/>
      <c r="H27" s="126"/>
      <c r="I27" s="126"/>
    </row>
    <row r="28">
      <c r="A28" s="21" t="s">
        <v>14420</v>
      </c>
      <c r="B28" s="11">
        <v>1.0</v>
      </c>
      <c r="C28" s="81">
        <v>3360.0</v>
      </c>
      <c r="D28" s="81"/>
      <c r="E28" s="126"/>
      <c r="F28" s="201"/>
      <c r="G28" s="126"/>
      <c r="H28" s="126"/>
      <c r="I28" s="126"/>
    </row>
    <row r="29">
      <c r="A29" s="21" t="s">
        <v>14421</v>
      </c>
      <c r="B29" s="11">
        <v>1.0</v>
      </c>
      <c r="C29" s="81">
        <v>3360.0</v>
      </c>
      <c r="D29" s="81"/>
      <c r="E29" s="126"/>
      <c r="F29" s="201"/>
      <c r="G29" s="126"/>
      <c r="H29" s="126"/>
      <c r="I29" s="126"/>
    </row>
    <row r="30">
      <c r="A30" s="21" t="s">
        <v>14422</v>
      </c>
      <c r="B30" s="11">
        <v>1.0</v>
      </c>
      <c r="C30" s="81">
        <v>3360.0</v>
      </c>
      <c r="D30" s="81"/>
      <c r="E30" s="126"/>
      <c r="F30" s="201"/>
      <c r="G30" s="126"/>
      <c r="H30" s="126"/>
      <c r="I30" s="126"/>
    </row>
    <row r="31">
      <c r="A31" s="21" t="s">
        <v>14423</v>
      </c>
      <c r="B31" s="11">
        <v>1.0</v>
      </c>
      <c r="C31" s="81">
        <v>3360.0</v>
      </c>
      <c r="D31" s="81"/>
      <c r="E31" s="126"/>
      <c r="F31" s="201"/>
      <c r="G31" s="126"/>
      <c r="H31" s="126"/>
      <c r="I31" s="126"/>
    </row>
    <row r="32">
      <c r="A32" s="21" t="s">
        <v>14424</v>
      </c>
      <c r="B32" s="11">
        <v>1.0</v>
      </c>
      <c r="C32" s="81">
        <v>3360.0</v>
      </c>
      <c r="D32" s="81"/>
      <c r="E32" s="126"/>
      <c r="F32" s="201"/>
      <c r="G32" s="126"/>
      <c r="H32" s="126"/>
      <c r="I32" s="126"/>
    </row>
    <row r="33">
      <c r="A33" s="21" t="s">
        <v>14425</v>
      </c>
      <c r="B33" s="11">
        <v>1.0</v>
      </c>
      <c r="C33" s="81">
        <v>3360.0</v>
      </c>
      <c r="D33" s="81"/>
      <c r="E33" s="126"/>
      <c r="F33" s="201"/>
      <c r="G33" s="126"/>
      <c r="H33" s="126"/>
      <c r="I33" s="126"/>
    </row>
    <row r="34">
      <c r="A34" s="21" t="s">
        <v>14426</v>
      </c>
      <c r="B34" s="11">
        <v>1.0</v>
      </c>
      <c r="C34" s="81">
        <v>3360.0</v>
      </c>
      <c r="D34" s="81"/>
      <c r="E34" s="126"/>
      <c r="F34" s="201"/>
      <c r="G34" s="126"/>
      <c r="H34" s="126"/>
      <c r="I34" s="126"/>
    </row>
    <row r="35">
      <c r="A35" s="21" t="s">
        <v>14427</v>
      </c>
      <c r="B35" s="11">
        <v>1.0</v>
      </c>
      <c r="C35" s="81">
        <v>3360.0</v>
      </c>
      <c r="D35" s="81"/>
      <c r="E35" s="126"/>
      <c r="F35" s="201"/>
      <c r="G35" s="126"/>
      <c r="H35" s="126"/>
      <c r="I35" s="126"/>
    </row>
    <row r="36">
      <c r="A36" s="21" t="s">
        <v>14428</v>
      </c>
      <c r="B36" s="11">
        <v>1.0</v>
      </c>
      <c r="C36" s="81">
        <v>3360.0</v>
      </c>
      <c r="D36" s="81"/>
      <c r="E36" s="126"/>
      <c r="F36" s="201"/>
      <c r="G36" s="126"/>
      <c r="H36" s="126"/>
      <c r="I36" s="126"/>
    </row>
    <row r="37">
      <c r="A37" s="21" t="s">
        <v>14429</v>
      </c>
      <c r="B37" s="11">
        <v>1.0</v>
      </c>
      <c r="C37" s="81">
        <v>3360.0</v>
      </c>
      <c r="D37" s="81"/>
      <c r="E37" s="126"/>
      <c r="F37" s="201"/>
      <c r="G37" s="126"/>
      <c r="H37" s="126"/>
      <c r="I37" s="126"/>
    </row>
    <row r="38">
      <c r="A38" s="21" t="s">
        <v>14430</v>
      </c>
      <c r="B38" s="11">
        <v>1.0</v>
      </c>
      <c r="C38" s="81">
        <v>3360.0</v>
      </c>
      <c r="D38" s="81"/>
      <c r="E38" s="126"/>
      <c r="F38" s="201"/>
      <c r="G38" s="126"/>
      <c r="H38" s="126"/>
      <c r="I38" s="126"/>
    </row>
    <row r="39">
      <c r="A39" s="21" t="s">
        <v>14431</v>
      </c>
      <c r="B39" s="11">
        <v>1.0</v>
      </c>
      <c r="C39" s="81">
        <v>3360.0</v>
      </c>
      <c r="D39" s="81"/>
      <c r="E39" s="126"/>
      <c r="F39" s="201"/>
      <c r="G39" s="126"/>
      <c r="H39" s="126"/>
      <c r="I39" s="126"/>
    </row>
    <row r="40">
      <c r="A40" s="21" t="s">
        <v>14432</v>
      </c>
      <c r="B40" s="11">
        <v>1.0</v>
      </c>
      <c r="C40" s="81">
        <v>3360.0</v>
      </c>
      <c r="D40" s="81"/>
      <c r="E40" s="126"/>
      <c r="F40" s="201"/>
      <c r="G40" s="126"/>
      <c r="H40" s="126"/>
      <c r="I40" s="126"/>
    </row>
    <row r="41">
      <c r="A41" s="21" t="s">
        <v>14433</v>
      </c>
      <c r="B41" s="11">
        <v>1.0</v>
      </c>
      <c r="C41" s="81">
        <v>3360.0</v>
      </c>
      <c r="D41" s="81"/>
      <c r="E41" s="126"/>
      <c r="F41" s="201"/>
      <c r="G41" s="126"/>
      <c r="H41" s="126"/>
      <c r="I41" s="126"/>
    </row>
    <row r="42">
      <c r="A42" s="21" t="s">
        <v>14434</v>
      </c>
      <c r="B42" s="11">
        <v>1.0</v>
      </c>
      <c r="C42" s="81">
        <v>3360.0</v>
      </c>
      <c r="D42" s="81"/>
      <c r="E42" s="126"/>
      <c r="F42" s="201"/>
      <c r="G42" s="126"/>
      <c r="H42" s="126"/>
      <c r="I42" s="126"/>
    </row>
    <row r="43">
      <c r="A43" s="21" t="s">
        <v>14435</v>
      </c>
      <c r="B43" s="11">
        <v>1.0</v>
      </c>
      <c r="C43" s="81">
        <v>6141.0</v>
      </c>
      <c r="D43" s="81"/>
      <c r="E43" s="126"/>
      <c r="F43" s="201"/>
      <c r="G43" s="126"/>
      <c r="H43" s="126"/>
      <c r="I43" s="126"/>
    </row>
    <row r="44">
      <c r="A44" s="21" t="s">
        <v>14436</v>
      </c>
      <c r="B44" s="11">
        <v>1.0</v>
      </c>
      <c r="C44" s="81">
        <v>5389.0</v>
      </c>
      <c r="D44" s="81"/>
      <c r="E44" s="126"/>
      <c r="F44" s="201"/>
      <c r="G44" s="126"/>
      <c r="H44" s="126"/>
      <c r="I44" s="126"/>
    </row>
    <row r="45">
      <c r="A45" s="21" t="s">
        <v>14437</v>
      </c>
      <c r="B45" s="11">
        <v>1.0</v>
      </c>
      <c r="C45" s="81">
        <v>663.0</v>
      </c>
      <c r="D45" s="81"/>
      <c r="E45" s="126"/>
      <c r="F45" s="201"/>
      <c r="G45" s="126"/>
      <c r="H45" s="126"/>
      <c r="I45" s="126"/>
    </row>
    <row r="46">
      <c r="A46" s="21" t="s">
        <v>14438</v>
      </c>
      <c r="B46" s="11">
        <v>1.0</v>
      </c>
      <c r="C46" s="81">
        <v>5458.0</v>
      </c>
      <c r="D46" s="81"/>
      <c r="E46" s="126"/>
      <c r="F46" s="201"/>
      <c r="G46" s="126"/>
      <c r="H46" s="126"/>
      <c r="I46" s="126"/>
    </row>
    <row r="47">
      <c r="A47" s="21" t="s">
        <v>14439</v>
      </c>
      <c r="B47" s="11">
        <v>1.0</v>
      </c>
      <c r="C47" s="81">
        <v>5458.0</v>
      </c>
      <c r="D47" s="81"/>
      <c r="E47" s="126"/>
      <c r="F47" s="201"/>
      <c r="G47" s="126"/>
      <c r="H47" s="126"/>
      <c r="I47" s="126"/>
    </row>
    <row r="48">
      <c r="A48" s="21" t="s">
        <v>14440</v>
      </c>
      <c r="B48" s="11">
        <v>1.0</v>
      </c>
      <c r="C48" s="81">
        <v>7003.0</v>
      </c>
      <c r="D48" s="81"/>
      <c r="E48" s="126"/>
      <c r="F48" s="201"/>
      <c r="G48" s="126"/>
      <c r="H48" s="126"/>
      <c r="I48" s="126"/>
    </row>
    <row r="49">
      <c r="A49" s="21" t="s">
        <v>14441</v>
      </c>
      <c r="B49" s="11">
        <v>1.0</v>
      </c>
      <c r="C49" s="81">
        <v>669.0</v>
      </c>
      <c r="D49" s="81"/>
      <c r="E49" s="126"/>
      <c r="F49" s="201"/>
      <c r="G49" s="126"/>
      <c r="H49" s="126"/>
      <c r="I49" s="126"/>
    </row>
    <row r="50">
      <c r="A50" s="21" t="s">
        <v>14442</v>
      </c>
      <c r="B50" s="11">
        <v>1.0</v>
      </c>
      <c r="C50" s="81">
        <v>669.0</v>
      </c>
      <c r="D50" s="81"/>
      <c r="E50" s="126"/>
      <c r="F50" s="201"/>
      <c r="G50" s="126"/>
      <c r="H50" s="126"/>
      <c r="I50" s="126"/>
    </row>
    <row r="51">
      <c r="A51" s="21" t="s">
        <v>14443</v>
      </c>
      <c r="B51" s="11">
        <v>1.0</v>
      </c>
      <c r="C51" s="81">
        <v>669.0</v>
      </c>
      <c r="D51" s="81"/>
      <c r="E51" s="126"/>
      <c r="F51" s="201"/>
      <c r="G51" s="126"/>
      <c r="H51" s="126"/>
      <c r="I51" s="126"/>
    </row>
    <row r="52">
      <c r="A52" s="21" t="s">
        <v>14444</v>
      </c>
      <c r="B52" s="11">
        <v>1.0</v>
      </c>
      <c r="C52" s="81">
        <v>5421.0</v>
      </c>
      <c r="D52" s="81"/>
      <c r="E52" s="126"/>
      <c r="F52" s="201"/>
      <c r="G52" s="126"/>
      <c r="H52" s="126"/>
      <c r="I52" s="126"/>
    </row>
    <row r="53">
      <c r="A53" s="21" t="s">
        <v>14445</v>
      </c>
      <c r="B53" s="11">
        <v>1.0</v>
      </c>
      <c r="C53" s="81">
        <v>5421.0</v>
      </c>
      <c r="D53" s="81"/>
      <c r="E53" s="126"/>
      <c r="F53" s="201"/>
      <c r="G53" s="126"/>
      <c r="H53" s="126"/>
      <c r="I53" s="126"/>
    </row>
    <row r="54">
      <c r="A54" s="21" t="s">
        <v>14446</v>
      </c>
      <c r="B54" s="11">
        <v>1.0</v>
      </c>
      <c r="C54" s="81">
        <v>663.0</v>
      </c>
      <c r="D54" s="81"/>
      <c r="E54" s="126"/>
      <c r="F54" s="201"/>
      <c r="G54" s="126"/>
      <c r="H54" s="126"/>
      <c r="I54" s="126"/>
    </row>
    <row r="55">
      <c r="A55" s="21" t="s">
        <v>14447</v>
      </c>
      <c r="B55" s="11">
        <v>1.0</v>
      </c>
      <c r="C55" s="81">
        <v>6463.0</v>
      </c>
      <c r="D55" s="81"/>
      <c r="E55" s="126"/>
      <c r="F55" s="201"/>
      <c r="G55" s="126"/>
      <c r="H55" s="126"/>
      <c r="I55" s="126"/>
    </row>
    <row r="56">
      <c r="A56" s="21" t="s">
        <v>14448</v>
      </c>
      <c r="B56" s="11">
        <v>1.0</v>
      </c>
      <c r="C56" s="81">
        <v>669.0</v>
      </c>
      <c r="D56" s="81"/>
      <c r="E56" s="126"/>
      <c r="F56" s="201"/>
      <c r="G56" s="126"/>
      <c r="H56" s="126"/>
      <c r="I56" s="126"/>
    </row>
    <row r="57">
      <c r="A57" s="21" t="s">
        <v>14449</v>
      </c>
      <c r="B57" s="11">
        <v>1.0</v>
      </c>
      <c r="C57" s="81">
        <v>669.0</v>
      </c>
      <c r="D57" s="81"/>
      <c r="E57" s="126"/>
      <c r="F57" s="201"/>
      <c r="G57" s="126"/>
      <c r="H57" s="126"/>
      <c r="I57" s="126"/>
    </row>
    <row r="58">
      <c r="A58" s="21" t="s">
        <v>14450</v>
      </c>
      <c r="B58" s="11">
        <v>1.0</v>
      </c>
      <c r="C58" s="81">
        <v>6736.0</v>
      </c>
      <c r="D58" s="81"/>
      <c r="E58" s="126"/>
      <c r="F58" s="201"/>
      <c r="G58" s="126"/>
      <c r="H58" s="126"/>
      <c r="I58" s="126"/>
    </row>
    <row r="59">
      <c r="A59" s="21" t="s">
        <v>14451</v>
      </c>
      <c r="B59" s="11">
        <v>1.0</v>
      </c>
      <c r="C59" s="81">
        <v>6771.0</v>
      </c>
      <c r="D59" s="81"/>
      <c r="E59" s="126"/>
      <c r="F59" s="201"/>
      <c r="G59" s="126"/>
      <c r="H59" s="126"/>
      <c r="I59" s="126"/>
    </row>
    <row r="60">
      <c r="A60" s="21" t="s">
        <v>14452</v>
      </c>
      <c r="B60" s="11">
        <v>1.0</v>
      </c>
      <c r="C60" s="81">
        <v>3360.0</v>
      </c>
      <c r="D60" s="81"/>
      <c r="E60" s="126"/>
      <c r="F60" s="201"/>
      <c r="G60" s="126"/>
      <c r="H60" s="126"/>
      <c r="I60" s="126"/>
    </row>
    <row r="61">
      <c r="A61" s="21" t="s">
        <v>14453</v>
      </c>
      <c r="B61" s="11">
        <v>1.0</v>
      </c>
      <c r="C61" s="81">
        <v>3360.0</v>
      </c>
      <c r="D61" s="81"/>
      <c r="E61" s="126"/>
      <c r="F61" s="201"/>
      <c r="G61" s="126"/>
      <c r="H61" s="126"/>
      <c r="I61" s="126"/>
    </row>
    <row r="62">
      <c r="A62" s="21" t="s">
        <v>14454</v>
      </c>
      <c r="B62" s="11">
        <v>1.0</v>
      </c>
      <c r="C62" s="81">
        <v>3360.0</v>
      </c>
      <c r="D62" s="81"/>
      <c r="E62" s="126"/>
      <c r="F62" s="201"/>
      <c r="G62" s="126"/>
      <c r="H62" s="126"/>
      <c r="I62" s="126"/>
    </row>
    <row r="63">
      <c r="A63" s="21" t="s">
        <v>14455</v>
      </c>
      <c r="B63" s="11">
        <v>1.0</v>
      </c>
      <c r="C63" s="81">
        <v>3360.0</v>
      </c>
      <c r="D63" s="81"/>
      <c r="E63" s="126"/>
      <c r="F63" s="201"/>
      <c r="G63" s="126"/>
      <c r="H63" s="126"/>
      <c r="I63" s="126"/>
    </row>
    <row r="64">
      <c r="A64" s="21" t="s">
        <v>14456</v>
      </c>
      <c r="B64" s="11">
        <v>1.0</v>
      </c>
      <c r="C64" s="81">
        <v>3360.0</v>
      </c>
      <c r="D64" s="81"/>
      <c r="E64" s="126"/>
      <c r="F64" s="201"/>
      <c r="G64" s="126"/>
      <c r="H64" s="126"/>
      <c r="I64" s="126"/>
    </row>
    <row r="65">
      <c r="A65" s="21" t="s">
        <v>14457</v>
      </c>
      <c r="B65" s="11">
        <v>1.0</v>
      </c>
      <c r="C65" s="81">
        <v>3360.0</v>
      </c>
      <c r="D65" s="81"/>
      <c r="E65" s="126"/>
      <c r="F65" s="201"/>
      <c r="G65" s="126"/>
      <c r="H65" s="126"/>
      <c r="I65" s="126"/>
    </row>
    <row r="66">
      <c r="A66" s="21" t="s">
        <v>14458</v>
      </c>
      <c r="B66" s="11">
        <v>1.0</v>
      </c>
      <c r="C66" s="81">
        <v>3360.0</v>
      </c>
      <c r="D66" s="81"/>
      <c r="E66" s="126"/>
      <c r="F66" s="201"/>
      <c r="G66" s="126"/>
      <c r="H66" s="126"/>
      <c r="I66" s="126"/>
    </row>
    <row r="67">
      <c r="A67" s="21" t="s">
        <v>14459</v>
      </c>
      <c r="B67" s="11">
        <v>1.0</v>
      </c>
      <c r="C67" s="81">
        <v>3360.0</v>
      </c>
      <c r="D67" s="81"/>
      <c r="E67" s="126"/>
      <c r="F67" s="201"/>
      <c r="G67" s="126"/>
      <c r="H67" s="126"/>
      <c r="I67" s="126"/>
    </row>
    <row r="68">
      <c r="A68" s="21" t="s">
        <v>14460</v>
      </c>
      <c r="B68" s="11">
        <v>1.0</v>
      </c>
      <c r="C68" s="81">
        <v>3360.0</v>
      </c>
      <c r="D68" s="81"/>
      <c r="E68" s="126"/>
      <c r="F68" s="201"/>
      <c r="G68" s="126"/>
      <c r="H68" s="126"/>
      <c r="I68" s="126"/>
    </row>
    <row r="69">
      <c r="A69" s="21" t="s">
        <v>14461</v>
      </c>
      <c r="B69" s="11">
        <v>1.0</v>
      </c>
      <c r="C69" s="81">
        <v>3360.0</v>
      </c>
      <c r="D69" s="81"/>
      <c r="E69" s="126"/>
      <c r="F69" s="201"/>
      <c r="G69" s="126"/>
      <c r="H69" s="126"/>
      <c r="I69" s="126"/>
    </row>
    <row r="70">
      <c r="A70" s="21" t="s">
        <v>14462</v>
      </c>
      <c r="B70" s="11">
        <v>1.0</v>
      </c>
      <c r="C70" s="81">
        <v>3360.0</v>
      </c>
      <c r="D70" s="81"/>
      <c r="E70" s="126"/>
      <c r="F70" s="201"/>
      <c r="G70" s="126"/>
      <c r="H70" s="126"/>
      <c r="I70" s="126"/>
    </row>
    <row r="71">
      <c r="A71" s="21" t="s">
        <v>14463</v>
      </c>
      <c r="B71" s="11">
        <v>1.0</v>
      </c>
      <c r="C71" s="81">
        <v>3360.0</v>
      </c>
      <c r="D71" s="81"/>
      <c r="E71" s="126"/>
      <c r="F71" s="201"/>
      <c r="G71" s="126"/>
      <c r="H71" s="126"/>
      <c r="I71" s="126"/>
    </row>
    <row r="72">
      <c r="A72" s="21" t="s">
        <v>14464</v>
      </c>
      <c r="B72" s="11">
        <v>1.0</v>
      </c>
      <c r="C72" s="81">
        <v>3360.0</v>
      </c>
      <c r="D72" s="81"/>
      <c r="E72" s="126"/>
      <c r="F72" s="201"/>
      <c r="G72" s="126"/>
      <c r="H72" s="126"/>
      <c r="I72" s="126"/>
    </row>
    <row r="73">
      <c r="A73" s="21" t="s">
        <v>14465</v>
      </c>
      <c r="B73" s="11">
        <v>1.0</v>
      </c>
      <c r="C73" s="81">
        <v>3360.0</v>
      </c>
      <c r="D73" s="81"/>
      <c r="E73" s="126"/>
      <c r="F73" s="201"/>
      <c r="G73" s="126"/>
      <c r="H73" s="126"/>
      <c r="I73" s="126"/>
    </row>
    <row r="74">
      <c r="A74" s="21" t="s">
        <v>14466</v>
      </c>
      <c r="B74" s="11">
        <v>1.0</v>
      </c>
      <c r="C74" s="81">
        <v>3360.0</v>
      </c>
      <c r="D74" s="81"/>
      <c r="E74" s="126"/>
      <c r="F74" s="201"/>
      <c r="G74" s="126"/>
      <c r="H74" s="126"/>
      <c r="I74" s="126"/>
    </row>
    <row r="75">
      <c r="A75" s="21" t="s">
        <v>14467</v>
      </c>
      <c r="B75" s="11">
        <v>1.0</v>
      </c>
      <c r="C75" s="81">
        <v>3360.0</v>
      </c>
      <c r="D75" s="81"/>
      <c r="E75" s="126"/>
      <c r="F75" s="201"/>
      <c r="G75" s="126"/>
      <c r="H75" s="126"/>
      <c r="I75" s="126"/>
    </row>
    <row r="76">
      <c r="A76" s="21" t="s">
        <v>14468</v>
      </c>
      <c r="B76" s="11">
        <v>1.0</v>
      </c>
      <c r="C76" s="81">
        <v>3360.0</v>
      </c>
      <c r="D76" s="81"/>
      <c r="E76" s="126"/>
      <c r="F76" s="201"/>
      <c r="G76" s="126"/>
      <c r="H76" s="126"/>
      <c r="I76" s="126"/>
    </row>
    <row r="77">
      <c r="A77" s="21" t="s">
        <v>14469</v>
      </c>
      <c r="B77" s="11">
        <v>1.0</v>
      </c>
      <c r="C77" s="81">
        <v>3360.0</v>
      </c>
      <c r="D77" s="81"/>
      <c r="E77" s="126"/>
      <c r="F77" s="201"/>
      <c r="G77" s="126"/>
      <c r="H77" s="126"/>
      <c r="I77" s="126"/>
    </row>
    <row r="78">
      <c r="A78" s="21" t="s">
        <v>14470</v>
      </c>
      <c r="B78" s="11">
        <v>1.0</v>
      </c>
      <c r="C78" s="81">
        <v>3360.0</v>
      </c>
      <c r="D78" s="81"/>
      <c r="E78" s="126"/>
      <c r="F78" s="201"/>
      <c r="G78" s="126"/>
      <c r="H78" s="126"/>
      <c r="I78" s="126"/>
    </row>
    <row r="79">
      <c r="A79" s="21" t="s">
        <v>14471</v>
      </c>
      <c r="B79" s="11">
        <v>1.0</v>
      </c>
      <c r="C79" s="81">
        <v>3360.0</v>
      </c>
      <c r="D79" s="81"/>
      <c r="E79" s="126"/>
      <c r="F79" s="201"/>
      <c r="G79" s="126"/>
      <c r="H79" s="126"/>
      <c r="I79" s="126"/>
    </row>
    <row r="80">
      <c r="A80" s="21" t="s">
        <v>14472</v>
      </c>
      <c r="B80" s="11">
        <v>1.0</v>
      </c>
      <c r="C80" s="81">
        <v>3360.0</v>
      </c>
      <c r="D80" s="81"/>
      <c r="E80" s="126"/>
      <c r="F80" s="201"/>
      <c r="G80" s="126"/>
      <c r="H80" s="126"/>
      <c r="I80" s="126"/>
    </row>
    <row r="81">
      <c r="A81" s="21" t="s">
        <v>14473</v>
      </c>
      <c r="B81" s="11">
        <v>1.0</v>
      </c>
      <c r="C81" s="81">
        <v>3360.0</v>
      </c>
      <c r="D81" s="81"/>
      <c r="E81" s="126"/>
      <c r="F81" s="201"/>
      <c r="G81" s="126"/>
      <c r="H81" s="126"/>
      <c r="I81" s="126"/>
    </row>
    <row r="82">
      <c r="A82" s="21" t="s">
        <v>14474</v>
      </c>
      <c r="B82" s="11">
        <v>1.0</v>
      </c>
      <c r="C82" s="81">
        <v>3360.0</v>
      </c>
      <c r="D82" s="81"/>
      <c r="E82" s="126"/>
      <c r="F82" s="201"/>
      <c r="G82" s="126"/>
      <c r="H82" s="126"/>
      <c r="I82" s="126"/>
    </row>
    <row r="83">
      <c r="A83" s="21" t="s">
        <v>14475</v>
      </c>
      <c r="B83" s="11">
        <v>1.0</v>
      </c>
      <c r="C83" s="81">
        <v>3360.0</v>
      </c>
      <c r="E83" s="126"/>
      <c r="F83" s="201"/>
      <c r="G83" s="126"/>
      <c r="H83" s="126"/>
      <c r="I83" s="126"/>
    </row>
    <row r="84">
      <c r="A84" s="21" t="s">
        <v>14476</v>
      </c>
      <c r="B84" s="11">
        <v>1.0</v>
      </c>
      <c r="C84" s="81">
        <v>3360.0</v>
      </c>
      <c r="E84" s="126"/>
      <c r="F84" s="201"/>
      <c r="G84" s="126"/>
      <c r="H84" s="126"/>
      <c r="I84" s="126"/>
    </row>
    <row r="85">
      <c r="A85" s="21" t="s">
        <v>14477</v>
      </c>
      <c r="B85" s="11">
        <v>1.0</v>
      </c>
      <c r="C85" s="81">
        <v>3360.0</v>
      </c>
      <c r="E85" s="126"/>
      <c r="F85" s="201"/>
      <c r="G85" s="126"/>
      <c r="H85" s="126"/>
      <c r="I85" s="126"/>
    </row>
    <row r="86">
      <c r="A86" s="21" t="s">
        <v>14478</v>
      </c>
      <c r="B86" s="11">
        <v>1.0</v>
      </c>
      <c r="C86" s="81">
        <v>5421.0</v>
      </c>
      <c r="D86" s="81"/>
      <c r="E86" s="126"/>
      <c r="F86" s="201"/>
      <c r="G86" s="126"/>
      <c r="H86" s="126"/>
      <c r="I86" s="126"/>
    </row>
    <row r="87">
      <c r="A87" s="21" t="s">
        <v>14479</v>
      </c>
      <c r="B87" s="11">
        <v>1.0</v>
      </c>
      <c r="C87" s="81">
        <v>5421.0</v>
      </c>
      <c r="D87" s="81"/>
      <c r="E87" s="126"/>
      <c r="F87" s="201"/>
      <c r="G87" s="126"/>
      <c r="H87" s="126"/>
      <c r="I87" s="126"/>
    </row>
    <row r="88">
      <c r="A88" s="21" t="s">
        <v>14480</v>
      </c>
      <c r="B88" s="11">
        <v>1.0</v>
      </c>
      <c r="C88" s="81">
        <v>5421.0</v>
      </c>
      <c r="D88" s="81"/>
      <c r="E88" s="126"/>
      <c r="F88" s="201"/>
      <c r="G88" s="126"/>
      <c r="H88" s="126"/>
      <c r="I88" s="126"/>
    </row>
    <row r="89">
      <c r="A89" s="21" t="s">
        <v>14481</v>
      </c>
      <c r="B89" s="11">
        <v>1.0</v>
      </c>
      <c r="C89" s="81">
        <v>5421.0</v>
      </c>
      <c r="D89" s="81"/>
      <c r="E89" s="126"/>
      <c r="F89" s="201"/>
      <c r="G89" s="126"/>
      <c r="H89" s="126"/>
      <c r="I89" s="126"/>
    </row>
    <row r="90">
      <c r="A90" s="21" t="s">
        <v>14482</v>
      </c>
      <c r="B90" s="11">
        <v>1.0</v>
      </c>
      <c r="C90" s="81">
        <v>5421.0</v>
      </c>
      <c r="D90" s="81"/>
      <c r="E90" s="126"/>
      <c r="F90" s="201"/>
      <c r="G90" s="126"/>
      <c r="H90" s="126"/>
      <c r="I90" s="126"/>
    </row>
    <row r="91">
      <c r="A91" s="21" t="s">
        <v>14483</v>
      </c>
      <c r="B91" s="11">
        <v>1.0</v>
      </c>
      <c r="C91" s="81">
        <v>5421.0</v>
      </c>
      <c r="D91" s="81"/>
      <c r="E91" s="126"/>
      <c r="F91" s="201"/>
      <c r="G91" s="126"/>
      <c r="H91" s="126"/>
      <c r="I91" s="126"/>
    </row>
    <row r="92">
      <c r="A92" s="21" t="s">
        <v>14484</v>
      </c>
      <c r="B92" s="11">
        <v>1.0</v>
      </c>
      <c r="C92" s="81">
        <v>3360.0</v>
      </c>
      <c r="D92" s="81"/>
      <c r="E92" s="126"/>
      <c r="F92" s="201"/>
      <c r="G92" s="126"/>
      <c r="H92" s="126"/>
      <c r="I92" s="126"/>
    </row>
    <row r="93">
      <c r="A93" s="21" t="s">
        <v>14485</v>
      </c>
      <c r="B93" s="11">
        <v>1.0</v>
      </c>
      <c r="C93" s="81">
        <v>3360.0</v>
      </c>
      <c r="D93" s="81"/>
      <c r="E93" s="126"/>
      <c r="F93" s="201"/>
      <c r="G93" s="126"/>
      <c r="H93" s="126"/>
      <c r="I93" s="126"/>
    </row>
    <row r="94">
      <c r="A94" s="21" t="s">
        <v>14486</v>
      </c>
      <c r="B94" s="11">
        <v>1.0</v>
      </c>
      <c r="C94" s="81">
        <v>3360.0</v>
      </c>
      <c r="D94" s="81"/>
      <c r="E94" s="126"/>
      <c r="F94" s="201"/>
      <c r="G94" s="126"/>
      <c r="H94" s="126"/>
      <c r="I94" s="126"/>
    </row>
    <row r="95">
      <c r="A95" s="21" t="s">
        <v>14487</v>
      </c>
      <c r="B95" s="11">
        <v>1.0</v>
      </c>
      <c r="C95" s="81">
        <v>3360.0</v>
      </c>
      <c r="D95" s="81"/>
      <c r="E95" s="126"/>
      <c r="F95" s="201"/>
      <c r="G95" s="126"/>
      <c r="H95" s="126"/>
      <c r="I95" s="126"/>
    </row>
    <row r="96">
      <c r="A96" s="21" t="s">
        <v>14488</v>
      </c>
      <c r="B96" s="11">
        <v>1.0</v>
      </c>
      <c r="C96" s="81">
        <v>3360.0</v>
      </c>
      <c r="D96" s="81"/>
      <c r="E96" s="126"/>
      <c r="F96" s="201"/>
      <c r="G96" s="126"/>
      <c r="H96" s="126"/>
      <c r="I96" s="126"/>
    </row>
    <row r="97">
      <c r="A97" s="21" t="s">
        <v>14489</v>
      </c>
      <c r="B97" s="11">
        <v>1.0</v>
      </c>
      <c r="C97" s="81">
        <v>3360.0</v>
      </c>
      <c r="D97" s="81"/>
      <c r="E97" s="126"/>
      <c r="F97" s="201"/>
      <c r="G97" s="126"/>
      <c r="H97" s="126"/>
      <c r="I97" s="126"/>
    </row>
    <row r="98">
      <c r="A98" s="21" t="s">
        <v>14490</v>
      </c>
      <c r="B98" s="11">
        <v>1.0</v>
      </c>
      <c r="C98" s="81">
        <v>3360.0</v>
      </c>
      <c r="D98" s="81"/>
      <c r="E98" s="126"/>
      <c r="F98" s="201"/>
      <c r="G98" s="126"/>
      <c r="H98" s="126"/>
      <c r="I98" s="126"/>
    </row>
    <row r="99">
      <c r="A99" s="21" t="s">
        <v>14491</v>
      </c>
      <c r="B99" s="11">
        <v>1.0</v>
      </c>
      <c r="C99" s="81">
        <v>3360.0</v>
      </c>
      <c r="D99" s="81"/>
      <c r="E99" s="126"/>
      <c r="F99" s="201"/>
      <c r="G99" s="126"/>
      <c r="H99" s="126"/>
      <c r="I99" s="126"/>
    </row>
    <row r="100">
      <c r="A100" s="21" t="s">
        <v>14492</v>
      </c>
      <c r="B100" s="11">
        <v>1.0</v>
      </c>
      <c r="C100" s="81">
        <v>3360.0</v>
      </c>
      <c r="D100" s="81"/>
      <c r="E100" s="126"/>
      <c r="F100" s="201"/>
      <c r="G100" s="126"/>
      <c r="H100" s="126"/>
      <c r="I100" s="126"/>
    </row>
    <row r="101">
      <c r="A101" s="21" t="s">
        <v>14493</v>
      </c>
      <c r="B101" s="11">
        <v>1.0</v>
      </c>
      <c r="C101" s="81">
        <v>3360.0</v>
      </c>
      <c r="D101" s="81"/>
      <c r="E101" s="126"/>
      <c r="F101" s="201"/>
      <c r="G101" s="126"/>
      <c r="H101" s="126"/>
      <c r="I101" s="126"/>
    </row>
    <row r="102">
      <c r="A102" s="21" t="s">
        <v>14494</v>
      </c>
      <c r="B102" s="11">
        <v>1.0</v>
      </c>
      <c r="C102" s="81">
        <v>3360.0</v>
      </c>
      <c r="D102" s="81"/>
      <c r="E102" s="126"/>
      <c r="F102" s="201"/>
      <c r="G102" s="126"/>
      <c r="H102" s="126"/>
      <c r="I102" s="126"/>
    </row>
    <row r="103">
      <c r="A103" s="21" t="s">
        <v>14495</v>
      </c>
      <c r="B103" s="11">
        <v>1.0</v>
      </c>
      <c r="C103" s="81">
        <v>3360.0</v>
      </c>
      <c r="D103" s="81"/>
      <c r="E103" s="126"/>
      <c r="F103" s="201"/>
      <c r="G103" s="126"/>
      <c r="H103" s="126"/>
      <c r="I103" s="126"/>
    </row>
    <row r="104">
      <c r="A104" s="21" t="s">
        <v>14496</v>
      </c>
      <c r="B104" s="11">
        <v>1.0</v>
      </c>
      <c r="C104" s="81">
        <v>3360.0</v>
      </c>
      <c r="D104" s="81"/>
      <c r="E104" s="126"/>
      <c r="F104" s="201"/>
      <c r="G104" s="126"/>
      <c r="H104" s="126"/>
      <c r="I104" s="126"/>
    </row>
    <row r="105">
      <c r="A105" s="21" t="s">
        <v>14497</v>
      </c>
      <c r="B105" s="11">
        <v>1.0</v>
      </c>
      <c r="C105" s="81">
        <v>3360.0</v>
      </c>
      <c r="D105" s="81"/>
      <c r="E105" s="126"/>
      <c r="F105" s="201"/>
      <c r="G105" s="126"/>
      <c r="H105" s="126"/>
      <c r="I105" s="126"/>
    </row>
    <row r="106">
      <c r="A106" s="21" t="s">
        <v>14498</v>
      </c>
      <c r="B106" s="11">
        <v>1.0</v>
      </c>
      <c r="C106" s="81">
        <v>3360.0</v>
      </c>
      <c r="D106" s="81"/>
      <c r="E106" s="126"/>
      <c r="F106" s="201"/>
      <c r="G106" s="126"/>
      <c r="H106" s="126"/>
      <c r="I106" s="126"/>
    </row>
    <row r="107">
      <c r="A107" s="21" t="s">
        <v>14499</v>
      </c>
      <c r="B107" s="11">
        <v>1.0</v>
      </c>
      <c r="C107" s="81">
        <v>3360.0</v>
      </c>
      <c r="D107" s="81"/>
      <c r="E107" s="126"/>
      <c r="F107" s="201"/>
      <c r="G107" s="126"/>
      <c r="H107" s="126"/>
      <c r="I107" s="126"/>
    </row>
    <row r="108">
      <c r="A108" s="21" t="s">
        <v>14500</v>
      </c>
      <c r="B108" s="11">
        <v>1.0</v>
      </c>
      <c r="C108" s="81">
        <v>3360.0</v>
      </c>
      <c r="D108" s="81"/>
      <c r="E108" s="126"/>
      <c r="F108" s="201"/>
      <c r="G108" s="126"/>
      <c r="H108" s="126"/>
      <c r="I108" s="126"/>
    </row>
    <row r="109">
      <c r="A109" s="21" t="s">
        <v>14501</v>
      </c>
      <c r="B109" s="11">
        <v>1.0</v>
      </c>
      <c r="C109" s="81">
        <v>3360.0</v>
      </c>
      <c r="D109" s="81"/>
      <c r="E109" s="126"/>
      <c r="F109" s="201"/>
      <c r="G109" s="126"/>
      <c r="H109" s="126"/>
      <c r="I109" s="126"/>
    </row>
    <row r="110">
      <c r="A110" s="21" t="s">
        <v>14502</v>
      </c>
      <c r="B110" s="11">
        <v>1.0</v>
      </c>
      <c r="C110" s="81">
        <v>3360.0</v>
      </c>
      <c r="D110" s="81"/>
      <c r="E110" s="126"/>
      <c r="F110" s="201"/>
      <c r="G110" s="126"/>
      <c r="H110" s="126"/>
      <c r="I110" s="126"/>
    </row>
    <row r="111">
      <c r="A111" s="21" t="s">
        <v>14503</v>
      </c>
      <c r="B111" s="11">
        <v>1.0</v>
      </c>
      <c r="C111" s="81">
        <v>3360.0</v>
      </c>
      <c r="D111" s="81"/>
      <c r="E111" s="126"/>
      <c r="F111" s="201"/>
      <c r="G111" s="126"/>
      <c r="H111" s="126"/>
      <c r="I111" s="126"/>
    </row>
    <row r="112">
      <c r="A112" s="21" t="s">
        <v>14504</v>
      </c>
      <c r="B112" s="11">
        <v>1.0</v>
      </c>
      <c r="C112" s="81">
        <v>3360.0</v>
      </c>
      <c r="D112" s="81"/>
      <c r="E112" s="126"/>
      <c r="F112" s="201"/>
      <c r="G112" s="126"/>
      <c r="H112" s="126"/>
      <c r="I112" s="126"/>
    </row>
    <row r="113">
      <c r="A113" s="21" t="s">
        <v>14505</v>
      </c>
      <c r="B113" s="11">
        <v>1.0</v>
      </c>
      <c r="C113" s="81">
        <v>3360.0</v>
      </c>
      <c r="D113" s="81"/>
      <c r="E113" s="126"/>
      <c r="F113" s="201"/>
      <c r="G113" s="126"/>
      <c r="H113" s="126"/>
      <c r="I113" s="126"/>
    </row>
    <row r="114">
      <c r="A114" s="21" t="s">
        <v>14506</v>
      </c>
      <c r="B114" s="11">
        <v>1.0</v>
      </c>
      <c r="C114" s="81">
        <v>3360.0</v>
      </c>
      <c r="D114" s="81"/>
      <c r="E114" s="126"/>
      <c r="F114" s="201"/>
      <c r="G114" s="126"/>
      <c r="H114" s="126"/>
      <c r="I114" s="126"/>
    </row>
    <row r="115">
      <c r="A115" s="21" t="s">
        <v>14507</v>
      </c>
      <c r="B115" s="11">
        <v>1.0</v>
      </c>
      <c r="C115" s="81">
        <v>3360.0</v>
      </c>
      <c r="D115" s="81"/>
      <c r="E115" s="126"/>
      <c r="F115" s="201"/>
      <c r="G115" s="126"/>
      <c r="H115" s="126"/>
      <c r="I115" s="126"/>
    </row>
    <row r="116">
      <c r="A116" s="21" t="s">
        <v>14508</v>
      </c>
      <c r="B116" s="11">
        <v>1.0</v>
      </c>
      <c r="C116" s="81">
        <v>3360.0</v>
      </c>
      <c r="D116" s="81"/>
      <c r="E116" s="126"/>
      <c r="F116" s="201"/>
      <c r="G116" s="126"/>
      <c r="H116" s="126"/>
      <c r="I116" s="126"/>
    </row>
    <row r="117">
      <c r="A117" s="21" t="s">
        <v>14509</v>
      </c>
      <c r="B117" s="11">
        <v>1.0</v>
      </c>
      <c r="C117" s="81">
        <v>3360.0</v>
      </c>
      <c r="D117" s="81"/>
      <c r="E117" s="126"/>
      <c r="F117" s="201"/>
      <c r="G117" s="126"/>
      <c r="H117" s="126"/>
      <c r="I117" s="126"/>
    </row>
    <row r="118">
      <c r="A118" s="21" t="s">
        <v>14510</v>
      </c>
      <c r="B118" s="11">
        <v>1.0</v>
      </c>
      <c r="C118" s="81">
        <v>3360.0</v>
      </c>
      <c r="D118" s="81"/>
      <c r="E118" s="126"/>
      <c r="F118" s="201"/>
      <c r="G118" s="126"/>
      <c r="H118" s="126"/>
      <c r="I118" s="126"/>
    </row>
    <row r="119">
      <c r="A119" s="21" t="s">
        <v>14511</v>
      </c>
      <c r="B119" s="11">
        <v>1.0</v>
      </c>
      <c r="C119" s="81">
        <v>3360.0</v>
      </c>
      <c r="D119" s="81"/>
      <c r="E119" s="126"/>
      <c r="F119" s="201"/>
      <c r="G119" s="126"/>
      <c r="H119" s="126"/>
      <c r="I119" s="126"/>
    </row>
    <row r="120">
      <c r="A120" s="21" t="s">
        <v>14512</v>
      </c>
      <c r="B120" s="11">
        <v>1.0</v>
      </c>
      <c r="C120" s="81">
        <v>3360.0</v>
      </c>
      <c r="D120" s="81"/>
      <c r="E120" s="126"/>
      <c r="F120" s="201"/>
      <c r="G120" s="126"/>
      <c r="H120" s="126"/>
      <c r="I120" s="126"/>
    </row>
    <row r="121">
      <c r="A121" s="21" t="s">
        <v>14513</v>
      </c>
      <c r="B121" s="11">
        <v>1.0</v>
      </c>
      <c r="C121" s="81">
        <v>3360.0</v>
      </c>
      <c r="D121" s="81"/>
      <c r="E121" s="126"/>
      <c r="F121" s="201"/>
      <c r="G121" s="126"/>
      <c r="H121" s="126"/>
      <c r="I121" s="126"/>
    </row>
    <row r="122">
      <c r="A122" s="21" t="s">
        <v>14514</v>
      </c>
      <c r="B122" s="11">
        <v>1.0</v>
      </c>
      <c r="C122" s="81">
        <v>3360.0</v>
      </c>
      <c r="D122" s="81"/>
      <c r="E122" s="126"/>
      <c r="F122" s="201"/>
      <c r="G122" s="126"/>
      <c r="H122" s="126"/>
      <c r="I122" s="126"/>
    </row>
    <row r="123">
      <c r="A123" s="21" t="s">
        <v>14515</v>
      </c>
      <c r="B123" s="11">
        <v>1.0</v>
      </c>
      <c r="C123" s="81">
        <v>3360.0</v>
      </c>
      <c r="D123" s="81"/>
      <c r="E123" s="126"/>
      <c r="F123" s="201"/>
      <c r="G123" s="126"/>
      <c r="H123" s="126"/>
      <c r="I123" s="126"/>
    </row>
    <row r="124">
      <c r="A124" s="21" t="s">
        <v>14516</v>
      </c>
      <c r="B124" s="11">
        <v>1.0</v>
      </c>
      <c r="C124" s="81">
        <v>3360.0</v>
      </c>
      <c r="D124" s="81"/>
      <c r="E124" s="126"/>
      <c r="F124" s="201"/>
      <c r="G124" s="126"/>
      <c r="H124" s="126"/>
      <c r="I124" s="126"/>
    </row>
    <row r="125">
      <c r="A125" s="21" t="s">
        <v>14517</v>
      </c>
      <c r="B125" s="11">
        <v>1.0</v>
      </c>
      <c r="C125" s="81">
        <v>3360.0</v>
      </c>
      <c r="D125" s="81"/>
      <c r="E125" s="126"/>
      <c r="F125" s="201"/>
      <c r="G125" s="126"/>
      <c r="H125" s="126"/>
      <c r="I125" s="126"/>
    </row>
    <row r="126">
      <c r="A126" s="21" t="s">
        <v>14518</v>
      </c>
      <c r="B126" s="11">
        <v>1.0</v>
      </c>
      <c r="C126" s="81">
        <v>3360.0</v>
      </c>
      <c r="D126" s="81"/>
      <c r="E126" s="126"/>
      <c r="F126" s="201"/>
      <c r="G126" s="126"/>
      <c r="H126" s="126"/>
      <c r="I126" s="126"/>
    </row>
    <row r="127">
      <c r="A127" s="21" t="s">
        <v>14519</v>
      </c>
      <c r="B127" s="11">
        <v>1.0</v>
      </c>
      <c r="C127" s="81">
        <v>3360.0</v>
      </c>
      <c r="D127" s="81"/>
      <c r="E127" s="126"/>
      <c r="F127" s="201"/>
      <c r="G127" s="126"/>
      <c r="H127" s="126"/>
      <c r="I127" s="126"/>
    </row>
    <row r="128">
      <c r="A128" s="21" t="s">
        <v>14520</v>
      </c>
      <c r="B128" s="11">
        <v>1.0</v>
      </c>
      <c r="C128" s="81">
        <v>3360.0</v>
      </c>
      <c r="D128" s="81"/>
      <c r="E128" s="126"/>
      <c r="F128" s="201"/>
      <c r="G128" s="126"/>
      <c r="H128" s="126"/>
      <c r="I128" s="126"/>
    </row>
    <row r="129">
      <c r="A129" s="21" t="s">
        <v>14521</v>
      </c>
      <c r="B129" s="11">
        <v>1.0</v>
      </c>
      <c r="C129" s="81">
        <v>3360.0</v>
      </c>
      <c r="D129" s="81"/>
      <c r="E129" s="126"/>
      <c r="F129" s="201"/>
      <c r="G129" s="126"/>
      <c r="H129" s="126"/>
      <c r="I129" s="126"/>
    </row>
    <row r="130">
      <c r="A130" s="21" t="s">
        <v>14522</v>
      </c>
      <c r="B130" s="11">
        <v>1.0</v>
      </c>
      <c r="C130" s="81">
        <v>3360.0</v>
      </c>
      <c r="D130" s="81"/>
      <c r="E130" s="126"/>
      <c r="F130" s="201"/>
      <c r="G130" s="126"/>
      <c r="H130" s="126"/>
      <c r="I130" s="126"/>
    </row>
    <row r="131">
      <c r="A131" s="21" t="s">
        <v>14523</v>
      </c>
      <c r="B131" s="11">
        <v>1.0</v>
      </c>
      <c r="C131" s="81">
        <v>3360.0</v>
      </c>
      <c r="D131" s="81"/>
      <c r="E131" s="126"/>
      <c r="F131" s="201"/>
      <c r="G131" s="126"/>
      <c r="H131" s="126"/>
      <c r="I131" s="126"/>
    </row>
    <row r="132">
      <c r="A132" s="21" t="s">
        <v>14524</v>
      </c>
      <c r="B132" s="11">
        <v>1.0</v>
      </c>
      <c r="C132" s="81">
        <v>3360.0</v>
      </c>
      <c r="D132" s="81"/>
      <c r="E132" s="126"/>
      <c r="F132" s="201"/>
      <c r="G132" s="126"/>
      <c r="H132" s="126"/>
      <c r="I132" s="126"/>
    </row>
    <row r="133">
      <c r="A133" s="21" t="s">
        <v>14525</v>
      </c>
      <c r="B133" s="11">
        <v>1.0</v>
      </c>
      <c r="C133" s="81">
        <v>3360.0</v>
      </c>
      <c r="D133" s="81"/>
      <c r="E133" s="126"/>
      <c r="F133" s="201"/>
      <c r="G133" s="126"/>
      <c r="H133" s="126"/>
      <c r="I133" s="126"/>
    </row>
    <row r="134">
      <c r="A134" s="21" t="s">
        <v>14526</v>
      </c>
      <c r="B134" s="11">
        <v>1.0</v>
      </c>
      <c r="C134" s="81">
        <v>3360.0</v>
      </c>
      <c r="D134" s="81"/>
      <c r="E134" s="126"/>
      <c r="F134" s="201"/>
      <c r="G134" s="126"/>
      <c r="H134" s="126"/>
      <c r="I134" s="126"/>
    </row>
    <row r="135">
      <c r="A135" s="21" t="s">
        <v>14527</v>
      </c>
      <c r="B135" s="11">
        <v>1.0</v>
      </c>
      <c r="C135" s="81">
        <v>3360.0</v>
      </c>
      <c r="D135" s="81"/>
      <c r="E135" s="126"/>
      <c r="F135" s="201"/>
      <c r="G135" s="126"/>
      <c r="H135" s="126"/>
      <c r="I135" s="126"/>
    </row>
    <row r="136">
      <c r="A136" s="21" t="s">
        <v>14528</v>
      </c>
      <c r="B136" s="11">
        <v>1.0</v>
      </c>
      <c r="C136" s="81">
        <v>3360.0</v>
      </c>
      <c r="D136" s="81"/>
      <c r="E136" s="126"/>
      <c r="F136" s="201"/>
      <c r="G136" s="126"/>
      <c r="H136" s="126"/>
      <c r="I136" s="126"/>
    </row>
    <row r="137">
      <c r="A137" s="21" t="s">
        <v>14529</v>
      </c>
      <c r="B137" s="11">
        <v>1.0</v>
      </c>
      <c r="C137" s="81">
        <v>3360.0</v>
      </c>
      <c r="D137" s="81"/>
      <c r="E137" s="126"/>
      <c r="F137" s="201"/>
      <c r="G137" s="126"/>
      <c r="H137" s="126"/>
      <c r="I137" s="126"/>
    </row>
    <row r="138">
      <c r="A138" s="21" t="s">
        <v>14530</v>
      </c>
      <c r="B138" s="11">
        <v>1.0</v>
      </c>
      <c r="C138" s="81">
        <v>3360.0</v>
      </c>
      <c r="D138" s="81"/>
      <c r="E138" s="126"/>
      <c r="F138" s="201"/>
      <c r="G138" s="126"/>
      <c r="H138" s="126"/>
      <c r="I138" s="126"/>
    </row>
    <row r="139">
      <c r="A139" s="21" t="s">
        <v>14531</v>
      </c>
      <c r="B139" s="11">
        <v>1.0</v>
      </c>
      <c r="C139" s="81">
        <v>3360.0</v>
      </c>
      <c r="D139" s="81"/>
      <c r="E139" s="126"/>
      <c r="F139" s="201"/>
      <c r="G139" s="126"/>
      <c r="H139" s="126"/>
      <c r="I139" s="126"/>
    </row>
    <row r="140">
      <c r="A140" s="21" t="s">
        <v>14532</v>
      </c>
      <c r="B140" s="11">
        <v>1.0</v>
      </c>
      <c r="C140" s="81">
        <v>3360.0</v>
      </c>
      <c r="D140" s="81"/>
      <c r="E140" s="126"/>
      <c r="F140" s="201"/>
      <c r="G140" s="126"/>
      <c r="H140" s="126"/>
      <c r="I140" s="126"/>
    </row>
    <row r="141">
      <c r="A141" s="21" t="s">
        <v>14533</v>
      </c>
      <c r="B141" s="11">
        <v>1.0</v>
      </c>
      <c r="C141" s="81">
        <v>3360.0</v>
      </c>
      <c r="D141" s="81"/>
      <c r="E141" s="126"/>
      <c r="F141" s="201"/>
      <c r="G141" s="126"/>
      <c r="H141" s="126"/>
      <c r="I141" s="126"/>
    </row>
    <row r="142">
      <c r="A142" s="21" t="s">
        <v>14534</v>
      </c>
      <c r="B142" s="11">
        <v>1.0</v>
      </c>
      <c r="C142" s="81">
        <v>3360.0</v>
      </c>
      <c r="D142" s="81"/>
      <c r="E142" s="126"/>
      <c r="F142" s="201"/>
      <c r="G142" s="126"/>
      <c r="H142" s="126"/>
      <c r="I142" s="126"/>
    </row>
    <row r="143">
      <c r="A143" s="21" t="s">
        <v>14535</v>
      </c>
      <c r="B143" s="11">
        <v>1.0</v>
      </c>
      <c r="C143" s="81">
        <v>5553.0</v>
      </c>
      <c r="D143" s="81"/>
      <c r="E143" s="126"/>
      <c r="F143" s="201"/>
      <c r="G143" s="126"/>
      <c r="H143" s="126"/>
      <c r="I143" s="126"/>
    </row>
    <row r="144">
      <c r="A144" s="21" t="s">
        <v>14536</v>
      </c>
      <c r="B144" s="11">
        <v>1.0</v>
      </c>
      <c r="C144" s="81">
        <v>5553.0</v>
      </c>
      <c r="D144" s="81"/>
      <c r="E144" s="126"/>
      <c r="F144" s="201"/>
      <c r="G144" s="126"/>
      <c r="H144" s="126"/>
      <c r="I144" s="126"/>
    </row>
    <row r="145">
      <c r="A145" s="21" t="s">
        <v>14537</v>
      </c>
      <c r="B145" s="11">
        <v>1.0</v>
      </c>
      <c r="C145" s="81">
        <v>5553.0</v>
      </c>
      <c r="D145" s="81"/>
      <c r="E145" s="126"/>
      <c r="F145" s="201"/>
      <c r="G145" s="126"/>
      <c r="H145" s="126"/>
      <c r="I145" s="126"/>
    </row>
    <row r="146">
      <c r="A146" s="21" t="s">
        <v>14538</v>
      </c>
      <c r="B146" s="11">
        <v>1.0</v>
      </c>
      <c r="C146" s="81">
        <v>5553.0</v>
      </c>
      <c r="D146" s="81"/>
      <c r="E146" s="126"/>
      <c r="F146" s="201"/>
      <c r="G146" s="126"/>
      <c r="H146" s="126"/>
      <c r="I146" s="126"/>
    </row>
    <row r="147">
      <c r="A147" s="21" t="s">
        <v>14539</v>
      </c>
      <c r="B147" s="11">
        <v>1.0</v>
      </c>
      <c r="C147" s="81">
        <v>5553.0</v>
      </c>
      <c r="D147" s="81"/>
      <c r="E147" s="126"/>
      <c r="F147" s="201"/>
      <c r="G147" s="126"/>
      <c r="H147" s="126"/>
      <c r="I147" s="126"/>
    </row>
    <row r="148">
      <c r="A148" s="21" t="s">
        <v>14540</v>
      </c>
      <c r="B148" s="11">
        <v>1.0</v>
      </c>
      <c r="C148" s="81">
        <v>5553.0</v>
      </c>
      <c r="D148" s="81"/>
      <c r="E148" s="126"/>
      <c r="F148" s="201"/>
      <c r="G148" s="126"/>
      <c r="H148" s="126"/>
      <c r="I148" s="126"/>
    </row>
    <row r="149">
      <c r="A149" s="21" t="s">
        <v>14541</v>
      </c>
      <c r="B149" s="11">
        <v>1.0</v>
      </c>
      <c r="C149" s="81">
        <v>5553.0</v>
      </c>
      <c r="D149" s="81"/>
      <c r="E149" s="126"/>
      <c r="F149" s="201"/>
      <c r="G149" s="126"/>
      <c r="H149" s="126"/>
      <c r="I149" s="126"/>
    </row>
    <row r="150">
      <c r="A150" s="21" t="s">
        <v>14542</v>
      </c>
      <c r="B150" s="11">
        <v>1.0</v>
      </c>
      <c r="C150" s="81">
        <v>5553.0</v>
      </c>
      <c r="D150" s="81"/>
      <c r="E150" s="126"/>
      <c r="F150" s="201"/>
      <c r="G150" s="126"/>
      <c r="H150" s="126"/>
      <c r="I150" s="126"/>
    </row>
    <row r="151">
      <c r="A151" s="21" t="s">
        <v>14543</v>
      </c>
      <c r="B151" s="11">
        <v>1.0</v>
      </c>
      <c r="C151" s="81">
        <v>5553.0</v>
      </c>
      <c r="D151" s="81"/>
      <c r="E151" s="126"/>
      <c r="F151" s="201"/>
      <c r="G151" s="126"/>
      <c r="H151" s="126"/>
      <c r="I151" s="126"/>
    </row>
    <row r="152">
      <c r="A152" s="21" t="s">
        <v>14544</v>
      </c>
      <c r="B152" s="11">
        <v>1.0</v>
      </c>
      <c r="C152" s="81">
        <v>5553.0</v>
      </c>
      <c r="D152" s="81"/>
      <c r="E152" s="126"/>
      <c r="F152" s="201"/>
      <c r="G152" s="126"/>
      <c r="H152" s="126"/>
      <c r="I152" s="126"/>
    </row>
    <row r="153">
      <c r="A153" s="21" t="s">
        <v>14545</v>
      </c>
      <c r="B153" s="11">
        <v>1.0</v>
      </c>
      <c r="C153" s="81">
        <v>5553.0</v>
      </c>
      <c r="D153" s="81"/>
      <c r="E153" s="126"/>
      <c r="F153" s="201"/>
      <c r="G153" s="126"/>
      <c r="H153" s="126"/>
      <c r="I153" s="126"/>
    </row>
    <row r="154">
      <c r="A154" s="21" t="s">
        <v>14546</v>
      </c>
      <c r="B154" s="11">
        <v>1.0</v>
      </c>
      <c r="C154" s="81">
        <v>5553.0</v>
      </c>
      <c r="D154" s="81"/>
      <c r="E154" s="126"/>
      <c r="F154" s="201"/>
      <c r="G154" s="126"/>
      <c r="H154" s="126"/>
      <c r="I154" s="126"/>
    </row>
    <row r="155">
      <c r="A155" s="21" t="s">
        <v>14547</v>
      </c>
      <c r="B155" s="11">
        <v>1.0</v>
      </c>
      <c r="C155" s="81">
        <v>5553.0</v>
      </c>
      <c r="D155" s="81"/>
      <c r="E155" s="126"/>
      <c r="F155" s="201"/>
      <c r="G155" s="126"/>
      <c r="H155" s="126"/>
      <c r="I155" s="126"/>
    </row>
    <row r="156">
      <c r="A156" s="21" t="s">
        <v>14548</v>
      </c>
      <c r="B156" s="11">
        <v>1.0</v>
      </c>
      <c r="C156" s="81">
        <v>5553.0</v>
      </c>
      <c r="D156" s="81"/>
      <c r="E156" s="126"/>
      <c r="F156" s="201"/>
      <c r="G156" s="126"/>
      <c r="H156" s="126"/>
      <c r="I156" s="126"/>
    </row>
    <row r="157">
      <c r="A157" s="21" t="s">
        <v>14549</v>
      </c>
      <c r="B157" s="11">
        <v>1.0</v>
      </c>
      <c r="C157" s="11">
        <v>6998.0</v>
      </c>
      <c r="D157" s="81">
        <v>5553.0</v>
      </c>
      <c r="E157" s="126"/>
      <c r="F157" s="201"/>
      <c r="G157" s="126"/>
      <c r="H157" s="126"/>
      <c r="I157" s="126"/>
    </row>
    <row r="158">
      <c r="A158" s="21" t="s">
        <v>14550</v>
      </c>
      <c r="B158" s="11">
        <v>1.0</v>
      </c>
      <c r="C158" s="11">
        <v>7104.0</v>
      </c>
      <c r="D158" s="81">
        <v>5553.0</v>
      </c>
      <c r="E158" s="126"/>
      <c r="F158" s="201"/>
      <c r="G158" s="126"/>
      <c r="H158" s="126"/>
      <c r="I158" s="126"/>
    </row>
    <row r="159">
      <c r="A159" s="21" t="s">
        <v>14551</v>
      </c>
      <c r="B159" s="11">
        <v>1.0</v>
      </c>
      <c r="C159" s="11">
        <v>7005.0</v>
      </c>
      <c r="D159" s="81">
        <v>5553.0</v>
      </c>
      <c r="E159" s="126"/>
      <c r="F159" s="201"/>
      <c r="G159" s="126"/>
      <c r="H159" s="126"/>
      <c r="I159" s="126"/>
    </row>
    <row r="160">
      <c r="A160" s="21" t="s">
        <v>14552</v>
      </c>
      <c r="B160" s="11">
        <v>1.0</v>
      </c>
      <c r="C160" s="81">
        <v>1610.0</v>
      </c>
      <c r="D160" s="81"/>
      <c r="E160" s="126"/>
      <c r="F160" s="201"/>
      <c r="G160" s="126"/>
      <c r="H160" s="126"/>
      <c r="I160" s="126"/>
    </row>
    <row r="161">
      <c r="A161" s="21" t="s">
        <v>14553</v>
      </c>
      <c r="B161" s="11">
        <v>1.0</v>
      </c>
      <c r="C161" s="81">
        <v>1610.0</v>
      </c>
      <c r="D161" s="81"/>
      <c r="E161" s="126"/>
      <c r="F161" s="201"/>
      <c r="G161" s="126"/>
      <c r="H161" s="126"/>
      <c r="I161" s="126"/>
    </row>
    <row r="162">
      <c r="A162" s="21" t="s">
        <v>14554</v>
      </c>
      <c r="B162" s="11">
        <v>1.0</v>
      </c>
      <c r="C162" s="81">
        <v>134.0</v>
      </c>
      <c r="D162" s="81"/>
      <c r="E162" s="126"/>
      <c r="F162" s="201"/>
      <c r="G162" s="126"/>
      <c r="H162" s="126"/>
      <c r="I162" s="126"/>
    </row>
    <row r="163">
      <c r="A163" s="21" t="s">
        <v>14555</v>
      </c>
      <c r="B163" s="11">
        <v>1.0</v>
      </c>
      <c r="C163" s="81">
        <v>134.0</v>
      </c>
      <c r="D163" s="81"/>
      <c r="E163" s="126"/>
      <c r="F163" s="201"/>
      <c r="G163" s="126"/>
      <c r="H163" s="126"/>
      <c r="I163" s="126"/>
    </row>
    <row r="164">
      <c r="A164" s="21" t="s">
        <v>14556</v>
      </c>
      <c r="B164" s="11">
        <v>1.0</v>
      </c>
      <c r="C164" s="81">
        <v>6908.0</v>
      </c>
      <c r="D164" s="81"/>
      <c r="E164" s="126"/>
      <c r="F164" s="201"/>
      <c r="G164" s="126"/>
      <c r="H164" s="126"/>
      <c r="I164" s="126"/>
    </row>
    <row r="165">
      <c r="A165" s="21" t="s">
        <v>14557</v>
      </c>
      <c r="B165" s="11">
        <v>1.0</v>
      </c>
      <c r="C165" s="81">
        <v>134.0</v>
      </c>
      <c r="D165" s="81"/>
      <c r="E165" s="126"/>
      <c r="F165" s="201"/>
      <c r="G165" s="126"/>
      <c r="H165" s="126"/>
      <c r="I165" s="126"/>
    </row>
    <row r="166">
      <c r="A166" s="21" t="s">
        <v>14558</v>
      </c>
      <c r="B166" s="11">
        <v>1.0</v>
      </c>
      <c r="C166" s="81">
        <v>6946.0</v>
      </c>
      <c r="D166" s="81"/>
      <c r="E166" s="126"/>
      <c r="F166" s="201"/>
      <c r="G166" s="126"/>
      <c r="H166" s="126"/>
      <c r="I166" s="126"/>
    </row>
    <row r="167">
      <c r="A167" s="21" t="s">
        <v>14559</v>
      </c>
      <c r="B167" s="11">
        <v>1.0</v>
      </c>
      <c r="C167" s="81">
        <v>6557.0</v>
      </c>
      <c r="D167" s="81"/>
      <c r="E167" s="126"/>
      <c r="F167" s="201"/>
      <c r="G167" s="126"/>
      <c r="H167" s="126"/>
      <c r="I167" s="126"/>
    </row>
    <row r="168">
      <c r="A168" s="21" t="s">
        <v>14560</v>
      </c>
      <c r="B168" s="11">
        <v>1.0</v>
      </c>
      <c r="C168" s="81">
        <v>6557.0</v>
      </c>
      <c r="D168" s="81"/>
      <c r="E168" s="126"/>
      <c r="F168" s="201"/>
      <c r="G168" s="126"/>
      <c r="H168" s="126"/>
      <c r="I168" s="126"/>
    </row>
    <row r="169">
      <c r="A169" s="21" t="s">
        <v>14561</v>
      </c>
      <c r="B169" s="11">
        <v>1.0</v>
      </c>
      <c r="C169" s="81">
        <v>6557.0</v>
      </c>
      <c r="D169" s="81"/>
      <c r="E169" s="126"/>
      <c r="F169" s="201"/>
      <c r="G169" s="126"/>
      <c r="H169" s="126"/>
      <c r="I169" s="126"/>
    </row>
    <row r="170">
      <c r="A170" s="21" t="s">
        <v>14562</v>
      </c>
      <c r="B170" s="11">
        <v>1.0</v>
      </c>
      <c r="C170" s="81">
        <v>134.0</v>
      </c>
      <c r="D170" s="81"/>
      <c r="E170" s="126"/>
      <c r="F170" s="201"/>
      <c r="G170" s="126"/>
      <c r="H170" s="126"/>
      <c r="I170" s="126"/>
    </row>
    <row r="171">
      <c r="A171" s="21" t="s">
        <v>14563</v>
      </c>
      <c r="B171" s="11">
        <v>1.0</v>
      </c>
      <c r="C171" s="81">
        <v>6557.0</v>
      </c>
      <c r="D171" s="81"/>
      <c r="E171" s="126"/>
      <c r="F171" s="201"/>
      <c r="G171" s="126"/>
      <c r="H171" s="126"/>
      <c r="I171" s="126"/>
    </row>
    <row r="172">
      <c r="A172" s="21" t="s">
        <v>14564</v>
      </c>
      <c r="B172" s="11">
        <v>1.0</v>
      </c>
      <c r="C172" s="81">
        <v>6557.0</v>
      </c>
      <c r="D172" s="81"/>
      <c r="E172" s="126"/>
      <c r="F172" s="201"/>
      <c r="G172" s="126"/>
      <c r="H172" s="126"/>
      <c r="I172" s="126"/>
    </row>
    <row r="173">
      <c r="A173" s="21" t="s">
        <v>14565</v>
      </c>
      <c r="B173" s="11">
        <v>1.0</v>
      </c>
      <c r="C173" s="81">
        <v>5458.0</v>
      </c>
      <c r="D173" s="81"/>
      <c r="E173" s="126"/>
      <c r="F173" s="201"/>
      <c r="G173" s="126"/>
      <c r="H173" s="126"/>
      <c r="I173" s="126"/>
    </row>
    <row r="174">
      <c r="A174" s="21" t="s">
        <v>14566</v>
      </c>
      <c r="B174" s="11">
        <v>1.0</v>
      </c>
      <c r="C174" s="81">
        <v>4426.0</v>
      </c>
      <c r="D174" s="81"/>
      <c r="E174" s="126"/>
      <c r="F174" s="201"/>
      <c r="G174" s="126"/>
      <c r="H174" s="126"/>
      <c r="I174" s="126"/>
    </row>
    <row r="175">
      <c r="A175" s="21" t="s">
        <v>14567</v>
      </c>
      <c r="B175" s="11">
        <v>1.0</v>
      </c>
      <c r="C175" s="81">
        <v>4426.0</v>
      </c>
      <c r="D175" s="81"/>
      <c r="E175" s="126"/>
      <c r="F175" s="201"/>
      <c r="G175" s="126"/>
      <c r="H175" s="126"/>
      <c r="I175" s="126"/>
    </row>
    <row r="176">
      <c r="A176" s="21" t="s">
        <v>14568</v>
      </c>
      <c r="B176" s="11">
        <v>1.0</v>
      </c>
      <c r="C176" s="81">
        <v>4426.0</v>
      </c>
      <c r="D176" s="81"/>
      <c r="E176" s="126"/>
      <c r="F176" s="201"/>
      <c r="G176" s="126"/>
      <c r="H176" s="126"/>
      <c r="I176" s="126"/>
    </row>
    <row r="177">
      <c r="A177" s="21" t="s">
        <v>14569</v>
      </c>
      <c r="B177" s="11">
        <v>1.0</v>
      </c>
      <c r="C177" s="81">
        <v>4426.0</v>
      </c>
      <c r="D177" s="81"/>
      <c r="E177" s="126"/>
      <c r="F177" s="201"/>
      <c r="G177" s="126"/>
      <c r="H177" s="126"/>
      <c r="I177" s="126"/>
    </row>
    <row r="178">
      <c r="A178" s="21" t="s">
        <v>14570</v>
      </c>
      <c r="B178" s="11">
        <v>1.0</v>
      </c>
      <c r="C178" s="81">
        <v>4426.0</v>
      </c>
      <c r="D178" s="81"/>
      <c r="E178" s="126"/>
      <c r="F178" s="201"/>
      <c r="G178" s="126"/>
      <c r="H178" s="126"/>
      <c r="I178" s="126"/>
    </row>
    <row r="179">
      <c r="A179" s="21" t="s">
        <v>14571</v>
      </c>
      <c r="B179" s="11">
        <v>1.0</v>
      </c>
      <c r="C179" s="81">
        <v>4426.0</v>
      </c>
      <c r="D179" s="81"/>
      <c r="E179" s="126"/>
      <c r="F179" s="201"/>
      <c r="G179" s="126"/>
      <c r="H179" s="126"/>
      <c r="I179" s="126"/>
    </row>
    <row r="180">
      <c r="A180" s="21" t="s">
        <v>14572</v>
      </c>
      <c r="B180" s="11">
        <v>1.0</v>
      </c>
      <c r="C180" s="81">
        <v>4426.0</v>
      </c>
      <c r="D180" s="81"/>
      <c r="E180" s="126"/>
      <c r="F180" s="201"/>
      <c r="G180" s="126"/>
      <c r="H180" s="126"/>
      <c r="I180" s="126"/>
    </row>
    <row r="181">
      <c r="A181" s="21" t="s">
        <v>14573</v>
      </c>
      <c r="B181" s="11">
        <v>1.0</v>
      </c>
      <c r="C181" s="81">
        <v>4426.0</v>
      </c>
      <c r="D181" s="81"/>
      <c r="E181" s="126"/>
      <c r="F181" s="201"/>
      <c r="G181" s="126"/>
      <c r="H181" s="126"/>
      <c r="I181" s="126"/>
    </row>
    <row r="182">
      <c r="A182" s="21" t="s">
        <v>14574</v>
      </c>
      <c r="B182" s="11">
        <v>1.0</v>
      </c>
      <c r="C182" s="81">
        <v>4426.0</v>
      </c>
      <c r="D182" s="81"/>
      <c r="E182" s="126"/>
      <c r="F182" s="201"/>
      <c r="G182" s="126"/>
      <c r="H182" s="126"/>
      <c r="I182" s="126"/>
    </row>
    <row r="183">
      <c r="A183" s="21" t="s">
        <v>14575</v>
      </c>
      <c r="B183" s="11">
        <v>1.0</v>
      </c>
      <c r="C183" s="81">
        <v>4426.0</v>
      </c>
      <c r="D183" s="81"/>
      <c r="E183" s="126"/>
      <c r="F183" s="201"/>
      <c r="G183" s="126"/>
      <c r="H183" s="126"/>
      <c r="I183" s="126"/>
    </row>
    <row r="184">
      <c r="A184" s="21" t="s">
        <v>14576</v>
      </c>
      <c r="B184" s="11">
        <v>1.0</v>
      </c>
      <c r="C184" s="81">
        <v>4426.0</v>
      </c>
      <c r="D184" s="81"/>
      <c r="E184" s="126"/>
      <c r="F184" s="201"/>
      <c r="G184" s="126"/>
      <c r="H184" s="126"/>
      <c r="I184" s="126"/>
    </row>
    <row r="185">
      <c r="A185" s="21" t="s">
        <v>14577</v>
      </c>
      <c r="B185" s="11">
        <v>1.0</v>
      </c>
      <c r="C185" s="81">
        <v>4426.0</v>
      </c>
      <c r="D185" s="81"/>
      <c r="E185" s="126"/>
      <c r="F185" s="201"/>
      <c r="G185" s="126"/>
      <c r="H185" s="126"/>
      <c r="I185" s="126"/>
    </row>
    <row r="186">
      <c r="A186" s="21" t="s">
        <v>14578</v>
      </c>
      <c r="B186" s="11">
        <v>1.0</v>
      </c>
      <c r="C186" s="81">
        <v>4426.0</v>
      </c>
      <c r="D186" s="81"/>
      <c r="E186" s="126"/>
      <c r="F186" s="201"/>
      <c r="G186" s="126"/>
      <c r="H186" s="126"/>
      <c r="I186" s="126"/>
    </row>
    <row r="187">
      <c r="A187" s="21" t="s">
        <v>14579</v>
      </c>
      <c r="B187" s="11">
        <v>1.0</v>
      </c>
      <c r="C187" s="81">
        <v>4426.0</v>
      </c>
      <c r="D187" s="81"/>
      <c r="E187" s="126"/>
      <c r="F187" s="201"/>
      <c r="G187" s="126"/>
      <c r="H187" s="126"/>
      <c r="I187" s="126"/>
    </row>
    <row r="188">
      <c r="A188" s="21" t="s">
        <v>14580</v>
      </c>
      <c r="B188" s="11">
        <v>1.0</v>
      </c>
      <c r="C188" s="81">
        <v>4426.0</v>
      </c>
      <c r="D188" s="81"/>
      <c r="E188" s="126"/>
      <c r="F188" s="201"/>
      <c r="G188" s="126"/>
      <c r="H188" s="126"/>
      <c r="I188" s="126"/>
    </row>
    <row r="189">
      <c r="A189" s="21" t="s">
        <v>14581</v>
      </c>
      <c r="B189" s="11">
        <v>1.0</v>
      </c>
      <c r="C189" s="81">
        <v>4426.0</v>
      </c>
      <c r="D189" s="81"/>
      <c r="E189" s="126"/>
      <c r="F189" s="201"/>
      <c r="G189" s="126"/>
      <c r="H189" s="126"/>
      <c r="I189" s="126"/>
    </row>
    <row r="190">
      <c r="A190" s="21" t="s">
        <v>14582</v>
      </c>
      <c r="B190" s="11">
        <v>1.0</v>
      </c>
      <c r="C190" s="81">
        <v>4426.0</v>
      </c>
      <c r="D190" s="81"/>
      <c r="E190" s="126"/>
      <c r="F190" s="201"/>
      <c r="G190" s="126"/>
      <c r="H190" s="126"/>
      <c r="I190" s="126"/>
    </row>
    <row r="191">
      <c r="A191" s="21" t="s">
        <v>14583</v>
      </c>
      <c r="B191" s="11">
        <v>1.0</v>
      </c>
      <c r="C191" s="81">
        <v>4426.0</v>
      </c>
      <c r="D191" s="81"/>
      <c r="E191" s="126"/>
      <c r="F191" s="201"/>
      <c r="G191" s="126"/>
      <c r="H191" s="126"/>
      <c r="I191" s="126"/>
    </row>
    <row r="192">
      <c r="A192" s="21" t="s">
        <v>14584</v>
      </c>
      <c r="B192" s="11">
        <v>1.0</v>
      </c>
      <c r="C192" s="81">
        <v>4426.0</v>
      </c>
      <c r="D192" s="81"/>
      <c r="E192" s="126"/>
      <c r="F192" s="201"/>
      <c r="G192" s="126"/>
      <c r="H192" s="126"/>
      <c r="I192" s="126"/>
    </row>
    <row r="193">
      <c r="A193" s="21" t="s">
        <v>14585</v>
      </c>
      <c r="B193" s="11">
        <v>1.0</v>
      </c>
      <c r="C193" s="81">
        <v>4426.0</v>
      </c>
      <c r="D193" s="81"/>
      <c r="E193" s="126"/>
      <c r="F193" s="201"/>
      <c r="G193" s="126"/>
      <c r="H193" s="126"/>
      <c r="I193" s="126"/>
    </row>
    <row r="194">
      <c r="A194" s="21" t="s">
        <v>14586</v>
      </c>
      <c r="B194" s="11">
        <v>1.0</v>
      </c>
      <c r="C194" s="81">
        <v>4426.0</v>
      </c>
      <c r="D194" s="81"/>
      <c r="E194" s="126"/>
      <c r="F194" s="201"/>
      <c r="G194" s="126"/>
      <c r="H194" s="126"/>
      <c r="I194" s="126"/>
    </row>
    <row r="195">
      <c r="A195" s="21" t="s">
        <v>14587</v>
      </c>
      <c r="B195" s="11">
        <v>1.0</v>
      </c>
      <c r="C195" s="81">
        <v>4426.0</v>
      </c>
      <c r="D195" s="81"/>
      <c r="E195" s="126"/>
      <c r="F195" s="201"/>
      <c r="G195" s="126"/>
      <c r="H195" s="126"/>
      <c r="I195" s="126"/>
    </row>
    <row r="196">
      <c r="A196" s="21" t="s">
        <v>14588</v>
      </c>
      <c r="B196" s="11">
        <v>1.0</v>
      </c>
      <c r="C196" s="81">
        <v>4426.0</v>
      </c>
      <c r="D196" s="81"/>
      <c r="E196" s="126"/>
      <c r="F196" s="201"/>
      <c r="G196" s="126"/>
      <c r="H196" s="126"/>
      <c r="I196" s="126"/>
    </row>
    <row r="197">
      <c r="A197" s="21" t="s">
        <v>14589</v>
      </c>
      <c r="B197" s="11">
        <v>1.0</v>
      </c>
      <c r="C197" s="81">
        <v>4426.0</v>
      </c>
      <c r="D197" s="81"/>
      <c r="E197" s="126"/>
      <c r="F197" s="201"/>
      <c r="G197" s="126"/>
      <c r="H197" s="126"/>
      <c r="I197" s="126"/>
    </row>
    <row r="198">
      <c r="A198" s="21" t="s">
        <v>14590</v>
      </c>
      <c r="B198" s="11">
        <v>1.0</v>
      </c>
      <c r="C198" s="81">
        <v>4426.0</v>
      </c>
      <c r="D198" s="81"/>
      <c r="E198" s="126"/>
      <c r="F198" s="201"/>
      <c r="G198" s="126"/>
      <c r="H198" s="126"/>
      <c r="I198" s="126"/>
    </row>
    <row r="199">
      <c r="A199" s="21" t="s">
        <v>14591</v>
      </c>
      <c r="B199" s="11">
        <v>1.0</v>
      </c>
      <c r="C199" s="81">
        <v>4426.0</v>
      </c>
      <c r="D199" s="81"/>
      <c r="E199" s="126"/>
      <c r="F199" s="201"/>
      <c r="G199" s="126"/>
      <c r="H199" s="126"/>
      <c r="I199" s="126"/>
    </row>
    <row r="200">
      <c r="A200" s="21" t="s">
        <v>14592</v>
      </c>
      <c r="B200" s="11">
        <v>1.0</v>
      </c>
      <c r="C200" s="81">
        <v>4426.0</v>
      </c>
      <c r="D200" s="81"/>
      <c r="E200" s="126"/>
      <c r="F200" s="201"/>
      <c r="G200" s="126"/>
      <c r="H200" s="126"/>
      <c r="I200" s="126"/>
    </row>
    <row r="201">
      <c r="A201" s="21" t="s">
        <v>14593</v>
      </c>
      <c r="B201" s="11">
        <v>1.0</v>
      </c>
      <c r="C201" s="81">
        <v>4426.0</v>
      </c>
      <c r="D201" s="81"/>
      <c r="E201" s="126"/>
      <c r="F201" s="201"/>
      <c r="G201" s="126"/>
      <c r="H201" s="126"/>
      <c r="I201" s="126"/>
    </row>
    <row r="202">
      <c r="A202" s="21" t="s">
        <v>14594</v>
      </c>
      <c r="B202" s="11">
        <v>1.0</v>
      </c>
      <c r="C202" s="81">
        <v>4426.0</v>
      </c>
      <c r="D202" s="81"/>
      <c r="E202" s="126"/>
      <c r="F202" s="201"/>
      <c r="G202" s="126"/>
      <c r="H202" s="126"/>
      <c r="I202" s="126"/>
    </row>
    <row r="203">
      <c r="A203" s="21" t="s">
        <v>14595</v>
      </c>
      <c r="B203" s="11">
        <v>1.0</v>
      </c>
      <c r="C203" s="81">
        <v>4426.0</v>
      </c>
      <c r="D203" s="81"/>
      <c r="E203" s="126"/>
      <c r="F203" s="201"/>
      <c r="G203" s="126"/>
      <c r="H203" s="126"/>
      <c r="I203" s="126"/>
    </row>
    <row r="204">
      <c r="A204" s="21" t="s">
        <v>14596</v>
      </c>
      <c r="B204" s="11">
        <v>1.0</v>
      </c>
      <c r="C204" s="81">
        <v>4426.0</v>
      </c>
      <c r="D204" s="81"/>
      <c r="E204" s="126"/>
      <c r="F204" s="201"/>
      <c r="G204" s="126"/>
      <c r="H204" s="126"/>
      <c r="I204" s="126"/>
    </row>
    <row r="205">
      <c r="A205" s="21" t="s">
        <v>14597</v>
      </c>
      <c r="B205" s="11">
        <v>1.0</v>
      </c>
      <c r="C205" s="81">
        <v>4426.0</v>
      </c>
      <c r="D205" s="81"/>
      <c r="E205" s="126"/>
      <c r="F205" s="201"/>
      <c r="G205" s="126"/>
      <c r="H205" s="126"/>
      <c r="I205" s="126"/>
    </row>
    <row r="206">
      <c r="A206" s="21" t="s">
        <v>14598</v>
      </c>
      <c r="B206" s="11">
        <v>1.0</v>
      </c>
      <c r="C206" s="81">
        <v>4426.0</v>
      </c>
      <c r="D206" s="81"/>
      <c r="E206" s="126"/>
      <c r="F206" s="201"/>
      <c r="G206" s="126"/>
      <c r="H206" s="126"/>
      <c r="I206" s="126"/>
    </row>
    <row r="207">
      <c r="A207" s="21" t="s">
        <v>14599</v>
      </c>
      <c r="B207" s="11">
        <v>1.0</v>
      </c>
      <c r="C207" s="81">
        <v>4426.0</v>
      </c>
      <c r="D207" s="81"/>
      <c r="E207" s="126"/>
      <c r="F207" s="201"/>
      <c r="G207" s="126"/>
      <c r="H207" s="126"/>
      <c r="I207" s="126"/>
    </row>
    <row r="208">
      <c r="A208" s="21" t="s">
        <v>14600</v>
      </c>
      <c r="B208" s="11">
        <v>1.0</v>
      </c>
      <c r="C208" s="81">
        <v>4426.0</v>
      </c>
      <c r="D208" s="81"/>
      <c r="E208" s="126"/>
      <c r="F208" s="201"/>
      <c r="G208" s="126"/>
      <c r="H208" s="126"/>
      <c r="I208" s="126"/>
    </row>
    <row r="209">
      <c r="A209" s="21" t="s">
        <v>14601</v>
      </c>
      <c r="B209" s="11">
        <v>1.0</v>
      </c>
      <c r="C209" s="81">
        <v>4426.0</v>
      </c>
      <c r="D209" s="81"/>
      <c r="E209" s="126"/>
      <c r="F209" s="201"/>
      <c r="G209" s="126"/>
      <c r="H209" s="126"/>
      <c r="I209" s="126"/>
    </row>
    <row r="210">
      <c r="A210" s="21" t="s">
        <v>14602</v>
      </c>
      <c r="B210" s="11">
        <v>1.0</v>
      </c>
      <c r="C210" s="81">
        <v>4426.0</v>
      </c>
      <c r="D210" s="81"/>
      <c r="E210" s="126"/>
      <c r="F210" s="201"/>
      <c r="G210" s="126"/>
      <c r="H210" s="126"/>
      <c r="I210" s="126"/>
    </row>
    <row r="211">
      <c r="A211" s="21" t="s">
        <v>14603</v>
      </c>
      <c r="B211" s="11">
        <v>1.0</v>
      </c>
      <c r="C211" s="81">
        <v>4426.0</v>
      </c>
      <c r="D211" s="81"/>
      <c r="E211" s="126"/>
      <c r="F211" s="201"/>
      <c r="G211" s="126"/>
      <c r="H211" s="126"/>
      <c r="I211" s="126"/>
    </row>
    <row r="212">
      <c r="A212" s="21" t="s">
        <v>14604</v>
      </c>
      <c r="B212" s="11">
        <v>1.0</v>
      </c>
      <c r="C212" s="81">
        <v>4426.0</v>
      </c>
      <c r="D212" s="81"/>
      <c r="E212" s="126"/>
      <c r="F212" s="201"/>
      <c r="G212" s="126"/>
      <c r="H212" s="126"/>
      <c r="I212" s="126"/>
    </row>
    <row r="213">
      <c r="A213" s="21" t="s">
        <v>14605</v>
      </c>
      <c r="B213" s="11">
        <v>1.0</v>
      </c>
      <c r="C213" s="81">
        <v>4426.0</v>
      </c>
      <c r="D213" s="81"/>
      <c r="E213" s="126"/>
      <c r="F213" s="201"/>
      <c r="G213" s="126"/>
      <c r="H213" s="126"/>
      <c r="I213" s="126"/>
    </row>
    <row r="214">
      <c r="A214" s="21" t="s">
        <v>14606</v>
      </c>
      <c r="B214" s="11">
        <v>1.0</v>
      </c>
      <c r="C214" s="81">
        <v>4426.0</v>
      </c>
      <c r="D214" s="81"/>
      <c r="E214" s="126"/>
      <c r="F214" s="201"/>
      <c r="G214" s="126"/>
      <c r="H214" s="126"/>
      <c r="I214" s="126"/>
    </row>
    <row r="215">
      <c r="A215" s="21" t="s">
        <v>14607</v>
      </c>
      <c r="B215" s="11">
        <v>1.0</v>
      </c>
      <c r="C215" s="81">
        <v>4426.0</v>
      </c>
      <c r="D215" s="81"/>
      <c r="E215" s="126"/>
      <c r="F215" s="201"/>
      <c r="G215" s="126"/>
      <c r="H215" s="126"/>
      <c r="I215" s="126"/>
    </row>
    <row r="216">
      <c r="A216" s="21" t="s">
        <v>14608</v>
      </c>
      <c r="B216" s="11">
        <v>1.0</v>
      </c>
      <c r="C216" s="81">
        <v>4426.0</v>
      </c>
      <c r="D216" s="81"/>
      <c r="E216" s="126"/>
      <c r="F216" s="201"/>
      <c r="G216" s="126"/>
      <c r="H216" s="126"/>
      <c r="I216" s="126"/>
    </row>
    <row r="217">
      <c r="A217" s="21" t="s">
        <v>14609</v>
      </c>
      <c r="B217" s="11">
        <v>1.0</v>
      </c>
      <c r="C217" s="81">
        <v>4426.0</v>
      </c>
      <c r="D217" s="81"/>
      <c r="E217" s="126"/>
      <c r="F217" s="201"/>
      <c r="G217" s="126"/>
      <c r="H217" s="126"/>
      <c r="I217" s="126"/>
    </row>
    <row r="218">
      <c r="A218" s="21" t="s">
        <v>14610</v>
      </c>
      <c r="B218" s="11">
        <v>1.0</v>
      </c>
      <c r="C218" s="81">
        <v>4426.0</v>
      </c>
      <c r="D218" s="81"/>
      <c r="E218" s="126"/>
      <c r="F218" s="201"/>
      <c r="G218" s="126"/>
      <c r="H218" s="126"/>
      <c r="I218" s="126"/>
    </row>
    <row r="219">
      <c r="A219" s="21" t="s">
        <v>14611</v>
      </c>
      <c r="B219" s="11">
        <v>1.0</v>
      </c>
      <c r="C219" s="81">
        <v>4426.0</v>
      </c>
      <c r="D219" s="81"/>
      <c r="E219" s="126"/>
      <c r="F219" s="201"/>
      <c r="G219" s="126"/>
      <c r="H219" s="126"/>
      <c r="I219" s="126"/>
    </row>
    <row r="220">
      <c r="A220" s="21" t="s">
        <v>14612</v>
      </c>
      <c r="B220" s="11">
        <v>1.0</v>
      </c>
      <c r="C220" s="81">
        <v>4426.0</v>
      </c>
      <c r="D220" s="81"/>
      <c r="E220" s="126"/>
      <c r="F220" s="201"/>
      <c r="G220" s="126"/>
      <c r="H220" s="126"/>
      <c r="I220" s="126"/>
    </row>
    <row r="221">
      <c r="A221" s="21" t="s">
        <v>14613</v>
      </c>
      <c r="B221" s="11">
        <v>1.0</v>
      </c>
      <c r="C221" s="81">
        <v>4426.0</v>
      </c>
      <c r="D221" s="81"/>
      <c r="E221" s="126"/>
      <c r="F221" s="201"/>
      <c r="G221" s="126"/>
      <c r="H221" s="126"/>
      <c r="I221" s="126"/>
    </row>
    <row r="222">
      <c r="A222" s="21" t="s">
        <v>14614</v>
      </c>
      <c r="B222" s="11">
        <v>1.0</v>
      </c>
      <c r="C222" s="81">
        <v>4426.0</v>
      </c>
      <c r="D222" s="81"/>
      <c r="E222" s="126"/>
      <c r="F222" s="201"/>
      <c r="G222" s="126"/>
      <c r="H222" s="126"/>
      <c r="I222" s="126"/>
    </row>
    <row r="223">
      <c r="A223" s="21" t="s">
        <v>14615</v>
      </c>
      <c r="B223" s="11">
        <v>1.0</v>
      </c>
      <c r="C223" s="81">
        <v>4426.0</v>
      </c>
      <c r="D223" s="81"/>
      <c r="E223" s="126"/>
      <c r="F223" s="201"/>
      <c r="G223" s="126"/>
      <c r="H223" s="126"/>
      <c r="I223" s="126"/>
    </row>
    <row r="224">
      <c r="A224" s="21" t="s">
        <v>14616</v>
      </c>
      <c r="B224" s="11">
        <v>1.0</v>
      </c>
      <c r="C224" s="81">
        <v>4426.0</v>
      </c>
      <c r="D224" s="81"/>
      <c r="E224" s="126"/>
      <c r="F224" s="201"/>
      <c r="G224" s="126"/>
      <c r="H224" s="126"/>
      <c r="I224" s="126"/>
    </row>
    <row r="225">
      <c r="A225" s="21" t="s">
        <v>14617</v>
      </c>
      <c r="B225" s="11">
        <v>1.0</v>
      </c>
      <c r="C225" s="81">
        <v>4426.0</v>
      </c>
      <c r="D225" s="81"/>
      <c r="E225" s="126"/>
      <c r="F225" s="201"/>
      <c r="G225" s="126"/>
      <c r="H225" s="126"/>
      <c r="I225" s="126"/>
    </row>
    <row r="226">
      <c r="A226" s="21" t="s">
        <v>14618</v>
      </c>
      <c r="B226" s="11">
        <v>1.0</v>
      </c>
      <c r="C226" s="81">
        <v>4426.0</v>
      </c>
      <c r="D226" s="81"/>
      <c r="E226" s="126"/>
      <c r="F226" s="201"/>
      <c r="G226" s="126"/>
      <c r="H226" s="126"/>
      <c r="I226" s="126"/>
    </row>
    <row r="227">
      <c r="A227" s="21" t="s">
        <v>14619</v>
      </c>
      <c r="B227" s="11">
        <v>1.0</v>
      </c>
      <c r="C227" s="11">
        <v>7149.0</v>
      </c>
      <c r="D227" s="81">
        <v>4426.0</v>
      </c>
      <c r="E227" s="126"/>
      <c r="F227" s="201"/>
      <c r="G227" s="126"/>
      <c r="H227" s="126"/>
      <c r="I227" s="126"/>
    </row>
    <row r="228">
      <c r="A228" s="21" t="s">
        <v>14620</v>
      </c>
      <c r="B228" s="11">
        <v>1.0</v>
      </c>
      <c r="C228" s="11">
        <v>7149.0</v>
      </c>
      <c r="D228" s="81">
        <v>4426.0</v>
      </c>
      <c r="E228" s="126"/>
      <c r="F228" s="201"/>
      <c r="G228" s="126"/>
      <c r="H228" s="126"/>
      <c r="I228" s="126"/>
    </row>
    <row r="229">
      <c r="A229" s="21" t="s">
        <v>14621</v>
      </c>
      <c r="B229" s="11">
        <v>1.0</v>
      </c>
      <c r="C229" s="11">
        <v>7149.0</v>
      </c>
      <c r="D229" s="81">
        <v>4426.0</v>
      </c>
      <c r="E229" s="126"/>
      <c r="F229" s="201"/>
      <c r="G229" s="126"/>
      <c r="H229" s="126"/>
      <c r="I229" s="126"/>
    </row>
    <row r="230">
      <c r="A230" s="21" t="s">
        <v>14622</v>
      </c>
      <c r="B230" s="11">
        <v>1.0</v>
      </c>
      <c r="C230" s="11">
        <v>7149.0</v>
      </c>
      <c r="D230" s="81">
        <v>4426.0</v>
      </c>
      <c r="E230" s="126"/>
      <c r="F230" s="201"/>
      <c r="G230" s="126"/>
      <c r="H230" s="126"/>
      <c r="I230" s="126"/>
    </row>
    <row r="231">
      <c r="A231" s="21" t="s">
        <v>14623</v>
      </c>
      <c r="B231" s="11">
        <v>1.0</v>
      </c>
      <c r="C231" s="11">
        <v>7149.0</v>
      </c>
      <c r="D231" s="81">
        <v>4426.0</v>
      </c>
      <c r="E231" s="126"/>
      <c r="F231" s="201"/>
      <c r="G231" s="126"/>
      <c r="H231" s="126"/>
      <c r="I231" s="126"/>
    </row>
    <row r="232">
      <c r="A232" s="21" t="s">
        <v>14624</v>
      </c>
      <c r="B232" s="11">
        <v>1.0</v>
      </c>
      <c r="C232" s="11">
        <v>7149.0</v>
      </c>
      <c r="D232" s="81">
        <v>4426.0</v>
      </c>
      <c r="E232" s="126"/>
      <c r="F232" s="201"/>
      <c r="G232" s="126"/>
      <c r="H232" s="126"/>
      <c r="I232" s="126"/>
    </row>
    <row r="233">
      <c r="A233" s="21" t="s">
        <v>14625</v>
      </c>
      <c r="B233" s="11">
        <v>1.0</v>
      </c>
      <c r="C233" s="11">
        <v>7619.0</v>
      </c>
      <c r="D233" s="81">
        <v>4426.0</v>
      </c>
      <c r="E233" s="126"/>
      <c r="F233" s="201"/>
      <c r="G233" s="126"/>
      <c r="H233" s="126"/>
      <c r="I233" s="126"/>
    </row>
    <row r="234">
      <c r="A234" s="21" t="s">
        <v>14626</v>
      </c>
      <c r="B234" s="11">
        <v>1.0</v>
      </c>
      <c r="C234" s="81">
        <v>4426.0</v>
      </c>
      <c r="D234" s="81"/>
      <c r="E234" s="126"/>
      <c r="F234" s="201"/>
      <c r="G234" s="126"/>
      <c r="H234" s="126"/>
      <c r="I234" s="126"/>
    </row>
    <row r="235">
      <c r="A235" s="21" t="s">
        <v>14627</v>
      </c>
      <c r="B235" s="11">
        <v>1.0</v>
      </c>
      <c r="C235" s="81">
        <v>4426.0</v>
      </c>
      <c r="D235" s="81"/>
      <c r="E235" s="126"/>
      <c r="F235" s="201"/>
      <c r="G235" s="126"/>
      <c r="H235" s="126"/>
      <c r="I235" s="126"/>
    </row>
    <row r="236">
      <c r="A236" s="21" t="s">
        <v>14628</v>
      </c>
      <c r="B236" s="11">
        <v>1.0</v>
      </c>
      <c r="C236" s="81">
        <v>4426.0</v>
      </c>
      <c r="D236" s="81"/>
      <c r="E236" s="126"/>
      <c r="F236" s="201"/>
      <c r="G236" s="126"/>
      <c r="H236" s="126"/>
      <c r="I236" s="126"/>
    </row>
    <row r="237">
      <c r="A237" s="21" t="s">
        <v>14629</v>
      </c>
      <c r="B237" s="11">
        <v>1.0</v>
      </c>
      <c r="C237" s="81">
        <v>4426.0</v>
      </c>
      <c r="D237" s="81"/>
      <c r="E237" s="126"/>
      <c r="F237" s="201"/>
      <c r="G237" s="126"/>
      <c r="H237" s="126"/>
      <c r="I237" s="126"/>
    </row>
    <row r="238">
      <c r="A238" s="21" t="s">
        <v>14630</v>
      </c>
      <c r="B238" s="11">
        <v>1.0</v>
      </c>
      <c r="C238" s="81">
        <v>4426.0</v>
      </c>
      <c r="D238" s="81"/>
      <c r="E238" s="126"/>
      <c r="F238" s="201"/>
      <c r="G238" s="126"/>
      <c r="H238" s="126"/>
      <c r="I238" s="126"/>
    </row>
    <row r="239">
      <c r="A239" s="21" t="s">
        <v>14631</v>
      </c>
      <c r="B239" s="11">
        <v>1.0</v>
      </c>
      <c r="C239" s="81">
        <v>4426.0</v>
      </c>
      <c r="D239" s="81"/>
      <c r="E239" s="126"/>
      <c r="F239" s="201"/>
      <c r="G239" s="126"/>
      <c r="H239" s="126"/>
      <c r="I239" s="126"/>
    </row>
    <row r="240">
      <c r="A240" s="21" t="s">
        <v>14632</v>
      </c>
      <c r="B240" s="11">
        <v>1.0</v>
      </c>
      <c r="C240" s="81">
        <v>4426.0</v>
      </c>
      <c r="D240" s="81"/>
      <c r="E240" s="126"/>
      <c r="F240" s="201"/>
      <c r="G240" s="126"/>
      <c r="H240" s="126"/>
      <c r="I240" s="126"/>
    </row>
    <row r="241">
      <c r="A241" s="21" t="s">
        <v>14633</v>
      </c>
      <c r="B241" s="11">
        <v>1.0</v>
      </c>
      <c r="C241" s="81">
        <v>4426.0</v>
      </c>
      <c r="D241" s="81"/>
      <c r="E241" s="126"/>
      <c r="F241" s="201"/>
      <c r="G241" s="126"/>
      <c r="H241" s="126"/>
      <c r="I241" s="126"/>
    </row>
    <row r="242">
      <c r="A242" s="21" t="s">
        <v>14634</v>
      </c>
      <c r="B242" s="11">
        <v>1.0</v>
      </c>
      <c r="C242" s="81">
        <v>4426.0</v>
      </c>
      <c r="D242" s="81"/>
      <c r="E242" s="126"/>
      <c r="F242" s="201"/>
      <c r="G242" s="126"/>
      <c r="H242" s="126"/>
      <c r="I242" s="126"/>
    </row>
    <row r="243">
      <c r="A243" s="21" t="s">
        <v>14635</v>
      </c>
      <c r="B243" s="11">
        <v>1.0</v>
      </c>
      <c r="C243" s="81">
        <v>4426.0</v>
      </c>
      <c r="D243" s="81"/>
      <c r="E243" s="126"/>
      <c r="F243" s="201"/>
      <c r="G243" s="126"/>
      <c r="H243" s="126"/>
      <c r="I243" s="126"/>
    </row>
    <row r="244">
      <c r="A244" s="21" t="s">
        <v>14636</v>
      </c>
      <c r="B244" s="11">
        <v>1.0</v>
      </c>
      <c r="C244" s="81">
        <v>4426.0</v>
      </c>
      <c r="D244" s="81"/>
      <c r="E244" s="126"/>
      <c r="F244" s="201"/>
      <c r="G244" s="126"/>
      <c r="H244" s="126"/>
      <c r="I244" s="126"/>
    </row>
    <row r="245">
      <c r="A245" s="21" t="s">
        <v>14637</v>
      </c>
      <c r="B245" s="11">
        <v>1.0</v>
      </c>
      <c r="C245" s="81">
        <v>4426.0</v>
      </c>
      <c r="D245" s="81"/>
      <c r="E245" s="126"/>
      <c r="F245" s="201"/>
      <c r="G245" s="126"/>
      <c r="H245" s="126"/>
      <c r="I245" s="126"/>
    </row>
    <row r="246">
      <c r="A246" s="21" t="s">
        <v>14638</v>
      </c>
      <c r="B246" s="11">
        <v>1.0</v>
      </c>
      <c r="C246" s="81">
        <v>4426.0</v>
      </c>
      <c r="D246" s="81"/>
      <c r="E246" s="126"/>
      <c r="F246" s="201"/>
      <c r="G246" s="126"/>
      <c r="H246" s="126"/>
      <c r="I246" s="126"/>
    </row>
    <row r="247">
      <c r="A247" s="21" t="s">
        <v>14639</v>
      </c>
      <c r="B247" s="11">
        <v>1.0</v>
      </c>
      <c r="C247" s="81">
        <v>4426.0</v>
      </c>
      <c r="D247" s="81"/>
      <c r="E247" s="126"/>
      <c r="F247" s="201"/>
      <c r="G247" s="126"/>
      <c r="H247" s="126"/>
      <c r="I247" s="126"/>
    </row>
    <row r="248">
      <c r="A248" s="21" t="s">
        <v>14640</v>
      </c>
      <c r="B248" s="11">
        <v>1.0</v>
      </c>
      <c r="C248" s="81">
        <v>4426.0</v>
      </c>
      <c r="D248" s="81"/>
      <c r="E248" s="126"/>
      <c r="F248" s="201"/>
      <c r="G248" s="126"/>
      <c r="H248" s="126"/>
      <c r="I248" s="126"/>
    </row>
    <row r="249">
      <c r="A249" s="21" t="s">
        <v>14641</v>
      </c>
      <c r="B249" s="11">
        <v>1.0</v>
      </c>
      <c r="C249" s="81">
        <v>4426.0</v>
      </c>
      <c r="D249" s="81"/>
      <c r="E249" s="126"/>
      <c r="F249" s="201"/>
      <c r="G249" s="126"/>
      <c r="H249" s="126"/>
      <c r="I249" s="126"/>
    </row>
    <row r="250">
      <c r="A250" s="21" t="s">
        <v>14642</v>
      </c>
      <c r="B250" s="11">
        <v>1.0</v>
      </c>
      <c r="C250" s="81">
        <v>5553.0</v>
      </c>
      <c r="D250" s="81"/>
      <c r="E250" s="126"/>
      <c r="F250" s="201"/>
      <c r="G250" s="126"/>
      <c r="H250" s="126"/>
      <c r="I250" s="126"/>
    </row>
    <row r="251">
      <c r="A251" s="21" t="s">
        <v>14643</v>
      </c>
      <c r="B251" s="11">
        <v>1.0</v>
      </c>
      <c r="C251" s="81">
        <v>5553.0</v>
      </c>
      <c r="D251" s="81"/>
      <c r="E251" s="126"/>
      <c r="F251" s="201"/>
      <c r="G251" s="126"/>
      <c r="H251" s="126"/>
      <c r="I251" s="126"/>
    </row>
    <row r="252">
      <c r="A252" s="21" t="s">
        <v>14644</v>
      </c>
      <c r="B252" s="11">
        <v>1.0</v>
      </c>
      <c r="C252" s="81">
        <v>5553.0</v>
      </c>
      <c r="D252" s="81"/>
      <c r="E252" s="126"/>
      <c r="F252" s="201"/>
      <c r="G252" s="126"/>
      <c r="H252" s="126"/>
      <c r="I252" s="126"/>
    </row>
    <row r="253">
      <c r="A253" s="21" t="s">
        <v>14645</v>
      </c>
      <c r="B253" s="11">
        <v>1.0</v>
      </c>
      <c r="C253" s="81">
        <v>5553.0</v>
      </c>
      <c r="D253" s="81"/>
      <c r="E253" s="126"/>
      <c r="F253" s="201"/>
      <c r="G253" s="126"/>
      <c r="H253" s="126"/>
      <c r="I253" s="126"/>
    </row>
    <row r="254">
      <c r="A254" s="21" t="s">
        <v>14646</v>
      </c>
      <c r="B254" s="11">
        <v>1.0</v>
      </c>
      <c r="C254" s="81">
        <v>5553.0</v>
      </c>
      <c r="D254" s="81"/>
      <c r="E254" s="126"/>
      <c r="F254" s="201"/>
      <c r="G254" s="126"/>
      <c r="H254" s="126"/>
      <c r="I254" s="126"/>
    </row>
    <row r="255">
      <c r="A255" s="21" t="s">
        <v>14647</v>
      </c>
      <c r="B255" s="11">
        <v>1.0</v>
      </c>
      <c r="C255" s="81">
        <v>5553.0</v>
      </c>
      <c r="D255" s="81"/>
      <c r="E255" s="126"/>
      <c r="F255" s="201"/>
      <c r="G255" s="126"/>
      <c r="H255" s="126"/>
      <c r="I255" s="126"/>
    </row>
    <row r="256">
      <c r="A256" s="21" t="s">
        <v>14648</v>
      </c>
      <c r="B256" s="11">
        <v>1.0</v>
      </c>
      <c r="C256" s="81">
        <v>5553.0</v>
      </c>
      <c r="D256" s="81"/>
      <c r="E256" s="126"/>
      <c r="F256" s="201"/>
      <c r="G256" s="126"/>
      <c r="H256" s="126"/>
      <c r="I256" s="126"/>
    </row>
    <row r="257">
      <c r="A257" s="21" t="s">
        <v>14649</v>
      </c>
      <c r="B257" s="11">
        <v>1.0</v>
      </c>
      <c r="C257" s="81">
        <v>5553.0</v>
      </c>
      <c r="D257" s="81"/>
      <c r="E257" s="126"/>
      <c r="F257" s="201"/>
      <c r="G257" s="126"/>
      <c r="H257" s="126"/>
      <c r="I257" s="126"/>
    </row>
    <row r="258">
      <c r="A258" s="21" t="s">
        <v>14650</v>
      </c>
      <c r="B258" s="11">
        <v>1.0</v>
      </c>
      <c r="C258" s="81">
        <v>5553.0</v>
      </c>
      <c r="D258" s="81"/>
      <c r="E258" s="126"/>
      <c r="F258" s="201"/>
      <c r="G258" s="126"/>
      <c r="H258" s="126"/>
      <c r="I258" s="126"/>
    </row>
    <row r="259">
      <c r="A259" s="21" t="s">
        <v>14651</v>
      </c>
      <c r="B259" s="11">
        <v>1.0</v>
      </c>
      <c r="C259" s="81">
        <v>5553.0</v>
      </c>
      <c r="D259" s="81"/>
      <c r="E259" s="126"/>
      <c r="F259" s="201"/>
      <c r="G259" s="126"/>
      <c r="H259" s="126"/>
      <c r="I259" s="126"/>
    </row>
    <row r="260">
      <c r="A260" s="21" t="s">
        <v>14652</v>
      </c>
      <c r="B260" s="11">
        <v>1.0</v>
      </c>
      <c r="C260" s="81">
        <v>5553.0</v>
      </c>
      <c r="D260" s="81"/>
      <c r="E260" s="126"/>
      <c r="F260" s="201"/>
      <c r="G260" s="126"/>
      <c r="H260" s="126"/>
      <c r="I260" s="126"/>
    </row>
    <row r="261">
      <c r="A261" s="21" t="s">
        <v>14653</v>
      </c>
      <c r="B261" s="11">
        <v>1.0</v>
      </c>
      <c r="C261" s="81">
        <v>5553.0</v>
      </c>
      <c r="D261" s="81"/>
      <c r="E261" s="126"/>
      <c r="F261" s="201"/>
      <c r="G261" s="126"/>
      <c r="H261" s="126"/>
      <c r="I261" s="126"/>
    </row>
    <row r="262">
      <c r="A262" s="21" t="s">
        <v>14654</v>
      </c>
      <c r="B262" s="11">
        <v>1.0</v>
      </c>
      <c r="C262" s="81">
        <v>5553.0</v>
      </c>
      <c r="D262" s="81"/>
      <c r="E262" s="126"/>
      <c r="F262" s="201"/>
      <c r="G262" s="126"/>
      <c r="H262" s="126"/>
      <c r="I262" s="126"/>
    </row>
    <row r="263">
      <c r="A263" s="21" t="s">
        <v>14655</v>
      </c>
      <c r="B263" s="11">
        <v>1.0</v>
      </c>
      <c r="C263" s="81">
        <v>6924.0</v>
      </c>
      <c r="D263" s="81"/>
      <c r="E263" s="126"/>
      <c r="F263" s="201"/>
      <c r="G263" s="126"/>
      <c r="H263" s="126"/>
      <c r="I263" s="126"/>
    </row>
    <row r="264">
      <c r="A264" s="21" t="s">
        <v>14656</v>
      </c>
      <c r="B264" s="11">
        <v>1.0</v>
      </c>
      <c r="C264" s="81">
        <v>6924.0</v>
      </c>
      <c r="D264" s="81"/>
      <c r="E264" s="126"/>
      <c r="F264" s="201"/>
      <c r="G264" s="126"/>
      <c r="H264" s="126"/>
      <c r="I264" s="126"/>
    </row>
    <row r="265">
      <c r="A265" s="21" t="s">
        <v>14657</v>
      </c>
      <c r="B265" s="11">
        <v>1.0</v>
      </c>
      <c r="C265" s="81">
        <v>986.0</v>
      </c>
      <c r="D265" s="81"/>
      <c r="E265" s="126"/>
      <c r="F265" s="201"/>
      <c r="G265" s="126"/>
      <c r="H265" s="126"/>
      <c r="I265" s="126"/>
    </row>
    <row r="266">
      <c r="A266" s="21" t="s">
        <v>14658</v>
      </c>
      <c r="B266" s="11">
        <v>1.0</v>
      </c>
      <c r="C266" s="81">
        <v>6949.0</v>
      </c>
      <c r="D266" s="81"/>
      <c r="E266" s="126"/>
      <c r="F266" s="201"/>
      <c r="G266" s="126"/>
      <c r="H266" s="126"/>
      <c r="I266" s="126"/>
    </row>
    <row r="267">
      <c r="A267" s="21" t="s">
        <v>14659</v>
      </c>
      <c r="B267" s="11">
        <v>1.0</v>
      </c>
      <c r="C267" s="81">
        <v>6675.0</v>
      </c>
      <c r="D267" s="81"/>
      <c r="E267" s="126"/>
      <c r="F267" s="201"/>
      <c r="G267" s="126"/>
      <c r="H267" s="126"/>
      <c r="I267" s="126"/>
    </row>
    <row r="268">
      <c r="A268" s="21" t="s">
        <v>14660</v>
      </c>
      <c r="B268" s="11">
        <v>1.0</v>
      </c>
      <c r="C268" s="81">
        <v>6929.0</v>
      </c>
      <c r="D268" s="81"/>
      <c r="E268" s="126"/>
      <c r="F268" s="201"/>
      <c r="G268" s="126"/>
      <c r="H268" s="126"/>
      <c r="I268" s="126"/>
    </row>
    <row r="269">
      <c r="A269" s="21" t="s">
        <v>14661</v>
      </c>
      <c r="B269" s="11">
        <v>1.0</v>
      </c>
      <c r="C269" s="81">
        <v>930.0</v>
      </c>
      <c r="D269" s="81"/>
      <c r="E269" s="126"/>
      <c r="F269" s="201"/>
      <c r="G269" s="126"/>
      <c r="H269" s="126"/>
      <c r="I269" s="126"/>
    </row>
    <row r="270">
      <c r="A270" s="21" t="s">
        <v>14662</v>
      </c>
      <c r="B270" s="11">
        <v>1.0</v>
      </c>
      <c r="C270" s="81">
        <v>986.0</v>
      </c>
      <c r="D270" s="81"/>
      <c r="E270" s="126"/>
      <c r="F270" s="201"/>
      <c r="G270" s="126"/>
      <c r="H270" s="126"/>
      <c r="I270" s="126"/>
    </row>
    <row r="271">
      <c r="A271" s="21" t="s">
        <v>14663</v>
      </c>
      <c r="B271" s="11">
        <v>1.0</v>
      </c>
      <c r="C271" s="81">
        <v>986.0</v>
      </c>
      <c r="D271" s="81"/>
      <c r="E271" s="126"/>
      <c r="F271" s="201"/>
      <c r="G271" s="126"/>
      <c r="H271" s="126"/>
      <c r="I271" s="126"/>
    </row>
    <row r="272">
      <c r="A272" s="21" t="s">
        <v>14664</v>
      </c>
      <c r="B272" s="11">
        <v>1.0</v>
      </c>
      <c r="C272" s="81">
        <v>986.0</v>
      </c>
      <c r="D272" s="81"/>
      <c r="E272" s="126"/>
      <c r="F272" s="201"/>
      <c r="G272" s="126"/>
      <c r="H272" s="126"/>
      <c r="I272" s="126"/>
    </row>
    <row r="273">
      <c r="A273" s="21" t="s">
        <v>14665</v>
      </c>
      <c r="B273" s="11">
        <v>1.0</v>
      </c>
      <c r="C273" s="81">
        <v>986.0</v>
      </c>
      <c r="D273" s="81"/>
      <c r="E273" s="126"/>
      <c r="F273" s="201"/>
      <c r="G273" s="126"/>
      <c r="H273" s="126"/>
      <c r="I273" s="126"/>
    </row>
    <row r="274">
      <c r="A274" s="21" t="s">
        <v>14666</v>
      </c>
      <c r="B274" s="11">
        <v>1.0</v>
      </c>
      <c r="C274" s="81">
        <v>986.0</v>
      </c>
      <c r="D274" s="81"/>
      <c r="E274" s="126"/>
      <c r="F274" s="201"/>
      <c r="G274" s="126"/>
      <c r="H274" s="126"/>
      <c r="I274" s="126"/>
    </row>
    <row r="275">
      <c r="A275" s="21" t="s">
        <v>14667</v>
      </c>
      <c r="B275" s="11">
        <v>1.0</v>
      </c>
      <c r="C275" s="81">
        <v>986.0</v>
      </c>
      <c r="D275" s="81"/>
      <c r="E275" s="126"/>
      <c r="F275" s="201"/>
      <c r="G275" s="126"/>
      <c r="H275" s="126"/>
      <c r="I275" s="126"/>
    </row>
    <row r="276">
      <c r="A276" s="21" t="s">
        <v>14668</v>
      </c>
      <c r="B276" s="11">
        <v>1.0</v>
      </c>
      <c r="C276" s="81">
        <v>986.0</v>
      </c>
      <c r="D276" s="81"/>
      <c r="E276" s="126"/>
      <c r="F276" s="201"/>
      <c r="G276" s="126"/>
      <c r="H276" s="126"/>
      <c r="I276" s="126"/>
    </row>
    <row r="277">
      <c r="A277" s="21" t="s">
        <v>14669</v>
      </c>
      <c r="B277" s="11">
        <v>1.0</v>
      </c>
      <c r="C277" s="81">
        <v>986.0</v>
      </c>
      <c r="D277" s="81"/>
      <c r="E277" s="126"/>
      <c r="F277" s="201"/>
      <c r="G277" s="126"/>
      <c r="H277" s="126"/>
      <c r="I277" s="126"/>
    </row>
    <row r="278">
      <c r="A278" s="21" t="s">
        <v>14670</v>
      </c>
      <c r="B278" s="11">
        <v>1.0</v>
      </c>
      <c r="C278" s="81">
        <v>986.0</v>
      </c>
      <c r="D278" s="81"/>
      <c r="E278" s="126"/>
      <c r="F278" s="201"/>
      <c r="G278" s="126"/>
      <c r="H278" s="126"/>
      <c r="I278" s="126"/>
    </row>
    <row r="279">
      <c r="A279" s="21" t="s">
        <v>14671</v>
      </c>
      <c r="B279" s="11">
        <v>1.0</v>
      </c>
      <c r="C279" s="81">
        <v>986.0</v>
      </c>
      <c r="D279" s="81"/>
      <c r="E279" s="126"/>
      <c r="F279" s="201"/>
      <c r="G279" s="126"/>
      <c r="H279" s="126"/>
      <c r="I279" s="126"/>
    </row>
    <row r="280">
      <c r="A280" s="21" t="s">
        <v>14672</v>
      </c>
      <c r="B280" s="11">
        <v>1.0</v>
      </c>
      <c r="C280" s="81">
        <v>986.0</v>
      </c>
      <c r="D280" s="81"/>
      <c r="E280" s="126"/>
      <c r="F280" s="201"/>
      <c r="G280" s="126"/>
      <c r="H280" s="126"/>
      <c r="I280" s="126"/>
    </row>
    <row r="281">
      <c r="A281" s="21" t="s">
        <v>14673</v>
      </c>
      <c r="B281" s="11">
        <v>1.0</v>
      </c>
      <c r="C281" s="81">
        <v>6272.0</v>
      </c>
      <c r="D281" s="81"/>
      <c r="E281" s="126"/>
      <c r="F281" s="201"/>
      <c r="G281" s="126"/>
      <c r="H281" s="126"/>
      <c r="I281" s="126"/>
    </row>
    <row r="282">
      <c r="A282" s="21" t="s">
        <v>14674</v>
      </c>
      <c r="B282" s="11">
        <v>1.0</v>
      </c>
      <c r="C282" s="81">
        <v>136.0</v>
      </c>
      <c r="D282" s="81"/>
      <c r="E282" s="126"/>
      <c r="F282" s="201"/>
      <c r="G282" s="126"/>
      <c r="H282" s="126"/>
      <c r="I282" s="126"/>
    </row>
    <row r="283">
      <c r="A283" s="21" t="s">
        <v>14675</v>
      </c>
      <c r="B283" s="11">
        <v>1.0</v>
      </c>
      <c r="C283" s="81">
        <v>6727.0</v>
      </c>
      <c r="D283" s="81"/>
      <c r="E283" s="126"/>
      <c r="F283" s="201"/>
      <c r="G283" s="126"/>
      <c r="H283" s="126"/>
      <c r="I283" s="126"/>
    </row>
    <row r="284">
      <c r="A284" s="21" t="s">
        <v>14676</v>
      </c>
      <c r="B284" s="11">
        <v>1.0</v>
      </c>
      <c r="C284" s="81">
        <v>6727.0</v>
      </c>
      <c r="D284" s="81"/>
      <c r="E284" s="126"/>
      <c r="F284" s="201"/>
      <c r="G284" s="126"/>
      <c r="H284" s="126"/>
      <c r="I284" s="126"/>
    </row>
    <row r="285">
      <c r="A285" s="21" t="s">
        <v>14677</v>
      </c>
      <c r="B285" s="11">
        <v>1.0</v>
      </c>
      <c r="C285" s="81">
        <v>6727.0</v>
      </c>
      <c r="D285" s="81"/>
      <c r="E285" s="126"/>
      <c r="F285" s="201"/>
      <c r="G285" s="126"/>
      <c r="H285" s="126"/>
      <c r="I285" s="126"/>
    </row>
    <row r="286">
      <c r="A286" s="21" t="s">
        <v>14678</v>
      </c>
      <c r="B286" s="11">
        <v>1.0</v>
      </c>
      <c r="C286" s="81">
        <v>6727.0</v>
      </c>
      <c r="D286" s="81"/>
      <c r="E286" s="126"/>
      <c r="F286" s="201"/>
      <c r="G286" s="126"/>
      <c r="H286" s="126"/>
      <c r="I286" s="126"/>
    </row>
    <row r="287">
      <c r="A287" s="21" t="s">
        <v>14679</v>
      </c>
      <c r="B287" s="11">
        <v>1.0</v>
      </c>
      <c r="C287" s="81">
        <v>6727.0</v>
      </c>
      <c r="D287" s="81"/>
      <c r="E287" s="126"/>
      <c r="F287" s="201"/>
      <c r="G287" s="126"/>
      <c r="H287" s="126"/>
      <c r="I287" s="126"/>
    </row>
    <row r="288">
      <c r="A288" s="21" t="s">
        <v>14680</v>
      </c>
      <c r="B288" s="11">
        <v>1.0</v>
      </c>
      <c r="C288" s="81">
        <v>6727.0</v>
      </c>
      <c r="D288" s="81"/>
      <c r="E288" s="126"/>
      <c r="F288" s="201"/>
      <c r="G288" s="126"/>
      <c r="H288" s="126"/>
      <c r="I288" s="126"/>
    </row>
    <row r="289">
      <c r="A289" s="21" t="s">
        <v>14681</v>
      </c>
      <c r="B289" s="11">
        <v>1.0</v>
      </c>
      <c r="C289" s="81">
        <v>6727.0</v>
      </c>
      <c r="D289" s="81"/>
      <c r="E289" s="126"/>
      <c r="F289" s="201"/>
      <c r="G289" s="126"/>
      <c r="H289" s="126"/>
      <c r="I289" s="126"/>
    </row>
    <row r="290">
      <c r="A290" s="21" t="s">
        <v>14682</v>
      </c>
      <c r="B290" s="11">
        <v>1.0</v>
      </c>
      <c r="C290" s="81">
        <v>6727.0</v>
      </c>
      <c r="D290" s="81"/>
      <c r="E290" s="126"/>
      <c r="F290" s="201"/>
      <c r="G290" s="126"/>
      <c r="H290" s="126"/>
      <c r="I290" s="126"/>
    </row>
    <row r="291">
      <c r="A291" s="21" t="s">
        <v>14683</v>
      </c>
      <c r="B291" s="11">
        <v>1.0</v>
      </c>
      <c r="C291" s="81">
        <v>6727.0</v>
      </c>
      <c r="D291" s="81"/>
      <c r="E291" s="126"/>
      <c r="F291" s="201"/>
      <c r="G291" s="126"/>
      <c r="H291" s="126"/>
      <c r="I291" s="126"/>
    </row>
    <row r="292">
      <c r="A292" s="21" t="s">
        <v>14684</v>
      </c>
      <c r="B292" s="11">
        <v>1.0</v>
      </c>
      <c r="C292" s="81">
        <v>6727.0</v>
      </c>
      <c r="D292" s="81"/>
      <c r="E292" s="126"/>
      <c r="F292" s="201"/>
      <c r="G292" s="126"/>
      <c r="H292" s="126"/>
      <c r="I292" s="126"/>
    </row>
    <row r="293">
      <c r="A293" s="21" t="s">
        <v>14685</v>
      </c>
      <c r="B293" s="11">
        <v>1.0</v>
      </c>
      <c r="C293" s="81">
        <v>6727.0</v>
      </c>
      <c r="D293" s="81"/>
      <c r="E293" s="126"/>
      <c r="F293" s="201"/>
      <c r="G293" s="126"/>
      <c r="H293" s="126"/>
      <c r="I293" s="126"/>
    </row>
    <row r="294">
      <c r="A294" s="21" t="s">
        <v>14686</v>
      </c>
      <c r="B294" s="11">
        <v>1.0</v>
      </c>
      <c r="C294" s="81">
        <v>6727.0</v>
      </c>
      <c r="D294" s="81"/>
      <c r="E294" s="126"/>
      <c r="F294" s="201"/>
      <c r="G294" s="126"/>
      <c r="H294" s="126"/>
      <c r="I294" s="126"/>
    </row>
    <row r="295">
      <c r="A295" s="21" t="s">
        <v>14687</v>
      </c>
      <c r="B295" s="11">
        <v>1.0</v>
      </c>
      <c r="C295" s="81">
        <v>6671.0</v>
      </c>
      <c r="D295" s="81"/>
      <c r="E295" s="126"/>
      <c r="F295" s="201"/>
      <c r="G295" s="126"/>
      <c r="H295" s="126"/>
      <c r="I295" s="126"/>
    </row>
    <row r="296">
      <c r="A296" s="21" t="s">
        <v>14688</v>
      </c>
      <c r="B296" s="11">
        <v>1.0</v>
      </c>
      <c r="C296" s="81">
        <v>6671.0</v>
      </c>
      <c r="D296" s="81"/>
      <c r="E296" s="126"/>
      <c r="F296" s="201"/>
      <c r="G296" s="126"/>
      <c r="H296" s="126"/>
      <c r="I296" s="126"/>
    </row>
    <row r="297">
      <c r="A297" s="21" t="s">
        <v>14689</v>
      </c>
      <c r="B297" s="11">
        <v>1.0</v>
      </c>
      <c r="C297" s="81">
        <v>6671.0</v>
      </c>
      <c r="D297" s="81"/>
      <c r="E297" s="126"/>
      <c r="F297" s="201"/>
      <c r="G297" s="126"/>
      <c r="H297" s="126"/>
      <c r="I297" s="126"/>
    </row>
    <row r="298">
      <c r="A298" s="21" t="s">
        <v>14690</v>
      </c>
      <c r="B298" s="11">
        <v>1.0</v>
      </c>
      <c r="C298" s="81">
        <v>6671.0</v>
      </c>
      <c r="D298" s="81"/>
      <c r="E298" s="126"/>
      <c r="F298" s="201"/>
      <c r="G298" s="126"/>
      <c r="H298" s="126"/>
      <c r="I298" s="126"/>
    </row>
    <row r="299">
      <c r="A299" s="21" t="s">
        <v>14691</v>
      </c>
      <c r="B299" s="11">
        <v>1.0</v>
      </c>
      <c r="C299" s="81">
        <v>6671.0</v>
      </c>
      <c r="D299" s="81"/>
      <c r="E299" s="126"/>
      <c r="F299" s="201"/>
      <c r="G299" s="126"/>
      <c r="H299" s="126"/>
      <c r="I299" s="126"/>
    </row>
    <row r="300">
      <c r="A300" s="21" t="s">
        <v>14692</v>
      </c>
      <c r="B300" s="11">
        <v>1.0</v>
      </c>
      <c r="C300" s="81">
        <v>6671.0</v>
      </c>
      <c r="D300" s="81"/>
      <c r="E300" s="126"/>
      <c r="F300" s="201"/>
      <c r="G300" s="126"/>
      <c r="H300" s="126"/>
      <c r="I300" s="126"/>
    </row>
    <row r="301">
      <c r="A301" s="21" t="s">
        <v>14693</v>
      </c>
      <c r="B301" s="11">
        <v>1.0</v>
      </c>
      <c r="C301" s="81">
        <v>6671.0</v>
      </c>
      <c r="D301" s="81"/>
      <c r="E301" s="126"/>
      <c r="F301" s="201"/>
      <c r="G301" s="126"/>
      <c r="H301" s="126"/>
      <c r="I301" s="126"/>
    </row>
    <row r="302">
      <c r="A302" s="21" t="s">
        <v>14694</v>
      </c>
      <c r="B302" s="11">
        <v>1.0</v>
      </c>
      <c r="C302" s="81">
        <v>6671.0</v>
      </c>
      <c r="D302" s="81"/>
      <c r="E302" s="126"/>
      <c r="F302" s="201"/>
      <c r="G302" s="126"/>
      <c r="H302" s="126"/>
      <c r="I302" s="126"/>
    </row>
    <row r="303">
      <c r="A303" s="21" t="s">
        <v>14695</v>
      </c>
      <c r="B303" s="11">
        <v>1.0</v>
      </c>
      <c r="C303" s="81">
        <v>6671.0</v>
      </c>
      <c r="D303" s="81"/>
      <c r="E303" s="126"/>
      <c r="F303" s="201"/>
      <c r="G303" s="126"/>
      <c r="H303" s="126"/>
      <c r="I303" s="126"/>
    </row>
    <row r="304">
      <c r="A304" s="21" t="s">
        <v>14696</v>
      </c>
      <c r="B304" s="11">
        <v>1.0</v>
      </c>
      <c r="C304" s="81">
        <v>6671.0</v>
      </c>
      <c r="D304" s="81"/>
      <c r="E304" s="126"/>
      <c r="F304" s="201"/>
      <c r="G304" s="126"/>
      <c r="H304" s="126"/>
      <c r="I304" s="126"/>
    </row>
    <row r="305">
      <c r="A305" s="21" t="s">
        <v>14697</v>
      </c>
      <c r="B305" s="11">
        <v>1.0</v>
      </c>
      <c r="C305" s="81">
        <v>6664.0</v>
      </c>
      <c r="D305" s="81"/>
      <c r="E305" s="126"/>
      <c r="F305" s="201"/>
      <c r="G305" s="126"/>
      <c r="H305" s="126"/>
      <c r="I305" s="126"/>
    </row>
    <row r="306">
      <c r="A306" s="21" t="s">
        <v>14698</v>
      </c>
      <c r="B306" s="11">
        <v>1.0</v>
      </c>
      <c r="C306" s="81">
        <v>6664.0</v>
      </c>
      <c r="D306" s="81"/>
      <c r="E306" s="126"/>
      <c r="F306" s="201"/>
      <c r="G306" s="126"/>
      <c r="H306" s="126"/>
      <c r="I306" s="126"/>
    </row>
    <row r="307">
      <c r="A307" s="21" t="s">
        <v>14699</v>
      </c>
      <c r="B307" s="11">
        <v>1.0</v>
      </c>
      <c r="C307" s="81">
        <v>6664.0</v>
      </c>
      <c r="D307" s="81"/>
      <c r="E307" s="126"/>
      <c r="F307" s="201"/>
      <c r="G307" s="126"/>
      <c r="H307" s="126"/>
      <c r="I307" s="126"/>
    </row>
    <row r="308">
      <c r="A308" s="21" t="s">
        <v>14700</v>
      </c>
      <c r="B308" s="11">
        <v>1.0</v>
      </c>
      <c r="C308" s="81">
        <v>6664.0</v>
      </c>
      <c r="D308" s="81"/>
      <c r="E308" s="126"/>
      <c r="F308" s="201"/>
      <c r="G308" s="126"/>
      <c r="H308" s="126"/>
      <c r="I308" s="126"/>
    </row>
    <row r="309">
      <c r="A309" s="21" t="s">
        <v>14701</v>
      </c>
      <c r="B309" s="11">
        <v>1.0</v>
      </c>
      <c r="C309" s="81">
        <v>6664.0</v>
      </c>
      <c r="D309" s="81"/>
      <c r="E309" s="126"/>
      <c r="F309" s="201"/>
      <c r="G309" s="126"/>
      <c r="H309" s="126"/>
      <c r="I309" s="126"/>
    </row>
    <row r="310">
      <c r="A310" s="21" t="s">
        <v>14702</v>
      </c>
      <c r="B310" s="11">
        <v>1.0</v>
      </c>
      <c r="C310" s="81">
        <v>6664.0</v>
      </c>
      <c r="D310" s="81"/>
      <c r="E310" s="126"/>
      <c r="F310" s="201"/>
      <c r="G310" s="126"/>
      <c r="H310" s="126"/>
      <c r="I310" s="126"/>
    </row>
    <row r="311">
      <c r="A311" s="21" t="s">
        <v>14703</v>
      </c>
      <c r="B311" s="11">
        <v>1.0</v>
      </c>
      <c r="C311" s="81">
        <v>6664.0</v>
      </c>
      <c r="D311" s="81"/>
      <c r="E311" s="126"/>
      <c r="F311" s="201"/>
      <c r="G311" s="126"/>
      <c r="H311" s="126"/>
      <c r="I311" s="126"/>
    </row>
    <row r="312">
      <c r="A312" s="21" t="s">
        <v>14704</v>
      </c>
      <c r="B312" s="11">
        <v>1.0</v>
      </c>
      <c r="C312" s="81">
        <v>6664.0</v>
      </c>
      <c r="D312" s="81"/>
      <c r="E312" s="126"/>
      <c r="F312" s="201"/>
      <c r="G312" s="126"/>
      <c r="H312" s="126"/>
      <c r="I312" s="126"/>
    </row>
    <row r="313">
      <c r="A313" s="21" t="s">
        <v>14705</v>
      </c>
      <c r="B313" s="11">
        <v>1.0</v>
      </c>
      <c r="C313" s="81">
        <v>6664.0</v>
      </c>
      <c r="D313" s="81"/>
      <c r="E313" s="126"/>
      <c r="F313" s="201"/>
      <c r="G313" s="126"/>
      <c r="H313" s="126"/>
      <c r="I313" s="126"/>
    </row>
    <row r="314">
      <c r="A314" s="21" t="s">
        <v>14706</v>
      </c>
      <c r="B314" s="11">
        <v>1.0</v>
      </c>
      <c r="C314" s="81">
        <v>6664.0</v>
      </c>
      <c r="D314" s="81"/>
      <c r="E314" s="126"/>
      <c r="F314" s="201"/>
      <c r="G314" s="126"/>
      <c r="H314" s="126"/>
      <c r="I314" s="126"/>
    </row>
    <row r="315">
      <c r="A315" s="21" t="s">
        <v>14707</v>
      </c>
      <c r="B315" s="11">
        <v>1.0</v>
      </c>
      <c r="C315" s="81">
        <v>6664.0</v>
      </c>
      <c r="D315" s="81"/>
      <c r="E315" s="126"/>
      <c r="F315" s="201"/>
      <c r="G315" s="126"/>
      <c r="H315" s="126"/>
      <c r="I315" s="126"/>
    </row>
    <row r="316">
      <c r="A316" s="21" t="s">
        <v>14708</v>
      </c>
      <c r="B316" s="11">
        <v>1.0</v>
      </c>
      <c r="C316" s="81">
        <v>6664.0</v>
      </c>
      <c r="D316" s="81"/>
      <c r="E316" s="126"/>
      <c r="F316" s="201"/>
      <c r="G316" s="126"/>
      <c r="H316" s="126"/>
      <c r="I316" s="126"/>
    </row>
    <row r="317">
      <c r="A317" s="21" t="s">
        <v>14709</v>
      </c>
      <c r="B317" s="11">
        <v>1.0</v>
      </c>
      <c r="C317" s="81">
        <v>6664.0</v>
      </c>
      <c r="D317" s="81"/>
      <c r="E317" s="126"/>
      <c r="F317" s="201"/>
      <c r="G317" s="126"/>
      <c r="H317" s="126"/>
      <c r="I317" s="126"/>
    </row>
    <row r="318">
      <c r="A318" s="21" t="s">
        <v>14710</v>
      </c>
      <c r="B318" s="11">
        <v>1.0</v>
      </c>
      <c r="C318" s="81">
        <v>6664.0</v>
      </c>
      <c r="D318" s="81"/>
      <c r="E318" s="126"/>
      <c r="F318" s="201"/>
      <c r="G318" s="126"/>
      <c r="H318" s="126"/>
      <c r="I318" s="126"/>
    </row>
    <row r="319">
      <c r="A319" s="21" t="s">
        <v>14711</v>
      </c>
      <c r="B319" s="11">
        <v>1.0</v>
      </c>
      <c r="C319" s="81">
        <v>3920.0</v>
      </c>
      <c r="D319" s="81"/>
      <c r="E319" s="126"/>
      <c r="F319" s="201"/>
      <c r="G319" s="126"/>
      <c r="H319" s="126"/>
      <c r="I319" s="126"/>
    </row>
    <row r="320">
      <c r="A320" s="21" t="s">
        <v>14712</v>
      </c>
      <c r="B320" s="11">
        <v>1.0</v>
      </c>
      <c r="C320" s="81">
        <v>6887.0</v>
      </c>
      <c r="D320" s="81"/>
      <c r="E320" s="126"/>
      <c r="F320" s="201"/>
      <c r="G320" s="126"/>
      <c r="H320" s="126"/>
      <c r="I320" s="126"/>
    </row>
    <row r="321">
      <c r="A321" s="21" t="s">
        <v>14713</v>
      </c>
      <c r="B321" s="11">
        <v>1.0</v>
      </c>
      <c r="C321" s="11">
        <v>6245.0</v>
      </c>
      <c r="D321" s="81">
        <v>7003.0</v>
      </c>
      <c r="E321" s="126"/>
      <c r="F321" s="201"/>
      <c r="G321" s="126"/>
      <c r="H321" s="126"/>
      <c r="I321" s="126"/>
    </row>
    <row r="322">
      <c r="A322" s="21" t="s">
        <v>14714</v>
      </c>
      <c r="B322" s="11">
        <v>1.0</v>
      </c>
      <c r="C322" s="11">
        <v>6245.0</v>
      </c>
      <c r="D322" s="81">
        <v>7003.0</v>
      </c>
      <c r="E322" s="126"/>
      <c r="F322" s="201"/>
      <c r="G322" s="126"/>
      <c r="H322" s="126"/>
      <c r="I322" s="126"/>
    </row>
    <row r="323">
      <c r="A323" s="21" t="s">
        <v>14715</v>
      </c>
      <c r="B323" s="11">
        <v>1.0</v>
      </c>
      <c r="C323" s="81">
        <v>7003.0</v>
      </c>
      <c r="E323" s="126"/>
      <c r="F323" s="201"/>
      <c r="G323" s="126"/>
      <c r="H323" s="126"/>
      <c r="I323" s="126"/>
    </row>
    <row r="324">
      <c r="A324" s="21" t="s">
        <v>14716</v>
      </c>
      <c r="B324" s="11">
        <v>1.0</v>
      </c>
      <c r="C324" s="81">
        <v>7007.0</v>
      </c>
      <c r="D324" s="81"/>
      <c r="E324" s="126"/>
      <c r="F324" s="201"/>
      <c r="G324" s="126"/>
      <c r="H324" s="126"/>
      <c r="I324" s="126"/>
    </row>
    <row r="325">
      <c r="A325" s="21" t="s">
        <v>14717</v>
      </c>
      <c r="B325" s="11">
        <v>1.0</v>
      </c>
      <c r="C325" s="81">
        <v>3307.0</v>
      </c>
      <c r="D325" s="81"/>
      <c r="E325" s="126"/>
      <c r="F325" s="201"/>
      <c r="G325" s="126"/>
      <c r="H325" s="126"/>
      <c r="I325" s="126"/>
    </row>
    <row r="326">
      <c r="A326" s="21" t="s">
        <v>14718</v>
      </c>
      <c r="B326" s="11">
        <v>1.0</v>
      </c>
      <c r="C326" s="11">
        <v>7039.0</v>
      </c>
      <c r="D326" s="81"/>
      <c r="E326" s="126"/>
      <c r="F326" s="201"/>
      <c r="G326" s="126"/>
      <c r="H326" s="126"/>
      <c r="I326" s="126"/>
    </row>
    <row r="327">
      <c r="A327" s="21" t="s">
        <v>14719</v>
      </c>
      <c r="B327" s="11">
        <v>1.0</v>
      </c>
      <c r="C327" s="81">
        <v>7017.0</v>
      </c>
      <c r="D327" s="81"/>
      <c r="E327" s="126"/>
      <c r="F327" s="201"/>
      <c r="G327" s="126"/>
      <c r="H327" s="126"/>
      <c r="I327" s="126"/>
    </row>
    <row r="328">
      <c r="A328" s="21" t="s">
        <v>14720</v>
      </c>
      <c r="B328" s="11">
        <v>1.0</v>
      </c>
      <c r="C328" s="81">
        <v>7017.0</v>
      </c>
      <c r="D328" s="81"/>
      <c r="E328" s="126"/>
      <c r="F328" s="201"/>
      <c r="G328" s="126"/>
      <c r="H328" s="126"/>
      <c r="I328" s="126"/>
    </row>
    <row r="329">
      <c r="A329" s="21" t="s">
        <v>14721</v>
      </c>
      <c r="B329" s="11">
        <v>1.0</v>
      </c>
      <c r="C329" s="81">
        <v>7017.0</v>
      </c>
      <c r="D329" s="81"/>
      <c r="E329" s="126"/>
      <c r="F329" s="201"/>
      <c r="G329" s="126"/>
      <c r="H329" s="126"/>
      <c r="I329" s="126"/>
    </row>
    <row r="330">
      <c r="A330" s="21" t="s">
        <v>14722</v>
      </c>
      <c r="B330" s="11">
        <v>1.0</v>
      </c>
      <c r="C330" s="11">
        <v>6919.0</v>
      </c>
      <c r="D330" s="81"/>
      <c r="E330" s="126"/>
      <c r="F330" s="201"/>
      <c r="G330" s="126"/>
      <c r="H330" s="126"/>
      <c r="I330" s="126"/>
    </row>
    <row r="331">
      <c r="A331" s="21" t="s">
        <v>14723</v>
      </c>
      <c r="B331" s="11">
        <v>1.0</v>
      </c>
      <c r="C331" s="11">
        <v>6919.0</v>
      </c>
      <c r="D331" s="81"/>
      <c r="E331" s="126"/>
      <c r="F331" s="201"/>
      <c r="G331" s="126"/>
      <c r="H331" s="126"/>
      <c r="I331" s="126"/>
    </row>
    <row r="332">
      <c r="A332" s="21" t="s">
        <v>14724</v>
      </c>
      <c r="B332" s="11">
        <v>1.0</v>
      </c>
      <c r="C332" s="81">
        <v>6541.0</v>
      </c>
      <c r="D332" s="81"/>
      <c r="E332" s="126"/>
      <c r="F332" s="201"/>
      <c r="G332" s="126"/>
      <c r="H332" s="126"/>
      <c r="I332" s="126"/>
    </row>
    <row r="333">
      <c r="A333" s="21" t="s">
        <v>14725</v>
      </c>
      <c r="B333" s="11">
        <v>1.0</v>
      </c>
      <c r="C333" s="81">
        <v>6541.0</v>
      </c>
      <c r="D333" s="81"/>
      <c r="E333" s="126"/>
      <c r="F333" s="201"/>
      <c r="G333" s="126"/>
      <c r="H333" s="126"/>
      <c r="I333" s="126"/>
    </row>
    <row r="334">
      <c r="A334" s="21" t="s">
        <v>14726</v>
      </c>
      <c r="B334" s="11">
        <v>1.0</v>
      </c>
      <c r="C334" s="81">
        <v>6541.0</v>
      </c>
      <c r="D334" s="81"/>
      <c r="E334" s="126"/>
      <c r="F334" s="201"/>
      <c r="G334" s="126"/>
      <c r="H334" s="126"/>
      <c r="I334" s="126"/>
    </row>
    <row r="335">
      <c r="A335" s="21" t="s">
        <v>14727</v>
      </c>
      <c r="B335" s="11">
        <v>1.0</v>
      </c>
      <c r="C335" s="81">
        <v>6541.0</v>
      </c>
      <c r="D335" s="81"/>
      <c r="E335" s="126"/>
      <c r="F335" s="201"/>
      <c r="G335" s="126"/>
      <c r="H335" s="126"/>
      <c r="I335" s="126"/>
    </row>
    <row r="336">
      <c r="A336" s="21" t="s">
        <v>14728</v>
      </c>
      <c r="B336" s="11">
        <v>1.0</v>
      </c>
      <c r="C336" s="81">
        <v>6541.0</v>
      </c>
      <c r="D336" s="81"/>
      <c r="E336" s="126"/>
      <c r="F336" s="201"/>
      <c r="G336" s="126"/>
      <c r="H336" s="126"/>
      <c r="I336" s="126"/>
    </row>
    <row r="337">
      <c r="A337" s="21" t="s">
        <v>14729</v>
      </c>
      <c r="B337" s="11">
        <v>1.0</v>
      </c>
      <c r="C337" s="81">
        <v>6541.0</v>
      </c>
      <c r="D337" s="81"/>
      <c r="E337" s="126"/>
      <c r="F337" s="201"/>
      <c r="G337" s="126"/>
      <c r="H337" s="126"/>
      <c r="I337" s="126"/>
    </row>
    <row r="338">
      <c r="A338" s="21" t="s">
        <v>14730</v>
      </c>
      <c r="B338" s="11">
        <v>1.0</v>
      </c>
      <c r="C338" s="81">
        <v>6541.0</v>
      </c>
      <c r="D338" s="81"/>
      <c r="E338" s="126"/>
      <c r="F338" s="201"/>
      <c r="G338" s="126"/>
      <c r="H338" s="126"/>
      <c r="I338" s="126"/>
    </row>
    <row r="339">
      <c r="A339" s="21" t="s">
        <v>14731</v>
      </c>
      <c r="B339" s="11">
        <v>1.0</v>
      </c>
      <c r="C339" s="81">
        <v>6541.0</v>
      </c>
      <c r="D339" s="81"/>
      <c r="E339" s="126"/>
      <c r="F339" s="201"/>
      <c r="G339" s="126"/>
      <c r="H339" s="126"/>
      <c r="I339" s="126"/>
    </row>
    <row r="340">
      <c r="A340" s="21" t="s">
        <v>14732</v>
      </c>
      <c r="B340" s="11">
        <v>1.0</v>
      </c>
      <c r="C340" s="81">
        <v>6541.0</v>
      </c>
      <c r="D340" s="81"/>
      <c r="E340" s="126"/>
      <c r="F340" s="201"/>
      <c r="G340" s="126"/>
      <c r="H340" s="126"/>
      <c r="I340" s="126"/>
    </row>
    <row r="341">
      <c r="A341" s="21" t="s">
        <v>14733</v>
      </c>
      <c r="B341" s="11">
        <v>1.0</v>
      </c>
      <c r="C341" s="81">
        <v>6541.0</v>
      </c>
      <c r="D341" s="81"/>
      <c r="E341" s="126"/>
      <c r="F341" s="201"/>
      <c r="G341" s="126"/>
      <c r="H341" s="126"/>
      <c r="I341" s="126"/>
    </row>
    <row r="342">
      <c r="A342" s="21" t="s">
        <v>14734</v>
      </c>
      <c r="B342" s="11">
        <v>1.0</v>
      </c>
      <c r="C342" s="81">
        <v>6541.0</v>
      </c>
      <c r="D342" s="81"/>
      <c r="E342" s="126"/>
      <c r="F342" s="201"/>
      <c r="G342" s="126"/>
      <c r="H342" s="126"/>
      <c r="I342" s="126"/>
    </row>
    <row r="343">
      <c r="A343" s="21" t="s">
        <v>14735</v>
      </c>
      <c r="B343" s="11">
        <v>1.0</v>
      </c>
      <c r="C343" s="81">
        <v>6541.0</v>
      </c>
      <c r="D343" s="81"/>
      <c r="E343" s="126"/>
      <c r="F343" s="201"/>
      <c r="G343" s="126"/>
      <c r="H343" s="126"/>
      <c r="I343" s="126"/>
    </row>
    <row r="344">
      <c r="A344" s="21" t="s">
        <v>14736</v>
      </c>
      <c r="B344" s="11">
        <v>1.0</v>
      </c>
      <c r="C344" s="81">
        <v>6541.0</v>
      </c>
      <c r="D344" s="81"/>
      <c r="E344" s="126"/>
      <c r="F344" s="201"/>
      <c r="G344" s="126"/>
      <c r="H344" s="126"/>
      <c r="I344" s="126"/>
    </row>
    <row r="345">
      <c r="A345" s="21" t="s">
        <v>14737</v>
      </c>
      <c r="B345" s="11">
        <v>1.0</v>
      </c>
      <c r="C345" s="81">
        <v>6541.0</v>
      </c>
      <c r="D345" s="81"/>
      <c r="E345" s="126"/>
      <c r="F345" s="201"/>
      <c r="G345" s="126"/>
      <c r="H345" s="126"/>
      <c r="I345" s="126"/>
    </row>
    <row r="346">
      <c r="A346" s="21" t="s">
        <v>14738</v>
      </c>
      <c r="B346" s="11">
        <v>1.0</v>
      </c>
      <c r="C346" s="81">
        <v>6541.0</v>
      </c>
      <c r="D346" s="81"/>
      <c r="E346" s="126"/>
      <c r="F346" s="201"/>
      <c r="G346" s="126"/>
      <c r="H346" s="126"/>
      <c r="I346" s="126"/>
    </row>
    <row r="347">
      <c r="A347" s="21" t="s">
        <v>14739</v>
      </c>
      <c r="B347" s="11">
        <v>1.0</v>
      </c>
      <c r="C347" s="81">
        <v>6541.0</v>
      </c>
      <c r="D347" s="81"/>
      <c r="E347" s="126"/>
      <c r="F347" s="201"/>
      <c r="G347" s="126"/>
      <c r="H347" s="126"/>
      <c r="I347" s="126"/>
    </row>
    <row r="348">
      <c r="A348" s="21" t="s">
        <v>14740</v>
      </c>
      <c r="B348" s="11">
        <v>1.0</v>
      </c>
      <c r="C348" s="81">
        <v>6541.0</v>
      </c>
      <c r="D348" s="81"/>
      <c r="E348" s="126"/>
      <c r="F348" s="201"/>
      <c r="G348" s="126"/>
      <c r="H348" s="126"/>
      <c r="I348" s="126"/>
    </row>
    <row r="349">
      <c r="A349" s="21" t="s">
        <v>14741</v>
      </c>
      <c r="B349" s="11">
        <v>1.0</v>
      </c>
      <c r="C349" s="81">
        <v>6541.0</v>
      </c>
      <c r="D349" s="81"/>
      <c r="E349" s="126"/>
      <c r="F349" s="201"/>
      <c r="G349" s="126"/>
      <c r="H349" s="126"/>
      <c r="I349" s="126"/>
    </row>
    <row r="350">
      <c r="A350" s="21" t="s">
        <v>14742</v>
      </c>
      <c r="B350" s="11">
        <v>1.0</v>
      </c>
      <c r="C350" s="81">
        <v>6541.0</v>
      </c>
      <c r="D350" s="81"/>
      <c r="E350" s="126"/>
      <c r="F350" s="201"/>
      <c r="G350" s="126"/>
      <c r="H350" s="126"/>
      <c r="I350" s="126"/>
    </row>
    <row r="351">
      <c r="A351" s="21" t="s">
        <v>14743</v>
      </c>
      <c r="B351" s="11">
        <v>1.0</v>
      </c>
      <c r="C351" s="81">
        <v>6541.0</v>
      </c>
      <c r="D351" s="81"/>
      <c r="E351" s="126"/>
      <c r="F351" s="201"/>
      <c r="G351" s="126"/>
      <c r="H351" s="126"/>
      <c r="I351" s="126"/>
    </row>
    <row r="352">
      <c r="A352" s="21" t="s">
        <v>14744</v>
      </c>
      <c r="B352" s="11">
        <v>1.0</v>
      </c>
      <c r="C352" s="81">
        <v>6541.0</v>
      </c>
      <c r="D352" s="81"/>
      <c r="E352" s="126"/>
      <c r="F352" s="201"/>
      <c r="G352" s="126"/>
      <c r="H352" s="126"/>
      <c r="I352" s="126"/>
    </row>
    <row r="353">
      <c r="A353" s="21" t="s">
        <v>14745</v>
      </c>
      <c r="B353" s="11">
        <v>1.0</v>
      </c>
      <c r="C353" s="81">
        <v>6541.0</v>
      </c>
      <c r="D353" s="81"/>
      <c r="E353" s="126"/>
      <c r="F353" s="201"/>
      <c r="G353" s="126"/>
      <c r="H353" s="126"/>
      <c r="I353" s="126"/>
    </row>
    <row r="354">
      <c r="A354" s="21" t="s">
        <v>14746</v>
      </c>
      <c r="B354" s="11">
        <v>1.0</v>
      </c>
      <c r="C354" s="81">
        <v>6541.0</v>
      </c>
      <c r="D354" s="81"/>
      <c r="E354" s="126"/>
      <c r="F354" s="201"/>
      <c r="G354" s="126"/>
      <c r="H354" s="126"/>
      <c r="I354" s="126"/>
    </row>
    <row r="355">
      <c r="A355" s="21" t="s">
        <v>14747</v>
      </c>
      <c r="B355" s="11">
        <v>1.0</v>
      </c>
      <c r="C355" s="81">
        <v>6541.0</v>
      </c>
      <c r="D355" s="81"/>
      <c r="E355" s="126"/>
      <c r="F355" s="201"/>
      <c r="G355" s="126"/>
      <c r="H355" s="126"/>
      <c r="I355" s="126"/>
    </row>
    <row r="356">
      <c r="A356" s="21" t="s">
        <v>14748</v>
      </c>
      <c r="B356" s="11">
        <v>1.0</v>
      </c>
      <c r="C356" s="81">
        <v>6541.0</v>
      </c>
      <c r="D356" s="81"/>
      <c r="E356" s="126"/>
      <c r="F356" s="201"/>
      <c r="G356" s="126"/>
      <c r="H356" s="126"/>
      <c r="I356" s="126"/>
    </row>
    <row r="357">
      <c r="A357" s="21" t="s">
        <v>14749</v>
      </c>
      <c r="B357" s="11">
        <v>1.0</v>
      </c>
      <c r="C357" s="81">
        <v>6541.0</v>
      </c>
      <c r="D357" s="81"/>
      <c r="E357" s="126"/>
      <c r="F357" s="201"/>
      <c r="G357" s="126"/>
      <c r="H357" s="126"/>
      <c r="I357" s="126"/>
    </row>
    <row r="358">
      <c r="A358" s="21" t="s">
        <v>14750</v>
      </c>
      <c r="B358" s="11">
        <v>1.0</v>
      </c>
      <c r="C358" s="81">
        <v>6541.0</v>
      </c>
      <c r="D358" s="81"/>
      <c r="E358" s="126"/>
      <c r="F358" s="201"/>
      <c r="G358" s="126"/>
      <c r="H358" s="126"/>
      <c r="I358" s="126"/>
    </row>
    <row r="359">
      <c r="A359" s="21" t="s">
        <v>14751</v>
      </c>
      <c r="B359" s="11">
        <v>1.0</v>
      </c>
      <c r="C359" s="81">
        <v>6541.0</v>
      </c>
      <c r="D359" s="81"/>
      <c r="E359" s="126"/>
      <c r="F359" s="201"/>
      <c r="G359" s="126"/>
      <c r="H359" s="126"/>
      <c r="I359" s="126"/>
    </row>
    <row r="360">
      <c r="A360" s="21" t="s">
        <v>14752</v>
      </c>
      <c r="B360" s="11">
        <v>1.0</v>
      </c>
      <c r="C360" s="81">
        <v>6541.0</v>
      </c>
      <c r="D360" s="81"/>
      <c r="E360" s="126"/>
      <c r="F360" s="201"/>
      <c r="G360" s="126"/>
      <c r="H360" s="126"/>
      <c r="I360" s="126"/>
    </row>
    <row r="361">
      <c r="A361" s="21" t="s">
        <v>14753</v>
      </c>
      <c r="B361" s="11">
        <v>1.0</v>
      </c>
      <c r="C361" s="81">
        <v>6541.0</v>
      </c>
      <c r="D361" s="81"/>
      <c r="E361" s="126"/>
      <c r="F361" s="201"/>
      <c r="G361" s="126"/>
      <c r="H361" s="126"/>
      <c r="I361" s="126"/>
    </row>
    <row r="362">
      <c r="A362" s="21" t="s">
        <v>14754</v>
      </c>
      <c r="B362" s="11">
        <v>1.0</v>
      </c>
      <c r="C362" s="81">
        <v>6541.0</v>
      </c>
      <c r="D362" s="81"/>
      <c r="E362" s="126"/>
      <c r="F362" s="201"/>
      <c r="G362" s="126"/>
      <c r="H362" s="126"/>
      <c r="I362" s="126"/>
    </row>
    <row r="363">
      <c r="A363" s="21" t="s">
        <v>14755</v>
      </c>
      <c r="B363" s="11">
        <v>1.0</v>
      </c>
      <c r="C363" s="81">
        <v>6541.0</v>
      </c>
      <c r="D363" s="81"/>
      <c r="E363" s="126"/>
      <c r="F363" s="201"/>
      <c r="G363" s="126"/>
      <c r="H363" s="126"/>
      <c r="I363" s="126"/>
    </row>
    <row r="364">
      <c r="A364" s="21" t="s">
        <v>14756</v>
      </c>
      <c r="B364" s="11">
        <v>1.0</v>
      </c>
      <c r="C364" s="81">
        <v>6541.0</v>
      </c>
      <c r="D364" s="81"/>
      <c r="E364" s="126"/>
      <c r="F364" s="201"/>
      <c r="G364" s="126"/>
      <c r="H364" s="126"/>
      <c r="I364" s="126"/>
    </row>
    <row r="365">
      <c r="A365" s="21" t="s">
        <v>14757</v>
      </c>
      <c r="B365" s="11">
        <v>1.0</v>
      </c>
      <c r="C365" s="81">
        <v>6541.0</v>
      </c>
      <c r="D365" s="81"/>
      <c r="E365" s="126"/>
      <c r="F365" s="201"/>
      <c r="G365" s="126"/>
      <c r="H365" s="126"/>
      <c r="I365" s="126"/>
    </row>
    <row r="366">
      <c r="A366" s="21" t="s">
        <v>14758</v>
      </c>
      <c r="B366" s="11">
        <v>1.0</v>
      </c>
      <c r="C366" s="81">
        <v>6541.0</v>
      </c>
      <c r="D366" s="81"/>
      <c r="E366" s="126"/>
      <c r="F366" s="201"/>
      <c r="G366" s="126"/>
      <c r="H366" s="126"/>
      <c r="I366" s="126"/>
    </row>
    <row r="367">
      <c r="A367" s="21" t="s">
        <v>14759</v>
      </c>
      <c r="B367" s="11">
        <v>1.0</v>
      </c>
      <c r="C367" s="81">
        <v>6541.0</v>
      </c>
      <c r="D367" s="81"/>
      <c r="E367" s="126"/>
      <c r="F367" s="201"/>
      <c r="G367" s="126"/>
      <c r="H367" s="126"/>
      <c r="I367" s="126"/>
    </row>
    <row r="368">
      <c r="A368" s="21" t="s">
        <v>14760</v>
      </c>
      <c r="B368" s="11">
        <v>1.0</v>
      </c>
      <c r="C368" s="81">
        <v>6541.0</v>
      </c>
      <c r="D368" s="81"/>
      <c r="E368" s="126"/>
      <c r="F368" s="201"/>
      <c r="G368" s="126"/>
      <c r="H368" s="126"/>
      <c r="I368" s="126"/>
    </row>
    <row r="369">
      <c r="A369" s="21" t="s">
        <v>14761</v>
      </c>
      <c r="B369" s="11">
        <v>1.0</v>
      </c>
      <c r="C369" s="81">
        <v>6541.0</v>
      </c>
      <c r="D369" s="81"/>
      <c r="E369" s="126"/>
      <c r="F369" s="201"/>
      <c r="G369" s="126"/>
      <c r="H369" s="126"/>
      <c r="I369" s="126"/>
    </row>
    <row r="370">
      <c r="A370" s="21" t="s">
        <v>14762</v>
      </c>
      <c r="B370" s="11">
        <v>1.0</v>
      </c>
      <c r="C370" s="81">
        <v>6541.0</v>
      </c>
      <c r="D370" s="81"/>
      <c r="E370" s="126"/>
      <c r="F370" s="201"/>
      <c r="G370" s="126"/>
      <c r="H370" s="126"/>
      <c r="I370" s="126"/>
    </row>
    <row r="371">
      <c r="A371" s="21" t="s">
        <v>14763</v>
      </c>
      <c r="B371" s="11">
        <v>1.0</v>
      </c>
      <c r="C371" s="81">
        <v>6541.0</v>
      </c>
      <c r="D371" s="81"/>
      <c r="E371" s="126"/>
      <c r="F371" s="201"/>
      <c r="G371" s="126"/>
      <c r="H371" s="126"/>
      <c r="I371" s="126"/>
    </row>
    <row r="372">
      <c r="A372" s="21" t="s">
        <v>14764</v>
      </c>
      <c r="B372" s="11">
        <v>1.0</v>
      </c>
      <c r="C372" s="81">
        <v>6541.0</v>
      </c>
      <c r="D372" s="81"/>
      <c r="E372" s="126"/>
      <c r="F372" s="201"/>
      <c r="G372" s="126"/>
      <c r="H372" s="126"/>
      <c r="I372" s="126"/>
    </row>
    <row r="373">
      <c r="A373" s="21" t="s">
        <v>14765</v>
      </c>
      <c r="B373" s="11">
        <v>1.0</v>
      </c>
      <c r="C373" s="81">
        <v>6541.0</v>
      </c>
      <c r="D373" s="81"/>
      <c r="E373" s="126"/>
      <c r="F373" s="201"/>
      <c r="G373" s="126"/>
      <c r="H373" s="126"/>
      <c r="I373" s="126"/>
    </row>
    <row r="374">
      <c r="A374" s="21" t="s">
        <v>14766</v>
      </c>
      <c r="B374" s="11">
        <v>1.0</v>
      </c>
      <c r="C374" s="81">
        <v>6541.0</v>
      </c>
      <c r="D374" s="81"/>
      <c r="E374" s="126"/>
      <c r="F374" s="201"/>
      <c r="G374" s="126"/>
      <c r="H374" s="126"/>
      <c r="I374" s="126"/>
    </row>
    <row r="375">
      <c r="A375" s="21" t="s">
        <v>14767</v>
      </c>
      <c r="B375" s="11">
        <v>1.0</v>
      </c>
      <c r="C375" s="81">
        <v>6541.0</v>
      </c>
      <c r="D375" s="81"/>
      <c r="E375" s="126"/>
      <c r="F375" s="201"/>
      <c r="G375" s="126"/>
      <c r="H375" s="126"/>
      <c r="I375" s="126"/>
    </row>
    <row r="376">
      <c r="A376" s="21" t="s">
        <v>14768</v>
      </c>
      <c r="B376" s="11">
        <v>1.0</v>
      </c>
      <c r="C376" s="81">
        <v>6541.0</v>
      </c>
      <c r="D376" s="81"/>
      <c r="E376" s="126"/>
      <c r="F376" s="201"/>
      <c r="G376" s="126"/>
      <c r="H376" s="126"/>
      <c r="I376" s="126"/>
    </row>
    <row r="377">
      <c r="A377" s="21" t="s">
        <v>14769</v>
      </c>
      <c r="B377" s="11">
        <v>1.0</v>
      </c>
      <c r="C377" s="11">
        <v>6827.0</v>
      </c>
      <c r="D377" s="81"/>
      <c r="E377" s="126"/>
      <c r="F377" s="201"/>
      <c r="G377" s="126"/>
      <c r="H377" s="126"/>
      <c r="I377" s="126"/>
    </row>
    <row r="378">
      <c r="A378" s="21" t="s">
        <v>14770</v>
      </c>
      <c r="B378" s="11">
        <v>1.0</v>
      </c>
      <c r="C378" s="11">
        <v>6827.0</v>
      </c>
      <c r="D378" s="81"/>
      <c r="E378" s="126"/>
      <c r="F378" s="201"/>
      <c r="G378" s="126"/>
      <c r="H378" s="126"/>
      <c r="I378" s="126"/>
    </row>
    <row r="379">
      <c r="A379" s="21" t="s">
        <v>14771</v>
      </c>
      <c r="B379" s="11">
        <v>1.0</v>
      </c>
      <c r="C379" s="11">
        <v>7072.0</v>
      </c>
      <c r="D379" s="81"/>
      <c r="E379" s="126"/>
      <c r="F379" s="201"/>
      <c r="G379" s="126"/>
      <c r="H379" s="126"/>
      <c r="I379" s="126"/>
    </row>
    <row r="380">
      <c r="A380" s="21" t="s">
        <v>14772</v>
      </c>
      <c r="B380" s="11">
        <v>1.0</v>
      </c>
      <c r="C380" s="11">
        <v>7072.0</v>
      </c>
      <c r="D380" s="81"/>
      <c r="E380" s="126"/>
      <c r="F380" s="201"/>
      <c r="G380" s="126"/>
      <c r="H380" s="126"/>
      <c r="I380" s="126"/>
    </row>
    <row r="381">
      <c r="A381" s="21" t="s">
        <v>14773</v>
      </c>
      <c r="B381" s="11">
        <v>1.0</v>
      </c>
      <c r="C381" s="11">
        <v>7055.0</v>
      </c>
      <c r="D381" s="81"/>
      <c r="E381" s="126"/>
      <c r="F381" s="201"/>
      <c r="G381" s="126"/>
      <c r="H381" s="126"/>
      <c r="I381" s="126"/>
    </row>
    <row r="382">
      <c r="A382" s="21" t="s">
        <v>14774</v>
      </c>
      <c r="B382" s="11">
        <v>1.0</v>
      </c>
      <c r="C382" s="11">
        <v>3642.0</v>
      </c>
      <c r="D382" s="11">
        <v>7084.0</v>
      </c>
      <c r="E382" s="126"/>
      <c r="F382" s="201"/>
      <c r="G382" s="126"/>
      <c r="H382" s="126"/>
      <c r="I382" s="126"/>
    </row>
    <row r="383">
      <c r="A383" s="21" t="s">
        <v>14775</v>
      </c>
      <c r="B383" s="11">
        <v>1.0</v>
      </c>
      <c r="C383" s="11">
        <v>7168.0</v>
      </c>
      <c r="D383" s="11">
        <v>7098.0</v>
      </c>
      <c r="E383" s="126"/>
      <c r="F383" s="201"/>
      <c r="G383" s="126"/>
      <c r="H383" s="126"/>
      <c r="I383" s="126"/>
    </row>
    <row r="384">
      <c r="A384" s="21" t="s">
        <v>14776</v>
      </c>
      <c r="B384" s="11">
        <v>1.0</v>
      </c>
      <c r="C384" s="81">
        <v>6936.0</v>
      </c>
      <c r="D384" s="81"/>
      <c r="E384" s="126"/>
      <c r="F384" s="201"/>
      <c r="G384" s="126"/>
      <c r="H384" s="126"/>
      <c r="I384" s="126"/>
    </row>
    <row r="385">
      <c r="A385" s="21" t="s">
        <v>14777</v>
      </c>
      <c r="B385" s="11">
        <v>1.0</v>
      </c>
      <c r="C385" s="11">
        <v>7168.0</v>
      </c>
      <c r="D385" s="11">
        <v>7098.0</v>
      </c>
      <c r="E385" s="126"/>
      <c r="F385" s="201"/>
      <c r="G385" s="126"/>
      <c r="H385" s="126"/>
      <c r="I385" s="126"/>
    </row>
    <row r="386">
      <c r="A386" s="21" t="s">
        <v>14778</v>
      </c>
      <c r="B386" s="11">
        <v>1.0</v>
      </c>
      <c r="C386" s="11">
        <v>7055.0</v>
      </c>
      <c r="D386" s="81"/>
      <c r="E386" s="126"/>
      <c r="F386" s="201"/>
      <c r="G386" s="126"/>
      <c r="H386" s="126"/>
      <c r="I386" s="126"/>
    </row>
    <row r="387">
      <c r="A387" s="21" t="s">
        <v>14779</v>
      </c>
      <c r="B387" s="11">
        <v>1.0</v>
      </c>
      <c r="C387" s="11">
        <v>7054.0</v>
      </c>
      <c r="D387" s="81"/>
      <c r="E387" s="126"/>
      <c r="F387" s="201"/>
      <c r="G387" s="126"/>
      <c r="H387" s="126"/>
      <c r="I387" s="126"/>
    </row>
    <row r="388">
      <c r="A388" s="21" t="s">
        <v>14780</v>
      </c>
      <c r="B388" s="11">
        <v>1.0</v>
      </c>
      <c r="C388" s="11">
        <v>7057.0</v>
      </c>
      <c r="D388" s="81"/>
      <c r="E388" s="126"/>
      <c r="F388" s="201"/>
      <c r="G388" s="126"/>
      <c r="H388" s="126"/>
      <c r="I388" s="126"/>
    </row>
    <row r="389">
      <c r="A389" s="21" t="s">
        <v>14781</v>
      </c>
      <c r="B389" s="11">
        <v>1.0</v>
      </c>
      <c r="C389" s="122">
        <v>6780.0</v>
      </c>
      <c r="D389" s="81"/>
      <c r="E389" s="126"/>
      <c r="F389" s="201"/>
      <c r="G389" s="126"/>
      <c r="H389" s="126"/>
      <c r="I389" s="126"/>
    </row>
    <row r="390">
      <c r="A390" s="21" t="s">
        <v>14782</v>
      </c>
      <c r="B390" s="11">
        <v>1.0</v>
      </c>
      <c r="C390" s="81">
        <v>7073.0</v>
      </c>
      <c r="D390" s="81"/>
      <c r="E390" s="126"/>
      <c r="F390" s="201"/>
      <c r="G390" s="126"/>
      <c r="H390" s="126"/>
      <c r="I390" s="126"/>
    </row>
    <row r="391">
      <c r="A391" s="21" t="s">
        <v>14783</v>
      </c>
      <c r="B391" s="11">
        <v>1.0</v>
      </c>
      <c r="C391" s="81">
        <v>7073.0</v>
      </c>
      <c r="D391" s="81"/>
      <c r="E391" s="126"/>
      <c r="F391" s="201"/>
      <c r="G391" s="126"/>
      <c r="H391" s="126"/>
      <c r="I391" s="126"/>
    </row>
    <row r="392">
      <c r="A392" s="21" t="s">
        <v>14784</v>
      </c>
      <c r="B392" s="11">
        <v>1.0</v>
      </c>
      <c r="C392" s="81">
        <v>7073.0</v>
      </c>
      <c r="D392" s="81"/>
      <c r="E392" s="126"/>
      <c r="F392" s="201"/>
      <c r="G392" s="126"/>
      <c r="H392" s="126"/>
      <c r="I392" s="126"/>
    </row>
    <row r="393">
      <c r="A393" s="21" t="s">
        <v>14785</v>
      </c>
      <c r="B393" s="11">
        <v>1.0</v>
      </c>
      <c r="C393" s="81">
        <v>6898.0</v>
      </c>
      <c r="D393" s="81"/>
      <c r="E393" s="126"/>
      <c r="F393" s="201"/>
      <c r="G393" s="126"/>
      <c r="H393" s="126"/>
      <c r="I393" s="126"/>
    </row>
    <row r="394">
      <c r="A394" s="21" t="s">
        <v>14786</v>
      </c>
      <c r="B394" s="11">
        <v>1.0</v>
      </c>
      <c r="C394" s="81">
        <v>6898.0</v>
      </c>
      <c r="D394" s="81"/>
      <c r="E394" s="126"/>
      <c r="F394" s="201"/>
      <c r="G394" s="126"/>
      <c r="H394" s="126"/>
      <c r="I394" s="126"/>
    </row>
    <row r="395">
      <c r="A395" s="21" t="s">
        <v>14787</v>
      </c>
      <c r="B395" s="11">
        <v>1.0</v>
      </c>
      <c r="C395" s="81">
        <v>6898.0</v>
      </c>
      <c r="D395" s="81"/>
      <c r="E395" s="126"/>
      <c r="F395" s="201"/>
      <c r="G395" s="126"/>
      <c r="H395" s="126"/>
      <c r="I395" s="126"/>
    </row>
    <row r="396">
      <c r="A396" s="21" t="s">
        <v>14788</v>
      </c>
      <c r="B396" s="11">
        <v>1.0</v>
      </c>
      <c r="C396" s="81">
        <v>6944.0</v>
      </c>
      <c r="D396" s="81"/>
      <c r="E396" s="126"/>
      <c r="F396" s="201"/>
      <c r="G396" s="126"/>
      <c r="H396" s="126"/>
      <c r="I396" s="126"/>
    </row>
    <row r="397">
      <c r="A397" s="21" t="s">
        <v>14789</v>
      </c>
      <c r="B397" s="11">
        <v>1.0</v>
      </c>
      <c r="C397" s="81">
        <v>7073.0</v>
      </c>
      <c r="D397" s="81"/>
      <c r="E397" s="126"/>
      <c r="F397" s="201"/>
      <c r="G397" s="126"/>
      <c r="H397" s="126"/>
      <c r="I397" s="126"/>
    </row>
    <row r="398">
      <c r="A398" s="21" t="s">
        <v>14790</v>
      </c>
      <c r="B398" s="11">
        <v>1.0</v>
      </c>
      <c r="C398" s="81">
        <v>6947.0</v>
      </c>
      <c r="D398" s="81"/>
      <c r="E398" s="126"/>
      <c r="F398" s="201"/>
      <c r="G398" s="126"/>
      <c r="H398" s="126"/>
      <c r="I398" s="126"/>
    </row>
    <row r="399">
      <c r="A399" s="21" t="s">
        <v>14791</v>
      </c>
      <c r="B399" s="11">
        <v>1.0</v>
      </c>
      <c r="C399" s="81">
        <v>6947.0</v>
      </c>
      <c r="D399" s="81"/>
      <c r="E399" s="126"/>
      <c r="F399" s="201"/>
      <c r="G399" s="126"/>
      <c r="H399" s="126"/>
      <c r="I399" s="126"/>
    </row>
    <row r="400">
      <c r="A400" s="21" t="s">
        <v>14792</v>
      </c>
      <c r="B400" s="11">
        <v>1.0</v>
      </c>
      <c r="C400" s="81">
        <v>7023.0</v>
      </c>
      <c r="D400" s="81"/>
      <c r="E400" s="126"/>
      <c r="F400" s="201"/>
      <c r="G400" s="126"/>
      <c r="H400" s="126"/>
      <c r="I400" s="126"/>
    </row>
    <row r="401">
      <c r="A401" s="21" t="s">
        <v>14793</v>
      </c>
      <c r="B401" s="11">
        <v>1.0</v>
      </c>
      <c r="C401" s="81">
        <v>7049.0</v>
      </c>
      <c r="D401" s="81"/>
      <c r="E401" s="126"/>
      <c r="F401" s="201"/>
      <c r="G401" s="126"/>
      <c r="H401" s="126"/>
      <c r="I401" s="126"/>
    </row>
    <row r="402">
      <c r="A402" s="21" t="s">
        <v>14794</v>
      </c>
      <c r="B402" s="11">
        <v>1.0</v>
      </c>
      <c r="C402" s="81">
        <v>136.0</v>
      </c>
      <c r="D402" s="81"/>
      <c r="E402" s="126"/>
      <c r="F402" s="201"/>
      <c r="G402" s="126"/>
      <c r="H402" s="126"/>
      <c r="I402" s="126"/>
    </row>
    <row r="403">
      <c r="A403" s="21" t="s">
        <v>14795</v>
      </c>
      <c r="B403" s="11">
        <v>1.0</v>
      </c>
      <c r="C403" s="81">
        <v>6751.0</v>
      </c>
      <c r="D403" s="81"/>
      <c r="E403" s="126"/>
      <c r="F403" s="201"/>
      <c r="G403" s="126"/>
      <c r="H403" s="126"/>
      <c r="I403" s="126"/>
    </row>
    <row r="404">
      <c r="A404" s="21" t="s">
        <v>14796</v>
      </c>
      <c r="B404" s="11">
        <v>1.0</v>
      </c>
      <c r="C404" s="11">
        <v>315.0</v>
      </c>
      <c r="D404" s="81"/>
      <c r="E404" s="126"/>
      <c r="F404" s="201"/>
      <c r="G404" s="126"/>
      <c r="H404" s="126"/>
      <c r="I404" s="126"/>
    </row>
    <row r="405">
      <c r="A405" s="21" t="s">
        <v>14797</v>
      </c>
      <c r="B405" s="11">
        <v>1.0</v>
      </c>
      <c r="C405" s="81">
        <v>6664.0</v>
      </c>
      <c r="D405" s="81"/>
      <c r="E405" s="126"/>
      <c r="F405" s="201"/>
      <c r="G405" s="126"/>
      <c r="H405" s="126"/>
      <c r="I405" s="126"/>
    </row>
    <row r="406">
      <c r="A406" s="21" t="s">
        <v>14798</v>
      </c>
      <c r="B406" s="11">
        <v>1.0</v>
      </c>
      <c r="C406" s="81">
        <v>6664.0</v>
      </c>
      <c r="D406" s="81"/>
      <c r="E406" s="126"/>
      <c r="F406" s="201"/>
      <c r="G406" s="126"/>
      <c r="H406" s="126"/>
      <c r="I406" s="126"/>
    </row>
    <row r="407">
      <c r="A407" s="21" t="s">
        <v>14799</v>
      </c>
      <c r="B407" s="11">
        <v>1.0</v>
      </c>
      <c r="C407" s="81">
        <v>6664.0</v>
      </c>
      <c r="D407" s="81"/>
      <c r="E407" s="126"/>
      <c r="F407" s="201"/>
      <c r="G407" s="126"/>
      <c r="H407" s="126"/>
      <c r="I407" s="126"/>
    </row>
    <row r="408">
      <c r="A408" s="21" t="s">
        <v>14800</v>
      </c>
      <c r="B408" s="11">
        <v>1.0</v>
      </c>
      <c r="C408" s="81">
        <v>6664.0</v>
      </c>
      <c r="D408" s="81"/>
      <c r="E408" s="126"/>
      <c r="F408" s="201"/>
      <c r="G408" s="126"/>
      <c r="H408" s="126"/>
      <c r="I408" s="126"/>
    </row>
    <row r="409">
      <c r="A409" s="21" t="s">
        <v>14801</v>
      </c>
      <c r="B409" s="11">
        <v>1.0</v>
      </c>
      <c r="C409" s="81">
        <v>6664.0</v>
      </c>
      <c r="D409" s="81"/>
      <c r="E409" s="126"/>
      <c r="F409" s="201"/>
      <c r="G409" s="126"/>
      <c r="H409" s="126"/>
      <c r="I409" s="126"/>
    </row>
    <row r="410">
      <c r="A410" s="21" t="s">
        <v>14802</v>
      </c>
      <c r="B410" s="11">
        <v>1.0</v>
      </c>
      <c r="C410" s="81">
        <v>6664.0</v>
      </c>
      <c r="D410" s="81"/>
      <c r="E410" s="126"/>
      <c r="F410" s="201"/>
      <c r="G410" s="126"/>
      <c r="H410" s="126"/>
      <c r="I410" s="126"/>
    </row>
    <row r="411">
      <c r="A411" s="21" t="s">
        <v>14803</v>
      </c>
      <c r="B411" s="11">
        <v>1.0</v>
      </c>
      <c r="C411" s="81">
        <v>6664.0</v>
      </c>
      <c r="D411" s="81"/>
      <c r="E411" s="126"/>
      <c r="F411" s="201"/>
      <c r="G411" s="126"/>
      <c r="H411" s="126"/>
      <c r="I411" s="126"/>
    </row>
    <row r="412">
      <c r="A412" s="21" t="s">
        <v>14804</v>
      </c>
      <c r="B412" s="11">
        <v>1.0</v>
      </c>
      <c r="C412" s="81">
        <v>6664.0</v>
      </c>
      <c r="D412" s="81"/>
      <c r="E412" s="126"/>
      <c r="F412" s="201"/>
      <c r="G412" s="126"/>
      <c r="H412" s="126"/>
      <c r="I412" s="126"/>
    </row>
    <row r="413">
      <c r="A413" s="21" t="s">
        <v>14805</v>
      </c>
      <c r="B413" s="11">
        <v>1.0</v>
      </c>
      <c r="C413" s="81">
        <v>6664.0</v>
      </c>
      <c r="D413" s="81"/>
      <c r="E413" s="126"/>
      <c r="F413" s="201"/>
      <c r="G413" s="126"/>
      <c r="H413" s="126"/>
      <c r="I413" s="126"/>
    </row>
    <row r="414">
      <c r="A414" s="21" t="s">
        <v>14806</v>
      </c>
      <c r="B414" s="11">
        <v>1.0</v>
      </c>
      <c r="C414" s="81">
        <v>6664.0</v>
      </c>
      <c r="D414" s="81"/>
      <c r="E414" s="126"/>
      <c r="F414" s="201"/>
      <c r="G414" s="126"/>
      <c r="H414" s="126"/>
      <c r="I414" s="126"/>
    </row>
    <row r="415">
      <c r="A415" s="21" t="s">
        <v>14807</v>
      </c>
      <c r="B415" s="11">
        <v>1.0</v>
      </c>
      <c r="C415" s="81">
        <v>6664.0</v>
      </c>
      <c r="D415" s="81"/>
      <c r="E415" s="126"/>
      <c r="F415" s="201"/>
      <c r="G415" s="126"/>
      <c r="H415" s="126"/>
      <c r="I415" s="126"/>
    </row>
    <row r="416">
      <c r="A416" s="21" t="s">
        <v>14808</v>
      </c>
      <c r="B416" s="11">
        <v>1.0</v>
      </c>
      <c r="C416" s="81">
        <v>6664.0</v>
      </c>
      <c r="D416" s="81"/>
      <c r="E416" s="126"/>
      <c r="F416" s="201"/>
      <c r="G416" s="126"/>
      <c r="H416" s="126"/>
      <c r="I416" s="126"/>
    </row>
    <row r="417">
      <c r="A417" s="21" t="s">
        <v>14809</v>
      </c>
      <c r="B417" s="11">
        <v>1.0</v>
      </c>
      <c r="C417" s="81">
        <v>489.0</v>
      </c>
      <c r="D417" s="81"/>
      <c r="E417" s="126"/>
      <c r="F417" s="201"/>
      <c r="G417" s="126"/>
      <c r="H417" s="126"/>
      <c r="I417" s="126"/>
    </row>
    <row r="418">
      <c r="A418" s="21" t="s">
        <v>14810</v>
      </c>
      <c r="B418" s="11">
        <v>1.0</v>
      </c>
      <c r="C418" s="81">
        <v>489.0</v>
      </c>
      <c r="D418" s="81"/>
      <c r="E418" s="126"/>
      <c r="F418" s="201"/>
      <c r="G418" s="126"/>
      <c r="H418" s="126"/>
      <c r="I418" s="126"/>
    </row>
    <row r="419">
      <c r="A419" s="21" t="s">
        <v>14811</v>
      </c>
      <c r="B419" s="11">
        <v>1.0</v>
      </c>
      <c r="C419" s="11">
        <v>7199.0</v>
      </c>
      <c r="D419" s="11">
        <v>6779.0</v>
      </c>
      <c r="E419" s="126"/>
      <c r="F419" s="201"/>
      <c r="G419" s="126"/>
      <c r="H419" s="126"/>
      <c r="I419" s="126"/>
    </row>
    <row r="420">
      <c r="A420" s="21" t="s">
        <v>14812</v>
      </c>
      <c r="B420" s="11">
        <v>1.0</v>
      </c>
      <c r="C420" s="11">
        <v>6107.0</v>
      </c>
      <c r="D420" s="81"/>
      <c r="E420" s="126"/>
      <c r="F420" s="201"/>
      <c r="G420" s="126"/>
      <c r="H420" s="126"/>
      <c r="I420" s="126"/>
    </row>
    <row r="421">
      <c r="A421" s="21" t="s">
        <v>14813</v>
      </c>
      <c r="B421" s="11">
        <v>1.0</v>
      </c>
      <c r="C421" s="11">
        <v>6780.0</v>
      </c>
      <c r="D421" s="81"/>
      <c r="E421" s="126"/>
      <c r="F421" s="201"/>
      <c r="G421" s="126"/>
      <c r="H421" s="126"/>
      <c r="I421" s="126"/>
    </row>
    <row r="422">
      <c r="A422" s="21" t="s">
        <v>14814</v>
      </c>
      <c r="B422" s="11">
        <v>1.0</v>
      </c>
      <c r="C422" s="11">
        <v>6779.0</v>
      </c>
      <c r="D422" s="81"/>
      <c r="E422" s="126"/>
      <c r="F422" s="201"/>
      <c r="G422" s="126"/>
      <c r="H422" s="126"/>
      <c r="I422" s="126"/>
    </row>
    <row r="423">
      <c r="A423" s="21" t="s">
        <v>14815</v>
      </c>
      <c r="B423" s="11">
        <v>1.0</v>
      </c>
      <c r="C423" s="11">
        <v>6799.0</v>
      </c>
      <c r="D423" s="81"/>
      <c r="E423" s="126"/>
      <c r="F423" s="201"/>
      <c r="G423" s="126"/>
      <c r="H423" s="126"/>
      <c r="I423" s="126"/>
    </row>
    <row r="424">
      <c r="A424" s="21" t="s">
        <v>14816</v>
      </c>
      <c r="B424" s="11">
        <v>1.0</v>
      </c>
      <c r="C424" s="11">
        <v>5421.0</v>
      </c>
      <c r="D424" s="81"/>
      <c r="E424" s="126"/>
      <c r="F424" s="201"/>
      <c r="G424" s="126"/>
      <c r="H424" s="126"/>
      <c r="I424" s="126"/>
    </row>
    <row r="425">
      <c r="A425" s="21" t="s">
        <v>14817</v>
      </c>
      <c r="B425" s="11">
        <v>1.0</v>
      </c>
      <c r="C425" s="11">
        <v>5421.0</v>
      </c>
      <c r="D425" s="81"/>
      <c r="E425" s="126"/>
      <c r="F425" s="201"/>
      <c r="G425" s="126"/>
      <c r="H425" s="126"/>
      <c r="I425" s="126"/>
    </row>
    <row r="426">
      <c r="A426" s="21" t="s">
        <v>14818</v>
      </c>
      <c r="B426" s="11">
        <v>1.0</v>
      </c>
      <c r="C426" s="11">
        <v>5421.0</v>
      </c>
      <c r="D426" s="81"/>
      <c r="E426" s="126"/>
      <c r="F426" s="201"/>
      <c r="G426" s="126"/>
      <c r="H426" s="126"/>
      <c r="I426" s="126"/>
    </row>
    <row r="427">
      <c r="A427" s="21" t="s">
        <v>14819</v>
      </c>
      <c r="B427" s="11">
        <v>1.0</v>
      </c>
      <c r="C427" s="11">
        <v>7033.0</v>
      </c>
      <c r="D427" s="11">
        <v>6779.0</v>
      </c>
      <c r="E427" s="126"/>
      <c r="F427" s="201"/>
      <c r="G427" s="126"/>
      <c r="H427" s="126"/>
      <c r="I427" s="126"/>
    </row>
    <row r="428">
      <c r="A428" s="21" t="s">
        <v>14820</v>
      </c>
      <c r="B428" s="11">
        <v>1.0</v>
      </c>
      <c r="C428" s="11">
        <v>4687.0</v>
      </c>
      <c r="D428" s="81"/>
      <c r="E428" s="126"/>
      <c r="F428" s="201"/>
      <c r="G428" s="126"/>
      <c r="H428" s="126"/>
      <c r="I428" s="126"/>
    </row>
    <row r="429">
      <c r="A429" s="21" t="s">
        <v>14821</v>
      </c>
      <c r="B429" s="11">
        <v>1.0</v>
      </c>
      <c r="C429" s="11">
        <v>4687.0</v>
      </c>
      <c r="D429" s="81"/>
      <c r="E429" s="126"/>
      <c r="F429" s="201"/>
      <c r="G429" s="126"/>
      <c r="H429" s="126"/>
      <c r="I429" s="126"/>
    </row>
    <row r="430">
      <c r="A430" s="21" t="s">
        <v>14822</v>
      </c>
      <c r="B430" s="11">
        <v>1.0</v>
      </c>
      <c r="C430" s="11">
        <v>4687.0</v>
      </c>
      <c r="D430" s="81"/>
      <c r="E430" s="126"/>
      <c r="F430" s="201"/>
      <c r="G430" s="126"/>
      <c r="H430" s="126"/>
      <c r="I430" s="126"/>
    </row>
    <row r="431">
      <c r="A431" s="21" t="s">
        <v>14823</v>
      </c>
      <c r="B431" s="11">
        <v>1.0</v>
      </c>
      <c r="C431" s="11">
        <v>4687.0</v>
      </c>
      <c r="D431" s="81"/>
      <c r="E431" s="126"/>
      <c r="F431" s="201"/>
      <c r="G431" s="126"/>
      <c r="H431" s="126"/>
      <c r="I431" s="126"/>
    </row>
    <row r="432">
      <c r="A432" s="21" t="s">
        <v>14824</v>
      </c>
      <c r="B432" s="11">
        <v>1.0</v>
      </c>
      <c r="C432" s="11">
        <v>4687.0</v>
      </c>
      <c r="D432" s="81"/>
      <c r="E432" s="126"/>
      <c r="F432" s="201"/>
      <c r="G432" s="126"/>
      <c r="H432" s="126"/>
      <c r="I432" s="126"/>
    </row>
    <row r="433">
      <c r="A433" s="21" t="s">
        <v>14825</v>
      </c>
      <c r="B433" s="11">
        <v>1.0</v>
      </c>
      <c r="C433" s="11">
        <v>4687.0</v>
      </c>
      <c r="D433" s="81"/>
      <c r="E433" s="126"/>
      <c r="F433" s="201"/>
      <c r="G433" s="126"/>
      <c r="H433" s="126"/>
      <c r="I433" s="126"/>
    </row>
    <row r="434">
      <c r="A434" s="21" t="s">
        <v>14826</v>
      </c>
      <c r="B434" s="11">
        <v>1.0</v>
      </c>
      <c r="C434" s="11">
        <v>4687.0</v>
      </c>
      <c r="D434" s="81"/>
      <c r="E434" s="126"/>
      <c r="F434" s="201"/>
      <c r="G434" s="126"/>
      <c r="H434" s="126"/>
      <c r="I434" s="126"/>
    </row>
    <row r="435">
      <c r="A435" s="21" t="s">
        <v>14827</v>
      </c>
      <c r="B435" s="11">
        <v>1.0</v>
      </c>
      <c r="C435" s="11">
        <v>4687.0</v>
      </c>
      <c r="D435" s="81"/>
      <c r="E435" s="126"/>
      <c r="F435" s="201"/>
      <c r="G435" s="126"/>
      <c r="H435" s="126"/>
      <c r="I435" s="126"/>
    </row>
    <row r="436">
      <c r="A436" s="21" t="s">
        <v>14828</v>
      </c>
      <c r="B436" s="11">
        <v>1.0</v>
      </c>
      <c r="C436" s="11">
        <v>4687.0</v>
      </c>
      <c r="D436" s="81"/>
      <c r="E436" s="126"/>
      <c r="F436" s="201"/>
      <c r="G436" s="126"/>
      <c r="H436" s="126"/>
      <c r="I436" s="126"/>
    </row>
    <row r="437">
      <c r="A437" s="21" t="s">
        <v>14829</v>
      </c>
      <c r="B437" s="11">
        <v>1.0</v>
      </c>
      <c r="C437" s="11">
        <v>4687.0</v>
      </c>
      <c r="D437" s="81"/>
      <c r="E437" s="126"/>
      <c r="F437" s="201"/>
      <c r="G437" s="126"/>
      <c r="H437" s="126"/>
      <c r="I437" s="126"/>
    </row>
    <row r="438">
      <c r="A438" s="21" t="s">
        <v>14830</v>
      </c>
      <c r="B438" s="11">
        <v>1.0</v>
      </c>
      <c r="C438" s="11">
        <v>4687.0</v>
      </c>
      <c r="D438" s="81"/>
      <c r="E438" s="126"/>
      <c r="F438" s="201"/>
      <c r="G438" s="126"/>
      <c r="H438" s="126"/>
      <c r="I438" s="126"/>
    </row>
    <row r="439">
      <c r="A439" s="21" t="s">
        <v>14831</v>
      </c>
      <c r="B439" s="11">
        <v>1.0</v>
      </c>
      <c r="C439" s="11">
        <v>4687.0</v>
      </c>
      <c r="D439" s="81"/>
      <c r="E439" s="126"/>
      <c r="F439" s="201"/>
      <c r="G439" s="126"/>
      <c r="H439" s="126"/>
      <c r="I439" s="126"/>
    </row>
    <row r="440">
      <c r="A440" s="21" t="s">
        <v>14832</v>
      </c>
      <c r="B440" s="11">
        <v>1.0</v>
      </c>
      <c r="C440" s="11">
        <v>4687.0</v>
      </c>
      <c r="D440" s="81"/>
      <c r="E440" s="126"/>
      <c r="F440" s="201"/>
      <c r="G440" s="126"/>
      <c r="H440" s="126"/>
      <c r="I440" s="126"/>
    </row>
    <row r="441">
      <c r="A441" s="21" t="s">
        <v>14833</v>
      </c>
      <c r="B441" s="11">
        <v>1.0</v>
      </c>
      <c r="C441" s="11">
        <v>4687.0</v>
      </c>
      <c r="D441" s="81"/>
      <c r="E441" s="126"/>
      <c r="F441" s="201"/>
      <c r="G441" s="126"/>
      <c r="H441" s="126"/>
      <c r="I441" s="126"/>
    </row>
    <row r="442">
      <c r="A442" s="21" t="s">
        <v>14834</v>
      </c>
      <c r="B442" s="11">
        <v>1.0</v>
      </c>
      <c r="C442" s="11">
        <v>4687.0</v>
      </c>
      <c r="D442" s="81"/>
      <c r="E442" s="126"/>
      <c r="F442" s="201"/>
      <c r="G442" s="126"/>
      <c r="H442" s="126"/>
      <c r="I442" s="126"/>
    </row>
    <row r="443">
      <c r="A443" s="21" t="s">
        <v>14835</v>
      </c>
      <c r="B443" s="11">
        <v>1.0</v>
      </c>
      <c r="C443" s="11">
        <v>4687.0</v>
      </c>
      <c r="D443" s="81"/>
      <c r="E443" s="126"/>
      <c r="F443" s="201"/>
      <c r="G443" s="126"/>
      <c r="H443" s="126"/>
      <c r="I443" s="126"/>
    </row>
    <row r="444">
      <c r="A444" s="21" t="s">
        <v>14836</v>
      </c>
      <c r="B444" s="11">
        <v>1.0</v>
      </c>
      <c r="C444" s="11">
        <v>4687.0</v>
      </c>
      <c r="D444" s="81"/>
      <c r="E444" s="126"/>
      <c r="F444" s="201"/>
      <c r="G444" s="126"/>
      <c r="H444" s="126"/>
      <c r="I444" s="126"/>
    </row>
    <row r="445">
      <c r="A445" s="21" t="s">
        <v>14837</v>
      </c>
      <c r="B445" s="11">
        <v>1.0</v>
      </c>
      <c r="C445" s="11">
        <v>4687.0</v>
      </c>
      <c r="D445" s="81"/>
      <c r="E445" s="126"/>
      <c r="F445" s="201"/>
      <c r="G445" s="126"/>
      <c r="H445" s="126"/>
      <c r="I445" s="126"/>
    </row>
    <row r="446">
      <c r="A446" s="21" t="s">
        <v>14838</v>
      </c>
      <c r="B446" s="11">
        <v>1.0</v>
      </c>
      <c r="C446" s="11">
        <v>4687.0</v>
      </c>
      <c r="D446" s="81"/>
      <c r="E446" s="126"/>
      <c r="F446" s="201"/>
      <c r="G446" s="126"/>
      <c r="H446" s="126"/>
      <c r="I446" s="126"/>
    </row>
    <row r="447">
      <c r="A447" s="21" t="s">
        <v>14839</v>
      </c>
      <c r="B447" s="11">
        <v>1.0</v>
      </c>
      <c r="C447" s="11">
        <v>4687.0</v>
      </c>
      <c r="D447" s="81"/>
      <c r="E447" s="126"/>
      <c r="F447" s="201"/>
      <c r="G447" s="126"/>
      <c r="H447" s="126"/>
      <c r="I447" s="126"/>
    </row>
    <row r="448">
      <c r="A448" s="21" t="s">
        <v>14840</v>
      </c>
      <c r="B448" s="11">
        <v>1.0</v>
      </c>
      <c r="C448" s="11">
        <v>4687.0</v>
      </c>
      <c r="D448" s="81"/>
      <c r="E448" s="126"/>
      <c r="F448" s="201"/>
      <c r="G448" s="126"/>
      <c r="H448" s="126"/>
      <c r="I448" s="126"/>
    </row>
    <row r="449">
      <c r="A449" s="21" t="s">
        <v>14841</v>
      </c>
      <c r="B449" s="11">
        <v>1.0</v>
      </c>
      <c r="C449" s="11">
        <v>4687.0</v>
      </c>
      <c r="D449" s="81"/>
      <c r="E449" s="126"/>
      <c r="F449" s="201"/>
      <c r="G449" s="126"/>
      <c r="H449" s="126"/>
      <c r="I449" s="126"/>
    </row>
    <row r="450">
      <c r="A450" s="21" t="s">
        <v>14842</v>
      </c>
      <c r="B450" s="11">
        <v>1.0</v>
      </c>
      <c r="C450" s="11">
        <v>4687.0</v>
      </c>
      <c r="D450" s="81"/>
      <c r="E450" s="126"/>
      <c r="F450" s="201"/>
      <c r="G450" s="126"/>
      <c r="H450" s="126"/>
      <c r="I450" s="126"/>
    </row>
    <row r="451">
      <c r="A451" s="21" t="s">
        <v>14843</v>
      </c>
      <c r="B451" s="11">
        <v>1.0</v>
      </c>
      <c r="C451" s="11">
        <v>4687.0</v>
      </c>
      <c r="D451" s="81"/>
      <c r="E451" s="126"/>
      <c r="F451" s="201"/>
      <c r="G451" s="126"/>
      <c r="H451" s="126"/>
      <c r="I451" s="126"/>
    </row>
    <row r="452">
      <c r="A452" s="21" t="s">
        <v>14844</v>
      </c>
      <c r="B452" s="11">
        <v>1.0</v>
      </c>
      <c r="C452" s="11">
        <v>4687.0</v>
      </c>
      <c r="D452" s="81"/>
      <c r="E452" s="126"/>
      <c r="F452" s="201"/>
      <c r="G452" s="126"/>
      <c r="H452" s="126"/>
      <c r="I452" s="126"/>
    </row>
    <row r="453">
      <c r="A453" s="21" t="s">
        <v>14845</v>
      </c>
      <c r="B453" s="11">
        <v>1.0</v>
      </c>
      <c r="C453" s="11">
        <v>4687.0</v>
      </c>
      <c r="D453" s="81"/>
      <c r="E453" s="126"/>
      <c r="F453" s="201"/>
      <c r="G453" s="126"/>
      <c r="H453" s="126"/>
      <c r="I453" s="126"/>
    </row>
    <row r="454">
      <c r="A454" s="21" t="s">
        <v>14846</v>
      </c>
      <c r="B454" s="11">
        <v>1.0</v>
      </c>
      <c r="C454" s="11">
        <v>4687.0</v>
      </c>
      <c r="D454" s="81"/>
      <c r="E454" s="126"/>
      <c r="F454" s="201"/>
      <c r="G454" s="126"/>
      <c r="H454" s="126"/>
      <c r="I454" s="126"/>
    </row>
    <row r="455">
      <c r="A455" s="21" t="s">
        <v>14847</v>
      </c>
      <c r="B455" s="11">
        <v>1.0</v>
      </c>
      <c r="C455" s="11">
        <v>4687.0</v>
      </c>
      <c r="D455" s="81"/>
      <c r="E455" s="126"/>
      <c r="F455" s="201"/>
      <c r="G455" s="126"/>
      <c r="H455" s="126"/>
      <c r="I455" s="126"/>
    </row>
    <row r="456">
      <c r="A456" s="21" t="s">
        <v>14848</v>
      </c>
      <c r="B456" s="11">
        <v>1.0</v>
      </c>
      <c r="C456" s="11">
        <v>4687.0</v>
      </c>
      <c r="D456" s="81"/>
      <c r="E456" s="126"/>
      <c r="F456" s="201"/>
      <c r="G456" s="126"/>
      <c r="H456" s="126"/>
      <c r="I456" s="126"/>
    </row>
    <row r="457">
      <c r="A457" s="21" t="s">
        <v>14849</v>
      </c>
      <c r="B457" s="11">
        <v>1.0</v>
      </c>
      <c r="C457" s="11">
        <v>4687.0</v>
      </c>
      <c r="D457" s="81"/>
      <c r="E457" s="126"/>
      <c r="F457" s="201"/>
      <c r="G457" s="126"/>
      <c r="H457" s="126"/>
      <c r="I457" s="126"/>
    </row>
    <row r="458">
      <c r="A458" s="21" t="s">
        <v>14850</v>
      </c>
      <c r="B458" s="11">
        <v>1.0</v>
      </c>
      <c r="C458" s="11">
        <v>4687.0</v>
      </c>
      <c r="D458" s="81"/>
      <c r="E458" s="126"/>
      <c r="F458" s="201"/>
      <c r="G458" s="126"/>
      <c r="H458" s="126"/>
      <c r="I458" s="126"/>
    </row>
    <row r="459">
      <c r="A459" s="21" t="s">
        <v>14851</v>
      </c>
      <c r="B459" s="11">
        <v>1.0</v>
      </c>
      <c r="C459" s="11">
        <v>4687.0</v>
      </c>
      <c r="D459" s="81"/>
      <c r="E459" s="126"/>
      <c r="F459" s="201"/>
      <c r="G459" s="126"/>
      <c r="H459" s="126"/>
      <c r="I459" s="126"/>
    </row>
    <row r="460">
      <c r="A460" s="21" t="s">
        <v>14852</v>
      </c>
      <c r="B460" s="11">
        <v>1.0</v>
      </c>
      <c r="C460" s="11">
        <v>4687.0</v>
      </c>
      <c r="D460" s="81"/>
      <c r="E460" s="126"/>
      <c r="F460" s="201"/>
      <c r="G460" s="126"/>
      <c r="H460" s="126"/>
      <c r="I460" s="126"/>
    </row>
    <row r="461">
      <c r="A461" s="21" t="s">
        <v>14853</v>
      </c>
      <c r="B461" s="11">
        <v>1.0</v>
      </c>
      <c r="C461" s="11">
        <v>4687.0</v>
      </c>
      <c r="D461" s="81"/>
      <c r="E461" s="126"/>
      <c r="F461" s="201"/>
      <c r="G461" s="126"/>
      <c r="H461" s="126"/>
      <c r="I461" s="126"/>
    </row>
    <row r="462">
      <c r="A462" s="21" t="s">
        <v>14854</v>
      </c>
      <c r="B462" s="11">
        <v>1.0</v>
      </c>
      <c r="C462" s="11">
        <v>4687.0</v>
      </c>
      <c r="D462" s="81"/>
      <c r="E462" s="126"/>
      <c r="F462" s="201"/>
      <c r="G462" s="126"/>
      <c r="H462" s="126"/>
      <c r="I462" s="126"/>
    </row>
    <row r="463">
      <c r="A463" s="21" t="s">
        <v>14855</v>
      </c>
      <c r="B463" s="11">
        <v>1.0</v>
      </c>
      <c r="C463" s="11">
        <v>4687.0</v>
      </c>
      <c r="D463" s="81"/>
      <c r="E463" s="126"/>
      <c r="F463" s="201"/>
      <c r="G463" s="126"/>
      <c r="H463" s="126"/>
      <c r="I463" s="126"/>
    </row>
    <row r="464">
      <c r="A464" s="21" t="s">
        <v>14856</v>
      </c>
      <c r="B464" s="11">
        <v>1.0</v>
      </c>
      <c r="C464" s="11">
        <v>4687.0</v>
      </c>
      <c r="D464" s="81"/>
      <c r="E464" s="126"/>
      <c r="F464" s="201"/>
      <c r="G464" s="126"/>
      <c r="H464" s="126"/>
      <c r="I464" s="126"/>
    </row>
    <row r="465">
      <c r="A465" s="21" t="s">
        <v>14857</v>
      </c>
      <c r="B465" s="11">
        <v>1.0</v>
      </c>
      <c r="C465" s="11">
        <v>4687.0</v>
      </c>
      <c r="D465" s="81"/>
      <c r="E465" s="126"/>
      <c r="F465" s="201"/>
      <c r="G465" s="126"/>
      <c r="H465" s="126"/>
      <c r="I465" s="126"/>
    </row>
    <row r="466">
      <c r="A466" s="21" t="s">
        <v>14858</v>
      </c>
      <c r="B466" s="11">
        <v>1.0</v>
      </c>
      <c r="C466" s="11">
        <v>4687.0</v>
      </c>
      <c r="D466" s="81"/>
      <c r="E466" s="126"/>
      <c r="F466" s="201"/>
      <c r="G466" s="126"/>
      <c r="H466" s="126"/>
      <c r="I466" s="126"/>
    </row>
    <row r="467">
      <c r="A467" s="21" t="s">
        <v>14859</v>
      </c>
      <c r="B467" s="11">
        <v>1.0</v>
      </c>
      <c r="C467" s="11">
        <v>4687.0</v>
      </c>
      <c r="D467" s="81"/>
      <c r="E467" s="126"/>
      <c r="F467" s="201"/>
      <c r="G467" s="126"/>
      <c r="H467" s="126"/>
      <c r="I467" s="126"/>
    </row>
    <row r="468">
      <c r="A468" s="21" t="s">
        <v>14860</v>
      </c>
      <c r="B468" s="11">
        <v>1.0</v>
      </c>
      <c r="C468" s="11">
        <v>4687.0</v>
      </c>
      <c r="D468" s="81"/>
      <c r="E468" s="126"/>
      <c r="F468" s="201"/>
      <c r="G468" s="126"/>
      <c r="H468" s="126"/>
      <c r="I468" s="126"/>
    </row>
    <row r="469">
      <c r="A469" s="21" t="s">
        <v>14861</v>
      </c>
      <c r="B469" s="11">
        <v>1.0</v>
      </c>
      <c r="C469" s="11">
        <v>4687.0</v>
      </c>
      <c r="D469" s="81"/>
      <c r="E469" s="126"/>
      <c r="F469" s="201"/>
      <c r="G469" s="126"/>
      <c r="H469" s="126"/>
      <c r="I469" s="126"/>
    </row>
    <row r="470">
      <c r="A470" s="21" t="s">
        <v>14862</v>
      </c>
      <c r="B470" s="11">
        <v>1.0</v>
      </c>
      <c r="C470" s="11">
        <v>4687.0</v>
      </c>
      <c r="D470" s="81"/>
      <c r="E470" s="126"/>
      <c r="F470" s="201"/>
      <c r="G470" s="126"/>
      <c r="H470" s="126"/>
      <c r="I470" s="126"/>
    </row>
    <row r="471">
      <c r="A471" s="21" t="s">
        <v>14863</v>
      </c>
      <c r="B471" s="11">
        <v>1.0</v>
      </c>
      <c r="C471" s="11">
        <v>4687.0</v>
      </c>
      <c r="D471" s="81"/>
      <c r="E471" s="126"/>
      <c r="F471" s="201"/>
      <c r="G471" s="126"/>
      <c r="H471" s="126"/>
      <c r="I471" s="126"/>
    </row>
    <row r="472">
      <c r="A472" s="21" t="s">
        <v>14864</v>
      </c>
      <c r="B472" s="11">
        <v>1.0</v>
      </c>
      <c r="C472" s="11">
        <v>4687.0</v>
      </c>
      <c r="D472" s="81"/>
      <c r="E472" s="126"/>
      <c r="F472" s="201"/>
      <c r="G472" s="126"/>
      <c r="H472" s="126"/>
      <c r="I472" s="126"/>
    </row>
    <row r="473">
      <c r="A473" s="21" t="s">
        <v>14865</v>
      </c>
      <c r="B473" s="11">
        <v>1.0</v>
      </c>
      <c r="C473" s="11">
        <v>4687.0</v>
      </c>
      <c r="D473" s="81"/>
      <c r="E473" s="126"/>
      <c r="F473" s="201"/>
      <c r="G473" s="126"/>
      <c r="H473" s="126"/>
      <c r="I473" s="126"/>
    </row>
    <row r="474">
      <c r="A474" s="21" t="s">
        <v>14866</v>
      </c>
      <c r="B474" s="11">
        <v>1.0</v>
      </c>
      <c r="C474" s="11">
        <v>4687.0</v>
      </c>
      <c r="D474" s="81"/>
      <c r="E474" s="126"/>
      <c r="F474" s="201"/>
      <c r="G474" s="126"/>
      <c r="H474" s="126"/>
      <c r="I474" s="126"/>
    </row>
    <row r="475">
      <c r="A475" s="21" t="s">
        <v>14867</v>
      </c>
      <c r="B475" s="11">
        <v>1.0</v>
      </c>
      <c r="C475" s="11">
        <v>4687.0</v>
      </c>
      <c r="D475" s="81"/>
      <c r="E475" s="126"/>
      <c r="F475" s="201"/>
      <c r="G475" s="126"/>
      <c r="H475" s="126"/>
      <c r="I475" s="126"/>
    </row>
    <row r="476">
      <c r="A476" s="21" t="s">
        <v>14868</v>
      </c>
      <c r="B476" s="11">
        <v>1.0</v>
      </c>
      <c r="C476" s="11">
        <v>4687.0</v>
      </c>
      <c r="D476" s="81"/>
      <c r="E476" s="126"/>
      <c r="F476" s="555"/>
      <c r="G476" s="126"/>
      <c r="H476" s="126"/>
      <c r="I476" s="126"/>
    </row>
    <row r="477">
      <c r="A477" s="21" t="s">
        <v>14869</v>
      </c>
      <c r="B477" s="11">
        <v>1.0</v>
      </c>
      <c r="C477" s="11">
        <v>4687.0</v>
      </c>
      <c r="D477" s="81"/>
      <c r="E477" s="126"/>
      <c r="F477" s="555"/>
      <c r="G477" s="126"/>
      <c r="H477" s="126"/>
      <c r="I477" s="126"/>
    </row>
    <row r="478">
      <c r="A478" s="21" t="s">
        <v>14870</v>
      </c>
      <c r="B478" s="11">
        <v>1.0</v>
      </c>
      <c r="C478" s="11">
        <v>4687.0</v>
      </c>
      <c r="D478" s="81"/>
      <c r="E478" s="126"/>
      <c r="F478" s="555"/>
      <c r="G478" s="126"/>
      <c r="H478" s="126"/>
      <c r="I478" s="126"/>
    </row>
    <row r="479">
      <c r="A479" s="21" t="s">
        <v>14871</v>
      </c>
      <c r="B479" s="11">
        <v>1.0</v>
      </c>
      <c r="C479" s="11">
        <v>4687.0</v>
      </c>
      <c r="D479" s="81"/>
      <c r="E479" s="126"/>
      <c r="F479" s="555"/>
      <c r="G479" s="126"/>
      <c r="H479" s="126"/>
      <c r="I479" s="126"/>
    </row>
    <row r="480">
      <c r="A480" s="21" t="s">
        <v>14872</v>
      </c>
      <c r="B480" s="11">
        <v>1.0</v>
      </c>
      <c r="C480" s="11">
        <v>4687.0</v>
      </c>
      <c r="D480" s="81"/>
      <c r="E480" s="126"/>
      <c r="F480" s="555"/>
      <c r="G480" s="126"/>
      <c r="H480" s="126"/>
      <c r="I480" s="126"/>
    </row>
    <row r="481">
      <c r="A481" s="21" t="s">
        <v>14873</v>
      </c>
      <c r="B481" s="11">
        <v>1.0</v>
      </c>
      <c r="C481" s="11">
        <v>4687.0</v>
      </c>
      <c r="D481" s="81"/>
      <c r="E481" s="126"/>
      <c r="F481" s="555"/>
      <c r="G481" s="126"/>
      <c r="H481" s="126"/>
      <c r="I481" s="126"/>
    </row>
    <row r="482">
      <c r="A482" s="21" t="s">
        <v>14874</v>
      </c>
      <c r="B482" s="11">
        <v>1.0</v>
      </c>
      <c r="C482" s="11">
        <v>4687.0</v>
      </c>
      <c r="D482" s="81"/>
      <c r="E482" s="126"/>
      <c r="F482" s="555"/>
      <c r="G482" s="126"/>
      <c r="H482" s="126"/>
      <c r="I482" s="126"/>
    </row>
    <row r="483">
      <c r="A483" s="21" t="s">
        <v>14875</v>
      </c>
      <c r="B483" s="11">
        <v>1.0</v>
      </c>
      <c r="C483" s="11">
        <v>4687.0</v>
      </c>
      <c r="D483" s="81"/>
      <c r="E483" s="126"/>
      <c r="F483" s="555"/>
      <c r="G483" s="126"/>
      <c r="H483" s="126"/>
      <c r="I483" s="126"/>
    </row>
    <row r="484">
      <c r="A484" s="21" t="s">
        <v>14876</v>
      </c>
      <c r="B484" s="11">
        <v>1.0</v>
      </c>
      <c r="C484" s="11">
        <v>4687.0</v>
      </c>
      <c r="D484" s="81"/>
      <c r="E484" s="126"/>
      <c r="F484" s="555"/>
      <c r="G484" s="126"/>
      <c r="H484" s="126"/>
      <c r="I484" s="126"/>
    </row>
    <row r="485">
      <c r="A485" s="21" t="s">
        <v>14877</v>
      </c>
      <c r="B485" s="11">
        <v>1.0</v>
      </c>
      <c r="C485" s="556">
        <v>7147.0</v>
      </c>
      <c r="D485" s="11">
        <v>4687.0</v>
      </c>
      <c r="E485" s="126"/>
      <c r="F485" s="555"/>
      <c r="G485" s="126"/>
      <c r="H485" s="126"/>
      <c r="I485" s="126"/>
    </row>
    <row r="486">
      <c r="A486" s="21" t="s">
        <v>14878</v>
      </c>
      <c r="B486" s="11">
        <v>1.0</v>
      </c>
      <c r="C486" s="11">
        <v>6669.0</v>
      </c>
      <c r="D486" s="11">
        <v>4687.0</v>
      </c>
      <c r="E486" s="126"/>
      <c r="F486" s="555"/>
      <c r="G486" s="126"/>
      <c r="H486" s="126"/>
      <c r="I486" s="126"/>
    </row>
    <row r="487">
      <c r="A487" s="21" t="s">
        <v>14879</v>
      </c>
      <c r="B487" s="11">
        <v>1.0</v>
      </c>
      <c r="C487" s="158">
        <v>7149.0</v>
      </c>
      <c r="D487" s="11">
        <v>4687.0</v>
      </c>
      <c r="E487" s="126"/>
      <c r="F487" s="555"/>
      <c r="G487" s="126"/>
      <c r="H487" s="126"/>
      <c r="I487" s="126"/>
    </row>
    <row r="488">
      <c r="A488" s="21" t="s">
        <v>14880</v>
      </c>
      <c r="B488" s="11">
        <v>1.0</v>
      </c>
      <c r="C488" s="11">
        <v>7080.0</v>
      </c>
      <c r="D488" s="11">
        <v>4687.0</v>
      </c>
      <c r="E488" s="126"/>
      <c r="F488" s="555"/>
      <c r="G488" s="126"/>
      <c r="H488" s="126"/>
      <c r="I488" s="126"/>
    </row>
    <row r="489">
      <c r="A489" s="21" t="s">
        <v>14881</v>
      </c>
      <c r="B489" s="11">
        <v>1.0</v>
      </c>
      <c r="C489" s="11">
        <v>4687.0</v>
      </c>
      <c r="D489" s="81"/>
      <c r="E489" s="126"/>
      <c r="F489" s="555"/>
      <c r="G489" s="126"/>
      <c r="H489" s="126"/>
      <c r="I489" s="126"/>
    </row>
    <row r="490">
      <c r="A490" s="21" t="s">
        <v>14882</v>
      </c>
      <c r="B490" s="11">
        <v>1.0</v>
      </c>
      <c r="C490" s="11">
        <v>4687.0</v>
      </c>
      <c r="D490" s="81"/>
      <c r="E490" s="126"/>
      <c r="F490" s="555"/>
      <c r="G490" s="126"/>
      <c r="H490" s="126"/>
      <c r="I490" s="126"/>
    </row>
    <row r="491">
      <c r="A491" s="21" t="s">
        <v>14883</v>
      </c>
      <c r="B491" s="11">
        <v>1.0</v>
      </c>
      <c r="C491" s="11">
        <v>4687.0</v>
      </c>
      <c r="D491" s="81"/>
      <c r="E491" s="126"/>
      <c r="F491" s="555"/>
      <c r="G491" s="126"/>
      <c r="H491" s="126"/>
      <c r="I491" s="126"/>
    </row>
    <row r="492">
      <c r="A492" s="21" t="s">
        <v>14884</v>
      </c>
      <c r="B492" s="11">
        <v>1.0</v>
      </c>
      <c r="C492" s="11">
        <v>4687.0</v>
      </c>
      <c r="D492" s="81"/>
      <c r="E492" s="126"/>
      <c r="F492" s="555"/>
      <c r="G492" s="126"/>
      <c r="H492" s="126"/>
      <c r="I492" s="126"/>
    </row>
    <row r="493">
      <c r="A493" s="21" t="s">
        <v>14885</v>
      </c>
      <c r="B493" s="11">
        <v>1.0</v>
      </c>
      <c r="C493" s="11">
        <v>6782.0</v>
      </c>
      <c r="D493" s="81"/>
      <c r="E493" s="126"/>
      <c r="F493" s="555"/>
      <c r="G493" s="126"/>
      <c r="H493" s="126"/>
      <c r="I493" s="126"/>
    </row>
    <row r="494">
      <c r="A494" s="21" t="s">
        <v>14886</v>
      </c>
      <c r="B494" s="11">
        <v>1.0</v>
      </c>
      <c r="C494" s="11">
        <v>6700.0</v>
      </c>
      <c r="D494" s="81"/>
      <c r="E494" s="126"/>
      <c r="F494" s="555"/>
      <c r="G494" s="126"/>
      <c r="H494" s="126"/>
      <c r="I494" s="126"/>
    </row>
    <row r="495">
      <c r="A495" s="21" t="s">
        <v>14887</v>
      </c>
      <c r="B495" s="11">
        <v>1.0</v>
      </c>
      <c r="C495" s="11">
        <v>6771.0</v>
      </c>
      <c r="D495" s="81"/>
      <c r="E495" s="126"/>
      <c r="F495" s="555"/>
      <c r="G495" s="126"/>
      <c r="H495" s="126"/>
      <c r="I495" s="126"/>
    </row>
    <row r="496">
      <c r="A496" s="21" t="s">
        <v>14888</v>
      </c>
      <c r="B496" s="11">
        <v>1.0</v>
      </c>
      <c r="C496" s="11">
        <v>6771.0</v>
      </c>
      <c r="D496" s="81"/>
      <c r="E496" s="126"/>
      <c r="F496" s="555"/>
      <c r="G496" s="126"/>
      <c r="H496" s="126"/>
      <c r="I496" s="126"/>
    </row>
    <row r="497">
      <c r="A497" s="21" t="s">
        <v>14889</v>
      </c>
      <c r="B497" s="11">
        <v>1.0</v>
      </c>
      <c r="C497" s="11">
        <v>6671.0</v>
      </c>
      <c r="D497" s="81"/>
      <c r="E497" s="126"/>
      <c r="F497" s="555"/>
      <c r="G497" s="126"/>
      <c r="H497" s="126"/>
      <c r="I497" s="126"/>
    </row>
    <row r="498">
      <c r="A498" s="21" t="s">
        <v>14890</v>
      </c>
      <c r="B498" s="11">
        <v>1.0</v>
      </c>
      <c r="C498" s="11">
        <v>6733.0</v>
      </c>
      <c r="D498" s="81"/>
      <c r="E498" s="126"/>
      <c r="F498" s="555"/>
      <c r="G498" s="126"/>
      <c r="H498" s="126"/>
      <c r="I498" s="126"/>
    </row>
    <row r="499">
      <c r="A499" s="21" t="s">
        <v>14891</v>
      </c>
      <c r="B499" s="11">
        <v>1.0</v>
      </c>
      <c r="C499" s="11">
        <v>6676.0</v>
      </c>
      <c r="D499" s="81"/>
      <c r="E499" s="126"/>
      <c r="F499" s="555"/>
      <c r="G499" s="126"/>
      <c r="H499" s="126"/>
      <c r="I499" s="126"/>
    </row>
    <row r="500">
      <c r="A500" s="21" t="s">
        <v>14892</v>
      </c>
      <c r="B500" s="11">
        <v>1.0</v>
      </c>
      <c r="C500" s="11">
        <v>5421.0</v>
      </c>
      <c r="D500" s="81"/>
      <c r="E500" s="126"/>
      <c r="F500" s="555"/>
      <c r="G500" s="126"/>
      <c r="H500" s="126"/>
      <c r="I500" s="126"/>
    </row>
    <row r="501">
      <c r="A501" s="21" t="s">
        <v>14893</v>
      </c>
      <c r="B501" s="11">
        <v>1.0</v>
      </c>
      <c r="C501" s="11">
        <v>5421.0</v>
      </c>
      <c r="D501" s="81"/>
      <c r="E501" s="126"/>
      <c r="F501" s="555"/>
      <c r="G501" s="126"/>
      <c r="H501" s="126"/>
      <c r="I501" s="126"/>
    </row>
    <row r="502">
      <c r="A502" s="21" t="s">
        <v>14894</v>
      </c>
      <c r="B502" s="11">
        <v>1.0</v>
      </c>
      <c r="C502" s="11">
        <v>5421.0</v>
      </c>
      <c r="D502" s="81"/>
      <c r="E502" s="126"/>
      <c r="F502" s="555"/>
      <c r="G502" s="126"/>
      <c r="H502" s="126"/>
      <c r="I502" s="126"/>
    </row>
    <row r="503">
      <c r="A503" s="21" t="s">
        <v>14895</v>
      </c>
      <c r="B503" s="11">
        <v>1.0</v>
      </c>
      <c r="C503" s="11">
        <v>5421.0</v>
      </c>
      <c r="D503" s="81"/>
      <c r="E503" s="126"/>
      <c r="F503" s="555"/>
      <c r="G503" s="126"/>
      <c r="H503" s="126"/>
      <c r="I503" s="126"/>
    </row>
    <row r="504">
      <c r="A504" s="21" t="s">
        <v>14896</v>
      </c>
      <c r="B504" s="11">
        <v>1.0</v>
      </c>
      <c r="C504" s="11">
        <v>5421.0</v>
      </c>
      <c r="D504" s="81"/>
      <c r="E504" s="126"/>
      <c r="F504" s="555"/>
      <c r="G504" s="126"/>
      <c r="H504" s="126"/>
      <c r="I504" s="126"/>
    </row>
    <row r="505">
      <c r="A505" s="21" t="s">
        <v>14897</v>
      </c>
      <c r="B505" s="11">
        <v>1.0</v>
      </c>
      <c r="C505" s="11">
        <v>5421.0</v>
      </c>
      <c r="D505" s="81"/>
      <c r="E505" s="126"/>
      <c r="F505" s="555"/>
      <c r="G505" s="126"/>
      <c r="H505" s="126"/>
      <c r="I505" s="126"/>
    </row>
    <row r="506">
      <c r="A506" s="21" t="s">
        <v>14898</v>
      </c>
      <c r="B506" s="11">
        <v>1.0</v>
      </c>
      <c r="C506" s="11">
        <v>5421.0</v>
      </c>
      <c r="D506" s="81"/>
      <c r="E506" s="126"/>
      <c r="F506" s="555"/>
      <c r="G506" s="126"/>
      <c r="H506" s="126"/>
      <c r="I506" s="126"/>
    </row>
    <row r="507">
      <c r="A507" s="21" t="s">
        <v>14899</v>
      </c>
      <c r="B507" s="11">
        <v>1.0</v>
      </c>
      <c r="C507" s="11">
        <v>6732.0</v>
      </c>
      <c r="D507" s="81"/>
      <c r="E507" s="126"/>
      <c r="F507" s="555"/>
      <c r="G507" s="126"/>
      <c r="H507" s="126"/>
      <c r="I507" s="126"/>
    </row>
    <row r="508">
      <c r="A508" s="21" t="s">
        <v>14900</v>
      </c>
      <c r="B508" s="11">
        <v>1.0</v>
      </c>
      <c r="C508" s="11">
        <v>6732.0</v>
      </c>
      <c r="D508" s="81"/>
      <c r="E508" s="126"/>
      <c r="F508" s="555"/>
      <c r="G508" s="126"/>
      <c r="H508" s="126"/>
      <c r="I508" s="126"/>
    </row>
    <row r="509">
      <c r="A509" s="21" t="s">
        <v>14901</v>
      </c>
      <c r="B509" s="11">
        <v>1.0</v>
      </c>
      <c r="C509" s="11">
        <v>4687.0</v>
      </c>
      <c r="D509" s="81"/>
      <c r="E509" s="126"/>
      <c r="F509" s="555"/>
      <c r="G509" s="126"/>
      <c r="H509" s="126"/>
      <c r="I509" s="126"/>
    </row>
    <row r="510">
      <c r="A510" s="21" t="s">
        <v>14902</v>
      </c>
      <c r="B510" s="11">
        <v>1.0</v>
      </c>
      <c r="C510" s="11">
        <v>3642.0</v>
      </c>
      <c r="D510" s="11">
        <v>6802.0</v>
      </c>
      <c r="E510" s="126"/>
      <c r="F510" s="555"/>
      <c r="G510" s="126"/>
      <c r="H510" s="126"/>
      <c r="I510" s="126"/>
    </row>
    <row r="511">
      <c r="A511" s="21" t="s">
        <v>14903</v>
      </c>
      <c r="B511" s="11">
        <v>1.0</v>
      </c>
      <c r="C511" s="11">
        <v>919.0</v>
      </c>
      <c r="D511" s="81"/>
      <c r="E511" s="126"/>
      <c r="F511" s="555"/>
      <c r="G511" s="126"/>
      <c r="H511" s="126"/>
      <c r="I511" s="126"/>
    </row>
    <row r="512">
      <c r="A512" s="21" t="s">
        <v>14904</v>
      </c>
      <c r="B512" s="11">
        <v>1.0</v>
      </c>
      <c r="C512" s="11">
        <v>919.0</v>
      </c>
      <c r="D512" s="81"/>
      <c r="E512" s="126"/>
      <c r="F512" s="555"/>
      <c r="G512" s="126"/>
      <c r="H512" s="126"/>
      <c r="I512" s="126"/>
    </row>
    <row r="513">
      <c r="A513" s="21" t="s">
        <v>14905</v>
      </c>
      <c r="B513" s="11">
        <v>1.0</v>
      </c>
      <c r="C513" s="11">
        <v>6132.0</v>
      </c>
      <c r="D513" s="81"/>
      <c r="E513" s="126"/>
      <c r="F513" s="555"/>
      <c r="G513" s="126"/>
      <c r="H513" s="126"/>
      <c r="I513" s="126"/>
    </row>
    <row r="514">
      <c r="A514" s="21" t="s">
        <v>14906</v>
      </c>
      <c r="B514" s="11">
        <v>1.0</v>
      </c>
      <c r="C514" s="11">
        <v>6732.0</v>
      </c>
      <c r="D514" s="81"/>
      <c r="E514" s="126"/>
      <c r="F514" s="555"/>
      <c r="G514" s="126"/>
      <c r="H514" s="126"/>
      <c r="I514" s="126"/>
    </row>
    <row r="515">
      <c r="A515" s="21" t="s">
        <v>14907</v>
      </c>
      <c r="B515" s="11">
        <v>1.0</v>
      </c>
      <c r="C515" s="11">
        <v>6732.0</v>
      </c>
      <c r="D515" s="81"/>
      <c r="E515" s="126"/>
      <c r="F515" s="555"/>
      <c r="G515" s="126"/>
      <c r="H515" s="126"/>
      <c r="I515" s="126"/>
    </row>
    <row r="516">
      <c r="A516" s="21" t="s">
        <v>14908</v>
      </c>
      <c r="B516" s="11">
        <v>1.0</v>
      </c>
      <c r="C516" s="11">
        <v>6831.0</v>
      </c>
      <c r="D516" s="81"/>
      <c r="E516" s="126"/>
      <c r="F516" s="555"/>
      <c r="G516" s="126"/>
      <c r="H516" s="126"/>
      <c r="I516" s="126"/>
    </row>
    <row r="517">
      <c r="A517" s="21" t="s">
        <v>14909</v>
      </c>
      <c r="B517" s="11">
        <v>1.0</v>
      </c>
      <c r="C517" s="11">
        <v>6831.0</v>
      </c>
      <c r="D517" s="81"/>
      <c r="E517" s="126"/>
      <c r="F517" s="555"/>
      <c r="G517" s="126"/>
      <c r="H517" s="126"/>
      <c r="I517" s="126"/>
    </row>
    <row r="518">
      <c r="A518" s="21" t="s">
        <v>14910</v>
      </c>
      <c r="B518" s="11">
        <v>1.0</v>
      </c>
      <c r="C518" s="11">
        <v>4687.0</v>
      </c>
      <c r="D518" s="81"/>
      <c r="E518" s="126"/>
      <c r="F518" s="555"/>
      <c r="G518" s="126"/>
      <c r="H518" s="126"/>
      <c r="I518" s="126"/>
    </row>
    <row r="519">
      <c r="A519" s="21" t="s">
        <v>14911</v>
      </c>
      <c r="B519" s="11">
        <v>1.0</v>
      </c>
      <c r="C519" s="11">
        <v>6772.0</v>
      </c>
      <c r="D519" s="81"/>
      <c r="E519" s="126"/>
      <c r="F519" s="555"/>
      <c r="G519" s="126"/>
      <c r="H519" s="126"/>
      <c r="I519" s="126"/>
    </row>
    <row r="520">
      <c r="A520" s="21" t="s">
        <v>14912</v>
      </c>
      <c r="B520" s="11">
        <v>1.0</v>
      </c>
      <c r="C520" s="11">
        <v>3231.0</v>
      </c>
      <c r="D520" s="81"/>
      <c r="E520" s="126"/>
      <c r="F520" s="555"/>
      <c r="G520" s="126"/>
      <c r="H520" s="126"/>
      <c r="I520" s="126"/>
    </row>
    <row r="521">
      <c r="A521" s="21" t="s">
        <v>14913</v>
      </c>
      <c r="B521" s="11">
        <v>1.0</v>
      </c>
      <c r="C521" s="11">
        <v>3231.0</v>
      </c>
      <c r="D521" s="81"/>
      <c r="E521" s="126"/>
      <c r="F521" s="555"/>
      <c r="G521" s="126"/>
      <c r="H521" s="126"/>
      <c r="I521" s="126"/>
    </row>
    <row r="522">
      <c r="A522" s="21" t="s">
        <v>14914</v>
      </c>
      <c r="B522" s="11">
        <v>1.0</v>
      </c>
      <c r="C522" s="11">
        <v>3231.0</v>
      </c>
      <c r="D522" s="81"/>
      <c r="E522" s="126"/>
      <c r="F522" s="555"/>
      <c r="G522" s="126"/>
      <c r="H522" s="126"/>
      <c r="I522" s="126"/>
    </row>
    <row r="523">
      <c r="A523" s="21" t="s">
        <v>14915</v>
      </c>
      <c r="B523" s="11">
        <v>1.0</v>
      </c>
      <c r="C523" s="11">
        <v>3231.0</v>
      </c>
      <c r="D523" s="81"/>
      <c r="E523" s="126"/>
      <c r="F523" s="555"/>
      <c r="G523" s="126"/>
      <c r="H523" s="126"/>
      <c r="I523" s="126"/>
    </row>
    <row r="524">
      <c r="A524" s="21" t="s">
        <v>14916</v>
      </c>
      <c r="B524" s="11">
        <v>1.0</v>
      </c>
      <c r="C524" s="11">
        <v>3231.0</v>
      </c>
      <c r="D524" s="81"/>
      <c r="E524" s="126"/>
      <c r="F524" s="555"/>
      <c r="G524" s="126"/>
      <c r="H524" s="126"/>
      <c r="I524" s="126"/>
    </row>
    <row r="525">
      <c r="A525" s="21" t="s">
        <v>14917</v>
      </c>
      <c r="B525" s="11">
        <v>1.0</v>
      </c>
      <c r="C525" s="11">
        <v>7135.0</v>
      </c>
      <c r="D525" s="11">
        <v>3231.0</v>
      </c>
      <c r="E525" s="126"/>
      <c r="F525" s="555"/>
      <c r="G525" s="126"/>
      <c r="H525" s="126"/>
      <c r="I525" s="126"/>
    </row>
    <row r="526">
      <c r="A526" s="21" t="s">
        <v>14918</v>
      </c>
      <c r="B526" s="11">
        <v>1.0</v>
      </c>
      <c r="C526" s="11">
        <v>7123.0</v>
      </c>
      <c r="D526" s="11">
        <v>3231.0</v>
      </c>
      <c r="E526" s="126"/>
      <c r="F526" s="555"/>
      <c r="G526" s="126"/>
      <c r="H526" s="126"/>
      <c r="I526" s="126"/>
    </row>
    <row r="527">
      <c r="A527" s="21" t="s">
        <v>14919</v>
      </c>
      <c r="B527" s="11">
        <v>1.0</v>
      </c>
      <c r="C527" s="11">
        <v>7123.0</v>
      </c>
      <c r="D527" s="11">
        <v>3231.0</v>
      </c>
      <c r="E527" s="126"/>
      <c r="F527" s="555"/>
      <c r="G527" s="126"/>
      <c r="H527" s="126"/>
      <c r="I527" s="126"/>
    </row>
    <row r="528">
      <c r="A528" s="21" t="s">
        <v>14920</v>
      </c>
      <c r="B528" s="11">
        <v>1.0</v>
      </c>
      <c r="C528" s="11">
        <v>7124.0</v>
      </c>
      <c r="D528" s="11">
        <v>3231.0</v>
      </c>
      <c r="E528" s="126"/>
      <c r="F528" s="555"/>
      <c r="G528" s="126"/>
      <c r="H528" s="126"/>
      <c r="I528" s="126"/>
    </row>
    <row r="529">
      <c r="A529" s="21" t="s">
        <v>14921</v>
      </c>
      <c r="B529" s="11">
        <v>1.0</v>
      </c>
      <c r="C529" s="11">
        <v>7073.0</v>
      </c>
      <c r="D529" s="11">
        <v>3231.0</v>
      </c>
      <c r="E529" s="126"/>
      <c r="F529" s="555"/>
      <c r="G529" s="126"/>
      <c r="H529" s="126"/>
      <c r="I529" s="126"/>
    </row>
    <row r="530">
      <c r="A530" s="21" t="s">
        <v>14922</v>
      </c>
      <c r="B530" s="11">
        <v>1.0</v>
      </c>
      <c r="C530" s="11">
        <v>4687.0</v>
      </c>
      <c r="D530" s="81"/>
      <c r="E530" s="126"/>
      <c r="F530" s="555"/>
      <c r="G530" s="126"/>
      <c r="H530" s="126"/>
      <c r="I530" s="126"/>
    </row>
    <row r="531">
      <c r="A531" s="21" t="s">
        <v>14923</v>
      </c>
      <c r="B531" s="11">
        <v>1.0</v>
      </c>
      <c r="C531" s="11">
        <v>4687.0</v>
      </c>
      <c r="D531" s="81"/>
      <c r="E531" s="126"/>
      <c r="F531" s="555"/>
      <c r="G531" s="126"/>
      <c r="H531" s="126"/>
      <c r="I531" s="126"/>
    </row>
    <row r="532">
      <c r="A532" s="21" t="s">
        <v>14924</v>
      </c>
      <c r="B532" s="11">
        <v>1.0</v>
      </c>
      <c r="C532" s="11">
        <v>4933.0</v>
      </c>
      <c r="D532" s="81"/>
      <c r="E532" s="126"/>
      <c r="F532" s="555"/>
      <c r="G532" s="126"/>
      <c r="H532" s="126"/>
      <c r="I532" s="126"/>
    </row>
    <row r="533">
      <c r="A533" s="21" t="s">
        <v>14925</v>
      </c>
      <c r="B533" s="11">
        <v>1.0</v>
      </c>
      <c r="C533" s="11">
        <v>4933.0</v>
      </c>
      <c r="D533" s="81"/>
      <c r="E533" s="126"/>
      <c r="F533" s="555"/>
      <c r="G533" s="126"/>
      <c r="H533" s="126"/>
      <c r="I533" s="126"/>
    </row>
    <row r="534">
      <c r="A534" s="21" t="s">
        <v>14926</v>
      </c>
      <c r="B534" s="11">
        <v>1.0</v>
      </c>
      <c r="C534" s="11">
        <v>4933.0</v>
      </c>
      <c r="D534" s="81"/>
      <c r="E534" s="126"/>
      <c r="F534" s="555"/>
      <c r="G534" s="126"/>
      <c r="H534" s="126"/>
      <c r="I534" s="126"/>
    </row>
    <row r="535">
      <c r="A535" s="21" t="s">
        <v>14927</v>
      </c>
      <c r="B535" s="11">
        <v>1.0</v>
      </c>
      <c r="C535" s="11">
        <v>4933.0</v>
      </c>
      <c r="D535" s="81"/>
      <c r="E535" s="126"/>
      <c r="F535" s="555"/>
      <c r="G535" s="126"/>
      <c r="H535" s="126"/>
      <c r="I535" s="126"/>
    </row>
    <row r="536">
      <c r="A536" s="21" t="s">
        <v>14928</v>
      </c>
      <c r="B536" s="11">
        <v>1.0</v>
      </c>
      <c r="C536" s="11">
        <v>4933.0</v>
      </c>
      <c r="D536" s="81"/>
      <c r="E536" s="126"/>
      <c r="F536" s="555"/>
      <c r="G536" s="126"/>
      <c r="H536" s="126"/>
      <c r="I536" s="126"/>
    </row>
    <row r="537">
      <c r="A537" s="21" t="s">
        <v>14929</v>
      </c>
      <c r="B537" s="11">
        <v>1.0</v>
      </c>
      <c r="C537" s="11">
        <v>4933.0</v>
      </c>
      <c r="D537" s="81"/>
      <c r="E537" s="126"/>
      <c r="F537" s="555"/>
      <c r="G537" s="126"/>
      <c r="H537" s="126"/>
      <c r="I537" s="126"/>
    </row>
    <row r="538">
      <c r="A538" s="21" t="s">
        <v>14930</v>
      </c>
      <c r="B538" s="11">
        <v>1.0</v>
      </c>
      <c r="C538" s="11">
        <v>4933.0</v>
      </c>
      <c r="D538" s="81"/>
      <c r="E538" s="126"/>
      <c r="F538" s="555"/>
      <c r="G538" s="126"/>
      <c r="H538" s="126"/>
      <c r="I538" s="126"/>
    </row>
    <row r="539">
      <c r="A539" s="21" t="s">
        <v>14931</v>
      </c>
      <c r="B539" s="11">
        <v>1.0</v>
      </c>
      <c r="C539" s="11">
        <v>4933.0</v>
      </c>
      <c r="D539" s="81"/>
      <c r="E539" s="126"/>
      <c r="F539" s="555"/>
      <c r="G539" s="126"/>
      <c r="H539" s="126"/>
      <c r="I539" s="126"/>
    </row>
    <row r="540">
      <c r="A540" s="21" t="s">
        <v>14932</v>
      </c>
      <c r="B540" s="11">
        <v>1.0</v>
      </c>
      <c r="C540" s="11">
        <v>4933.0</v>
      </c>
      <c r="D540" s="81"/>
      <c r="E540" s="126"/>
      <c r="F540" s="555"/>
      <c r="G540" s="126"/>
      <c r="H540" s="126"/>
      <c r="I540" s="126"/>
    </row>
    <row r="541">
      <c r="A541" s="21" t="s">
        <v>14933</v>
      </c>
      <c r="B541" s="11">
        <v>1.0</v>
      </c>
      <c r="C541" s="11">
        <v>4933.0</v>
      </c>
      <c r="D541" s="81"/>
      <c r="E541" s="126"/>
      <c r="F541" s="555"/>
      <c r="G541" s="126"/>
      <c r="H541" s="126"/>
      <c r="I541" s="126"/>
    </row>
    <row r="542">
      <c r="A542" s="21" t="s">
        <v>14934</v>
      </c>
      <c r="B542" s="11">
        <v>1.0</v>
      </c>
      <c r="C542" s="11">
        <v>4933.0</v>
      </c>
      <c r="D542" s="81"/>
      <c r="E542" s="126"/>
      <c r="F542" s="555"/>
      <c r="G542" s="126"/>
      <c r="H542" s="126"/>
      <c r="I542" s="126"/>
    </row>
    <row r="543">
      <c r="A543" s="21" t="s">
        <v>14935</v>
      </c>
      <c r="B543" s="11">
        <v>1.0</v>
      </c>
      <c r="C543" s="11">
        <v>4933.0</v>
      </c>
      <c r="D543" s="81"/>
      <c r="E543" s="126"/>
      <c r="F543" s="555"/>
      <c r="G543" s="126"/>
      <c r="H543" s="126"/>
      <c r="I543" s="126"/>
    </row>
    <row r="544">
      <c r="A544" s="21" t="s">
        <v>14936</v>
      </c>
      <c r="B544" s="11">
        <v>1.0</v>
      </c>
      <c r="C544" s="11">
        <v>4933.0</v>
      </c>
      <c r="D544" s="81"/>
      <c r="E544" s="126"/>
      <c r="F544" s="555"/>
      <c r="G544" s="126"/>
      <c r="H544" s="126"/>
      <c r="I544" s="126"/>
    </row>
    <row r="545">
      <c r="A545" s="21" t="s">
        <v>14937</v>
      </c>
      <c r="B545" s="11">
        <v>1.0</v>
      </c>
      <c r="C545" s="11">
        <v>4933.0</v>
      </c>
      <c r="D545" s="81"/>
      <c r="E545" s="126"/>
      <c r="F545" s="555"/>
      <c r="G545" s="126"/>
      <c r="H545" s="126"/>
      <c r="I545" s="126"/>
    </row>
    <row r="546">
      <c r="A546" s="21" t="s">
        <v>14938</v>
      </c>
      <c r="B546" s="11">
        <v>1.0</v>
      </c>
      <c r="C546" s="11">
        <v>4933.0</v>
      </c>
      <c r="D546" s="81"/>
      <c r="E546" s="126"/>
      <c r="F546" s="555"/>
      <c r="G546" s="126"/>
      <c r="H546" s="126"/>
      <c r="I546" s="126"/>
    </row>
    <row r="547">
      <c r="A547" s="21" t="s">
        <v>14939</v>
      </c>
      <c r="B547" s="11">
        <v>1.0</v>
      </c>
      <c r="C547" s="11">
        <v>4933.0</v>
      </c>
      <c r="D547" s="81"/>
      <c r="E547" s="126"/>
      <c r="F547" s="555"/>
      <c r="G547" s="126"/>
      <c r="H547" s="126"/>
      <c r="I547" s="126"/>
    </row>
    <row r="548">
      <c r="A548" s="21" t="s">
        <v>14940</v>
      </c>
      <c r="B548" s="11">
        <v>1.0</v>
      </c>
      <c r="C548" s="11">
        <v>4933.0</v>
      </c>
      <c r="D548" s="81"/>
      <c r="E548" s="126"/>
      <c r="F548" s="555"/>
      <c r="G548" s="126"/>
      <c r="H548" s="126"/>
      <c r="I548" s="126"/>
    </row>
    <row r="549">
      <c r="A549" s="21" t="s">
        <v>14941</v>
      </c>
      <c r="B549" s="11">
        <v>1.0</v>
      </c>
      <c r="C549" s="11">
        <v>4933.0</v>
      </c>
      <c r="D549" s="81"/>
      <c r="E549" s="126"/>
      <c r="F549" s="555"/>
      <c r="G549" s="126"/>
      <c r="H549" s="126"/>
      <c r="I549" s="126"/>
    </row>
    <row r="550">
      <c r="A550" s="21" t="s">
        <v>14942</v>
      </c>
      <c r="B550" s="11">
        <v>1.0</v>
      </c>
      <c r="C550" s="11">
        <v>4933.0</v>
      </c>
      <c r="D550" s="81"/>
      <c r="E550" s="126"/>
      <c r="F550" s="555"/>
      <c r="G550" s="126"/>
      <c r="H550" s="126"/>
      <c r="I550" s="126"/>
    </row>
    <row r="551">
      <c r="A551" s="21" t="s">
        <v>14943</v>
      </c>
      <c r="B551" s="11">
        <v>1.0</v>
      </c>
      <c r="C551" s="11">
        <v>4933.0</v>
      </c>
      <c r="D551" s="81"/>
      <c r="E551" s="126"/>
      <c r="F551" s="555"/>
      <c r="G551" s="126"/>
      <c r="H551" s="126"/>
      <c r="I551" s="126"/>
    </row>
    <row r="552">
      <c r="A552" s="21" t="s">
        <v>14944</v>
      </c>
      <c r="B552" s="11">
        <v>1.0</v>
      </c>
      <c r="C552" s="11">
        <v>4933.0</v>
      </c>
      <c r="D552" s="81"/>
      <c r="E552" s="126"/>
      <c r="F552" s="555"/>
      <c r="G552" s="126"/>
      <c r="H552" s="126"/>
      <c r="I552" s="126"/>
    </row>
    <row r="553">
      <c r="A553" s="21" t="s">
        <v>14945</v>
      </c>
      <c r="B553" s="11">
        <v>1.0</v>
      </c>
      <c r="C553" s="11">
        <v>4933.0</v>
      </c>
      <c r="D553" s="81"/>
      <c r="E553" s="126"/>
      <c r="F553" s="555"/>
      <c r="G553" s="126"/>
      <c r="H553" s="126"/>
      <c r="I553" s="126"/>
    </row>
    <row r="554">
      <c r="A554" s="21" t="s">
        <v>14946</v>
      </c>
      <c r="B554" s="11">
        <v>1.0</v>
      </c>
      <c r="C554" s="11">
        <v>4933.0</v>
      </c>
      <c r="D554" s="81"/>
      <c r="E554" s="126"/>
      <c r="F554" s="555"/>
      <c r="G554" s="126"/>
      <c r="H554" s="126"/>
      <c r="I554" s="126"/>
    </row>
    <row r="555">
      <c r="A555" s="21" t="s">
        <v>14947</v>
      </c>
      <c r="B555" s="11">
        <v>1.0</v>
      </c>
      <c r="C555" s="11">
        <v>4933.0</v>
      </c>
      <c r="D555" s="81"/>
      <c r="E555" s="126"/>
      <c r="F555" s="555"/>
      <c r="G555" s="126"/>
      <c r="H555" s="126"/>
      <c r="I555" s="126"/>
    </row>
    <row r="556">
      <c r="A556" s="21" t="s">
        <v>14948</v>
      </c>
      <c r="B556" s="11">
        <v>1.0</v>
      </c>
      <c r="C556" s="11">
        <v>4933.0</v>
      </c>
      <c r="D556" s="81"/>
      <c r="E556" s="126"/>
      <c r="F556" s="555"/>
      <c r="G556" s="126"/>
      <c r="H556" s="126"/>
      <c r="I556" s="126"/>
    </row>
    <row r="557">
      <c r="A557" s="21" t="s">
        <v>14949</v>
      </c>
      <c r="B557" s="11">
        <v>1.0</v>
      </c>
      <c r="C557" s="11">
        <v>4687.0</v>
      </c>
      <c r="D557" s="81"/>
      <c r="E557" s="126"/>
      <c r="F557" s="555"/>
      <c r="G557" s="126"/>
      <c r="H557" s="126"/>
      <c r="I557" s="126"/>
    </row>
    <row r="558">
      <c r="A558" s="21" t="s">
        <v>14950</v>
      </c>
      <c r="B558" s="11">
        <v>1.0</v>
      </c>
      <c r="C558" s="11">
        <v>4687.0</v>
      </c>
      <c r="D558" s="81"/>
      <c r="E558" s="126"/>
      <c r="F558" s="555"/>
      <c r="G558" s="126"/>
      <c r="H558" s="126"/>
      <c r="I558" s="126"/>
    </row>
    <row r="559">
      <c r="A559" s="21" t="s">
        <v>14951</v>
      </c>
      <c r="B559" s="11">
        <v>1.0</v>
      </c>
      <c r="C559" s="11">
        <v>4687.0</v>
      </c>
      <c r="D559" s="81"/>
      <c r="E559" s="126"/>
      <c r="F559" s="555"/>
      <c r="G559" s="126"/>
      <c r="H559" s="126"/>
      <c r="I559" s="126"/>
    </row>
    <row r="560">
      <c r="A560" s="21" t="s">
        <v>14952</v>
      </c>
      <c r="B560" s="11">
        <v>1.0</v>
      </c>
      <c r="C560" s="11">
        <v>4687.0</v>
      </c>
      <c r="D560" s="81"/>
      <c r="E560" s="126"/>
      <c r="F560" s="555"/>
      <c r="G560" s="126"/>
      <c r="H560" s="126"/>
      <c r="I560" s="126"/>
    </row>
    <row r="561">
      <c r="A561" s="21" t="s">
        <v>14953</v>
      </c>
      <c r="B561" s="11">
        <v>1.0</v>
      </c>
      <c r="C561" s="11">
        <v>4687.0</v>
      </c>
      <c r="D561" s="81"/>
      <c r="E561" s="126"/>
      <c r="F561" s="555"/>
      <c r="G561" s="126"/>
      <c r="H561" s="126"/>
      <c r="I561" s="126"/>
    </row>
    <row r="562">
      <c r="A562" s="21" t="s">
        <v>14954</v>
      </c>
      <c r="B562" s="11">
        <v>1.0</v>
      </c>
      <c r="C562" s="11">
        <v>4687.0</v>
      </c>
      <c r="D562" s="81"/>
      <c r="E562" s="126"/>
      <c r="F562" s="555"/>
      <c r="G562" s="126"/>
      <c r="H562" s="126"/>
      <c r="I562" s="126"/>
    </row>
    <row r="563">
      <c r="A563" s="21" t="s">
        <v>14955</v>
      </c>
      <c r="B563" s="11">
        <v>1.0</v>
      </c>
      <c r="C563" s="11">
        <v>4687.0</v>
      </c>
      <c r="D563" s="81"/>
      <c r="E563" s="126"/>
      <c r="F563" s="555"/>
      <c r="G563" s="126"/>
      <c r="H563" s="126"/>
      <c r="I563" s="126"/>
    </row>
    <row r="564">
      <c r="A564" s="21" t="s">
        <v>14956</v>
      </c>
      <c r="B564" s="11">
        <v>1.0</v>
      </c>
      <c r="C564" s="11">
        <v>6736.0</v>
      </c>
      <c r="D564" s="81"/>
      <c r="E564" s="126"/>
      <c r="F564" s="555"/>
      <c r="G564" s="126"/>
      <c r="H564" s="126"/>
      <c r="I564" s="126"/>
    </row>
    <row r="565">
      <c r="A565" s="21" t="s">
        <v>14957</v>
      </c>
      <c r="B565" s="11">
        <v>1.0</v>
      </c>
      <c r="C565" s="11">
        <v>6736.0</v>
      </c>
      <c r="D565" s="81"/>
      <c r="E565" s="126"/>
      <c r="F565" s="555"/>
      <c r="G565" s="126"/>
      <c r="H565" s="126"/>
      <c r="I565" s="126"/>
    </row>
    <row r="566">
      <c r="A566" s="21" t="s">
        <v>14958</v>
      </c>
      <c r="B566" s="11">
        <v>1.0</v>
      </c>
      <c r="C566" s="11">
        <v>4687.0</v>
      </c>
      <c r="D566" s="81"/>
      <c r="E566" s="126"/>
      <c r="F566" s="555"/>
      <c r="G566" s="126"/>
      <c r="H566" s="126"/>
      <c r="I566" s="126"/>
    </row>
    <row r="567">
      <c r="A567" s="21" t="s">
        <v>14959</v>
      </c>
      <c r="B567" s="11">
        <v>1.0</v>
      </c>
      <c r="C567" s="11">
        <v>4687.0</v>
      </c>
      <c r="D567" s="81"/>
      <c r="E567" s="126"/>
      <c r="F567" s="555"/>
      <c r="G567" s="126"/>
      <c r="H567" s="126"/>
      <c r="I567" s="126"/>
    </row>
    <row r="568">
      <c r="A568" s="21" t="s">
        <v>14960</v>
      </c>
      <c r="B568" s="11">
        <v>1.0</v>
      </c>
      <c r="C568" s="11">
        <v>6671.0</v>
      </c>
      <c r="D568" s="81"/>
      <c r="E568" s="126"/>
      <c r="F568" s="555"/>
      <c r="G568" s="126"/>
      <c r="H568" s="126"/>
      <c r="I568" s="126"/>
    </row>
    <row r="569">
      <c r="A569" s="21" t="s">
        <v>14961</v>
      </c>
      <c r="B569" s="11">
        <v>1.0</v>
      </c>
      <c r="C569" s="11">
        <v>4687.0</v>
      </c>
      <c r="D569" s="81"/>
      <c r="E569" s="126"/>
      <c r="F569" s="555"/>
      <c r="G569" s="126"/>
      <c r="H569" s="126"/>
      <c r="I569" s="126"/>
    </row>
    <row r="570">
      <c r="A570" s="21" t="s">
        <v>14962</v>
      </c>
      <c r="B570" s="11">
        <v>1.0</v>
      </c>
      <c r="C570" s="11">
        <v>4687.0</v>
      </c>
      <c r="D570" s="81"/>
      <c r="E570" s="126"/>
      <c r="F570" s="555"/>
      <c r="G570" s="126"/>
      <c r="H570" s="126"/>
      <c r="I570" s="126"/>
    </row>
    <row r="571">
      <c r="A571" s="21" t="s">
        <v>14963</v>
      </c>
      <c r="B571" s="11">
        <v>1.0</v>
      </c>
      <c r="C571" s="11">
        <v>4687.0</v>
      </c>
      <c r="D571" s="81"/>
      <c r="E571" s="126"/>
      <c r="F571" s="555"/>
      <c r="G571" s="126"/>
      <c r="H571" s="126"/>
      <c r="I571" s="126"/>
    </row>
    <row r="572">
      <c r="A572" s="21" t="s">
        <v>14964</v>
      </c>
      <c r="B572" s="11">
        <v>1.0</v>
      </c>
      <c r="C572" s="11">
        <v>4687.0</v>
      </c>
      <c r="D572" s="81"/>
      <c r="E572" s="126"/>
      <c r="F572" s="555"/>
      <c r="G572" s="126"/>
      <c r="H572" s="126"/>
      <c r="I572" s="126"/>
    </row>
    <row r="573">
      <c r="A573" s="21" t="s">
        <v>14965</v>
      </c>
      <c r="B573" s="11">
        <v>1.0</v>
      </c>
      <c r="C573" s="11">
        <v>5389.0</v>
      </c>
      <c r="D573" s="81"/>
      <c r="E573" s="126"/>
      <c r="F573" s="555"/>
      <c r="G573" s="126"/>
      <c r="H573" s="126"/>
      <c r="I573" s="126"/>
    </row>
    <row r="574">
      <c r="A574" s="21" t="s">
        <v>14966</v>
      </c>
      <c r="B574" s="11">
        <v>1.0</v>
      </c>
      <c r="C574" s="11">
        <v>4687.0</v>
      </c>
      <c r="D574" s="81"/>
      <c r="E574" s="126"/>
      <c r="F574" s="555"/>
      <c r="G574" s="126"/>
      <c r="H574" s="126"/>
      <c r="I574" s="126"/>
    </row>
    <row r="575">
      <c r="A575" s="21" t="s">
        <v>14967</v>
      </c>
      <c r="B575" s="11">
        <v>1.0</v>
      </c>
      <c r="C575" s="11">
        <v>6823.0</v>
      </c>
      <c r="D575" s="81"/>
      <c r="E575" s="126"/>
      <c r="F575" s="555"/>
      <c r="G575" s="126"/>
      <c r="H575" s="126"/>
      <c r="I575" s="126"/>
    </row>
    <row r="576">
      <c r="A576" s="21" t="s">
        <v>14968</v>
      </c>
      <c r="B576" s="11">
        <v>1.0</v>
      </c>
      <c r="C576" s="11">
        <v>6823.0</v>
      </c>
      <c r="D576" s="81"/>
      <c r="E576" s="126"/>
      <c r="F576" s="555"/>
      <c r="G576" s="126"/>
      <c r="H576" s="126"/>
      <c r="I576" s="126"/>
    </row>
    <row r="577">
      <c r="A577" s="21" t="s">
        <v>14969</v>
      </c>
      <c r="B577" s="11">
        <v>1.0</v>
      </c>
      <c r="C577" s="11">
        <v>4687.0</v>
      </c>
      <c r="D577" s="81"/>
      <c r="E577" s="126"/>
      <c r="F577" s="555"/>
      <c r="G577" s="126"/>
      <c r="H577" s="126"/>
      <c r="I577" s="126"/>
    </row>
    <row r="578">
      <c r="A578" s="21" t="s">
        <v>14970</v>
      </c>
      <c r="B578" s="11">
        <v>1.0</v>
      </c>
      <c r="C578" s="11">
        <v>4687.0</v>
      </c>
      <c r="D578" s="81"/>
      <c r="E578" s="126"/>
      <c r="F578" s="555"/>
      <c r="G578" s="126"/>
      <c r="H578" s="126"/>
      <c r="I578" s="126"/>
    </row>
    <row r="579">
      <c r="A579" s="21" t="s">
        <v>14971</v>
      </c>
      <c r="B579" s="11">
        <v>1.0</v>
      </c>
      <c r="C579" s="11">
        <v>6750.0</v>
      </c>
      <c r="D579" s="81"/>
      <c r="E579" s="126"/>
      <c r="F579" s="555"/>
      <c r="G579" s="126"/>
      <c r="H579" s="126"/>
      <c r="I579" s="126"/>
    </row>
    <row r="580">
      <c r="A580" s="21" t="s">
        <v>14972</v>
      </c>
      <c r="B580" s="11">
        <v>1.0</v>
      </c>
      <c r="C580" s="11">
        <v>4687.0</v>
      </c>
      <c r="D580" s="81"/>
      <c r="E580" s="126"/>
      <c r="F580" s="555"/>
      <c r="G580" s="126"/>
      <c r="H580" s="126"/>
      <c r="I580" s="126"/>
    </row>
    <row r="581">
      <c r="A581" s="21" t="s">
        <v>14973</v>
      </c>
      <c r="B581" s="11">
        <v>1.0</v>
      </c>
      <c r="C581" s="11">
        <v>4687.0</v>
      </c>
      <c r="D581" s="81"/>
      <c r="E581" s="126"/>
      <c r="F581" s="555"/>
      <c r="G581" s="126"/>
      <c r="H581" s="126"/>
      <c r="I581" s="126"/>
    </row>
    <row r="582">
      <c r="A582" s="21" t="s">
        <v>14974</v>
      </c>
      <c r="B582" s="11">
        <v>1.0</v>
      </c>
      <c r="C582" s="11">
        <v>4687.0</v>
      </c>
      <c r="D582" s="81"/>
      <c r="E582" s="126"/>
      <c r="F582" s="555"/>
      <c r="G582" s="126"/>
      <c r="H582" s="126"/>
      <c r="I582" s="126"/>
    </row>
    <row r="583">
      <c r="A583" s="21" t="s">
        <v>14975</v>
      </c>
      <c r="B583" s="11">
        <v>1.0</v>
      </c>
      <c r="C583" s="11">
        <v>4687.0</v>
      </c>
      <c r="D583" s="81"/>
      <c r="E583" s="126"/>
      <c r="F583" s="555"/>
      <c r="G583" s="126"/>
      <c r="H583" s="126"/>
      <c r="I583" s="126"/>
    </row>
    <row r="584">
      <c r="A584" s="21" t="s">
        <v>14976</v>
      </c>
      <c r="B584" s="11">
        <v>1.0</v>
      </c>
      <c r="C584" s="11">
        <v>4687.0</v>
      </c>
      <c r="D584" s="81"/>
      <c r="E584" s="126"/>
      <c r="F584" s="555"/>
      <c r="G584" s="126"/>
      <c r="H584" s="126"/>
      <c r="I584" s="126"/>
    </row>
    <row r="585">
      <c r="A585" s="21" t="s">
        <v>14977</v>
      </c>
      <c r="B585" s="11">
        <v>1.0</v>
      </c>
      <c r="C585" s="81">
        <v>6132.0</v>
      </c>
      <c r="D585" s="81"/>
      <c r="E585" s="126"/>
      <c r="F585" s="555"/>
      <c r="G585" s="126"/>
      <c r="H585" s="126"/>
      <c r="I585" s="126"/>
    </row>
    <row r="586">
      <c r="A586" s="21" t="s">
        <v>14978</v>
      </c>
      <c r="B586" s="11">
        <v>1.0</v>
      </c>
      <c r="C586" s="11">
        <v>6898.0</v>
      </c>
      <c r="D586" s="81"/>
      <c r="E586" s="126"/>
      <c r="F586" s="555"/>
      <c r="G586" s="126"/>
      <c r="H586" s="126"/>
      <c r="I586" s="126"/>
    </row>
    <row r="587">
      <c r="A587" s="21" t="s">
        <v>14979</v>
      </c>
      <c r="B587" s="11">
        <v>1.0</v>
      </c>
      <c r="C587" s="11">
        <v>189.0</v>
      </c>
      <c r="D587" s="81"/>
      <c r="E587" s="126"/>
      <c r="F587" s="555"/>
      <c r="G587" s="126"/>
      <c r="H587" s="126"/>
      <c r="I587" s="126"/>
    </row>
    <row r="588">
      <c r="A588" s="21" t="s">
        <v>14980</v>
      </c>
      <c r="B588" s="11">
        <v>1.0</v>
      </c>
      <c r="C588" s="11">
        <v>189.0</v>
      </c>
      <c r="D588" s="81"/>
      <c r="E588" s="126"/>
      <c r="F588" s="555"/>
      <c r="G588" s="126"/>
      <c r="H588" s="126"/>
      <c r="I588" s="126"/>
    </row>
    <row r="589">
      <c r="A589" s="21" t="s">
        <v>14981</v>
      </c>
      <c r="B589" s="11">
        <v>1.0</v>
      </c>
      <c r="C589" s="11">
        <v>189.0</v>
      </c>
      <c r="D589" s="81"/>
      <c r="E589" s="126"/>
      <c r="F589" s="555"/>
      <c r="G589" s="126"/>
      <c r="H589" s="126"/>
      <c r="I589" s="126"/>
    </row>
    <row r="590">
      <c r="A590" s="21" t="s">
        <v>14982</v>
      </c>
      <c r="B590" s="11">
        <v>1.0</v>
      </c>
      <c r="C590" s="11">
        <v>189.0</v>
      </c>
      <c r="D590" s="81"/>
      <c r="E590" s="126"/>
      <c r="F590" s="555"/>
      <c r="G590" s="126"/>
      <c r="H590" s="126"/>
      <c r="I590" s="126"/>
    </row>
    <row r="591">
      <c r="A591" s="21" t="s">
        <v>14983</v>
      </c>
      <c r="B591" s="11">
        <v>1.0</v>
      </c>
      <c r="C591" s="11">
        <v>189.0</v>
      </c>
      <c r="D591" s="81"/>
      <c r="E591" s="126"/>
      <c r="F591" s="555"/>
      <c r="G591" s="126"/>
      <c r="H591" s="126"/>
      <c r="I591" s="126"/>
    </row>
    <row r="592">
      <c r="A592" s="21" t="s">
        <v>14984</v>
      </c>
      <c r="B592" s="11">
        <v>1.0</v>
      </c>
      <c r="C592" s="11">
        <v>4933.0</v>
      </c>
      <c r="D592" s="81"/>
      <c r="E592" s="126"/>
      <c r="F592" s="555"/>
      <c r="G592" s="126"/>
      <c r="H592" s="126"/>
      <c r="I592" s="126"/>
    </row>
    <row r="593">
      <c r="A593" s="21" t="s">
        <v>14985</v>
      </c>
      <c r="B593" s="11">
        <v>1.0</v>
      </c>
      <c r="C593" s="11">
        <v>4933.0</v>
      </c>
      <c r="D593" s="81"/>
      <c r="E593" s="126"/>
      <c r="F593" s="555"/>
      <c r="G593" s="126"/>
      <c r="H593" s="126"/>
      <c r="I593" s="126"/>
    </row>
    <row r="594">
      <c r="A594" s="21" t="s">
        <v>14986</v>
      </c>
      <c r="B594" s="11">
        <v>1.0</v>
      </c>
      <c r="C594" s="11">
        <v>4933.0</v>
      </c>
      <c r="D594" s="81"/>
      <c r="E594" s="126"/>
      <c r="F594" s="555"/>
      <c r="G594" s="126"/>
      <c r="H594" s="126"/>
      <c r="I594" s="126"/>
    </row>
    <row r="595">
      <c r="A595" s="21" t="s">
        <v>14987</v>
      </c>
      <c r="B595" s="11">
        <v>1.0</v>
      </c>
      <c r="C595" s="11">
        <v>4933.0</v>
      </c>
      <c r="D595" s="81"/>
      <c r="E595" s="126"/>
      <c r="F595" s="555"/>
      <c r="G595" s="126"/>
      <c r="H595" s="126"/>
      <c r="I595" s="126"/>
    </row>
    <row r="596">
      <c r="A596" s="21" t="s">
        <v>14988</v>
      </c>
      <c r="B596" s="11">
        <v>1.0</v>
      </c>
      <c r="C596" s="11">
        <v>4933.0</v>
      </c>
      <c r="D596" s="81"/>
      <c r="E596" s="126"/>
      <c r="F596" s="555"/>
      <c r="G596" s="126"/>
      <c r="H596" s="126"/>
      <c r="I596" s="126"/>
    </row>
    <row r="597">
      <c r="A597" s="21" t="s">
        <v>14989</v>
      </c>
      <c r="B597" s="11">
        <v>1.0</v>
      </c>
      <c r="C597" s="11">
        <v>6891.0</v>
      </c>
      <c r="D597" s="81"/>
      <c r="E597" s="126"/>
      <c r="F597" s="555"/>
      <c r="G597" s="126"/>
      <c r="H597" s="126"/>
      <c r="I597" s="126"/>
    </row>
    <row r="598">
      <c r="A598" s="21" t="s">
        <v>14990</v>
      </c>
      <c r="B598" s="11">
        <v>1.0</v>
      </c>
      <c r="C598" s="11">
        <v>6891.0</v>
      </c>
      <c r="D598" s="81"/>
      <c r="E598" s="126"/>
      <c r="F598" s="555"/>
      <c r="G598" s="126"/>
      <c r="H598" s="126"/>
      <c r="I598" s="126"/>
    </row>
    <row r="599">
      <c r="A599" s="21" t="s">
        <v>14991</v>
      </c>
      <c r="B599" s="11">
        <v>1.0</v>
      </c>
      <c r="C599" s="11">
        <v>6898.0</v>
      </c>
      <c r="D599" s="81"/>
      <c r="E599" s="126"/>
      <c r="F599" s="555"/>
      <c r="G599" s="126"/>
      <c r="H599" s="126"/>
      <c r="I599" s="126"/>
    </row>
    <row r="600">
      <c r="A600" s="21" t="s">
        <v>14992</v>
      </c>
      <c r="B600" s="11">
        <v>1.0</v>
      </c>
      <c r="C600" s="11">
        <v>6898.0</v>
      </c>
      <c r="D600" s="81"/>
      <c r="E600" s="126"/>
      <c r="F600" s="555"/>
      <c r="G600" s="126"/>
      <c r="H600" s="126"/>
      <c r="I600" s="126"/>
    </row>
    <row r="601">
      <c r="A601" s="21" t="s">
        <v>14993</v>
      </c>
      <c r="B601" s="11">
        <v>1.0</v>
      </c>
      <c r="C601" s="11">
        <v>6898.0</v>
      </c>
      <c r="D601" s="81"/>
      <c r="E601" s="126"/>
      <c r="F601" s="555"/>
      <c r="G601" s="126"/>
      <c r="H601" s="126"/>
      <c r="I601" s="126"/>
    </row>
    <row r="602">
      <c r="A602" s="21" t="s">
        <v>14994</v>
      </c>
      <c r="B602" s="11">
        <v>1.0</v>
      </c>
      <c r="C602" s="11">
        <v>6898.0</v>
      </c>
      <c r="D602" s="81"/>
      <c r="E602" s="126"/>
      <c r="F602" s="555"/>
      <c r="G602" s="126"/>
      <c r="H602" s="126"/>
      <c r="I602" s="126"/>
    </row>
    <row r="603">
      <c r="A603" s="21" t="s">
        <v>14995</v>
      </c>
      <c r="B603" s="11">
        <v>1.0</v>
      </c>
      <c r="C603" s="11">
        <v>6898.0</v>
      </c>
      <c r="D603" s="81"/>
      <c r="E603" s="126"/>
      <c r="F603" s="555"/>
      <c r="G603" s="126"/>
      <c r="H603" s="126"/>
      <c r="I603" s="126"/>
    </row>
    <row r="604">
      <c r="A604" s="21" t="s">
        <v>14996</v>
      </c>
      <c r="B604" s="11">
        <v>1.0</v>
      </c>
      <c r="C604" s="11">
        <v>6898.0</v>
      </c>
      <c r="D604" s="81"/>
      <c r="E604" s="126"/>
      <c r="F604" s="555"/>
      <c r="G604" s="126"/>
      <c r="H604" s="126"/>
      <c r="I604" s="126"/>
    </row>
    <row r="605">
      <c r="A605" s="21" t="s">
        <v>14997</v>
      </c>
      <c r="B605" s="11">
        <v>1.0</v>
      </c>
      <c r="C605" s="11">
        <v>6898.0</v>
      </c>
      <c r="D605" s="81"/>
      <c r="E605" s="126"/>
      <c r="F605" s="555"/>
      <c r="G605" s="126"/>
      <c r="H605" s="126"/>
      <c r="I605" s="126"/>
    </row>
    <row r="606">
      <c r="A606" s="21" t="s">
        <v>14998</v>
      </c>
      <c r="B606" s="11">
        <v>1.0</v>
      </c>
      <c r="C606" s="11">
        <v>6898.0</v>
      </c>
      <c r="D606" s="81"/>
      <c r="E606" s="126"/>
      <c r="F606" s="555"/>
      <c r="G606" s="126"/>
      <c r="H606" s="126"/>
      <c r="I606" s="126"/>
    </row>
    <row r="607">
      <c r="A607" s="21" t="s">
        <v>14999</v>
      </c>
      <c r="B607" s="11">
        <v>1.0</v>
      </c>
      <c r="C607" s="11">
        <v>6898.0</v>
      </c>
      <c r="D607" s="81"/>
      <c r="E607" s="126"/>
      <c r="F607" s="555"/>
      <c r="G607" s="126"/>
      <c r="H607" s="126"/>
      <c r="I607" s="126"/>
    </row>
    <row r="608">
      <c r="A608" s="21" t="s">
        <v>15000</v>
      </c>
      <c r="B608" s="11">
        <v>1.0</v>
      </c>
      <c r="C608" s="11">
        <v>6898.0</v>
      </c>
      <c r="D608" s="81"/>
      <c r="E608" s="126"/>
      <c r="F608" s="555"/>
      <c r="G608" s="126"/>
      <c r="H608" s="126"/>
      <c r="I608" s="126"/>
    </row>
    <row r="609">
      <c r="A609" s="21" t="s">
        <v>15001</v>
      </c>
      <c r="B609" s="11">
        <v>1.0</v>
      </c>
      <c r="C609" s="11">
        <v>6678.0</v>
      </c>
      <c r="D609" s="81"/>
      <c r="E609" s="126"/>
      <c r="F609" s="555"/>
      <c r="G609" s="126"/>
      <c r="H609" s="126"/>
      <c r="I609" s="126"/>
    </row>
    <row r="610">
      <c r="A610" s="21" t="s">
        <v>15002</v>
      </c>
      <c r="B610" s="11">
        <v>1.0</v>
      </c>
      <c r="C610" s="11">
        <v>6898.0</v>
      </c>
      <c r="D610" s="81"/>
      <c r="E610" s="126"/>
      <c r="F610" s="555"/>
      <c r="G610" s="126"/>
      <c r="H610" s="126"/>
      <c r="I610" s="126"/>
    </row>
    <row r="611">
      <c r="A611" s="21" t="s">
        <v>15003</v>
      </c>
      <c r="B611" s="11">
        <v>1.0</v>
      </c>
      <c r="C611" s="11">
        <v>6898.0</v>
      </c>
      <c r="D611" s="81"/>
      <c r="E611" s="126"/>
      <c r="F611" s="555"/>
      <c r="G611" s="126"/>
      <c r="H611" s="126"/>
      <c r="I611" s="126"/>
    </row>
    <row r="612">
      <c r="A612" s="21" t="s">
        <v>15004</v>
      </c>
      <c r="B612" s="11">
        <v>1.0</v>
      </c>
      <c r="C612" s="11">
        <v>6898.0</v>
      </c>
      <c r="D612" s="81"/>
      <c r="E612" s="126"/>
      <c r="F612" s="555"/>
      <c r="G612" s="126"/>
      <c r="H612" s="126"/>
      <c r="I612" s="126"/>
    </row>
    <row r="613">
      <c r="A613" s="21" t="s">
        <v>15005</v>
      </c>
      <c r="B613" s="11">
        <v>1.0</v>
      </c>
      <c r="C613" s="11">
        <v>6898.0</v>
      </c>
      <c r="D613" s="81"/>
      <c r="E613" s="126"/>
      <c r="F613" s="555"/>
      <c r="G613" s="126"/>
      <c r="H613" s="126"/>
      <c r="I613" s="126"/>
    </row>
    <row r="614">
      <c r="A614" s="21" t="s">
        <v>15006</v>
      </c>
      <c r="B614" s="11">
        <v>1.0</v>
      </c>
      <c r="C614" s="11">
        <v>6898.0</v>
      </c>
      <c r="D614" s="81"/>
      <c r="E614" s="126"/>
      <c r="F614" s="555"/>
      <c r="G614" s="126"/>
      <c r="H614" s="126"/>
      <c r="I614" s="126"/>
    </row>
    <row r="615">
      <c r="A615" s="21" t="s">
        <v>15007</v>
      </c>
      <c r="B615" s="11">
        <v>1.0</v>
      </c>
      <c r="C615" s="11">
        <v>6898.0</v>
      </c>
      <c r="D615" s="81"/>
      <c r="E615" s="126"/>
      <c r="F615" s="555"/>
      <c r="G615" s="126"/>
      <c r="H615" s="126"/>
      <c r="I615" s="126"/>
    </row>
    <row r="616">
      <c r="A616" s="21" t="s">
        <v>15008</v>
      </c>
      <c r="B616" s="11">
        <v>1.0</v>
      </c>
      <c r="C616" s="11">
        <v>5458.0</v>
      </c>
      <c r="D616" s="81"/>
      <c r="E616" s="126"/>
      <c r="F616" s="555"/>
      <c r="G616" s="126"/>
      <c r="H616" s="126"/>
      <c r="I616" s="126"/>
    </row>
    <row r="617">
      <c r="A617" s="21" t="s">
        <v>15009</v>
      </c>
      <c r="B617" s="11">
        <v>1.0</v>
      </c>
      <c r="C617" s="11">
        <v>6898.0</v>
      </c>
      <c r="D617" s="81"/>
      <c r="E617" s="126"/>
      <c r="F617" s="555"/>
      <c r="G617" s="126"/>
      <c r="H617" s="126"/>
      <c r="I617" s="126"/>
    </row>
    <row r="618">
      <c r="A618" s="21" t="s">
        <v>15010</v>
      </c>
      <c r="B618" s="11">
        <v>1.0</v>
      </c>
      <c r="C618" s="11">
        <v>6898.0</v>
      </c>
      <c r="D618" s="81"/>
      <c r="E618" s="126"/>
      <c r="F618" s="555"/>
      <c r="G618" s="126"/>
      <c r="H618" s="126"/>
      <c r="I618" s="126"/>
    </row>
    <row r="619">
      <c r="A619" s="21" t="s">
        <v>15011</v>
      </c>
      <c r="B619" s="11">
        <v>1.0</v>
      </c>
      <c r="C619" s="11">
        <v>4687.0</v>
      </c>
      <c r="D619" s="81"/>
      <c r="E619" s="126"/>
      <c r="F619" s="555"/>
      <c r="G619" s="126"/>
      <c r="H619" s="126"/>
      <c r="I619" s="126"/>
    </row>
    <row r="620">
      <c r="A620" s="21" t="s">
        <v>15012</v>
      </c>
      <c r="B620" s="11">
        <v>1.0</v>
      </c>
      <c r="C620" s="11">
        <v>4687.0</v>
      </c>
      <c r="D620" s="81"/>
      <c r="E620" s="126"/>
      <c r="F620" s="555"/>
      <c r="G620" s="126"/>
      <c r="H620" s="126"/>
      <c r="I620" s="126"/>
    </row>
    <row r="621">
      <c r="A621" s="21" t="s">
        <v>15013</v>
      </c>
      <c r="B621" s="11">
        <v>1.0</v>
      </c>
      <c r="C621" s="11">
        <v>6890.0</v>
      </c>
      <c r="D621" s="81"/>
      <c r="E621" s="126"/>
      <c r="F621" s="555"/>
      <c r="G621" s="126"/>
      <c r="H621" s="126"/>
      <c r="I621" s="126"/>
    </row>
    <row r="622">
      <c r="A622" s="21" t="s">
        <v>15014</v>
      </c>
      <c r="B622" s="11">
        <v>1.0</v>
      </c>
      <c r="C622" s="11">
        <v>6120.0</v>
      </c>
      <c r="D622" s="81"/>
      <c r="E622" s="126"/>
      <c r="F622" s="555"/>
      <c r="G622" s="126"/>
      <c r="H622" s="126"/>
      <c r="I622" s="126"/>
    </row>
    <row r="623">
      <c r="A623" s="21" t="s">
        <v>15015</v>
      </c>
      <c r="B623" s="11">
        <v>1.0</v>
      </c>
      <c r="C623" s="11">
        <v>6120.0</v>
      </c>
      <c r="D623" s="81"/>
      <c r="E623" s="126"/>
      <c r="F623" s="555"/>
      <c r="G623" s="126"/>
      <c r="H623" s="126"/>
      <c r="I623" s="126"/>
    </row>
    <row r="624">
      <c r="A624" s="21" t="s">
        <v>15016</v>
      </c>
      <c r="B624" s="11">
        <v>1.0</v>
      </c>
      <c r="C624" s="11">
        <v>6120.0</v>
      </c>
      <c r="D624" s="81"/>
      <c r="E624" s="126"/>
      <c r="F624" s="555"/>
      <c r="G624" s="126"/>
      <c r="H624" s="126"/>
      <c r="I624" s="126"/>
    </row>
    <row r="625">
      <c r="A625" s="21" t="s">
        <v>15017</v>
      </c>
      <c r="B625" s="11">
        <v>1.0</v>
      </c>
      <c r="C625" s="11">
        <v>6120.0</v>
      </c>
      <c r="D625" s="81"/>
      <c r="E625" s="126"/>
      <c r="F625" s="555"/>
      <c r="G625" s="126"/>
      <c r="H625" s="126"/>
      <c r="I625" s="126"/>
    </row>
    <row r="626">
      <c r="A626" s="21" t="s">
        <v>15018</v>
      </c>
      <c r="B626" s="11">
        <v>1.0</v>
      </c>
      <c r="C626" s="11">
        <v>6120.0</v>
      </c>
      <c r="D626" s="81"/>
      <c r="E626" s="126"/>
      <c r="F626" s="555"/>
      <c r="G626" s="126"/>
      <c r="H626" s="126"/>
      <c r="I626" s="126"/>
    </row>
    <row r="627">
      <c r="A627" s="21" t="s">
        <v>15019</v>
      </c>
      <c r="B627" s="11">
        <v>1.0</v>
      </c>
      <c r="C627" s="11">
        <v>6120.0</v>
      </c>
      <c r="D627" s="81"/>
      <c r="E627" s="126"/>
      <c r="F627" s="555"/>
      <c r="G627" s="126"/>
      <c r="H627" s="126"/>
      <c r="I627" s="126"/>
    </row>
    <row r="628">
      <c r="A628" s="21" t="s">
        <v>15020</v>
      </c>
      <c r="B628" s="11">
        <v>1.0</v>
      </c>
      <c r="C628" s="11">
        <v>6120.0</v>
      </c>
      <c r="D628" s="81"/>
      <c r="E628" s="126"/>
      <c r="F628" s="555"/>
      <c r="G628" s="126"/>
      <c r="H628" s="126"/>
      <c r="I628" s="126"/>
    </row>
    <row r="629">
      <c r="A629" s="21" t="s">
        <v>15021</v>
      </c>
      <c r="B629" s="11">
        <v>1.0</v>
      </c>
      <c r="C629" s="11">
        <v>6120.0</v>
      </c>
      <c r="D629" s="81"/>
      <c r="E629" s="126"/>
      <c r="F629" s="555"/>
      <c r="G629" s="126"/>
      <c r="H629" s="126"/>
      <c r="I629" s="126"/>
    </row>
    <row r="630">
      <c r="A630" s="21" t="s">
        <v>15022</v>
      </c>
      <c r="B630" s="11">
        <v>1.0</v>
      </c>
      <c r="C630" s="11">
        <v>6120.0</v>
      </c>
      <c r="D630" s="81"/>
      <c r="E630" s="126"/>
      <c r="F630" s="555"/>
      <c r="G630" s="126"/>
      <c r="H630" s="126"/>
      <c r="I630" s="126"/>
    </row>
    <row r="631">
      <c r="A631" s="21" t="s">
        <v>15023</v>
      </c>
      <c r="B631" s="11">
        <v>1.0</v>
      </c>
      <c r="C631" s="11">
        <v>6120.0</v>
      </c>
      <c r="D631" s="81"/>
      <c r="E631" s="126"/>
      <c r="F631" s="555"/>
      <c r="G631" s="126"/>
      <c r="H631" s="126"/>
      <c r="I631" s="126"/>
    </row>
    <row r="632">
      <c r="A632" s="21" t="s">
        <v>15024</v>
      </c>
      <c r="B632" s="11">
        <v>1.0</v>
      </c>
      <c r="C632" s="11">
        <v>6120.0</v>
      </c>
      <c r="D632" s="81"/>
      <c r="E632" s="126"/>
      <c r="F632" s="555"/>
      <c r="G632" s="126"/>
      <c r="H632" s="126"/>
      <c r="I632" s="126"/>
    </row>
    <row r="633">
      <c r="A633" s="21" t="s">
        <v>15025</v>
      </c>
      <c r="B633" s="11">
        <v>1.0</v>
      </c>
      <c r="C633" s="11">
        <v>6120.0</v>
      </c>
      <c r="D633" s="81"/>
      <c r="E633" s="126"/>
      <c r="F633" s="555"/>
      <c r="G633" s="126"/>
      <c r="H633" s="126"/>
      <c r="I633" s="126"/>
    </row>
    <row r="634">
      <c r="A634" s="21" t="s">
        <v>15026</v>
      </c>
      <c r="B634" s="11">
        <v>1.0</v>
      </c>
      <c r="C634" s="11">
        <v>6120.0</v>
      </c>
      <c r="D634" s="81"/>
      <c r="E634" s="126"/>
      <c r="F634" s="555"/>
      <c r="G634" s="126"/>
      <c r="H634" s="126"/>
      <c r="I634" s="126"/>
    </row>
    <row r="635">
      <c r="A635" s="21" t="s">
        <v>15027</v>
      </c>
      <c r="B635" s="11">
        <v>1.0</v>
      </c>
      <c r="C635" s="11">
        <v>6120.0</v>
      </c>
      <c r="D635" s="81"/>
      <c r="E635" s="126"/>
      <c r="F635" s="555"/>
      <c r="G635" s="126"/>
      <c r="H635" s="126"/>
      <c r="I635" s="126"/>
    </row>
    <row r="636">
      <c r="A636" s="21" t="s">
        <v>15028</v>
      </c>
      <c r="B636" s="11">
        <v>1.0</v>
      </c>
      <c r="C636" s="11">
        <v>6120.0</v>
      </c>
      <c r="D636" s="81"/>
      <c r="E636" s="126"/>
      <c r="F636" s="555"/>
      <c r="G636" s="126"/>
      <c r="H636" s="126"/>
      <c r="I636" s="126"/>
    </row>
    <row r="637">
      <c r="A637" s="21" t="s">
        <v>15029</v>
      </c>
      <c r="B637" s="11">
        <v>1.0</v>
      </c>
      <c r="C637" s="11">
        <v>6120.0</v>
      </c>
      <c r="D637" s="81"/>
      <c r="E637" s="126"/>
      <c r="F637" s="555"/>
      <c r="G637" s="126"/>
      <c r="H637" s="126"/>
      <c r="I637" s="126"/>
    </row>
    <row r="638">
      <c r="A638" s="21" t="s">
        <v>15030</v>
      </c>
      <c r="B638" s="11">
        <v>1.0</v>
      </c>
      <c r="C638" s="11">
        <v>6120.0</v>
      </c>
      <c r="D638" s="81"/>
      <c r="E638" s="126"/>
      <c r="F638" s="555"/>
      <c r="G638" s="126"/>
      <c r="H638" s="126"/>
      <c r="I638" s="126"/>
    </row>
    <row r="639">
      <c r="A639" s="21" t="s">
        <v>15031</v>
      </c>
      <c r="B639" s="11">
        <v>1.0</v>
      </c>
      <c r="C639" s="11">
        <v>6120.0</v>
      </c>
      <c r="D639" s="81"/>
      <c r="E639" s="126"/>
      <c r="F639" s="555"/>
      <c r="G639" s="126"/>
      <c r="H639" s="126"/>
      <c r="I639" s="126"/>
    </row>
    <row r="640">
      <c r="A640" s="21" t="s">
        <v>15032</v>
      </c>
      <c r="B640" s="11">
        <v>1.0</v>
      </c>
      <c r="C640" s="11">
        <v>6120.0</v>
      </c>
      <c r="D640" s="81"/>
      <c r="E640" s="126"/>
      <c r="F640" s="555"/>
      <c r="G640" s="126"/>
      <c r="H640" s="126"/>
      <c r="I640" s="126"/>
    </row>
    <row r="641">
      <c r="A641" s="21" t="s">
        <v>15033</v>
      </c>
      <c r="B641" s="11">
        <v>1.0</v>
      </c>
      <c r="C641" s="11">
        <v>6120.0</v>
      </c>
      <c r="D641" s="81"/>
      <c r="E641" s="126"/>
      <c r="F641" s="555"/>
      <c r="G641" s="126"/>
      <c r="H641" s="126"/>
      <c r="I641" s="126"/>
    </row>
    <row r="642">
      <c r="A642" s="21" t="s">
        <v>15034</v>
      </c>
      <c r="B642" s="11">
        <v>1.0</v>
      </c>
      <c r="C642" s="11">
        <v>6120.0</v>
      </c>
      <c r="D642" s="81"/>
      <c r="E642" s="126"/>
      <c r="F642" s="555"/>
      <c r="G642" s="126"/>
      <c r="H642" s="126"/>
      <c r="I642" s="126"/>
    </row>
    <row r="643">
      <c r="A643" s="21" t="s">
        <v>15035</v>
      </c>
      <c r="B643" s="11">
        <v>1.0</v>
      </c>
      <c r="C643" s="11">
        <v>6120.0</v>
      </c>
      <c r="D643" s="81"/>
      <c r="E643" s="126"/>
      <c r="F643" s="555"/>
      <c r="G643" s="126"/>
      <c r="H643" s="126"/>
      <c r="I643" s="126"/>
    </row>
    <row r="644">
      <c r="A644" s="21" t="s">
        <v>15036</v>
      </c>
      <c r="B644" s="11">
        <v>1.0</v>
      </c>
      <c r="C644" s="11">
        <v>6120.0</v>
      </c>
      <c r="D644" s="81"/>
      <c r="E644" s="126"/>
      <c r="F644" s="555"/>
      <c r="G644" s="126"/>
      <c r="H644" s="126"/>
      <c r="I644" s="126"/>
    </row>
    <row r="645">
      <c r="A645" s="21" t="s">
        <v>15037</v>
      </c>
      <c r="B645" s="11">
        <v>1.0</v>
      </c>
      <c r="C645" s="11">
        <v>6120.0</v>
      </c>
      <c r="D645" s="81"/>
      <c r="E645" s="126"/>
      <c r="F645" s="555"/>
      <c r="G645" s="126"/>
      <c r="H645" s="126"/>
      <c r="I645" s="126"/>
    </row>
    <row r="646">
      <c r="A646" s="21" t="s">
        <v>15038</v>
      </c>
      <c r="B646" s="11">
        <v>1.0</v>
      </c>
      <c r="C646" s="11">
        <v>6120.0</v>
      </c>
      <c r="D646" s="81"/>
      <c r="E646" s="126"/>
      <c r="F646" s="555"/>
      <c r="G646" s="126"/>
      <c r="H646" s="126"/>
      <c r="I646" s="126"/>
    </row>
    <row r="647">
      <c r="A647" s="21" t="s">
        <v>15039</v>
      </c>
      <c r="B647" s="11">
        <v>1.0</v>
      </c>
      <c r="C647" s="11">
        <v>6120.0</v>
      </c>
      <c r="D647" s="81"/>
      <c r="E647" s="126"/>
      <c r="F647" s="555"/>
      <c r="G647" s="126"/>
      <c r="H647" s="126"/>
      <c r="I647" s="126"/>
    </row>
    <row r="648">
      <c r="A648" s="21" t="s">
        <v>15040</v>
      </c>
      <c r="B648" s="11">
        <v>1.0</v>
      </c>
      <c r="C648" s="11">
        <v>6120.0</v>
      </c>
      <c r="D648" s="81"/>
      <c r="E648" s="126"/>
      <c r="F648" s="555"/>
      <c r="G648" s="126"/>
      <c r="H648" s="126"/>
      <c r="I648" s="126"/>
    </row>
    <row r="649">
      <c r="A649" s="21" t="s">
        <v>15041</v>
      </c>
      <c r="B649" s="11">
        <v>1.0</v>
      </c>
      <c r="C649" s="11">
        <v>6120.0</v>
      </c>
      <c r="D649" s="81"/>
      <c r="E649" s="126"/>
      <c r="F649" s="555"/>
      <c r="G649" s="126"/>
      <c r="H649" s="126"/>
      <c r="I649" s="126"/>
    </row>
    <row r="650">
      <c r="A650" s="21" t="s">
        <v>15042</v>
      </c>
      <c r="B650" s="11">
        <v>1.0</v>
      </c>
      <c r="C650" s="11">
        <v>6120.0</v>
      </c>
      <c r="D650" s="81"/>
      <c r="E650" s="126"/>
      <c r="F650" s="555"/>
      <c r="G650" s="126"/>
      <c r="H650" s="126"/>
      <c r="I650" s="126"/>
    </row>
    <row r="651">
      <c r="A651" s="21" t="s">
        <v>15043</v>
      </c>
      <c r="B651" s="11">
        <v>1.0</v>
      </c>
      <c r="C651" s="11">
        <v>6120.0</v>
      </c>
      <c r="D651" s="81"/>
      <c r="E651" s="126"/>
      <c r="F651" s="555"/>
      <c r="G651" s="126"/>
      <c r="H651" s="126"/>
      <c r="I651" s="126"/>
    </row>
    <row r="652">
      <c r="A652" s="21" t="s">
        <v>15044</v>
      </c>
      <c r="B652" s="11">
        <v>1.0</v>
      </c>
      <c r="C652" s="11">
        <v>6120.0</v>
      </c>
      <c r="D652" s="81"/>
      <c r="E652" s="126"/>
      <c r="F652" s="555"/>
      <c r="G652" s="126"/>
      <c r="H652" s="126"/>
      <c r="I652" s="126"/>
    </row>
    <row r="653">
      <c r="A653" s="21" t="s">
        <v>15045</v>
      </c>
      <c r="B653" s="11">
        <v>1.0</v>
      </c>
      <c r="C653" s="11">
        <v>6120.0</v>
      </c>
      <c r="D653" s="81"/>
      <c r="E653" s="126"/>
      <c r="F653" s="555"/>
      <c r="G653" s="126"/>
      <c r="H653" s="126"/>
      <c r="I653" s="126"/>
    </row>
    <row r="654">
      <c r="A654" s="21" t="s">
        <v>15046</v>
      </c>
      <c r="B654" s="11">
        <v>1.0</v>
      </c>
      <c r="C654" s="11">
        <v>6120.0</v>
      </c>
      <c r="D654" s="81"/>
      <c r="E654" s="126"/>
      <c r="F654" s="555"/>
      <c r="G654" s="126"/>
      <c r="H654" s="126"/>
      <c r="I654" s="126"/>
    </row>
    <row r="655">
      <c r="A655" s="21" t="s">
        <v>15047</v>
      </c>
      <c r="B655" s="11">
        <v>1.0</v>
      </c>
      <c r="C655" s="11">
        <v>6120.0</v>
      </c>
      <c r="D655" s="81"/>
      <c r="E655" s="126"/>
      <c r="F655" s="555"/>
      <c r="G655" s="126"/>
      <c r="H655" s="126"/>
      <c r="I655" s="126"/>
    </row>
    <row r="656">
      <c r="A656" s="21" t="s">
        <v>15048</v>
      </c>
      <c r="B656" s="11">
        <v>1.0</v>
      </c>
      <c r="C656" s="11">
        <v>6120.0</v>
      </c>
      <c r="D656" s="81"/>
      <c r="E656" s="126"/>
      <c r="F656" s="555"/>
      <c r="G656" s="126"/>
      <c r="H656" s="126"/>
      <c r="I656" s="126"/>
    </row>
    <row r="657">
      <c r="A657" s="21" t="s">
        <v>15049</v>
      </c>
      <c r="B657" s="11">
        <v>1.0</v>
      </c>
      <c r="C657" s="11">
        <v>6120.0</v>
      </c>
      <c r="D657" s="81"/>
      <c r="E657" s="126"/>
      <c r="F657" s="555"/>
      <c r="G657" s="126"/>
      <c r="H657" s="126"/>
      <c r="I657" s="126"/>
    </row>
    <row r="658">
      <c r="A658" s="21" t="s">
        <v>15050</v>
      </c>
      <c r="B658" s="11">
        <v>1.0</v>
      </c>
      <c r="C658" s="11">
        <v>6120.0</v>
      </c>
      <c r="D658" s="81"/>
      <c r="E658" s="126"/>
      <c r="F658" s="555"/>
      <c r="G658" s="126"/>
      <c r="H658" s="126"/>
      <c r="I658" s="126"/>
    </row>
    <row r="659">
      <c r="A659" s="21" t="s">
        <v>15051</v>
      </c>
      <c r="B659" s="11">
        <v>1.0</v>
      </c>
      <c r="C659" s="11">
        <v>6120.0</v>
      </c>
      <c r="D659" s="81"/>
      <c r="E659" s="126"/>
      <c r="F659" s="555"/>
      <c r="G659" s="126"/>
      <c r="H659" s="126"/>
      <c r="I659" s="126"/>
    </row>
    <row r="660">
      <c r="A660" s="21" t="s">
        <v>15052</v>
      </c>
      <c r="B660" s="11">
        <v>1.0</v>
      </c>
      <c r="C660" s="11">
        <v>6120.0</v>
      </c>
      <c r="D660" s="81"/>
      <c r="E660" s="126"/>
      <c r="F660" s="555"/>
      <c r="G660" s="126"/>
      <c r="H660" s="126"/>
      <c r="I660" s="126"/>
    </row>
    <row r="661">
      <c r="A661" s="21" t="s">
        <v>15053</v>
      </c>
      <c r="B661" s="11">
        <v>1.0</v>
      </c>
      <c r="C661" s="11">
        <v>6120.0</v>
      </c>
      <c r="D661" s="81"/>
      <c r="E661" s="126"/>
      <c r="F661" s="555"/>
      <c r="G661" s="126"/>
      <c r="H661" s="126"/>
      <c r="I661" s="126"/>
    </row>
    <row r="662">
      <c r="A662" s="21" t="s">
        <v>15054</v>
      </c>
      <c r="B662" s="11">
        <v>1.0</v>
      </c>
      <c r="C662" s="11">
        <v>6120.0</v>
      </c>
      <c r="D662" s="81"/>
      <c r="E662" s="126"/>
      <c r="F662" s="555"/>
      <c r="G662" s="126"/>
      <c r="H662" s="126"/>
      <c r="I662" s="126"/>
    </row>
    <row r="663">
      <c r="A663" s="21" t="s">
        <v>15055</v>
      </c>
      <c r="B663" s="11">
        <v>1.0</v>
      </c>
      <c r="C663" s="11">
        <v>6120.0</v>
      </c>
      <c r="D663" s="81"/>
      <c r="E663" s="126"/>
      <c r="F663" s="555"/>
      <c r="G663" s="126"/>
      <c r="H663" s="126"/>
      <c r="I663" s="126"/>
    </row>
    <row r="664">
      <c r="A664" s="21" t="s">
        <v>15056</v>
      </c>
      <c r="B664" s="11">
        <v>1.0</v>
      </c>
      <c r="C664" s="11">
        <v>6120.0</v>
      </c>
      <c r="D664" s="81"/>
      <c r="E664" s="126"/>
      <c r="F664" s="555"/>
      <c r="G664" s="126"/>
      <c r="H664" s="126"/>
      <c r="I664" s="126"/>
    </row>
    <row r="665">
      <c r="A665" s="21" t="s">
        <v>15057</v>
      </c>
      <c r="B665" s="11">
        <v>1.0</v>
      </c>
      <c r="C665" s="11">
        <v>6120.0</v>
      </c>
      <c r="D665" s="81"/>
      <c r="E665" s="126"/>
      <c r="F665" s="555"/>
      <c r="G665" s="126"/>
      <c r="H665" s="126"/>
      <c r="I665" s="126"/>
    </row>
    <row r="666">
      <c r="A666" s="21" t="s">
        <v>15058</v>
      </c>
      <c r="B666" s="11">
        <v>1.0</v>
      </c>
      <c r="C666" s="11">
        <v>6120.0</v>
      </c>
      <c r="D666" s="81"/>
      <c r="E666" s="126"/>
      <c r="F666" s="555"/>
      <c r="G666" s="126"/>
      <c r="H666" s="126"/>
      <c r="I666" s="126"/>
    </row>
    <row r="667">
      <c r="A667" s="21" t="s">
        <v>15059</v>
      </c>
      <c r="B667" s="11">
        <v>1.0</v>
      </c>
      <c r="C667" s="11">
        <v>6120.0</v>
      </c>
      <c r="D667" s="81"/>
      <c r="E667" s="126"/>
      <c r="F667" s="555"/>
      <c r="G667" s="126"/>
      <c r="H667" s="126"/>
      <c r="I667" s="126"/>
    </row>
    <row r="668">
      <c r="A668" s="21" t="s">
        <v>15060</v>
      </c>
      <c r="B668" s="11">
        <v>1.0</v>
      </c>
      <c r="C668" s="11">
        <v>6120.0</v>
      </c>
      <c r="D668" s="81"/>
      <c r="E668" s="126"/>
      <c r="F668" s="555"/>
      <c r="G668" s="126"/>
      <c r="H668" s="126"/>
      <c r="I668" s="126"/>
    </row>
    <row r="669">
      <c r="A669" s="21" t="s">
        <v>15061</v>
      </c>
      <c r="B669" s="11">
        <v>1.0</v>
      </c>
      <c r="C669" s="11">
        <v>6120.0</v>
      </c>
      <c r="D669" s="81"/>
      <c r="E669" s="126"/>
      <c r="F669" s="555"/>
      <c r="G669" s="126"/>
      <c r="H669" s="126"/>
      <c r="I669" s="126"/>
    </row>
    <row r="670">
      <c r="A670" s="21" t="s">
        <v>15062</v>
      </c>
      <c r="B670" s="11">
        <v>1.0</v>
      </c>
      <c r="C670" s="11">
        <v>6120.0</v>
      </c>
      <c r="D670" s="81"/>
      <c r="E670" s="126"/>
      <c r="F670" s="555"/>
      <c r="G670" s="126"/>
      <c r="H670" s="126"/>
      <c r="I670" s="126"/>
    </row>
    <row r="671">
      <c r="A671" s="21" t="s">
        <v>15063</v>
      </c>
      <c r="B671" s="11">
        <v>1.0</v>
      </c>
      <c r="C671" s="11">
        <v>6120.0</v>
      </c>
      <c r="D671" s="81"/>
      <c r="E671" s="126"/>
      <c r="F671" s="555"/>
      <c r="G671" s="126"/>
      <c r="H671" s="126"/>
      <c r="I671" s="126"/>
    </row>
    <row r="672">
      <c r="A672" s="21" t="s">
        <v>15064</v>
      </c>
      <c r="B672" s="11">
        <v>1.0</v>
      </c>
      <c r="C672" s="11">
        <v>6121.0</v>
      </c>
      <c r="D672" s="81"/>
      <c r="E672" s="126"/>
      <c r="F672" s="555"/>
      <c r="G672" s="126"/>
      <c r="H672" s="126"/>
      <c r="I672" s="126"/>
    </row>
    <row r="673">
      <c r="A673" s="21" t="s">
        <v>15065</v>
      </c>
      <c r="B673" s="11">
        <v>1.0</v>
      </c>
      <c r="C673" s="11">
        <v>6121.0</v>
      </c>
      <c r="D673" s="81"/>
      <c r="E673" s="126"/>
      <c r="F673" s="555"/>
      <c r="G673" s="126"/>
      <c r="H673" s="126"/>
      <c r="I673" s="126"/>
    </row>
    <row r="674">
      <c r="A674" s="21" t="s">
        <v>15066</v>
      </c>
      <c r="B674" s="11">
        <v>1.0</v>
      </c>
      <c r="C674" s="11">
        <v>6121.0</v>
      </c>
      <c r="D674" s="81"/>
      <c r="E674" s="126"/>
      <c r="F674" s="555"/>
      <c r="G674" s="126"/>
      <c r="H674" s="126"/>
      <c r="I674" s="126"/>
    </row>
    <row r="675">
      <c r="A675" s="21" t="s">
        <v>15067</v>
      </c>
      <c r="B675" s="11">
        <v>1.0</v>
      </c>
      <c r="C675" s="11">
        <v>6121.0</v>
      </c>
      <c r="D675" s="81"/>
      <c r="E675" s="126"/>
      <c r="F675" s="555"/>
      <c r="G675" s="126"/>
      <c r="H675" s="126"/>
      <c r="I675" s="126"/>
    </row>
    <row r="676">
      <c r="A676" s="21" t="s">
        <v>15068</v>
      </c>
      <c r="B676" s="11">
        <v>1.0</v>
      </c>
      <c r="C676" s="11">
        <v>6121.0</v>
      </c>
      <c r="D676" s="81"/>
      <c r="E676" s="126"/>
      <c r="F676" s="555"/>
      <c r="G676" s="126"/>
      <c r="H676" s="126"/>
      <c r="I676" s="126"/>
    </row>
    <row r="677">
      <c r="A677" s="21" t="s">
        <v>15069</v>
      </c>
      <c r="B677" s="11">
        <v>1.0</v>
      </c>
      <c r="C677" s="11">
        <v>6121.0</v>
      </c>
      <c r="D677" s="81"/>
      <c r="E677" s="126"/>
      <c r="F677" s="555"/>
      <c r="G677" s="126"/>
      <c r="H677" s="126"/>
      <c r="I677" s="126"/>
    </row>
    <row r="678">
      <c r="A678" s="21" t="s">
        <v>15070</v>
      </c>
      <c r="B678" s="11">
        <v>1.0</v>
      </c>
      <c r="C678" s="11">
        <v>6121.0</v>
      </c>
      <c r="D678" s="81"/>
      <c r="E678" s="126"/>
      <c r="F678" s="555"/>
      <c r="G678" s="126"/>
      <c r="H678" s="126"/>
      <c r="I678" s="126"/>
    </row>
    <row r="679">
      <c r="A679" s="21" t="s">
        <v>15071</v>
      </c>
      <c r="B679" s="11">
        <v>1.0</v>
      </c>
      <c r="C679" s="11">
        <v>6121.0</v>
      </c>
      <c r="D679" s="81"/>
      <c r="E679" s="126"/>
      <c r="F679" s="555"/>
      <c r="G679" s="126"/>
      <c r="H679" s="126"/>
      <c r="I679" s="126"/>
    </row>
    <row r="680">
      <c r="A680" s="21" t="s">
        <v>15072</v>
      </c>
      <c r="B680" s="11">
        <v>1.0</v>
      </c>
      <c r="C680" s="11">
        <v>6121.0</v>
      </c>
      <c r="D680" s="81"/>
      <c r="E680" s="126"/>
      <c r="F680" s="555"/>
      <c r="G680" s="126"/>
      <c r="H680" s="126"/>
      <c r="I680" s="126"/>
    </row>
    <row r="681">
      <c r="A681" s="21" t="s">
        <v>15073</v>
      </c>
      <c r="B681" s="11">
        <v>1.0</v>
      </c>
      <c r="C681" s="11">
        <v>6121.0</v>
      </c>
      <c r="D681" s="81"/>
      <c r="E681" s="126"/>
      <c r="F681" s="555"/>
      <c r="G681" s="126"/>
      <c r="H681" s="126"/>
      <c r="I681" s="126"/>
    </row>
    <row r="682">
      <c r="A682" s="21" t="s">
        <v>15074</v>
      </c>
      <c r="B682" s="11">
        <v>1.0</v>
      </c>
      <c r="C682" s="11">
        <v>6121.0</v>
      </c>
      <c r="D682" s="81"/>
      <c r="E682" s="126"/>
      <c r="F682" s="555"/>
      <c r="G682" s="126"/>
      <c r="H682" s="126"/>
      <c r="I682" s="126"/>
    </row>
    <row r="683">
      <c r="A683" s="21" t="s">
        <v>15075</v>
      </c>
      <c r="B683" s="11">
        <v>1.0</v>
      </c>
      <c r="C683" s="11">
        <v>6121.0</v>
      </c>
      <c r="D683" s="81"/>
      <c r="E683" s="126"/>
      <c r="F683" s="555"/>
      <c r="G683" s="126"/>
      <c r="H683" s="126"/>
      <c r="I683" s="126"/>
    </row>
    <row r="684">
      <c r="A684" s="21" t="s">
        <v>15076</v>
      </c>
      <c r="B684" s="11">
        <v>1.0</v>
      </c>
      <c r="C684" s="11">
        <v>6121.0</v>
      </c>
      <c r="D684" s="81"/>
      <c r="E684" s="126"/>
      <c r="F684" s="555"/>
      <c r="G684" s="126"/>
      <c r="H684" s="126"/>
      <c r="I684" s="126"/>
    </row>
    <row r="685">
      <c r="A685" s="21" t="s">
        <v>15077</v>
      </c>
      <c r="B685" s="11">
        <v>1.0</v>
      </c>
      <c r="C685" s="11">
        <v>6121.0</v>
      </c>
      <c r="D685" s="81"/>
      <c r="E685" s="126"/>
      <c r="F685" s="555"/>
      <c r="G685" s="126"/>
      <c r="H685" s="126"/>
      <c r="I685" s="126"/>
    </row>
    <row r="686">
      <c r="A686" s="21" t="s">
        <v>15078</v>
      </c>
      <c r="B686" s="11">
        <v>1.0</v>
      </c>
      <c r="C686" s="11">
        <v>6121.0</v>
      </c>
      <c r="D686" s="81"/>
      <c r="E686" s="126"/>
      <c r="F686" s="555"/>
      <c r="G686" s="126"/>
      <c r="H686" s="126"/>
      <c r="I686" s="126"/>
    </row>
    <row r="687">
      <c r="A687" s="21" t="s">
        <v>15079</v>
      </c>
      <c r="B687" s="11">
        <v>1.0</v>
      </c>
      <c r="C687" s="11">
        <v>6121.0</v>
      </c>
      <c r="D687" s="81"/>
      <c r="E687" s="126"/>
      <c r="F687" s="555"/>
      <c r="G687" s="126"/>
      <c r="H687" s="126"/>
      <c r="I687" s="126"/>
    </row>
    <row r="688">
      <c r="A688" s="21" t="s">
        <v>15080</v>
      </c>
      <c r="B688" s="11">
        <v>1.0</v>
      </c>
      <c r="C688" s="11">
        <v>6121.0</v>
      </c>
      <c r="D688" s="81"/>
      <c r="E688" s="126"/>
      <c r="F688" s="555"/>
      <c r="G688" s="126"/>
      <c r="H688" s="126"/>
      <c r="I688" s="126"/>
    </row>
    <row r="689">
      <c r="A689" s="21" t="s">
        <v>15081</v>
      </c>
      <c r="B689" s="11">
        <v>1.0</v>
      </c>
      <c r="C689" s="11">
        <v>6121.0</v>
      </c>
      <c r="D689" s="81"/>
      <c r="E689" s="126"/>
      <c r="F689" s="555"/>
      <c r="G689" s="126"/>
      <c r="H689" s="126"/>
      <c r="I689" s="126"/>
    </row>
    <row r="690">
      <c r="A690" s="21" t="s">
        <v>15082</v>
      </c>
      <c r="B690" s="11">
        <v>1.0</v>
      </c>
      <c r="C690" s="11">
        <v>6121.0</v>
      </c>
      <c r="D690" s="81"/>
      <c r="E690" s="126"/>
      <c r="F690" s="555"/>
      <c r="G690" s="126"/>
      <c r="H690" s="126"/>
      <c r="I690" s="126"/>
    </row>
    <row r="691">
      <c r="A691" s="21" t="s">
        <v>15083</v>
      </c>
      <c r="B691" s="11">
        <v>1.0</v>
      </c>
      <c r="C691" s="11">
        <v>6121.0</v>
      </c>
      <c r="D691" s="81"/>
      <c r="E691" s="126"/>
      <c r="F691" s="555"/>
      <c r="G691" s="126"/>
      <c r="H691" s="126"/>
      <c r="I691" s="126"/>
    </row>
    <row r="692">
      <c r="A692" s="21" t="s">
        <v>15084</v>
      </c>
      <c r="B692" s="11">
        <v>1.0</v>
      </c>
      <c r="C692" s="11">
        <v>6121.0</v>
      </c>
      <c r="D692" s="81"/>
      <c r="E692" s="126"/>
      <c r="F692" s="555"/>
      <c r="G692" s="126"/>
      <c r="H692" s="126"/>
      <c r="I692" s="126"/>
    </row>
    <row r="693">
      <c r="A693" s="21" t="s">
        <v>15085</v>
      </c>
      <c r="B693" s="11">
        <v>1.0</v>
      </c>
      <c r="C693" s="11">
        <v>6121.0</v>
      </c>
      <c r="D693" s="81"/>
      <c r="E693" s="126"/>
      <c r="F693" s="555"/>
      <c r="G693" s="126"/>
      <c r="H693" s="126"/>
      <c r="I693" s="126"/>
    </row>
    <row r="694">
      <c r="A694" s="21" t="s">
        <v>15086</v>
      </c>
      <c r="B694" s="11">
        <v>1.0</v>
      </c>
      <c r="C694" s="11">
        <v>6121.0</v>
      </c>
      <c r="D694" s="81"/>
      <c r="E694" s="126"/>
      <c r="F694" s="555"/>
      <c r="G694" s="126"/>
      <c r="H694" s="126"/>
      <c r="I694" s="126"/>
    </row>
    <row r="695">
      <c r="A695" s="21" t="s">
        <v>15087</v>
      </c>
      <c r="B695" s="11">
        <v>1.0</v>
      </c>
      <c r="C695" s="11">
        <v>6121.0</v>
      </c>
      <c r="D695" s="81"/>
      <c r="E695" s="126"/>
      <c r="F695" s="555"/>
      <c r="G695" s="126"/>
      <c r="H695" s="126"/>
      <c r="I695" s="126"/>
    </row>
    <row r="696">
      <c r="A696" s="21" t="s">
        <v>15088</v>
      </c>
      <c r="B696" s="11">
        <v>1.0</v>
      </c>
      <c r="C696" s="11">
        <v>6121.0</v>
      </c>
      <c r="D696" s="81"/>
      <c r="E696" s="126"/>
      <c r="F696" s="555"/>
      <c r="G696" s="126"/>
      <c r="H696" s="126"/>
      <c r="I696" s="126"/>
    </row>
    <row r="697">
      <c r="A697" s="21" t="s">
        <v>15089</v>
      </c>
      <c r="B697" s="11">
        <v>1.0</v>
      </c>
      <c r="C697" s="11">
        <v>6121.0</v>
      </c>
      <c r="D697" s="81"/>
      <c r="E697" s="126"/>
      <c r="F697" s="555"/>
      <c r="G697" s="126"/>
      <c r="H697" s="126"/>
      <c r="I697" s="126"/>
    </row>
    <row r="698">
      <c r="A698" s="21" t="s">
        <v>15090</v>
      </c>
      <c r="B698" s="11">
        <v>1.0</v>
      </c>
      <c r="C698" s="11">
        <v>6121.0</v>
      </c>
      <c r="D698" s="81"/>
      <c r="E698" s="126"/>
      <c r="F698" s="555"/>
      <c r="G698" s="126"/>
      <c r="H698" s="126"/>
      <c r="I698" s="126"/>
    </row>
    <row r="699">
      <c r="A699" s="21" t="s">
        <v>15091</v>
      </c>
      <c r="B699" s="11">
        <v>1.0</v>
      </c>
      <c r="C699" s="11">
        <v>6121.0</v>
      </c>
      <c r="D699" s="81"/>
      <c r="E699" s="126"/>
      <c r="F699" s="555"/>
      <c r="G699" s="126"/>
      <c r="H699" s="126"/>
      <c r="I699" s="126"/>
    </row>
    <row r="700">
      <c r="A700" s="21" t="s">
        <v>15092</v>
      </c>
      <c r="B700" s="11">
        <v>1.0</v>
      </c>
      <c r="C700" s="11">
        <v>6121.0</v>
      </c>
      <c r="D700" s="81"/>
      <c r="E700" s="126"/>
      <c r="F700" s="555"/>
      <c r="G700" s="126"/>
      <c r="H700" s="126"/>
      <c r="I700" s="126"/>
    </row>
    <row r="701">
      <c r="A701" s="21" t="s">
        <v>15093</v>
      </c>
      <c r="B701" s="11">
        <v>1.0</v>
      </c>
      <c r="C701" s="11">
        <v>6121.0</v>
      </c>
      <c r="D701" s="81"/>
      <c r="E701" s="126"/>
      <c r="F701" s="555"/>
      <c r="G701" s="126"/>
      <c r="H701" s="126"/>
      <c r="I701" s="126"/>
    </row>
    <row r="702">
      <c r="A702" s="21" t="s">
        <v>15094</v>
      </c>
      <c r="B702" s="11">
        <v>1.0</v>
      </c>
      <c r="C702" s="11">
        <v>6121.0</v>
      </c>
      <c r="D702" s="81"/>
      <c r="E702" s="126"/>
      <c r="F702" s="555"/>
      <c r="G702" s="126"/>
      <c r="H702" s="126"/>
      <c r="I702" s="126"/>
    </row>
    <row r="703">
      <c r="A703" s="21" t="s">
        <v>15095</v>
      </c>
      <c r="B703" s="11">
        <v>1.0</v>
      </c>
      <c r="C703" s="11">
        <v>6121.0</v>
      </c>
      <c r="D703" s="81"/>
      <c r="E703" s="126"/>
      <c r="F703" s="555"/>
      <c r="G703" s="126"/>
      <c r="H703" s="126"/>
      <c r="I703" s="126"/>
    </row>
    <row r="704">
      <c r="A704" s="21" t="s">
        <v>15096</v>
      </c>
      <c r="B704" s="11">
        <v>1.0</v>
      </c>
      <c r="C704" s="11">
        <v>6121.0</v>
      </c>
      <c r="D704" s="81"/>
      <c r="E704" s="126"/>
      <c r="F704" s="555"/>
      <c r="G704" s="126"/>
      <c r="H704" s="126"/>
      <c r="I704" s="126"/>
    </row>
    <row r="705">
      <c r="A705" s="21" t="s">
        <v>15097</v>
      </c>
      <c r="B705" s="11">
        <v>1.0</v>
      </c>
      <c r="C705" s="11">
        <v>6121.0</v>
      </c>
      <c r="D705" s="81"/>
      <c r="E705" s="126"/>
      <c r="F705" s="555"/>
      <c r="G705" s="126"/>
      <c r="H705" s="126"/>
      <c r="I705" s="126"/>
    </row>
    <row r="706">
      <c r="A706" s="21" t="s">
        <v>15098</v>
      </c>
      <c r="B706" s="11">
        <v>1.0</v>
      </c>
      <c r="C706" s="11">
        <v>6121.0</v>
      </c>
      <c r="D706" s="81"/>
      <c r="E706" s="126"/>
      <c r="F706" s="555"/>
      <c r="G706" s="126"/>
      <c r="H706" s="126"/>
      <c r="I706" s="126"/>
    </row>
    <row r="707">
      <c r="A707" s="21" t="s">
        <v>15099</v>
      </c>
      <c r="B707" s="11">
        <v>1.0</v>
      </c>
      <c r="C707" s="11">
        <v>6121.0</v>
      </c>
      <c r="D707" s="81"/>
      <c r="E707" s="126"/>
      <c r="F707" s="555"/>
      <c r="G707" s="126"/>
      <c r="H707" s="126"/>
      <c r="I707" s="126"/>
    </row>
    <row r="708">
      <c r="A708" s="21" t="s">
        <v>15100</v>
      </c>
      <c r="B708" s="11">
        <v>1.0</v>
      </c>
      <c r="C708" s="11">
        <v>6121.0</v>
      </c>
      <c r="D708" s="81"/>
      <c r="E708" s="126"/>
      <c r="F708" s="555"/>
      <c r="G708" s="126"/>
      <c r="H708" s="126"/>
      <c r="I708" s="126"/>
    </row>
    <row r="709">
      <c r="A709" s="21" t="s">
        <v>15101</v>
      </c>
      <c r="B709" s="11">
        <v>1.0</v>
      </c>
      <c r="C709" s="11">
        <v>6121.0</v>
      </c>
      <c r="D709" s="81"/>
      <c r="E709" s="126"/>
      <c r="F709" s="555"/>
      <c r="G709" s="126"/>
      <c r="H709" s="126"/>
      <c r="I709" s="126"/>
    </row>
    <row r="710">
      <c r="A710" s="21" t="s">
        <v>15102</v>
      </c>
      <c r="B710" s="11">
        <v>1.0</v>
      </c>
      <c r="C710" s="11">
        <v>6121.0</v>
      </c>
      <c r="D710" s="81"/>
      <c r="E710" s="126"/>
      <c r="F710" s="555"/>
      <c r="G710" s="126"/>
      <c r="H710" s="126"/>
      <c r="I710" s="126"/>
    </row>
    <row r="711">
      <c r="A711" s="21" t="s">
        <v>15103</v>
      </c>
      <c r="B711" s="11">
        <v>1.0</v>
      </c>
      <c r="C711" s="11">
        <v>6121.0</v>
      </c>
      <c r="D711" s="81"/>
      <c r="E711" s="126"/>
      <c r="F711" s="555"/>
      <c r="G711" s="126"/>
      <c r="H711" s="126"/>
      <c r="I711" s="126"/>
    </row>
    <row r="712">
      <c r="A712" s="21" t="s">
        <v>15104</v>
      </c>
      <c r="B712" s="11">
        <v>1.0</v>
      </c>
      <c r="C712" s="11">
        <v>6121.0</v>
      </c>
      <c r="D712" s="81"/>
      <c r="E712" s="126"/>
      <c r="F712" s="555"/>
      <c r="G712" s="126"/>
      <c r="H712" s="126"/>
      <c r="I712" s="126"/>
    </row>
    <row r="713">
      <c r="A713" s="21" t="s">
        <v>15105</v>
      </c>
      <c r="B713" s="11">
        <v>1.0</v>
      </c>
      <c r="C713" s="11">
        <v>6121.0</v>
      </c>
      <c r="D713" s="81"/>
      <c r="E713" s="126"/>
      <c r="F713" s="555"/>
      <c r="G713" s="126"/>
      <c r="H713" s="126"/>
      <c r="I713" s="126"/>
    </row>
    <row r="714">
      <c r="A714" s="21" t="s">
        <v>15106</v>
      </c>
      <c r="B714" s="11">
        <v>1.0</v>
      </c>
      <c r="C714" s="11">
        <v>6121.0</v>
      </c>
      <c r="D714" s="81"/>
      <c r="E714" s="126"/>
      <c r="F714" s="555"/>
      <c r="G714" s="126"/>
      <c r="H714" s="126"/>
      <c r="I714" s="126"/>
    </row>
    <row r="715">
      <c r="A715" s="21" t="s">
        <v>15107</v>
      </c>
      <c r="B715" s="11">
        <v>1.0</v>
      </c>
      <c r="C715" s="11">
        <v>6121.0</v>
      </c>
      <c r="D715" s="81"/>
      <c r="E715" s="126"/>
      <c r="F715" s="555"/>
      <c r="G715" s="126"/>
      <c r="H715" s="126"/>
      <c r="I715" s="126"/>
    </row>
    <row r="716">
      <c r="A716" s="21" t="s">
        <v>15108</v>
      </c>
      <c r="B716" s="11">
        <v>1.0</v>
      </c>
      <c r="C716" s="11">
        <v>6121.0</v>
      </c>
      <c r="D716" s="81"/>
      <c r="E716" s="126"/>
      <c r="F716" s="555"/>
      <c r="G716" s="126"/>
      <c r="H716" s="126"/>
      <c r="I716" s="126"/>
    </row>
    <row r="717">
      <c r="A717" s="21" t="s">
        <v>15109</v>
      </c>
      <c r="B717" s="11">
        <v>1.0</v>
      </c>
      <c r="C717" s="11">
        <v>6121.0</v>
      </c>
      <c r="D717" s="81"/>
      <c r="E717" s="126"/>
      <c r="F717" s="555"/>
      <c r="G717" s="126"/>
      <c r="H717" s="126"/>
      <c r="I717" s="126"/>
    </row>
    <row r="718">
      <c r="A718" s="21" t="s">
        <v>15110</v>
      </c>
      <c r="B718" s="11">
        <v>1.0</v>
      </c>
      <c r="C718" s="11">
        <v>6121.0</v>
      </c>
      <c r="D718" s="81"/>
      <c r="E718" s="126"/>
      <c r="F718" s="555"/>
      <c r="G718" s="126"/>
      <c r="H718" s="126"/>
      <c r="I718" s="126"/>
    </row>
    <row r="719">
      <c r="A719" s="21" t="s">
        <v>15111</v>
      </c>
      <c r="B719" s="11">
        <v>1.0</v>
      </c>
      <c r="C719" s="11">
        <v>6121.0</v>
      </c>
      <c r="D719" s="81"/>
      <c r="E719" s="126"/>
      <c r="F719" s="555"/>
      <c r="G719" s="126"/>
      <c r="H719" s="126"/>
      <c r="I719" s="126"/>
    </row>
    <row r="720">
      <c r="A720" s="21" t="s">
        <v>15112</v>
      </c>
      <c r="B720" s="11">
        <v>1.0</v>
      </c>
      <c r="C720" s="11">
        <v>6121.0</v>
      </c>
      <c r="D720" s="81"/>
      <c r="E720" s="126"/>
      <c r="F720" s="555"/>
      <c r="G720" s="126"/>
      <c r="H720" s="126"/>
      <c r="I720" s="126"/>
    </row>
    <row r="721">
      <c r="A721" s="21" t="s">
        <v>15113</v>
      </c>
      <c r="B721" s="11">
        <v>1.0</v>
      </c>
      <c r="C721" s="11">
        <v>6121.0</v>
      </c>
      <c r="D721" s="81"/>
      <c r="E721" s="126"/>
      <c r="F721" s="555"/>
      <c r="G721" s="126"/>
      <c r="H721" s="126"/>
      <c r="I721" s="126"/>
    </row>
    <row r="722">
      <c r="A722" s="21" t="s">
        <v>15114</v>
      </c>
      <c r="B722" s="11">
        <v>1.0</v>
      </c>
      <c r="C722" s="11">
        <v>6245.0</v>
      </c>
      <c r="D722" s="81"/>
      <c r="E722" s="126"/>
      <c r="F722" s="555"/>
      <c r="G722" s="126"/>
      <c r="H722" s="126"/>
      <c r="I722" s="126"/>
    </row>
    <row r="723">
      <c r="A723" s="21" t="s">
        <v>15115</v>
      </c>
      <c r="B723" s="11">
        <v>1.0</v>
      </c>
      <c r="C723" s="11">
        <v>6245.0</v>
      </c>
      <c r="D723" s="81"/>
      <c r="E723" s="126"/>
      <c r="F723" s="555"/>
      <c r="G723" s="126"/>
      <c r="H723" s="126"/>
      <c r="I723" s="126"/>
    </row>
    <row r="724">
      <c r="A724" s="21" t="s">
        <v>15116</v>
      </c>
      <c r="B724" s="11">
        <v>1.0</v>
      </c>
      <c r="C724" s="11">
        <v>6245.0</v>
      </c>
      <c r="D724" s="81"/>
      <c r="E724" s="126"/>
      <c r="F724" s="555"/>
      <c r="G724" s="126"/>
      <c r="H724" s="126"/>
      <c r="I724" s="126"/>
    </row>
    <row r="725">
      <c r="A725" s="21" t="s">
        <v>15117</v>
      </c>
      <c r="B725" s="11">
        <v>1.0</v>
      </c>
      <c r="C725" s="11">
        <v>6245.0</v>
      </c>
      <c r="D725" s="81"/>
      <c r="E725" s="126"/>
      <c r="F725" s="555"/>
      <c r="G725" s="126"/>
      <c r="H725" s="126"/>
      <c r="I725" s="126"/>
    </row>
    <row r="726">
      <c r="A726" s="21" t="s">
        <v>15118</v>
      </c>
      <c r="B726" s="11">
        <v>1.0</v>
      </c>
      <c r="C726" s="11">
        <v>6245.0</v>
      </c>
      <c r="D726" s="81"/>
      <c r="E726" s="126"/>
      <c r="F726" s="555"/>
      <c r="G726" s="126"/>
      <c r="H726" s="126"/>
      <c r="I726" s="126"/>
    </row>
    <row r="727">
      <c r="A727" s="21" t="s">
        <v>15119</v>
      </c>
      <c r="B727" s="11">
        <v>1.0</v>
      </c>
      <c r="C727" s="11">
        <v>6245.0</v>
      </c>
      <c r="D727" s="81"/>
      <c r="E727" s="126"/>
      <c r="F727" s="555"/>
      <c r="G727" s="126"/>
      <c r="H727" s="126"/>
      <c r="I727" s="126"/>
    </row>
    <row r="728">
      <c r="A728" s="21" t="s">
        <v>15120</v>
      </c>
      <c r="B728" s="11">
        <v>1.0</v>
      </c>
      <c r="C728" s="11">
        <v>6245.0</v>
      </c>
      <c r="D728" s="81"/>
      <c r="E728" s="126"/>
      <c r="F728" s="555"/>
      <c r="G728" s="126"/>
      <c r="H728" s="126"/>
      <c r="I728" s="126"/>
    </row>
    <row r="729">
      <c r="A729" s="21" t="s">
        <v>15121</v>
      </c>
      <c r="B729" s="11">
        <v>1.0</v>
      </c>
      <c r="C729" s="11">
        <v>6245.0</v>
      </c>
      <c r="D729" s="81"/>
      <c r="E729" s="126"/>
      <c r="F729" s="555"/>
      <c r="G729" s="126"/>
      <c r="H729" s="126"/>
      <c r="I729" s="126"/>
    </row>
    <row r="730">
      <c r="A730" s="21" t="s">
        <v>15122</v>
      </c>
      <c r="B730" s="11">
        <v>1.0</v>
      </c>
      <c r="C730" s="11">
        <v>6245.0</v>
      </c>
      <c r="D730" s="81"/>
      <c r="E730" s="126"/>
      <c r="F730" s="555"/>
      <c r="G730" s="126"/>
      <c r="H730" s="126"/>
      <c r="I730" s="126"/>
    </row>
    <row r="731">
      <c r="A731" s="21" t="s">
        <v>15123</v>
      </c>
      <c r="B731" s="11">
        <v>1.0</v>
      </c>
      <c r="C731" s="11">
        <v>6245.0</v>
      </c>
      <c r="D731" s="81"/>
      <c r="E731" s="126"/>
      <c r="F731" s="555"/>
      <c r="G731" s="126"/>
      <c r="H731" s="126"/>
      <c r="I731" s="126"/>
    </row>
    <row r="732">
      <c r="A732" s="21" t="s">
        <v>15124</v>
      </c>
      <c r="B732" s="11">
        <v>1.0</v>
      </c>
      <c r="C732" s="11">
        <v>6245.0</v>
      </c>
      <c r="D732" s="81"/>
      <c r="E732" s="126"/>
      <c r="F732" s="555"/>
      <c r="G732" s="126"/>
      <c r="H732" s="126"/>
      <c r="I732" s="126"/>
    </row>
    <row r="733">
      <c r="A733" s="21" t="s">
        <v>15125</v>
      </c>
      <c r="B733" s="11">
        <v>1.0</v>
      </c>
      <c r="C733" s="11">
        <v>6245.0</v>
      </c>
      <c r="D733" s="81"/>
      <c r="E733" s="126"/>
      <c r="F733" s="555"/>
      <c r="G733" s="126"/>
      <c r="H733" s="126"/>
      <c r="I733" s="126"/>
    </row>
    <row r="734">
      <c r="A734" s="21" t="s">
        <v>15126</v>
      </c>
      <c r="B734" s="11">
        <v>1.0</v>
      </c>
      <c r="C734" s="11">
        <v>6245.0</v>
      </c>
      <c r="D734" s="81"/>
      <c r="E734" s="126"/>
      <c r="F734" s="555"/>
      <c r="G734" s="126"/>
      <c r="H734" s="126"/>
      <c r="I734" s="126"/>
    </row>
    <row r="735">
      <c r="A735" s="21" t="s">
        <v>15127</v>
      </c>
      <c r="B735" s="11">
        <v>1.0</v>
      </c>
      <c r="C735" s="11">
        <v>6245.0</v>
      </c>
      <c r="D735" s="81"/>
      <c r="E735" s="40"/>
      <c r="F735" s="41"/>
      <c r="G735" s="40"/>
      <c r="H735" s="40"/>
      <c r="I735" s="40"/>
    </row>
    <row r="736">
      <c r="A736" s="21" t="s">
        <v>15128</v>
      </c>
      <c r="B736" s="11">
        <v>1.0</v>
      </c>
      <c r="C736" s="11">
        <v>6245.0</v>
      </c>
      <c r="D736" s="81"/>
      <c r="E736" s="40"/>
      <c r="F736" s="41"/>
      <c r="G736" s="40"/>
      <c r="H736" s="40"/>
      <c r="I736" s="40"/>
    </row>
    <row r="737">
      <c r="A737" s="21" t="s">
        <v>15129</v>
      </c>
      <c r="B737" s="11">
        <v>1.0</v>
      </c>
      <c r="C737" s="11">
        <v>6245.0</v>
      </c>
      <c r="D737" s="81"/>
      <c r="E737" s="40"/>
      <c r="F737" s="41"/>
      <c r="G737" s="40"/>
      <c r="H737" s="40"/>
      <c r="I737" s="40"/>
    </row>
    <row r="738">
      <c r="A738" s="21" t="s">
        <v>15130</v>
      </c>
      <c r="B738" s="11">
        <v>1.0</v>
      </c>
      <c r="C738" s="11">
        <v>6245.0</v>
      </c>
      <c r="D738" s="81"/>
      <c r="E738" s="40"/>
      <c r="F738" s="41"/>
      <c r="G738" s="40"/>
      <c r="H738" s="40"/>
      <c r="I738" s="40"/>
    </row>
    <row r="739">
      <c r="A739" s="21" t="s">
        <v>15131</v>
      </c>
      <c r="B739" s="11">
        <v>1.0</v>
      </c>
      <c r="C739" s="11">
        <v>6245.0</v>
      </c>
      <c r="D739" s="81"/>
      <c r="E739" s="40"/>
      <c r="F739" s="41"/>
      <c r="G739" s="40"/>
      <c r="H739" s="40"/>
      <c r="I739" s="40"/>
    </row>
    <row r="740">
      <c r="A740" s="21" t="s">
        <v>15132</v>
      </c>
      <c r="B740" s="11">
        <v>1.0</v>
      </c>
      <c r="C740" s="11">
        <v>6245.0</v>
      </c>
      <c r="D740" s="81"/>
      <c r="E740" s="40"/>
      <c r="F740" s="41"/>
      <c r="G740" s="40"/>
      <c r="H740" s="40"/>
      <c r="I740" s="40"/>
    </row>
    <row r="741">
      <c r="A741" s="21" t="s">
        <v>15133</v>
      </c>
      <c r="B741" s="11">
        <v>1.0</v>
      </c>
      <c r="C741" s="11">
        <v>6245.0</v>
      </c>
      <c r="D741" s="81"/>
      <c r="E741" s="40"/>
      <c r="F741" s="41"/>
      <c r="G741" s="40"/>
      <c r="H741" s="40"/>
      <c r="I741" s="40"/>
    </row>
    <row r="742">
      <c r="A742" s="21" t="s">
        <v>15134</v>
      </c>
      <c r="B742" s="11">
        <v>1.0</v>
      </c>
      <c r="C742" s="11">
        <v>6245.0</v>
      </c>
      <c r="D742" s="81"/>
      <c r="E742" s="40"/>
      <c r="F742" s="41"/>
      <c r="G742" s="40"/>
      <c r="H742" s="40"/>
      <c r="I742" s="40"/>
    </row>
    <row r="743">
      <c r="A743" s="21" t="s">
        <v>15135</v>
      </c>
      <c r="B743" s="11">
        <v>1.0</v>
      </c>
      <c r="C743" s="11">
        <v>6245.0</v>
      </c>
      <c r="D743" s="81"/>
      <c r="E743" s="40"/>
      <c r="F743" s="41"/>
      <c r="G743" s="40"/>
      <c r="H743" s="40"/>
      <c r="I743" s="40"/>
    </row>
    <row r="744">
      <c r="A744" s="21" t="s">
        <v>15136</v>
      </c>
      <c r="B744" s="11">
        <v>1.0</v>
      </c>
      <c r="C744" s="11">
        <v>6245.0</v>
      </c>
      <c r="D744" s="81"/>
      <c r="E744" s="40"/>
      <c r="F744" s="41"/>
      <c r="G744" s="40"/>
      <c r="H744" s="40"/>
      <c r="I744" s="40"/>
    </row>
    <row r="745">
      <c r="A745" s="21" t="s">
        <v>15137</v>
      </c>
      <c r="B745" s="11">
        <v>1.0</v>
      </c>
      <c r="C745" s="11">
        <v>6245.0</v>
      </c>
      <c r="D745" s="81"/>
      <c r="E745" s="40"/>
      <c r="F745" s="41"/>
      <c r="G745" s="40"/>
      <c r="H745" s="40"/>
      <c r="I745" s="40"/>
    </row>
    <row r="746">
      <c r="A746" s="21" t="s">
        <v>15138</v>
      </c>
      <c r="B746" s="11">
        <v>1.0</v>
      </c>
      <c r="C746" s="11">
        <v>6245.0</v>
      </c>
      <c r="D746" s="81"/>
      <c r="E746" s="40"/>
      <c r="F746" s="41"/>
      <c r="G746" s="40"/>
      <c r="H746" s="40"/>
      <c r="I746" s="40"/>
    </row>
    <row r="747">
      <c r="A747" s="21" t="s">
        <v>15139</v>
      </c>
      <c r="B747" s="11">
        <v>1.0</v>
      </c>
      <c r="C747" s="11">
        <v>6245.0</v>
      </c>
      <c r="D747" s="81"/>
      <c r="E747" s="40"/>
      <c r="F747" s="41"/>
      <c r="G747" s="40"/>
      <c r="H747" s="40"/>
      <c r="I747" s="40"/>
    </row>
    <row r="748">
      <c r="A748" s="21" t="s">
        <v>15140</v>
      </c>
      <c r="B748" s="11">
        <v>1.0</v>
      </c>
      <c r="C748" s="11">
        <v>6245.0</v>
      </c>
      <c r="D748" s="81"/>
      <c r="E748" s="40"/>
      <c r="F748" s="41"/>
      <c r="G748" s="40"/>
      <c r="H748" s="40"/>
      <c r="I748" s="40"/>
    </row>
    <row r="749">
      <c r="A749" s="21" t="s">
        <v>15141</v>
      </c>
      <c r="B749" s="11">
        <v>1.0</v>
      </c>
      <c r="C749" s="11">
        <v>6245.0</v>
      </c>
      <c r="D749" s="81"/>
      <c r="E749" s="40"/>
      <c r="F749" s="41"/>
      <c r="G749" s="40"/>
      <c r="H749" s="40"/>
      <c r="I749" s="40"/>
    </row>
    <row r="750">
      <c r="A750" s="21" t="s">
        <v>15142</v>
      </c>
      <c r="B750" s="11">
        <v>1.0</v>
      </c>
      <c r="C750" s="11">
        <v>6245.0</v>
      </c>
      <c r="D750" s="81"/>
      <c r="E750" s="40"/>
      <c r="F750" s="41"/>
      <c r="G750" s="40"/>
      <c r="H750" s="40"/>
      <c r="I750" s="40"/>
    </row>
    <row r="751">
      <c r="A751" s="21" t="s">
        <v>15143</v>
      </c>
      <c r="B751" s="11">
        <v>1.0</v>
      </c>
      <c r="C751" s="11">
        <v>6245.0</v>
      </c>
      <c r="D751" s="81"/>
      <c r="E751" s="40"/>
      <c r="F751" s="41"/>
      <c r="G751" s="40"/>
      <c r="H751" s="40"/>
      <c r="I751" s="40"/>
    </row>
    <row r="752">
      <c r="A752" s="21" t="s">
        <v>15144</v>
      </c>
      <c r="B752" s="11">
        <v>1.0</v>
      </c>
      <c r="C752" s="11">
        <v>6245.0</v>
      </c>
      <c r="D752" s="81"/>
      <c r="E752" s="40"/>
      <c r="F752" s="41"/>
      <c r="G752" s="40"/>
      <c r="H752" s="40"/>
      <c r="I752" s="40"/>
    </row>
    <row r="753">
      <c r="A753" s="21" t="s">
        <v>15145</v>
      </c>
      <c r="B753" s="11">
        <v>1.0</v>
      </c>
      <c r="C753" s="11">
        <v>6245.0</v>
      </c>
      <c r="D753" s="81"/>
      <c r="E753" s="40"/>
      <c r="F753" s="41"/>
      <c r="G753" s="40"/>
      <c r="H753" s="40"/>
      <c r="I753" s="40"/>
    </row>
    <row r="754">
      <c r="A754" s="21" t="s">
        <v>15146</v>
      </c>
      <c r="B754" s="11">
        <v>1.0</v>
      </c>
      <c r="C754" s="11">
        <v>6245.0</v>
      </c>
      <c r="D754" s="81"/>
      <c r="E754" s="40"/>
      <c r="F754" s="41"/>
      <c r="G754" s="40"/>
      <c r="H754" s="40"/>
      <c r="I754" s="40"/>
    </row>
    <row r="755">
      <c r="A755" s="21" t="s">
        <v>15147</v>
      </c>
      <c r="B755" s="11">
        <v>1.0</v>
      </c>
      <c r="C755" s="11">
        <v>6245.0</v>
      </c>
      <c r="D755" s="81"/>
      <c r="E755" s="40"/>
      <c r="F755" s="41"/>
      <c r="G755" s="40"/>
      <c r="H755" s="40"/>
      <c r="I755" s="40"/>
    </row>
    <row r="756">
      <c r="A756" s="21" t="s">
        <v>15148</v>
      </c>
      <c r="B756" s="11">
        <v>1.0</v>
      </c>
      <c r="C756" s="11">
        <v>6245.0</v>
      </c>
      <c r="D756" s="81"/>
      <c r="E756" s="40"/>
      <c r="F756" s="41"/>
      <c r="G756" s="40"/>
      <c r="H756" s="40"/>
      <c r="I756" s="40"/>
    </row>
    <row r="757">
      <c r="A757" s="21" t="s">
        <v>15149</v>
      </c>
      <c r="B757" s="11">
        <v>1.0</v>
      </c>
      <c r="C757" s="11">
        <v>6245.0</v>
      </c>
      <c r="D757" s="81"/>
      <c r="E757" s="40"/>
      <c r="F757" s="41"/>
      <c r="G757" s="40"/>
      <c r="H757" s="40"/>
      <c r="I757" s="40"/>
    </row>
    <row r="758">
      <c r="A758" s="21" t="s">
        <v>15150</v>
      </c>
      <c r="B758" s="11">
        <v>1.0</v>
      </c>
      <c r="C758" s="11">
        <v>6245.0</v>
      </c>
      <c r="D758" s="81"/>
      <c r="E758" s="40"/>
      <c r="F758" s="41"/>
      <c r="G758" s="40"/>
      <c r="H758" s="40"/>
      <c r="I758" s="40"/>
    </row>
    <row r="759">
      <c r="A759" s="21" t="s">
        <v>15151</v>
      </c>
      <c r="B759" s="11">
        <v>1.0</v>
      </c>
      <c r="C759" s="11">
        <v>6245.0</v>
      </c>
      <c r="D759" s="81"/>
      <c r="E759" s="40"/>
      <c r="F759" s="41"/>
      <c r="G759" s="40"/>
      <c r="H759" s="40"/>
      <c r="I759" s="40"/>
    </row>
    <row r="760">
      <c r="A760" s="21" t="s">
        <v>15152</v>
      </c>
      <c r="B760" s="11">
        <v>1.0</v>
      </c>
      <c r="C760" s="11">
        <v>6245.0</v>
      </c>
      <c r="D760" s="81"/>
      <c r="E760" s="40"/>
      <c r="F760" s="41"/>
      <c r="G760" s="40"/>
      <c r="H760" s="40"/>
      <c r="I760" s="40"/>
    </row>
    <row r="761">
      <c r="A761" s="21" t="s">
        <v>15153</v>
      </c>
      <c r="B761" s="11">
        <v>1.0</v>
      </c>
      <c r="C761" s="11">
        <v>6245.0</v>
      </c>
      <c r="D761" s="81"/>
      <c r="E761" s="40"/>
      <c r="F761" s="41"/>
      <c r="G761" s="40"/>
      <c r="H761" s="40"/>
      <c r="I761" s="40"/>
    </row>
    <row r="762">
      <c r="A762" s="21" t="s">
        <v>15154</v>
      </c>
      <c r="B762" s="11">
        <v>1.0</v>
      </c>
      <c r="C762" s="11">
        <v>6245.0</v>
      </c>
      <c r="D762" s="81"/>
      <c r="E762" s="40"/>
      <c r="F762" s="41"/>
      <c r="G762" s="40"/>
      <c r="H762" s="40"/>
      <c r="I762" s="40"/>
    </row>
    <row r="763">
      <c r="A763" s="21" t="s">
        <v>15155</v>
      </c>
      <c r="B763" s="11">
        <v>1.0</v>
      </c>
      <c r="C763" s="11">
        <v>6245.0</v>
      </c>
      <c r="D763" s="81"/>
      <c r="E763" s="40"/>
      <c r="F763" s="41"/>
      <c r="G763" s="40"/>
      <c r="H763" s="40"/>
      <c r="I763" s="40"/>
    </row>
    <row r="764">
      <c r="A764" s="21" t="s">
        <v>15156</v>
      </c>
      <c r="B764" s="11">
        <v>1.0</v>
      </c>
      <c r="C764" s="11">
        <v>6245.0</v>
      </c>
      <c r="D764" s="81"/>
      <c r="E764" s="40"/>
      <c r="F764" s="41"/>
      <c r="G764" s="40"/>
      <c r="H764" s="40"/>
      <c r="I764" s="40"/>
    </row>
    <row r="765">
      <c r="A765" s="21" t="s">
        <v>15157</v>
      </c>
      <c r="B765" s="11">
        <v>1.0</v>
      </c>
      <c r="C765" s="11">
        <v>6245.0</v>
      </c>
      <c r="D765" s="81"/>
      <c r="E765" s="40"/>
      <c r="F765" s="41"/>
      <c r="G765" s="40"/>
      <c r="H765" s="40"/>
      <c r="I765" s="40"/>
    </row>
    <row r="766">
      <c r="A766" s="21" t="s">
        <v>15158</v>
      </c>
      <c r="B766" s="11">
        <v>1.0</v>
      </c>
      <c r="C766" s="11">
        <v>6245.0</v>
      </c>
      <c r="D766" s="81"/>
      <c r="E766" s="40"/>
      <c r="F766" s="41"/>
      <c r="G766" s="40"/>
      <c r="H766" s="40"/>
      <c r="I766" s="40"/>
    </row>
    <row r="767">
      <c r="A767" s="21" t="s">
        <v>15159</v>
      </c>
      <c r="B767" s="11">
        <v>1.0</v>
      </c>
      <c r="C767" s="11">
        <v>6245.0</v>
      </c>
      <c r="D767" s="81"/>
      <c r="E767" s="40"/>
      <c r="F767" s="41"/>
      <c r="G767" s="40"/>
      <c r="H767" s="40"/>
      <c r="I767" s="40"/>
    </row>
    <row r="768">
      <c r="A768" s="21" t="s">
        <v>15160</v>
      </c>
      <c r="B768" s="11">
        <v>1.0</v>
      </c>
      <c r="C768" s="11">
        <v>6245.0</v>
      </c>
      <c r="D768" s="81"/>
      <c r="E768" s="40"/>
      <c r="F768" s="41"/>
      <c r="G768" s="40"/>
      <c r="H768" s="40"/>
      <c r="I768" s="40"/>
    </row>
    <row r="769">
      <c r="A769" s="21" t="s">
        <v>15161</v>
      </c>
      <c r="B769" s="11">
        <v>1.0</v>
      </c>
      <c r="C769" s="11">
        <v>7414.0</v>
      </c>
      <c r="D769" s="11">
        <v>6245.0</v>
      </c>
      <c r="E769" s="40"/>
      <c r="F769" s="41"/>
      <c r="G769" s="40"/>
      <c r="H769" s="40"/>
      <c r="I769" s="40"/>
    </row>
    <row r="770">
      <c r="A770" s="21" t="s">
        <v>15162</v>
      </c>
      <c r="B770" s="11">
        <v>1.0</v>
      </c>
      <c r="C770" s="11">
        <v>7149.0</v>
      </c>
      <c r="D770" s="11">
        <v>6245.0</v>
      </c>
      <c r="E770" s="40"/>
      <c r="F770" s="41"/>
      <c r="G770" s="40"/>
      <c r="H770" s="40"/>
      <c r="I770" s="40"/>
    </row>
    <row r="771">
      <c r="A771" s="21" t="s">
        <v>15163</v>
      </c>
      <c r="B771" s="11">
        <v>1.0</v>
      </c>
      <c r="C771" s="11">
        <v>7149.0</v>
      </c>
      <c r="D771" s="11">
        <v>6245.0</v>
      </c>
      <c r="E771" s="40"/>
      <c r="F771" s="41"/>
      <c r="G771" s="40"/>
      <c r="H771" s="40"/>
      <c r="I771" s="40"/>
    </row>
    <row r="772">
      <c r="A772" s="21" t="s">
        <v>15164</v>
      </c>
      <c r="B772" s="11">
        <v>1.0</v>
      </c>
      <c r="C772" s="11">
        <v>6117.0</v>
      </c>
      <c r="D772" s="81"/>
      <c r="E772" s="40"/>
      <c r="F772" s="41"/>
      <c r="G772" s="40"/>
      <c r="H772" s="40"/>
      <c r="I772" s="40"/>
    </row>
    <row r="773">
      <c r="A773" s="21" t="s">
        <v>15165</v>
      </c>
      <c r="B773" s="11">
        <v>1.0</v>
      </c>
      <c r="C773" s="11">
        <v>6117.0</v>
      </c>
      <c r="D773" s="81"/>
      <c r="E773" s="40"/>
      <c r="F773" s="41"/>
      <c r="G773" s="40"/>
      <c r="H773" s="40"/>
      <c r="I773" s="40"/>
    </row>
    <row r="774">
      <c r="A774" s="21" t="s">
        <v>15166</v>
      </c>
      <c r="B774" s="11">
        <v>1.0</v>
      </c>
      <c r="C774" s="11">
        <v>6117.0</v>
      </c>
      <c r="D774" s="81"/>
      <c r="E774" s="40"/>
      <c r="F774" s="41"/>
      <c r="G774" s="40"/>
      <c r="H774" s="40"/>
      <c r="I774" s="40"/>
    </row>
    <row r="775">
      <c r="A775" s="21" t="s">
        <v>15167</v>
      </c>
      <c r="B775" s="11">
        <v>1.0</v>
      </c>
      <c r="C775" s="11">
        <v>6117.0</v>
      </c>
      <c r="D775" s="81"/>
      <c r="E775" s="40"/>
      <c r="F775" s="41"/>
      <c r="G775" s="40"/>
      <c r="H775" s="40"/>
      <c r="I775" s="40"/>
    </row>
    <row r="776">
      <c r="A776" s="21" t="s">
        <v>15168</v>
      </c>
      <c r="B776" s="11">
        <v>1.0</v>
      </c>
      <c r="C776" s="11">
        <v>6117.0</v>
      </c>
      <c r="D776" s="81"/>
      <c r="E776" s="40"/>
      <c r="F776" s="41"/>
      <c r="G776" s="40"/>
      <c r="H776" s="40"/>
      <c r="I776" s="40"/>
    </row>
    <row r="777">
      <c r="A777" s="21" t="s">
        <v>15169</v>
      </c>
      <c r="B777" s="11">
        <v>1.0</v>
      </c>
      <c r="C777" s="11">
        <v>6117.0</v>
      </c>
      <c r="D777" s="81"/>
      <c r="E777" s="40"/>
      <c r="F777" s="41"/>
      <c r="G777" s="40"/>
      <c r="H777" s="40"/>
      <c r="I777" s="40"/>
    </row>
    <row r="778">
      <c r="A778" s="21" t="s">
        <v>15170</v>
      </c>
      <c r="B778" s="11">
        <v>1.0</v>
      </c>
      <c r="C778" s="11">
        <v>6117.0</v>
      </c>
      <c r="E778" s="40"/>
      <c r="F778" s="41"/>
      <c r="G778" s="40"/>
      <c r="H778" s="40"/>
      <c r="I778" s="40"/>
    </row>
    <row r="779">
      <c r="A779" s="21" t="s">
        <v>15171</v>
      </c>
      <c r="B779" s="11">
        <v>1.0</v>
      </c>
      <c r="C779" s="11">
        <v>7040.0</v>
      </c>
      <c r="D779" s="11">
        <v>6117.0</v>
      </c>
      <c r="E779" s="40"/>
      <c r="F779" s="41"/>
      <c r="G779" s="40"/>
      <c r="H779" s="40"/>
      <c r="I779" s="40"/>
    </row>
    <row r="780">
      <c r="A780" s="21" t="s">
        <v>15172</v>
      </c>
      <c r="B780" s="11">
        <v>1.0</v>
      </c>
      <c r="C780" s="11">
        <v>6117.0</v>
      </c>
      <c r="D780" s="81"/>
      <c r="E780" s="40"/>
      <c r="F780" s="41"/>
      <c r="G780" s="40"/>
      <c r="H780" s="40"/>
      <c r="I780" s="40"/>
    </row>
    <row r="781">
      <c r="A781" s="21" t="s">
        <v>15173</v>
      </c>
      <c r="B781" s="11">
        <v>1.0</v>
      </c>
      <c r="C781" s="11">
        <v>6117.0</v>
      </c>
      <c r="D781" s="81"/>
      <c r="E781" s="40"/>
      <c r="F781" s="41"/>
      <c r="G781" s="40"/>
      <c r="H781" s="40"/>
      <c r="I781" s="40"/>
    </row>
    <row r="782">
      <c r="A782" s="21" t="s">
        <v>15174</v>
      </c>
      <c r="B782" s="11">
        <v>1.0</v>
      </c>
      <c r="C782" s="11">
        <v>6117.0</v>
      </c>
      <c r="D782" s="81"/>
      <c r="E782" s="40"/>
      <c r="F782" s="41"/>
      <c r="G782" s="40"/>
      <c r="H782" s="40"/>
      <c r="I782" s="40"/>
    </row>
    <row r="783">
      <c r="A783" s="21" t="s">
        <v>15175</v>
      </c>
      <c r="B783" s="11">
        <v>1.0</v>
      </c>
      <c r="C783" s="11">
        <v>6117.0</v>
      </c>
      <c r="D783" s="81"/>
      <c r="E783" s="40"/>
      <c r="F783" s="41"/>
      <c r="G783" s="40"/>
      <c r="H783" s="40"/>
      <c r="I783" s="40"/>
    </row>
    <row r="784">
      <c r="A784" s="21" t="s">
        <v>15176</v>
      </c>
      <c r="B784" s="11">
        <v>1.0</v>
      </c>
      <c r="C784" s="11">
        <v>6117.0</v>
      </c>
      <c r="D784" s="81"/>
      <c r="E784" s="40"/>
      <c r="F784" s="41"/>
      <c r="G784" s="40"/>
      <c r="H784" s="40"/>
      <c r="I784" s="40"/>
    </row>
    <row r="785">
      <c r="A785" s="21" t="s">
        <v>15177</v>
      </c>
      <c r="B785" s="11">
        <v>1.0</v>
      </c>
      <c r="C785" s="11">
        <v>6117.0</v>
      </c>
      <c r="D785" s="81"/>
      <c r="E785" s="40"/>
      <c r="F785" s="41"/>
      <c r="G785" s="40"/>
      <c r="H785" s="40"/>
      <c r="I785" s="40"/>
    </row>
    <row r="786">
      <c r="A786" s="21" t="s">
        <v>15178</v>
      </c>
      <c r="B786" s="11">
        <v>1.0</v>
      </c>
      <c r="C786" s="11">
        <v>6117.0</v>
      </c>
      <c r="D786" s="81"/>
      <c r="E786" s="40"/>
      <c r="F786" s="41"/>
      <c r="G786" s="40"/>
      <c r="H786" s="40"/>
      <c r="I786" s="40"/>
    </row>
    <row r="787">
      <c r="A787" s="21" t="s">
        <v>15179</v>
      </c>
      <c r="B787" s="11">
        <v>1.0</v>
      </c>
      <c r="C787" s="11">
        <v>6117.0</v>
      </c>
      <c r="D787" s="81"/>
      <c r="E787" s="40"/>
      <c r="F787" s="41"/>
      <c r="G787" s="40"/>
      <c r="H787" s="40"/>
      <c r="I787" s="40"/>
    </row>
    <row r="788">
      <c r="A788" s="21" t="s">
        <v>15180</v>
      </c>
      <c r="B788" s="11">
        <v>1.0</v>
      </c>
      <c r="C788" s="11">
        <v>6117.0</v>
      </c>
      <c r="D788" s="81"/>
      <c r="E788" s="40"/>
      <c r="F788" s="41"/>
      <c r="G788" s="40"/>
      <c r="H788" s="40"/>
      <c r="I788" s="40"/>
    </row>
    <row r="789">
      <c r="A789" s="21" t="s">
        <v>15181</v>
      </c>
      <c r="B789" s="11">
        <v>1.0</v>
      </c>
      <c r="C789" s="11">
        <v>6117.0</v>
      </c>
      <c r="D789" s="81"/>
      <c r="E789" s="40"/>
      <c r="F789" s="41"/>
      <c r="G789" s="40"/>
      <c r="H789" s="40"/>
      <c r="I789" s="40"/>
    </row>
    <row r="790">
      <c r="A790" s="21" t="s">
        <v>15182</v>
      </c>
      <c r="B790" s="11">
        <v>1.0</v>
      </c>
      <c r="C790" s="11">
        <v>6117.0</v>
      </c>
      <c r="D790" s="81"/>
      <c r="E790" s="40"/>
      <c r="F790" s="41"/>
      <c r="G790" s="40"/>
      <c r="H790" s="40"/>
      <c r="I790" s="40"/>
    </row>
    <row r="791">
      <c r="A791" s="21" t="s">
        <v>15183</v>
      </c>
      <c r="B791" s="11">
        <v>1.0</v>
      </c>
      <c r="C791" s="11">
        <v>6117.0</v>
      </c>
      <c r="D791" s="81"/>
      <c r="E791" s="40"/>
      <c r="F791" s="41"/>
      <c r="G791" s="40"/>
      <c r="H791" s="40"/>
      <c r="I791" s="40"/>
    </row>
    <row r="792">
      <c r="A792" s="21" t="s">
        <v>15184</v>
      </c>
      <c r="B792" s="11">
        <v>1.0</v>
      </c>
      <c r="C792" s="11">
        <v>6117.0</v>
      </c>
      <c r="D792" s="81"/>
      <c r="E792" s="81"/>
      <c r="F792" s="555"/>
      <c r="G792" s="81"/>
      <c r="H792" s="81"/>
      <c r="I792" s="81"/>
    </row>
    <row r="793">
      <c r="A793" s="21" t="s">
        <v>15185</v>
      </c>
      <c r="B793" s="11">
        <v>1.0</v>
      </c>
      <c r="C793" s="11">
        <v>6117.0</v>
      </c>
      <c r="D793" s="81"/>
      <c r="E793" s="81"/>
      <c r="F793" s="555"/>
      <c r="G793" s="81"/>
      <c r="H793" s="81"/>
      <c r="I793" s="81"/>
    </row>
    <row r="794">
      <c r="A794" s="21" t="s">
        <v>15186</v>
      </c>
      <c r="B794" s="11">
        <v>1.0</v>
      </c>
      <c r="C794" s="11">
        <v>6117.0</v>
      </c>
      <c r="D794" s="81"/>
      <c r="E794" s="81"/>
      <c r="F794" s="555"/>
      <c r="G794" s="81"/>
      <c r="H794" s="81"/>
      <c r="I794" s="81"/>
    </row>
    <row r="795">
      <c r="A795" s="21" t="s">
        <v>15187</v>
      </c>
      <c r="B795" s="11">
        <v>1.0</v>
      </c>
      <c r="C795" s="11">
        <v>6117.0</v>
      </c>
      <c r="D795" s="81"/>
      <c r="E795" s="81"/>
      <c r="F795" s="555"/>
      <c r="G795" s="81"/>
      <c r="H795" s="81"/>
      <c r="I795" s="81"/>
    </row>
    <row r="796">
      <c r="A796" s="21" t="s">
        <v>15188</v>
      </c>
      <c r="B796" s="11">
        <v>1.0</v>
      </c>
      <c r="C796" s="11">
        <v>6117.0</v>
      </c>
      <c r="D796" s="81"/>
      <c r="E796" s="81"/>
      <c r="F796" s="555"/>
      <c r="G796" s="81"/>
      <c r="H796" s="81"/>
      <c r="I796" s="81"/>
    </row>
    <row r="797">
      <c r="A797" s="21" t="s">
        <v>15189</v>
      </c>
      <c r="B797" s="11">
        <v>1.0</v>
      </c>
      <c r="C797" s="11">
        <v>6117.0</v>
      </c>
      <c r="D797" s="81"/>
      <c r="E797" s="81"/>
      <c r="F797" s="555"/>
      <c r="G797" s="81"/>
      <c r="H797" s="81"/>
      <c r="I797" s="81"/>
    </row>
    <row r="798">
      <c r="A798" s="21" t="s">
        <v>15190</v>
      </c>
      <c r="B798" s="11">
        <v>1.0</v>
      </c>
      <c r="C798" s="11">
        <v>6117.0</v>
      </c>
      <c r="D798" s="81"/>
      <c r="E798" s="81"/>
      <c r="F798" s="555"/>
      <c r="G798" s="81"/>
      <c r="H798" s="81"/>
      <c r="I798" s="81"/>
    </row>
    <row r="799">
      <c r="A799" s="21" t="s">
        <v>15191</v>
      </c>
      <c r="B799" s="11">
        <v>1.0</v>
      </c>
      <c r="C799" s="11">
        <v>6117.0</v>
      </c>
      <c r="D799" s="81"/>
      <c r="E799" s="81"/>
      <c r="F799" s="555"/>
      <c r="G799" s="81"/>
      <c r="H799" s="81"/>
      <c r="I799" s="81"/>
    </row>
    <row r="800">
      <c r="A800" s="21" t="s">
        <v>15192</v>
      </c>
      <c r="B800" s="11">
        <v>1.0</v>
      </c>
      <c r="C800" s="11">
        <v>6117.0</v>
      </c>
      <c r="D800" s="81"/>
      <c r="E800" s="81"/>
      <c r="F800" s="555"/>
      <c r="G800" s="81"/>
      <c r="H800" s="81"/>
      <c r="I800" s="81"/>
    </row>
    <row r="801">
      <c r="A801" s="21" t="s">
        <v>15193</v>
      </c>
      <c r="B801" s="11">
        <v>1.0</v>
      </c>
      <c r="C801" s="11">
        <v>6117.0</v>
      </c>
      <c r="D801" s="81"/>
      <c r="E801" s="81"/>
      <c r="F801" s="555"/>
      <c r="G801" s="81"/>
      <c r="H801" s="81"/>
      <c r="I801" s="81"/>
    </row>
    <row r="802">
      <c r="A802" s="21" t="s">
        <v>15194</v>
      </c>
      <c r="B802" s="11">
        <v>1.0</v>
      </c>
      <c r="C802" s="11">
        <v>6117.0</v>
      </c>
      <c r="D802" s="81"/>
      <c r="E802" s="81"/>
      <c r="F802" s="555"/>
      <c r="G802" s="81"/>
      <c r="H802" s="81"/>
      <c r="I802" s="81"/>
    </row>
    <row r="803">
      <c r="A803" s="21" t="s">
        <v>15195</v>
      </c>
      <c r="B803" s="11">
        <v>1.0</v>
      </c>
      <c r="C803" s="11">
        <v>6117.0</v>
      </c>
      <c r="D803" s="81"/>
      <c r="E803" s="81"/>
      <c r="F803" s="555"/>
      <c r="G803" s="81"/>
      <c r="H803" s="81"/>
      <c r="I803" s="81"/>
    </row>
    <row r="804">
      <c r="A804" s="21" t="s">
        <v>15196</v>
      </c>
      <c r="B804" s="11">
        <v>1.0</v>
      </c>
      <c r="C804" s="11">
        <v>6117.0</v>
      </c>
      <c r="D804" s="81"/>
      <c r="E804" s="40"/>
      <c r="F804" s="41"/>
      <c r="G804" s="40"/>
      <c r="H804" s="40"/>
      <c r="I804" s="40"/>
    </row>
    <row r="805">
      <c r="A805" s="21" t="s">
        <v>15197</v>
      </c>
      <c r="B805" s="11">
        <v>1.0</v>
      </c>
      <c r="C805" s="11">
        <v>6117.0</v>
      </c>
      <c r="D805" s="81"/>
      <c r="E805" s="40"/>
      <c r="F805" s="41"/>
      <c r="G805" s="40"/>
      <c r="H805" s="40"/>
      <c r="I805" s="40"/>
    </row>
    <row r="806">
      <c r="A806" s="21" t="s">
        <v>15198</v>
      </c>
      <c r="B806" s="11">
        <v>1.0</v>
      </c>
      <c r="C806" s="11">
        <v>6117.0</v>
      </c>
      <c r="D806" s="81"/>
      <c r="E806" s="40"/>
      <c r="F806" s="41"/>
      <c r="G806" s="40"/>
      <c r="H806" s="40"/>
      <c r="I806" s="40"/>
    </row>
    <row r="807">
      <c r="A807" s="21" t="s">
        <v>15199</v>
      </c>
      <c r="B807" s="11">
        <v>1.0</v>
      </c>
      <c r="C807" s="11">
        <v>6117.0</v>
      </c>
      <c r="D807" s="81"/>
      <c r="E807" s="40"/>
      <c r="F807" s="41"/>
      <c r="G807" s="40"/>
      <c r="H807" s="40"/>
      <c r="I807" s="40"/>
    </row>
    <row r="808">
      <c r="A808" s="21" t="s">
        <v>15200</v>
      </c>
      <c r="B808" s="11">
        <v>1.0</v>
      </c>
      <c r="C808" s="11">
        <v>6117.0</v>
      </c>
      <c r="D808" s="81"/>
      <c r="E808" s="40"/>
      <c r="F808" s="41"/>
      <c r="G808" s="40"/>
      <c r="H808" s="40"/>
      <c r="I808" s="40"/>
    </row>
    <row r="809">
      <c r="A809" s="21" t="s">
        <v>15201</v>
      </c>
      <c r="B809" s="11">
        <v>1.0</v>
      </c>
      <c r="C809" s="11">
        <v>6117.0</v>
      </c>
      <c r="D809" s="81"/>
      <c r="E809" s="40"/>
      <c r="F809" s="41"/>
      <c r="G809" s="40"/>
      <c r="H809" s="40"/>
      <c r="I809" s="40"/>
    </row>
    <row r="810">
      <c r="A810" s="21" t="s">
        <v>15202</v>
      </c>
      <c r="B810" s="11">
        <v>1.0</v>
      </c>
      <c r="C810" s="11">
        <v>6117.0</v>
      </c>
      <c r="D810" s="81"/>
      <c r="E810" s="40"/>
      <c r="F810" s="41"/>
      <c r="G810" s="40"/>
      <c r="H810" s="40"/>
      <c r="I810" s="40"/>
    </row>
    <row r="811">
      <c r="A811" s="21" t="s">
        <v>15203</v>
      </c>
      <c r="B811" s="11">
        <v>1.0</v>
      </c>
      <c r="C811" s="11">
        <v>6117.0</v>
      </c>
      <c r="D811" s="81"/>
      <c r="E811" s="40"/>
      <c r="F811" s="41"/>
      <c r="G811" s="40"/>
      <c r="H811" s="40"/>
      <c r="I811" s="40"/>
    </row>
    <row r="812">
      <c r="A812" s="21" t="s">
        <v>15204</v>
      </c>
      <c r="B812" s="11">
        <v>1.0</v>
      </c>
      <c r="C812" s="11">
        <v>6117.0</v>
      </c>
      <c r="D812" s="81"/>
      <c r="E812" s="40"/>
      <c r="F812" s="41"/>
      <c r="G812" s="40"/>
      <c r="H812" s="40"/>
      <c r="I812" s="40"/>
    </row>
    <row r="813">
      <c r="A813" s="21" t="s">
        <v>15205</v>
      </c>
      <c r="B813" s="11">
        <v>1.0</v>
      </c>
      <c r="C813" s="11">
        <v>6117.0</v>
      </c>
      <c r="D813" s="81"/>
      <c r="E813" s="40"/>
      <c r="F813" s="41"/>
      <c r="G813" s="40"/>
      <c r="H813" s="40"/>
      <c r="I813" s="40"/>
    </row>
    <row r="814">
      <c r="A814" s="21" t="s">
        <v>15206</v>
      </c>
      <c r="B814" s="11">
        <v>1.0</v>
      </c>
      <c r="C814" s="11">
        <v>6117.0</v>
      </c>
      <c r="D814" s="81"/>
      <c r="E814" s="40"/>
      <c r="F814" s="41"/>
      <c r="G814" s="40"/>
      <c r="H814" s="40"/>
      <c r="I814" s="40"/>
    </row>
    <row r="815">
      <c r="A815" s="21" t="s">
        <v>15207</v>
      </c>
      <c r="B815" s="11">
        <v>1.0</v>
      </c>
      <c r="C815" s="11">
        <v>6117.0</v>
      </c>
      <c r="D815" s="81"/>
      <c r="E815" s="40"/>
      <c r="F815" s="41"/>
      <c r="G815" s="40"/>
      <c r="H815" s="40"/>
      <c r="I815" s="40"/>
    </row>
    <row r="816">
      <c r="A816" s="21" t="s">
        <v>15208</v>
      </c>
      <c r="B816" s="11">
        <v>1.0</v>
      </c>
      <c r="C816" s="11">
        <v>6117.0</v>
      </c>
      <c r="D816" s="81"/>
      <c r="E816" s="40"/>
      <c r="F816" s="41"/>
      <c r="G816" s="40"/>
      <c r="H816" s="40"/>
      <c r="I816" s="40"/>
    </row>
    <row r="817">
      <c r="A817" s="21" t="s">
        <v>15209</v>
      </c>
      <c r="B817" s="11">
        <v>1.0</v>
      </c>
      <c r="C817" s="11">
        <v>6117.0</v>
      </c>
      <c r="D817" s="81"/>
      <c r="E817" s="40"/>
      <c r="F817" s="41"/>
      <c r="G817" s="40"/>
      <c r="H817" s="40"/>
      <c r="I817" s="40"/>
    </row>
    <row r="818">
      <c r="A818" s="21" t="s">
        <v>15210</v>
      </c>
      <c r="B818" s="11">
        <v>1.0</v>
      </c>
      <c r="C818" s="11">
        <v>6117.0</v>
      </c>
      <c r="D818" s="81"/>
      <c r="E818" s="40"/>
      <c r="F818" s="41"/>
      <c r="G818" s="40"/>
      <c r="H818" s="40"/>
      <c r="I818" s="40"/>
    </row>
    <row r="819">
      <c r="A819" s="21" t="s">
        <v>15211</v>
      </c>
      <c r="B819" s="11">
        <v>1.0</v>
      </c>
      <c r="C819" s="11">
        <v>6117.0</v>
      </c>
      <c r="D819" s="81"/>
      <c r="E819" s="40"/>
      <c r="F819" s="41"/>
      <c r="G819" s="40"/>
      <c r="H819" s="40"/>
      <c r="I819" s="40"/>
    </row>
    <row r="820">
      <c r="A820" s="21" t="s">
        <v>15212</v>
      </c>
      <c r="B820" s="11">
        <v>1.0</v>
      </c>
      <c r="C820" s="11">
        <v>6117.0</v>
      </c>
      <c r="D820" s="81"/>
      <c r="E820" s="40"/>
      <c r="F820" s="41"/>
      <c r="G820" s="40"/>
      <c r="H820" s="40"/>
      <c r="I820" s="40"/>
    </row>
    <row r="821">
      <c r="A821" s="21" t="s">
        <v>15213</v>
      </c>
      <c r="B821" s="11">
        <v>1.0</v>
      </c>
      <c r="C821" s="11">
        <v>6117.0</v>
      </c>
      <c r="D821" s="81"/>
      <c r="E821" s="40"/>
      <c r="F821" s="41"/>
      <c r="G821" s="40"/>
      <c r="H821" s="40"/>
      <c r="I821" s="40"/>
    </row>
    <row r="822">
      <c r="A822" s="21" t="s">
        <v>15214</v>
      </c>
      <c r="B822" s="11">
        <v>1.0</v>
      </c>
      <c r="C822" s="11">
        <v>3360.0</v>
      </c>
      <c r="D822" s="81"/>
      <c r="E822" s="40"/>
      <c r="F822" s="41"/>
      <c r="G822" s="40"/>
      <c r="H822" s="40"/>
      <c r="I822" s="40"/>
    </row>
    <row r="823">
      <c r="A823" s="21" t="s">
        <v>15215</v>
      </c>
      <c r="B823" s="11">
        <v>1.0</v>
      </c>
      <c r="C823" s="11">
        <v>3360.0</v>
      </c>
      <c r="D823" s="81"/>
      <c r="E823" s="40"/>
      <c r="F823" s="41"/>
      <c r="G823" s="40"/>
      <c r="H823" s="40"/>
      <c r="I823" s="40"/>
    </row>
    <row r="824">
      <c r="A824" s="21" t="s">
        <v>15216</v>
      </c>
      <c r="B824" s="11">
        <v>1.0</v>
      </c>
      <c r="C824" s="11">
        <v>3360.0</v>
      </c>
      <c r="D824" s="81"/>
      <c r="E824" s="40"/>
      <c r="F824" s="41"/>
      <c r="G824" s="40"/>
      <c r="H824" s="40"/>
      <c r="I824" s="40"/>
    </row>
    <row r="825">
      <c r="A825" s="21" t="s">
        <v>15217</v>
      </c>
      <c r="B825" s="11">
        <v>1.0</v>
      </c>
      <c r="C825" s="11">
        <v>3360.0</v>
      </c>
      <c r="D825" s="81"/>
      <c r="E825" s="40"/>
      <c r="F825" s="41"/>
      <c r="G825" s="40"/>
      <c r="H825" s="40"/>
      <c r="I825" s="40"/>
    </row>
    <row r="826">
      <c r="A826" s="21" t="s">
        <v>15218</v>
      </c>
      <c r="B826" s="11">
        <v>1.0</v>
      </c>
      <c r="C826" s="11">
        <v>3360.0</v>
      </c>
      <c r="D826" s="81"/>
      <c r="E826" s="40"/>
      <c r="F826" s="41"/>
      <c r="G826" s="40"/>
      <c r="H826" s="40"/>
      <c r="I826" s="40"/>
    </row>
    <row r="827">
      <c r="A827" s="21" t="s">
        <v>15219</v>
      </c>
      <c r="B827" s="11">
        <v>1.0</v>
      </c>
      <c r="C827" s="11">
        <v>3360.0</v>
      </c>
      <c r="D827" s="81"/>
      <c r="E827" s="40"/>
      <c r="F827" s="41"/>
      <c r="G827" s="40"/>
      <c r="H827" s="40"/>
      <c r="I827" s="40"/>
    </row>
    <row r="828">
      <c r="A828" s="21" t="s">
        <v>15220</v>
      </c>
      <c r="B828" s="11">
        <v>1.0</v>
      </c>
      <c r="C828" s="11">
        <v>3360.0</v>
      </c>
      <c r="D828" s="81"/>
      <c r="E828" s="40"/>
      <c r="F828" s="41"/>
      <c r="G828" s="40"/>
      <c r="H828" s="40"/>
      <c r="I828" s="40"/>
    </row>
    <row r="829">
      <c r="A829" s="21" t="s">
        <v>15221</v>
      </c>
      <c r="B829" s="11">
        <v>1.0</v>
      </c>
      <c r="C829" s="11">
        <v>3360.0</v>
      </c>
      <c r="D829" s="81"/>
      <c r="E829" s="40"/>
      <c r="F829" s="41"/>
      <c r="G829" s="40"/>
      <c r="H829" s="40"/>
      <c r="I829" s="40"/>
    </row>
    <row r="830">
      <c r="A830" s="21" t="s">
        <v>15222</v>
      </c>
      <c r="B830" s="11">
        <v>1.0</v>
      </c>
      <c r="C830" s="11">
        <v>3360.0</v>
      </c>
      <c r="D830" s="81"/>
      <c r="E830" s="40"/>
      <c r="F830" s="41"/>
      <c r="G830" s="40"/>
      <c r="H830" s="40"/>
      <c r="I830" s="40"/>
    </row>
    <row r="831">
      <c r="A831" s="21" t="s">
        <v>15223</v>
      </c>
      <c r="B831" s="11">
        <v>1.0</v>
      </c>
      <c r="C831" s="11">
        <v>3360.0</v>
      </c>
      <c r="D831" s="81"/>
      <c r="E831" s="40"/>
      <c r="F831" s="41"/>
      <c r="G831" s="40"/>
      <c r="H831" s="40"/>
      <c r="I831" s="40"/>
    </row>
    <row r="832">
      <c r="A832" s="21" t="s">
        <v>15224</v>
      </c>
      <c r="B832" s="11">
        <v>1.0</v>
      </c>
      <c r="C832" s="11">
        <v>3360.0</v>
      </c>
      <c r="D832" s="81"/>
      <c r="E832" s="40"/>
      <c r="F832" s="41"/>
      <c r="G832" s="40"/>
      <c r="H832" s="40"/>
      <c r="I832" s="40"/>
    </row>
    <row r="833">
      <c r="A833" s="21" t="s">
        <v>15225</v>
      </c>
      <c r="B833" s="11">
        <v>1.0</v>
      </c>
      <c r="C833" s="11">
        <v>3360.0</v>
      </c>
      <c r="D833" s="81"/>
      <c r="E833" s="40"/>
      <c r="F833" s="41"/>
      <c r="G833" s="40"/>
      <c r="H833" s="40"/>
      <c r="I833" s="40"/>
    </row>
    <row r="834">
      <c r="A834" s="21" t="s">
        <v>15226</v>
      </c>
      <c r="B834" s="11">
        <v>1.0</v>
      </c>
      <c r="C834" s="11">
        <v>3360.0</v>
      </c>
      <c r="D834" s="81"/>
      <c r="E834" s="40"/>
      <c r="F834" s="41"/>
      <c r="G834" s="40"/>
      <c r="H834" s="40"/>
      <c r="I834" s="40"/>
    </row>
    <row r="835">
      <c r="A835" s="21" t="s">
        <v>15227</v>
      </c>
      <c r="B835" s="11">
        <v>1.0</v>
      </c>
      <c r="C835" s="11">
        <v>3360.0</v>
      </c>
      <c r="D835" s="81"/>
      <c r="E835" s="40"/>
      <c r="F835" s="41"/>
      <c r="G835" s="40"/>
      <c r="H835" s="40"/>
      <c r="I835" s="40"/>
    </row>
    <row r="836">
      <c r="A836" s="21" t="s">
        <v>15228</v>
      </c>
      <c r="B836" s="11">
        <v>1.0</v>
      </c>
      <c r="C836" s="11">
        <v>3360.0</v>
      </c>
      <c r="D836" s="81"/>
      <c r="E836" s="40"/>
      <c r="F836" s="41"/>
      <c r="G836" s="40"/>
      <c r="H836" s="40"/>
      <c r="I836" s="40"/>
    </row>
    <row r="837">
      <c r="A837" s="21" t="s">
        <v>15229</v>
      </c>
      <c r="B837" s="11">
        <v>1.0</v>
      </c>
      <c r="C837" s="11">
        <v>3360.0</v>
      </c>
      <c r="D837" s="81"/>
      <c r="E837" s="40"/>
      <c r="F837" s="41"/>
      <c r="G837" s="40"/>
      <c r="H837" s="40"/>
      <c r="I837" s="40"/>
    </row>
    <row r="838">
      <c r="A838" s="21" t="s">
        <v>15230</v>
      </c>
      <c r="B838" s="11">
        <v>1.0</v>
      </c>
      <c r="C838" s="11">
        <v>3360.0</v>
      </c>
      <c r="D838" s="81"/>
      <c r="E838" s="40"/>
      <c r="F838" s="41"/>
      <c r="G838" s="40"/>
      <c r="H838" s="40"/>
      <c r="I838" s="40"/>
    </row>
    <row r="839">
      <c r="A839" s="21" t="s">
        <v>15231</v>
      </c>
      <c r="B839" s="11">
        <v>1.0</v>
      </c>
      <c r="C839" s="11">
        <v>3360.0</v>
      </c>
      <c r="D839" s="81"/>
      <c r="E839" s="40"/>
      <c r="F839" s="41"/>
      <c r="G839" s="40"/>
      <c r="H839" s="40"/>
      <c r="I839" s="40"/>
    </row>
    <row r="840">
      <c r="A840" s="21" t="s">
        <v>15232</v>
      </c>
      <c r="B840" s="11">
        <v>1.0</v>
      </c>
      <c r="C840" s="11">
        <v>3360.0</v>
      </c>
      <c r="D840" s="81"/>
      <c r="E840" s="40"/>
      <c r="F840" s="41"/>
      <c r="G840" s="40"/>
      <c r="H840" s="40"/>
      <c r="I840" s="40"/>
    </row>
    <row r="841">
      <c r="A841" s="21" t="s">
        <v>15233</v>
      </c>
      <c r="B841" s="11">
        <v>1.0</v>
      </c>
      <c r="C841" s="11">
        <v>3360.0</v>
      </c>
      <c r="D841" s="81"/>
      <c r="E841" s="40"/>
      <c r="F841" s="41"/>
      <c r="G841" s="40"/>
      <c r="H841" s="40"/>
      <c r="I841" s="40"/>
    </row>
    <row r="842">
      <c r="A842" s="21" t="s">
        <v>15234</v>
      </c>
      <c r="B842" s="11">
        <v>1.0</v>
      </c>
      <c r="C842" s="11">
        <v>3360.0</v>
      </c>
      <c r="D842" s="81"/>
      <c r="E842" s="40"/>
      <c r="F842" s="41"/>
      <c r="G842" s="40"/>
      <c r="H842" s="40"/>
      <c r="I842" s="40"/>
    </row>
    <row r="843">
      <c r="A843" s="21" t="s">
        <v>15235</v>
      </c>
      <c r="B843" s="11">
        <v>1.0</v>
      </c>
      <c r="C843" s="11">
        <v>3360.0</v>
      </c>
      <c r="D843" s="81"/>
      <c r="E843" s="40"/>
      <c r="F843" s="41"/>
      <c r="G843" s="40"/>
      <c r="H843" s="40"/>
      <c r="I843" s="40"/>
    </row>
    <row r="844">
      <c r="A844" s="21" t="s">
        <v>15236</v>
      </c>
      <c r="B844" s="11">
        <v>1.0</v>
      </c>
      <c r="C844" s="11">
        <v>3360.0</v>
      </c>
      <c r="D844" s="81"/>
      <c r="E844" s="40"/>
      <c r="F844" s="41"/>
      <c r="G844" s="40"/>
      <c r="H844" s="40"/>
      <c r="I844" s="40"/>
    </row>
    <row r="845">
      <c r="A845" s="21" t="s">
        <v>15237</v>
      </c>
      <c r="B845" s="11">
        <v>1.0</v>
      </c>
      <c r="C845" s="11">
        <v>3360.0</v>
      </c>
      <c r="D845" s="81"/>
      <c r="E845" s="40"/>
      <c r="F845" s="41"/>
      <c r="G845" s="40"/>
      <c r="H845" s="40"/>
      <c r="I845" s="40"/>
    </row>
    <row r="846">
      <c r="A846" s="21" t="s">
        <v>15238</v>
      </c>
      <c r="B846" s="11">
        <v>1.0</v>
      </c>
      <c r="C846" s="11">
        <v>3360.0</v>
      </c>
      <c r="D846" s="81"/>
      <c r="E846" s="40"/>
      <c r="F846" s="41"/>
      <c r="G846" s="40"/>
      <c r="H846" s="40"/>
      <c r="I846" s="40"/>
    </row>
    <row r="847">
      <c r="A847" s="21" t="s">
        <v>15239</v>
      </c>
      <c r="B847" s="11">
        <v>1.0</v>
      </c>
      <c r="C847" s="11">
        <v>3360.0</v>
      </c>
      <c r="D847" s="81"/>
      <c r="E847" s="40"/>
      <c r="F847" s="41"/>
      <c r="G847" s="40"/>
      <c r="H847" s="40"/>
      <c r="I847" s="40"/>
    </row>
    <row r="848">
      <c r="A848" s="21" t="s">
        <v>15240</v>
      </c>
      <c r="B848" s="11">
        <v>1.0</v>
      </c>
      <c r="C848" s="11">
        <v>3360.0</v>
      </c>
      <c r="D848" s="81"/>
      <c r="E848" s="40"/>
      <c r="F848" s="41"/>
      <c r="G848" s="40"/>
      <c r="H848" s="40"/>
      <c r="I848" s="40"/>
    </row>
    <row r="849">
      <c r="A849" s="21" t="s">
        <v>15241</v>
      </c>
      <c r="B849" s="11">
        <v>1.0</v>
      </c>
      <c r="C849" s="11">
        <v>3360.0</v>
      </c>
      <c r="D849" s="81"/>
      <c r="E849" s="40"/>
      <c r="F849" s="41"/>
      <c r="G849" s="40"/>
      <c r="H849" s="40"/>
      <c r="I849" s="40"/>
    </row>
    <row r="850">
      <c r="A850" s="21" t="s">
        <v>15242</v>
      </c>
      <c r="B850" s="11">
        <v>1.0</v>
      </c>
      <c r="C850" s="11">
        <v>3360.0</v>
      </c>
      <c r="D850" s="81"/>
      <c r="E850" s="40"/>
      <c r="F850" s="41"/>
      <c r="G850" s="40"/>
      <c r="H850" s="40"/>
      <c r="I850" s="40"/>
    </row>
    <row r="851">
      <c r="A851" s="21" t="s">
        <v>15243</v>
      </c>
      <c r="B851" s="11">
        <v>1.0</v>
      </c>
      <c r="C851" s="11">
        <v>3360.0</v>
      </c>
      <c r="D851" s="81"/>
      <c r="E851" s="40"/>
      <c r="F851" s="41"/>
      <c r="G851" s="40"/>
      <c r="H851" s="40"/>
      <c r="I851" s="40"/>
    </row>
    <row r="852">
      <c r="A852" s="21" t="s">
        <v>15244</v>
      </c>
      <c r="B852" s="11">
        <v>1.0</v>
      </c>
      <c r="C852" s="11">
        <v>3360.0</v>
      </c>
      <c r="D852" s="81"/>
      <c r="E852" s="40"/>
      <c r="F852" s="41"/>
      <c r="G852" s="40"/>
      <c r="H852" s="40"/>
      <c r="I852" s="40"/>
    </row>
    <row r="853">
      <c r="A853" s="21" t="s">
        <v>15245</v>
      </c>
      <c r="B853" s="11">
        <v>1.0</v>
      </c>
      <c r="C853" s="11">
        <v>3360.0</v>
      </c>
      <c r="D853" s="81"/>
      <c r="E853" s="40"/>
      <c r="F853" s="41"/>
      <c r="G853" s="40"/>
      <c r="H853" s="40"/>
      <c r="I853" s="40"/>
    </row>
    <row r="854">
      <c r="A854" s="21" t="s">
        <v>15246</v>
      </c>
      <c r="B854" s="11">
        <v>1.0</v>
      </c>
      <c r="C854" s="11">
        <v>3360.0</v>
      </c>
      <c r="D854" s="81"/>
      <c r="E854" s="40"/>
      <c r="F854" s="41"/>
      <c r="G854" s="40"/>
      <c r="H854" s="40"/>
      <c r="I854" s="40"/>
    </row>
    <row r="855">
      <c r="A855" s="21" t="s">
        <v>15247</v>
      </c>
      <c r="B855" s="11">
        <v>1.0</v>
      </c>
      <c r="C855" s="11">
        <v>3360.0</v>
      </c>
      <c r="D855" s="81"/>
      <c r="E855" s="40"/>
      <c r="F855" s="41"/>
      <c r="G855" s="40"/>
      <c r="H855" s="40"/>
      <c r="I855" s="40"/>
    </row>
    <row r="856">
      <c r="A856" s="21" t="s">
        <v>15248</v>
      </c>
      <c r="B856" s="11">
        <v>1.0</v>
      </c>
      <c r="C856" s="11">
        <v>3360.0</v>
      </c>
      <c r="D856" s="81"/>
      <c r="E856" s="40"/>
      <c r="F856" s="41"/>
      <c r="G856" s="40"/>
      <c r="H856" s="40"/>
      <c r="I856" s="40"/>
    </row>
    <row r="857">
      <c r="A857" s="21" t="s">
        <v>15249</v>
      </c>
      <c r="B857" s="11">
        <v>1.0</v>
      </c>
      <c r="C857" s="11">
        <v>3360.0</v>
      </c>
      <c r="D857" s="81"/>
      <c r="E857" s="40"/>
      <c r="F857" s="41"/>
      <c r="G857" s="40"/>
      <c r="H857" s="40"/>
      <c r="I857" s="40"/>
    </row>
    <row r="858">
      <c r="A858" s="21" t="s">
        <v>15250</v>
      </c>
      <c r="B858" s="11">
        <v>1.0</v>
      </c>
      <c r="C858" s="11">
        <v>3360.0</v>
      </c>
      <c r="D858" s="81"/>
      <c r="E858" s="40"/>
      <c r="F858" s="41"/>
      <c r="G858" s="40"/>
      <c r="H858" s="40"/>
      <c r="I858" s="40"/>
    </row>
    <row r="859">
      <c r="A859" s="21" t="s">
        <v>15251</v>
      </c>
      <c r="B859" s="11">
        <v>1.0</v>
      </c>
      <c r="C859" s="11">
        <v>3360.0</v>
      </c>
      <c r="D859" s="81"/>
      <c r="E859" s="40"/>
      <c r="F859" s="41"/>
      <c r="G859" s="40"/>
      <c r="H859" s="40"/>
      <c r="I859" s="40"/>
    </row>
    <row r="860">
      <c r="A860" s="21" t="s">
        <v>15252</v>
      </c>
      <c r="B860" s="11">
        <v>1.0</v>
      </c>
      <c r="C860" s="11">
        <v>3360.0</v>
      </c>
      <c r="D860" s="81"/>
      <c r="E860" s="40"/>
      <c r="F860" s="41"/>
      <c r="G860" s="40"/>
      <c r="H860" s="40"/>
      <c r="I860" s="40"/>
    </row>
    <row r="861">
      <c r="A861" s="21" t="s">
        <v>15253</v>
      </c>
      <c r="B861" s="11">
        <v>1.0</v>
      </c>
      <c r="C861" s="11">
        <v>3360.0</v>
      </c>
      <c r="D861" s="81"/>
      <c r="E861" s="40"/>
      <c r="F861" s="41"/>
      <c r="G861" s="40"/>
      <c r="H861" s="40"/>
      <c r="I861" s="40"/>
    </row>
    <row r="862">
      <c r="A862" s="21" t="s">
        <v>15254</v>
      </c>
      <c r="B862" s="11">
        <v>1.0</v>
      </c>
      <c r="C862" s="11">
        <v>3360.0</v>
      </c>
      <c r="D862" s="81"/>
      <c r="E862" s="40"/>
      <c r="F862" s="41"/>
      <c r="G862" s="40"/>
      <c r="H862" s="40"/>
      <c r="I862" s="40"/>
    </row>
    <row r="863">
      <c r="A863" s="21" t="s">
        <v>15255</v>
      </c>
      <c r="B863" s="11">
        <v>1.0</v>
      </c>
      <c r="C863" s="11">
        <v>3360.0</v>
      </c>
      <c r="D863" s="81"/>
      <c r="E863" s="40"/>
      <c r="F863" s="41"/>
      <c r="G863" s="40"/>
      <c r="H863" s="40"/>
      <c r="I863" s="40"/>
    </row>
    <row r="864">
      <c r="A864" s="21" t="s">
        <v>15256</v>
      </c>
      <c r="B864" s="11">
        <v>1.0</v>
      </c>
      <c r="C864" s="11">
        <v>3360.0</v>
      </c>
      <c r="D864" s="81"/>
      <c r="E864" s="40"/>
      <c r="F864" s="41"/>
      <c r="G864" s="40"/>
      <c r="H864" s="40"/>
      <c r="I864" s="40"/>
    </row>
    <row r="865">
      <c r="A865" s="21" t="s">
        <v>15257</v>
      </c>
      <c r="B865" s="11">
        <v>1.0</v>
      </c>
      <c r="C865" s="11">
        <v>3360.0</v>
      </c>
      <c r="D865" s="81"/>
      <c r="E865" s="40"/>
      <c r="F865" s="41"/>
      <c r="G865" s="40"/>
      <c r="H865" s="40"/>
      <c r="I865" s="40"/>
    </row>
    <row r="866">
      <c r="A866" s="21" t="s">
        <v>15258</v>
      </c>
      <c r="B866" s="11">
        <v>1.0</v>
      </c>
      <c r="C866" s="11">
        <v>3360.0</v>
      </c>
      <c r="D866" s="81"/>
      <c r="E866" s="40"/>
      <c r="F866" s="41"/>
      <c r="G866" s="40"/>
      <c r="H866" s="40"/>
      <c r="I866" s="40"/>
    </row>
    <row r="867">
      <c r="A867" s="21" t="s">
        <v>15259</v>
      </c>
      <c r="B867" s="11">
        <v>1.0</v>
      </c>
      <c r="C867" s="11">
        <v>1.0</v>
      </c>
      <c r="D867" s="81"/>
      <c r="E867" s="40"/>
      <c r="F867" s="41"/>
      <c r="G867" s="40"/>
      <c r="H867" s="40"/>
      <c r="I867" s="40"/>
    </row>
    <row r="868">
      <c r="A868" s="21" t="s">
        <v>15260</v>
      </c>
      <c r="B868" s="11">
        <v>1.0</v>
      </c>
      <c r="C868" s="11">
        <v>1.0</v>
      </c>
      <c r="D868" s="81"/>
      <c r="E868" s="40"/>
      <c r="F868" s="41"/>
      <c r="G868" s="40"/>
      <c r="H868" s="40"/>
      <c r="I868" s="40"/>
    </row>
    <row r="869">
      <c r="A869" s="21" t="s">
        <v>15261</v>
      </c>
      <c r="B869" s="11">
        <v>1.0</v>
      </c>
      <c r="C869" s="11">
        <v>7619.0</v>
      </c>
      <c r="D869" s="81"/>
      <c r="E869" s="40"/>
      <c r="F869" s="41"/>
      <c r="G869" s="40"/>
      <c r="H869" s="40"/>
      <c r="I869" s="40"/>
    </row>
    <row r="870">
      <c r="A870" s="21" t="s">
        <v>15262</v>
      </c>
      <c r="B870" s="11">
        <v>1.0</v>
      </c>
      <c r="C870" s="11">
        <v>1.0</v>
      </c>
      <c r="D870" s="81"/>
      <c r="E870" s="40"/>
      <c r="F870" s="41"/>
      <c r="G870" s="40"/>
      <c r="H870" s="40"/>
      <c r="I870" s="40"/>
    </row>
    <row r="871">
      <c r="A871" s="21" t="s">
        <v>15263</v>
      </c>
      <c r="B871" s="11">
        <v>1.0</v>
      </c>
      <c r="C871" s="11">
        <v>1.0</v>
      </c>
      <c r="D871" s="81"/>
      <c r="E871" s="40"/>
      <c r="F871" s="41"/>
      <c r="G871" s="40"/>
      <c r="H871" s="40"/>
      <c r="I871" s="40"/>
    </row>
    <row r="872">
      <c r="A872" s="21" t="s">
        <v>15264</v>
      </c>
      <c r="B872" s="11">
        <v>1.0</v>
      </c>
      <c r="C872" s="11">
        <v>1.0</v>
      </c>
      <c r="D872" s="81"/>
      <c r="E872" s="40"/>
      <c r="F872" s="41"/>
      <c r="G872" s="40"/>
      <c r="H872" s="40"/>
      <c r="I872" s="40"/>
    </row>
    <row r="873">
      <c r="A873" s="21" t="s">
        <v>15265</v>
      </c>
      <c r="B873" s="11">
        <v>1.0</v>
      </c>
      <c r="C873" s="11">
        <v>1.0</v>
      </c>
      <c r="D873" s="81"/>
      <c r="E873" s="40"/>
      <c r="F873" s="41"/>
      <c r="G873" s="40"/>
      <c r="H873" s="40"/>
      <c r="I873" s="40"/>
    </row>
    <row r="874">
      <c r="A874" s="21" t="s">
        <v>15266</v>
      </c>
      <c r="B874" s="11">
        <v>1.0</v>
      </c>
      <c r="C874" s="11">
        <v>1.0</v>
      </c>
      <c r="D874" s="81"/>
      <c r="E874" s="40"/>
      <c r="F874" s="41"/>
      <c r="G874" s="40"/>
      <c r="H874" s="40"/>
      <c r="I874" s="40"/>
    </row>
    <row r="875">
      <c r="A875" s="21" t="s">
        <v>15267</v>
      </c>
      <c r="B875" s="11">
        <v>1.0</v>
      </c>
      <c r="C875" s="11">
        <v>3331.0</v>
      </c>
      <c r="D875" s="81"/>
      <c r="E875" s="40"/>
      <c r="F875" s="41"/>
      <c r="G875" s="40"/>
      <c r="H875" s="40"/>
      <c r="I875" s="40"/>
    </row>
    <row r="876">
      <c r="A876" s="21" t="s">
        <v>15268</v>
      </c>
      <c r="B876" s="11">
        <v>1.0</v>
      </c>
      <c r="C876" s="11">
        <v>3331.0</v>
      </c>
      <c r="D876" s="81"/>
      <c r="E876" s="40"/>
      <c r="F876" s="41"/>
      <c r="G876" s="40"/>
      <c r="H876" s="40"/>
      <c r="I876" s="40"/>
    </row>
    <row r="877">
      <c r="A877" s="21" t="s">
        <v>15269</v>
      </c>
      <c r="B877" s="11">
        <v>1.0</v>
      </c>
      <c r="C877" s="11">
        <v>1.0</v>
      </c>
      <c r="D877" s="81"/>
      <c r="E877" s="40"/>
      <c r="F877" s="41"/>
      <c r="G877" s="40"/>
      <c r="H877" s="40"/>
      <c r="I877" s="40"/>
    </row>
    <row r="878">
      <c r="A878" s="21" t="s">
        <v>15270</v>
      </c>
      <c r="B878" s="11">
        <v>1.0</v>
      </c>
      <c r="C878" s="11">
        <v>1.0</v>
      </c>
      <c r="D878" s="81"/>
      <c r="E878" s="40"/>
      <c r="F878" s="41"/>
      <c r="G878" s="40"/>
      <c r="H878" s="40"/>
      <c r="I878" s="40"/>
    </row>
    <row r="879">
      <c r="A879" s="21" t="s">
        <v>15271</v>
      </c>
      <c r="B879" s="11">
        <v>1.0</v>
      </c>
      <c r="C879" s="11">
        <v>1.0</v>
      </c>
      <c r="D879" s="81"/>
      <c r="E879" s="40"/>
      <c r="F879" s="41"/>
      <c r="G879" s="40"/>
      <c r="H879" s="40"/>
      <c r="I879" s="40"/>
    </row>
    <row r="880">
      <c r="A880" s="21" t="s">
        <v>15272</v>
      </c>
      <c r="B880" s="11">
        <v>1.0</v>
      </c>
      <c r="C880" s="11">
        <v>1.0</v>
      </c>
      <c r="D880" s="81"/>
      <c r="E880" s="40"/>
      <c r="F880" s="41"/>
      <c r="G880" s="40"/>
      <c r="H880" s="40"/>
      <c r="I880" s="40"/>
    </row>
    <row r="881">
      <c r="A881" s="21" t="s">
        <v>15273</v>
      </c>
      <c r="B881" s="11">
        <v>1.0</v>
      </c>
      <c r="C881" s="11">
        <v>1.0</v>
      </c>
      <c r="D881" s="81"/>
      <c r="E881" s="40"/>
      <c r="F881" s="41"/>
      <c r="G881" s="40"/>
      <c r="H881" s="40"/>
      <c r="I881" s="40"/>
    </row>
    <row r="882">
      <c r="A882" s="21" t="s">
        <v>15274</v>
      </c>
      <c r="B882" s="11">
        <v>1.0</v>
      </c>
      <c r="C882" s="11">
        <v>1.0</v>
      </c>
      <c r="D882" s="81"/>
      <c r="E882" s="40"/>
      <c r="F882" s="41"/>
      <c r="G882" s="40"/>
      <c r="H882" s="40"/>
      <c r="I882" s="40"/>
    </row>
    <row r="883">
      <c r="A883" s="21" t="s">
        <v>15275</v>
      </c>
      <c r="B883" s="11">
        <v>1.0</v>
      </c>
      <c r="C883" s="11">
        <v>1.0</v>
      </c>
      <c r="D883" s="81"/>
      <c r="E883" s="40"/>
      <c r="F883" s="41"/>
      <c r="G883" s="40"/>
      <c r="H883" s="40"/>
      <c r="I883" s="40"/>
    </row>
    <row r="884">
      <c r="A884" s="21" t="s">
        <v>15276</v>
      </c>
      <c r="B884" s="11">
        <v>1.0</v>
      </c>
      <c r="C884" s="11">
        <v>1.0</v>
      </c>
      <c r="D884" s="81"/>
      <c r="E884" s="40"/>
      <c r="F884" s="41"/>
      <c r="G884" s="40"/>
      <c r="H884" s="40"/>
      <c r="I884" s="40"/>
    </row>
    <row r="885">
      <c r="A885" s="21" t="s">
        <v>15277</v>
      </c>
      <c r="B885" s="11">
        <v>1.0</v>
      </c>
      <c r="C885" s="11">
        <v>1.0</v>
      </c>
      <c r="D885" s="81"/>
      <c r="E885" s="40"/>
      <c r="F885" s="41"/>
      <c r="G885" s="40"/>
      <c r="H885" s="40"/>
      <c r="I885" s="40"/>
    </row>
    <row r="886">
      <c r="A886" s="21" t="s">
        <v>15278</v>
      </c>
      <c r="B886" s="11">
        <v>1.0</v>
      </c>
      <c r="C886" s="11">
        <v>1.0</v>
      </c>
      <c r="D886" s="81"/>
      <c r="E886" s="40"/>
      <c r="F886" s="41"/>
      <c r="G886" s="40"/>
      <c r="H886" s="40"/>
      <c r="I886" s="40"/>
    </row>
    <row r="887">
      <c r="A887" s="21" t="s">
        <v>15279</v>
      </c>
      <c r="B887" s="11">
        <v>1.0</v>
      </c>
      <c r="C887" s="11">
        <v>1.0</v>
      </c>
      <c r="D887" s="81"/>
      <c r="E887" s="40"/>
      <c r="F887" s="41"/>
      <c r="G887" s="40"/>
      <c r="H887" s="40"/>
      <c r="I887" s="40"/>
    </row>
    <row r="888">
      <c r="A888" s="21" t="s">
        <v>15280</v>
      </c>
      <c r="B888" s="11">
        <v>1.0</v>
      </c>
      <c r="C888" s="11">
        <v>1.0</v>
      </c>
      <c r="D888" s="81"/>
      <c r="E888" s="40"/>
      <c r="F888" s="41"/>
      <c r="G888" s="40"/>
      <c r="H888" s="40"/>
      <c r="I888" s="40"/>
    </row>
    <row r="889">
      <c r="A889" s="21" t="s">
        <v>15281</v>
      </c>
      <c r="B889" s="11">
        <v>1.0</v>
      </c>
      <c r="C889" s="11">
        <v>1.0</v>
      </c>
      <c r="D889" s="81"/>
      <c r="E889" s="40"/>
      <c r="F889" s="41"/>
      <c r="G889" s="40"/>
      <c r="H889" s="40"/>
      <c r="I889" s="40"/>
    </row>
    <row r="890">
      <c r="A890" s="21" t="s">
        <v>15282</v>
      </c>
      <c r="B890" s="11">
        <v>1.0</v>
      </c>
      <c r="C890" s="11">
        <v>1.0</v>
      </c>
      <c r="D890" s="81"/>
      <c r="E890" s="40"/>
      <c r="F890" s="41"/>
      <c r="G890" s="40"/>
      <c r="H890" s="40"/>
      <c r="I890" s="40"/>
    </row>
    <row r="891">
      <c r="A891" s="21" t="s">
        <v>15283</v>
      </c>
      <c r="B891" s="11">
        <v>1.0</v>
      </c>
      <c r="C891" s="11">
        <v>1.0</v>
      </c>
      <c r="D891" s="81"/>
      <c r="E891" s="40"/>
      <c r="F891" s="41"/>
      <c r="G891" s="40"/>
      <c r="H891" s="40"/>
      <c r="I891" s="40"/>
    </row>
    <row r="892">
      <c r="A892" s="21" t="s">
        <v>15284</v>
      </c>
      <c r="B892" s="11">
        <v>1.0</v>
      </c>
      <c r="C892" s="11">
        <v>1.0</v>
      </c>
      <c r="D892" s="81"/>
      <c r="E892" s="40"/>
      <c r="F892" s="41"/>
      <c r="G892" s="40"/>
      <c r="H892" s="40"/>
      <c r="I892" s="40"/>
    </row>
    <row r="893">
      <c r="A893" s="21" t="s">
        <v>15285</v>
      </c>
      <c r="B893" s="11">
        <v>1.0</v>
      </c>
      <c r="C893" s="11">
        <v>1.0</v>
      </c>
      <c r="D893" s="81"/>
      <c r="E893" s="40"/>
      <c r="F893" s="41"/>
      <c r="G893" s="40"/>
      <c r="H893" s="40"/>
      <c r="I893" s="40"/>
    </row>
    <row r="894">
      <c r="A894" s="21" t="s">
        <v>15286</v>
      </c>
      <c r="B894" s="11">
        <v>1.0</v>
      </c>
      <c r="C894" s="11">
        <v>1.0</v>
      </c>
      <c r="D894" s="81"/>
      <c r="E894" s="40"/>
      <c r="F894" s="41"/>
      <c r="G894" s="40"/>
      <c r="H894" s="40"/>
      <c r="I894" s="40"/>
    </row>
    <row r="895">
      <c r="A895" s="21" t="s">
        <v>15287</v>
      </c>
      <c r="B895" s="11">
        <v>1.0</v>
      </c>
      <c r="C895" s="11">
        <v>1.0</v>
      </c>
      <c r="D895" s="81"/>
      <c r="E895" s="40"/>
      <c r="F895" s="41"/>
      <c r="G895" s="40"/>
      <c r="H895" s="40"/>
      <c r="I895" s="40"/>
    </row>
    <row r="896">
      <c r="A896" s="21" t="s">
        <v>15288</v>
      </c>
      <c r="B896" s="11">
        <v>1.0</v>
      </c>
      <c r="C896" s="11">
        <v>1.0</v>
      </c>
      <c r="D896" s="81"/>
      <c r="E896" s="40"/>
      <c r="F896" s="41"/>
      <c r="G896" s="40"/>
      <c r="H896" s="40"/>
      <c r="I896" s="40"/>
    </row>
    <row r="897">
      <c r="A897" s="21" t="s">
        <v>15289</v>
      </c>
      <c r="B897" s="11">
        <v>1.0</v>
      </c>
      <c r="C897" s="11">
        <v>1.0</v>
      </c>
      <c r="D897" s="81"/>
      <c r="E897" s="40"/>
      <c r="F897" s="41"/>
      <c r="G897" s="40"/>
      <c r="H897" s="40"/>
      <c r="I897" s="40"/>
    </row>
    <row r="898">
      <c r="A898" s="21" t="s">
        <v>15290</v>
      </c>
      <c r="B898" s="11">
        <v>1.0</v>
      </c>
      <c r="C898" s="11">
        <v>1.0</v>
      </c>
      <c r="D898" s="81"/>
      <c r="E898" s="40"/>
      <c r="F898" s="41"/>
      <c r="G898" s="40"/>
      <c r="H898" s="40"/>
      <c r="I898" s="40"/>
    </row>
    <row r="899">
      <c r="A899" s="21" t="s">
        <v>15291</v>
      </c>
      <c r="B899" s="11">
        <v>1.0</v>
      </c>
      <c r="C899" s="11">
        <v>1.0</v>
      </c>
      <c r="D899" s="81"/>
      <c r="E899" s="40"/>
      <c r="F899" s="41"/>
      <c r="G899" s="40"/>
      <c r="H899" s="40"/>
      <c r="I899" s="40"/>
    </row>
    <row r="900">
      <c r="A900" s="21" t="s">
        <v>15292</v>
      </c>
      <c r="B900" s="11">
        <v>1.0</v>
      </c>
      <c r="C900" s="11">
        <v>1.0</v>
      </c>
      <c r="D900" s="81"/>
      <c r="E900" s="40"/>
      <c r="F900" s="41"/>
      <c r="G900" s="40"/>
      <c r="H900" s="40"/>
      <c r="I900" s="40"/>
    </row>
    <row r="901">
      <c r="A901" s="21" t="s">
        <v>15293</v>
      </c>
      <c r="B901" s="11">
        <v>1.0</v>
      </c>
      <c r="C901" s="11">
        <v>1.0</v>
      </c>
      <c r="D901" s="81"/>
      <c r="E901" s="40"/>
      <c r="F901" s="41"/>
      <c r="G901" s="40"/>
      <c r="H901" s="40"/>
      <c r="I901" s="40"/>
    </row>
    <row r="902">
      <c r="A902" s="21" t="s">
        <v>15294</v>
      </c>
      <c r="B902" s="11">
        <v>1.0</v>
      </c>
      <c r="C902" s="11">
        <v>1.0</v>
      </c>
      <c r="D902" s="81"/>
      <c r="E902" s="40"/>
      <c r="F902" s="41"/>
      <c r="G902" s="40"/>
      <c r="H902" s="40"/>
      <c r="I902" s="40"/>
    </row>
    <row r="903">
      <c r="A903" s="21" t="s">
        <v>15295</v>
      </c>
      <c r="B903" s="11">
        <v>1.0</v>
      </c>
      <c r="C903" s="11">
        <v>1.0</v>
      </c>
      <c r="D903" s="81"/>
      <c r="E903" s="40"/>
      <c r="F903" s="41"/>
      <c r="G903" s="40"/>
      <c r="H903" s="40"/>
      <c r="I903" s="40"/>
    </row>
    <row r="904">
      <c r="A904" s="21" t="s">
        <v>15296</v>
      </c>
      <c r="B904" s="11">
        <v>1.0</v>
      </c>
      <c r="C904" s="11">
        <v>1.0</v>
      </c>
      <c r="D904" s="81"/>
      <c r="E904" s="40"/>
      <c r="F904" s="41"/>
      <c r="G904" s="40"/>
      <c r="H904" s="40"/>
      <c r="I904" s="40"/>
    </row>
    <row r="905">
      <c r="A905" s="21" t="s">
        <v>15297</v>
      </c>
      <c r="B905" s="11">
        <v>1.0</v>
      </c>
      <c r="C905" s="11">
        <v>1.0</v>
      </c>
      <c r="D905" s="81"/>
      <c r="E905" s="40"/>
      <c r="F905" s="41"/>
      <c r="G905" s="40"/>
      <c r="H905" s="40"/>
      <c r="I905" s="40"/>
    </row>
    <row r="906">
      <c r="A906" s="21" t="s">
        <v>15298</v>
      </c>
      <c r="B906" s="11">
        <v>1.0</v>
      </c>
      <c r="C906" s="11">
        <v>1.0</v>
      </c>
      <c r="D906" s="81"/>
      <c r="E906" s="40"/>
      <c r="F906" s="41"/>
      <c r="G906" s="40"/>
      <c r="H906" s="40"/>
      <c r="I906" s="40"/>
    </row>
    <row r="907">
      <c r="A907" s="21" t="s">
        <v>15299</v>
      </c>
      <c r="B907" s="11">
        <v>1.0</v>
      </c>
      <c r="C907" s="11">
        <v>1.0</v>
      </c>
      <c r="D907" s="81"/>
      <c r="E907" s="40"/>
      <c r="F907" s="41"/>
      <c r="G907" s="40"/>
      <c r="H907" s="40"/>
      <c r="I907" s="40"/>
    </row>
    <row r="908">
      <c r="A908" s="21" t="s">
        <v>15300</v>
      </c>
      <c r="B908" s="11">
        <v>1.0</v>
      </c>
      <c r="C908" s="11">
        <v>1.0</v>
      </c>
      <c r="D908" s="81"/>
      <c r="E908" s="40"/>
      <c r="F908" s="41"/>
      <c r="G908" s="40"/>
      <c r="H908" s="40"/>
      <c r="I908" s="40"/>
    </row>
    <row r="909">
      <c r="A909" s="21" t="s">
        <v>15301</v>
      </c>
      <c r="B909" s="11">
        <v>1.0</v>
      </c>
      <c r="C909" s="11">
        <v>1.0</v>
      </c>
      <c r="D909" s="81"/>
      <c r="E909" s="40"/>
      <c r="F909" s="41"/>
      <c r="G909" s="40"/>
      <c r="H909" s="40"/>
      <c r="I909" s="40"/>
    </row>
    <row r="910">
      <c r="A910" s="21" t="s">
        <v>15302</v>
      </c>
      <c r="B910" s="11">
        <v>1.0</v>
      </c>
      <c r="C910" s="11">
        <v>1.0</v>
      </c>
      <c r="D910" s="81"/>
      <c r="E910" s="40"/>
      <c r="F910" s="41"/>
      <c r="G910" s="40"/>
      <c r="H910" s="40"/>
      <c r="I910" s="40"/>
    </row>
    <row r="911">
      <c r="A911" s="21" t="s">
        <v>15303</v>
      </c>
      <c r="B911" s="11">
        <v>1.0</v>
      </c>
      <c r="C911" s="11">
        <v>1.0</v>
      </c>
      <c r="D911" s="81"/>
      <c r="E911" s="40"/>
      <c r="F911" s="41"/>
      <c r="G911" s="40"/>
      <c r="H911" s="40"/>
      <c r="I911" s="40"/>
    </row>
    <row r="912">
      <c r="A912" s="21" t="s">
        <v>15304</v>
      </c>
      <c r="B912" s="11">
        <v>1.0</v>
      </c>
      <c r="C912" s="11">
        <v>1.0</v>
      </c>
      <c r="D912" s="81"/>
      <c r="E912" s="40"/>
      <c r="F912" s="41"/>
      <c r="G912" s="40"/>
      <c r="H912" s="40"/>
      <c r="I912" s="40"/>
    </row>
    <row r="913">
      <c r="A913" s="21" t="s">
        <v>15305</v>
      </c>
      <c r="B913" s="11">
        <v>1.0</v>
      </c>
      <c r="C913" s="11">
        <v>1.0</v>
      </c>
      <c r="D913" s="81"/>
      <c r="E913" s="40"/>
      <c r="F913" s="41"/>
      <c r="G913" s="40"/>
      <c r="H913" s="40"/>
      <c r="I913" s="40"/>
    </row>
    <row r="914">
      <c r="A914" s="21" t="s">
        <v>15306</v>
      </c>
      <c r="B914" s="11">
        <v>1.0</v>
      </c>
      <c r="C914" s="11">
        <v>1.0</v>
      </c>
      <c r="D914" s="81"/>
      <c r="E914" s="40"/>
      <c r="F914" s="41"/>
      <c r="G914" s="40"/>
      <c r="H914" s="40"/>
      <c r="I914" s="40"/>
    </row>
    <row r="915">
      <c r="A915" s="21" t="s">
        <v>15307</v>
      </c>
      <c r="B915" s="11">
        <v>1.0</v>
      </c>
      <c r="C915" s="11">
        <v>1.0</v>
      </c>
      <c r="D915" s="81"/>
      <c r="E915" s="40"/>
      <c r="F915" s="41"/>
      <c r="G915" s="40"/>
      <c r="H915" s="40"/>
      <c r="I915" s="40"/>
    </row>
    <row r="916">
      <c r="A916" s="21" t="s">
        <v>15308</v>
      </c>
      <c r="B916" s="11">
        <v>1.0</v>
      </c>
      <c r="C916" s="11">
        <v>1.0</v>
      </c>
      <c r="D916" s="81"/>
      <c r="E916" s="40"/>
      <c r="F916" s="41"/>
      <c r="G916" s="40"/>
      <c r="H916" s="40"/>
      <c r="I916" s="40"/>
    </row>
    <row r="917">
      <c r="A917" s="21" t="s">
        <v>15309</v>
      </c>
      <c r="B917" s="11">
        <v>1.0</v>
      </c>
      <c r="C917" s="11">
        <v>4687.0</v>
      </c>
      <c r="D917" s="81"/>
      <c r="E917" s="40"/>
      <c r="F917" s="41"/>
      <c r="G917" s="40"/>
      <c r="H917" s="40"/>
      <c r="I917" s="40"/>
    </row>
    <row r="918">
      <c r="A918" s="21" t="s">
        <v>15310</v>
      </c>
      <c r="B918" s="11">
        <v>1.0</v>
      </c>
      <c r="C918" s="11">
        <v>4687.0</v>
      </c>
      <c r="D918" s="81"/>
      <c r="E918" s="40"/>
      <c r="F918" s="41"/>
      <c r="G918" s="40"/>
      <c r="H918" s="40"/>
      <c r="I918" s="40"/>
    </row>
    <row r="919">
      <c r="A919" s="21" t="s">
        <v>15311</v>
      </c>
      <c r="B919" s="11">
        <v>1.0</v>
      </c>
      <c r="C919" s="11">
        <v>4687.0</v>
      </c>
      <c r="D919" s="81"/>
      <c r="E919" s="40"/>
      <c r="F919" s="41"/>
      <c r="G919" s="40"/>
      <c r="H919" s="40"/>
      <c r="I919" s="40"/>
    </row>
    <row r="920">
      <c r="A920" s="21" t="s">
        <v>15312</v>
      </c>
      <c r="B920" s="11">
        <v>1.0</v>
      </c>
      <c r="C920" s="11">
        <v>4687.0</v>
      </c>
      <c r="D920" s="81"/>
      <c r="E920" s="40"/>
      <c r="F920" s="41"/>
      <c r="G920" s="40"/>
      <c r="H920" s="40"/>
      <c r="I920" s="40"/>
    </row>
    <row r="921">
      <c r="A921" s="21" t="s">
        <v>15313</v>
      </c>
      <c r="B921" s="11">
        <v>1.0</v>
      </c>
      <c r="C921" s="11">
        <v>4687.0</v>
      </c>
      <c r="D921" s="81"/>
      <c r="E921" s="40"/>
      <c r="F921" s="41"/>
      <c r="G921" s="40"/>
      <c r="H921" s="40"/>
      <c r="I921" s="40"/>
    </row>
    <row r="922">
      <c r="A922" s="21" t="s">
        <v>15314</v>
      </c>
      <c r="B922" s="11">
        <v>1.0</v>
      </c>
      <c r="C922" s="11">
        <v>4687.0</v>
      </c>
      <c r="D922" s="81"/>
      <c r="E922" s="40"/>
      <c r="F922" s="41"/>
      <c r="G922" s="40"/>
      <c r="H922" s="40"/>
      <c r="I922" s="40"/>
    </row>
    <row r="923">
      <c r="A923" s="21" t="s">
        <v>15315</v>
      </c>
      <c r="B923" s="11">
        <v>1.0</v>
      </c>
      <c r="C923" s="11">
        <v>4687.0</v>
      </c>
      <c r="D923" s="81"/>
      <c r="E923" s="40"/>
      <c r="F923" s="41"/>
      <c r="G923" s="40"/>
      <c r="H923" s="40"/>
      <c r="I923" s="40"/>
    </row>
    <row r="924">
      <c r="A924" s="21" t="s">
        <v>15316</v>
      </c>
      <c r="B924" s="11">
        <v>1.0</v>
      </c>
      <c r="C924" s="11">
        <v>4687.0</v>
      </c>
      <c r="D924" s="81"/>
      <c r="E924" s="40"/>
      <c r="F924" s="41"/>
      <c r="G924" s="40"/>
      <c r="H924" s="40"/>
      <c r="I924" s="40"/>
    </row>
    <row r="925">
      <c r="A925" s="21" t="s">
        <v>15317</v>
      </c>
      <c r="B925" s="11">
        <v>1.0</v>
      </c>
      <c r="C925" s="11">
        <v>4687.0</v>
      </c>
      <c r="D925" s="81"/>
      <c r="E925" s="40"/>
      <c r="F925" s="41"/>
      <c r="G925" s="40"/>
      <c r="H925" s="40"/>
      <c r="I925" s="40"/>
    </row>
    <row r="926">
      <c r="A926" s="21" t="s">
        <v>15318</v>
      </c>
      <c r="B926" s="11">
        <v>1.0</v>
      </c>
      <c r="C926" s="11">
        <v>4687.0</v>
      </c>
      <c r="D926" s="81"/>
      <c r="E926" s="40"/>
      <c r="F926" s="41"/>
      <c r="G926" s="40"/>
      <c r="H926" s="40"/>
      <c r="I926" s="40"/>
    </row>
    <row r="927">
      <c r="A927" s="21" t="s">
        <v>15319</v>
      </c>
      <c r="B927" s="11">
        <v>1.0</v>
      </c>
      <c r="C927" s="11">
        <v>4687.0</v>
      </c>
      <c r="D927" s="81"/>
      <c r="E927" s="40"/>
      <c r="F927" s="41"/>
      <c r="G927" s="40"/>
      <c r="H927" s="40"/>
      <c r="I927" s="40"/>
    </row>
    <row r="928">
      <c r="A928" s="21" t="s">
        <v>15320</v>
      </c>
      <c r="B928" s="11">
        <v>1.0</v>
      </c>
      <c r="C928" s="11">
        <v>4687.0</v>
      </c>
      <c r="D928" s="81"/>
      <c r="E928" s="40"/>
      <c r="F928" s="41"/>
      <c r="G928" s="40"/>
      <c r="H928" s="40"/>
      <c r="I928" s="40"/>
    </row>
    <row r="929">
      <c r="A929" s="21" t="s">
        <v>15321</v>
      </c>
      <c r="B929" s="11">
        <v>1.0</v>
      </c>
      <c r="C929" s="11">
        <v>4687.0</v>
      </c>
      <c r="D929" s="81"/>
      <c r="E929" s="40"/>
      <c r="F929" s="41"/>
      <c r="G929" s="40"/>
      <c r="H929" s="40"/>
      <c r="I929" s="40"/>
    </row>
    <row r="930">
      <c r="A930" s="21" t="s">
        <v>15322</v>
      </c>
      <c r="B930" s="11">
        <v>1.0</v>
      </c>
      <c r="C930" s="11">
        <v>4687.0</v>
      </c>
      <c r="D930" s="81"/>
      <c r="E930" s="40"/>
      <c r="F930" s="41"/>
      <c r="G930" s="40"/>
      <c r="H930" s="40"/>
      <c r="I930" s="40"/>
    </row>
    <row r="931">
      <c r="A931" s="21" t="s">
        <v>15323</v>
      </c>
      <c r="B931" s="11">
        <v>1.0</v>
      </c>
      <c r="C931" s="11">
        <v>4687.0</v>
      </c>
      <c r="D931" s="81"/>
      <c r="E931" s="40"/>
      <c r="F931" s="41"/>
      <c r="G931" s="40"/>
      <c r="H931" s="40"/>
      <c r="I931" s="40"/>
    </row>
    <row r="932">
      <c r="A932" s="21" t="s">
        <v>15324</v>
      </c>
      <c r="B932" s="11">
        <v>1.0</v>
      </c>
      <c r="C932" s="11">
        <v>4687.0</v>
      </c>
      <c r="D932" s="81"/>
      <c r="E932" s="40"/>
      <c r="F932" s="41"/>
      <c r="G932" s="40"/>
      <c r="H932" s="40"/>
      <c r="I932" s="40"/>
    </row>
    <row r="933">
      <c r="A933" s="21" t="s">
        <v>15325</v>
      </c>
      <c r="B933" s="11">
        <v>1.0</v>
      </c>
      <c r="C933" s="11">
        <v>4687.0</v>
      </c>
      <c r="D933" s="81"/>
      <c r="E933" s="40"/>
      <c r="F933" s="41"/>
      <c r="G933" s="40"/>
      <c r="H933" s="40"/>
      <c r="I933" s="40"/>
    </row>
    <row r="934">
      <c r="A934" s="21" t="s">
        <v>15326</v>
      </c>
      <c r="B934" s="11">
        <v>1.0</v>
      </c>
      <c r="C934" s="11">
        <v>4687.0</v>
      </c>
      <c r="D934" s="81"/>
      <c r="E934" s="40"/>
      <c r="F934" s="41"/>
      <c r="G934" s="40"/>
      <c r="H934" s="40"/>
      <c r="I934" s="40"/>
    </row>
    <row r="935">
      <c r="A935" s="11" t="s">
        <v>15327</v>
      </c>
      <c r="B935" s="11">
        <v>1.0</v>
      </c>
      <c r="C935" s="11">
        <v>6706.0</v>
      </c>
      <c r="D935" s="40"/>
      <c r="E935" s="40"/>
      <c r="F935" s="41"/>
      <c r="G935" s="40"/>
      <c r="H935" s="40"/>
      <c r="I935" s="40"/>
    </row>
    <row r="936">
      <c r="A936" s="11" t="s">
        <v>15328</v>
      </c>
      <c r="B936" s="11">
        <v>1.0</v>
      </c>
      <c r="C936" s="11">
        <v>6706.0</v>
      </c>
      <c r="D936" s="40"/>
      <c r="E936" s="40"/>
      <c r="F936" s="41"/>
      <c r="G936" s="40"/>
      <c r="H936" s="40"/>
      <c r="I936" s="40"/>
    </row>
    <row r="937">
      <c r="A937" s="11" t="s">
        <v>15329</v>
      </c>
      <c r="B937" s="11">
        <v>1.0</v>
      </c>
      <c r="C937" s="11">
        <v>6706.0</v>
      </c>
      <c r="D937" s="40"/>
      <c r="E937" s="40"/>
      <c r="F937" s="41"/>
      <c r="G937" s="40"/>
      <c r="H937" s="40"/>
      <c r="I937" s="40"/>
    </row>
    <row r="938">
      <c r="A938" s="11" t="s">
        <v>15330</v>
      </c>
      <c r="B938" s="11">
        <v>1.0</v>
      </c>
      <c r="C938" s="11">
        <v>6706.0</v>
      </c>
      <c r="D938" s="40"/>
      <c r="E938" s="40"/>
      <c r="F938" s="41"/>
      <c r="G938" s="40"/>
      <c r="H938" s="40"/>
      <c r="I938" s="40"/>
    </row>
    <row r="939">
      <c r="A939" s="11" t="s">
        <v>15331</v>
      </c>
      <c r="B939" s="11">
        <v>1.0</v>
      </c>
      <c r="C939" s="11">
        <v>6706.0</v>
      </c>
      <c r="D939" s="40"/>
      <c r="E939" s="40"/>
      <c r="F939" s="41"/>
      <c r="G939" s="40"/>
      <c r="H939" s="40"/>
      <c r="I939" s="40"/>
    </row>
    <row r="940">
      <c r="A940" s="11" t="s">
        <v>15332</v>
      </c>
      <c r="B940" s="11">
        <v>1.0</v>
      </c>
      <c r="C940" s="11">
        <v>7003.0</v>
      </c>
      <c r="D940" s="40"/>
      <c r="E940" s="40"/>
      <c r="F940" s="41"/>
      <c r="G940" s="40"/>
      <c r="H940" s="40"/>
      <c r="I940" s="40"/>
    </row>
    <row r="941">
      <c r="A941" s="11" t="s">
        <v>4625</v>
      </c>
      <c r="B941" s="11">
        <v>1.0</v>
      </c>
      <c r="C941" s="11">
        <v>7003.0</v>
      </c>
      <c r="D941" s="557"/>
      <c r="E941" s="40"/>
      <c r="F941" s="41"/>
      <c r="G941" s="40"/>
      <c r="H941" s="40"/>
      <c r="I941" s="40"/>
    </row>
    <row r="942">
      <c r="D942" s="557"/>
      <c r="E942" s="40"/>
      <c r="F942" s="41"/>
      <c r="G942" s="40"/>
      <c r="H942" s="40"/>
      <c r="I942" s="40"/>
    </row>
    <row r="943">
      <c r="D943" s="557"/>
      <c r="E943" s="40"/>
      <c r="F943" s="41"/>
      <c r="G943" s="40"/>
      <c r="H943" s="40"/>
      <c r="I943" s="40"/>
    </row>
    <row r="944">
      <c r="D944" s="557"/>
      <c r="E944" s="40"/>
      <c r="F944" s="41"/>
      <c r="G944" s="40"/>
      <c r="H944" s="40"/>
      <c r="I944" s="40"/>
    </row>
    <row r="945">
      <c r="D945" s="557"/>
      <c r="E945" s="40"/>
      <c r="F945" s="41"/>
      <c r="G945" s="40"/>
      <c r="H945" s="40"/>
      <c r="I945" s="40"/>
    </row>
    <row r="946">
      <c r="D946" s="557"/>
      <c r="E946" s="40"/>
      <c r="F946" s="41"/>
      <c r="G946" s="40"/>
      <c r="H946" s="40"/>
      <c r="I946" s="40"/>
    </row>
    <row r="947">
      <c r="D947" s="557"/>
      <c r="E947" s="40"/>
      <c r="F947" s="41"/>
      <c r="G947" s="40"/>
      <c r="H947" s="40"/>
      <c r="I947" s="40"/>
    </row>
    <row r="948">
      <c r="D948" s="557"/>
      <c r="E948" s="40"/>
      <c r="F948" s="41"/>
      <c r="G948" s="40"/>
      <c r="H948" s="40"/>
      <c r="I948" s="40"/>
    </row>
    <row r="949">
      <c r="D949" s="557"/>
      <c r="E949" s="40"/>
      <c r="F949" s="41"/>
      <c r="G949" s="40"/>
      <c r="H949" s="40"/>
      <c r="I949" s="40"/>
    </row>
    <row r="950">
      <c r="D950" s="557"/>
      <c r="E950" s="40"/>
      <c r="F950" s="41"/>
      <c r="G950" s="40"/>
      <c r="H950" s="40"/>
      <c r="I950" s="40"/>
    </row>
    <row r="951">
      <c r="D951" s="557"/>
      <c r="E951" s="40"/>
      <c r="F951" s="41"/>
      <c r="G951" s="40"/>
      <c r="H951" s="40"/>
      <c r="I951" s="40"/>
    </row>
    <row r="952">
      <c r="D952" s="557"/>
      <c r="E952" s="40"/>
      <c r="F952" s="41"/>
      <c r="G952" s="40"/>
      <c r="H952" s="40"/>
      <c r="I952" s="40"/>
    </row>
    <row r="953">
      <c r="D953" s="557"/>
      <c r="E953" s="40"/>
      <c r="F953" s="41"/>
      <c r="G953" s="40"/>
      <c r="H953" s="40"/>
      <c r="I953" s="40"/>
    </row>
    <row r="954">
      <c r="D954" s="557"/>
      <c r="E954" s="40"/>
      <c r="F954" s="41"/>
      <c r="G954" s="40"/>
      <c r="H954" s="40"/>
      <c r="I954" s="40"/>
    </row>
    <row r="955">
      <c r="D955" s="557"/>
      <c r="E955" s="40"/>
      <c r="F955" s="41"/>
      <c r="G955" s="40"/>
      <c r="H955" s="40"/>
      <c r="I955" s="40"/>
    </row>
    <row r="956">
      <c r="D956" s="557"/>
      <c r="E956" s="40"/>
      <c r="F956" s="41"/>
      <c r="G956" s="40"/>
      <c r="H956" s="40"/>
      <c r="I956" s="40"/>
    </row>
    <row r="957">
      <c r="D957" s="557"/>
      <c r="E957" s="40"/>
      <c r="F957" s="41"/>
      <c r="G957" s="40"/>
      <c r="H957" s="40"/>
      <c r="I957" s="40"/>
    </row>
    <row r="958">
      <c r="D958" s="557"/>
      <c r="E958" s="40"/>
      <c r="F958" s="41"/>
      <c r="G958" s="40"/>
      <c r="H958" s="40"/>
      <c r="I958" s="40"/>
    </row>
    <row r="959">
      <c r="D959" s="557"/>
      <c r="E959" s="40"/>
      <c r="F959" s="41"/>
      <c r="G959" s="40"/>
      <c r="H959" s="40"/>
      <c r="I959" s="40"/>
    </row>
    <row r="960">
      <c r="D960" s="557"/>
      <c r="E960" s="40"/>
      <c r="F960" s="41"/>
      <c r="G960" s="40"/>
      <c r="H960" s="40"/>
      <c r="I960" s="40"/>
    </row>
    <row r="961">
      <c r="D961" s="557"/>
      <c r="E961" s="40"/>
      <c r="F961" s="41"/>
      <c r="G961" s="40"/>
      <c r="H961" s="40"/>
      <c r="I961" s="40"/>
    </row>
    <row r="962">
      <c r="D962" s="557"/>
      <c r="E962" s="40"/>
      <c r="F962" s="41"/>
      <c r="G962" s="40"/>
      <c r="H962" s="40"/>
      <c r="I962" s="40"/>
    </row>
    <row r="963">
      <c r="D963" s="557"/>
      <c r="E963" s="40"/>
      <c r="F963" s="41"/>
      <c r="G963" s="40"/>
      <c r="H963" s="40"/>
      <c r="I963" s="40"/>
    </row>
    <row r="964">
      <c r="D964" s="557"/>
      <c r="E964" s="40"/>
      <c r="F964" s="41"/>
      <c r="G964" s="40"/>
      <c r="H964" s="40"/>
      <c r="I964" s="40"/>
    </row>
    <row r="965">
      <c r="D965" s="557"/>
      <c r="E965" s="40"/>
      <c r="F965" s="41"/>
      <c r="G965" s="40"/>
      <c r="H965" s="40"/>
      <c r="I965" s="40"/>
    </row>
    <row r="966">
      <c r="D966" s="557"/>
      <c r="E966" s="40"/>
      <c r="F966" s="41"/>
      <c r="G966" s="40"/>
      <c r="H966" s="40"/>
      <c r="I966" s="40"/>
    </row>
    <row r="967">
      <c r="D967" s="557"/>
      <c r="E967" s="40"/>
      <c r="F967" s="41"/>
      <c r="G967" s="40"/>
      <c r="H967" s="40"/>
      <c r="I967" s="40"/>
    </row>
    <row r="968">
      <c r="D968" s="557"/>
      <c r="E968" s="40"/>
      <c r="F968" s="41"/>
      <c r="G968" s="40"/>
      <c r="H968" s="40"/>
      <c r="I968" s="40"/>
    </row>
    <row r="969">
      <c r="D969" s="557"/>
      <c r="E969" s="40"/>
      <c r="F969" s="41"/>
      <c r="G969" s="40"/>
      <c r="H969" s="40"/>
      <c r="I969" s="40"/>
    </row>
    <row r="970">
      <c r="D970" s="557"/>
      <c r="E970" s="40"/>
      <c r="F970" s="41"/>
      <c r="G970" s="40"/>
      <c r="H970" s="40"/>
      <c r="I970" s="40"/>
    </row>
    <row r="971">
      <c r="D971" s="40"/>
      <c r="E971" s="40"/>
      <c r="F971" s="41"/>
      <c r="G971" s="40"/>
      <c r="H971" s="40"/>
      <c r="I971" s="40"/>
    </row>
    <row r="972">
      <c r="D972" s="40"/>
      <c r="E972" s="40"/>
      <c r="F972" s="41"/>
      <c r="G972" s="40"/>
      <c r="H972" s="40"/>
      <c r="I972" s="40"/>
    </row>
    <row r="973">
      <c r="D973" s="40"/>
      <c r="E973" s="40"/>
      <c r="F973" s="41"/>
      <c r="G973" s="40"/>
      <c r="H973" s="40"/>
      <c r="I973" s="40"/>
    </row>
    <row r="974">
      <c r="D974" s="40"/>
      <c r="E974" s="40"/>
      <c r="F974" s="41"/>
      <c r="G974" s="40"/>
      <c r="H974" s="40"/>
      <c r="I974" s="40"/>
    </row>
    <row r="975">
      <c r="D975" s="40"/>
      <c r="E975" s="40"/>
      <c r="F975" s="41"/>
      <c r="G975" s="40"/>
      <c r="H975" s="40"/>
      <c r="I975" s="40"/>
    </row>
    <row r="976">
      <c r="D976" s="40"/>
      <c r="E976" s="40"/>
      <c r="F976" s="41"/>
      <c r="G976" s="40"/>
      <c r="H976" s="40"/>
      <c r="I976" s="40"/>
    </row>
    <row r="977">
      <c r="D977" s="40"/>
      <c r="E977" s="40"/>
      <c r="F977" s="41"/>
      <c r="G977" s="40"/>
      <c r="H977" s="40"/>
      <c r="I977" s="40"/>
    </row>
    <row r="978">
      <c r="D978" s="40"/>
      <c r="E978" s="40"/>
      <c r="F978" s="41"/>
      <c r="G978" s="40"/>
      <c r="H978" s="40"/>
      <c r="I978" s="40"/>
    </row>
    <row r="979">
      <c r="D979" s="40"/>
      <c r="E979" s="40"/>
      <c r="F979" s="41"/>
      <c r="G979" s="40"/>
      <c r="H979" s="40"/>
      <c r="I979" s="40"/>
    </row>
    <row r="980">
      <c r="D980" s="40"/>
      <c r="E980" s="40"/>
      <c r="F980" s="41"/>
      <c r="G980" s="40"/>
      <c r="H980" s="40"/>
      <c r="I980" s="40"/>
    </row>
    <row r="981">
      <c r="D981" s="40"/>
      <c r="E981" s="40"/>
      <c r="F981" s="41"/>
      <c r="G981" s="40"/>
      <c r="H981" s="40"/>
      <c r="I981" s="40"/>
    </row>
    <row r="982">
      <c r="D982" s="40"/>
      <c r="E982" s="40"/>
      <c r="F982" s="41"/>
      <c r="G982" s="40"/>
      <c r="H982" s="40"/>
      <c r="I982" s="40"/>
    </row>
    <row r="983">
      <c r="D983" s="40"/>
      <c r="E983" s="40"/>
      <c r="F983" s="41"/>
      <c r="G983" s="40"/>
      <c r="H983" s="40"/>
      <c r="I983" s="40"/>
    </row>
    <row r="984">
      <c r="D984" s="40"/>
      <c r="E984" s="40"/>
      <c r="F984" s="41"/>
      <c r="G984" s="40"/>
      <c r="H984" s="40"/>
      <c r="I984" s="40"/>
    </row>
    <row r="985">
      <c r="D985" s="40"/>
      <c r="E985" s="40"/>
      <c r="F985" s="41"/>
      <c r="G985" s="40"/>
      <c r="H985" s="40"/>
      <c r="I985" s="40"/>
    </row>
    <row r="986">
      <c r="D986" s="40"/>
      <c r="E986" s="40"/>
      <c r="F986" s="41"/>
      <c r="G986" s="40"/>
      <c r="H986" s="40"/>
      <c r="I986" s="40"/>
    </row>
    <row r="987">
      <c r="D987" s="40"/>
      <c r="E987" s="40"/>
      <c r="F987" s="41"/>
      <c r="G987" s="40"/>
      <c r="H987" s="40"/>
      <c r="I987" s="40"/>
    </row>
    <row r="988">
      <c r="D988" s="40"/>
      <c r="E988" s="40"/>
      <c r="F988" s="41"/>
      <c r="G988" s="40"/>
      <c r="H988" s="40"/>
      <c r="I988" s="40"/>
    </row>
    <row r="989">
      <c r="D989" s="40"/>
      <c r="E989" s="40"/>
      <c r="F989" s="41"/>
      <c r="G989" s="40"/>
      <c r="H989" s="40"/>
      <c r="I989" s="40"/>
    </row>
    <row r="990">
      <c r="D990" s="40"/>
      <c r="E990" s="40"/>
      <c r="F990" s="41"/>
      <c r="G990" s="40"/>
      <c r="H990" s="40"/>
      <c r="I990" s="40"/>
    </row>
    <row r="991">
      <c r="D991" s="40"/>
      <c r="E991" s="40"/>
      <c r="F991" s="41"/>
      <c r="G991" s="40"/>
      <c r="H991" s="40"/>
      <c r="I991" s="40"/>
    </row>
    <row r="992">
      <c r="D992" s="40"/>
      <c r="E992" s="40"/>
      <c r="F992" s="41"/>
      <c r="G992" s="40"/>
      <c r="H992" s="40"/>
      <c r="I992" s="40"/>
    </row>
    <row r="993">
      <c r="D993" s="40"/>
      <c r="E993" s="40"/>
      <c r="F993" s="41"/>
      <c r="G993" s="40"/>
      <c r="H993" s="40"/>
      <c r="I993" s="40"/>
    </row>
    <row r="994">
      <c r="D994" s="40"/>
      <c r="E994" s="40"/>
      <c r="F994" s="41"/>
      <c r="G994" s="40"/>
      <c r="H994" s="40"/>
      <c r="I994" s="40"/>
    </row>
    <row r="995">
      <c r="D995" s="40"/>
      <c r="E995" s="40"/>
      <c r="F995" s="41"/>
      <c r="G995" s="40"/>
      <c r="H995" s="40"/>
      <c r="I995" s="40"/>
    </row>
    <row r="996">
      <c r="D996" s="40"/>
      <c r="E996" s="40"/>
      <c r="F996" s="41"/>
      <c r="G996" s="40"/>
      <c r="H996" s="40"/>
      <c r="I996" s="40"/>
    </row>
    <row r="997">
      <c r="D997" s="40"/>
      <c r="E997" s="40"/>
      <c r="F997" s="41"/>
      <c r="G997" s="40"/>
      <c r="H997" s="40"/>
      <c r="I997" s="40"/>
    </row>
    <row r="998">
      <c r="D998" s="40"/>
      <c r="E998" s="40"/>
      <c r="F998" s="41"/>
      <c r="G998" s="40"/>
      <c r="H998" s="40"/>
      <c r="I998" s="40"/>
    </row>
    <row r="999">
      <c r="D999" s="40"/>
      <c r="E999" s="40"/>
      <c r="F999" s="41"/>
      <c r="G999" s="40"/>
      <c r="H999" s="40"/>
      <c r="I999" s="40"/>
    </row>
    <row r="1000">
      <c r="D1000" s="40"/>
      <c r="E1000" s="40"/>
      <c r="F1000" s="41"/>
      <c r="G1000" s="40"/>
      <c r="H1000" s="40"/>
      <c r="I1000" s="40"/>
    </row>
    <row r="1001">
      <c r="D1001" s="40"/>
      <c r="E1001" s="40"/>
      <c r="F1001" s="41"/>
      <c r="G1001" s="40"/>
      <c r="H1001" s="40"/>
      <c r="I1001" s="40"/>
    </row>
    <row r="1002">
      <c r="D1002" s="40"/>
      <c r="E1002" s="40"/>
      <c r="F1002" s="41"/>
      <c r="G1002" s="40"/>
      <c r="H1002" s="40"/>
      <c r="I1002" s="40"/>
    </row>
    <row r="1003">
      <c r="D1003" s="40"/>
      <c r="E1003" s="40"/>
      <c r="F1003" s="41"/>
      <c r="G1003" s="40"/>
      <c r="H1003" s="40"/>
      <c r="I1003" s="40"/>
    </row>
    <row r="1004">
      <c r="D1004" s="40"/>
      <c r="E1004" s="40"/>
      <c r="F1004" s="41"/>
      <c r="G1004" s="40"/>
      <c r="H1004" s="40"/>
      <c r="I1004" s="40"/>
    </row>
    <row r="1005">
      <c r="D1005" s="40"/>
      <c r="E1005" s="40"/>
      <c r="F1005" s="41"/>
      <c r="G1005" s="40"/>
      <c r="H1005" s="40"/>
      <c r="I1005" s="40"/>
    </row>
    <row r="1006">
      <c r="D1006" s="40"/>
      <c r="E1006" s="40"/>
      <c r="F1006" s="41"/>
      <c r="G1006" s="40"/>
      <c r="H1006" s="40"/>
      <c r="I1006" s="40"/>
    </row>
    <row r="1007">
      <c r="D1007" s="40"/>
      <c r="E1007" s="40"/>
      <c r="F1007" s="41"/>
      <c r="G1007" s="40"/>
      <c r="H1007" s="40"/>
      <c r="I1007" s="40"/>
    </row>
    <row r="1008">
      <c r="D1008" s="40"/>
      <c r="E1008" s="40"/>
      <c r="F1008" s="41"/>
      <c r="G1008" s="40"/>
      <c r="H1008" s="40"/>
      <c r="I1008" s="40"/>
    </row>
    <row r="1009">
      <c r="D1009" s="40"/>
      <c r="E1009" s="40"/>
      <c r="F1009" s="41"/>
      <c r="G1009" s="40"/>
      <c r="H1009" s="40"/>
      <c r="I1009" s="40"/>
    </row>
    <row r="1010">
      <c r="D1010" s="40"/>
      <c r="E1010" s="40"/>
      <c r="F1010" s="41"/>
      <c r="G1010" s="40"/>
      <c r="H1010" s="40"/>
      <c r="I1010" s="40"/>
    </row>
    <row r="1011">
      <c r="D1011" s="40"/>
      <c r="E1011" s="40"/>
      <c r="F1011" s="41"/>
      <c r="G1011" s="40"/>
      <c r="H1011" s="40"/>
      <c r="I1011" s="40"/>
    </row>
    <row r="1012">
      <c r="D1012" s="40"/>
      <c r="E1012" s="40"/>
      <c r="F1012" s="41"/>
      <c r="G1012" s="40"/>
      <c r="H1012" s="40"/>
      <c r="I1012" s="40"/>
    </row>
    <row r="1013">
      <c r="D1013" s="40"/>
      <c r="E1013" s="40"/>
      <c r="F1013" s="41"/>
      <c r="G1013" s="40"/>
      <c r="H1013" s="40"/>
      <c r="I1013" s="40"/>
    </row>
    <row r="1014">
      <c r="D1014" s="40"/>
      <c r="E1014" s="40"/>
      <c r="F1014" s="41"/>
      <c r="G1014" s="40"/>
      <c r="H1014" s="40"/>
      <c r="I1014" s="40"/>
    </row>
    <row r="1015">
      <c r="D1015" s="40"/>
      <c r="E1015" s="40"/>
      <c r="F1015" s="41"/>
      <c r="G1015" s="40"/>
      <c r="H1015" s="40"/>
      <c r="I1015" s="40"/>
    </row>
    <row r="1016">
      <c r="D1016" s="40"/>
      <c r="E1016" s="40"/>
      <c r="F1016" s="41"/>
      <c r="G1016" s="40"/>
      <c r="H1016" s="40"/>
      <c r="I1016" s="40"/>
    </row>
    <row r="1017">
      <c r="D1017" s="40"/>
      <c r="E1017" s="40"/>
      <c r="F1017" s="41"/>
      <c r="G1017" s="40"/>
      <c r="H1017" s="40"/>
      <c r="I1017" s="40"/>
    </row>
    <row r="1018">
      <c r="D1018" s="40"/>
      <c r="E1018" s="40"/>
      <c r="F1018" s="41"/>
      <c r="G1018" s="40"/>
      <c r="H1018" s="40"/>
      <c r="I1018" s="40"/>
    </row>
    <row r="1019">
      <c r="D1019" s="40"/>
      <c r="E1019" s="40"/>
      <c r="F1019" s="41"/>
      <c r="G1019" s="40"/>
      <c r="H1019" s="40"/>
      <c r="I1019" s="40"/>
    </row>
    <row r="1020">
      <c r="D1020" s="40"/>
      <c r="E1020" s="40"/>
      <c r="F1020" s="41"/>
      <c r="G1020" s="40"/>
      <c r="H1020" s="40"/>
      <c r="I1020" s="40"/>
    </row>
    <row r="1021">
      <c r="D1021" s="40"/>
      <c r="E1021" s="40"/>
      <c r="F1021" s="41"/>
      <c r="G1021" s="40"/>
      <c r="H1021" s="40"/>
      <c r="I1021" s="40"/>
    </row>
    <row r="1022">
      <c r="D1022" s="40"/>
      <c r="E1022" s="40"/>
      <c r="F1022" s="41"/>
      <c r="G1022" s="40"/>
      <c r="H1022" s="40"/>
      <c r="I1022" s="40"/>
    </row>
    <row r="1023">
      <c r="D1023" s="40"/>
      <c r="E1023" s="40"/>
      <c r="F1023" s="41"/>
      <c r="G1023" s="40"/>
      <c r="H1023" s="40"/>
      <c r="I1023" s="40"/>
    </row>
    <row r="1024">
      <c r="D1024" s="40"/>
      <c r="E1024" s="40"/>
      <c r="F1024" s="41"/>
      <c r="G1024" s="40"/>
      <c r="H1024" s="40"/>
      <c r="I1024" s="40"/>
    </row>
    <row r="1025">
      <c r="D1025" s="40"/>
      <c r="E1025" s="40"/>
      <c r="F1025" s="41"/>
      <c r="G1025" s="40"/>
      <c r="H1025" s="40"/>
      <c r="I1025" s="40"/>
    </row>
    <row r="1026">
      <c r="D1026" s="40"/>
      <c r="E1026" s="40"/>
      <c r="F1026" s="41"/>
      <c r="G1026" s="40"/>
      <c r="H1026" s="40"/>
      <c r="I1026" s="40"/>
    </row>
    <row r="1027">
      <c r="D1027" s="40"/>
      <c r="E1027" s="40"/>
      <c r="F1027" s="41"/>
      <c r="G1027" s="40"/>
      <c r="H1027" s="40"/>
      <c r="I1027" s="40"/>
    </row>
    <row r="1028">
      <c r="D1028" s="40"/>
      <c r="E1028" s="40"/>
      <c r="F1028" s="41"/>
      <c r="G1028" s="40"/>
      <c r="H1028" s="40"/>
      <c r="I1028" s="40"/>
    </row>
    <row r="1029">
      <c r="D1029" s="40"/>
      <c r="E1029" s="40"/>
      <c r="F1029" s="41"/>
      <c r="G1029" s="40"/>
      <c r="H1029" s="40"/>
      <c r="I1029" s="40"/>
    </row>
    <row r="1030">
      <c r="D1030" s="40"/>
      <c r="E1030" s="40"/>
      <c r="F1030" s="41"/>
      <c r="G1030" s="40"/>
      <c r="H1030" s="40"/>
      <c r="I1030" s="40"/>
    </row>
    <row r="1031">
      <c r="D1031" s="40"/>
      <c r="E1031" s="40"/>
      <c r="F1031" s="41"/>
      <c r="G1031" s="40"/>
      <c r="H1031" s="40"/>
      <c r="I1031" s="40"/>
    </row>
    <row r="1032">
      <c r="D1032" s="40"/>
      <c r="E1032" s="40"/>
      <c r="F1032" s="41"/>
      <c r="G1032" s="40"/>
      <c r="H1032" s="40"/>
      <c r="I1032" s="40"/>
    </row>
    <row r="1033">
      <c r="D1033" s="40"/>
      <c r="E1033" s="40"/>
      <c r="F1033" s="41"/>
      <c r="G1033" s="40"/>
      <c r="H1033" s="40"/>
      <c r="I1033" s="40"/>
    </row>
    <row r="1034">
      <c r="D1034" s="40"/>
      <c r="E1034" s="40"/>
      <c r="F1034" s="41"/>
      <c r="G1034" s="40"/>
      <c r="H1034" s="40"/>
      <c r="I1034" s="40"/>
    </row>
    <row r="1035">
      <c r="D1035" s="40"/>
      <c r="E1035" s="40"/>
      <c r="F1035" s="41"/>
      <c r="G1035" s="40"/>
      <c r="H1035" s="40"/>
      <c r="I1035" s="40"/>
    </row>
    <row r="1036">
      <c r="D1036" s="40"/>
      <c r="E1036" s="40"/>
      <c r="F1036" s="41"/>
      <c r="G1036" s="40"/>
      <c r="H1036" s="40"/>
      <c r="I1036" s="40"/>
    </row>
    <row r="1037">
      <c r="D1037" s="40"/>
      <c r="E1037" s="40"/>
      <c r="F1037" s="41"/>
      <c r="G1037" s="40"/>
      <c r="H1037" s="40"/>
      <c r="I1037" s="40"/>
    </row>
    <row r="1038">
      <c r="D1038" s="40"/>
      <c r="E1038" s="40"/>
      <c r="F1038" s="41"/>
      <c r="G1038" s="40"/>
      <c r="H1038" s="40"/>
      <c r="I1038" s="40"/>
    </row>
    <row r="1039">
      <c r="D1039" s="40"/>
      <c r="E1039" s="40"/>
      <c r="F1039" s="41"/>
      <c r="G1039" s="40"/>
      <c r="H1039" s="40"/>
      <c r="I1039" s="40"/>
    </row>
    <row r="1040">
      <c r="D1040" s="40"/>
      <c r="E1040" s="40"/>
      <c r="F1040" s="41"/>
      <c r="G1040" s="40"/>
      <c r="H1040" s="40"/>
      <c r="I1040" s="40"/>
    </row>
    <row r="1041">
      <c r="D1041" s="40"/>
      <c r="E1041" s="40"/>
      <c r="F1041" s="41"/>
      <c r="G1041" s="40"/>
      <c r="H1041" s="40"/>
      <c r="I1041" s="40"/>
    </row>
    <row r="1042">
      <c r="D1042" s="40"/>
      <c r="E1042" s="40"/>
      <c r="F1042" s="41"/>
      <c r="G1042" s="40"/>
      <c r="H1042" s="40"/>
      <c r="I1042" s="40"/>
    </row>
    <row r="1043">
      <c r="D1043" s="40"/>
      <c r="E1043" s="40"/>
      <c r="F1043" s="41"/>
      <c r="G1043" s="40"/>
      <c r="H1043" s="40"/>
      <c r="I1043" s="40"/>
    </row>
    <row r="1044">
      <c r="D1044" s="40"/>
      <c r="E1044" s="40"/>
      <c r="F1044" s="41"/>
      <c r="G1044" s="40"/>
      <c r="H1044" s="40"/>
      <c r="I1044" s="40"/>
    </row>
    <row r="1045">
      <c r="D1045" s="40"/>
      <c r="E1045" s="40"/>
      <c r="F1045" s="41"/>
      <c r="G1045" s="40"/>
      <c r="H1045" s="40"/>
      <c r="I1045" s="40"/>
    </row>
    <row r="1046">
      <c r="D1046" s="40"/>
      <c r="E1046" s="40"/>
      <c r="F1046" s="41"/>
      <c r="G1046" s="40"/>
      <c r="H1046" s="40"/>
      <c r="I1046" s="40"/>
    </row>
    <row r="1047">
      <c r="D1047" s="40"/>
      <c r="E1047" s="40"/>
      <c r="F1047" s="41"/>
      <c r="G1047" s="40"/>
      <c r="H1047" s="40"/>
      <c r="I1047" s="40"/>
    </row>
    <row r="1048">
      <c r="D1048" s="40"/>
      <c r="E1048" s="40"/>
      <c r="F1048" s="41"/>
      <c r="G1048" s="40"/>
      <c r="H1048" s="40"/>
      <c r="I1048" s="40"/>
    </row>
    <row r="1049">
      <c r="D1049" s="40"/>
      <c r="E1049" s="40"/>
      <c r="F1049" s="41"/>
      <c r="G1049" s="40"/>
      <c r="H1049" s="40"/>
      <c r="I1049" s="40"/>
    </row>
    <row r="1050">
      <c r="D1050" s="40"/>
      <c r="E1050" s="40"/>
      <c r="F1050" s="41"/>
      <c r="G1050" s="40"/>
      <c r="H1050" s="40"/>
      <c r="I1050" s="40"/>
    </row>
    <row r="1051">
      <c r="D1051" s="40"/>
      <c r="E1051" s="40"/>
      <c r="F1051" s="41"/>
      <c r="G1051" s="40"/>
      <c r="H1051" s="40"/>
      <c r="I1051" s="40"/>
    </row>
    <row r="1052">
      <c r="D1052" s="40"/>
      <c r="E1052" s="40"/>
      <c r="F1052" s="41"/>
      <c r="G1052" s="40"/>
      <c r="H1052" s="40"/>
      <c r="I1052" s="40"/>
    </row>
    <row r="1053">
      <c r="D1053" s="40"/>
      <c r="E1053" s="40"/>
      <c r="F1053" s="41"/>
      <c r="G1053" s="40"/>
      <c r="H1053" s="40"/>
      <c r="I1053" s="40"/>
    </row>
    <row r="1054">
      <c r="D1054" s="40"/>
      <c r="E1054" s="40"/>
      <c r="F1054" s="41"/>
      <c r="G1054" s="40"/>
      <c r="H1054" s="40"/>
      <c r="I1054" s="40"/>
    </row>
    <row r="1055">
      <c r="D1055" s="40"/>
      <c r="E1055" s="40"/>
      <c r="F1055" s="41"/>
      <c r="G1055" s="40"/>
      <c r="H1055" s="40"/>
      <c r="I1055" s="40"/>
    </row>
    <row r="1056">
      <c r="D1056" s="40"/>
      <c r="E1056" s="40"/>
      <c r="F1056" s="41"/>
      <c r="G1056" s="40"/>
      <c r="H1056" s="40"/>
      <c r="I1056" s="40"/>
    </row>
    <row r="1057">
      <c r="D1057" s="40"/>
      <c r="E1057" s="40"/>
      <c r="F1057" s="41"/>
      <c r="G1057" s="40"/>
      <c r="H1057" s="40"/>
      <c r="I1057" s="40"/>
    </row>
    <row r="1058">
      <c r="D1058" s="40"/>
      <c r="E1058" s="40"/>
      <c r="F1058" s="41"/>
      <c r="G1058" s="40"/>
      <c r="H1058" s="40"/>
      <c r="I1058" s="40"/>
    </row>
    <row r="1059">
      <c r="D1059" s="40"/>
      <c r="E1059" s="40"/>
      <c r="F1059" s="41"/>
      <c r="G1059" s="40"/>
      <c r="H1059" s="40"/>
      <c r="I1059" s="40"/>
    </row>
    <row r="1060">
      <c r="D1060" s="40"/>
      <c r="E1060" s="40"/>
      <c r="F1060" s="41"/>
      <c r="G1060" s="40"/>
      <c r="H1060" s="40"/>
      <c r="I1060" s="40"/>
    </row>
    <row r="1061">
      <c r="D1061" s="40"/>
      <c r="E1061" s="40"/>
      <c r="F1061" s="41"/>
      <c r="G1061" s="40"/>
      <c r="H1061" s="40"/>
      <c r="I1061" s="40"/>
    </row>
    <row r="1062">
      <c r="D1062" s="40"/>
      <c r="E1062" s="40"/>
      <c r="F1062" s="41"/>
      <c r="G1062" s="40"/>
      <c r="H1062" s="40"/>
      <c r="I1062" s="40"/>
    </row>
    <row r="1063">
      <c r="D1063" s="40"/>
      <c r="E1063" s="40"/>
      <c r="F1063" s="41"/>
      <c r="G1063" s="40"/>
      <c r="H1063" s="40"/>
      <c r="I1063" s="40"/>
    </row>
    <row r="1064">
      <c r="D1064" s="40"/>
      <c r="E1064" s="40"/>
      <c r="F1064" s="41"/>
      <c r="G1064" s="40"/>
      <c r="H1064" s="40"/>
      <c r="I1064" s="40"/>
    </row>
    <row r="1065">
      <c r="D1065" s="40"/>
      <c r="E1065" s="40"/>
      <c r="F1065" s="41"/>
      <c r="G1065" s="40"/>
      <c r="H1065" s="40"/>
      <c r="I1065" s="40"/>
    </row>
    <row r="1066">
      <c r="D1066" s="40"/>
      <c r="E1066" s="40"/>
      <c r="F1066" s="41"/>
      <c r="G1066" s="40"/>
      <c r="H1066" s="40"/>
      <c r="I1066" s="40"/>
    </row>
    <row r="1067">
      <c r="D1067" s="40"/>
      <c r="E1067" s="40"/>
      <c r="F1067" s="41"/>
      <c r="G1067" s="40"/>
      <c r="H1067" s="40"/>
      <c r="I1067" s="40"/>
    </row>
    <row r="1068">
      <c r="D1068" s="40"/>
      <c r="E1068" s="40"/>
      <c r="F1068" s="41"/>
      <c r="G1068" s="40"/>
      <c r="H1068" s="40"/>
      <c r="I1068" s="40"/>
    </row>
    <row r="1069">
      <c r="D1069" s="40"/>
      <c r="E1069" s="40"/>
      <c r="F1069" s="41"/>
      <c r="G1069" s="40"/>
      <c r="H1069" s="40"/>
      <c r="I1069" s="40"/>
    </row>
    <row r="1070">
      <c r="D1070" s="40"/>
      <c r="E1070" s="40"/>
      <c r="F1070" s="41"/>
      <c r="G1070" s="40"/>
      <c r="H1070" s="40"/>
      <c r="I1070" s="40"/>
    </row>
    <row r="1071">
      <c r="D1071" s="40"/>
      <c r="E1071" s="40"/>
      <c r="F1071" s="41"/>
      <c r="G1071" s="40"/>
      <c r="H1071" s="40"/>
      <c r="I1071" s="40"/>
    </row>
    <row r="1072">
      <c r="D1072" s="40"/>
      <c r="E1072" s="40"/>
      <c r="F1072" s="41"/>
      <c r="G1072" s="40"/>
      <c r="H1072" s="40"/>
      <c r="I1072" s="40"/>
    </row>
    <row r="1073">
      <c r="D1073" s="40"/>
      <c r="E1073" s="40"/>
      <c r="F1073" s="41"/>
      <c r="G1073" s="40"/>
      <c r="H1073" s="40"/>
      <c r="I1073" s="40"/>
    </row>
    <row r="1074">
      <c r="D1074" s="40"/>
      <c r="E1074" s="40"/>
      <c r="F1074" s="41"/>
      <c r="G1074" s="40"/>
      <c r="H1074" s="40"/>
      <c r="I1074" s="40"/>
    </row>
    <row r="1075">
      <c r="D1075" s="40"/>
      <c r="E1075" s="40"/>
      <c r="F1075" s="41"/>
      <c r="G1075" s="40"/>
      <c r="H1075" s="40"/>
      <c r="I1075" s="40"/>
    </row>
    <row r="1076">
      <c r="D1076" s="40"/>
      <c r="E1076" s="40"/>
      <c r="F1076" s="41"/>
      <c r="G1076" s="40"/>
      <c r="H1076" s="40"/>
      <c r="I1076" s="40"/>
    </row>
    <row r="1077">
      <c r="D1077" s="40"/>
      <c r="E1077" s="40"/>
      <c r="F1077" s="41"/>
      <c r="G1077" s="40"/>
      <c r="H1077" s="40"/>
      <c r="I1077" s="40"/>
    </row>
    <row r="1078">
      <c r="D1078" s="40"/>
      <c r="E1078" s="40"/>
      <c r="F1078" s="41"/>
      <c r="G1078" s="40"/>
      <c r="H1078" s="40"/>
      <c r="I1078" s="40"/>
    </row>
    <row r="1079">
      <c r="D1079" s="40"/>
      <c r="E1079" s="40"/>
      <c r="F1079" s="41"/>
      <c r="G1079" s="40"/>
      <c r="H1079" s="40"/>
      <c r="I1079" s="40"/>
    </row>
    <row r="1080">
      <c r="D1080" s="40"/>
      <c r="E1080" s="40"/>
      <c r="F1080" s="41"/>
      <c r="G1080" s="40"/>
      <c r="H1080" s="40"/>
      <c r="I1080" s="40"/>
    </row>
    <row r="1081">
      <c r="D1081" s="40"/>
      <c r="E1081" s="40"/>
      <c r="F1081" s="41"/>
      <c r="G1081" s="40"/>
      <c r="H1081" s="40"/>
      <c r="I1081" s="40"/>
    </row>
    <row r="1082">
      <c r="D1082" s="40"/>
      <c r="E1082" s="40"/>
      <c r="F1082" s="41"/>
      <c r="G1082" s="40"/>
      <c r="H1082" s="40"/>
      <c r="I1082" s="40"/>
    </row>
    <row r="1083">
      <c r="D1083" s="40"/>
      <c r="E1083" s="40"/>
      <c r="F1083" s="41"/>
      <c r="G1083" s="40"/>
      <c r="H1083" s="40"/>
      <c r="I1083" s="40"/>
    </row>
    <row r="1084">
      <c r="D1084" s="40"/>
      <c r="E1084" s="40"/>
      <c r="F1084" s="41"/>
      <c r="G1084" s="40"/>
      <c r="H1084" s="40"/>
      <c r="I1084" s="40"/>
    </row>
    <row r="1085">
      <c r="D1085" s="40"/>
      <c r="E1085" s="40"/>
      <c r="F1085" s="41"/>
      <c r="G1085" s="40"/>
      <c r="H1085" s="40"/>
      <c r="I1085" s="40"/>
    </row>
    <row r="1086">
      <c r="D1086" s="40"/>
      <c r="E1086" s="40"/>
      <c r="F1086" s="41"/>
      <c r="G1086" s="40"/>
      <c r="H1086" s="40"/>
      <c r="I1086" s="40"/>
    </row>
    <row r="1087">
      <c r="D1087" s="40"/>
      <c r="E1087" s="40"/>
      <c r="F1087" s="41"/>
      <c r="G1087" s="40"/>
      <c r="H1087" s="40"/>
      <c r="I1087" s="40"/>
    </row>
    <row r="1088">
      <c r="D1088" s="40"/>
      <c r="E1088" s="40"/>
      <c r="F1088" s="41"/>
      <c r="G1088" s="40"/>
      <c r="H1088" s="40"/>
      <c r="I1088" s="40"/>
    </row>
    <row r="1089">
      <c r="D1089" s="40"/>
      <c r="E1089" s="40"/>
      <c r="F1089" s="41"/>
      <c r="G1089" s="40"/>
      <c r="H1089" s="40"/>
      <c r="I1089" s="40"/>
    </row>
    <row r="1090">
      <c r="D1090" s="40"/>
      <c r="E1090" s="40"/>
      <c r="F1090" s="41"/>
      <c r="G1090" s="40"/>
      <c r="H1090" s="40"/>
      <c r="I1090" s="40"/>
    </row>
    <row r="1091">
      <c r="D1091" s="40"/>
      <c r="E1091" s="40"/>
      <c r="F1091" s="41"/>
      <c r="G1091" s="40"/>
      <c r="H1091" s="40"/>
      <c r="I1091" s="40"/>
    </row>
    <row r="1092">
      <c r="D1092" s="40"/>
      <c r="E1092" s="40"/>
      <c r="F1092" s="41"/>
      <c r="G1092" s="40"/>
      <c r="H1092" s="40"/>
      <c r="I1092" s="40"/>
    </row>
    <row r="1093">
      <c r="D1093" s="40"/>
      <c r="E1093" s="40"/>
      <c r="F1093" s="41"/>
      <c r="G1093" s="40"/>
      <c r="H1093" s="40"/>
      <c r="I1093" s="40"/>
    </row>
    <row r="1094">
      <c r="D1094" s="40"/>
      <c r="E1094" s="40"/>
      <c r="F1094" s="41"/>
      <c r="G1094" s="40"/>
      <c r="H1094" s="40"/>
      <c r="I1094" s="40"/>
    </row>
    <row r="1095">
      <c r="D1095" s="40"/>
      <c r="E1095" s="40"/>
      <c r="F1095" s="41"/>
      <c r="G1095" s="40"/>
      <c r="H1095" s="40"/>
      <c r="I1095" s="40"/>
    </row>
    <row r="1096">
      <c r="D1096" s="40"/>
      <c r="E1096" s="40"/>
      <c r="F1096" s="41"/>
      <c r="G1096" s="40"/>
      <c r="H1096" s="40"/>
      <c r="I1096" s="40"/>
    </row>
    <row r="1097">
      <c r="D1097" s="40"/>
      <c r="E1097" s="40"/>
      <c r="F1097" s="41"/>
      <c r="G1097" s="40"/>
      <c r="H1097" s="40"/>
      <c r="I1097" s="40"/>
    </row>
    <row r="1098">
      <c r="D1098" s="40"/>
      <c r="E1098" s="40"/>
      <c r="F1098" s="41"/>
      <c r="G1098" s="40"/>
      <c r="H1098" s="40"/>
      <c r="I1098" s="40"/>
    </row>
    <row r="1099">
      <c r="D1099" s="40"/>
      <c r="E1099" s="40"/>
      <c r="F1099" s="41"/>
      <c r="G1099" s="40"/>
      <c r="H1099" s="40"/>
      <c r="I1099" s="40"/>
    </row>
    <row r="1100">
      <c r="D1100" s="40"/>
      <c r="E1100" s="40"/>
      <c r="F1100" s="41"/>
      <c r="G1100" s="40"/>
      <c r="H1100" s="40"/>
      <c r="I1100" s="40"/>
    </row>
    <row r="1101">
      <c r="D1101" s="40"/>
      <c r="E1101" s="40"/>
      <c r="F1101" s="41"/>
      <c r="G1101" s="40"/>
      <c r="H1101" s="40"/>
      <c r="I1101" s="40"/>
    </row>
    <row r="1102">
      <c r="D1102" s="40"/>
      <c r="E1102" s="40"/>
      <c r="F1102" s="41"/>
      <c r="G1102" s="40"/>
      <c r="H1102" s="40"/>
      <c r="I1102" s="40"/>
    </row>
    <row r="1103">
      <c r="D1103" s="40"/>
      <c r="E1103" s="40"/>
      <c r="F1103" s="41"/>
      <c r="G1103" s="40"/>
      <c r="H1103" s="40"/>
      <c r="I1103" s="40"/>
    </row>
    <row r="1104">
      <c r="D1104" s="40"/>
      <c r="E1104" s="40"/>
      <c r="F1104" s="41"/>
      <c r="G1104" s="40"/>
      <c r="H1104" s="40"/>
      <c r="I1104" s="40"/>
    </row>
    <row r="1105">
      <c r="D1105" s="40"/>
      <c r="E1105" s="40"/>
      <c r="F1105" s="41"/>
      <c r="G1105" s="40"/>
      <c r="H1105" s="40"/>
      <c r="I1105" s="40"/>
    </row>
    <row r="1106">
      <c r="D1106" s="40"/>
      <c r="E1106" s="40"/>
      <c r="F1106" s="41"/>
      <c r="G1106" s="40"/>
      <c r="H1106" s="40"/>
      <c r="I1106" s="40"/>
    </row>
    <row r="1107">
      <c r="D1107" s="40"/>
      <c r="E1107" s="40"/>
      <c r="F1107" s="41"/>
      <c r="G1107" s="40"/>
      <c r="H1107" s="40"/>
      <c r="I1107" s="40"/>
    </row>
    <row r="1108">
      <c r="D1108" s="40"/>
      <c r="E1108" s="40"/>
      <c r="F1108" s="41"/>
      <c r="G1108" s="40"/>
      <c r="H1108" s="40"/>
      <c r="I1108" s="40"/>
    </row>
    <row r="1109">
      <c r="D1109" s="40"/>
      <c r="E1109" s="40"/>
      <c r="F1109" s="41"/>
      <c r="G1109" s="40"/>
      <c r="H1109" s="40"/>
      <c r="I1109" s="40"/>
    </row>
    <row r="1110">
      <c r="D1110" s="40"/>
      <c r="E1110" s="40"/>
      <c r="F1110" s="41"/>
      <c r="G1110" s="40"/>
      <c r="H1110" s="40"/>
      <c r="I1110" s="40"/>
    </row>
    <row r="1111">
      <c r="D1111" s="40"/>
      <c r="E1111" s="40"/>
      <c r="F1111" s="41"/>
      <c r="G1111" s="40"/>
      <c r="H1111" s="40"/>
      <c r="I1111" s="40"/>
    </row>
    <row r="1112">
      <c r="D1112" s="40"/>
      <c r="E1112" s="40"/>
      <c r="F1112" s="41"/>
      <c r="G1112" s="40"/>
      <c r="H1112" s="40"/>
      <c r="I1112" s="40"/>
    </row>
    <row r="1113">
      <c r="D1113" s="40"/>
      <c r="E1113" s="40"/>
      <c r="F1113" s="41"/>
      <c r="G1113" s="40"/>
      <c r="H1113" s="40"/>
      <c r="I1113" s="40"/>
    </row>
    <row r="1114">
      <c r="D1114" s="40"/>
      <c r="E1114" s="40"/>
      <c r="F1114" s="41"/>
      <c r="G1114" s="40"/>
      <c r="H1114" s="40"/>
      <c r="I1114" s="40"/>
    </row>
    <row r="1115">
      <c r="D1115" s="40"/>
      <c r="E1115" s="40"/>
      <c r="F1115" s="41"/>
      <c r="G1115" s="40"/>
      <c r="H1115" s="40"/>
      <c r="I1115" s="40"/>
    </row>
    <row r="1116">
      <c r="D1116" s="40"/>
      <c r="E1116" s="40"/>
      <c r="F1116" s="41"/>
      <c r="G1116" s="40"/>
      <c r="H1116" s="40"/>
      <c r="I1116" s="40"/>
    </row>
    <row r="1117">
      <c r="D1117" s="40"/>
      <c r="E1117" s="40"/>
      <c r="F1117" s="41"/>
      <c r="G1117" s="40"/>
      <c r="H1117" s="40"/>
      <c r="I1117" s="40"/>
    </row>
    <row r="1118">
      <c r="D1118" s="40"/>
      <c r="E1118" s="40"/>
      <c r="F1118" s="41"/>
      <c r="G1118" s="40"/>
      <c r="H1118" s="40"/>
      <c r="I1118" s="40"/>
    </row>
    <row r="1119">
      <c r="D1119" s="81"/>
      <c r="E1119" s="81"/>
      <c r="F1119" s="555"/>
      <c r="G1119" s="81"/>
      <c r="H1119" s="81"/>
      <c r="I1119" s="81"/>
    </row>
    <row r="1120">
      <c r="D1120" s="81"/>
      <c r="E1120" s="81"/>
      <c r="F1120" s="555"/>
      <c r="G1120" s="81"/>
      <c r="H1120" s="81"/>
      <c r="I1120" s="81"/>
    </row>
    <row r="1121">
      <c r="D1121" s="81"/>
      <c r="E1121" s="81"/>
      <c r="F1121" s="555"/>
      <c r="G1121" s="81"/>
      <c r="H1121" s="81"/>
      <c r="I1121" s="81"/>
    </row>
    <row r="1122">
      <c r="D1122" s="81"/>
      <c r="E1122" s="81"/>
      <c r="F1122" s="555"/>
      <c r="G1122" s="81"/>
      <c r="H1122" s="81"/>
      <c r="I1122" s="81"/>
    </row>
    <row r="1123">
      <c r="D1123" s="81"/>
      <c r="E1123" s="81"/>
      <c r="F1123" s="555"/>
      <c r="G1123" s="81"/>
      <c r="H1123" s="81"/>
      <c r="I1123" s="81"/>
    </row>
    <row r="1124">
      <c r="D1124" s="81"/>
      <c r="E1124" s="81"/>
      <c r="F1124" s="555"/>
      <c r="G1124" s="81"/>
      <c r="H1124" s="81"/>
      <c r="I1124" s="81"/>
    </row>
    <row r="1125">
      <c r="D1125" s="81"/>
      <c r="E1125" s="81"/>
      <c r="F1125" s="555"/>
      <c r="G1125" s="81"/>
      <c r="H1125" s="81"/>
      <c r="I1125" s="81"/>
    </row>
    <row r="1126">
      <c r="D1126" s="81"/>
      <c r="E1126" s="81"/>
      <c r="F1126" s="555"/>
      <c r="G1126" s="81"/>
      <c r="H1126" s="81"/>
      <c r="I1126" s="81"/>
    </row>
    <row r="1127">
      <c r="D1127" s="81"/>
      <c r="E1127" s="81"/>
      <c r="F1127" s="555"/>
      <c r="G1127" s="81"/>
      <c r="H1127" s="81"/>
      <c r="I1127" s="81"/>
    </row>
    <row r="1128">
      <c r="D1128" s="81"/>
      <c r="E1128" s="81"/>
      <c r="F1128" s="555"/>
      <c r="G1128" s="81"/>
      <c r="H1128" s="81"/>
      <c r="I1128" s="81"/>
    </row>
    <row r="1129">
      <c r="D1129" s="81"/>
      <c r="E1129" s="81"/>
      <c r="F1129" s="555"/>
      <c r="G1129" s="81"/>
      <c r="H1129" s="81"/>
      <c r="I1129" s="81"/>
    </row>
    <row r="1130">
      <c r="D1130" s="81"/>
      <c r="E1130" s="81"/>
      <c r="F1130" s="555"/>
      <c r="G1130" s="81"/>
      <c r="H1130" s="81"/>
      <c r="I1130" s="81"/>
    </row>
    <row r="1131">
      <c r="D1131" s="81"/>
      <c r="E1131" s="81"/>
      <c r="F1131" s="555"/>
      <c r="G1131" s="81"/>
      <c r="H1131" s="81"/>
      <c r="I1131" s="81"/>
    </row>
    <row r="1132">
      <c r="D1132" s="81"/>
      <c r="E1132" s="81"/>
      <c r="F1132" s="555"/>
      <c r="G1132" s="81"/>
      <c r="H1132" s="81"/>
      <c r="I1132" s="81"/>
    </row>
    <row r="1133">
      <c r="D1133" s="81"/>
      <c r="E1133" s="81"/>
      <c r="F1133" s="555"/>
      <c r="G1133" s="81"/>
      <c r="H1133" s="81"/>
      <c r="I1133" s="81"/>
    </row>
    <row r="1134">
      <c r="D1134" s="81"/>
      <c r="E1134" s="81"/>
      <c r="F1134" s="555"/>
      <c r="G1134" s="81"/>
      <c r="H1134" s="81"/>
      <c r="I1134" s="81"/>
    </row>
    <row r="1135">
      <c r="D1135" s="81"/>
      <c r="E1135" s="81"/>
      <c r="F1135" s="555"/>
      <c r="G1135" s="81"/>
      <c r="H1135" s="81"/>
      <c r="I1135" s="81"/>
    </row>
    <row r="1136">
      <c r="D1136" s="81"/>
      <c r="E1136" s="81"/>
      <c r="F1136" s="555"/>
      <c r="G1136" s="81"/>
      <c r="H1136" s="81"/>
      <c r="I1136" s="81"/>
    </row>
    <row r="1137">
      <c r="D1137" s="81"/>
      <c r="E1137" s="81"/>
      <c r="F1137" s="555"/>
      <c r="G1137" s="81"/>
      <c r="H1137" s="81"/>
      <c r="I1137" s="81"/>
    </row>
    <row r="1138">
      <c r="D1138" s="81"/>
      <c r="E1138" s="81"/>
      <c r="F1138" s="555"/>
      <c r="G1138" s="81"/>
      <c r="H1138" s="81"/>
      <c r="I1138" s="81"/>
    </row>
    <row r="1139">
      <c r="D1139" s="40"/>
      <c r="E1139" s="40"/>
      <c r="F1139" s="41"/>
      <c r="G1139" s="40"/>
      <c r="H1139" s="40"/>
      <c r="I1139" s="40"/>
    </row>
    <row r="1140">
      <c r="D1140" s="40"/>
      <c r="E1140" s="40"/>
      <c r="F1140" s="41"/>
      <c r="G1140" s="40"/>
      <c r="H1140" s="40"/>
      <c r="I1140" s="40"/>
    </row>
    <row r="1141">
      <c r="D1141" s="40"/>
      <c r="E1141" s="40"/>
      <c r="F1141" s="41"/>
      <c r="G1141" s="40"/>
      <c r="H1141" s="40"/>
      <c r="I1141" s="40"/>
    </row>
    <row r="1142">
      <c r="D1142" s="40"/>
      <c r="E1142" s="40"/>
      <c r="F1142" s="41"/>
      <c r="G1142" s="40"/>
      <c r="H1142" s="40"/>
      <c r="I1142" s="40"/>
    </row>
    <row r="1143">
      <c r="D1143" s="40"/>
      <c r="E1143" s="40"/>
      <c r="F1143" s="41"/>
      <c r="G1143" s="40"/>
      <c r="H1143" s="40"/>
      <c r="I1143" s="40"/>
    </row>
    <row r="1144">
      <c r="D1144" s="40"/>
      <c r="E1144" s="40"/>
      <c r="F1144" s="41"/>
      <c r="G1144" s="40"/>
      <c r="H1144" s="40"/>
      <c r="I1144" s="40"/>
    </row>
    <row r="1145">
      <c r="D1145" s="40"/>
      <c r="E1145" s="40"/>
      <c r="F1145" s="41"/>
      <c r="G1145" s="40"/>
      <c r="H1145" s="40"/>
      <c r="I1145" s="40"/>
    </row>
    <row r="1146">
      <c r="D1146" s="40"/>
      <c r="E1146" s="40"/>
      <c r="F1146" s="41"/>
      <c r="G1146" s="40"/>
      <c r="H1146" s="40"/>
      <c r="I1146" s="40"/>
    </row>
    <row r="1147">
      <c r="D1147" s="40"/>
      <c r="E1147" s="40"/>
      <c r="F1147" s="41"/>
      <c r="G1147" s="40"/>
      <c r="H1147" s="40"/>
      <c r="I1147" s="40"/>
    </row>
    <row r="1148">
      <c r="D1148" s="40"/>
      <c r="E1148" s="40"/>
      <c r="F1148" s="41"/>
      <c r="G1148" s="40"/>
      <c r="H1148" s="40"/>
      <c r="I1148" s="40"/>
    </row>
    <row r="1149">
      <c r="D1149" s="40"/>
      <c r="E1149" s="40"/>
      <c r="F1149" s="41"/>
      <c r="G1149" s="40"/>
      <c r="H1149" s="40"/>
      <c r="I1149" s="40"/>
    </row>
    <row r="1150">
      <c r="D1150" s="40"/>
      <c r="E1150" s="40"/>
      <c r="F1150" s="41"/>
      <c r="G1150" s="40"/>
      <c r="H1150" s="40"/>
      <c r="I1150" s="40"/>
    </row>
    <row r="1151">
      <c r="D1151" s="40"/>
      <c r="E1151" s="40"/>
      <c r="F1151" s="41"/>
      <c r="G1151" s="40"/>
      <c r="H1151" s="40"/>
      <c r="I1151" s="40"/>
    </row>
    <row r="1152">
      <c r="D1152" s="40"/>
      <c r="E1152" s="40"/>
      <c r="F1152" s="41"/>
      <c r="G1152" s="40"/>
      <c r="H1152" s="40"/>
      <c r="I1152" s="40"/>
    </row>
    <row r="1153">
      <c r="D1153" s="40"/>
      <c r="E1153" s="40"/>
      <c r="F1153" s="41"/>
      <c r="G1153" s="40"/>
      <c r="H1153" s="40"/>
      <c r="I1153" s="40"/>
    </row>
    <row r="1154">
      <c r="D1154" s="40"/>
      <c r="E1154" s="40"/>
      <c r="F1154" s="41"/>
      <c r="G1154" s="40"/>
      <c r="H1154" s="40"/>
      <c r="I1154" s="40"/>
    </row>
    <row r="1155">
      <c r="D1155" s="40"/>
      <c r="E1155" s="40"/>
      <c r="F1155" s="41"/>
      <c r="G1155" s="40"/>
      <c r="H1155" s="40"/>
      <c r="I1155" s="40"/>
    </row>
    <row r="1156">
      <c r="D1156" s="40"/>
      <c r="E1156" s="40"/>
      <c r="F1156" s="41"/>
      <c r="G1156" s="40"/>
      <c r="H1156" s="40"/>
      <c r="I1156" s="40"/>
    </row>
    <row r="1157">
      <c r="D1157" s="40"/>
      <c r="E1157" s="40"/>
      <c r="F1157" s="41"/>
      <c r="G1157" s="40"/>
      <c r="H1157" s="40"/>
      <c r="I1157" s="40"/>
    </row>
    <row r="1158">
      <c r="D1158" s="40"/>
      <c r="E1158" s="40"/>
      <c r="F1158" s="41"/>
      <c r="G1158" s="40"/>
      <c r="H1158" s="40"/>
      <c r="I1158" s="40"/>
    </row>
    <row r="1159">
      <c r="D1159" s="40"/>
      <c r="E1159" s="40"/>
      <c r="F1159" s="41"/>
      <c r="G1159" s="40"/>
      <c r="H1159" s="40"/>
      <c r="I1159" s="40"/>
    </row>
    <row r="1160">
      <c r="D1160" s="40"/>
      <c r="E1160" s="40"/>
      <c r="F1160" s="41"/>
      <c r="G1160" s="40"/>
      <c r="H1160" s="40"/>
      <c r="I1160" s="40"/>
    </row>
    <row r="1161">
      <c r="D1161" s="40"/>
      <c r="E1161" s="40"/>
      <c r="F1161" s="41"/>
      <c r="G1161" s="40"/>
      <c r="H1161" s="40"/>
      <c r="I1161" s="40"/>
    </row>
    <row r="1162">
      <c r="D1162" s="40"/>
      <c r="E1162" s="40"/>
      <c r="F1162" s="41"/>
      <c r="G1162" s="40"/>
      <c r="H1162" s="40"/>
      <c r="I1162" s="40"/>
    </row>
    <row r="1163">
      <c r="D1163" s="40"/>
      <c r="E1163" s="40"/>
      <c r="F1163" s="41"/>
      <c r="G1163" s="40"/>
      <c r="H1163" s="40"/>
      <c r="I1163" s="40"/>
    </row>
    <row r="1164">
      <c r="D1164" s="40"/>
      <c r="E1164" s="40"/>
      <c r="F1164" s="41"/>
      <c r="G1164" s="40"/>
      <c r="H1164" s="40"/>
      <c r="I1164" s="40"/>
    </row>
    <row r="1165">
      <c r="D1165" s="40"/>
      <c r="E1165" s="40"/>
      <c r="F1165" s="41"/>
      <c r="G1165" s="40"/>
      <c r="H1165" s="40"/>
      <c r="I1165" s="40"/>
    </row>
    <row r="1166">
      <c r="D1166" s="40"/>
      <c r="E1166" s="40"/>
      <c r="F1166" s="41"/>
      <c r="G1166" s="40"/>
      <c r="H1166" s="40"/>
      <c r="I1166" s="40"/>
    </row>
    <row r="1167">
      <c r="D1167" s="40"/>
      <c r="E1167" s="40"/>
      <c r="F1167" s="41"/>
      <c r="G1167" s="40"/>
      <c r="H1167" s="40"/>
      <c r="I1167" s="40"/>
    </row>
    <row r="1168">
      <c r="D1168" s="40"/>
      <c r="E1168" s="40"/>
      <c r="F1168" s="41"/>
      <c r="G1168" s="40"/>
      <c r="H1168" s="40"/>
      <c r="I1168" s="40"/>
    </row>
    <row r="1169">
      <c r="D1169" s="40"/>
      <c r="E1169" s="40"/>
      <c r="F1169" s="41"/>
      <c r="G1169" s="40"/>
      <c r="H1169" s="40"/>
      <c r="I1169" s="40"/>
    </row>
    <row r="1170">
      <c r="D1170" s="40"/>
      <c r="E1170" s="40"/>
      <c r="F1170" s="41"/>
      <c r="G1170" s="40"/>
      <c r="H1170" s="40"/>
      <c r="I1170" s="40"/>
    </row>
    <row r="1171">
      <c r="D1171" s="40"/>
      <c r="E1171" s="40"/>
      <c r="F1171" s="41"/>
      <c r="G1171" s="40"/>
      <c r="H1171" s="40"/>
      <c r="I1171" s="40"/>
    </row>
    <row r="1172">
      <c r="D1172" s="40"/>
      <c r="E1172" s="40"/>
      <c r="F1172" s="41"/>
      <c r="G1172" s="40"/>
      <c r="H1172" s="40"/>
      <c r="I1172" s="40"/>
    </row>
    <row r="1173">
      <c r="D1173" s="40"/>
      <c r="E1173" s="40"/>
      <c r="F1173" s="41"/>
      <c r="G1173" s="40"/>
      <c r="H1173" s="40"/>
      <c r="I1173" s="40"/>
    </row>
    <row r="1174">
      <c r="D1174" s="40"/>
      <c r="E1174" s="40"/>
      <c r="F1174" s="41"/>
      <c r="G1174" s="40"/>
      <c r="H1174" s="40"/>
      <c r="I1174" s="40"/>
    </row>
    <row r="1175">
      <c r="D1175" s="40"/>
      <c r="E1175" s="40"/>
      <c r="F1175" s="41"/>
      <c r="G1175" s="40"/>
      <c r="H1175" s="40"/>
      <c r="I1175" s="40"/>
    </row>
    <row r="1176">
      <c r="D1176" s="40"/>
      <c r="E1176" s="40"/>
      <c r="F1176" s="41"/>
      <c r="G1176" s="40"/>
      <c r="H1176" s="40"/>
      <c r="I1176" s="40"/>
    </row>
    <row r="1177">
      <c r="D1177" s="40"/>
      <c r="E1177" s="40"/>
      <c r="F1177" s="41"/>
      <c r="G1177" s="40"/>
      <c r="H1177" s="40"/>
      <c r="I1177" s="40"/>
    </row>
    <row r="1178">
      <c r="D1178" s="40"/>
      <c r="E1178" s="40"/>
      <c r="F1178" s="41"/>
      <c r="G1178" s="40"/>
      <c r="H1178" s="40"/>
      <c r="I1178" s="40"/>
    </row>
    <row r="1179">
      <c r="D1179" s="40"/>
      <c r="E1179" s="40"/>
      <c r="F1179" s="41"/>
      <c r="G1179" s="40"/>
      <c r="H1179" s="40"/>
      <c r="I1179" s="40"/>
    </row>
    <row r="1180">
      <c r="D1180" s="40"/>
      <c r="E1180" s="40"/>
      <c r="F1180" s="41"/>
      <c r="G1180" s="40"/>
      <c r="H1180" s="40"/>
      <c r="I1180" s="40"/>
    </row>
    <row r="1181">
      <c r="D1181" s="40"/>
      <c r="E1181" s="40"/>
      <c r="F1181" s="41"/>
      <c r="G1181" s="40"/>
      <c r="H1181" s="40"/>
      <c r="I1181" s="40"/>
    </row>
    <row r="1182">
      <c r="D1182" s="40"/>
      <c r="E1182" s="40"/>
      <c r="F1182" s="41"/>
      <c r="G1182" s="40"/>
      <c r="H1182" s="40"/>
      <c r="I1182" s="40"/>
    </row>
    <row r="1183">
      <c r="D1183" s="40"/>
      <c r="E1183" s="40"/>
      <c r="F1183" s="41"/>
      <c r="G1183" s="40"/>
      <c r="H1183" s="40"/>
      <c r="I1183" s="40"/>
    </row>
    <row r="1184">
      <c r="D1184" s="40"/>
      <c r="E1184" s="40"/>
      <c r="F1184" s="41"/>
      <c r="G1184" s="40"/>
      <c r="H1184" s="40"/>
      <c r="I1184" s="40"/>
    </row>
    <row r="1185">
      <c r="D1185" s="40"/>
      <c r="E1185" s="40"/>
      <c r="F1185" s="41"/>
      <c r="G1185" s="40"/>
      <c r="H1185" s="40"/>
      <c r="I1185" s="40"/>
    </row>
    <row r="1186">
      <c r="D1186" s="40"/>
      <c r="E1186" s="40"/>
      <c r="F1186" s="41"/>
      <c r="G1186" s="40"/>
      <c r="H1186" s="40"/>
      <c r="I1186" s="40"/>
    </row>
    <row r="1187">
      <c r="D1187" s="40"/>
      <c r="E1187" s="40"/>
      <c r="F1187" s="41"/>
      <c r="G1187" s="40"/>
      <c r="H1187" s="40"/>
      <c r="I1187" s="40"/>
    </row>
    <row r="1188">
      <c r="D1188" s="40"/>
      <c r="E1188" s="40"/>
      <c r="F1188" s="41"/>
      <c r="G1188" s="40"/>
      <c r="H1188" s="40"/>
      <c r="I1188" s="40"/>
    </row>
    <row r="1189">
      <c r="D1189" s="40"/>
      <c r="E1189" s="40"/>
      <c r="F1189" s="41"/>
      <c r="G1189" s="40"/>
      <c r="H1189" s="40"/>
      <c r="I1189" s="40"/>
    </row>
    <row r="1190">
      <c r="D1190" s="40"/>
      <c r="E1190" s="40"/>
      <c r="F1190" s="41"/>
      <c r="G1190" s="40"/>
      <c r="H1190" s="40"/>
      <c r="I1190" s="40"/>
    </row>
    <row r="1191">
      <c r="D1191" s="40"/>
      <c r="E1191" s="40"/>
      <c r="F1191" s="41"/>
      <c r="G1191" s="40"/>
      <c r="H1191" s="40"/>
      <c r="I1191" s="40"/>
    </row>
    <row r="1192">
      <c r="D1192" s="40"/>
      <c r="E1192" s="40"/>
      <c r="F1192" s="41"/>
      <c r="G1192" s="40"/>
      <c r="H1192" s="40"/>
      <c r="I1192" s="40"/>
    </row>
    <row r="1193">
      <c r="D1193" s="40"/>
      <c r="E1193" s="40"/>
      <c r="F1193" s="41"/>
      <c r="G1193" s="40"/>
      <c r="H1193" s="40"/>
      <c r="I1193" s="40"/>
    </row>
    <row r="1194">
      <c r="D1194" s="40"/>
      <c r="E1194" s="40"/>
      <c r="F1194" s="41"/>
      <c r="G1194" s="40"/>
      <c r="H1194" s="40"/>
      <c r="I1194" s="40"/>
    </row>
    <row r="1195">
      <c r="D1195" s="40"/>
      <c r="E1195" s="40"/>
      <c r="F1195" s="41"/>
      <c r="G1195" s="40"/>
      <c r="H1195" s="40"/>
      <c r="I1195" s="40"/>
    </row>
    <row r="1196">
      <c r="D1196" s="40"/>
      <c r="E1196" s="40"/>
      <c r="F1196" s="41"/>
      <c r="G1196" s="40"/>
      <c r="H1196" s="40"/>
      <c r="I1196" s="40"/>
    </row>
    <row r="1197">
      <c r="D1197" s="40"/>
      <c r="E1197" s="40"/>
      <c r="F1197" s="41"/>
      <c r="G1197" s="40"/>
      <c r="H1197" s="40"/>
      <c r="I1197" s="40"/>
    </row>
    <row r="1198">
      <c r="D1198" s="40"/>
      <c r="E1198" s="40"/>
      <c r="F1198" s="41"/>
      <c r="G1198" s="40"/>
      <c r="H1198" s="40"/>
      <c r="I1198" s="40"/>
    </row>
    <row r="1199">
      <c r="D1199" s="40"/>
      <c r="E1199" s="40"/>
      <c r="F1199" s="41"/>
      <c r="G1199" s="40"/>
      <c r="H1199" s="40"/>
      <c r="I1199" s="40"/>
    </row>
    <row r="1200">
      <c r="D1200" s="40"/>
      <c r="E1200" s="40"/>
      <c r="F1200" s="41"/>
      <c r="G1200" s="40"/>
      <c r="H1200" s="40"/>
      <c r="I1200" s="40"/>
    </row>
    <row r="1201">
      <c r="D1201" s="40"/>
      <c r="E1201" s="40"/>
      <c r="F1201" s="41"/>
      <c r="G1201" s="40"/>
      <c r="H1201" s="40"/>
      <c r="I1201" s="40"/>
    </row>
    <row r="1202">
      <c r="D1202" s="40"/>
      <c r="E1202" s="40"/>
      <c r="F1202" s="41"/>
      <c r="G1202" s="40"/>
      <c r="H1202" s="40"/>
      <c r="I1202" s="40"/>
    </row>
    <row r="1203">
      <c r="D1203" s="40"/>
      <c r="E1203" s="40"/>
      <c r="F1203" s="41"/>
      <c r="G1203" s="40"/>
      <c r="H1203" s="40"/>
      <c r="I1203" s="40"/>
    </row>
    <row r="1204">
      <c r="D1204" s="40"/>
      <c r="E1204" s="40"/>
      <c r="F1204" s="41"/>
      <c r="G1204" s="40"/>
      <c r="H1204" s="40"/>
      <c r="I1204" s="40"/>
    </row>
    <row r="1205">
      <c r="D1205" s="40"/>
      <c r="E1205" s="40"/>
      <c r="F1205" s="41"/>
      <c r="G1205" s="40"/>
      <c r="H1205" s="40"/>
      <c r="I1205" s="40"/>
    </row>
    <row r="1206">
      <c r="D1206" s="40"/>
      <c r="E1206" s="40"/>
      <c r="F1206" s="41"/>
      <c r="G1206" s="40"/>
      <c r="H1206" s="40"/>
      <c r="I1206" s="40"/>
    </row>
    <row r="1207">
      <c r="D1207" s="40"/>
      <c r="E1207" s="40"/>
      <c r="F1207" s="41"/>
      <c r="G1207" s="40"/>
      <c r="H1207" s="40"/>
      <c r="I1207" s="40"/>
    </row>
    <row r="1208">
      <c r="D1208" s="40"/>
      <c r="E1208" s="40"/>
      <c r="F1208" s="41"/>
      <c r="G1208" s="40"/>
      <c r="H1208" s="40"/>
      <c r="I1208" s="40"/>
    </row>
    <row r="1209">
      <c r="D1209" s="40"/>
      <c r="E1209" s="40"/>
      <c r="F1209" s="41"/>
      <c r="G1209" s="40"/>
      <c r="H1209" s="40"/>
      <c r="I1209" s="40"/>
    </row>
    <row r="1210">
      <c r="D1210" s="40"/>
      <c r="E1210" s="40"/>
      <c r="F1210" s="41"/>
      <c r="G1210" s="40"/>
      <c r="H1210" s="40"/>
      <c r="I1210" s="40"/>
    </row>
    <row r="1211">
      <c r="D1211" s="40"/>
      <c r="E1211" s="40"/>
      <c r="F1211" s="41"/>
      <c r="G1211" s="40"/>
      <c r="H1211" s="40"/>
      <c r="I1211" s="40"/>
    </row>
    <row r="1212">
      <c r="D1212" s="40"/>
      <c r="E1212" s="40"/>
      <c r="F1212" s="41"/>
      <c r="G1212" s="40"/>
      <c r="H1212" s="40"/>
      <c r="I1212" s="40"/>
    </row>
    <row r="1213">
      <c r="D1213" s="40"/>
      <c r="E1213" s="40"/>
      <c r="F1213" s="41"/>
      <c r="G1213" s="40"/>
      <c r="H1213" s="40"/>
      <c r="I1213" s="40"/>
    </row>
    <row r="1214">
      <c r="D1214" s="40"/>
      <c r="E1214" s="40"/>
      <c r="F1214" s="41"/>
      <c r="G1214" s="40"/>
      <c r="H1214" s="40"/>
      <c r="I1214" s="40"/>
    </row>
    <row r="1215">
      <c r="D1215" s="40"/>
      <c r="E1215" s="40"/>
      <c r="F1215" s="41"/>
      <c r="G1215" s="40"/>
      <c r="H1215" s="40"/>
      <c r="I1215" s="40"/>
    </row>
    <row r="1216">
      <c r="D1216" s="40"/>
      <c r="E1216" s="40"/>
      <c r="F1216" s="41"/>
      <c r="G1216" s="40"/>
      <c r="H1216" s="40"/>
      <c r="I1216" s="40"/>
    </row>
    <row r="1217">
      <c r="D1217" s="40"/>
      <c r="E1217" s="40"/>
      <c r="F1217" s="41"/>
      <c r="G1217" s="40"/>
      <c r="H1217" s="40"/>
      <c r="I1217" s="40"/>
    </row>
    <row r="1218">
      <c r="D1218" s="40"/>
      <c r="E1218" s="40"/>
      <c r="F1218" s="41"/>
      <c r="G1218" s="40"/>
      <c r="H1218" s="40"/>
      <c r="I1218" s="40"/>
    </row>
    <row r="1219">
      <c r="D1219" s="40"/>
      <c r="E1219" s="40"/>
      <c r="F1219" s="41"/>
      <c r="G1219" s="40"/>
      <c r="H1219" s="40"/>
      <c r="I1219" s="40"/>
    </row>
    <row r="1220">
      <c r="D1220" s="40"/>
      <c r="E1220" s="40"/>
      <c r="F1220" s="41"/>
      <c r="G1220" s="40"/>
      <c r="H1220" s="40"/>
      <c r="I1220" s="40"/>
    </row>
    <row r="1221">
      <c r="D1221" s="40"/>
      <c r="E1221" s="40"/>
      <c r="F1221" s="41"/>
      <c r="G1221" s="40"/>
      <c r="H1221" s="40"/>
      <c r="I1221" s="40"/>
    </row>
    <row r="1222">
      <c r="D1222" s="40"/>
      <c r="E1222" s="40"/>
      <c r="F1222" s="41"/>
      <c r="G1222" s="40"/>
      <c r="H1222" s="40"/>
      <c r="I1222" s="40"/>
    </row>
    <row r="1223">
      <c r="D1223" s="40"/>
      <c r="E1223" s="40"/>
      <c r="F1223" s="41"/>
      <c r="G1223" s="40"/>
      <c r="H1223" s="40"/>
      <c r="I1223" s="40"/>
    </row>
    <row r="1224">
      <c r="D1224" s="40"/>
      <c r="E1224" s="40"/>
      <c r="F1224" s="41"/>
      <c r="G1224" s="40"/>
      <c r="H1224" s="40"/>
      <c r="I1224" s="40"/>
    </row>
    <row r="1225">
      <c r="D1225" s="40"/>
      <c r="E1225" s="40"/>
      <c r="F1225" s="41"/>
      <c r="G1225" s="40"/>
      <c r="H1225" s="40"/>
      <c r="I1225" s="40"/>
    </row>
    <row r="1226">
      <c r="D1226" s="40"/>
      <c r="E1226" s="40"/>
      <c r="F1226" s="41"/>
      <c r="G1226" s="40"/>
      <c r="H1226" s="40"/>
      <c r="I1226" s="40"/>
    </row>
    <row r="1227">
      <c r="D1227" s="40"/>
      <c r="E1227" s="40"/>
      <c r="F1227" s="41"/>
      <c r="G1227" s="40"/>
      <c r="H1227" s="40"/>
      <c r="I1227" s="40"/>
    </row>
    <row r="1228">
      <c r="D1228" s="40"/>
      <c r="E1228" s="40"/>
      <c r="F1228" s="41"/>
      <c r="G1228" s="40"/>
      <c r="H1228" s="40"/>
      <c r="I1228" s="40"/>
    </row>
    <row r="1229">
      <c r="D1229" s="40"/>
      <c r="E1229" s="40"/>
      <c r="F1229" s="41"/>
      <c r="G1229" s="40"/>
      <c r="H1229" s="40"/>
      <c r="I1229" s="40"/>
    </row>
    <row r="1230">
      <c r="D1230" s="40"/>
      <c r="E1230" s="40"/>
      <c r="F1230" s="41"/>
      <c r="G1230" s="40"/>
      <c r="H1230" s="40"/>
      <c r="I1230" s="40"/>
    </row>
    <row r="1231">
      <c r="D1231" s="40"/>
      <c r="E1231" s="40"/>
      <c r="F1231" s="41"/>
      <c r="G1231" s="40"/>
      <c r="H1231" s="40"/>
      <c r="I1231" s="40"/>
    </row>
    <row r="1232">
      <c r="D1232" s="40"/>
      <c r="E1232" s="40"/>
      <c r="F1232" s="41"/>
      <c r="G1232" s="40"/>
      <c r="H1232" s="40"/>
      <c r="I1232" s="40"/>
    </row>
    <row r="1233">
      <c r="D1233" s="40"/>
      <c r="E1233" s="40"/>
      <c r="F1233" s="41"/>
      <c r="G1233" s="40"/>
      <c r="H1233" s="40"/>
      <c r="I1233" s="40"/>
    </row>
    <row r="1234">
      <c r="D1234" s="40"/>
      <c r="E1234" s="40"/>
      <c r="F1234" s="41"/>
      <c r="G1234" s="40"/>
      <c r="H1234" s="40"/>
      <c r="I1234" s="40"/>
    </row>
    <row r="1235">
      <c r="D1235" s="40"/>
      <c r="E1235" s="40"/>
      <c r="F1235" s="41"/>
      <c r="G1235" s="40"/>
      <c r="H1235" s="40"/>
      <c r="I1235" s="40"/>
    </row>
    <row r="1236">
      <c r="D1236" s="40"/>
      <c r="E1236" s="40"/>
      <c r="F1236" s="41"/>
      <c r="G1236" s="40"/>
      <c r="H1236" s="40"/>
      <c r="I1236" s="40"/>
    </row>
    <row r="1237">
      <c r="D1237" s="40"/>
      <c r="E1237" s="40"/>
      <c r="F1237" s="41"/>
      <c r="G1237" s="40"/>
      <c r="H1237" s="40"/>
      <c r="I1237" s="40"/>
    </row>
    <row r="1238">
      <c r="D1238" s="40"/>
      <c r="E1238" s="40"/>
      <c r="F1238" s="41"/>
      <c r="G1238" s="40"/>
      <c r="H1238" s="40"/>
      <c r="I1238" s="40"/>
    </row>
    <row r="1239">
      <c r="D1239" s="40"/>
      <c r="E1239" s="40"/>
      <c r="F1239" s="41"/>
      <c r="G1239" s="40"/>
      <c r="H1239" s="40"/>
      <c r="I1239" s="40"/>
    </row>
    <row r="1240">
      <c r="D1240" s="40"/>
      <c r="E1240" s="40"/>
      <c r="F1240" s="41"/>
      <c r="G1240" s="40"/>
      <c r="H1240" s="40"/>
      <c r="I1240" s="40"/>
    </row>
    <row r="1241">
      <c r="D1241" s="40"/>
      <c r="E1241" s="40"/>
      <c r="F1241" s="41"/>
      <c r="G1241" s="40"/>
      <c r="H1241" s="40"/>
      <c r="I1241" s="40"/>
    </row>
    <row r="1242">
      <c r="D1242" s="40"/>
      <c r="E1242" s="40"/>
      <c r="F1242" s="41"/>
      <c r="G1242" s="40"/>
      <c r="H1242" s="40"/>
      <c r="I1242" s="40"/>
    </row>
    <row r="1243">
      <c r="D1243" s="40"/>
      <c r="E1243" s="40"/>
      <c r="F1243" s="41"/>
      <c r="G1243" s="40"/>
      <c r="H1243" s="40"/>
      <c r="I1243" s="40"/>
    </row>
    <row r="1244">
      <c r="D1244" s="40"/>
      <c r="E1244" s="40"/>
      <c r="F1244" s="41"/>
      <c r="G1244" s="40"/>
      <c r="H1244" s="40"/>
      <c r="I1244" s="40"/>
    </row>
    <row r="1245">
      <c r="D1245" s="40"/>
      <c r="E1245" s="40"/>
      <c r="F1245" s="41"/>
      <c r="G1245" s="40"/>
      <c r="H1245" s="40"/>
      <c r="I1245" s="40"/>
    </row>
    <row r="1246">
      <c r="D1246" s="40"/>
      <c r="E1246" s="40"/>
      <c r="F1246" s="41"/>
      <c r="G1246" s="40"/>
      <c r="H1246" s="40"/>
      <c r="I1246" s="40"/>
    </row>
    <row r="1247">
      <c r="D1247" s="40"/>
      <c r="E1247" s="40"/>
      <c r="F1247" s="41"/>
      <c r="G1247" s="40"/>
      <c r="H1247" s="40"/>
      <c r="I1247" s="40"/>
    </row>
    <row r="1248">
      <c r="D1248" s="40"/>
      <c r="E1248" s="40"/>
      <c r="F1248" s="41"/>
      <c r="G1248" s="40"/>
      <c r="H1248" s="40"/>
      <c r="I1248" s="40"/>
    </row>
    <row r="1249">
      <c r="D1249" s="40"/>
      <c r="E1249" s="40"/>
      <c r="F1249" s="41"/>
      <c r="G1249" s="40"/>
      <c r="H1249" s="40"/>
      <c r="I1249" s="40"/>
    </row>
    <row r="1250">
      <c r="D1250" s="40"/>
      <c r="E1250" s="40"/>
      <c r="F1250" s="41"/>
      <c r="G1250" s="40"/>
      <c r="H1250" s="40"/>
      <c r="I1250" s="40"/>
    </row>
    <row r="1251">
      <c r="D1251" s="40"/>
      <c r="E1251" s="40"/>
      <c r="F1251" s="41"/>
      <c r="G1251" s="40"/>
      <c r="H1251" s="40"/>
      <c r="I1251" s="40"/>
    </row>
    <row r="1252">
      <c r="D1252" s="40"/>
      <c r="E1252" s="40"/>
      <c r="F1252" s="41"/>
      <c r="G1252" s="40"/>
      <c r="H1252" s="40"/>
      <c r="I1252" s="40"/>
    </row>
    <row r="1253">
      <c r="D1253" s="40"/>
      <c r="E1253" s="40"/>
      <c r="F1253" s="41"/>
      <c r="G1253" s="40"/>
      <c r="H1253" s="40"/>
      <c r="I1253" s="40"/>
    </row>
    <row r="1254">
      <c r="D1254" s="40"/>
      <c r="E1254" s="40"/>
      <c r="F1254" s="41"/>
      <c r="G1254" s="40"/>
      <c r="H1254" s="40"/>
      <c r="I1254" s="40"/>
    </row>
    <row r="1255">
      <c r="D1255" s="40"/>
      <c r="E1255" s="40"/>
      <c r="F1255" s="41"/>
      <c r="G1255" s="40"/>
      <c r="H1255" s="40"/>
      <c r="I1255" s="40"/>
    </row>
    <row r="1256">
      <c r="D1256" s="40"/>
      <c r="E1256" s="40"/>
      <c r="F1256" s="41"/>
      <c r="G1256" s="40"/>
      <c r="H1256" s="40"/>
      <c r="I1256" s="40"/>
    </row>
    <row r="1257">
      <c r="D1257" s="40"/>
      <c r="E1257" s="40"/>
      <c r="F1257" s="41"/>
      <c r="G1257" s="40"/>
      <c r="H1257" s="40"/>
      <c r="I1257" s="40"/>
    </row>
    <row r="1258">
      <c r="D1258" s="40"/>
      <c r="E1258" s="40"/>
      <c r="F1258" s="41"/>
      <c r="G1258" s="40"/>
      <c r="H1258" s="40"/>
      <c r="I1258" s="40"/>
    </row>
    <row r="1259">
      <c r="D1259" s="40"/>
      <c r="E1259" s="40"/>
      <c r="F1259" s="41"/>
      <c r="G1259" s="40"/>
      <c r="H1259" s="40"/>
      <c r="I1259" s="40"/>
    </row>
    <row r="1260">
      <c r="D1260" s="40"/>
      <c r="E1260" s="40"/>
      <c r="F1260" s="41"/>
      <c r="G1260" s="40"/>
      <c r="H1260" s="40"/>
      <c r="I1260" s="40"/>
    </row>
    <row r="1261">
      <c r="D1261" s="40"/>
      <c r="E1261" s="40"/>
      <c r="F1261" s="41"/>
      <c r="G1261" s="40"/>
      <c r="H1261" s="40"/>
      <c r="I1261" s="40"/>
    </row>
    <row r="1262">
      <c r="D1262" s="40"/>
      <c r="E1262" s="40"/>
      <c r="F1262" s="41"/>
      <c r="G1262" s="40"/>
      <c r="H1262" s="40"/>
      <c r="I1262" s="40"/>
    </row>
    <row r="1263">
      <c r="D1263" s="40"/>
      <c r="E1263" s="40"/>
      <c r="F1263" s="41"/>
      <c r="G1263" s="40"/>
      <c r="H1263" s="40"/>
      <c r="I1263" s="40"/>
    </row>
    <row r="1264">
      <c r="D1264" s="40"/>
      <c r="E1264" s="40"/>
      <c r="F1264" s="41"/>
      <c r="G1264" s="40"/>
      <c r="H1264" s="40"/>
      <c r="I1264" s="40"/>
    </row>
    <row r="1265">
      <c r="D1265" s="40"/>
      <c r="E1265" s="40"/>
      <c r="F1265" s="41"/>
      <c r="G1265" s="40"/>
      <c r="H1265" s="40"/>
      <c r="I1265" s="40"/>
    </row>
    <row r="1266">
      <c r="D1266" s="40"/>
      <c r="E1266" s="40"/>
      <c r="F1266" s="41"/>
      <c r="G1266" s="40"/>
      <c r="H1266" s="40"/>
      <c r="I1266" s="40"/>
    </row>
    <row r="1267">
      <c r="D1267" s="40"/>
      <c r="E1267" s="40"/>
      <c r="F1267" s="41"/>
      <c r="G1267" s="40"/>
      <c r="H1267" s="40"/>
      <c r="I1267" s="40"/>
    </row>
    <row r="1268">
      <c r="D1268" s="40"/>
      <c r="E1268" s="40"/>
      <c r="F1268" s="41"/>
      <c r="G1268" s="40"/>
      <c r="H1268" s="40"/>
      <c r="I1268" s="40"/>
    </row>
    <row r="1269">
      <c r="D1269" s="40"/>
      <c r="E1269" s="40"/>
      <c r="F1269" s="41"/>
      <c r="G1269" s="40"/>
      <c r="H1269" s="40"/>
      <c r="I1269" s="40"/>
    </row>
    <row r="1270">
      <c r="D1270" s="40"/>
      <c r="E1270" s="40"/>
      <c r="F1270" s="41"/>
      <c r="G1270" s="40"/>
      <c r="H1270" s="40"/>
      <c r="I1270" s="40"/>
    </row>
    <row r="1271">
      <c r="D1271" s="40"/>
      <c r="E1271" s="40"/>
      <c r="F1271" s="41"/>
      <c r="G1271" s="40"/>
      <c r="H1271" s="40"/>
      <c r="I1271" s="40"/>
    </row>
    <row r="1272">
      <c r="D1272" s="40"/>
      <c r="E1272" s="40"/>
      <c r="F1272" s="41"/>
      <c r="G1272" s="40"/>
      <c r="H1272" s="40"/>
      <c r="I1272" s="40"/>
    </row>
    <row r="1273">
      <c r="D1273" s="40"/>
      <c r="E1273" s="40"/>
      <c r="F1273" s="41"/>
      <c r="G1273" s="40"/>
      <c r="H1273" s="40"/>
      <c r="I1273" s="40"/>
    </row>
    <row r="1274">
      <c r="D1274" s="40"/>
      <c r="E1274" s="40"/>
      <c r="F1274" s="41"/>
      <c r="G1274" s="40"/>
      <c r="H1274" s="40"/>
      <c r="I1274" s="40"/>
    </row>
    <row r="1275">
      <c r="D1275" s="40"/>
      <c r="E1275" s="40"/>
      <c r="F1275" s="41"/>
      <c r="G1275" s="40"/>
      <c r="H1275" s="40"/>
      <c r="I1275" s="40"/>
    </row>
    <row r="1276">
      <c r="D1276" s="40"/>
      <c r="E1276" s="40"/>
      <c r="F1276" s="41"/>
      <c r="G1276" s="40"/>
      <c r="H1276" s="40"/>
      <c r="I1276" s="40"/>
    </row>
    <row r="1277">
      <c r="D1277" s="40"/>
      <c r="E1277" s="40"/>
      <c r="F1277" s="41"/>
      <c r="G1277" s="40"/>
      <c r="H1277" s="40"/>
      <c r="I1277" s="40"/>
    </row>
    <row r="1278">
      <c r="D1278" s="40"/>
      <c r="E1278" s="40"/>
      <c r="F1278" s="41"/>
      <c r="G1278" s="40"/>
      <c r="H1278" s="40"/>
      <c r="I1278" s="40"/>
    </row>
    <row r="1279">
      <c r="D1279" s="40"/>
      <c r="E1279" s="40"/>
      <c r="F1279" s="41"/>
      <c r="G1279" s="40"/>
      <c r="H1279" s="40"/>
      <c r="I1279" s="40"/>
    </row>
    <row r="1280">
      <c r="D1280" s="40"/>
      <c r="E1280" s="40"/>
      <c r="F1280" s="41"/>
      <c r="G1280" s="40"/>
      <c r="H1280" s="40"/>
      <c r="I1280" s="40"/>
    </row>
    <row r="1281">
      <c r="D1281" s="40"/>
      <c r="E1281" s="40"/>
      <c r="F1281" s="41"/>
      <c r="G1281" s="40"/>
      <c r="H1281" s="40"/>
      <c r="I1281" s="40"/>
    </row>
    <row r="1282">
      <c r="D1282" s="40"/>
      <c r="E1282" s="40"/>
      <c r="F1282" s="41"/>
      <c r="G1282" s="40"/>
      <c r="H1282" s="40"/>
      <c r="I1282" s="40"/>
    </row>
    <row r="1283">
      <c r="D1283" s="40"/>
      <c r="E1283" s="40"/>
      <c r="F1283" s="41"/>
      <c r="G1283" s="40"/>
      <c r="H1283" s="40"/>
      <c r="I1283" s="40"/>
    </row>
    <row r="1284">
      <c r="D1284" s="40"/>
      <c r="E1284" s="40"/>
      <c r="F1284" s="41"/>
      <c r="G1284" s="40"/>
      <c r="H1284" s="40"/>
      <c r="I1284" s="40"/>
    </row>
    <row r="1285">
      <c r="D1285" s="40"/>
      <c r="E1285" s="40"/>
      <c r="F1285" s="41"/>
      <c r="G1285" s="40"/>
      <c r="H1285" s="40"/>
      <c r="I1285" s="40"/>
    </row>
    <row r="1286">
      <c r="D1286" s="40"/>
      <c r="E1286" s="40"/>
      <c r="F1286" s="41"/>
      <c r="G1286" s="40"/>
      <c r="H1286" s="40"/>
      <c r="I1286" s="40"/>
    </row>
    <row r="1287">
      <c r="D1287" s="40"/>
      <c r="E1287" s="40"/>
      <c r="F1287" s="41"/>
      <c r="G1287" s="40"/>
      <c r="H1287" s="40"/>
      <c r="I1287" s="40"/>
    </row>
    <row r="1288">
      <c r="D1288" s="40"/>
      <c r="E1288" s="40"/>
      <c r="F1288" s="41"/>
      <c r="G1288" s="40"/>
      <c r="H1288" s="40"/>
      <c r="I1288" s="40"/>
    </row>
    <row r="1289">
      <c r="D1289" s="40"/>
      <c r="E1289" s="40"/>
      <c r="F1289" s="41"/>
      <c r="G1289" s="40"/>
      <c r="H1289" s="40"/>
      <c r="I1289" s="40"/>
    </row>
    <row r="1290">
      <c r="D1290" s="40"/>
      <c r="E1290" s="40"/>
      <c r="F1290" s="41"/>
      <c r="G1290" s="40"/>
      <c r="H1290" s="40"/>
      <c r="I1290" s="40"/>
    </row>
    <row r="1291">
      <c r="D1291" s="40"/>
      <c r="E1291" s="40"/>
      <c r="F1291" s="41"/>
      <c r="G1291" s="40"/>
      <c r="H1291" s="40"/>
      <c r="I1291" s="40"/>
    </row>
    <row r="1292">
      <c r="D1292" s="40"/>
      <c r="E1292" s="40"/>
      <c r="F1292" s="41"/>
      <c r="G1292" s="40"/>
      <c r="H1292" s="40"/>
      <c r="I1292" s="40"/>
    </row>
    <row r="1293">
      <c r="D1293" s="40"/>
      <c r="E1293" s="40"/>
      <c r="F1293" s="41"/>
      <c r="G1293" s="40"/>
      <c r="H1293" s="40"/>
      <c r="I1293" s="40"/>
    </row>
    <row r="1294">
      <c r="D1294" s="40"/>
      <c r="E1294" s="40"/>
      <c r="F1294" s="41"/>
      <c r="G1294" s="40"/>
      <c r="H1294" s="40"/>
      <c r="I1294" s="40"/>
    </row>
    <row r="1295">
      <c r="D1295" s="40"/>
      <c r="E1295" s="40"/>
      <c r="F1295" s="41"/>
      <c r="G1295" s="40"/>
      <c r="H1295" s="40"/>
      <c r="I1295" s="40"/>
    </row>
    <row r="1296">
      <c r="D1296" s="40"/>
      <c r="E1296" s="40"/>
      <c r="F1296" s="41"/>
      <c r="G1296" s="40"/>
      <c r="H1296" s="40"/>
      <c r="I1296" s="40"/>
    </row>
    <row r="1297">
      <c r="D1297" s="40"/>
      <c r="E1297" s="40"/>
      <c r="F1297" s="41"/>
      <c r="G1297" s="40"/>
      <c r="H1297" s="40"/>
      <c r="I1297" s="40"/>
    </row>
    <row r="1298">
      <c r="D1298" s="40"/>
      <c r="E1298" s="40"/>
      <c r="F1298" s="41"/>
      <c r="G1298" s="40"/>
      <c r="H1298" s="40"/>
      <c r="I1298" s="40"/>
    </row>
    <row r="1299">
      <c r="D1299" s="40"/>
      <c r="E1299" s="40"/>
      <c r="F1299" s="41"/>
      <c r="G1299" s="40"/>
      <c r="H1299" s="40"/>
      <c r="I1299" s="40"/>
    </row>
    <row r="1300">
      <c r="D1300" s="40"/>
      <c r="E1300" s="40"/>
      <c r="F1300" s="41"/>
      <c r="G1300" s="40"/>
      <c r="H1300" s="40"/>
      <c r="I1300" s="40"/>
    </row>
    <row r="1301">
      <c r="D1301" s="40"/>
      <c r="E1301" s="40"/>
      <c r="F1301" s="41"/>
      <c r="G1301" s="40"/>
      <c r="H1301" s="40"/>
      <c r="I1301" s="40"/>
    </row>
    <row r="1302">
      <c r="D1302" s="40"/>
      <c r="E1302" s="40"/>
      <c r="F1302" s="41"/>
      <c r="G1302" s="40"/>
      <c r="H1302" s="40"/>
      <c r="I1302" s="40"/>
    </row>
    <row r="1303">
      <c r="D1303" s="40"/>
      <c r="E1303" s="40"/>
      <c r="F1303" s="41"/>
      <c r="G1303" s="40"/>
      <c r="H1303" s="40"/>
      <c r="I1303" s="40"/>
    </row>
    <row r="1304">
      <c r="D1304" s="40"/>
      <c r="E1304" s="40"/>
      <c r="F1304" s="41"/>
      <c r="G1304" s="40"/>
      <c r="H1304" s="40"/>
      <c r="I1304" s="40"/>
    </row>
    <row r="1305">
      <c r="D1305" s="40"/>
      <c r="E1305" s="40"/>
      <c r="F1305" s="41"/>
      <c r="G1305" s="40"/>
      <c r="H1305" s="40"/>
      <c r="I1305" s="40"/>
    </row>
    <row r="1306">
      <c r="D1306" s="40"/>
      <c r="E1306" s="40"/>
      <c r="F1306" s="41"/>
      <c r="G1306" s="40"/>
      <c r="H1306" s="40"/>
      <c r="I1306" s="40"/>
    </row>
    <row r="1307">
      <c r="D1307" s="40"/>
      <c r="E1307" s="40"/>
      <c r="F1307" s="41"/>
      <c r="G1307" s="40"/>
      <c r="H1307" s="40"/>
      <c r="I1307" s="40"/>
    </row>
    <row r="1308">
      <c r="D1308" s="40"/>
      <c r="E1308" s="40"/>
      <c r="F1308" s="41"/>
      <c r="G1308" s="40"/>
      <c r="H1308" s="40"/>
      <c r="I1308" s="40"/>
    </row>
    <row r="1309">
      <c r="D1309" s="40"/>
      <c r="E1309" s="40"/>
      <c r="F1309" s="41"/>
      <c r="G1309" s="40"/>
      <c r="H1309" s="40"/>
      <c r="I1309" s="40"/>
    </row>
    <row r="1310">
      <c r="D1310" s="40"/>
      <c r="E1310" s="40"/>
      <c r="F1310" s="41"/>
      <c r="G1310" s="40"/>
      <c r="H1310" s="40"/>
      <c r="I1310" s="40"/>
    </row>
    <row r="1311">
      <c r="D1311" s="40"/>
      <c r="E1311" s="40"/>
      <c r="F1311" s="41"/>
      <c r="G1311" s="40"/>
      <c r="H1311" s="40"/>
      <c r="I1311" s="40"/>
    </row>
    <row r="1312">
      <c r="D1312" s="40"/>
      <c r="E1312" s="40"/>
      <c r="F1312" s="41"/>
      <c r="G1312" s="40"/>
      <c r="H1312" s="40"/>
      <c r="I1312" s="40"/>
    </row>
    <row r="1313">
      <c r="D1313" s="40"/>
      <c r="E1313" s="40"/>
      <c r="F1313" s="41"/>
      <c r="G1313" s="40"/>
      <c r="H1313" s="40"/>
      <c r="I1313" s="40"/>
    </row>
    <row r="1314">
      <c r="D1314" s="40"/>
      <c r="E1314" s="40"/>
      <c r="F1314" s="41"/>
      <c r="G1314" s="40"/>
      <c r="H1314" s="40"/>
      <c r="I1314" s="40"/>
    </row>
    <row r="1315">
      <c r="D1315" s="40"/>
      <c r="E1315" s="40"/>
      <c r="F1315" s="41"/>
      <c r="G1315" s="40"/>
      <c r="H1315" s="40"/>
      <c r="I1315" s="40"/>
    </row>
    <row r="1316">
      <c r="D1316" s="40"/>
      <c r="E1316" s="40"/>
      <c r="F1316" s="41"/>
      <c r="G1316" s="40"/>
      <c r="H1316" s="40"/>
      <c r="I1316" s="40"/>
    </row>
    <row r="1317">
      <c r="D1317" s="40"/>
      <c r="E1317" s="40"/>
      <c r="F1317" s="41"/>
      <c r="G1317" s="40"/>
      <c r="H1317" s="40"/>
      <c r="I1317" s="40"/>
    </row>
    <row r="1318">
      <c r="D1318" s="40"/>
      <c r="E1318" s="40"/>
      <c r="F1318" s="41"/>
      <c r="G1318" s="40"/>
      <c r="H1318" s="40"/>
      <c r="I1318" s="40"/>
    </row>
    <row r="1319">
      <c r="D1319" s="40"/>
      <c r="E1319" s="40"/>
      <c r="F1319" s="41"/>
      <c r="G1319" s="40"/>
      <c r="H1319" s="40"/>
      <c r="I1319" s="40"/>
    </row>
    <row r="1320">
      <c r="D1320" s="40"/>
      <c r="E1320" s="40"/>
      <c r="F1320" s="41"/>
      <c r="G1320" s="40"/>
      <c r="H1320" s="40"/>
      <c r="I1320" s="40"/>
    </row>
    <row r="1321">
      <c r="D1321" s="40"/>
      <c r="E1321" s="40"/>
      <c r="F1321" s="41"/>
      <c r="G1321" s="40"/>
      <c r="H1321" s="40"/>
      <c r="I1321" s="40"/>
    </row>
    <row r="1322">
      <c r="D1322" s="40"/>
      <c r="E1322" s="40"/>
      <c r="F1322" s="41"/>
      <c r="G1322" s="40"/>
      <c r="H1322" s="40"/>
      <c r="I1322" s="40"/>
    </row>
    <row r="1323">
      <c r="D1323" s="40"/>
      <c r="E1323" s="40"/>
      <c r="F1323" s="41"/>
      <c r="G1323" s="40"/>
      <c r="H1323" s="40"/>
      <c r="I1323" s="40"/>
    </row>
    <row r="1324">
      <c r="D1324" s="40"/>
      <c r="E1324" s="40"/>
      <c r="F1324" s="41"/>
      <c r="G1324" s="40"/>
      <c r="H1324" s="40"/>
      <c r="I1324" s="40"/>
    </row>
    <row r="1325">
      <c r="D1325" s="40"/>
      <c r="E1325" s="40"/>
      <c r="F1325" s="41"/>
      <c r="G1325" s="40"/>
      <c r="H1325" s="40"/>
      <c r="I1325" s="40"/>
    </row>
    <row r="1326">
      <c r="D1326" s="40"/>
      <c r="E1326" s="40"/>
      <c r="F1326" s="41"/>
      <c r="G1326" s="40"/>
      <c r="H1326" s="40"/>
      <c r="I1326" s="40"/>
    </row>
    <row r="1327">
      <c r="D1327" s="40"/>
      <c r="E1327" s="40"/>
      <c r="F1327" s="41"/>
      <c r="G1327" s="40"/>
      <c r="H1327" s="40"/>
      <c r="I1327" s="40"/>
    </row>
    <row r="1328">
      <c r="D1328" s="40"/>
      <c r="E1328" s="40"/>
      <c r="F1328" s="41"/>
      <c r="G1328" s="40"/>
      <c r="H1328" s="40"/>
      <c r="I1328" s="40"/>
    </row>
    <row r="1329">
      <c r="D1329" s="40"/>
      <c r="E1329" s="40"/>
      <c r="F1329" s="41"/>
      <c r="G1329" s="40"/>
      <c r="H1329" s="40"/>
      <c r="I1329" s="40"/>
    </row>
    <row r="1330">
      <c r="D1330" s="40"/>
      <c r="E1330" s="40"/>
      <c r="F1330" s="41"/>
      <c r="G1330" s="40"/>
      <c r="H1330" s="40"/>
      <c r="I1330" s="40"/>
    </row>
    <row r="1331">
      <c r="D1331" s="40"/>
      <c r="E1331" s="40"/>
      <c r="F1331" s="41"/>
      <c r="G1331" s="40"/>
      <c r="H1331" s="40"/>
      <c r="I1331" s="40"/>
    </row>
    <row r="1332">
      <c r="D1332" s="40"/>
      <c r="E1332" s="40"/>
      <c r="F1332" s="41"/>
      <c r="G1332" s="40"/>
      <c r="H1332" s="40"/>
      <c r="I1332" s="40"/>
    </row>
    <row r="1333">
      <c r="D1333" s="40"/>
      <c r="E1333" s="40"/>
      <c r="F1333" s="41"/>
      <c r="G1333" s="40"/>
      <c r="H1333" s="40"/>
      <c r="I1333" s="40"/>
    </row>
    <row r="1334">
      <c r="D1334" s="40"/>
      <c r="E1334" s="40"/>
      <c r="F1334" s="41"/>
      <c r="G1334" s="40"/>
      <c r="H1334" s="40"/>
      <c r="I1334" s="40"/>
    </row>
    <row r="1335">
      <c r="D1335" s="40"/>
      <c r="E1335" s="40"/>
      <c r="F1335" s="41"/>
      <c r="G1335" s="40"/>
      <c r="H1335" s="40"/>
      <c r="I1335" s="40"/>
    </row>
    <row r="1336">
      <c r="D1336" s="40"/>
      <c r="E1336" s="40"/>
      <c r="F1336" s="41"/>
      <c r="G1336" s="40"/>
      <c r="H1336" s="40"/>
      <c r="I1336" s="40"/>
    </row>
    <row r="1337">
      <c r="D1337" s="40"/>
      <c r="E1337" s="40"/>
      <c r="F1337" s="41"/>
      <c r="G1337" s="40"/>
      <c r="H1337" s="40"/>
      <c r="I1337" s="40"/>
    </row>
    <row r="1338">
      <c r="D1338" s="40"/>
      <c r="E1338" s="40"/>
      <c r="F1338" s="41"/>
      <c r="G1338" s="40"/>
      <c r="H1338" s="40"/>
      <c r="I1338" s="40"/>
    </row>
    <row r="1339">
      <c r="D1339" s="40"/>
      <c r="E1339" s="40"/>
      <c r="F1339" s="41"/>
      <c r="G1339" s="40"/>
      <c r="H1339" s="40"/>
      <c r="I1339" s="40"/>
    </row>
    <row r="1340">
      <c r="D1340" s="40"/>
      <c r="E1340" s="40"/>
      <c r="F1340" s="41"/>
      <c r="G1340" s="40"/>
      <c r="H1340" s="40"/>
      <c r="I1340" s="40"/>
    </row>
    <row r="1341">
      <c r="D1341" s="40"/>
      <c r="E1341" s="40"/>
      <c r="F1341" s="41"/>
      <c r="G1341" s="40"/>
      <c r="H1341" s="40"/>
      <c r="I1341" s="40"/>
    </row>
    <row r="1342">
      <c r="D1342" s="40"/>
      <c r="E1342" s="40"/>
      <c r="F1342" s="41"/>
      <c r="G1342" s="40"/>
      <c r="H1342" s="40"/>
      <c r="I1342" s="40"/>
    </row>
    <row r="1343">
      <c r="D1343" s="40"/>
      <c r="E1343" s="40"/>
      <c r="F1343" s="41"/>
      <c r="G1343" s="40"/>
      <c r="H1343" s="40"/>
      <c r="I1343" s="40"/>
    </row>
    <row r="1344">
      <c r="D1344" s="40"/>
      <c r="E1344" s="40"/>
      <c r="F1344" s="41"/>
      <c r="G1344" s="40"/>
      <c r="H1344" s="40"/>
      <c r="I1344" s="40"/>
    </row>
    <row r="1345">
      <c r="D1345" s="40"/>
      <c r="E1345" s="40"/>
      <c r="F1345" s="41"/>
      <c r="G1345" s="40"/>
      <c r="H1345" s="40"/>
      <c r="I1345" s="40"/>
    </row>
    <row r="1346">
      <c r="D1346" s="40"/>
      <c r="E1346" s="40"/>
      <c r="F1346" s="41"/>
      <c r="G1346" s="40"/>
      <c r="H1346" s="40"/>
      <c r="I1346" s="40"/>
    </row>
    <row r="1347">
      <c r="D1347" s="40"/>
      <c r="E1347" s="40"/>
      <c r="F1347" s="41"/>
      <c r="G1347" s="40"/>
      <c r="H1347" s="40"/>
      <c r="I1347" s="40"/>
    </row>
    <row r="1348">
      <c r="D1348" s="40"/>
      <c r="E1348" s="40"/>
      <c r="F1348" s="41"/>
      <c r="G1348" s="40"/>
      <c r="H1348" s="40"/>
      <c r="I1348" s="40"/>
    </row>
    <row r="1349">
      <c r="D1349" s="40"/>
      <c r="E1349" s="40"/>
      <c r="F1349" s="41"/>
      <c r="G1349" s="40"/>
      <c r="H1349" s="40"/>
      <c r="I1349" s="40"/>
    </row>
    <row r="1350">
      <c r="D1350" s="40"/>
      <c r="E1350" s="40"/>
      <c r="F1350" s="41"/>
      <c r="G1350" s="40"/>
      <c r="H1350" s="40"/>
      <c r="I1350" s="40"/>
    </row>
    <row r="1351">
      <c r="D1351" s="40"/>
      <c r="E1351" s="40"/>
      <c r="F1351" s="41"/>
      <c r="G1351" s="40"/>
      <c r="H1351" s="40"/>
      <c r="I1351" s="40"/>
    </row>
    <row r="1352">
      <c r="D1352" s="40"/>
      <c r="E1352" s="40"/>
      <c r="F1352" s="41"/>
      <c r="G1352" s="40"/>
      <c r="H1352" s="40"/>
      <c r="I1352" s="40"/>
    </row>
    <row r="1353">
      <c r="D1353" s="40"/>
      <c r="E1353" s="40"/>
      <c r="F1353" s="41"/>
      <c r="G1353" s="40"/>
      <c r="H1353" s="40"/>
      <c r="I1353" s="40"/>
    </row>
    <row r="1354">
      <c r="D1354" s="40"/>
      <c r="E1354" s="40"/>
      <c r="F1354" s="41"/>
      <c r="G1354" s="40"/>
      <c r="H1354" s="40"/>
      <c r="I1354" s="40"/>
    </row>
    <row r="1355">
      <c r="D1355" s="40"/>
      <c r="E1355" s="40"/>
      <c r="F1355" s="41"/>
      <c r="G1355" s="40"/>
      <c r="H1355" s="40"/>
      <c r="I1355" s="40"/>
    </row>
    <row r="1356">
      <c r="D1356" s="40"/>
      <c r="E1356" s="40"/>
      <c r="F1356" s="41"/>
      <c r="G1356" s="40"/>
      <c r="H1356" s="40"/>
      <c r="I1356" s="40"/>
    </row>
    <row r="1357">
      <c r="D1357" s="40"/>
      <c r="E1357" s="40"/>
      <c r="F1357" s="41"/>
      <c r="G1357" s="40"/>
      <c r="H1357" s="40"/>
      <c r="I1357" s="40"/>
    </row>
    <row r="1358">
      <c r="D1358" s="40"/>
      <c r="E1358" s="40"/>
      <c r="F1358" s="41"/>
      <c r="G1358" s="40"/>
      <c r="H1358" s="40"/>
      <c r="I1358" s="40"/>
    </row>
    <row r="1359">
      <c r="D1359" s="40"/>
      <c r="E1359" s="40"/>
      <c r="F1359" s="41"/>
      <c r="G1359" s="40"/>
      <c r="H1359" s="40"/>
      <c r="I1359" s="40"/>
    </row>
    <row r="1360">
      <c r="D1360" s="40"/>
      <c r="E1360" s="40"/>
      <c r="F1360" s="41"/>
      <c r="G1360" s="40"/>
      <c r="H1360" s="40"/>
      <c r="I1360" s="40"/>
    </row>
    <row r="1361">
      <c r="D1361" s="40"/>
      <c r="E1361" s="40"/>
      <c r="F1361" s="41"/>
      <c r="G1361" s="40"/>
      <c r="H1361" s="40"/>
      <c r="I1361" s="40"/>
    </row>
    <row r="1362">
      <c r="D1362" s="40"/>
      <c r="E1362" s="40"/>
      <c r="F1362" s="41"/>
      <c r="G1362" s="40"/>
      <c r="H1362" s="40"/>
      <c r="I1362" s="40"/>
    </row>
    <row r="1363">
      <c r="D1363" s="40"/>
      <c r="E1363" s="40"/>
      <c r="F1363" s="41"/>
      <c r="G1363" s="40"/>
      <c r="H1363" s="40"/>
      <c r="I1363" s="40"/>
    </row>
    <row r="1364">
      <c r="D1364" s="40"/>
      <c r="E1364" s="40"/>
      <c r="F1364" s="41"/>
      <c r="G1364" s="40"/>
      <c r="H1364" s="40"/>
      <c r="I1364" s="40"/>
    </row>
    <row r="1365">
      <c r="D1365" s="40"/>
      <c r="E1365" s="40"/>
      <c r="F1365" s="41"/>
      <c r="G1365" s="40"/>
      <c r="H1365" s="40"/>
      <c r="I1365" s="40"/>
    </row>
    <row r="1366">
      <c r="D1366" s="40"/>
      <c r="E1366" s="40"/>
      <c r="F1366" s="41"/>
      <c r="G1366" s="40"/>
      <c r="H1366" s="40"/>
      <c r="I1366" s="40"/>
    </row>
    <row r="1367">
      <c r="D1367" s="40"/>
      <c r="E1367" s="40"/>
      <c r="F1367" s="41"/>
      <c r="G1367" s="40"/>
      <c r="H1367" s="40"/>
      <c r="I1367" s="40"/>
    </row>
    <row r="1368">
      <c r="D1368" s="40"/>
      <c r="E1368" s="40"/>
      <c r="F1368" s="41"/>
      <c r="G1368" s="40"/>
      <c r="H1368" s="40"/>
      <c r="I1368" s="40"/>
    </row>
    <row r="1369">
      <c r="D1369" s="40"/>
      <c r="E1369" s="40"/>
      <c r="F1369" s="41"/>
      <c r="G1369" s="40"/>
      <c r="H1369" s="40"/>
      <c r="I1369" s="40"/>
    </row>
    <row r="1370">
      <c r="D1370" s="40"/>
      <c r="E1370" s="40"/>
      <c r="F1370" s="41"/>
      <c r="G1370" s="40"/>
      <c r="H1370" s="40"/>
      <c r="I1370" s="40"/>
    </row>
    <row r="1371">
      <c r="D1371" s="40"/>
      <c r="E1371" s="40"/>
      <c r="F1371" s="41"/>
      <c r="G1371" s="40"/>
      <c r="H1371" s="40"/>
      <c r="I1371" s="40"/>
    </row>
    <row r="1372">
      <c r="D1372" s="40"/>
      <c r="E1372" s="40"/>
      <c r="F1372" s="41"/>
      <c r="G1372" s="40"/>
      <c r="H1372" s="40"/>
      <c r="I1372" s="40"/>
    </row>
    <row r="1373">
      <c r="D1373" s="40"/>
      <c r="E1373" s="40"/>
      <c r="F1373" s="41"/>
      <c r="G1373" s="40"/>
      <c r="H1373" s="40"/>
      <c r="I1373" s="40"/>
    </row>
    <row r="1374">
      <c r="D1374" s="40"/>
      <c r="E1374" s="40"/>
      <c r="F1374" s="41"/>
      <c r="G1374" s="40"/>
      <c r="H1374" s="40"/>
      <c r="I1374" s="40"/>
    </row>
    <row r="1375">
      <c r="D1375" s="40"/>
      <c r="E1375" s="40"/>
      <c r="F1375" s="41"/>
      <c r="G1375" s="40"/>
      <c r="H1375" s="40"/>
      <c r="I1375" s="40"/>
    </row>
    <row r="1376">
      <c r="D1376" s="40"/>
      <c r="E1376" s="40"/>
      <c r="F1376" s="41"/>
      <c r="G1376" s="40"/>
      <c r="H1376" s="40"/>
      <c r="I1376" s="40"/>
    </row>
    <row r="1377">
      <c r="D1377" s="40"/>
      <c r="E1377" s="40"/>
      <c r="F1377" s="41"/>
      <c r="G1377" s="40"/>
      <c r="H1377" s="40"/>
      <c r="I1377" s="40"/>
    </row>
    <row r="1378">
      <c r="D1378" s="40"/>
      <c r="E1378" s="40"/>
      <c r="F1378" s="41"/>
      <c r="G1378" s="40"/>
      <c r="H1378" s="40"/>
      <c r="I1378" s="40"/>
    </row>
    <row r="1379">
      <c r="D1379" s="40"/>
      <c r="E1379" s="40"/>
      <c r="F1379" s="41"/>
      <c r="G1379" s="40"/>
      <c r="H1379" s="40"/>
      <c r="I1379" s="40"/>
    </row>
    <row r="1380">
      <c r="D1380" s="40"/>
      <c r="E1380" s="40"/>
      <c r="F1380" s="41"/>
      <c r="G1380" s="40"/>
      <c r="H1380" s="40"/>
      <c r="I1380" s="40"/>
    </row>
    <row r="1381">
      <c r="D1381" s="40"/>
      <c r="E1381" s="40"/>
      <c r="F1381" s="41"/>
      <c r="G1381" s="40"/>
      <c r="H1381" s="40"/>
      <c r="I1381" s="40"/>
    </row>
    <row r="1382">
      <c r="D1382" s="40"/>
      <c r="E1382" s="40"/>
      <c r="F1382" s="41"/>
      <c r="G1382" s="40"/>
      <c r="H1382" s="40"/>
      <c r="I1382" s="40"/>
    </row>
    <row r="1383">
      <c r="D1383" s="40"/>
      <c r="E1383" s="40"/>
      <c r="F1383" s="41"/>
      <c r="G1383" s="40"/>
      <c r="H1383" s="40"/>
      <c r="I1383" s="40"/>
    </row>
    <row r="1384">
      <c r="D1384" s="40"/>
      <c r="E1384" s="40"/>
      <c r="F1384" s="41"/>
      <c r="G1384" s="40"/>
      <c r="H1384" s="40"/>
      <c r="I1384" s="40"/>
    </row>
    <row r="1385">
      <c r="D1385" s="40"/>
      <c r="E1385" s="40"/>
      <c r="F1385" s="41"/>
      <c r="G1385" s="40"/>
      <c r="H1385" s="40"/>
      <c r="I1385" s="40"/>
    </row>
    <row r="1386">
      <c r="D1386" s="40"/>
      <c r="E1386" s="40"/>
      <c r="F1386" s="41"/>
      <c r="G1386" s="40"/>
      <c r="H1386" s="40"/>
      <c r="I1386" s="40"/>
    </row>
    <row r="1387">
      <c r="D1387" s="40"/>
      <c r="E1387" s="40"/>
      <c r="F1387" s="41"/>
      <c r="G1387" s="40"/>
      <c r="H1387" s="40"/>
      <c r="I1387" s="40"/>
    </row>
    <row r="1388">
      <c r="D1388" s="40"/>
      <c r="E1388" s="40"/>
      <c r="F1388" s="41"/>
      <c r="G1388" s="40"/>
      <c r="H1388" s="40"/>
      <c r="I1388" s="40"/>
    </row>
    <row r="1389">
      <c r="D1389" s="40"/>
      <c r="E1389" s="40"/>
      <c r="F1389" s="41"/>
      <c r="G1389" s="40"/>
      <c r="H1389" s="40"/>
      <c r="I1389" s="40"/>
    </row>
    <row r="1390">
      <c r="D1390" s="40"/>
      <c r="E1390" s="40"/>
      <c r="F1390" s="41"/>
      <c r="G1390" s="40"/>
      <c r="H1390" s="40"/>
      <c r="I1390" s="40"/>
    </row>
    <row r="1391">
      <c r="D1391" s="40"/>
      <c r="E1391" s="40"/>
      <c r="F1391" s="41"/>
      <c r="G1391" s="40"/>
      <c r="H1391" s="40"/>
      <c r="I1391" s="40"/>
    </row>
    <row r="1392">
      <c r="D1392" s="40"/>
      <c r="E1392" s="40"/>
      <c r="F1392" s="41"/>
      <c r="G1392" s="40"/>
      <c r="H1392" s="40"/>
      <c r="I1392" s="40"/>
    </row>
    <row r="1393">
      <c r="D1393" s="40"/>
      <c r="E1393" s="40"/>
      <c r="F1393" s="41"/>
      <c r="G1393" s="40"/>
      <c r="H1393" s="40"/>
      <c r="I1393" s="40"/>
    </row>
    <row r="1394">
      <c r="D1394" s="40"/>
      <c r="E1394" s="40"/>
      <c r="F1394" s="41"/>
      <c r="G1394" s="40"/>
      <c r="H1394" s="40"/>
      <c r="I1394" s="40"/>
    </row>
    <row r="1395">
      <c r="D1395" s="40"/>
      <c r="E1395" s="40"/>
      <c r="F1395" s="41"/>
      <c r="G1395" s="40"/>
      <c r="H1395" s="40"/>
      <c r="I1395" s="40"/>
    </row>
    <row r="1396">
      <c r="D1396" s="40"/>
      <c r="E1396" s="40"/>
      <c r="F1396" s="41"/>
      <c r="G1396" s="40"/>
      <c r="H1396" s="40"/>
      <c r="I1396" s="40"/>
    </row>
    <row r="1397">
      <c r="D1397" s="40"/>
      <c r="E1397" s="40"/>
      <c r="F1397" s="41"/>
      <c r="G1397" s="40"/>
      <c r="H1397" s="40"/>
      <c r="I1397" s="40"/>
    </row>
    <row r="1398">
      <c r="D1398" s="40"/>
      <c r="E1398" s="40"/>
      <c r="F1398" s="41"/>
      <c r="G1398" s="40"/>
      <c r="H1398" s="40"/>
      <c r="I1398" s="40"/>
    </row>
    <row r="1399">
      <c r="D1399" s="40"/>
      <c r="E1399" s="40"/>
      <c r="F1399" s="41"/>
      <c r="G1399" s="40"/>
      <c r="H1399" s="40"/>
      <c r="I1399" s="40"/>
    </row>
    <row r="1400">
      <c r="D1400" s="40"/>
      <c r="E1400" s="40"/>
      <c r="F1400" s="41"/>
      <c r="G1400" s="40"/>
      <c r="H1400" s="40"/>
      <c r="I1400" s="40"/>
    </row>
    <row r="1401">
      <c r="D1401" s="40"/>
      <c r="E1401" s="40"/>
      <c r="F1401" s="41"/>
      <c r="G1401" s="40"/>
      <c r="H1401" s="40"/>
      <c r="I1401" s="40"/>
    </row>
    <row r="1402">
      <c r="D1402" s="40"/>
      <c r="E1402" s="40"/>
      <c r="F1402" s="41"/>
      <c r="G1402" s="40"/>
      <c r="H1402" s="40"/>
      <c r="I1402" s="40"/>
    </row>
    <row r="1403">
      <c r="D1403" s="40"/>
      <c r="E1403" s="40"/>
      <c r="F1403" s="41"/>
      <c r="G1403" s="40"/>
      <c r="H1403" s="40"/>
      <c r="I1403" s="40"/>
    </row>
    <row r="1404">
      <c r="D1404" s="40"/>
      <c r="E1404" s="40"/>
      <c r="F1404" s="41"/>
      <c r="G1404" s="40"/>
      <c r="H1404" s="40"/>
      <c r="I1404" s="40"/>
    </row>
    <row r="1405">
      <c r="D1405" s="40"/>
      <c r="E1405" s="40"/>
      <c r="F1405" s="41"/>
      <c r="G1405" s="40"/>
      <c r="H1405" s="40"/>
      <c r="I1405" s="40"/>
    </row>
    <row r="1406">
      <c r="D1406" s="40"/>
      <c r="E1406" s="40"/>
      <c r="F1406" s="41"/>
      <c r="G1406" s="40"/>
      <c r="H1406" s="40"/>
      <c r="I1406" s="40"/>
    </row>
    <row r="1407">
      <c r="D1407" s="40"/>
      <c r="E1407" s="40"/>
      <c r="F1407" s="41"/>
      <c r="G1407" s="40"/>
      <c r="H1407" s="40"/>
      <c r="I1407" s="40"/>
    </row>
    <row r="1408">
      <c r="D1408" s="40"/>
      <c r="E1408" s="40"/>
      <c r="F1408" s="41"/>
      <c r="G1408" s="40"/>
      <c r="H1408" s="40"/>
      <c r="I1408" s="40"/>
    </row>
    <row r="1409">
      <c r="D1409" s="40"/>
      <c r="E1409" s="40"/>
      <c r="F1409" s="41"/>
      <c r="G1409" s="40"/>
      <c r="H1409" s="40"/>
      <c r="I1409" s="40"/>
    </row>
    <row r="1410">
      <c r="D1410" s="40"/>
      <c r="E1410" s="40"/>
      <c r="F1410" s="41"/>
      <c r="G1410" s="40"/>
      <c r="H1410" s="40"/>
      <c r="I1410" s="40"/>
    </row>
    <row r="1411">
      <c r="D1411" s="40"/>
      <c r="E1411" s="40"/>
      <c r="F1411" s="41"/>
      <c r="G1411" s="40"/>
      <c r="H1411" s="40"/>
      <c r="I1411" s="40"/>
    </row>
    <row r="1412">
      <c r="D1412" s="40"/>
      <c r="E1412" s="40"/>
      <c r="F1412" s="41"/>
      <c r="G1412" s="40"/>
      <c r="H1412" s="40"/>
      <c r="I1412" s="40"/>
    </row>
    <row r="1413">
      <c r="D1413" s="40"/>
      <c r="E1413" s="40"/>
      <c r="F1413" s="41"/>
      <c r="G1413" s="40"/>
      <c r="H1413" s="40"/>
      <c r="I1413" s="40"/>
    </row>
    <row r="1414">
      <c r="D1414" s="40"/>
      <c r="E1414" s="40"/>
      <c r="F1414" s="41"/>
      <c r="G1414" s="40"/>
      <c r="H1414" s="40"/>
      <c r="I1414" s="40"/>
    </row>
    <row r="1415">
      <c r="D1415" s="40"/>
      <c r="E1415" s="40"/>
      <c r="F1415" s="41"/>
      <c r="G1415" s="40"/>
      <c r="H1415" s="40"/>
      <c r="I1415" s="40"/>
    </row>
    <row r="1416">
      <c r="D1416" s="40"/>
      <c r="E1416" s="40"/>
      <c r="F1416" s="41"/>
      <c r="G1416" s="40"/>
      <c r="H1416" s="40"/>
      <c r="I1416" s="40"/>
    </row>
    <row r="1417">
      <c r="D1417" s="40"/>
      <c r="E1417" s="40"/>
      <c r="F1417" s="41"/>
      <c r="G1417" s="40"/>
      <c r="H1417" s="40"/>
      <c r="I1417" s="40"/>
    </row>
    <row r="1418">
      <c r="D1418" s="40"/>
      <c r="E1418" s="40"/>
      <c r="F1418" s="41"/>
      <c r="G1418" s="40"/>
      <c r="H1418" s="40"/>
      <c r="I1418" s="40"/>
    </row>
    <row r="1419">
      <c r="D1419" s="40"/>
      <c r="E1419" s="40"/>
      <c r="F1419" s="41"/>
      <c r="G1419" s="40"/>
      <c r="H1419" s="40"/>
      <c r="I1419" s="40"/>
    </row>
    <row r="1420">
      <c r="D1420" s="40"/>
      <c r="E1420" s="40"/>
      <c r="F1420" s="41"/>
      <c r="G1420" s="40"/>
      <c r="H1420" s="40"/>
      <c r="I1420" s="40"/>
    </row>
    <row r="1421">
      <c r="D1421" s="40"/>
      <c r="E1421" s="40"/>
      <c r="F1421" s="41"/>
      <c r="G1421" s="40"/>
      <c r="H1421" s="40"/>
      <c r="I1421" s="40"/>
    </row>
    <row r="1422">
      <c r="D1422" s="40"/>
      <c r="E1422" s="40"/>
      <c r="F1422" s="41"/>
      <c r="G1422" s="40"/>
      <c r="H1422" s="40"/>
      <c r="I1422" s="40"/>
    </row>
    <row r="1423">
      <c r="D1423" s="40"/>
      <c r="E1423" s="40"/>
      <c r="F1423" s="41"/>
      <c r="G1423" s="40"/>
      <c r="H1423" s="40"/>
      <c r="I1423" s="40"/>
    </row>
    <row r="1424">
      <c r="D1424" s="40"/>
      <c r="E1424" s="40"/>
      <c r="F1424" s="41"/>
      <c r="G1424" s="40"/>
      <c r="H1424" s="40"/>
      <c r="I1424" s="40"/>
    </row>
    <row r="1425">
      <c r="D1425" s="40"/>
      <c r="E1425" s="40"/>
      <c r="F1425" s="41"/>
      <c r="G1425" s="40"/>
      <c r="H1425" s="40"/>
      <c r="I1425" s="40"/>
    </row>
    <row r="1426">
      <c r="D1426" s="40"/>
      <c r="E1426" s="40"/>
      <c r="F1426" s="41"/>
      <c r="G1426" s="40"/>
      <c r="H1426" s="40"/>
      <c r="I1426" s="40"/>
    </row>
    <row r="1427">
      <c r="D1427" s="40"/>
      <c r="E1427" s="40"/>
      <c r="F1427" s="41"/>
      <c r="G1427" s="40"/>
      <c r="H1427" s="40"/>
      <c r="I1427" s="40"/>
    </row>
    <row r="1428">
      <c r="D1428" s="40"/>
      <c r="E1428" s="40"/>
      <c r="F1428" s="41"/>
      <c r="G1428" s="40"/>
      <c r="H1428" s="40"/>
      <c r="I1428" s="40"/>
    </row>
    <row r="1429">
      <c r="D1429" s="40"/>
      <c r="E1429" s="40"/>
      <c r="F1429" s="41"/>
      <c r="G1429" s="40"/>
      <c r="H1429" s="40"/>
      <c r="I1429" s="40"/>
    </row>
    <row r="1430">
      <c r="D1430" s="40"/>
      <c r="E1430" s="40"/>
      <c r="F1430" s="41"/>
      <c r="G1430" s="40"/>
      <c r="H1430" s="40"/>
      <c r="I1430" s="40"/>
    </row>
    <row r="1431">
      <c r="D1431" s="40"/>
      <c r="E1431" s="40"/>
      <c r="F1431" s="41"/>
      <c r="G1431" s="40"/>
      <c r="H1431" s="40"/>
      <c r="I1431" s="40"/>
    </row>
    <row r="1432">
      <c r="D1432" s="40"/>
      <c r="E1432" s="40"/>
      <c r="F1432" s="41"/>
      <c r="G1432" s="40"/>
      <c r="H1432" s="40"/>
      <c r="I1432" s="40"/>
    </row>
    <row r="1433">
      <c r="D1433" s="40"/>
      <c r="E1433" s="40"/>
      <c r="F1433" s="41"/>
      <c r="G1433" s="40"/>
      <c r="H1433" s="40"/>
      <c r="I1433" s="40"/>
    </row>
    <row r="1434">
      <c r="D1434" s="40"/>
      <c r="E1434" s="40"/>
      <c r="F1434" s="41"/>
      <c r="G1434" s="40"/>
      <c r="H1434" s="40"/>
      <c r="I1434" s="40"/>
    </row>
    <row r="1435">
      <c r="D1435" s="40"/>
      <c r="E1435" s="40"/>
      <c r="F1435" s="41"/>
      <c r="G1435" s="40"/>
      <c r="H1435" s="40"/>
      <c r="I1435" s="40"/>
    </row>
    <row r="1436">
      <c r="D1436" s="40"/>
      <c r="E1436" s="40"/>
      <c r="F1436" s="41"/>
      <c r="G1436" s="40"/>
      <c r="H1436" s="40"/>
      <c r="I1436" s="40"/>
    </row>
    <row r="1437">
      <c r="D1437" s="40"/>
      <c r="E1437" s="40"/>
      <c r="F1437" s="41"/>
      <c r="G1437" s="40"/>
      <c r="H1437" s="40"/>
      <c r="I1437" s="40"/>
    </row>
    <row r="1438">
      <c r="D1438" s="40"/>
      <c r="E1438" s="40"/>
      <c r="F1438" s="41"/>
      <c r="G1438" s="40"/>
      <c r="H1438" s="40"/>
      <c r="I1438" s="40"/>
    </row>
    <row r="1439">
      <c r="D1439" s="40"/>
      <c r="E1439" s="40"/>
      <c r="F1439" s="41"/>
      <c r="G1439" s="40"/>
      <c r="H1439" s="40"/>
      <c r="I1439" s="40"/>
    </row>
    <row r="1440">
      <c r="D1440" s="40"/>
      <c r="E1440" s="40"/>
      <c r="F1440" s="41"/>
      <c r="G1440" s="40"/>
      <c r="H1440" s="40"/>
      <c r="I1440" s="40"/>
    </row>
    <row r="1441">
      <c r="D1441" s="40"/>
      <c r="E1441" s="40"/>
      <c r="F1441" s="41"/>
      <c r="G1441" s="40"/>
      <c r="H1441" s="40"/>
      <c r="I1441" s="40"/>
    </row>
    <row r="1442">
      <c r="D1442" s="40"/>
      <c r="E1442" s="40"/>
      <c r="F1442" s="41"/>
      <c r="G1442" s="40"/>
      <c r="H1442" s="40"/>
      <c r="I1442" s="40"/>
    </row>
    <row r="1443">
      <c r="D1443" s="40"/>
      <c r="E1443" s="40"/>
      <c r="F1443" s="41"/>
      <c r="G1443" s="40"/>
      <c r="H1443" s="40"/>
      <c r="I1443" s="40"/>
    </row>
    <row r="1444">
      <c r="D1444" s="40"/>
      <c r="E1444" s="40"/>
      <c r="F1444" s="41"/>
      <c r="G1444" s="40"/>
      <c r="H1444" s="40"/>
      <c r="I1444" s="40"/>
    </row>
    <row r="1445">
      <c r="D1445" s="81"/>
      <c r="E1445" s="81"/>
      <c r="F1445" s="555"/>
      <c r="G1445" s="81"/>
      <c r="H1445" s="81"/>
      <c r="I1445" s="81"/>
    </row>
    <row r="1446">
      <c r="D1446" s="40"/>
      <c r="E1446" s="40"/>
      <c r="F1446" s="41"/>
      <c r="G1446" s="40"/>
      <c r="H1446" s="40"/>
      <c r="I1446" s="40"/>
    </row>
    <row r="1447">
      <c r="D1447" s="40"/>
      <c r="E1447" s="40"/>
      <c r="F1447" s="41"/>
      <c r="G1447" s="40"/>
      <c r="H1447" s="40"/>
      <c r="I1447" s="40"/>
    </row>
    <row r="1448">
      <c r="D1448" s="40"/>
      <c r="E1448" s="40"/>
      <c r="F1448" s="41"/>
      <c r="G1448" s="40"/>
      <c r="H1448" s="40"/>
      <c r="I1448" s="40"/>
    </row>
    <row r="1449">
      <c r="D1449" s="40"/>
      <c r="E1449" s="40"/>
      <c r="F1449" s="41"/>
      <c r="G1449" s="40"/>
      <c r="H1449" s="40"/>
      <c r="I1449" s="40"/>
    </row>
    <row r="1450">
      <c r="D1450" s="81"/>
      <c r="E1450" s="81"/>
      <c r="F1450" s="555"/>
      <c r="G1450" s="81"/>
      <c r="H1450" s="81"/>
      <c r="I1450" s="81"/>
    </row>
    <row r="1451">
      <c r="D1451" s="81"/>
      <c r="E1451" s="81"/>
      <c r="F1451" s="555"/>
      <c r="G1451" s="81"/>
      <c r="H1451" s="81"/>
      <c r="I1451" s="81"/>
    </row>
    <row r="1452">
      <c r="D1452" s="81"/>
      <c r="E1452" s="81"/>
      <c r="F1452" s="555"/>
      <c r="G1452" s="81"/>
      <c r="H1452" s="81"/>
      <c r="I1452" s="81"/>
    </row>
    <row r="1453">
      <c r="D1453" s="81"/>
      <c r="E1453" s="81"/>
      <c r="F1453" s="555"/>
      <c r="G1453" s="81"/>
      <c r="H1453" s="81"/>
      <c r="I1453" s="81"/>
    </row>
    <row r="1454">
      <c r="D1454" s="81"/>
      <c r="E1454" s="81"/>
      <c r="F1454" s="555"/>
      <c r="G1454" s="81"/>
      <c r="H1454" s="81"/>
      <c r="I1454" s="81"/>
    </row>
    <row r="1455">
      <c r="D1455" s="81"/>
      <c r="E1455" s="81"/>
      <c r="F1455" s="555"/>
      <c r="G1455" s="81"/>
      <c r="H1455" s="81"/>
      <c r="I1455" s="81"/>
    </row>
    <row r="1456">
      <c r="D1456" s="81"/>
      <c r="E1456" s="81"/>
      <c r="F1456" s="555"/>
      <c r="G1456" s="81"/>
      <c r="H1456" s="81"/>
      <c r="I1456" s="81"/>
    </row>
    <row r="1457">
      <c r="D1457" s="81"/>
      <c r="E1457" s="81"/>
      <c r="F1457" s="555"/>
      <c r="G1457" s="81"/>
      <c r="H1457" s="81"/>
      <c r="I1457" s="81"/>
    </row>
    <row r="1458">
      <c r="D1458" s="81"/>
      <c r="E1458" s="81"/>
      <c r="F1458" s="555"/>
      <c r="G1458" s="81"/>
      <c r="H1458" s="81"/>
      <c r="I1458" s="81"/>
    </row>
    <row r="1459">
      <c r="D1459" s="81"/>
      <c r="E1459" s="81"/>
      <c r="F1459" s="555"/>
      <c r="G1459" s="81"/>
      <c r="H1459" s="81"/>
      <c r="I1459" s="81"/>
    </row>
    <row r="1460">
      <c r="D1460" s="81"/>
      <c r="E1460" s="81"/>
      <c r="F1460" s="555"/>
      <c r="G1460" s="81"/>
      <c r="H1460" s="81"/>
      <c r="I1460" s="81"/>
    </row>
    <row r="1461">
      <c r="D1461" s="81"/>
      <c r="E1461" s="81"/>
      <c r="F1461" s="555"/>
      <c r="G1461" s="81"/>
      <c r="H1461" s="81"/>
      <c r="I1461" s="81"/>
    </row>
    <row r="1462">
      <c r="D1462" s="81"/>
      <c r="E1462" s="81"/>
      <c r="F1462" s="555"/>
      <c r="G1462" s="81"/>
      <c r="H1462" s="81"/>
      <c r="I1462" s="81"/>
    </row>
    <row r="1463">
      <c r="D1463" s="81"/>
      <c r="E1463" s="81"/>
      <c r="F1463" s="555"/>
      <c r="G1463" s="81"/>
      <c r="H1463" s="81"/>
      <c r="I1463" s="81"/>
    </row>
    <row r="1464">
      <c r="D1464" s="81"/>
      <c r="E1464" s="81"/>
      <c r="F1464" s="555"/>
      <c r="G1464" s="81"/>
      <c r="H1464" s="81"/>
      <c r="I1464" s="81"/>
    </row>
    <row r="1465">
      <c r="D1465" s="81"/>
      <c r="E1465" s="81"/>
      <c r="F1465" s="555"/>
      <c r="G1465" s="81"/>
      <c r="H1465" s="81"/>
      <c r="I1465" s="81"/>
    </row>
    <row r="1466">
      <c r="D1466" s="81"/>
      <c r="E1466" s="81"/>
      <c r="F1466" s="555"/>
      <c r="G1466" s="81"/>
      <c r="H1466" s="81"/>
      <c r="I1466" s="81"/>
    </row>
    <row r="1467">
      <c r="D1467" s="81"/>
      <c r="E1467" s="81"/>
      <c r="F1467" s="555"/>
      <c r="G1467" s="81"/>
      <c r="H1467" s="81"/>
      <c r="I1467" s="81"/>
    </row>
    <row r="1468">
      <c r="D1468" s="81"/>
      <c r="E1468" s="81"/>
      <c r="F1468" s="555"/>
      <c r="G1468" s="81"/>
      <c r="H1468" s="81"/>
      <c r="I1468" s="81"/>
    </row>
    <row r="1469">
      <c r="D1469" s="81"/>
      <c r="E1469" s="81"/>
      <c r="F1469" s="555"/>
      <c r="G1469" s="81"/>
      <c r="H1469" s="81"/>
      <c r="I1469" s="81"/>
    </row>
    <row r="1470">
      <c r="D1470" s="81"/>
      <c r="E1470" s="81"/>
      <c r="F1470" s="555"/>
      <c r="G1470" s="81"/>
      <c r="H1470" s="81"/>
      <c r="I1470" s="81"/>
    </row>
    <row r="1471">
      <c r="D1471" s="81"/>
      <c r="E1471" s="81"/>
      <c r="F1471" s="555"/>
      <c r="G1471" s="81"/>
      <c r="H1471" s="81"/>
      <c r="I1471" s="81"/>
    </row>
    <row r="1472">
      <c r="D1472" s="81"/>
      <c r="E1472" s="81"/>
      <c r="F1472" s="555"/>
      <c r="G1472" s="81"/>
      <c r="H1472" s="81"/>
      <c r="I1472" s="81"/>
    </row>
    <row r="1473">
      <c r="D1473" s="81"/>
      <c r="E1473" s="81"/>
      <c r="F1473" s="555"/>
      <c r="G1473" s="81"/>
      <c r="H1473" s="81"/>
      <c r="I1473" s="81"/>
    </row>
    <row r="1474">
      <c r="D1474" s="81"/>
      <c r="E1474" s="81"/>
      <c r="F1474" s="555"/>
      <c r="G1474" s="81"/>
      <c r="H1474" s="81"/>
      <c r="I1474" s="81"/>
    </row>
    <row r="1475">
      <c r="D1475" s="81"/>
      <c r="E1475" s="81"/>
      <c r="F1475" s="555"/>
      <c r="G1475" s="81"/>
      <c r="H1475" s="81"/>
      <c r="I1475" s="81"/>
    </row>
    <row r="1476">
      <c r="D1476" s="81"/>
      <c r="E1476" s="81"/>
      <c r="F1476" s="555"/>
      <c r="G1476" s="81"/>
      <c r="H1476" s="81"/>
      <c r="I1476" s="81"/>
    </row>
    <row r="1477">
      <c r="D1477" s="81"/>
      <c r="E1477" s="81"/>
      <c r="F1477" s="555"/>
      <c r="G1477" s="81"/>
      <c r="H1477" s="81"/>
      <c r="I1477" s="81"/>
    </row>
    <row r="1478">
      <c r="D1478" s="81"/>
      <c r="E1478" s="81"/>
      <c r="F1478" s="555"/>
      <c r="G1478" s="81"/>
      <c r="H1478" s="81"/>
      <c r="I1478" s="81"/>
    </row>
    <row r="1479">
      <c r="D1479" s="81"/>
      <c r="E1479" s="81"/>
      <c r="F1479" s="555"/>
      <c r="G1479" s="81"/>
      <c r="H1479" s="81"/>
      <c r="I1479" s="81"/>
    </row>
    <row r="1480">
      <c r="D1480" s="81"/>
      <c r="E1480" s="81"/>
      <c r="F1480" s="555"/>
      <c r="G1480" s="81"/>
      <c r="H1480" s="81"/>
      <c r="I1480" s="81"/>
    </row>
    <row r="1481">
      <c r="D1481" s="81"/>
      <c r="E1481" s="81"/>
      <c r="F1481" s="555"/>
      <c r="G1481" s="81"/>
      <c r="H1481" s="81"/>
      <c r="I1481" s="81"/>
    </row>
    <row r="1482">
      <c r="D1482" s="81"/>
      <c r="E1482" s="81"/>
      <c r="F1482" s="555"/>
      <c r="G1482" s="81"/>
      <c r="H1482" s="81"/>
      <c r="I1482" s="81"/>
    </row>
    <row r="1483">
      <c r="D1483" s="81"/>
      <c r="E1483" s="81"/>
      <c r="F1483" s="555"/>
      <c r="G1483" s="81"/>
      <c r="H1483" s="81"/>
      <c r="I1483" s="81"/>
    </row>
    <row r="1484">
      <c r="D1484" s="81"/>
      <c r="E1484" s="81"/>
      <c r="F1484" s="555"/>
      <c r="G1484" s="81"/>
      <c r="H1484" s="81"/>
      <c r="I1484" s="81"/>
    </row>
    <row r="1485">
      <c r="D1485" s="81"/>
      <c r="E1485" s="81"/>
      <c r="F1485" s="555"/>
      <c r="G1485" s="81"/>
      <c r="H1485" s="81"/>
      <c r="I1485" s="81"/>
    </row>
    <row r="1486">
      <c r="D1486" s="81"/>
      <c r="E1486" s="81"/>
      <c r="F1486" s="555"/>
      <c r="G1486" s="81"/>
      <c r="H1486" s="81"/>
      <c r="I1486" s="81"/>
    </row>
    <row r="1487">
      <c r="D1487" s="81"/>
      <c r="E1487" s="81"/>
      <c r="F1487" s="555"/>
      <c r="G1487" s="81"/>
      <c r="H1487" s="81"/>
      <c r="I1487" s="81"/>
    </row>
    <row r="1488">
      <c r="D1488" s="81"/>
      <c r="E1488" s="81"/>
      <c r="F1488" s="555"/>
      <c r="G1488" s="81"/>
      <c r="H1488" s="81"/>
      <c r="I1488" s="81"/>
    </row>
    <row r="1489">
      <c r="D1489" s="81"/>
      <c r="E1489" s="81"/>
      <c r="F1489" s="555"/>
      <c r="G1489" s="81"/>
      <c r="H1489" s="81"/>
      <c r="I1489" s="81"/>
    </row>
    <row r="1490">
      <c r="D1490" s="81"/>
      <c r="E1490" s="81"/>
      <c r="F1490" s="555"/>
      <c r="G1490" s="81"/>
      <c r="H1490" s="81"/>
      <c r="I1490" s="81"/>
    </row>
    <row r="1491">
      <c r="D1491" s="81"/>
      <c r="E1491" s="81"/>
      <c r="F1491" s="555"/>
      <c r="G1491" s="81"/>
      <c r="H1491" s="81"/>
      <c r="I1491" s="81"/>
    </row>
    <row r="1492">
      <c r="D1492" s="81"/>
      <c r="E1492" s="81"/>
      <c r="F1492" s="555"/>
      <c r="G1492" s="81"/>
      <c r="H1492" s="81"/>
      <c r="I1492" s="81"/>
    </row>
    <row r="1493">
      <c r="D1493" s="81"/>
      <c r="E1493" s="81"/>
      <c r="F1493" s="555"/>
      <c r="G1493" s="81"/>
      <c r="H1493" s="81"/>
      <c r="I1493" s="81"/>
    </row>
    <row r="1494">
      <c r="D1494" s="81"/>
      <c r="E1494" s="81"/>
      <c r="F1494" s="555"/>
      <c r="G1494" s="81"/>
      <c r="H1494" s="81"/>
      <c r="I1494" s="81"/>
    </row>
    <row r="1495">
      <c r="D1495" s="81"/>
      <c r="E1495" s="81"/>
      <c r="F1495" s="555"/>
      <c r="G1495" s="81"/>
      <c r="H1495" s="81"/>
      <c r="I1495" s="81"/>
    </row>
    <row r="1496">
      <c r="D1496" s="81"/>
      <c r="E1496" s="81"/>
      <c r="F1496" s="555"/>
      <c r="G1496" s="81"/>
      <c r="H1496" s="81"/>
      <c r="I1496" s="81"/>
    </row>
    <row r="1497">
      <c r="D1497" s="81"/>
      <c r="E1497" s="81"/>
      <c r="F1497" s="555"/>
      <c r="G1497" s="81"/>
      <c r="H1497" s="81"/>
      <c r="I1497" s="81"/>
    </row>
    <row r="1498">
      <c r="D1498" s="81"/>
      <c r="E1498" s="81"/>
      <c r="F1498" s="555"/>
      <c r="G1498" s="81"/>
      <c r="H1498" s="81"/>
      <c r="I1498" s="81"/>
    </row>
    <row r="1499">
      <c r="D1499" s="81"/>
      <c r="E1499" s="81"/>
      <c r="F1499" s="555"/>
      <c r="G1499" s="81"/>
      <c r="H1499" s="81"/>
      <c r="I1499" s="81"/>
    </row>
    <row r="1500">
      <c r="D1500" s="81"/>
      <c r="E1500" s="81"/>
      <c r="F1500" s="555"/>
      <c r="G1500" s="81"/>
      <c r="H1500" s="81"/>
      <c r="I1500" s="81"/>
    </row>
    <row r="1501">
      <c r="D1501" s="81"/>
      <c r="E1501" s="81"/>
      <c r="F1501" s="555"/>
      <c r="G1501" s="81"/>
      <c r="H1501" s="81"/>
      <c r="I1501" s="81"/>
    </row>
    <row r="1502">
      <c r="D1502" s="81"/>
      <c r="E1502" s="81"/>
      <c r="F1502" s="555"/>
      <c r="G1502" s="81"/>
      <c r="H1502" s="81"/>
      <c r="I1502" s="81"/>
    </row>
    <row r="1503">
      <c r="D1503" s="81"/>
      <c r="E1503" s="81"/>
      <c r="F1503" s="555"/>
      <c r="G1503" s="81"/>
      <c r="H1503" s="81"/>
      <c r="I1503" s="81"/>
    </row>
    <row r="1504">
      <c r="D1504" s="81"/>
      <c r="E1504" s="81"/>
      <c r="F1504" s="555"/>
      <c r="G1504" s="81"/>
      <c r="H1504" s="81"/>
      <c r="I1504" s="81"/>
    </row>
    <row r="1505">
      <c r="D1505" s="81"/>
      <c r="E1505" s="81"/>
      <c r="F1505" s="555"/>
      <c r="G1505" s="81"/>
      <c r="H1505" s="81"/>
      <c r="I1505" s="81"/>
    </row>
    <row r="1506">
      <c r="D1506" s="81"/>
      <c r="E1506" s="81"/>
      <c r="F1506" s="555"/>
      <c r="G1506" s="81"/>
      <c r="H1506" s="81"/>
      <c r="I1506" s="81"/>
    </row>
    <row r="1507">
      <c r="D1507" s="81"/>
      <c r="E1507" s="81"/>
      <c r="F1507" s="555"/>
      <c r="G1507" s="81"/>
      <c r="H1507" s="81"/>
      <c r="I1507" s="81"/>
    </row>
    <row r="1508">
      <c r="D1508" s="81"/>
      <c r="E1508" s="81"/>
      <c r="F1508" s="555"/>
      <c r="G1508" s="81"/>
      <c r="H1508" s="81"/>
      <c r="I1508" s="81"/>
    </row>
    <row r="1509">
      <c r="D1509" s="81"/>
      <c r="E1509" s="81"/>
      <c r="F1509" s="555"/>
      <c r="G1509" s="81"/>
      <c r="H1509" s="81"/>
      <c r="I1509" s="81"/>
    </row>
    <row r="1510">
      <c r="D1510" s="81"/>
      <c r="E1510" s="81"/>
      <c r="F1510" s="555"/>
      <c r="G1510" s="81"/>
      <c r="H1510" s="81"/>
      <c r="I1510" s="81"/>
    </row>
    <row r="1511">
      <c r="D1511" s="81"/>
      <c r="E1511" s="81"/>
      <c r="F1511" s="555"/>
      <c r="G1511" s="81"/>
      <c r="H1511" s="81"/>
      <c r="I1511" s="81"/>
    </row>
    <row r="1512">
      <c r="D1512" s="81"/>
      <c r="E1512" s="81"/>
      <c r="F1512" s="555"/>
      <c r="G1512" s="81"/>
      <c r="H1512" s="81"/>
      <c r="I1512" s="81"/>
    </row>
    <row r="1513">
      <c r="D1513" s="81"/>
      <c r="E1513" s="81"/>
      <c r="F1513" s="555"/>
      <c r="G1513" s="81"/>
      <c r="H1513" s="81"/>
      <c r="I1513" s="81"/>
    </row>
    <row r="1514">
      <c r="D1514" s="81"/>
      <c r="E1514" s="81"/>
      <c r="F1514" s="555"/>
      <c r="G1514" s="81"/>
      <c r="H1514" s="81"/>
      <c r="I1514" s="81"/>
    </row>
    <row r="1515">
      <c r="D1515" s="81"/>
      <c r="E1515" s="81"/>
      <c r="F1515" s="555"/>
      <c r="G1515" s="81"/>
      <c r="H1515" s="81"/>
      <c r="I1515" s="81"/>
    </row>
    <row r="1516">
      <c r="D1516" s="81"/>
      <c r="E1516" s="81"/>
      <c r="F1516" s="555"/>
      <c r="G1516" s="81"/>
      <c r="H1516" s="81"/>
      <c r="I1516" s="81"/>
    </row>
    <row r="1517">
      <c r="D1517" s="81"/>
      <c r="E1517" s="81"/>
      <c r="F1517" s="555"/>
      <c r="G1517" s="81"/>
      <c r="H1517" s="81"/>
      <c r="I1517" s="81"/>
    </row>
    <row r="1518">
      <c r="D1518" s="81"/>
      <c r="E1518" s="81"/>
      <c r="F1518" s="555"/>
      <c r="G1518" s="81"/>
      <c r="H1518" s="81"/>
      <c r="I1518" s="81"/>
    </row>
    <row r="1519">
      <c r="D1519" s="81"/>
      <c r="E1519" s="81"/>
      <c r="F1519" s="555"/>
      <c r="G1519" s="81"/>
      <c r="H1519" s="81"/>
      <c r="I1519" s="81"/>
    </row>
    <row r="1520">
      <c r="D1520" s="81"/>
      <c r="E1520" s="81"/>
      <c r="F1520" s="555"/>
      <c r="G1520" s="81"/>
      <c r="H1520" s="81"/>
      <c r="I1520" s="81"/>
    </row>
    <row r="1521">
      <c r="D1521" s="81"/>
      <c r="E1521" s="81"/>
      <c r="F1521" s="555"/>
      <c r="G1521" s="81"/>
      <c r="H1521" s="81"/>
      <c r="I1521" s="81"/>
    </row>
    <row r="1522">
      <c r="D1522" s="81"/>
      <c r="E1522" s="81"/>
      <c r="F1522" s="555"/>
      <c r="G1522" s="81"/>
      <c r="H1522" s="81"/>
      <c r="I1522" s="81"/>
    </row>
    <row r="1523">
      <c r="D1523" s="81"/>
      <c r="E1523" s="81"/>
      <c r="F1523" s="555"/>
      <c r="G1523" s="81"/>
      <c r="H1523" s="81"/>
      <c r="I1523" s="81"/>
    </row>
    <row r="1524">
      <c r="D1524" s="81"/>
      <c r="E1524" s="81"/>
      <c r="F1524" s="555"/>
      <c r="G1524" s="81"/>
      <c r="H1524" s="81"/>
      <c r="I1524" s="81"/>
    </row>
    <row r="1525">
      <c r="D1525" s="81"/>
      <c r="E1525" s="81"/>
      <c r="F1525" s="555"/>
      <c r="G1525" s="81"/>
      <c r="H1525" s="81"/>
      <c r="I1525" s="81"/>
    </row>
    <row r="1526">
      <c r="D1526" s="81"/>
      <c r="E1526" s="81"/>
      <c r="F1526" s="555"/>
      <c r="G1526" s="81"/>
      <c r="H1526" s="81"/>
      <c r="I1526" s="81"/>
    </row>
    <row r="1527">
      <c r="D1527" s="81"/>
      <c r="E1527" s="81"/>
      <c r="F1527" s="555"/>
      <c r="G1527" s="81"/>
      <c r="H1527" s="81"/>
      <c r="I1527" s="81"/>
    </row>
    <row r="1528">
      <c r="D1528" s="81"/>
      <c r="E1528" s="81"/>
      <c r="F1528" s="555"/>
      <c r="G1528" s="81"/>
      <c r="H1528" s="81"/>
      <c r="I1528" s="81"/>
    </row>
    <row r="1529">
      <c r="D1529" s="81"/>
      <c r="E1529" s="81"/>
      <c r="F1529" s="555"/>
      <c r="G1529" s="81"/>
      <c r="H1529" s="81"/>
      <c r="I1529" s="81"/>
    </row>
    <row r="1530">
      <c r="D1530" s="81"/>
      <c r="E1530" s="81"/>
      <c r="F1530" s="555"/>
      <c r="G1530" s="81"/>
      <c r="H1530" s="81"/>
      <c r="I1530" s="81"/>
    </row>
    <row r="1531">
      <c r="D1531" s="81"/>
      <c r="E1531" s="81"/>
      <c r="F1531" s="555"/>
      <c r="G1531" s="81"/>
      <c r="H1531" s="81"/>
      <c r="I1531" s="81"/>
    </row>
    <row r="1532">
      <c r="D1532" s="81"/>
      <c r="E1532" s="81"/>
      <c r="F1532" s="555"/>
      <c r="G1532" s="81"/>
      <c r="H1532" s="81"/>
      <c r="I1532" s="81"/>
    </row>
    <row r="1533">
      <c r="D1533" s="81"/>
      <c r="E1533" s="81"/>
      <c r="F1533" s="555"/>
      <c r="G1533" s="81"/>
      <c r="H1533" s="81"/>
      <c r="I1533" s="81"/>
    </row>
    <row r="1534">
      <c r="D1534" s="81"/>
      <c r="E1534" s="81"/>
      <c r="F1534" s="555"/>
      <c r="G1534" s="81"/>
      <c r="H1534" s="81"/>
      <c r="I1534" s="81"/>
    </row>
    <row r="1535">
      <c r="D1535" s="81"/>
      <c r="E1535" s="81"/>
      <c r="F1535" s="555"/>
      <c r="G1535" s="81"/>
      <c r="H1535" s="81"/>
      <c r="I1535" s="81"/>
    </row>
    <row r="1536">
      <c r="D1536" s="81"/>
      <c r="E1536" s="81"/>
      <c r="F1536" s="555"/>
      <c r="G1536" s="81"/>
      <c r="H1536" s="81"/>
      <c r="I1536" s="81"/>
    </row>
    <row r="1537">
      <c r="D1537" s="81"/>
      <c r="E1537" s="81"/>
      <c r="F1537" s="555"/>
      <c r="G1537" s="81"/>
      <c r="H1537" s="81"/>
      <c r="I1537" s="81"/>
    </row>
    <row r="1538">
      <c r="D1538" s="81"/>
      <c r="E1538" s="81"/>
      <c r="F1538" s="555"/>
      <c r="G1538" s="81"/>
      <c r="H1538" s="81"/>
      <c r="I1538" s="81"/>
    </row>
    <row r="1539">
      <c r="D1539" s="81"/>
      <c r="E1539" s="81"/>
      <c r="F1539" s="555"/>
      <c r="G1539" s="81"/>
      <c r="H1539" s="81"/>
      <c r="I1539" s="81"/>
    </row>
    <row r="1540">
      <c r="D1540" s="81"/>
      <c r="E1540" s="81"/>
      <c r="F1540" s="555"/>
      <c r="G1540" s="81"/>
      <c r="H1540" s="81"/>
      <c r="I1540" s="81"/>
    </row>
    <row r="1541">
      <c r="D1541" s="40"/>
      <c r="E1541" s="40"/>
      <c r="F1541" s="41"/>
      <c r="G1541" s="40"/>
      <c r="H1541" s="40"/>
      <c r="I1541" s="40"/>
    </row>
    <row r="1542">
      <c r="D1542" s="40"/>
      <c r="E1542" s="40"/>
      <c r="F1542" s="41"/>
      <c r="G1542" s="40"/>
      <c r="H1542" s="40"/>
      <c r="I1542" s="40"/>
    </row>
    <row r="1543">
      <c r="D1543" s="40"/>
      <c r="E1543" s="40"/>
      <c r="F1543" s="41"/>
      <c r="G1543" s="40"/>
      <c r="H1543" s="40"/>
      <c r="I1543" s="40"/>
    </row>
    <row r="1544">
      <c r="D1544" s="40"/>
      <c r="E1544" s="40"/>
      <c r="F1544" s="41"/>
      <c r="G1544" s="40"/>
      <c r="H1544" s="40"/>
      <c r="I1544" s="40"/>
    </row>
    <row r="1545">
      <c r="D1545" s="40"/>
      <c r="E1545" s="40"/>
      <c r="F1545" s="41"/>
      <c r="G1545" s="40"/>
      <c r="H1545" s="40"/>
      <c r="I1545" s="40"/>
    </row>
    <row r="1546">
      <c r="D1546" s="40"/>
      <c r="E1546" s="40"/>
      <c r="F1546" s="41"/>
      <c r="G1546" s="40"/>
      <c r="H1546" s="40"/>
      <c r="I1546" s="40"/>
    </row>
    <row r="1547">
      <c r="D1547" s="40"/>
      <c r="E1547" s="40"/>
      <c r="F1547" s="41"/>
      <c r="G1547" s="40"/>
      <c r="H1547" s="40"/>
      <c r="I1547" s="40"/>
    </row>
    <row r="1548">
      <c r="D1548" s="40"/>
      <c r="E1548" s="40"/>
      <c r="F1548" s="41"/>
      <c r="G1548" s="40"/>
      <c r="H1548" s="40"/>
      <c r="I1548" s="40"/>
    </row>
    <row r="1549">
      <c r="D1549" s="40"/>
      <c r="E1549" s="40"/>
      <c r="F1549" s="41"/>
      <c r="G1549" s="40"/>
      <c r="H1549" s="40"/>
      <c r="I1549" s="40"/>
    </row>
    <row r="1550">
      <c r="D1550" s="40"/>
      <c r="E1550" s="40"/>
      <c r="F1550" s="41"/>
      <c r="G1550" s="40"/>
      <c r="H1550" s="40"/>
      <c r="I1550" s="40"/>
    </row>
    <row r="1551">
      <c r="D1551" s="40"/>
      <c r="E1551" s="40"/>
      <c r="F1551" s="41"/>
      <c r="G1551" s="40"/>
      <c r="H1551" s="40"/>
      <c r="I1551" s="40"/>
    </row>
    <row r="1552">
      <c r="D1552" s="40"/>
      <c r="E1552" s="40"/>
      <c r="F1552" s="41"/>
      <c r="G1552" s="40"/>
      <c r="H1552" s="40"/>
      <c r="I1552" s="40"/>
    </row>
    <row r="1553">
      <c r="D1553" s="40"/>
      <c r="E1553" s="40"/>
      <c r="F1553" s="41"/>
      <c r="G1553" s="40"/>
      <c r="H1553" s="40"/>
      <c r="I1553" s="40"/>
    </row>
    <row r="1554">
      <c r="D1554" s="40"/>
      <c r="E1554" s="40"/>
      <c r="F1554" s="41"/>
      <c r="G1554" s="40"/>
      <c r="H1554" s="40"/>
      <c r="I1554" s="40"/>
    </row>
    <row r="1555">
      <c r="D1555" s="40"/>
      <c r="E1555" s="40"/>
      <c r="F1555" s="41"/>
      <c r="G1555" s="40"/>
      <c r="H1555" s="40"/>
      <c r="I1555" s="40"/>
    </row>
    <row r="1556">
      <c r="D1556" s="40"/>
      <c r="E1556" s="40"/>
      <c r="F1556" s="41"/>
      <c r="G1556" s="40"/>
      <c r="H1556" s="40"/>
      <c r="I1556" s="40"/>
    </row>
    <row r="1557">
      <c r="D1557" s="40"/>
      <c r="E1557" s="40"/>
      <c r="F1557" s="41"/>
      <c r="G1557" s="40"/>
      <c r="H1557" s="40"/>
      <c r="I1557" s="40"/>
    </row>
    <row r="1558">
      <c r="D1558" s="40"/>
      <c r="E1558" s="40"/>
      <c r="F1558" s="41"/>
      <c r="G1558" s="40"/>
      <c r="H1558" s="40"/>
      <c r="I1558" s="40"/>
    </row>
    <row r="1559">
      <c r="D1559" s="40"/>
      <c r="E1559" s="40"/>
      <c r="F1559" s="41"/>
      <c r="G1559" s="40"/>
      <c r="H1559" s="40"/>
      <c r="I1559" s="40"/>
    </row>
    <row r="1560">
      <c r="D1560" s="40"/>
      <c r="E1560" s="40"/>
      <c r="F1560" s="41"/>
      <c r="G1560" s="40"/>
      <c r="H1560" s="40"/>
      <c r="I1560" s="40"/>
    </row>
    <row r="1561">
      <c r="D1561" s="40"/>
      <c r="E1561" s="40"/>
      <c r="F1561" s="41"/>
      <c r="G1561" s="40"/>
      <c r="H1561" s="40"/>
      <c r="I1561" s="40"/>
    </row>
    <row r="1562">
      <c r="D1562" s="40"/>
      <c r="E1562" s="40"/>
      <c r="F1562" s="41"/>
      <c r="G1562" s="40"/>
      <c r="H1562" s="40"/>
      <c r="I1562" s="40"/>
    </row>
    <row r="1563">
      <c r="D1563" s="40"/>
      <c r="E1563" s="40"/>
      <c r="F1563" s="41"/>
      <c r="G1563" s="40"/>
      <c r="H1563" s="40"/>
      <c r="I1563" s="40"/>
    </row>
    <row r="1564">
      <c r="D1564" s="40"/>
      <c r="E1564" s="40"/>
      <c r="F1564" s="41"/>
      <c r="G1564" s="40"/>
      <c r="H1564" s="40"/>
      <c r="I1564" s="40"/>
    </row>
    <row r="1565">
      <c r="D1565" s="40"/>
      <c r="E1565" s="40"/>
      <c r="F1565" s="41"/>
      <c r="G1565" s="40"/>
      <c r="H1565" s="40"/>
      <c r="I1565" s="40"/>
    </row>
    <row r="1566">
      <c r="D1566" s="40"/>
      <c r="E1566" s="40"/>
      <c r="F1566" s="41"/>
      <c r="G1566" s="40"/>
      <c r="H1566" s="40"/>
      <c r="I1566" s="40"/>
    </row>
    <row r="1567">
      <c r="D1567" s="40"/>
      <c r="E1567" s="40"/>
      <c r="F1567" s="41"/>
      <c r="G1567" s="40"/>
      <c r="H1567" s="40"/>
      <c r="I1567" s="40"/>
    </row>
    <row r="1568">
      <c r="D1568" s="40"/>
      <c r="E1568" s="40"/>
      <c r="F1568" s="41"/>
      <c r="G1568" s="40"/>
      <c r="H1568" s="40"/>
      <c r="I1568" s="40"/>
    </row>
    <row r="1569">
      <c r="D1569" s="40"/>
      <c r="E1569" s="40"/>
      <c r="F1569" s="41"/>
      <c r="G1569" s="40"/>
      <c r="H1569" s="40"/>
      <c r="I1569" s="40"/>
    </row>
    <row r="1570">
      <c r="D1570" s="40"/>
      <c r="E1570" s="40"/>
      <c r="F1570" s="41"/>
      <c r="G1570" s="40"/>
      <c r="H1570" s="40"/>
      <c r="I1570" s="40"/>
    </row>
    <row r="1571">
      <c r="D1571" s="40"/>
      <c r="E1571" s="40"/>
      <c r="F1571" s="41"/>
      <c r="G1571" s="40"/>
      <c r="H1571" s="40"/>
      <c r="I1571" s="40"/>
    </row>
    <row r="1572">
      <c r="D1572" s="40"/>
      <c r="E1572" s="40"/>
      <c r="F1572" s="41"/>
      <c r="G1572" s="40"/>
      <c r="H1572" s="40"/>
      <c r="I1572" s="40"/>
    </row>
    <row r="1573">
      <c r="D1573" s="40"/>
      <c r="E1573" s="40"/>
      <c r="F1573" s="41"/>
      <c r="G1573" s="40"/>
      <c r="H1573" s="40"/>
      <c r="I1573" s="40"/>
    </row>
    <row r="1574">
      <c r="D1574" s="40"/>
      <c r="E1574" s="40"/>
      <c r="F1574" s="41"/>
      <c r="G1574" s="40"/>
      <c r="H1574" s="40"/>
      <c r="I1574" s="40"/>
    </row>
    <row r="1575">
      <c r="D1575" s="40"/>
      <c r="E1575" s="40"/>
      <c r="F1575" s="41"/>
      <c r="G1575" s="40"/>
      <c r="H1575" s="40"/>
      <c r="I1575" s="40"/>
    </row>
    <row r="1576">
      <c r="D1576" s="40"/>
      <c r="E1576" s="40"/>
      <c r="F1576" s="41"/>
      <c r="G1576" s="40"/>
      <c r="H1576" s="40"/>
      <c r="I1576" s="40"/>
    </row>
    <row r="1577">
      <c r="D1577" s="40"/>
      <c r="E1577" s="40"/>
      <c r="F1577" s="41"/>
      <c r="G1577" s="40"/>
      <c r="H1577" s="40"/>
      <c r="I1577" s="40"/>
    </row>
    <row r="1578">
      <c r="D1578" s="40"/>
      <c r="E1578" s="40"/>
      <c r="F1578" s="41"/>
      <c r="G1578" s="40"/>
      <c r="H1578" s="40"/>
      <c r="I1578" s="40"/>
    </row>
    <row r="1579">
      <c r="D1579" s="40"/>
      <c r="E1579" s="40"/>
      <c r="F1579" s="41"/>
      <c r="G1579" s="40"/>
      <c r="H1579" s="40"/>
      <c r="I1579" s="40"/>
    </row>
    <row r="1580">
      <c r="D1580" s="40"/>
      <c r="E1580" s="40"/>
      <c r="F1580" s="41"/>
      <c r="G1580" s="40"/>
      <c r="H1580" s="40"/>
      <c r="I1580" s="40"/>
    </row>
    <row r="1581">
      <c r="D1581" s="40"/>
      <c r="E1581" s="40"/>
      <c r="F1581" s="41"/>
      <c r="G1581" s="40"/>
      <c r="H1581" s="40"/>
      <c r="I1581" s="40"/>
    </row>
    <row r="1582">
      <c r="D1582" s="40"/>
      <c r="E1582" s="40"/>
      <c r="F1582" s="41"/>
      <c r="G1582" s="40"/>
      <c r="H1582" s="40"/>
      <c r="I1582" s="40"/>
    </row>
    <row r="1583">
      <c r="D1583" s="40"/>
      <c r="E1583" s="40"/>
      <c r="F1583" s="41"/>
      <c r="G1583" s="40"/>
      <c r="H1583" s="40"/>
      <c r="I1583" s="40"/>
    </row>
    <row r="1584">
      <c r="D1584" s="40"/>
      <c r="E1584" s="40"/>
      <c r="F1584" s="41"/>
      <c r="G1584" s="40"/>
      <c r="H1584" s="40"/>
      <c r="I1584" s="40"/>
    </row>
    <row r="1585">
      <c r="D1585" s="40"/>
      <c r="E1585" s="40"/>
      <c r="F1585" s="41"/>
      <c r="G1585" s="40"/>
      <c r="H1585" s="40"/>
      <c r="I1585" s="40"/>
    </row>
    <row r="1586">
      <c r="D1586" s="40"/>
      <c r="E1586" s="40"/>
      <c r="F1586" s="41"/>
      <c r="G1586" s="40"/>
      <c r="H1586" s="40"/>
      <c r="I1586" s="40"/>
    </row>
    <row r="1587">
      <c r="D1587" s="40"/>
      <c r="E1587" s="40"/>
      <c r="F1587" s="41"/>
      <c r="G1587" s="40"/>
      <c r="H1587" s="40"/>
      <c r="I1587" s="40"/>
    </row>
    <row r="1588">
      <c r="D1588" s="40"/>
      <c r="E1588" s="40"/>
      <c r="F1588" s="41"/>
      <c r="G1588" s="40"/>
      <c r="H1588" s="40"/>
      <c r="I1588" s="40"/>
    </row>
    <row r="1589">
      <c r="D1589" s="40"/>
      <c r="E1589" s="40"/>
      <c r="F1589" s="41"/>
      <c r="G1589" s="40"/>
      <c r="H1589" s="40"/>
      <c r="I1589" s="40"/>
    </row>
    <row r="1590">
      <c r="D1590" s="40"/>
      <c r="E1590" s="40"/>
      <c r="F1590" s="41"/>
      <c r="G1590" s="40"/>
      <c r="H1590" s="40"/>
      <c r="I1590" s="40"/>
    </row>
    <row r="1591">
      <c r="D1591" s="40"/>
      <c r="E1591" s="40"/>
      <c r="F1591" s="41"/>
      <c r="G1591" s="40"/>
      <c r="H1591" s="40"/>
      <c r="I1591" s="40"/>
    </row>
    <row r="1592">
      <c r="D1592" s="40"/>
      <c r="E1592" s="40"/>
      <c r="F1592" s="41"/>
      <c r="G1592" s="40"/>
      <c r="H1592" s="40"/>
      <c r="I1592" s="40"/>
    </row>
    <row r="1593">
      <c r="D1593" s="40"/>
      <c r="E1593" s="40"/>
      <c r="F1593" s="41"/>
      <c r="G1593" s="40"/>
      <c r="H1593" s="40"/>
      <c r="I1593" s="40"/>
    </row>
    <row r="1594">
      <c r="D1594" s="40"/>
      <c r="E1594" s="40"/>
      <c r="F1594" s="41"/>
      <c r="G1594" s="40"/>
      <c r="H1594" s="40"/>
      <c r="I1594" s="40"/>
    </row>
    <row r="1595">
      <c r="D1595" s="40"/>
      <c r="E1595" s="40"/>
      <c r="F1595" s="41"/>
      <c r="G1595" s="40"/>
      <c r="H1595" s="40"/>
      <c r="I1595" s="40"/>
    </row>
    <row r="1596">
      <c r="D1596" s="40"/>
      <c r="E1596" s="40"/>
      <c r="F1596" s="41"/>
      <c r="G1596" s="40"/>
      <c r="H1596" s="40"/>
      <c r="I1596" s="40"/>
    </row>
    <row r="1597">
      <c r="D1597" s="40"/>
      <c r="E1597" s="40"/>
      <c r="F1597" s="41"/>
      <c r="G1597" s="40"/>
      <c r="H1597" s="40"/>
      <c r="I1597" s="40"/>
    </row>
    <row r="1598">
      <c r="D1598" s="40"/>
      <c r="E1598" s="40"/>
      <c r="F1598" s="41"/>
      <c r="G1598" s="40"/>
      <c r="H1598" s="40"/>
      <c r="I1598" s="40"/>
    </row>
    <row r="1599">
      <c r="D1599" s="40"/>
      <c r="E1599" s="40"/>
      <c r="F1599" s="41"/>
      <c r="G1599" s="40"/>
      <c r="H1599" s="40"/>
      <c r="I1599" s="40"/>
    </row>
    <row r="1600">
      <c r="D1600" s="81"/>
      <c r="E1600" s="81"/>
      <c r="F1600" s="555"/>
      <c r="G1600" s="81"/>
      <c r="H1600" s="81"/>
      <c r="I1600" s="81"/>
    </row>
    <row r="1601">
      <c r="D1601" s="81"/>
      <c r="E1601" s="81"/>
      <c r="F1601" s="555"/>
      <c r="G1601" s="81"/>
      <c r="H1601" s="81"/>
      <c r="I1601" s="81"/>
    </row>
    <row r="1602">
      <c r="D1602" s="81"/>
      <c r="E1602" s="81"/>
      <c r="F1602" s="555"/>
      <c r="G1602" s="81"/>
      <c r="H1602" s="81"/>
      <c r="I1602" s="81"/>
    </row>
    <row r="1603">
      <c r="D1603" s="81"/>
      <c r="E1603" s="81"/>
      <c r="F1603" s="555"/>
      <c r="G1603" s="81"/>
      <c r="H1603" s="81"/>
      <c r="I1603" s="81"/>
    </row>
    <row r="1604">
      <c r="D1604" s="81"/>
      <c r="E1604" s="81"/>
      <c r="F1604" s="555"/>
      <c r="G1604" s="81"/>
      <c r="H1604" s="81"/>
      <c r="I1604" s="81"/>
    </row>
    <row r="1605">
      <c r="D1605" s="81"/>
      <c r="E1605" s="81"/>
      <c r="F1605" s="555"/>
      <c r="G1605" s="81"/>
      <c r="H1605" s="81"/>
      <c r="I1605" s="81"/>
    </row>
    <row r="1606">
      <c r="D1606" s="81"/>
      <c r="E1606" s="81"/>
      <c r="F1606" s="555"/>
      <c r="G1606" s="81"/>
      <c r="H1606" s="81"/>
      <c r="I1606" s="81"/>
    </row>
    <row r="1607">
      <c r="D1607" s="81"/>
      <c r="E1607" s="81"/>
      <c r="F1607" s="555"/>
      <c r="G1607" s="81"/>
      <c r="H1607" s="81"/>
      <c r="I1607" s="81"/>
    </row>
    <row r="1608">
      <c r="D1608" s="81"/>
      <c r="E1608" s="81"/>
      <c r="F1608" s="555"/>
      <c r="G1608" s="81"/>
      <c r="H1608" s="81"/>
      <c r="I1608" s="81"/>
    </row>
    <row r="1609">
      <c r="D1609" s="81"/>
      <c r="E1609" s="81"/>
      <c r="F1609" s="555"/>
      <c r="G1609" s="81"/>
      <c r="H1609" s="81"/>
      <c r="I1609" s="81"/>
    </row>
    <row r="1610">
      <c r="D1610" s="81"/>
      <c r="E1610" s="81"/>
      <c r="F1610" s="555"/>
      <c r="G1610" s="81"/>
      <c r="H1610" s="81"/>
      <c r="I1610" s="81"/>
    </row>
    <row r="1611">
      <c r="D1611" s="81"/>
      <c r="E1611" s="81"/>
      <c r="F1611" s="555"/>
      <c r="G1611" s="81"/>
      <c r="H1611" s="81"/>
      <c r="I1611" s="81"/>
    </row>
    <row r="1612">
      <c r="D1612" s="81"/>
      <c r="E1612" s="81"/>
      <c r="F1612" s="555"/>
      <c r="G1612" s="81"/>
      <c r="H1612" s="81"/>
      <c r="I1612" s="81"/>
    </row>
    <row r="1613">
      <c r="D1613" s="81"/>
      <c r="E1613" s="81"/>
      <c r="F1613" s="555"/>
      <c r="G1613" s="81"/>
      <c r="H1613" s="81"/>
      <c r="I1613" s="81"/>
    </row>
    <row r="1614">
      <c r="D1614" s="81"/>
      <c r="E1614" s="81"/>
      <c r="F1614" s="555"/>
      <c r="G1614" s="81"/>
      <c r="H1614" s="81"/>
      <c r="I1614" s="81"/>
    </row>
    <row r="1615">
      <c r="D1615" s="81"/>
      <c r="E1615" s="81"/>
      <c r="F1615" s="555"/>
      <c r="G1615" s="81"/>
      <c r="H1615" s="81"/>
      <c r="I1615" s="81"/>
    </row>
    <row r="1616">
      <c r="D1616" s="81"/>
      <c r="E1616" s="81"/>
      <c r="F1616" s="555"/>
      <c r="G1616" s="81"/>
      <c r="H1616" s="81"/>
      <c r="I1616" s="81"/>
    </row>
    <row r="1617">
      <c r="D1617" s="81"/>
      <c r="E1617" s="81"/>
      <c r="F1617" s="555"/>
      <c r="G1617" s="81"/>
      <c r="H1617" s="81"/>
      <c r="I1617" s="81"/>
    </row>
    <row r="1618">
      <c r="D1618" s="81"/>
      <c r="E1618" s="81"/>
      <c r="F1618" s="555"/>
      <c r="G1618" s="81"/>
      <c r="H1618" s="81"/>
      <c r="I1618" s="81"/>
    </row>
    <row r="1619">
      <c r="D1619" s="81"/>
      <c r="E1619" s="81"/>
      <c r="F1619" s="555"/>
      <c r="G1619" s="81"/>
      <c r="H1619" s="81"/>
      <c r="I1619" s="81"/>
    </row>
    <row r="1620">
      <c r="D1620" s="81"/>
      <c r="E1620" s="81"/>
      <c r="F1620" s="555"/>
      <c r="G1620" s="81"/>
      <c r="H1620" s="81"/>
      <c r="I1620" s="81"/>
    </row>
    <row r="1621">
      <c r="D1621" s="81"/>
      <c r="E1621" s="81"/>
      <c r="F1621" s="555"/>
      <c r="G1621" s="81"/>
      <c r="H1621" s="81"/>
      <c r="I1621" s="81"/>
    </row>
    <row r="1622">
      <c r="D1622" s="81"/>
      <c r="E1622" s="81"/>
      <c r="F1622" s="555"/>
      <c r="G1622" s="81"/>
      <c r="H1622" s="81"/>
      <c r="I1622" s="81"/>
    </row>
    <row r="1623">
      <c r="D1623" s="81"/>
      <c r="E1623" s="81"/>
      <c r="F1623" s="555"/>
      <c r="G1623" s="81"/>
      <c r="H1623" s="81"/>
      <c r="I1623" s="81"/>
    </row>
    <row r="1624">
      <c r="D1624" s="81"/>
      <c r="E1624" s="81"/>
      <c r="F1624" s="555"/>
      <c r="G1624" s="81"/>
      <c r="H1624" s="81"/>
      <c r="I1624" s="81"/>
    </row>
    <row r="1625">
      <c r="D1625" s="81"/>
      <c r="E1625" s="81"/>
      <c r="F1625" s="555"/>
      <c r="G1625" s="81"/>
      <c r="H1625" s="81"/>
      <c r="I1625" s="81"/>
    </row>
    <row r="1626">
      <c r="D1626" s="81"/>
      <c r="E1626" s="81"/>
      <c r="F1626" s="555"/>
      <c r="G1626" s="81"/>
      <c r="H1626" s="81"/>
      <c r="I1626" s="81"/>
    </row>
    <row r="1627">
      <c r="D1627" s="81"/>
      <c r="E1627" s="81"/>
      <c r="F1627" s="555"/>
      <c r="G1627" s="81"/>
      <c r="H1627" s="81"/>
      <c r="I1627" s="81"/>
    </row>
    <row r="1628">
      <c r="D1628" s="81"/>
      <c r="E1628" s="81"/>
      <c r="F1628" s="555"/>
      <c r="G1628" s="81"/>
      <c r="H1628" s="81"/>
      <c r="I1628" s="81"/>
    </row>
    <row r="1629">
      <c r="D1629" s="81"/>
      <c r="E1629" s="81"/>
      <c r="F1629" s="555"/>
      <c r="G1629" s="81"/>
      <c r="H1629" s="81"/>
      <c r="I1629" s="81"/>
    </row>
    <row r="1630">
      <c r="D1630" s="81"/>
      <c r="E1630" s="81"/>
      <c r="F1630" s="555"/>
      <c r="G1630" s="81"/>
      <c r="H1630" s="81"/>
      <c r="I1630" s="81"/>
    </row>
    <row r="1631">
      <c r="D1631" s="81"/>
      <c r="E1631" s="81"/>
      <c r="F1631" s="555"/>
      <c r="G1631" s="81"/>
      <c r="H1631" s="81"/>
      <c r="I1631" s="81"/>
    </row>
    <row r="1632">
      <c r="D1632" s="81"/>
      <c r="E1632" s="81"/>
      <c r="F1632" s="555"/>
      <c r="G1632" s="81"/>
      <c r="H1632" s="81"/>
      <c r="I1632" s="81"/>
    </row>
    <row r="1633">
      <c r="D1633" s="81"/>
      <c r="E1633" s="81"/>
      <c r="F1633" s="555"/>
      <c r="G1633" s="81"/>
      <c r="H1633" s="81"/>
      <c r="I1633" s="81"/>
    </row>
    <row r="1634">
      <c r="D1634" s="81"/>
      <c r="E1634" s="81"/>
      <c r="F1634" s="555"/>
      <c r="G1634" s="81"/>
      <c r="H1634" s="81"/>
      <c r="I1634" s="81"/>
    </row>
    <row r="1635">
      <c r="D1635" s="81"/>
      <c r="E1635" s="81"/>
      <c r="F1635" s="555"/>
      <c r="G1635" s="81"/>
      <c r="H1635" s="81"/>
      <c r="I1635" s="81"/>
    </row>
    <row r="1636">
      <c r="D1636" s="81"/>
      <c r="E1636" s="81"/>
      <c r="F1636" s="555"/>
      <c r="G1636" s="81"/>
      <c r="H1636" s="81"/>
      <c r="I1636" s="81"/>
    </row>
    <row r="1637">
      <c r="D1637" s="81"/>
      <c r="E1637" s="81"/>
      <c r="F1637" s="555"/>
      <c r="G1637" s="81"/>
      <c r="H1637" s="81"/>
      <c r="I1637" s="81"/>
    </row>
    <row r="1638">
      <c r="D1638" s="81"/>
      <c r="E1638" s="81"/>
      <c r="F1638" s="555"/>
      <c r="G1638" s="81"/>
      <c r="H1638" s="81"/>
      <c r="I1638" s="81"/>
    </row>
    <row r="1639">
      <c r="D1639" s="81"/>
      <c r="E1639" s="81"/>
      <c r="F1639" s="555"/>
      <c r="G1639" s="81"/>
      <c r="H1639" s="81"/>
      <c r="I1639" s="81"/>
    </row>
    <row r="1640">
      <c r="D1640" s="81"/>
      <c r="E1640" s="81"/>
      <c r="F1640" s="555"/>
      <c r="G1640" s="81"/>
      <c r="H1640" s="81"/>
      <c r="I1640" s="81"/>
    </row>
    <row r="1641">
      <c r="D1641" s="81"/>
      <c r="E1641" s="81"/>
      <c r="F1641" s="555"/>
      <c r="G1641" s="81"/>
      <c r="H1641" s="81"/>
      <c r="I1641" s="81"/>
    </row>
    <row r="1642">
      <c r="D1642" s="81"/>
      <c r="E1642" s="81"/>
      <c r="F1642" s="555"/>
      <c r="G1642" s="81"/>
      <c r="H1642" s="81"/>
      <c r="I1642" s="81"/>
    </row>
    <row r="1643">
      <c r="D1643" s="81"/>
      <c r="E1643" s="81"/>
      <c r="F1643" s="555"/>
      <c r="G1643" s="81"/>
      <c r="H1643" s="81"/>
      <c r="I1643" s="81"/>
    </row>
    <row r="1644">
      <c r="D1644" s="81"/>
      <c r="E1644" s="81"/>
      <c r="F1644" s="555"/>
      <c r="G1644" s="81"/>
      <c r="H1644" s="81"/>
      <c r="I1644" s="81"/>
    </row>
    <row r="1645">
      <c r="D1645" s="81"/>
      <c r="E1645" s="81"/>
      <c r="F1645" s="555"/>
      <c r="G1645" s="81"/>
      <c r="H1645" s="81"/>
      <c r="I1645" s="81"/>
    </row>
    <row r="1646">
      <c r="D1646" s="81"/>
      <c r="E1646" s="81"/>
      <c r="F1646" s="555"/>
      <c r="G1646" s="81"/>
      <c r="H1646" s="81"/>
      <c r="I1646" s="81"/>
    </row>
    <row r="1647">
      <c r="D1647" s="81"/>
      <c r="E1647" s="81"/>
      <c r="F1647" s="555"/>
      <c r="G1647" s="81"/>
      <c r="H1647" s="81"/>
      <c r="I1647" s="81"/>
    </row>
    <row r="1648">
      <c r="D1648" s="81"/>
      <c r="E1648" s="81"/>
      <c r="F1648" s="555"/>
      <c r="G1648" s="81"/>
      <c r="H1648" s="81"/>
      <c r="I1648" s="81"/>
    </row>
    <row r="1649">
      <c r="D1649" s="81"/>
      <c r="E1649" s="81"/>
      <c r="F1649" s="555"/>
      <c r="G1649" s="81"/>
      <c r="H1649" s="81"/>
      <c r="I1649" s="81"/>
    </row>
    <row r="1650">
      <c r="D1650" s="81"/>
      <c r="E1650" s="81"/>
      <c r="F1650" s="555"/>
      <c r="G1650" s="81"/>
      <c r="H1650" s="81"/>
      <c r="I1650" s="81"/>
    </row>
    <row r="1651">
      <c r="D1651" s="81"/>
      <c r="E1651" s="81"/>
      <c r="F1651" s="555"/>
      <c r="G1651" s="81"/>
      <c r="H1651" s="81"/>
      <c r="I1651" s="81"/>
    </row>
    <row r="1652">
      <c r="D1652" s="81"/>
      <c r="E1652" s="81"/>
      <c r="F1652" s="555"/>
      <c r="G1652" s="81"/>
      <c r="H1652" s="81"/>
      <c r="I1652" s="81"/>
    </row>
    <row r="1653">
      <c r="D1653" s="81"/>
      <c r="E1653" s="81"/>
      <c r="F1653" s="555"/>
      <c r="G1653" s="81"/>
      <c r="H1653" s="81"/>
      <c r="I1653" s="81"/>
    </row>
    <row r="1654">
      <c r="D1654" s="81"/>
      <c r="E1654" s="81"/>
      <c r="F1654" s="555"/>
      <c r="G1654" s="81"/>
      <c r="H1654" s="81"/>
      <c r="I1654" s="81"/>
    </row>
    <row r="1655">
      <c r="D1655" s="81"/>
      <c r="E1655" s="81"/>
      <c r="F1655" s="555"/>
      <c r="G1655" s="81"/>
      <c r="H1655" s="81"/>
      <c r="I1655" s="81"/>
    </row>
    <row r="1656">
      <c r="D1656" s="81"/>
      <c r="E1656" s="81"/>
      <c r="F1656" s="555"/>
      <c r="G1656" s="81"/>
      <c r="H1656" s="81"/>
      <c r="I1656" s="81"/>
    </row>
    <row r="1657">
      <c r="D1657" s="81"/>
      <c r="E1657" s="81"/>
      <c r="F1657" s="555"/>
      <c r="G1657" s="81"/>
      <c r="H1657" s="81"/>
      <c r="I1657" s="81"/>
    </row>
    <row r="1658">
      <c r="D1658" s="81"/>
      <c r="E1658" s="81"/>
      <c r="F1658" s="555"/>
      <c r="G1658" s="81"/>
      <c r="H1658" s="81"/>
      <c r="I1658" s="81"/>
    </row>
    <row r="1659">
      <c r="D1659" s="81"/>
      <c r="E1659" s="81"/>
      <c r="F1659" s="555"/>
      <c r="G1659" s="81"/>
      <c r="H1659" s="81"/>
      <c r="I1659" s="81"/>
    </row>
    <row r="1660">
      <c r="D1660" s="81"/>
      <c r="E1660" s="81"/>
      <c r="F1660" s="555"/>
      <c r="G1660" s="81"/>
      <c r="H1660" s="81"/>
      <c r="I1660" s="81"/>
    </row>
    <row r="1661">
      <c r="D1661" s="81"/>
      <c r="E1661" s="81"/>
      <c r="F1661" s="555"/>
      <c r="G1661" s="81"/>
      <c r="H1661" s="81"/>
      <c r="I1661" s="81"/>
    </row>
    <row r="1662">
      <c r="D1662" s="81"/>
      <c r="E1662" s="81"/>
      <c r="F1662" s="555"/>
      <c r="G1662" s="81"/>
      <c r="H1662" s="81"/>
      <c r="I1662" s="81"/>
    </row>
    <row r="1663">
      <c r="D1663" s="81"/>
      <c r="E1663" s="81"/>
      <c r="F1663" s="555"/>
      <c r="G1663" s="81"/>
      <c r="H1663" s="81"/>
      <c r="I1663" s="81"/>
    </row>
    <row r="1664">
      <c r="D1664" s="81"/>
      <c r="E1664" s="81"/>
      <c r="F1664" s="555"/>
      <c r="G1664" s="81"/>
      <c r="H1664" s="81"/>
      <c r="I1664" s="81"/>
    </row>
    <row r="1665">
      <c r="D1665" s="81"/>
      <c r="E1665" s="81"/>
      <c r="F1665" s="555"/>
      <c r="G1665" s="81"/>
      <c r="H1665" s="81"/>
      <c r="I1665" s="81"/>
    </row>
    <row r="1666">
      <c r="D1666" s="81"/>
      <c r="E1666" s="81"/>
      <c r="F1666" s="555"/>
      <c r="G1666" s="81"/>
      <c r="H1666" s="81"/>
      <c r="I1666" s="81"/>
    </row>
    <row r="1667">
      <c r="D1667" s="81"/>
      <c r="E1667" s="81"/>
      <c r="F1667" s="555"/>
      <c r="G1667" s="81"/>
      <c r="H1667" s="81"/>
      <c r="I1667" s="81"/>
    </row>
    <row r="1668">
      <c r="D1668" s="81"/>
      <c r="E1668" s="81"/>
      <c r="F1668" s="555"/>
      <c r="G1668" s="81"/>
      <c r="H1668" s="81"/>
      <c r="I1668" s="81"/>
    </row>
    <row r="1669">
      <c r="D1669" s="81"/>
      <c r="E1669" s="81"/>
      <c r="F1669" s="555"/>
      <c r="G1669" s="81"/>
      <c r="H1669" s="81"/>
      <c r="I1669" s="81"/>
    </row>
    <row r="1670">
      <c r="D1670" s="81"/>
      <c r="E1670" s="81"/>
      <c r="F1670" s="555"/>
      <c r="G1670" s="81"/>
      <c r="H1670" s="81"/>
      <c r="I1670" s="81"/>
    </row>
    <row r="1671">
      <c r="D1671" s="81"/>
      <c r="E1671" s="81"/>
      <c r="F1671" s="555"/>
      <c r="G1671" s="81"/>
      <c r="H1671" s="81"/>
      <c r="I1671" s="81"/>
    </row>
    <row r="1672">
      <c r="D1672" s="81"/>
      <c r="E1672" s="81"/>
      <c r="F1672" s="555"/>
      <c r="G1672" s="81"/>
      <c r="H1672" s="81"/>
      <c r="I1672" s="81"/>
    </row>
    <row r="1673">
      <c r="D1673" s="81"/>
      <c r="E1673" s="81"/>
      <c r="F1673" s="555"/>
      <c r="G1673" s="81"/>
      <c r="H1673" s="81"/>
      <c r="I1673" s="81"/>
    </row>
    <row r="1674">
      <c r="D1674" s="81"/>
      <c r="E1674" s="81"/>
      <c r="F1674" s="555"/>
      <c r="G1674" s="81"/>
      <c r="H1674" s="81"/>
      <c r="I1674" s="81"/>
    </row>
    <row r="1675">
      <c r="D1675" s="81"/>
      <c r="E1675" s="81"/>
      <c r="F1675" s="555"/>
      <c r="G1675" s="81"/>
      <c r="H1675" s="81"/>
      <c r="I1675" s="81"/>
    </row>
    <row r="1676">
      <c r="D1676" s="81"/>
      <c r="E1676" s="81"/>
      <c r="F1676" s="555"/>
      <c r="G1676" s="81"/>
      <c r="H1676" s="81"/>
      <c r="I1676" s="81"/>
    </row>
    <row r="1677">
      <c r="D1677" s="81"/>
      <c r="E1677" s="81"/>
      <c r="F1677" s="555"/>
      <c r="G1677" s="81"/>
      <c r="H1677" s="81"/>
      <c r="I1677" s="81"/>
    </row>
    <row r="1678">
      <c r="D1678" s="81"/>
      <c r="E1678" s="81"/>
      <c r="F1678" s="555"/>
      <c r="G1678" s="81"/>
      <c r="H1678" s="81"/>
      <c r="I1678" s="81"/>
    </row>
    <row r="1679">
      <c r="D1679" s="81"/>
      <c r="E1679" s="81"/>
      <c r="F1679" s="555"/>
      <c r="G1679" s="81"/>
      <c r="H1679" s="81"/>
      <c r="I1679" s="81"/>
    </row>
    <row r="1680">
      <c r="D1680" s="81"/>
      <c r="E1680" s="81"/>
      <c r="F1680" s="555"/>
      <c r="G1680" s="81"/>
      <c r="H1680" s="81"/>
      <c r="I1680" s="81"/>
    </row>
    <row r="1681">
      <c r="D1681" s="81"/>
      <c r="E1681" s="81"/>
      <c r="F1681" s="555"/>
      <c r="G1681" s="81"/>
      <c r="H1681" s="81"/>
      <c r="I1681" s="81"/>
    </row>
    <row r="1682">
      <c r="D1682" s="81"/>
      <c r="E1682" s="81"/>
      <c r="F1682" s="555"/>
      <c r="G1682" s="81"/>
      <c r="H1682" s="81"/>
      <c r="I1682" s="81"/>
    </row>
    <row r="1683">
      <c r="D1683" s="81"/>
      <c r="E1683" s="81"/>
      <c r="F1683" s="555"/>
      <c r="G1683" s="81"/>
      <c r="H1683" s="81"/>
      <c r="I1683" s="81"/>
    </row>
    <row r="1684">
      <c r="D1684" s="81"/>
      <c r="E1684" s="81"/>
      <c r="F1684" s="555"/>
      <c r="G1684" s="81"/>
      <c r="H1684" s="81"/>
      <c r="I1684" s="81"/>
    </row>
    <row r="1685">
      <c r="D1685" s="81"/>
      <c r="E1685" s="81"/>
      <c r="F1685" s="555"/>
      <c r="G1685" s="81"/>
      <c r="H1685" s="81"/>
      <c r="I1685" s="81"/>
    </row>
    <row r="1686">
      <c r="D1686" s="81"/>
      <c r="E1686" s="81"/>
      <c r="F1686" s="555"/>
      <c r="G1686" s="81"/>
      <c r="H1686" s="81"/>
      <c r="I1686" s="81"/>
    </row>
    <row r="1687">
      <c r="D1687" s="81"/>
      <c r="E1687" s="81"/>
      <c r="F1687" s="555"/>
      <c r="G1687" s="81"/>
      <c r="H1687" s="81"/>
      <c r="I1687" s="81"/>
    </row>
    <row r="1688">
      <c r="D1688" s="81"/>
      <c r="E1688" s="81"/>
      <c r="F1688" s="555"/>
      <c r="G1688" s="81"/>
      <c r="H1688" s="81"/>
      <c r="I1688" s="81"/>
    </row>
    <row r="1689">
      <c r="D1689" s="81"/>
      <c r="E1689" s="81"/>
      <c r="F1689" s="555"/>
      <c r="G1689" s="81"/>
      <c r="H1689" s="81"/>
      <c r="I1689" s="81"/>
    </row>
    <row r="1690">
      <c r="D1690" s="81"/>
      <c r="E1690" s="81"/>
      <c r="F1690" s="555"/>
      <c r="G1690" s="81"/>
      <c r="H1690" s="81"/>
      <c r="I1690" s="81"/>
    </row>
    <row r="1691">
      <c r="D1691" s="81"/>
      <c r="E1691" s="81"/>
      <c r="F1691" s="555"/>
      <c r="G1691" s="81"/>
      <c r="H1691" s="81"/>
      <c r="I1691" s="81"/>
    </row>
    <row r="1692">
      <c r="D1692" s="81"/>
      <c r="E1692" s="81"/>
      <c r="F1692" s="555"/>
      <c r="G1692" s="81"/>
      <c r="H1692" s="81"/>
      <c r="I1692" s="81"/>
    </row>
    <row r="1693">
      <c r="D1693" s="81"/>
      <c r="E1693" s="81"/>
      <c r="F1693" s="555"/>
      <c r="G1693" s="81"/>
      <c r="H1693" s="81"/>
      <c r="I1693" s="81"/>
    </row>
    <row r="1694">
      <c r="D1694" s="81"/>
      <c r="E1694" s="81"/>
      <c r="F1694" s="555"/>
      <c r="G1694" s="81"/>
      <c r="H1694" s="81"/>
      <c r="I1694" s="81"/>
    </row>
    <row r="1695">
      <c r="D1695" s="81"/>
      <c r="E1695" s="81"/>
      <c r="F1695" s="555"/>
      <c r="G1695" s="81"/>
      <c r="H1695" s="81"/>
      <c r="I1695" s="81"/>
    </row>
    <row r="1696">
      <c r="D1696" s="81"/>
      <c r="E1696" s="81"/>
      <c r="F1696" s="555"/>
      <c r="G1696" s="81"/>
      <c r="H1696" s="81"/>
      <c r="I1696" s="81"/>
    </row>
    <row r="1697">
      <c r="D1697" s="81"/>
      <c r="E1697" s="81"/>
      <c r="F1697" s="555"/>
      <c r="G1697" s="81"/>
      <c r="H1697" s="81"/>
      <c r="I1697" s="81"/>
    </row>
    <row r="1698">
      <c r="D1698" s="81"/>
      <c r="E1698" s="81"/>
      <c r="F1698" s="555"/>
      <c r="G1698" s="81"/>
      <c r="H1698" s="81"/>
      <c r="I1698" s="81"/>
    </row>
    <row r="1699">
      <c r="D1699" s="81"/>
      <c r="E1699" s="81"/>
      <c r="F1699" s="555"/>
      <c r="G1699" s="81"/>
      <c r="H1699" s="81"/>
      <c r="I1699" s="81"/>
    </row>
    <row r="1700">
      <c r="D1700" s="81"/>
      <c r="E1700" s="81"/>
      <c r="F1700" s="555"/>
      <c r="G1700" s="81"/>
      <c r="H1700" s="81"/>
      <c r="I1700" s="81"/>
    </row>
    <row r="1701">
      <c r="D1701" s="81"/>
      <c r="E1701" s="81"/>
      <c r="F1701" s="555"/>
      <c r="G1701" s="81"/>
      <c r="H1701" s="81"/>
      <c r="I1701" s="81"/>
    </row>
    <row r="1702">
      <c r="D1702" s="81"/>
      <c r="E1702" s="81"/>
      <c r="F1702" s="555"/>
      <c r="G1702" s="81"/>
      <c r="H1702" s="81"/>
      <c r="I1702" s="81"/>
    </row>
    <row r="1703">
      <c r="D1703" s="81"/>
      <c r="E1703" s="81"/>
      <c r="F1703" s="555"/>
      <c r="G1703" s="81"/>
      <c r="H1703" s="81"/>
      <c r="I1703" s="81"/>
    </row>
    <row r="1704">
      <c r="D1704" s="81"/>
      <c r="E1704" s="81"/>
      <c r="F1704" s="555"/>
      <c r="G1704" s="81"/>
      <c r="H1704" s="81"/>
      <c r="I1704" s="81"/>
    </row>
    <row r="1705">
      <c r="D1705" s="81"/>
      <c r="E1705" s="81"/>
      <c r="F1705" s="555"/>
      <c r="G1705" s="81"/>
      <c r="H1705" s="81"/>
      <c r="I1705" s="81"/>
    </row>
    <row r="1706">
      <c r="D1706" s="81"/>
      <c r="E1706" s="81"/>
      <c r="F1706" s="555"/>
      <c r="G1706" s="81"/>
      <c r="H1706" s="81"/>
      <c r="I1706" s="81"/>
    </row>
    <row r="1707">
      <c r="D1707" s="81"/>
      <c r="E1707" s="81"/>
      <c r="F1707" s="555"/>
      <c r="G1707" s="81"/>
      <c r="H1707" s="81"/>
      <c r="I1707" s="81"/>
    </row>
    <row r="1708">
      <c r="D1708" s="81"/>
      <c r="E1708" s="81"/>
      <c r="F1708" s="555"/>
      <c r="G1708" s="81"/>
      <c r="H1708" s="81"/>
      <c r="I1708" s="81"/>
    </row>
    <row r="1709">
      <c r="D1709" s="81"/>
      <c r="E1709" s="81"/>
      <c r="F1709" s="555"/>
      <c r="G1709" s="81"/>
      <c r="H1709" s="81"/>
      <c r="I1709" s="81"/>
    </row>
    <row r="1710">
      <c r="D1710" s="81"/>
      <c r="E1710" s="81"/>
      <c r="F1710" s="555"/>
      <c r="G1710" s="81"/>
      <c r="H1710" s="81"/>
      <c r="I1710" s="81"/>
    </row>
    <row r="1711">
      <c r="D1711" s="81"/>
      <c r="E1711" s="81"/>
      <c r="F1711" s="555"/>
      <c r="G1711" s="81"/>
      <c r="H1711" s="81"/>
      <c r="I1711" s="81"/>
    </row>
    <row r="1712">
      <c r="D1712" s="81"/>
      <c r="E1712" s="81"/>
      <c r="F1712" s="555"/>
      <c r="G1712" s="81"/>
      <c r="H1712" s="81"/>
      <c r="I1712" s="81"/>
    </row>
    <row r="1713">
      <c r="D1713" s="81"/>
      <c r="E1713" s="81"/>
      <c r="F1713" s="555"/>
      <c r="G1713" s="81"/>
      <c r="H1713" s="81"/>
      <c r="I1713" s="81"/>
    </row>
    <row r="1714">
      <c r="D1714" s="81"/>
      <c r="E1714" s="81"/>
      <c r="F1714" s="555"/>
      <c r="G1714" s="81"/>
      <c r="H1714" s="81"/>
      <c r="I1714" s="81"/>
    </row>
    <row r="1715">
      <c r="D1715" s="81"/>
      <c r="E1715" s="81"/>
      <c r="F1715" s="555"/>
      <c r="G1715" s="81"/>
      <c r="H1715" s="81"/>
      <c r="I1715" s="81"/>
    </row>
    <row r="1716">
      <c r="D1716" s="81"/>
      <c r="E1716" s="81"/>
      <c r="F1716" s="555"/>
      <c r="G1716" s="81"/>
      <c r="H1716" s="81"/>
      <c r="I1716" s="81"/>
    </row>
    <row r="1717">
      <c r="D1717" s="81"/>
      <c r="E1717" s="81"/>
      <c r="F1717" s="555"/>
      <c r="G1717" s="81"/>
      <c r="H1717" s="81"/>
      <c r="I1717" s="81"/>
    </row>
    <row r="1718">
      <c r="D1718" s="81"/>
      <c r="E1718" s="81"/>
      <c r="F1718" s="555"/>
      <c r="G1718" s="81"/>
      <c r="H1718" s="81"/>
      <c r="I1718" s="81"/>
    </row>
    <row r="1719">
      <c r="D1719" s="81"/>
      <c r="E1719" s="81"/>
      <c r="F1719" s="555"/>
      <c r="G1719" s="81"/>
      <c r="H1719" s="81"/>
      <c r="I1719" s="81"/>
    </row>
    <row r="1720">
      <c r="D1720" s="81"/>
      <c r="E1720" s="81"/>
      <c r="F1720" s="555"/>
      <c r="G1720" s="81"/>
      <c r="H1720" s="81"/>
      <c r="I1720" s="81"/>
    </row>
    <row r="1721">
      <c r="D1721" s="81"/>
      <c r="E1721" s="81"/>
      <c r="F1721" s="555"/>
      <c r="G1721" s="81"/>
      <c r="H1721" s="81"/>
      <c r="I1721" s="81"/>
    </row>
    <row r="1722">
      <c r="D1722" s="81"/>
      <c r="E1722" s="81"/>
      <c r="F1722" s="555"/>
      <c r="G1722" s="81"/>
      <c r="H1722" s="81"/>
      <c r="I1722" s="81"/>
    </row>
    <row r="1723">
      <c r="D1723" s="81"/>
      <c r="E1723" s="81"/>
      <c r="F1723" s="555"/>
      <c r="G1723" s="81"/>
      <c r="H1723" s="81"/>
      <c r="I1723" s="81"/>
    </row>
    <row r="1724">
      <c r="D1724" s="81"/>
      <c r="E1724" s="81"/>
      <c r="F1724" s="555"/>
      <c r="G1724" s="81"/>
      <c r="H1724" s="81"/>
      <c r="I1724" s="81"/>
    </row>
    <row r="1725">
      <c r="D1725" s="81"/>
      <c r="E1725" s="81"/>
      <c r="F1725" s="555"/>
      <c r="G1725" s="81"/>
      <c r="H1725" s="81"/>
      <c r="I1725" s="81"/>
    </row>
    <row r="1726">
      <c r="D1726" s="81"/>
      <c r="E1726" s="81"/>
      <c r="F1726" s="555"/>
      <c r="G1726" s="81"/>
      <c r="H1726" s="81"/>
      <c r="I1726" s="81"/>
    </row>
    <row r="1727">
      <c r="D1727" s="81"/>
      <c r="E1727" s="81"/>
      <c r="F1727" s="555"/>
      <c r="G1727" s="81"/>
      <c r="H1727" s="81"/>
      <c r="I1727" s="81"/>
    </row>
    <row r="1728">
      <c r="D1728" s="81"/>
      <c r="E1728" s="81"/>
      <c r="F1728" s="555"/>
      <c r="G1728" s="81"/>
      <c r="H1728" s="81"/>
      <c r="I1728" s="81"/>
    </row>
    <row r="1729">
      <c r="D1729" s="81"/>
      <c r="E1729" s="81"/>
      <c r="F1729" s="555"/>
      <c r="G1729" s="81"/>
      <c r="H1729" s="81"/>
      <c r="I1729" s="81"/>
    </row>
    <row r="1730">
      <c r="D1730" s="81"/>
      <c r="E1730" s="81"/>
      <c r="F1730" s="555"/>
      <c r="G1730" s="81"/>
      <c r="H1730" s="81"/>
      <c r="I1730" s="81"/>
    </row>
    <row r="1731">
      <c r="D1731" s="81"/>
      <c r="E1731" s="81"/>
      <c r="F1731" s="555"/>
      <c r="G1731" s="81"/>
      <c r="H1731" s="81"/>
      <c r="I1731" s="81"/>
    </row>
    <row r="1732">
      <c r="D1732" s="81"/>
      <c r="E1732" s="81"/>
      <c r="F1732" s="555"/>
      <c r="G1732" s="81"/>
      <c r="H1732" s="81"/>
      <c r="I1732" s="81"/>
    </row>
    <row r="1733">
      <c r="D1733" s="81"/>
      <c r="E1733" s="81"/>
      <c r="F1733" s="555"/>
      <c r="G1733" s="81"/>
      <c r="H1733" s="81"/>
      <c r="I1733" s="81"/>
    </row>
    <row r="1734">
      <c r="D1734" s="81"/>
      <c r="E1734" s="81"/>
      <c r="F1734" s="555"/>
      <c r="G1734" s="81"/>
      <c r="H1734" s="81"/>
      <c r="I1734" s="81"/>
    </row>
    <row r="1735">
      <c r="D1735" s="81"/>
      <c r="E1735" s="81"/>
      <c r="F1735" s="555"/>
      <c r="G1735" s="81"/>
      <c r="H1735" s="81"/>
      <c r="I1735" s="81"/>
    </row>
    <row r="1736">
      <c r="D1736" s="81"/>
      <c r="E1736" s="81"/>
      <c r="F1736" s="555"/>
      <c r="G1736" s="81"/>
      <c r="H1736" s="81"/>
      <c r="I1736" s="81"/>
    </row>
    <row r="1737">
      <c r="D1737" s="81"/>
      <c r="E1737" s="81"/>
      <c r="F1737" s="555"/>
      <c r="G1737" s="81"/>
      <c r="H1737" s="81"/>
      <c r="I1737" s="81"/>
    </row>
    <row r="1738">
      <c r="D1738" s="81"/>
      <c r="E1738" s="81"/>
      <c r="F1738" s="555"/>
      <c r="G1738" s="81"/>
      <c r="H1738" s="81"/>
      <c r="I1738" s="81"/>
    </row>
    <row r="1739">
      <c r="D1739" s="81"/>
      <c r="E1739" s="81"/>
      <c r="F1739" s="555"/>
      <c r="G1739" s="81"/>
      <c r="H1739" s="81"/>
      <c r="I1739" s="81"/>
    </row>
    <row r="1740">
      <c r="D1740" s="81"/>
      <c r="E1740" s="81"/>
      <c r="F1740" s="555"/>
      <c r="G1740" s="81"/>
      <c r="H1740" s="81"/>
      <c r="I1740" s="81"/>
    </row>
    <row r="1741">
      <c r="D1741" s="81"/>
      <c r="E1741" s="81"/>
      <c r="F1741" s="555"/>
      <c r="G1741" s="81"/>
      <c r="H1741" s="81"/>
      <c r="I1741" s="81"/>
    </row>
    <row r="1742">
      <c r="D1742" s="81"/>
      <c r="E1742" s="81"/>
      <c r="F1742" s="555"/>
      <c r="G1742" s="81"/>
      <c r="H1742" s="81"/>
      <c r="I1742" s="81"/>
    </row>
    <row r="1743">
      <c r="D1743" s="81"/>
      <c r="E1743" s="81"/>
      <c r="F1743" s="555"/>
      <c r="G1743" s="81"/>
      <c r="H1743" s="81"/>
      <c r="I1743" s="81"/>
    </row>
    <row r="1744">
      <c r="D1744" s="81"/>
      <c r="E1744" s="81"/>
      <c r="F1744" s="555"/>
      <c r="G1744" s="81"/>
      <c r="H1744" s="81"/>
      <c r="I1744" s="81"/>
    </row>
    <row r="1745">
      <c r="D1745" s="81"/>
      <c r="E1745" s="81"/>
      <c r="F1745" s="555"/>
      <c r="G1745" s="81"/>
      <c r="H1745" s="81"/>
      <c r="I1745" s="81"/>
    </row>
    <row r="1746">
      <c r="D1746" s="81"/>
      <c r="E1746" s="81"/>
      <c r="F1746" s="555"/>
      <c r="G1746" s="81"/>
      <c r="H1746" s="81"/>
      <c r="I1746" s="81"/>
    </row>
    <row r="1747">
      <c r="D1747" s="81"/>
      <c r="E1747" s="81"/>
      <c r="F1747" s="555"/>
      <c r="G1747" s="81"/>
      <c r="H1747" s="81"/>
      <c r="I1747" s="81"/>
    </row>
    <row r="1748">
      <c r="D1748" s="81"/>
      <c r="E1748" s="81"/>
      <c r="F1748" s="555"/>
      <c r="G1748" s="81"/>
      <c r="H1748" s="81"/>
      <c r="I1748" s="81"/>
    </row>
    <row r="1749">
      <c r="D1749" s="81"/>
      <c r="E1749" s="81"/>
      <c r="F1749" s="555"/>
      <c r="G1749" s="81"/>
      <c r="H1749" s="81"/>
      <c r="I1749" s="81"/>
    </row>
    <row r="1750">
      <c r="D1750" s="81"/>
      <c r="E1750" s="81"/>
      <c r="F1750" s="555"/>
      <c r="G1750" s="81"/>
      <c r="H1750" s="81"/>
      <c r="I1750" s="81"/>
    </row>
    <row r="1751">
      <c r="D1751" s="81"/>
      <c r="E1751" s="81"/>
      <c r="F1751" s="555"/>
      <c r="G1751" s="81"/>
      <c r="H1751" s="81"/>
      <c r="I1751" s="81"/>
    </row>
    <row r="1752">
      <c r="D1752" s="81"/>
      <c r="E1752" s="81"/>
      <c r="F1752" s="555"/>
      <c r="G1752" s="81"/>
      <c r="H1752" s="81"/>
      <c r="I1752" s="81"/>
    </row>
    <row r="1753">
      <c r="D1753" s="21"/>
      <c r="E1753" s="21"/>
      <c r="F1753" s="555"/>
      <c r="G1753" s="21"/>
      <c r="H1753" s="21"/>
      <c r="I1753" s="21"/>
    </row>
    <row r="1754">
      <c r="D1754" s="21"/>
      <c r="E1754" s="21"/>
      <c r="F1754" s="555"/>
      <c r="G1754" s="21"/>
      <c r="H1754" s="21"/>
      <c r="I1754" s="21"/>
    </row>
    <row r="1755">
      <c r="D1755" s="21"/>
      <c r="E1755" s="21"/>
      <c r="F1755" s="555"/>
      <c r="G1755" s="21"/>
      <c r="H1755" s="21"/>
      <c r="I1755" s="21"/>
    </row>
    <row r="1756">
      <c r="D1756" s="21"/>
      <c r="E1756" s="21"/>
      <c r="F1756" s="555"/>
      <c r="G1756" s="21"/>
      <c r="H1756" s="21"/>
      <c r="I1756" s="21"/>
    </row>
    <row r="1757">
      <c r="D1757" s="21"/>
      <c r="E1757" s="21"/>
      <c r="F1757" s="555"/>
      <c r="G1757" s="21"/>
      <c r="H1757" s="21"/>
      <c r="I1757" s="21"/>
    </row>
    <row r="1758">
      <c r="D1758" s="21"/>
      <c r="E1758" s="21"/>
      <c r="F1758" s="555"/>
      <c r="G1758" s="21"/>
      <c r="H1758" s="21"/>
      <c r="I1758" s="21"/>
    </row>
    <row r="1759">
      <c r="D1759" s="21"/>
      <c r="E1759" s="21"/>
      <c r="F1759" s="555"/>
      <c r="G1759" s="21"/>
      <c r="H1759" s="21"/>
      <c r="I1759" s="21"/>
    </row>
    <row r="1760">
      <c r="D1760" s="21"/>
      <c r="E1760" s="21"/>
      <c r="F1760" s="555"/>
      <c r="G1760" s="21"/>
      <c r="H1760" s="21"/>
      <c r="I1760" s="21"/>
    </row>
    <row r="1761">
      <c r="D1761" s="21"/>
      <c r="E1761" s="21"/>
      <c r="F1761" s="555"/>
      <c r="G1761" s="21"/>
      <c r="H1761" s="21"/>
      <c r="I1761" s="21"/>
    </row>
    <row r="1762">
      <c r="D1762" s="21"/>
      <c r="E1762" s="21"/>
      <c r="F1762" s="555"/>
      <c r="G1762" s="21"/>
      <c r="H1762" s="21"/>
      <c r="I1762" s="21"/>
    </row>
    <row r="1763">
      <c r="D1763" s="21"/>
      <c r="E1763" s="21"/>
      <c r="F1763" s="555"/>
      <c r="G1763" s="21"/>
      <c r="H1763" s="21"/>
      <c r="I1763" s="21"/>
    </row>
    <row r="1764">
      <c r="D1764" s="21"/>
      <c r="E1764" s="21"/>
      <c r="F1764" s="555"/>
      <c r="G1764" s="21"/>
      <c r="H1764" s="21"/>
      <c r="I1764" s="21"/>
    </row>
    <row r="1765">
      <c r="D1765" s="21"/>
      <c r="E1765" s="21"/>
      <c r="F1765" s="555"/>
      <c r="G1765" s="21"/>
      <c r="H1765" s="21"/>
      <c r="I1765" s="21"/>
    </row>
    <row r="1766">
      <c r="D1766" s="21"/>
      <c r="E1766" s="21"/>
      <c r="F1766" s="555"/>
      <c r="G1766" s="21"/>
      <c r="H1766" s="21"/>
      <c r="I1766" s="21"/>
    </row>
    <row r="1767">
      <c r="D1767" s="21"/>
      <c r="E1767" s="21"/>
      <c r="F1767" s="555"/>
      <c r="G1767" s="21"/>
      <c r="H1767" s="21"/>
      <c r="I1767" s="21"/>
    </row>
    <row r="1768">
      <c r="D1768" s="21"/>
      <c r="E1768" s="21"/>
      <c r="F1768" s="555"/>
      <c r="G1768" s="21"/>
      <c r="H1768" s="21"/>
      <c r="I1768" s="21"/>
    </row>
    <row r="1769">
      <c r="D1769" s="21"/>
      <c r="E1769" s="21"/>
      <c r="F1769" s="555"/>
      <c r="G1769" s="21"/>
      <c r="H1769" s="21"/>
      <c r="I1769" s="21"/>
    </row>
    <row r="1770">
      <c r="D1770" s="21"/>
      <c r="E1770" s="21"/>
      <c r="F1770" s="555"/>
      <c r="G1770" s="21"/>
      <c r="H1770" s="21"/>
      <c r="I1770" s="21"/>
    </row>
    <row r="1771">
      <c r="D1771" s="21"/>
      <c r="E1771" s="21"/>
      <c r="F1771" s="555"/>
      <c r="G1771" s="21"/>
      <c r="H1771" s="21"/>
      <c r="I1771" s="21"/>
    </row>
    <row r="1772">
      <c r="D1772" s="21"/>
      <c r="E1772" s="21"/>
      <c r="F1772" s="555"/>
      <c r="G1772" s="21"/>
      <c r="H1772" s="21"/>
      <c r="I1772" s="21"/>
    </row>
    <row r="1773">
      <c r="D1773" s="21"/>
      <c r="E1773" s="21"/>
      <c r="F1773" s="555"/>
      <c r="G1773" s="21"/>
      <c r="H1773" s="21"/>
      <c r="I1773" s="21"/>
    </row>
    <row r="1774">
      <c r="D1774" s="21"/>
      <c r="E1774" s="21"/>
      <c r="F1774" s="555"/>
      <c r="G1774" s="21"/>
      <c r="H1774" s="21"/>
      <c r="I1774" s="21"/>
    </row>
    <row r="1775">
      <c r="D1775" s="21"/>
      <c r="E1775" s="21"/>
      <c r="F1775" s="555"/>
      <c r="G1775" s="21"/>
      <c r="H1775" s="21"/>
      <c r="I1775" s="21"/>
    </row>
    <row r="1776">
      <c r="D1776" s="21"/>
      <c r="E1776" s="21"/>
      <c r="F1776" s="555"/>
      <c r="G1776" s="21"/>
      <c r="H1776" s="21"/>
      <c r="I1776" s="21"/>
    </row>
    <row r="1777">
      <c r="D1777" s="21"/>
      <c r="E1777" s="21"/>
      <c r="F1777" s="555"/>
      <c r="G1777" s="21"/>
      <c r="H1777" s="21"/>
      <c r="I1777" s="21"/>
    </row>
    <row r="1778">
      <c r="D1778" s="21"/>
      <c r="E1778" s="21"/>
      <c r="F1778" s="555"/>
      <c r="G1778" s="21"/>
      <c r="H1778" s="21"/>
      <c r="I1778" s="21"/>
    </row>
    <row r="1779">
      <c r="D1779" s="21"/>
      <c r="E1779" s="21"/>
      <c r="F1779" s="555"/>
      <c r="G1779" s="21"/>
      <c r="H1779" s="21"/>
      <c r="I1779" s="21"/>
    </row>
    <row r="1780">
      <c r="D1780" s="21"/>
      <c r="E1780" s="21"/>
      <c r="F1780" s="555"/>
      <c r="G1780" s="21"/>
      <c r="H1780" s="21"/>
      <c r="I1780" s="21"/>
    </row>
    <row r="1781">
      <c r="D1781" s="21"/>
      <c r="E1781" s="21"/>
      <c r="F1781" s="555"/>
      <c r="G1781" s="21"/>
      <c r="H1781" s="21"/>
      <c r="I1781" s="21"/>
    </row>
    <row r="1782">
      <c r="D1782" s="21"/>
      <c r="E1782" s="21"/>
      <c r="F1782" s="555"/>
      <c r="G1782" s="21"/>
      <c r="H1782" s="21"/>
      <c r="I1782" s="21"/>
    </row>
    <row r="1783">
      <c r="D1783" s="21"/>
      <c r="E1783" s="21"/>
      <c r="F1783" s="555"/>
      <c r="G1783" s="21"/>
      <c r="H1783" s="21"/>
      <c r="I1783" s="21"/>
    </row>
    <row r="1784">
      <c r="D1784" s="21"/>
      <c r="E1784" s="21"/>
      <c r="F1784" s="555"/>
      <c r="G1784" s="21"/>
      <c r="H1784" s="21"/>
      <c r="I1784" s="21"/>
    </row>
    <row r="1785">
      <c r="D1785" s="21"/>
      <c r="E1785" s="21"/>
      <c r="F1785" s="555"/>
      <c r="G1785" s="21"/>
      <c r="H1785" s="21"/>
      <c r="I1785" s="21"/>
    </row>
    <row r="1786">
      <c r="D1786" s="21"/>
      <c r="E1786" s="21"/>
      <c r="F1786" s="555"/>
      <c r="G1786" s="21"/>
      <c r="H1786" s="21"/>
      <c r="I1786" s="21"/>
    </row>
    <row r="1787">
      <c r="D1787" s="21"/>
      <c r="E1787" s="21"/>
      <c r="F1787" s="555"/>
      <c r="G1787" s="21"/>
      <c r="H1787" s="21"/>
      <c r="I1787" s="21"/>
    </row>
    <row r="1788">
      <c r="D1788" s="21"/>
      <c r="E1788" s="21"/>
      <c r="F1788" s="555"/>
      <c r="G1788" s="21"/>
      <c r="H1788" s="21"/>
      <c r="I1788" s="21"/>
    </row>
    <row r="1789">
      <c r="D1789" s="21"/>
      <c r="E1789" s="21"/>
      <c r="F1789" s="555"/>
      <c r="G1789" s="21"/>
      <c r="H1789" s="21"/>
      <c r="I1789" s="21"/>
    </row>
    <row r="1790">
      <c r="D1790" s="21"/>
      <c r="E1790" s="21"/>
      <c r="F1790" s="555"/>
      <c r="G1790" s="21"/>
      <c r="H1790" s="21"/>
      <c r="I1790" s="21"/>
    </row>
    <row r="1791">
      <c r="D1791" s="21"/>
      <c r="E1791" s="21"/>
      <c r="F1791" s="555"/>
      <c r="G1791" s="21"/>
      <c r="H1791" s="21"/>
      <c r="I1791" s="21"/>
    </row>
    <row r="1792">
      <c r="D1792" s="21"/>
      <c r="E1792" s="21"/>
      <c r="F1792" s="555"/>
      <c r="G1792" s="21"/>
      <c r="H1792" s="21"/>
      <c r="I1792" s="21"/>
    </row>
    <row r="1793">
      <c r="D1793" s="21"/>
      <c r="E1793" s="21"/>
      <c r="F1793" s="555"/>
      <c r="G1793" s="21"/>
      <c r="H1793" s="21"/>
      <c r="I1793" s="21"/>
    </row>
    <row r="1794">
      <c r="D1794" s="21"/>
      <c r="E1794" s="21"/>
      <c r="F1794" s="555"/>
      <c r="G1794" s="21"/>
      <c r="H1794" s="21"/>
      <c r="I1794" s="21"/>
    </row>
    <row r="1795">
      <c r="D1795" s="21"/>
      <c r="E1795" s="21"/>
      <c r="F1795" s="555"/>
      <c r="G1795" s="21"/>
      <c r="H1795" s="21"/>
      <c r="I1795" s="21"/>
    </row>
    <row r="1796">
      <c r="D1796" s="21"/>
      <c r="E1796" s="21"/>
      <c r="F1796" s="555"/>
      <c r="G1796" s="21"/>
      <c r="H1796" s="21"/>
      <c r="I1796" s="21"/>
    </row>
    <row r="1797">
      <c r="D1797" s="21"/>
      <c r="E1797" s="21"/>
      <c r="F1797" s="555"/>
      <c r="G1797" s="21"/>
      <c r="H1797" s="21"/>
      <c r="I1797" s="21"/>
    </row>
    <row r="1798">
      <c r="D1798" s="21"/>
      <c r="E1798" s="21"/>
      <c r="F1798" s="555"/>
      <c r="G1798" s="21"/>
      <c r="H1798" s="21"/>
      <c r="I1798" s="21"/>
    </row>
    <row r="1799">
      <c r="D1799" s="21"/>
      <c r="E1799" s="21"/>
      <c r="F1799" s="555"/>
      <c r="G1799" s="21"/>
      <c r="H1799" s="21"/>
      <c r="I1799" s="21"/>
    </row>
    <row r="1800">
      <c r="D1800" s="21"/>
      <c r="E1800" s="21"/>
      <c r="F1800" s="555"/>
      <c r="G1800" s="21"/>
      <c r="H1800" s="21"/>
      <c r="I1800" s="21"/>
    </row>
    <row r="1801">
      <c r="D1801" s="21"/>
      <c r="E1801" s="21"/>
      <c r="F1801" s="555"/>
      <c r="G1801" s="21"/>
      <c r="H1801" s="21"/>
      <c r="I1801" s="21"/>
    </row>
    <row r="1802">
      <c r="D1802" s="21"/>
      <c r="E1802" s="21"/>
      <c r="F1802" s="555"/>
      <c r="G1802" s="21"/>
      <c r="H1802" s="21"/>
      <c r="I1802" s="21"/>
    </row>
    <row r="1803">
      <c r="D1803" s="21"/>
      <c r="E1803" s="21"/>
      <c r="F1803" s="555"/>
      <c r="G1803" s="21"/>
      <c r="H1803" s="21"/>
      <c r="I1803" s="21"/>
    </row>
    <row r="1804">
      <c r="D1804" s="21"/>
      <c r="E1804" s="21"/>
      <c r="F1804" s="555"/>
      <c r="G1804" s="21"/>
      <c r="H1804" s="21"/>
      <c r="I1804" s="21"/>
    </row>
    <row r="1805">
      <c r="D1805" s="21"/>
      <c r="E1805" s="21"/>
      <c r="F1805" s="555"/>
      <c r="G1805" s="21"/>
      <c r="H1805" s="21"/>
      <c r="I1805" s="21"/>
    </row>
    <row r="1806">
      <c r="D1806" s="21"/>
      <c r="E1806" s="21"/>
      <c r="F1806" s="555"/>
      <c r="G1806" s="21"/>
      <c r="H1806" s="21"/>
      <c r="I1806" s="21"/>
    </row>
    <row r="1807">
      <c r="D1807" s="21"/>
      <c r="E1807" s="21"/>
      <c r="F1807" s="555"/>
      <c r="G1807" s="21"/>
      <c r="H1807" s="21"/>
      <c r="I1807" s="21"/>
    </row>
    <row r="1808">
      <c r="D1808" s="21"/>
      <c r="E1808" s="21"/>
      <c r="F1808" s="555"/>
      <c r="G1808" s="21"/>
      <c r="H1808" s="21"/>
      <c r="I1808" s="21"/>
    </row>
    <row r="1809">
      <c r="D1809" s="21"/>
      <c r="E1809" s="21"/>
      <c r="F1809" s="555"/>
      <c r="G1809" s="21"/>
      <c r="H1809" s="21"/>
      <c r="I1809" s="21"/>
    </row>
    <row r="1810">
      <c r="D1810" s="21"/>
      <c r="E1810" s="21"/>
      <c r="F1810" s="555"/>
      <c r="G1810" s="21"/>
      <c r="H1810" s="21"/>
      <c r="I1810" s="21"/>
    </row>
    <row r="1811">
      <c r="D1811" s="21"/>
      <c r="E1811" s="21"/>
      <c r="F1811" s="555"/>
      <c r="G1811" s="21"/>
      <c r="H1811" s="21"/>
      <c r="I1811" s="21"/>
    </row>
    <row r="1812">
      <c r="D1812" s="21"/>
      <c r="E1812" s="21"/>
      <c r="F1812" s="555"/>
      <c r="G1812" s="21"/>
      <c r="H1812" s="21"/>
      <c r="I1812" s="21"/>
    </row>
    <row r="1813">
      <c r="D1813" s="21"/>
      <c r="E1813" s="21"/>
      <c r="F1813" s="555"/>
      <c r="G1813" s="21"/>
      <c r="H1813" s="21"/>
      <c r="I1813" s="21"/>
    </row>
    <row r="1814">
      <c r="D1814" s="21"/>
      <c r="E1814" s="21"/>
      <c r="F1814" s="555"/>
      <c r="G1814" s="21"/>
      <c r="H1814" s="21"/>
      <c r="I1814" s="21"/>
    </row>
    <row r="1815">
      <c r="D1815" s="21"/>
      <c r="E1815" s="21"/>
      <c r="F1815" s="555"/>
      <c r="G1815" s="21"/>
      <c r="H1815" s="21"/>
      <c r="I1815" s="21"/>
    </row>
    <row r="1816">
      <c r="D1816" s="21"/>
      <c r="E1816" s="21"/>
      <c r="F1816" s="555"/>
      <c r="G1816" s="21"/>
      <c r="H1816" s="21"/>
      <c r="I1816" s="21"/>
    </row>
    <row r="1817">
      <c r="D1817" s="21"/>
      <c r="E1817" s="21"/>
      <c r="F1817" s="555"/>
      <c r="G1817" s="21"/>
      <c r="H1817" s="21"/>
      <c r="I1817" s="21"/>
    </row>
    <row r="1818">
      <c r="D1818" s="21"/>
      <c r="E1818" s="21"/>
      <c r="F1818" s="555"/>
      <c r="G1818" s="21"/>
      <c r="H1818" s="21"/>
      <c r="I1818" s="21"/>
    </row>
    <row r="1819">
      <c r="D1819" s="21"/>
      <c r="E1819" s="21"/>
      <c r="F1819" s="555"/>
      <c r="G1819" s="21"/>
      <c r="H1819" s="21"/>
      <c r="I1819" s="21"/>
    </row>
    <row r="1820">
      <c r="D1820" s="21"/>
      <c r="E1820" s="21"/>
      <c r="F1820" s="555"/>
      <c r="G1820" s="21"/>
      <c r="H1820" s="21"/>
      <c r="I1820" s="21"/>
    </row>
    <row r="1821">
      <c r="D1821" s="21"/>
      <c r="E1821" s="21"/>
      <c r="F1821" s="555"/>
      <c r="G1821" s="21"/>
      <c r="H1821" s="21"/>
      <c r="I1821" s="21"/>
    </row>
    <row r="1822">
      <c r="D1822" s="21"/>
      <c r="E1822" s="21"/>
      <c r="F1822" s="555"/>
      <c r="G1822" s="21"/>
      <c r="H1822" s="21"/>
      <c r="I1822" s="21"/>
    </row>
    <row r="1823">
      <c r="D1823" s="21"/>
      <c r="E1823" s="21"/>
      <c r="F1823" s="555"/>
      <c r="G1823" s="21"/>
      <c r="H1823" s="21"/>
      <c r="I1823" s="21"/>
    </row>
    <row r="1824">
      <c r="D1824" s="21"/>
      <c r="E1824" s="21"/>
      <c r="F1824" s="555"/>
      <c r="G1824" s="21"/>
      <c r="H1824" s="21"/>
      <c r="I1824" s="21"/>
    </row>
    <row r="1825">
      <c r="D1825" s="21"/>
      <c r="E1825" s="21"/>
      <c r="F1825" s="555"/>
      <c r="G1825" s="21"/>
      <c r="H1825" s="21"/>
      <c r="I1825" s="21"/>
    </row>
    <row r="1826">
      <c r="D1826" s="21"/>
      <c r="E1826" s="21"/>
      <c r="F1826" s="555"/>
      <c r="G1826" s="21"/>
      <c r="H1826" s="21"/>
      <c r="I1826" s="21"/>
    </row>
    <row r="1827">
      <c r="D1827" s="21"/>
      <c r="E1827" s="21"/>
      <c r="F1827" s="555"/>
      <c r="G1827" s="21"/>
      <c r="H1827" s="21"/>
      <c r="I1827" s="21"/>
    </row>
    <row r="1828">
      <c r="D1828" s="21"/>
      <c r="E1828" s="21"/>
      <c r="F1828" s="555"/>
      <c r="G1828" s="21"/>
      <c r="H1828" s="21"/>
      <c r="I1828" s="21"/>
    </row>
    <row r="1829">
      <c r="D1829" s="21"/>
      <c r="E1829" s="21"/>
      <c r="F1829" s="555"/>
      <c r="G1829" s="21"/>
      <c r="H1829" s="21"/>
      <c r="I1829" s="21"/>
    </row>
    <row r="1830">
      <c r="D1830" s="21"/>
      <c r="E1830" s="21"/>
      <c r="F1830" s="555"/>
      <c r="G1830" s="21"/>
      <c r="H1830" s="21"/>
      <c r="I1830" s="21"/>
    </row>
    <row r="1831">
      <c r="D1831" s="21"/>
      <c r="E1831" s="21"/>
      <c r="F1831" s="555"/>
      <c r="G1831" s="21"/>
      <c r="H1831" s="21"/>
      <c r="I1831" s="21"/>
    </row>
    <row r="1832">
      <c r="D1832" s="21"/>
      <c r="E1832" s="21"/>
      <c r="F1832" s="555"/>
      <c r="G1832" s="21"/>
      <c r="H1832" s="21"/>
      <c r="I1832" s="21"/>
    </row>
    <row r="1833">
      <c r="D1833" s="21"/>
      <c r="E1833" s="21"/>
      <c r="F1833" s="555"/>
      <c r="G1833" s="21"/>
      <c r="H1833" s="21"/>
      <c r="I1833" s="21"/>
    </row>
    <row r="1834">
      <c r="D1834" s="21"/>
      <c r="E1834" s="21"/>
      <c r="F1834" s="555"/>
      <c r="G1834" s="21"/>
      <c r="H1834" s="21"/>
      <c r="I1834" s="21"/>
    </row>
    <row r="1835">
      <c r="D1835" s="21"/>
      <c r="E1835" s="21"/>
      <c r="F1835" s="555"/>
      <c r="G1835" s="21"/>
      <c r="H1835" s="21"/>
      <c r="I1835" s="21"/>
    </row>
    <row r="1836">
      <c r="D1836" s="21"/>
      <c r="E1836" s="21"/>
      <c r="F1836" s="555"/>
      <c r="G1836" s="21"/>
      <c r="H1836" s="21"/>
      <c r="I1836" s="21"/>
    </row>
    <row r="1837">
      <c r="D1837" s="21"/>
      <c r="E1837" s="21"/>
      <c r="F1837" s="555"/>
      <c r="G1837" s="21"/>
      <c r="H1837" s="21"/>
      <c r="I1837" s="21"/>
    </row>
    <row r="1838">
      <c r="D1838" s="21"/>
      <c r="E1838" s="21"/>
      <c r="F1838" s="555"/>
      <c r="G1838" s="21"/>
      <c r="H1838" s="21"/>
      <c r="I1838" s="21"/>
    </row>
    <row r="1839">
      <c r="D1839" s="21"/>
      <c r="E1839" s="21"/>
      <c r="F1839" s="555"/>
      <c r="G1839" s="21"/>
      <c r="H1839" s="21"/>
      <c r="I1839" s="21"/>
    </row>
    <row r="1840">
      <c r="D1840" s="21"/>
      <c r="E1840" s="21"/>
      <c r="F1840" s="555"/>
      <c r="G1840" s="21"/>
      <c r="H1840" s="21"/>
      <c r="I1840" s="21"/>
    </row>
    <row r="1841">
      <c r="D1841" s="21"/>
      <c r="E1841" s="21"/>
      <c r="F1841" s="555"/>
      <c r="G1841" s="21"/>
      <c r="H1841" s="21"/>
      <c r="I1841" s="21"/>
    </row>
    <row r="1842">
      <c r="D1842" s="21"/>
      <c r="E1842" s="21"/>
      <c r="F1842" s="555"/>
      <c r="G1842" s="21"/>
      <c r="H1842" s="21"/>
      <c r="I1842" s="21"/>
    </row>
    <row r="1843">
      <c r="D1843" s="21"/>
      <c r="E1843" s="21"/>
      <c r="F1843" s="555"/>
      <c r="G1843" s="21"/>
      <c r="H1843" s="21"/>
      <c r="I1843" s="21"/>
    </row>
    <row r="1844">
      <c r="D1844" s="21"/>
      <c r="E1844" s="21"/>
      <c r="F1844" s="555"/>
      <c r="G1844" s="21"/>
      <c r="H1844" s="21"/>
      <c r="I1844" s="21"/>
    </row>
    <row r="1845">
      <c r="D1845" s="21"/>
      <c r="E1845" s="21"/>
      <c r="F1845" s="555"/>
      <c r="G1845" s="21"/>
      <c r="H1845" s="21"/>
      <c r="I1845" s="21"/>
    </row>
    <row r="1846">
      <c r="D1846" s="21"/>
      <c r="E1846" s="21"/>
      <c r="F1846" s="555"/>
      <c r="G1846" s="21"/>
      <c r="H1846" s="21"/>
      <c r="I1846" s="21"/>
    </row>
    <row r="1847">
      <c r="D1847" s="21"/>
      <c r="E1847" s="21"/>
      <c r="F1847" s="555"/>
      <c r="G1847" s="21"/>
      <c r="H1847" s="21"/>
      <c r="I1847" s="21"/>
    </row>
    <row r="1848">
      <c r="D1848" s="21"/>
      <c r="E1848" s="21"/>
      <c r="F1848" s="555"/>
      <c r="G1848" s="21"/>
      <c r="H1848" s="21"/>
      <c r="I1848" s="21"/>
    </row>
    <row r="1849">
      <c r="D1849" s="21"/>
      <c r="E1849" s="21"/>
      <c r="F1849" s="555"/>
      <c r="G1849" s="21"/>
      <c r="H1849" s="21"/>
      <c r="I1849" s="21"/>
    </row>
    <row r="1850">
      <c r="D1850" s="21"/>
      <c r="E1850" s="21"/>
      <c r="F1850" s="555"/>
      <c r="G1850" s="21"/>
      <c r="H1850" s="21"/>
      <c r="I1850" s="21"/>
    </row>
    <row r="1851">
      <c r="D1851" s="21"/>
      <c r="E1851" s="21"/>
      <c r="F1851" s="555"/>
      <c r="G1851" s="21"/>
      <c r="H1851" s="21"/>
      <c r="I1851" s="21"/>
    </row>
    <row r="1852">
      <c r="D1852" s="21"/>
      <c r="E1852" s="21"/>
      <c r="F1852" s="555"/>
      <c r="G1852" s="21"/>
      <c r="H1852" s="21"/>
      <c r="I1852" s="21"/>
    </row>
    <row r="1853">
      <c r="D1853" s="21"/>
      <c r="E1853" s="21"/>
      <c r="F1853" s="555"/>
      <c r="G1853" s="21"/>
      <c r="H1853" s="21"/>
      <c r="I1853" s="21"/>
    </row>
    <row r="1854">
      <c r="D1854" s="21"/>
      <c r="E1854" s="21"/>
      <c r="F1854" s="555"/>
      <c r="G1854" s="21"/>
      <c r="H1854" s="21"/>
      <c r="I1854" s="21"/>
    </row>
    <row r="1855">
      <c r="D1855" s="21"/>
      <c r="E1855" s="21"/>
      <c r="F1855" s="555"/>
      <c r="G1855" s="21"/>
      <c r="H1855" s="21"/>
      <c r="I1855" s="21"/>
    </row>
    <row r="1856">
      <c r="D1856" s="21"/>
      <c r="E1856" s="21"/>
      <c r="F1856" s="555"/>
      <c r="G1856" s="21"/>
      <c r="H1856" s="21"/>
      <c r="I1856" s="21"/>
    </row>
    <row r="1857">
      <c r="D1857" s="21"/>
      <c r="E1857" s="21"/>
      <c r="F1857" s="555"/>
      <c r="G1857" s="21"/>
      <c r="H1857" s="21"/>
      <c r="I1857" s="21"/>
    </row>
    <row r="1858">
      <c r="D1858" s="21"/>
      <c r="E1858" s="21"/>
      <c r="F1858" s="555"/>
      <c r="G1858" s="21"/>
      <c r="H1858" s="21"/>
      <c r="I1858" s="21"/>
    </row>
    <row r="1859">
      <c r="D1859" s="21"/>
      <c r="E1859" s="21"/>
      <c r="F1859" s="555"/>
      <c r="G1859" s="21"/>
      <c r="H1859" s="21"/>
      <c r="I1859" s="21"/>
    </row>
    <row r="1860">
      <c r="D1860" s="21"/>
      <c r="E1860" s="21"/>
      <c r="F1860" s="555"/>
      <c r="G1860" s="21"/>
      <c r="H1860" s="21"/>
      <c r="I1860" s="21"/>
    </row>
    <row r="1861">
      <c r="D1861" s="21"/>
      <c r="E1861" s="21"/>
      <c r="F1861" s="555"/>
      <c r="G1861" s="21"/>
      <c r="H1861" s="21"/>
      <c r="I1861" s="21"/>
    </row>
    <row r="1862">
      <c r="D1862" s="21"/>
      <c r="E1862" s="21"/>
      <c r="F1862" s="555"/>
      <c r="G1862" s="21"/>
      <c r="H1862" s="21"/>
      <c r="I1862" s="21"/>
    </row>
    <row r="1863">
      <c r="D1863" s="21"/>
      <c r="E1863" s="21"/>
      <c r="F1863" s="555"/>
      <c r="G1863" s="21"/>
      <c r="H1863" s="21"/>
      <c r="I1863" s="21"/>
    </row>
    <row r="1864">
      <c r="D1864" s="21"/>
      <c r="E1864" s="21"/>
      <c r="F1864" s="555"/>
      <c r="G1864" s="21"/>
      <c r="H1864" s="21"/>
      <c r="I1864" s="21"/>
    </row>
    <row r="1865">
      <c r="D1865" s="21"/>
      <c r="E1865" s="21"/>
      <c r="F1865" s="555"/>
      <c r="G1865" s="21"/>
      <c r="H1865" s="21"/>
      <c r="I1865" s="21"/>
    </row>
    <row r="1866">
      <c r="D1866" s="21"/>
      <c r="E1866" s="21"/>
      <c r="F1866" s="555"/>
      <c r="G1866" s="21"/>
      <c r="H1866" s="21"/>
      <c r="I1866" s="21"/>
    </row>
    <row r="1867">
      <c r="D1867" s="21"/>
      <c r="E1867" s="21"/>
      <c r="F1867" s="555"/>
      <c r="G1867" s="21"/>
      <c r="H1867" s="21"/>
      <c r="I1867" s="21"/>
    </row>
    <row r="1868">
      <c r="D1868" s="21"/>
      <c r="E1868" s="21"/>
      <c r="F1868" s="555"/>
      <c r="G1868" s="21"/>
      <c r="H1868" s="21"/>
      <c r="I1868" s="21"/>
    </row>
    <row r="1869">
      <c r="D1869" s="21"/>
      <c r="E1869" s="21"/>
      <c r="F1869" s="555"/>
      <c r="G1869" s="21"/>
      <c r="H1869" s="21"/>
      <c r="I1869" s="21"/>
    </row>
    <row r="1870">
      <c r="D1870" s="21"/>
      <c r="E1870" s="21"/>
      <c r="F1870" s="555"/>
      <c r="G1870" s="21"/>
      <c r="H1870" s="21"/>
      <c r="I1870" s="21"/>
    </row>
    <row r="1871">
      <c r="D1871" s="21"/>
      <c r="E1871" s="21"/>
      <c r="F1871" s="555"/>
      <c r="G1871" s="21"/>
      <c r="H1871" s="21"/>
      <c r="I1871" s="21"/>
    </row>
    <row r="1872">
      <c r="D1872" s="21"/>
      <c r="E1872" s="21"/>
      <c r="F1872" s="555"/>
      <c r="G1872" s="21"/>
      <c r="H1872" s="21"/>
      <c r="I1872" s="21"/>
    </row>
    <row r="1873">
      <c r="D1873" s="21"/>
      <c r="E1873" s="21"/>
      <c r="F1873" s="555"/>
      <c r="G1873" s="21"/>
      <c r="H1873" s="21"/>
      <c r="I1873" s="21"/>
    </row>
    <row r="1874">
      <c r="D1874" s="21"/>
      <c r="E1874" s="21"/>
      <c r="F1874" s="555"/>
      <c r="G1874" s="21"/>
      <c r="H1874" s="21"/>
      <c r="I1874" s="21"/>
    </row>
    <row r="1875">
      <c r="D1875" s="21"/>
      <c r="E1875" s="21"/>
      <c r="F1875" s="555"/>
      <c r="G1875" s="21"/>
      <c r="H1875" s="21"/>
      <c r="I1875" s="21"/>
    </row>
    <row r="1876">
      <c r="D1876" s="21"/>
      <c r="E1876" s="21"/>
      <c r="F1876" s="555"/>
      <c r="G1876" s="21"/>
      <c r="H1876" s="21"/>
      <c r="I1876" s="21"/>
    </row>
    <row r="1877">
      <c r="D1877" s="21"/>
      <c r="E1877" s="21"/>
      <c r="F1877" s="555"/>
      <c r="G1877" s="21"/>
      <c r="H1877" s="21"/>
      <c r="I1877" s="21"/>
    </row>
    <row r="1878">
      <c r="D1878" s="21"/>
      <c r="E1878" s="21"/>
      <c r="F1878" s="555"/>
      <c r="G1878" s="21"/>
      <c r="H1878" s="21"/>
      <c r="I1878" s="21"/>
    </row>
    <row r="1879">
      <c r="D1879" s="21"/>
      <c r="E1879" s="21"/>
      <c r="F1879" s="555"/>
      <c r="G1879" s="21"/>
      <c r="H1879" s="21"/>
      <c r="I1879" s="21"/>
    </row>
    <row r="1880">
      <c r="D1880" s="21"/>
      <c r="E1880" s="21"/>
      <c r="F1880" s="555"/>
      <c r="G1880" s="21"/>
      <c r="H1880" s="21"/>
      <c r="I1880" s="21"/>
    </row>
    <row r="1881">
      <c r="D1881" s="21"/>
      <c r="E1881" s="21"/>
      <c r="F1881" s="555"/>
      <c r="G1881" s="21"/>
      <c r="H1881" s="21"/>
      <c r="I1881" s="21"/>
    </row>
    <row r="1882">
      <c r="D1882" s="21"/>
      <c r="E1882" s="21"/>
      <c r="F1882" s="555"/>
      <c r="G1882" s="21"/>
      <c r="H1882" s="21"/>
      <c r="I1882" s="21"/>
    </row>
    <row r="1883">
      <c r="D1883" s="21"/>
      <c r="E1883" s="21"/>
      <c r="F1883" s="555"/>
      <c r="G1883" s="21"/>
      <c r="H1883" s="21"/>
      <c r="I1883" s="21"/>
    </row>
    <row r="1884">
      <c r="D1884" s="21"/>
      <c r="E1884" s="21"/>
      <c r="F1884" s="555"/>
      <c r="G1884" s="21"/>
      <c r="H1884" s="21"/>
      <c r="I1884" s="21"/>
    </row>
    <row r="1885">
      <c r="D1885" s="21"/>
      <c r="E1885" s="21"/>
      <c r="F1885" s="555"/>
      <c r="G1885" s="21"/>
      <c r="H1885" s="21"/>
      <c r="I1885" s="21"/>
    </row>
    <row r="1886">
      <c r="D1886" s="21"/>
      <c r="E1886" s="21"/>
      <c r="F1886" s="555"/>
      <c r="G1886" s="21"/>
      <c r="H1886" s="21"/>
      <c r="I1886" s="21"/>
    </row>
    <row r="1887">
      <c r="D1887" s="21"/>
      <c r="E1887" s="21"/>
      <c r="F1887" s="555"/>
      <c r="G1887" s="21"/>
      <c r="H1887" s="21"/>
      <c r="I1887" s="21"/>
    </row>
    <row r="1888">
      <c r="D1888" s="81"/>
      <c r="E1888" s="81"/>
      <c r="F1888" s="555"/>
      <c r="G1888" s="81"/>
      <c r="H1888" s="81"/>
      <c r="I1888" s="81"/>
    </row>
    <row r="1889">
      <c r="D1889" s="81"/>
      <c r="E1889" s="81"/>
      <c r="F1889" s="555"/>
      <c r="G1889" s="81"/>
      <c r="H1889" s="81"/>
      <c r="I1889" s="81"/>
    </row>
    <row r="1890">
      <c r="D1890" s="81"/>
      <c r="E1890" s="81"/>
      <c r="F1890" s="555"/>
      <c r="G1890" s="81"/>
      <c r="H1890" s="81"/>
      <c r="I1890" s="81"/>
    </row>
    <row r="1891">
      <c r="D1891" s="81"/>
      <c r="E1891" s="81"/>
      <c r="F1891" s="555"/>
      <c r="G1891" s="81"/>
      <c r="H1891" s="81"/>
      <c r="I1891" s="81"/>
    </row>
    <row r="1892">
      <c r="D1892" s="81"/>
      <c r="E1892" s="81"/>
      <c r="F1892" s="555"/>
      <c r="G1892" s="81"/>
      <c r="H1892" s="81"/>
      <c r="I1892" s="81"/>
    </row>
    <row r="1893">
      <c r="D1893" s="81"/>
      <c r="E1893" s="81"/>
      <c r="F1893" s="555"/>
      <c r="G1893" s="81"/>
      <c r="H1893" s="81"/>
      <c r="I1893" s="81"/>
    </row>
    <row r="1894">
      <c r="D1894" s="81"/>
      <c r="E1894" s="81"/>
      <c r="F1894" s="555"/>
      <c r="G1894" s="81"/>
      <c r="H1894" s="81"/>
      <c r="I1894" s="81"/>
    </row>
    <row r="1895">
      <c r="D1895" s="81"/>
      <c r="E1895" s="81"/>
      <c r="F1895" s="555"/>
      <c r="G1895" s="81"/>
      <c r="H1895" s="81"/>
      <c r="I1895" s="81"/>
    </row>
    <row r="1896">
      <c r="D1896" s="81"/>
      <c r="E1896" s="81"/>
      <c r="F1896" s="555"/>
      <c r="G1896" s="81"/>
      <c r="H1896" s="81"/>
      <c r="I1896" s="81"/>
    </row>
    <row r="1897">
      <c r="D1897" s="81"/>
      <c r="E1897" s="81"/>
      <c r="F1897" s="555"/>
      <c r="G1897" s="81"/>
      <c r="H1897" s="81"/>
      <c r="I1897" s="81"/>
    </row>
    <row r="1898">
      <c r="D1898" s="81"/>
      <c r="E1898" s="81"/>
      <c r="F1898" s="555"/>
      <c r="G1898" s="81"/>
      <c r="H1898" s="81"/>
      <c r="I1898" s="81"/>
    </row>
    <row r="1899">
      <c r="D1899" s="81"/>
      <c r="E1899" s="81"/>
      <c r="F1899" s="555"/>
      <c r="G1899" s="81"/>
      <c r="H1899" s="81"/>
      <c r="I1899" s="81"/>
    </row>
    <row r="1900">
      <c r="D1900" s="81"/>
      <c r="E1900" s="81"/>
      <c r="F1900" s="555"/>
      <c r="G1900" s="81"/>
      <c r="H1900" s="81"/>
      <c r="I1900" s="81"/>
    </row>
    <row r="1901">
      <c r="D1901" s="81"/>
      <c r="E1901" s="81"/>
      <c r="F1901" s="555"/>
      <c r="G1901" s="81"/>
      <c r="H1901" s="81"/>
      <c r="I1901" s="81"/>
    </row>
    <row r="1902">
      <c r="D1902" s="81"/>
      <c r="E1902" s="81"/>
      <c r="F1902" s="555"/>
      <c r="G1902" s="81"/>
      <c r="H1902" s="81"/>
      <c r="I1902" s="81"/>
    </row>
    <row r="1903">
      <c r="D1903" s="81"/>
      <c r="E1903" s="81"/>
      <c r="F1903" s="555"/>
      <c r="G1903" s="81"/>
      <c r="H1903" s="81"/>
      <c r="I1903" s="81"/>
    </row>
    <row r="1904">
      <c r="D1904" s="81"/>
      <c r="E1904" s="81"/>
      <c r="F1904" s="555"/>
      <c r="G1904" s="81"/>
      <c r="H1904" s="81"/>
      <c r="I1904" s="81"/>
    </row>
    <row r="1905">
      <c r="D1905" s="81"/>
      <c r="E1905" s="81"/>
      <c r="F1905" s="555"/>
      <c r="G1905" s="81"/>
      <c r="H1905" s="81"/>
      <c r="I1905" s="81"/>
    </row>
    <row r="1906">
      <c r="D1906" s="81"/>
      <c r="E1906" s="81"/>
      <c r="F1906" s="555"/>
      <c r="G1906" s="81"/>
      <c r="H1906" s="81"/>
      <c r="I1906" s="81"/>
    </row>
    <row r="1907">
      <c r="D1907" s="81"/>
      <c r="E1907" s="81"/>
      <c r="F1907" s="555"/>
      <c r="G1907" s="81"/>
      <c r="H1907" s="81"/>
      <c r="I1907" s="81"/>
    </row>
    <row r="1908">
      <c r="D1908" s="81"/>
      <c r="E1908" s="81"/>
      <c r="F1908" s="555"/>
      <c r="G1908" s="81"/>
      <c r="H1908" s="81"/>
      <c r="I1908" s="81"/>
    </row>
    <row r="1909">
      <c r="D1909" s="81"/>
      <c r="E1909" s="81"/>
      <c r="F1909" s="555"/>
      <c r="G1909" s="81"/>
      <c r="H1909" s="81"/>
      <c r="I1909" s="81"/>
    </row>
    <row r="1910">
      <c r="D1910" s="81"/>
      <c r="E1910" s="81"/>
      <c r="F1910" s="555"/>
      <c r="G1910" s="81"/>
      <c r="H1910" s="81"/>
      <c r="I1910" s="81"/>
    </row>
    <row r="1911">
      <c r="D1911" s="81"/>
      <c r="E1911" s="81"/>
      <c r="F1911" s="555"/>
      <c r="G1911" s="81"/>
      <c r="H1911" s="81"/>
      <c r="I1911" s="81"/>
    </row>
    <row r="1912">
      <c r="D1912" s="81"/>
      <c r="E1912" s="81"/>
      <c r="F1912" s="555"/>
      <c r="G1912" s="81"/>
      <c r="H1912" s="81"/>
      <c r="I1912" s="81"/>
    </row>
    <row r="1913">
      <c r="D1913" s="81"/>
      <c r="E1913" s="81"/>
      <c r="F1913" s="555"/>
      <c r="G1913" s="81"/>
      <c r="H1913" s="81"/>
      <c r="I1913" s="81"/>
    </row>
    <row r="1914">
      <c r="D1914" s="81"/>
      <c r="E1914" s="81"/>
      <c r="F1914" s="555"/>
      <c r="G1914" s="81"/>
      <c r="H1914" s="81"/>
      <c r="I1914" s="81"/>
    </row>
    <row r="1915">
      <c r="D1915" s="81"/>
      <c r="E1915" s="81"/>
      <c r="F1915" s="555"/>
      <c r="G1915" s="81"/>
      <c r="H1915" s="81"/>
      <c r="I1915" s="81"/>
    </row>
    <row r="1916">
      <c r="D1916" s="81"/>
      <c r="E1916" s="81"/>
      <c r="F1916" s="555"/>
      <c r="G1916" s="81"/>
      <c r="H1916" s="81"/>
      <c r="I1916" s="81"/>
    </row>
    <row r="1917">
      <c r="D1917" s="81"/>
      <c r="E1917" s="81"/>
      <c r="F1917" s="555"/>
      <c r="G1917" s="81"/>
      <c r="H1917" s="81"/>
      <c r="I1917" s="81"/>
    </row>
    <row r="1918">
      <c r="D1918" s="81"/>
      <c r="E1918" s="81"/>
      <c r="F1918" s="555"/>
      <c r="G1918" s="81"/>
      <c r="H1918" s="81"/>
      <c r="I1918" s="81"/>
    </row>
    <row r="1919">
      <c r="D1919" s="81"/>
      <c r="E1919" s="81"/>
      <c r="F1919" s="555"/>
      <c r="G1919" s="81"/>
      <c r="H1919" s="81"/>
      <c r="I1919" s="81"/>
    </row>
    <row r="1920">
      <c r="D1920" s="81"/>
      <c r="E1920" s="81"/>
      <c r="F1920" s="555"/>
      <c r="G1920" s="81"/>
      <c r="H1920" s="81"/>
      <c r="I1920" s="81"/>
    </row>
    <row r="1921">
      <c r="D1921" s="81"/>
      <c r="E1921" s="81"/>
      <c r="F1921" s="555"/>
      <c r="G1921" s="81"/>
      <c r="H1921" s="81"/>
      <c r="I1921" s="81"/>
    </row>
    <row r="1922">
      <c r="D1922" s="81"/>
      <c r="E1922" s="81"/>
      <c r="F1922" s="555"/>
      <c r="G1922" s="81"/>
      <c r="H1922" s="81"/>
      <c r="I1922" s="81"/>
    </row>
    <row r="1923">
      <c r="D1923" s="81"/>
      <c r="E1923" s="81"/>
      <c r="F1923" s="555"/>
      <c r="G1923" s="81"/>
      <c r="H1923" s="81"/>
      <c r="I1923" s="81"/>
    </row>
    <row r="1924">
      <c r="D1924" s="81"/>
      <c r="E1924" s="81"/>
      <c r="F1924" s="555"/>
      <c r="G1924" s="81"/>
      <c r="H1924" s="81"/>
      <c r="I1924" s="81"/>
    </row>
    <row r="1925">
      <c r="D1925" s="81"/>
      <c r="E1925" s="81"/>
      <c r="F1925" s="555"/>
      <c r="G1925" s="81"/>
      <c r="H1925" s="81"/>
      <c r="I1925" s="81"/>
    </row>
    <row r="1926">
      <c r="D1926" s="81"/>
      <c r="E1926" s="81"/>
      <c r="F1926" s="555"/>
      <c r="G1926" s="81"/>
      <c r="H1926" s="81"/>
      <c r="I1926" s="81"/>
    </row>
    <row r="1927">
      <c r="D1927" s="81"/>
      <c r="E1927" s="81"/>
      <c r="F1927" s="555"/>
      <c r="G1927" s="81"/>
      <c r="H1927" s="81"/>
      <c r="I1927" s="81"/>
    </row>
    <row r="1928">
      <c r="D1928" s="81"/>
      <c r="E1928" s="81"/>
      <c r="F1928" s="555"/>
      <c r="G1928" s="81"/>
      <c r="H1928" s="81"/>
      <c r="I1928" s="81"/>
    </row>
    <row r="1929">
      <c r="D1929" s="81"/>
      <c r="E1929" s="81"/>
      <c r="F1929" s="555"/>
      <c r="G1929" s="81"/>
      <c r="H1929" s="81"/>
      <c r="I1929" s="81"/>
    </row>
    <row r="1930">
      <c r="D1930" s="81"/>
      <c r="E1930" s="81"/>
      <c r="F1930" s="555"/>
      <c r="G1930" s="81"/>
      <c r="H1930" s="81"/>
      <c r="I1930" s="81"/>
    </row>
    <row r="1931">
      <c r="D1931" s="81"/>
      <c r="E1931" s="81"/>
      <c r="F1931" s="555"/>
      <c r="G1931" s="81"/>
      <c r="H1931" s="81"/>
      <c r="I1931" s="81"/>
    </row>
    <row r="1932">
      <c r="D1932" s="81"/>
      <c r="E1932" s="81"/>
      <c r="F1932" s="555"/>
      <c r="G1932" s="81"/>
      <c r="H1932" s="81"/>
      <c r="I1932" s="81"/>
    </row>
    <row r="1933">
      <c r="D1933" s="81"/>
      <c r="E1933" s="81"/>
      <c r="F1933" s="555"/>
      <c r="G1933" s="81"/>
      <c r="H1933" s="81"/>
      <c r="I1933" s="81"/>
    </row>
    <row r="1934">
      <c r="D1934" s="81"/>
      <c r="E1934" s="81"/>
      <c r="F1934" s="555"/>
      <c r="G1934" s="81"/>
      <c r="H1934" s="81"/>
      <c r="I1934" s="81"/>
    </row>
    <row r="1935">
      <c r="D1935" s="81"/>
      <c r="E1935" s="81"/>
      <c r="F1935" s="555"/>
      <c r="G1935" s="81"/>
      <c r="H1935" s="81"/>
      <c r="I1935" s="81"/>
    </row>
    <row r="1936">
      <c r="D1936" s="81"/>
      <c r="E1936" s="81"/>
      <c r="F1936" s="555"/>
      <c r="G1936" s="81"/>
      <c r="H1936" s="81"/>
      <c r="I1936" s="81"/>
    </row>
    <row r="1937">
      <c r="D1937" s="81"/>
      <c r="E1937" s="81"/>
      <c r="F1937" s="555"/>
      <c r="G1937" s="81"/>
      <c r="H1937" s="81"/>
      <c r="I1937" s="81"/>
    </row>
    <row r="1938">
      <c r="D1938" s="81"/>
      <c r="E1938" s="81"/>
      <c r="F1938" s="555"/>
      <c r="G1938" s="81"/>
      <c r="H1938" s="81"/>
      <c r="I1938" s="81"/>
    </row>
    <row r="1939">
      <c r="D1939" s="81"/>
      <c r="E1939" s="81"/>
      <c r="F1939" s="555"/>
      <c r="G1939" s="81"/>
      <c r="H1939" s="81"/>
      <c r="I1939" s="81"/>
    </row>
    <row r="1940">
      <c r="D1940" s="81"/>
      <c r="E1940" s="81"/>
      <c r="F1940" s="555"/>
      <c r="G1940" s="81"/>
      <c r="H1940" s="81"/>
      <c r="I1940" s="81"/>
    </row>
    <row r="1941">
      <c r="D1941" s="81"/>
      <c r="E1941" s="81"/>
      <c r="F1941" s="555"/>
      <c r="G1941" s="81"/>
      <c r="H1941" s="81"/>
      <c r="I1941" s="81"/>
    </row>
    <row r="1942">
      <c r="D1942" s="81"/>
      <c r="E1942" s="81"/>
      <c r="F1942" s="555"/>
      <c r="G1942" s="81"/>
      <c r="H1942" s="81"/>
      <c r="I1942" s="81"/>
    </row>
    <row r="1943">
      <c r="D1943" s="81"/>
      <c r="E1943" s="81"/>
      <c r="F1943" s="555"/>
      <c r="G1943" s="81"/>
      <c r="H1943" s="81"/>
      <c r="I1943" s="81"/>
    </row>
    <row r="1944">
      <c r="D1944" s="81"/>
      <c r="E1944" s="81"/>
      <c r="F1944" s="555"/>
      <c r="G1944" s="81"/>
      <c r="H1944" s="81"/>
      <c r="I1944" s="81"/>
    </row>
    <row r="1945">
      <c r="D1945" s="81"/>
      <c r="E1945" s="81"/>
      <c r="F1945" s="555"/>
      <c r="G1945" s="81"/>
      <c r="H1945" s="81"/>
      <c r="I1945" s="81"/>
    </row>
    <row r="1946">
      <c r="D1946" s="81"/>
      <c r="E1946" s="81"/>
      <c r="F1946" s="555"/>
      <c r="G1946" s="81"/>
      <c r="H1946" s="81"/>
      <c r="I1946" s="81"/>
    </row>
    <row r="1947">
      <c r="D1947" s="81"/>
      <c r="E1947" s="81"/>
      <c r="F1947" s="555"/>
      <c r="G1947" s="81"/>
      <c r="H1947" s="81"/>
      <c r="I1947" s="81"/>
    </row>
    <row r="1948">
      <c r="D1948" s="81"/>
      <c r="E1948" s="81"/>
      <c r="F1948" s="555"/>
      <c r="G1948" s="81"/>
      <c r="H1948" s="81"/>
      <c r="I1948" s="81"/>
    </row>
    <row r="1949">
      <c r="D1949" s="81"/>
      <c r="E1949" s="81"/>
      <c r="F1949" s="555"/>
      <c r="G1949" s="81"/>
      <c r="H1949" s="81"/>
      <c r="I1949" s="81"/>
    </row>
    <row r="1950">
      <c r="D1950" s="81"/>
      <c r="E1950" s="81"/>
      <c r="F1950" s="555"/>
      <c r="G1950" s="81"/>
      <c r="H1950" s="81"/>
      <c r="I1950" s="81"/>
    </row>
    <row r="1951">
      <c r="D1951" s="81"/>
      <c r="E1951" s="81"/>
      <c r="F1951" s="555"/>
      <c r="G1951" s="81"/>
      <c r="H1951" s="81"/>
      <c r="I1951" s="81"/>
    </row>
    <row r="1952">
      <c r="D1952" s="81"/>
      <c r="E1952" s="81"/>
      <c r="F1952" s="555"/>
      <c r="G1952" s="81"/>
      <c r="H1952" s="81"/>
      <c r="I1952" s="81"/>
    </row>
    <row r="1953">
      <c r="D1953" s="81"/>
      <c r="E1953" s="81"/>
      <c r="F1953" s="555"/>
      <c r="G1953" s="81"/>
      <c r="H1953" s="81"/>
      <c r="I1953" s="81"/>
    </row>
    <row r="1954">
      <c r="D1954" s="81"/>
      <c r="E1954" s="81"/>
      <c r="F1954" s="555"/>
      <c r="G1954" s="81"/>
      <c r="H1954" s="81"/>
      <c r="I1954" s="81"/>
    </row>
    <row r="1955">
      <c r="D1955" s="81"/>
      <c r="E1955" s="81"/>
      <c r="F1955" s="555"/>
      <c r="G1955" s="81"/>
      <c r="H1955" s="81"/>
      <c r="I1955" s="81"/>
    </row>
    <row r="1956">
      <c r="D1956" s="81"/>
      <c r="E1956" s="81"/>
      <c r="F1956" s="555"/>
      <c r="G1956" s="81"/>
      <c r="H1956" s="81"/>
      <c r="I1956" s="81"/>
    </row>
    <row r="1957">
      <c r="D1957" s="81"/>
      <c r="E1957" s="81"/>
      <c r="F1957" s="555"/>
      <c r="G1957" s="81"/>
      <c r="H1957" s="81"/>
      <c r="I1957" s="81"/>
    </row>
    <row r="1958">
      <c r="D1958" s="81"/>
      <c r="E1958" s="81"/>
      <c r="F1958" s="555"/>
      <c r="G1958" s="81"/>
      <c r="H1958" s="81"/>
      <c r="I1958" s="81"/>
    </row>
    <row r="1959">
      <c r="D1959" s="81"/>
      <c r="E1959" s="81"/>
      <c r="F1959" s="555"/>
      <c r="G1959" s="81"/>
      <c r="H1959" s="81"/>
      <c r="I1959" s="81"/>
    </row>
    <row r="1960">
      <c r="D1960" s="81"/>
      <c r="E1960" s="81"/>
      <c r="F1960" s="555"/>
      <c r="G1960" s="81"/>
      <c r="H1960" s="81"/>
      <c r="I1960" s="81"/>
    </row>
    <row r="1961">
      <c r="D1961" s="81"/>
      <c r="E1961" s="81"/>
      <c r="F1961" s="555"/>
      <c r="G1961" s="81"/>
      <c r="H1961" s="81"/>
      <c r="I1961" s="81"/>
    </row>
    <row r="1962">
      <c r="D1962" s="81"/>
      <c r="E1962" s="81"/>
      <c r="F1962" s="555"/>
      <c r="G1962" s="81"/>
      <c r="H1962" s="81"/>
      <c r="I1962" s="81"/>
    </row>
    <row r="1963">
      <c r="D1963" s="81"/>
      <c r="E1963" s="81"/>
      <c r="F1963" s="555"/>
      <c r="G1963" s="81"/>
      <c r="H1963" s="81"/>
      <c r="I1963" s="81"/>
    </row>
    <row r="1964">
      <c r="D1964" s="81"/>
      <c r="E1964" s="81"/>
      <c r="F1964" s="555"/>
      <c r="G1964" s="81"/>
      <c r="H1964" s="81"/>
      <c r="I1964" s="81"/>
    </row>
    <row r="1965">
      <c r="D1965" s="81"/>
      <c r="E1965" s="81"/>
      <c r="F1965" s="555"/>
      <c r="G1965" s="81"/>
      <c r="H1965" s="81"/>
      <c r="I1965" s="81"/>
    </row>
    <row r="1966">
      <c r="D1966" s="81"/>
      <c r="E1966" s="81"/>
      <c r="F1966" s="555"/>
      <c r="G1966" s="81"/>
      <c r="H1966" s="81"/>
      <c r="I1966" s="81"/>
    </row>
    <row r="1967">
      <c r="D1967" s="81"/>
      <c r="E1967" s="81"/>
      <c r="F1967" s="555"/>
      <c r="G1967" s="81"/>
      <c r="H1967" s="81"/>
      <c r="I1967" s="81"/>
    </row>
    <row r="1968">
      <c r="D1968" s="81"/>
      <c r="E1968" s="81"/>
      <c r="F1968" s="555"/>
      <c r="G1968" s="81"/>
      <c r="H1968" s="81"/>
      <c r="I1968" s="81"/>
    </row>
    <row r="1969">
      <c r="D1969" s="81"/>
      <c r="E1969" s="81"/>
      <c r="F1969" s="555"/>
      <c r="G1969" s="81"/>
      <c r="H1969" s="81"/>
      <c r="I1969" s="81"/>
    </row>
    <row r="1970">
      <c r="D1970" s="81"/>
      <c r="E1970" s="81"/>
      <c r="F1970" s="555"/>
      <c r="G1970" s="81"/>
      <c r="H1970" s="81"/>
      <c r="I1970" s="81"/>
    </row>
    <row r="1971">
      <c r="D1971" s="81"/>
      <c r="E1971" s="81"/>
      <c r="F1971" s="555"/>
      <c r="G1971" s="81"/>
      <c r="H1971" s="81"/>
      <c r="I1971" s="81"/>
    </row>
    <row r="1972">
      <c r="D1972" s="81"/>
      <c r="E1972" s="81"/>
      <c r="F1972" s="555"/>
      <c r="G1972" s="81"/>
      <c r="H1972" s="81"/>
      <c r="I1972" s="81"/>
    </row>
    <row r="1973">
      <c r="D1973" s="81"/>
      <c r="E1973" s="81"/>
      <c r="F1973" s="555"/>
      <c r="G1973" s="81"/>
      <c r="H1973" s="81"/>
      <c r="I1973" s="81"/>
    </row>
    <row r="1974">
      <c r="D1974" s="81"/>
      <c r="E1974" s="81"/>
      <c r="F1974" s="555"/>
      <c r="G1974" s="81"/>
      <c r="H1974" s="81"/>
      <c r="I1974" s="81"/>
    </row>
    <row r="1975">
      <c r="D1975" s="81"/>
      <c r="E1975" s="81"/>
      <c r="F1975" s="555"/>
      <c r="G1975" s="81"/>
      <c r="H1975" s="81"/>
      <c r="I1975" s="81"/>
    </row>
    <row r="1976">
      <c r="D1976" s="81"/>
      <c r="E1976" s="81"/>
      <c r="F1976" s="555"/>
      <c r="G1976" s="81"/>
      <c r="H1976" s="81"/>
      <c r="I1976" s="81"/>
    </row>
    <row r="1977">
      <c r="D1977" s="81"/>
      <c r="E1977" s="81"/>
      <c r="F1977" s="555"/>
      <c r="G1977" s="81"/>
      <c r="H1977" s="81"/>
      <c r="I1977" s="81"/>
    </row>
    <row r="1978">
      <c r="D1978" s="81"/>
      <c r="E1978" s="81"/>
      <c r="F1978" s="555"/>
      <c r="G1978" s="81"/>
      <c r="H1978" s="81"/>
      <c r="I1978" s="81"/>
    </row>
    <row r="1979">
      <c r="D1979" s="81"/>
      <c r="E1979" s="81"/>
      <c r="F1979" s="555"/>
      <c r="G1979" s="81"/>
      <c r="H1979" s="81"/>
      <c r="I1979" s="81"/>
    </row>
    <row r="1980">
      <c r="D1980" s="81"/>
      <c r="E1980" s="81"/>
      <c r="F1980" s="555"/>
      <c r="G1980" s="81"/>
      <c r="H1980" s="81"/>
      <c r="I1980" s="81"/>
    </row>
    <row r="1981">
      <c r="D1981" s="81"/>
      <c r="E1981" s="81"/>
      <c r="F1981" s="555"/>
      <c r="G1981" s="81"/>
      <c r="H1981" s="81"/>
      <c r="I1981" s="81"/>
    </row>
    <row r="1982">
      <c r="D1982" s="81"/>
      <c r="E1982" s="81"/>
      <c r="F1982" s="555"/>
      <c r="G1982" s="81"/>
      <c r="H1982" s="81"/>
      <c r="I1982" s="81"/>
    </row>
    <row r="1983">
      <c r="D1983" s="81"/>
      <c r="E1983" s="81"/>
      <c r="F1983" s="555"/>
      <c r="G1983" s="81"/>
      <c r="H1983" s="81"/>
      <c r="I1983" s="81"/>
    </row>
    <row r="1984">
      <c r="D1984" s="81"/>
      <c r="E1984" s="81"/>
      <c r="F1984" s="555"/>
      <c r="G1984" s="81"/>
      <c r="H1984" s="81"/>
      <c r="I1984" s="81"/>
    </row>
    <row r="1985">
      <c r="D1985" s="81"/>
      <c r="E1985" s="81"/>
      <c r="F1985" s="555"/>
      <c r="G1985" s="81"/>
      <c r="H1985" s="81"/>
      <c r="I1985" s="81"/>
    </row>
    <row r="1986">
      <c r="D1986" s="81"/>
      <c r="E1986" s="81"/>
      <c r="F1986" s="555"/>
      <c r="G1986" s="81"/>
      <c r="H1986" s="81"/>
      <c r="I1986" s="81"/>
    </row>
    <row r="1987">
      <c r="D1987" s="81"/>
      <c r="E1987" s="81"/>
      <c r="F1987" s="555"/>
      <c r="G1987" s="81"/>
      <c r="H1987" s="81"/>
      <c r="I1987" s="81"/>
    </row>
    <row r="1988">
      <c r="D1988" s="81"/>
      <c r="E1988" s="81"/>
      <c r="F1988" s="555"/>
      <c r="G1988" s="81"/>
      <c r="H1988" s="81"/>
      <c r="I1988" s="81"/>
    </row>
    <row r="1989">
      <c r="D1989" s="81"/>
      <c r="E1989" s="81"/>
      <c r="F1989" s="555"/>
      <c r="G1989" s="81"/>
      <c r="H1989" s="81"/>
      <c r="I1989" s="81"/>
    </row>
    <row r="1990">
      <c r="D1990" s="81"/>
      <c r="E1990" s="81"/>
      <c r="F1990" s="555"/>
      <c r="G1990" s="81"/>
      <c r="H1990" s="81"/>
      <c r="I1990" s="81"/>
    </row>
    <row r="1991">
      <c r="D1991" s="81"/>
      <c r="E1991" s="81"/>
      <c r="F1991" s="555"/>
      <c r="G1991" s="81"/>
      <c r="H1991" s="81"/>
      <c r="I1991" s="81"/>
    </row>
    <row r="1992">
      <c r="D1992" s="81"/>
      <c r="E1992" s="81"/>
      <c r="F1992" s="555"/>
      <c r="G1992" s="81"/>
      <c r="H1992" s="81"/>
      <c r="I1992" s="81"/>
    </row>
    <row r="1993">
      <c r="D1993" s="81"/>
      <c r="E1993" s="81"/>
      <c r="F1993" s="555"/>
      <c r="G1993" s="81"/>
      <c r="H1993" s="81"/>
      <c r="I1993" s="81"/>
    </row>
    <row r="1994">
      <c r="D1994" s="81"/>
      <c r="E1994" s="81"/>
      <c r="F1994" s="555"/>
      <c r="G1994" s="81"/>
      <c r="H1994" s="81"/>
      <c r="I1994" s="81"/>
    </row>
    <row r="1995">
      <c r="D1995" s="81"/>
      <c r="E1995" s="81"/>
      <c r="F1995" s="555"/>
      <c r="G1995" s="81"/>
      <c r="H1995" s="81"/>
      <c r="I1995" s="81"/>
    </row>
    <row r="1996">
      <c r="D1996" s="81"/>
      <c r="E1996" s="81"/>
      <c r="F1996" s="555"/>
      <c r="G1996" s="81"/>
      <c r="H1996" s="81"/>
      <c r="I1996" s="81"/>
    </row>
    <row r="1997">
      <c r="D1997" s="81"/>
      <c r="E1997" s="81"/>
      <c r="F1997" s="555"/>
      <c r="G1997" s="81"/>
      <c r="H1997" s="81"/>
      <c r="I1997" s="81"/>
    </row>
    <row r="1998">
      <c r="D1998" s="81"/>
      <c r="E1998" s="81"/>
      <c r="F1998" s="555"/>
      <c r="G1998" s="81"/>
      <c r="H1998" s="81"/>
      <c r="I1998" s="81"/>
    </row>
    <row r="1999">
      <c r="D1999" s="81"/>
      <c r="E1999" s="81"/>
      <c r="F1999" s="555"/>
      <c r="G1999" s="81"/>
      <c r="H1999" s="81"/>
      <c r="I1999" s="81"/>
    </row>
    <row r="2000">
      <c r="D2000" s="81"/>
      <c r="E2000" s="81"/>
      <c r="F2000" s="555"/>
      <c r="G2000" s="81"/>
      <c r="H2000" s="81"/>
      <c r="I2000" s="81"/>
    </row>
    <row r="2001">
      <c r="D2001" s="81"/>
      <c r="E2001" s="81"/>
      <c r="F2001" s="555"/>
      <c r="G2001" s="81"/>
      <c r="H2001" s="81"/>
      <c r="I2001" s="81"/>
    </row>
    <row r="2002">
      <c r="D2002" s="81"/>
      <c r="E2002" s="81"/>
      <c r="F2002" s="555"/>
      <c r="G2002" s="81"/>
      <c r="H2002" s="81"/>
      <c r="I2002" s="81"/>
    </row>
    <row r="2003">
      <c r="D2003" s="81"/>
      <c r="E2003" s="81"/>
      <c r="F2003" s="555"/>
      <c r="G2003" s="81"/>
      <c r="H2003" s="81"/>
      <c r="I2003" s="81"/>
    </row>
    <row r="2004">
      <c r="D2004" s="81"/>
      <c r="E2004" s="81"/>
      <c r="F2004" s="555"/>
      <c r="G2004" s="81"/>
      <c r="H2004" s="81"/>
      <c r="I2004" s="81"/>
    </row>
    <row r="2005">
      <c r="D2005" s="81"/>
      <c r="E2005" s="81"/>
      <c r="F2005" s="555"/>
      <c r="G2005" s="81"/>
      <c r="H2005" s="81"/>
      <c r="I2005" s="81"/>
    </row>
    <row r="2006">
      <c r="D2006" s="81"/>
      <c r="E2006" s="81"/>
      <c r="F2006" s="555"/>
      <c r="G2006" s="81"/>
      <c r="H2006" s="81"/>
      <c r="I2006" s="81"/>
    </row>
    <row r="2007">
      <c r="D2007" s="81"/>
      <c r="E2007" s="81"/>
      <c r="F2007" s="555"/>
      <c r="G2007" s="81"/>
      <c r="H2007" s="81"/>
      <c r="I2007" s="81"/>
    </row>
    <row r="2008">
      <c r="D2008" s="81"/>
      <c r="E2008" s="81"/>
      <c r="F2008" s="555"/>
      <c r="G2008" s="81"/>
      <c r="H2008" s="81"/>
      <c r="I2008" s="81"/>
    </row>
    <row r="2009">
      <c r="D2009" s="81"/>
      <c r="E2009" s="81"/>
      <c r="F2009" s="555"/>
      <c r="G2009" s="81"/>
      <c r="H2009" s="81"/>
      <c r="I2009" s="81"/>
    </row>
    <row r="2010">
      <c r="D2010" s="81"/>
      <c r="E2010" s="81"/>
      <c r="F2010" s="555"/>
      <c r="G2010" s="81"/>
      <c r="H2010" s="81"/>
      <c r="I2010" s="81"/>
    </row>
    <row r="2011">
      <c r="D2011" s="81"/>
      <c r="E2011" s="81"/>
      <c r="F2011" s="555"/>
      <c r="G2011" s="81"/>
      <c r="H2011" s="81"/>
      <c r="I2011" s="81"/>
    </row>
    <row r="2012">
      <c r="D2012" s="81"/>
      <c r="E2012" s="81"/>
      <c r="F2012" s="555"/>
      <c r="G2012" s="81"/>
      <c r="H2012" s="81"/>
      <c r="I2012" s="81"/>
    </row>
    <row r="2013">
      <c r="D2013" s="81"/>
      <c r="E2013" s="81"/>
      <c r="F2013" s="555"/>
      <c r="G2013" s="81"/>
      <c r="H2013" s="81"/>
      <c r="I2013" s="81"/>
    </row>
    <row r="2014">
      <c r="D2014" s="81"/>
      <c r="E2014" s="81"/>
      <c r="F2014" s="555"/>
      <c r="G2014" s="81"/>
      <c r="H2014" s="81"/>
      <c r="I2014" s="81"/>
    </row>
    <row r="2015">
      <c r="D2015" s="81"/>
      <c r="E2015" s="81"/>
      <c r="F2015" s="555"/>
      <c r="G2015" s="81"/>
      <c r="H2015" s="81"/>
      <c r="I2015" s="81"/>
    </row>
    <row r="2016">
      <c r="D2016" s="81"/>
      <c r="E2016" s="81"/>
      <c r="F2016" s="555"/>
      <c r="G2016" s="81"/>
      <c r="H2016" s="81"/>
      <c r="I2016" s="81"/>
    </row>
    <row r="2017">
      <c r="D2017" s="81"/>
      <c r="E2017" s="81"/>
      <c r="F2017" s="555"/>
      <c r="G2017" s="81"/>
      <c r="H2017" s="81"/>
      <c r="I2017" s="81"/>
    </row>
    <row r="2018">
      <c r="D2018" s="81"/>
      <c r="E2018" s="81"/>
      <c r="F2018" s="555"/>
      <c r="G2018" s="81"/>
      <c r="H2018" s="81"/>
      <c r="I2018" s="81"/>
    </row>
    <row r="2019">
      <c r="D2019" s="81"/>
      <c r="E2019" s="81"/>
      <c r="F2019" s="555"/>
      <c r="G2019" s="81"/>
      <c r="H2019" s="81"/>
      <c r="I2019" s="81"/>
    </row>
    <row r="2020">
      <c r="D2020" s="81"/>
      <c r="E2020" s="81"/>
      <c r="F2020" s="555"/>
      <c r="G2020" s="81"/>
      <c r="H2020" s="81"/>
      <c r="I2020" s="81"/>
    </row>
    <row r="2021">
      <c r="D2021" s="81"/>
      <c r="E2021" s="81"/>
      <c r="F2021" s="555"/>
      <c r="G2021" s="81"/>
      <c r="H2021" s="81"/>
      <c r="I2021" s="81"/>
    </row>
    <row r="2022">
      <c r="D2022" s="81"/>
      <c r="E2022" s="81"/>
      <c r="F2022" s="555"/>
      <c r="G2022" s="81"/>
      <c r="H2022" s="81"/>
      <c r="I2022" s="81"/>
    </row>
    <row r="2023">
      <c r="D2023" s="81"/>
      <c r="E2023" s="81"/>
      <c r="F2023" s="555"/>
      <c r="G2023" s="81"/>
      <c r="H2023" s="81"/>
      <c r="I2023" s="81"/>
    </row>
    <row r="2024">
      <c r="D2024" s="81"/>
      <c r="E2024" s="81"/>
      <c r="F2024" s="555"/>
      <c r="G2024" s="81"/>
      <c r="H2024" s="81"/>
      <c r="I2024" s="81"/>
    </row>
    <row r="2025">
      <c r="D2025" s="81"/>
      <c r="E2025" s="81"/>
      <c r="F2025" s="555"/>
      <c r="G2025" s="81"/>
      <c r="H2025" s="81"/>
      <c r="I2025" s="81"/>
    </row>
    <row r="2026">
      <c r="D2026" s="81"/>
      <c r="E2026" s="81"/>
      <c r="F2026" s="555"/>
      <c r="G2026" s="81"/>
      <c r="H2026" s="81"/>
      <c r="I2026" s="81"/>
    </row>
    <row r="2027">
      <c r="D2027" s="81"/>
      <c r="E2027" s="81"/>
      <c r="F2027" s="555"/>
      <c r="G2027" s="81"/>
      <c r="H2027" s="81"/>
      <c r="I2027" s="81"/>
    </row>
    <row r="2028">
      <c r="D2028" s="81"/>
      <c r="E2028" s="81"/>
      <c r="F2028" s="555"/>
      <c r="G2028" s="81"/>
      <c r="H2028" s="81"/>
      <c r="I2028" s="81"/>
    </row>
    <row r="2029">
      <c r="D2029" s="81"/>
      <c r="E2029" s="81"/>
      <c r="F2029" s="555"/>
      <c r="G2029" s="81"/>
      <c r="H2029" s="81"/>
      <c r="I2029" s="81"/>
    </row>
    <row r="2030">
      <c r="D2030" s="81"/>
      <c r="E2030" s="81"/>
      <c r="F2030" s="555"/>
      <c r="G2030" s="81"/>
      <c r="H2030" s="81"/>
      <c r="I2030" s="81"/>
    </row>
    <row r="2031">
      <c r="D2031" s="81"/>
      <c r="E2031" s="81"/>
      <c r="F2031" s="555"/>
      <c r="G2031" s="81"/>
      <c r="H2031" s="81"/>
      <c r="I2031" s="81"/>
    </row>
    <row r="2032">
      <c r="D2032" s="81"/>
      <c r="E2032" s="81"/>
      <c r="F2032" s="555"/>
      <c r="G2032" s="81"/>
      <c r="H2032" s="81"/>
      <c r="I2032" s="81"/>
    </row>
    <row r="2033">
      <c r="D2033" s="81"/>
      <c r="E2033" s="81"/>
      <c r="F2033" s="555"/>
      <c r="G2033" s="81"/>
      <c r="H2033" s="81"/>
      <c r="I2033" s="81"/>
    </row>
    <row r="2034">
      <c r="D2034" s="81"/>
      <c r="E2034" s="81"/>
      <c r="F2034" s="555"/>
      <c r="G2034" s="81"/>
      <c r="H2034" s="81"/>
      <c r="I2034" s="81"/>
    </row>
    <row r="2035">
      <c r="D2035" s="81"/>
      <c r="E2035" s="81"/>
      <c r="F2035" s="555"/>
      <c r="G2035" s="81"/>
      <c r="H2035" s="81"/>
      <c r="I2035" s="81"/>
    </row>
    <row r="2036">
      <c r="D2036" s="81"/>
      <c r="E2036" s="81"/>
      <c r="F2036" s="555"/>
      <c r="G2036" s="81"/>
      <c r="H2036" s="81"/>
      <c r="I2036" s="81"/>
    </row>
    <row r="2037">
      <c r="D2037" s="81"/>
      <c r="E2037" s="81"/>
      <c r="F2037" s="555"/>
      <c r="G2037" s="81"/>
      <c r="H2037" s="81"/>
      <c r="I2037" s="81"/>
    </row>
    <row r="2038">
      <c r="D2038" s="81"/>
      <c r="E2038" s="81"/>
      <c r="F2038" s="555"/>
      <c r="G2038" s="81"/>
      <c r="H2038" s="81"/>
      <c r="I2038" s="81"/>
    </row>
    <row r="2039">
      <c r="D2039" s="81"/>
      <c r="E2039" s="81"/>
      <c r="F2039" s="555"/>
      <c r="G2039" s="81"/>
      <c r="H2039" s="81"/>
      <c r="I2039" s="81"/>
    </row>
    <row r="2040">
      <c r="D2040" s="81"/>
      <c r="E2040" s="81"/>
      <c r="F2040" s="555"/>
      <c r="G2040" s="81"/>
      <c r="H2040" s="81"/>
      <c r="I2040" s="81"/>
    </row>
    <row r="2041">
      <c r="D2041" s="81"/>
      <c r="E2041" s="81"/>
      <c r="F2041" s="555"/>
      <c r="G2041" s="81"/>
      <c r="H2041" s="81"/>
      <c r="I2041" s="81"/>
    </row>
    <row r="2042">
      <c r="D2042" s="81"/>
      <c r="E2042" s="81"/>
      <c r="F2042" s="555"/>
      <c r="G2042" s="81"/>
      <c r="H2042" s="81"/>
      <c r="I2042" s="81"/>
    </row>
    <row r="2043">
      <c r="D2043" s="81"/>
      <c r="E2043" s="81"/>
      <c r="F2043" s="555"/>
      <c r="G2043" s="81"/>
      <c r="H2043" s="81"/>
      <c r="I2043" s="81"/>
    </row>
    <row r="2044">
      <c r="D2044" s="81"/>
      <c r="E2044" s="81"/>
      <c r="F2044" s="555"/>
      <c r="G2044" s="81"/>
      <c r="H2044" s="81"/>
      <c r="I2044" s="81"/>
    </row>
    <row r="2045">
      <c r="D2045" s="81"/>
      <c r="E2045" s="81"/>
      <c r="F2045" s="555"/>
      <c r="G2045" s="81"/>
      <c r="H2045" s="81"/>
      <c r="I2045" s="81"/>
    </row>
    <row r="2046">
      <c r="D2046" s="81"/>
      <c r="E2046" s="81"/>
      <c r="F2046" s="555"/>
      <c r="G2046" s="81"/>
      <c r="H2046" s="81"/>
      <c r="I2046" s="81"/>
    </row>
    <row r="2047">
      <c r="D2047" s="81"/>
      <c r="E2047" s="81"/>
      <c r="F2047" s="555"/>
      <c r="G2047" s="81"/>
      <c r="H2047" s="81"/>
      <c r="I2047" s="81"/>
    </row>
    <row r="2048">
      <c r="D2048" s="81"/>
      <c r="E2048" s="81"/>
      <c r="F2048" s="555"/>
      <c r="G2048" s="81"/>
      <c r="H2048" s="81"/>
      <c r="I2048" s="81"/>
    </row>
    <row r="2049">
      <c r="D2049" s="81"/>
      <c r="E2049" s="81"/>
      <c r="F2049" s="555"/>
      <c r="G2049" s="81"/>
      <c r="H2049" s="81"/>
      <c r="I2049" s="81"/>
    </row>
    <row r="2050">
      <c r="D2050" s="81"/>
      <c r="E2050" s="81"/>
      <c r="F2050" s="555"/>
      <c r="G2050" s="81"/>
      <c r="H2050" s="81"/>
      <c r="I2050" s="81"/>
    </row>
    <row r="2051">
      <c r="D2051" s="81"/>
      <c r="E2051" s="81"/>
      <c r="F2051" s="555"/>
      <c r="G2051" s="81"/>
      <c r="H2051" s="81"/>
      <c r="I2051" s="81"/>
    </row>
    <row r="2052">
      <c r="D2052" s="81"/>
      <c r="E2052" s="81"/>
      <c r="F2052" s="555"/>
      <c r="G2052" s="81"/>
      <c r="H2052" s="81"/>
      <c r="I2052" s="81"/>
    </row>
    <row r="2053">
      <c r="D2053" s="81"/>
      <c r="E2053" s="81"/>
      <c r="F2053" s="555"/>
      <c r="G2053" s="81"/>
      <c r="H2053" s="81"/>
      <c r="I2053" s="81"/>
    </row>
    <row r="2054">
      <c r="D2054" s="81"/>
      <c r="E2054" s="81"/>
      <c r="F2054" s="555"/>
      <c r="G2054" s="81"/>
      <c r="H2054" s="81"/>
      <c r="I2054" s="81"/>
    </row>
    <row r="2055">
      <c r="D2055" s="81"/>
      <c r="E2055" s="81"/>
      <c r="F2055" s="555"/>
      <c r="G2055" s="81"/>
      <c r="H2055" s="81"/>
      <c r="I2055" s="81"/>
    </row>
    <row r="2056">
      <c r="D2056" s="81"/>
      <c r="E2056" s="81"/>
      <c r="F2056" s="555"/>
      <c r="G2056" s="81"/>
      <c r="H2056" s="81"/>
      <c r="I2056" s="81"/>
    </row>
    <row r="2057">
      <c r="D2057" s="81"/>
      <c r="E2057" s="81"/>
      <c r="F2057" s="555"/>
      <c r="G2057" s="81"/>
      <c r="H2057" s="81"/>
      <c r="I2057" s="81"/>
    </row>
    <row r="2058">
      <c r="D2058" s="81"/>
      <c r="E2058" s="81"/>
      <c r="F2058" s="555"/>
      <c r="G2058" s="81"/>
      <c r="H2058" s="81"/>
      <c r="I2058" s="81"/>
    </row>
    <row r="2059">
      <c r="D2059" s="81"/>
      <c r="E2059" s="81"/>
      <c r="F2059" s="555"/>
      <c r="G2059" s="81"/>
      <c r="H2059" s="81"/>
      <c r="I2059" s="81"/>
    </row>
    <row r="2060">
      <c r="D2060" s="81"/>
      <c r="E2060" s="81"/>
      <c r="F2060" s="555"/>
      <c r="G2060" s="81"/>
      <c r="H2060" s="81"/>
      <c r="I2060" s="81"/>
    </row>
    <row r="2061">
      <c r="D2061" s="81"/>
      <c r="E2061" s="81"/>
      <c r="F2061" s="555"/>
      <c r="G2061" s="81"/>
      <c r="H2061" s="81"/>
      <c r="I2061" s="81"/>
    </row>
    <row r="2062">
      <c r="D2062" s="81"/>
      <c r="E2062" s="81"/>
      <c r="F2062" s="555"/>
      <c r="G2062" s="81"/>
      <c r="H2062" s="81"/>
      <c r="I2062" s="81"/>
    </row>
    <row r="2063">
      <c r="D2063" s="81"/>
      <c r="E2063" s="81"/>
      <c r="F2063" s="555"/>
      <c r="G2063" s="81"/>
      <c r="H2063" s="81"/>
      <c r="I2063" s="81"/>
    </row>
    <row r="2064">
      <c r="D2064" s="81"/>
      <c r="E2064" s="81"/>
      <c r="F2064" s="555"/>
      <c r="G2064" s="81"/>
      <c r="H2064" s="81"/>
      <c r="I2064" s="81"/>
    </row>
    <row r="2065">
      <c r="D2065" s="81"/>
      <c r="E2065" s="81"/>
      <c r="F2065" s="555"/>
      <c r="G2065" s="81"/>
      <c r="H2065" s="81"/>
      <c r="I2065" s="81"/>
    </row>
    <row r="2066">
      <c r="D2066" s="81"/>
      <c r="E2066" s="81"/>
      <c r="F2066" s="555"/>
      <c r="G2066" s="81"/>
      <c r="H2066" s="81"/>
      <c r="I2066" s="81"/>
    </row>
    <row r="2067">
      <c r="D2067" s="81"/>
      <c r="E2067" s="81"/>
      <c r="F2067" s="555"/>
      <c r="G2067" s="81"/>
      <c r="H2067" s="81"/>
      <c r="I2067" s="81"/>
    </row>
    <row r="2068">
      <c r="D2068" s="81"/>
      <c r="E2068" s="81"/>
      <c r="F2068" s="555"/>
      <c r="G2068" s="81"/>
      <c r="H2068" s="81"/>
      <c r="I2068" s="81"/>
    </row>
    <row r="2069">
      <c r="D2069" s="81"/>
      <c r="E2069" s="81"/>
      <c r="F2069" s="555"/>
      <c r="G2069" s="81"/>
      <c r="H2069" s="81"/>
      <c r="I2069" s="81"/>
    </row>
    <row r="2070">
      <c r="D2070" s="81"/>
      <c r="E2070" s="81"/>
      <c r="F2070" s="555"/>
      <c r="G2070" s="81"/>
      <c r="H2070" s="81"/>
      <c r="I2070" s="81"/>
    </row>
    <row r="2071">
      <c r="D2071" s="81"/>
      <c r="E2071" s="81"/>
      <c r="F2071" s="555"/>
      <c r="G2071" s="81"/>
      <c r="H2071" s="81"/>
      <c r="I2071" s="81"/>
    </row>
    <row r="2072">
      <c r="D2072" s="81"/>
      <c r="E2072" s="81"/>
      <c r="F2072" s="555"/>
      <c r="G2072" s="81"/>
      <c r="H2072" s="81"/>
      <c r="I2072" s="81"/>
    </row>
    <row r="2073">
      <c r="D2073" s="81"/>
      <c r="E2073" s="81"/>
      <c r="F2073" s="555"/>
      <c r="G2073" s="81"/>
      <c r="H2073" s="81"/>
      <c r="I2073" s="81"/>
    </row>
    <row r="2074">
      <c r="D2074" s="81"/>
      <c r="E2074" s="81"/>
      <c r="F2074" s="555"/>
      <c r="G2074" s="81"/>
      <c r="H2074" s="81"/>
      <c r="I2074" s="81"/>
    </row>
    <row r="2075">
      <c r="D2075" s="81"/>
      <c r="E2075" s="81"/>
      <c r="F2075" s="555"/>
      <c r="G2075" s="81"/>
      <c r="H2075" s="81"/>
      <c r="I2075" s="81"/>
    </row>
    <row r="2076">
      <c r="D2076" s="81"/>
      <c r="E2076" s="81"/>
      <c r="F2076" s="555"/>
      <c r="G2076" s="81"/>
      <c r="H2076" s="81"/>
      <c r="I2076" s="81"/>
    </row>
    <row r="2077">
      <c r="D2077" s="81"/>
      <c r="E2077" s="81"/>
      <c r="F2077" s="555"/>
      <c r="G2077" s="81"/>
      <c r="H2077" s="81"/>
      <c r="I2077" s="81"/>
    </row>
    <row r="2078">
      <c r="D2078" s="81"/>
      <c r="E2078" s="81"/>
      <c r="F2078" s="555"/>
      <c r="G2078" s="81"/>
      <c r="H2078" s="81"/>
      <c r="I2078" s="81"/>
    </row>
    <row r="2079">
      <c r="D2079" s="81"/>
      <c r="E2079" s="81"/>
      <c r="F2079" s="555"/>
      <c r="G2079" s="81"/>
      <c r="H2079" s="81"/>
      <c r="I2079" s="81"/>
    </row>
    <row r="2080">
      <c r="D2080" s="81"/>
      <c r="E2080" s="81"/>
      <c r="F2080" s="555"/>
      <c r="G2080" s="81"/>
      <c r="H2080" s="81"/>
      <c r="I2080" s="81"/>
    </row>
    <row r="2081">
      <c r="D2081" s="81"/>
      <c r="E2081" s="81"/>
      <c r="F2081" s="555"/>
      <c r="G2081" s="81"/>
      <c r="H2081" s="81"/>
      <c r="I2081" s="81"/>
    </row>
    <row r="2082">
      <c r="D2082" s="81"/>
      <c r="E2082" s="81"/>
      <c r="F2082" s="555"/>
      <c r="G2082" s="81"/>
      <c r="H2082" s="81"/>
      <c r="I2082" s="81"/>
    </row>
    <row r="2083">
      <c r="D2083" s="81"/>
      <c r="E2083" s="81"/>
      <c r="F2083" s="555"/>
      <c r="G2083" s="81"/>
      <c r="H2083" s="81"/>
      <c r="I2083" s="81"/>
    </row>
    <row r="2084">
      <c r="D2084" s="81"/>
      <c r="E2084" s="81"/>
      <c r="F2084" s="555"/>
      <c r="G2084" s="81"/>
      <c r="H2084" s="81"/>
      <c r="I2084" s="81"/>
    </row>
    <row r="2085">
      <c r="D2085" s="81"/>
      <c r="E2085" s="81"/>
      <c r="F2085" s="555"/>
      <c r="G2085" s="81"/>
      <c r="H2085" s="81"/>
      <c r="I2085" s="81"/>
    </row>
    <row r="2086">
      <c r="D2086" s="81"/>
      <c r="E2086" s="81"/>
      <c r="F2086" s="555"/>
      <c r="G2086" s="81"/>
      <c r="H2086" s="81"/>
      <c r="I2086" s="81"/>
    </row>
    <row r="2087">
      <c r="D2087" s="81"/>
      <c r="E2087" s="81"/>
      <c r="F2087" s="555"/>
      <c r="G2087" s="81"/>
      <c r="H2087" s="81"/>
      <c r="I2087" s="81"/>
    </row>
    <row r="2088">
      <c r="D2088" s="81"/>
      <c r="E2088" s="81"/>
      <c r="F2088" s="555"/>
      <c r="G2088" s="81"/>
      <c r="H2088" s="81"/>
      <c r="I2088" s="81"/>
    </row>
    <row r="2089">
      <c r="D2089" s="81"/>
      <c r="E2089" s="81"/>
      <c r="F2089" s="555"/>
      <c r="G2089" s="81"/>
      <c r="H2089" s="81"/>
      <c r="I2089" s="81"/>
    </row>
    <row r="2090">
      <c r="D2090" s="81"/>
      <c r="E2090" s="81"/>
      <c r="F2090" s="555"/>
      <c r="G2090" s="81"/>
      <c r="H2090" s="81"/>
      <c r="I2090" s="81"/>
    </row>
    <row r="2091">
      <c r="D2091" s="81"/>
      <c r="E2091" s="81"/>
      <c r="F2091" s="555"/>
      <c r="G2091" s="81"/>
      <c r="H2091" s="81"/>
      <c r="I2091" s="81"/>
    </row>
    <row r="2092">
      <c r="D2092" s="81"/>
      <c r="E2092" s="81"/>
      <c r="F2092" s="555"/>
      <c r="G2092" s="81"/>
      <c r="H2092" s="81"/>
      <c r="I2092" s="81"/>
    </row>
    <row r="2093">
      <c r="D2093" s="81"/>
      <c r="E2093" s="81"/>
      <c r="F2093" s="555"/>
      <c r="G2093" s="81"/>
      <c r="H2093" s="81"/>
      <c r="I2093" s="81"/>
    </row>
    <row r="2094">
      <c r="D2094" s="81"/>
      <c r="E2094" s="81"/>
      <c r="F2094" s="555"/>
      <c r="G2094" s="81"/>
      <c r="H2094" s="81"/>
      <c r="I2094" s="81"/>
    </row>
    <row r="2095">
      <c r="D2095" s="81"/>
      <c r="E2095" s="81"/>
      <c r="F2095" s="555"/>
      <c r="G2095" s="81"/>
      <c r="H2095" s="81"/>
      <c r="I2095" s="81"/>
    </row>
    <row r="2096">
      <c r="D2096" s="81"/>
      <c r="E2096" s="81"/>
      <c r="F2096" s="555"/>
      <c r="G2096" s="81"/>
      <c r="H2096" s="81"/>
      <c r="I2096" s="81"/>
    </row>
    <row r="2097">
      <c r="D2097" s="81"/>
      <c r="E2097" s="81"/>
      <c r="F2097" s="555"/>
      <c r="G2097" s="81"/>
      <c r="H2097" s="81"/>
      <c r="I2097" s="81"/>
    </row>
    <row r="2098">
      <c r="D2098" s="81"/>
      <c r="E2098" s="81"/>
      <c r="F2098" s="555"/>
      <c r="G2098" s="81"/>
      <c r="H2098" s="81"/>
      <c r="I2098" s="81"/>
    </row>
    <row r="2099">
      <c r="D2099" s="81"/>
      <c r="E2099" s="81"/>
      <c r="F2099" s="555"/>
      <c r="G2099" s="81"/>
      <c r="H2099" s="81"/>
      <c r="I2099" s="81"/>
    </row>
    <row r="2100">
      <c r="D2100" s="81"/>
      <c r="E2100" s="81"/>
      <c r="F2100" s="555"/>
      <c r="G2100" s="81"/>
      <c r="H2100" s="81"/>
      <c r="I2100" s="81"/>
    </row>
    <row r="2101">
      <c r="D2101" s="81"/>
      <c r="E2101" s="81"/>
      <c r="F2101" s="555"/>
      <c r="G2101" s="81"/>
      <c r="H2101" s="81"/>
      <c r="I2101" s="81"/>
    </row>
    <row r="2102">
      <c r="D2102" s="81"/>
      <c r="E2102" s="81"/>
      <c r="F2102" s="555"/>
      <c r="G2102" s="81"/>
      <c r="H2102" s="81"/>
      <c r="I2102" s="81"/>
    </row>
    <row r="2103">
      <c r="D2103" s="81"/>
      <c r="E2103" s="81"/>
      <c r="F2103" s="555"/>
      <c r="G2103" s="81"/>
      <c r="H2103" s="81"/>
      <c r="I2103" s="81"/>
    </row>
    <row r="2104">
      <c r="D2104" s="81"/>
      <c r="E2104" s="81"/>
      <c r="F2104" s="555"/>
      <c r="G2104" s="81"/>
      <c r="H2104" s="81"/>
      <c r="I2104" s="81"/>
    </row>
    <row r="2105">
      <c r="D2105" s="81"/>
      <c r="E2105" s="81"/>
      <c r="F2105" s="555"/>
      <c r="G2105" s="81"/>
      <c r="H2105" s="81"/>
      <c r="I2105" s="81"/>
    </row>
    <row r="2106">
      <c r="D2106" s="81"/>
      <c r="E2106" s="81"/>
      <c r="F2106" s="555"/>
      <c r="G2106" s="81"/>
      <c r="H2106" s="81"/>
      <c r="I2106" s="81"/>
    </row>
    <row r="2107">
      <c r="D2107" s="81"/>
      <c r="E2107" s="81"/>
      <c r="F2107" s="555"/>
      <c r="G2107" s="81"/>
      <c r="H2107" s="81"/>
      <c r="I2107" s="81"/>
    </row>
    <row r="2108">
      <c r="D2108" s="81"/>
      <c r="E2108" s="81"/>
      <c r="F2108" s="555"/>
      <c r="G2108" s="81"/>
      <c r="H2108" s="81"/>
      <c r="I2108" s="81"/>
    </row>
    <row r="2109">
      <c r="D2109" s="81"/>
      <c r="E2109" s="81"/>
      <c r="F2109" s="555"/>
      <c r="G2109" s="81"/>
      <c r="H2109" s="81"/>
      <c r="I2109" s="81"/>
    </row>
    <row r="2110">
      <c r="D2110" s="81"/>
      <c r="E2110" s="81"/>
      <c r="F2110" s="555"/>
      <c r="G2110" s="81"/>
      <c r="H2110" s="81"/>
      <c r="I2110" s="81"/>
    </row>
    <row r="2111">
      <c r="D2111" s="81"/>
      <c r="E2111" s="81"/>
      <c r="F2111" s="555"/>
      <c r="G2111" s="81"/>
      <c r="H2111" s="81"/>
      <c r="I2111" s="81"/>
    </row>
    <row r="2112">
      <c r="D2112" s="81"/>
      <c r="E2112" s="81"/>
      <c r="F2112" s="555"/>
      <c r="G2112" s="81"/>
      <c r="H2112" s="81"/>
      <c r="I2112" s="81"/>
    </row>
    <row r="2113">
      <c r="D2113" s="81"/>
      <c r="E2113" s="81"/>
      <c r="F2113" s="555"/>
      <c r="G2113" s="81"/>
      <c r="H2113" s="81"/>
      <c r="I2113" s="81"/>
    </row>
    <row r="2114">
      <c r="D2114" s="81"/>
      <c r="E2114" s="81"/>
      <c r="F2114" s="555"/>
      <c r="G2114" s="81"/>
      <c r="H2114" s="81"/>
      <c r="I2114" s="81"/>
    </row>
    <row r="2115">
      <c r="D2115" s="81"/>
      <c r="E2115" s="81"/>
      <c r="F2115" s="555"/>
      <c r="G2115" s="81"/>
      <c r="H2115" s="81"/>
      <c r="I2115" s="81"/>
    </row>
    <row r="2116">
      <c r="D2116" s="81"/>
      <c r="E2116" s="81"/>
      <c r="F2116" s="555"/>
      <c r="G2116" s="81"/>
      <c r="H2116" s="81"/>
      <c r="I2116" s="81"/>
    </row>
    <row r="2117">
      <c r="D2117" s="81"/>
      <c r="E2117" s="81"/>
      <c r="F2117" s="555"/>
      <c r="G2117" s="81"/>
      <c r="H2117" s="81"/>
      <c r="I2117" s="81"/>
    </row>
    <row r="2118">
      <c r="D2118" s="81"/>
      <c r="E2118" s="81"/>
      <c r="F2118" s="555"/>
      <c r="G2118" s="81"/>
      <c r="H2118" s="81"/>
      <c r="I2118" s="81"/>
    </row>
    <row r="2119">
      <c r="D2119" s="81"/>
      <c r="E2119" s="81"/>
      <c r="F2119" s="555"/>
      <c r="G2119" s="81"/>
      <c r="H2119" s="81"/>
      <c r="I2119" s="81"/>
    </row>
    <row r="2120">
      <c r="D2120" s="81"/>
      <c r="E2120" s="81"/>
      <c r="F2120" s="555"/>
      <c r="G2120" s="81"/>
      <c r="H2120" s="81"/>
      <c r="I2120" s="81"/>
    </row>
    <row r="2121">
      <c r="D2121" s="81"/>
      <c r="E2121" s="81"/>
      <c r="F2121" s="555"/>
      <c r="G2121" s="81"/>
      <c r="H2121" s="81"/>
      <c r="I2121" s="81"/>
    </row>
    <row r="2122">
      <c r="D2122" s="81"/>
      <c r="E2122" s="81"/>
      <c r="F2122" s="555"/>
      <c r="G2122" s="81"/>
      <c r="H2122" s="81"/>
      <c r="I2122" s="81"/>
    </row>
    <row r="2123">
      <c r="D2123" s="81"/>
      <c r="E2123" s="81"/>
      <c r="F2123" s="555"/>
      <c r="G2123" s="81"/>
      <c r="H2123" s="81"/>
      <c r="I2123" s="81"/>
    </row>
    <row r="2124">
      <c r="D2124" s="81"/>
      <c r="E2124" s="81"/>
      <c r="F2124" s="555"/>
      <c r="G2124" s="81"/>
      <c r="H2124" s="81"/>
      <c r="I2124" s="81"/>
    </row>
    <row r="2125">
      <c r="D2125" s="81"/>
      <c r="E2125" s="81"/>
      <c r="F2125" s="555"/>
      <c r="G2125" s="81"/>
      <c r="H2125" s="81"/>
      <c r="I2125" s="81"/>
    </row>
    <row r="2126">
      <c r="D2126" s="81"/>
      <c r="E2126" s="81"/>
      <c r="F2126" s="555"/>
      <c r="G2126" s="81"/>
      <c r="H2126" s="81"/>
      <c r="I2126" s="81"/>
    </row>
    <row r="2127">
      <c r="D2127" s="81"/>
      <c r="E2127" s="81"/>
      <c r="F2127" s="555"/>
      <c r="G2127" s="81"/>
      <c r="H2127" s="81"/>
      <c r="I2127" s="81"/>
    </row>
    <row r="2128">
      <c r="D2128" s="81"/>
      <c r="E2128" s="81"/>
      <c r="F2128" s="555"/>
      <c r="G2128" s="81"/>
      <c r="H2128" s="81"/>
      <c r="I2128" s="81"/>
    </row>
    <row r="2129">
      <c r="D2129" s="81"/>
      <c r="E2129" s="81"/>
      <c r="F2129" s="555"/>
      <c r="G2129" s="81"/>
      <c r="H2129" s="81"/>
      <c r="I2129" s="81"/>
    </row>
    <row r="2130">
      <c r="D2130" s="81"/>
      <c r="E2130" s="81"/>
      <c r="F2130" s="555"/>
      <c r="G2130" s="81"/>
      <c r="H2130" s="81"/>
      <c r="I2130" s="81"/>
    </row>
    <row r="2131">
      <c r="D2131" s="81"/>
      <c r="E2131" s="81"/>
      <c r="F2131" s="555"/>
      <c r="G2131" s="81"/>
      <c r="H2131" s="81"/>
      <c r="I2131" s="81"/>
    </row>
    <row r="2132">
      <c r="D2132" s="81"/>
      <c r="E2132" s="81"/>
      <c r="F2132" s="555"/>
      <c r="G2132" s="81"/>
      <c r="H2132" s="81"/>
      <c r="I2132" s="81"/>
    </row>
    <row r="2133">
      <c r="D2133" s="81"/>
      <c r="E2133" s="81"/>
      <c r="F2133" s="555"/>
      <c r="G2133" s="81"/>
      <c r="H2133" s="81"/>
      <c r="I2133" s="81"/>
    </row>
    <row r="2134">
      <c r="D2134" s="81"/>
      <c r="E2134" s="81"/>
      <c r="F2134" s="555"/>
      <c r="G2134" s="81"/>
      <c r="H2134" s="81"/>
      <c r="I2134" s="81"/>
    </row>
    <row r="2135">
      <c r="D2135" s="81"/>
      <c r="E2135" s="81"/>
      <c r="F2135" s="555"/>
      <c r="G2135" s="81"/>
      <c r="H2135" s="81"/>
      <c r="I2135" s="81"/>
    </row>
    <row r="2136">
      <c r="D2136" s="81"/>
      <c r="E2136" s="81"/>
      <c r="F2136" s="555"/>
      <c r="G2136" s="81"/>
      <c r="H2136" s="81"/>
      <c r="I2136" s="81"/>
    </row>
    <row r="2137">
      <c r="D2137" s="81"/>
      <c r="E2137" s="81"/>
      <c r="F2137" s="555"/>
      <c r="G2137" s="81"/>
      <c r="H2137" s="81"/>
      <c r="I2137" s="81"/>
    </row>
    <row r="2138">
      <c r="D2138" s="81"/>
      <c r="E2138" s="81"/>
      <c r="F2138" s="555"/>
      <c r="G2138" s="81"/>
      <c r="H2138" s="81"/>
      <c r="I2138" s="81"/>
    </row>
    <row r="2139">
      <c r="D2139" s="81"/>
      <c r="E2139" s="81"/>
      <c r="F2139" s="555"/>
      <c r="G2139" s="81"/>
      <c r="H2139" s="81"/>
      <c r="I2139" s="81"/>
    </row>
    <row r="2140">
      <c r="D2140" s="81"/>
      <c r="E2140" s="81"/>
      <c r="F2140" s="555"/>
      <c r="G2140" s="81"/>
      <c r="H2140" s="81"/>
      <c r="I2140" s="81"/>
    </row>
    <row r="2141">
      <c r="D2141" s="81"/>
      <c r="E2141" s="81"/>
      <c r="F2141" s="555"/>
      <c r="G2141" s="81"/>
      <c r="H2141" s="81"/>
      <c r="I2141" s="81"/>
    </row>
    <row r="2142">
      <c r="D2142" s="81"/>
      <c r="E2142" s="81"/>
      <c r="F2142" s="555"/>
      <c r="G2142" s="81"/>
      <c r="H2142" s="81"/>
      <c r="I2142" s="81"/>
    </row>
    <row r="2143">
      <c r="D2143" s="81"/>
      <c r="E2143" s="81"/>
      <c r="F2143" s="555"/>
      <c r="G2143" s="81"/>
      <c r="H2143" s="81"/>
      <c r="I2143" s="81"/>
    </row>
    <row r="2144">
      <c r="D2144" s="81"/>
      <c r="E2144" s="81"/>
      <c r="F2144" s="555"/>
      <c r="G2144" s="81"/>
      <c r="H2144" s="81"/>
      <c r="I2144" s="81"/>
    </row>
    <row r="2145">
      <c r="D2145" s="81"/>
      <c r="E2145" s="81"/>
      <c r="F2145" s="555"/>
      <c r="G2145" s="81"/>
      <c r="H2145" s="81"/>
      <c r="I2145" s="81"/>
    </row>
    <row r="2146">
      <c r="D2146" s="81"/>
      <c r="E2146" s="81"/>
      <c r="F2146" s="555"/>
      <c r="G2146" s="81"/>
      <c r="H2146" s="81"/>
      <c r="I2146" s="81"/>
    </row>
    <row r="2147">
      <c r="D2147" s="81"/>
      <c r="E2147" s="81"/>
      <c r="F2147" s="555"/>
      <c r="G2147" s="81"/>
      <c r="H2147" s="81"/>
      <c r="I2147" s="81"/>
    </row>
    <row r="2148">
      <c r="D2148" s="81"/>
      <c r="E2148" s="81"/>
      <c r="F2148" s="555"/>
      <c r="G2148" s="81"/>
      <c r="H2148" s="81"/>
      <c r="I2148" s="81"/>
    </row>
    <row r="2149">
      <c r="D2149" s="81"/>
      <c r="E2149" s="81"/>
      <c r="F2149" s="555"/>
      <c r="G2149" s="81"/>
      <c r="H2149" s="81"/>
      <c r="I2149" s="81"/>
    </row>
    <row r="2150">
      <c r="D2150" s="81"/>
      <c r="E2150" s="81"/>
      <c r="F2150" s="555"/>
      <c r="G2150" s="81"/>
      <c r="H2150" s="81"/>
      <c r="I2150" s="81"/>
    </row>
    <row r="2151">
      <c r="D2151" s="81"/>
      <c r="E2151" s="81"/>
      <c r="F2151" s="555"/>
      <c r="G2151" s="81"/>
      <c r="H2151" s="81"/>
      <c r="I2151" s="81"/>
    </row>
    <row r="2152">
      <c r="D2152" s="81"/>
      <c r="E2152" s="81"/>
      <c r="F2152" s="555"/>
      <c r="G2152" s="81"/>
      <c r="H2152" s="81"/>
      <c r="I2152" s="81"/>
    </row>
    <row r="2153">
      <c r="D2153" s="81"/>
      <c r="E2153" s="81"/>
      <c r="F2153" s="555"/>
      <c r="G2153" s="81"/>
      <c r="H2153" s="81"/>
      <c r="I2153" s="81"/>
    </row>
    <row r="2154">
      <c r="D2154" s="81"/>
      <c r="E2154" s="81"/>
      <c r="F2154" s="555"/>
      <c r="G2154" s="81"/>
      <c r="H2154" s="81"/>
      <c r="I2154" s="81"/>
    </row>
    <row r="2155">
      <c r="D2155" s="81"/>
      <c r="E2155" s="81"/>
      <c r="F2155" s="555"/>
      <c r="G2155" s="81"/>
      <c r="H2155" s="81"/>
      <c r="I2155" s="81"/>
    </row>
    <row r="2156">
      <c r="D2156" s="81"/>
      <c r="E2156" s="81"/>
      <c r="F2156" s="555"/>
      <c r="G2156" s="81"/>
      <c r="H2156" s="81"/>
      <c r="I2156" s="81"/>
    </row>
    <row r="2157">
      <c r="D2157" s="81"/>
      <c r="E2157" s="81"/>
      <c r="F2157" s="555"/>
      <c r="G2157" s="81"/>
      <c r="H2157" s="81"/>
      <c r="I2157" s="81"/>
    </row>
    <row r="2158">
      <c r="D2158" s="81"/>
      <c r="E2158" s="81"/>
      <c r="F2158" s="555"/>
      <c r="G2158" s="81"/>
      <c r="H2158" s="81"/>
      <c r="I2158" s="81"/>
    </row>
    <row r="2159">
      <c r="D2159" s="81"/>
      <c r="E2159" s="81"/>
      <c r="F2159" s="555"/>
      <c r="G2159" s="81"/>
      <c r="H2159" s="81"/>
      <c r="I2159" s="81"/>
    </row>
    <row r="2160">
      <c r="D2160" s="81"/>
      <c r="E2160" s="81"/>
      <c r="F2160" s="555"/>
      <c r="G2160" s="81"/>
      <c r="H2160" s="81"/>
      <c r="I2160" s="81"/>
    </row>
    <row r="2161">
      <c r="D2161" s="81"/>
      <c r="E2161" s="81"/>
      <c r="F2161" s="555"/>
      <c r="G2161" s="81"/>
      <c r="H2161" s="81"/>
      <c r="I2161" s="81"/>
    </row>
    <row r="2162">
      <c r="D2162" s="81"/>
      <c r="E2162" s="81"/>
      <c r="F2162" s="555"/>
      <c r="G2162" s="81"/>
      <c r="H2162" s="81"/>
      <c r="I2162" s="81"/>
    </row>
    <row r="2163">
      <c r="D2163" s="81"/>
      <c r="E2163" s="81"/>
      <c r="F2163" s="555"/>
      <c r="G2163" s="81"/>
      <c r="H2163" s="81"/>
      <c r="I2163" s="81"/>
    </row>
    <row r="2164">
      <c r="D2164" s="81"/>
      <c r="E2164" s="81"/>
      <c r="F2164" s="555"/>
      <c r="G2164" s="81"/>
      <c r="H2164" s="81"/>
      <c r="I2164" s="81"/>
    </row>
    <row r="2165">
      <c r="D2165" s="81"/>
      <c r="E2165" s="81"/>
      <c r="F2165" s="555"/>
      <c r="G2165" s="81"/>
      <c r="H2165" s="81"/>
      <c r="I2165" s="81"/>
    </row>
    <row r="2166">
      <c r="D2166" s="81"/>
      <c r="E2166" s="81"/>
      <c r="F2166" s="555"/>
      <c r="G2166" s="81"/>
      <c r="H2166" s="81"/>
      <c r="I2166" s="81"/>
    </row>
    <row r="2167">
      <c r="D2167" s="81"/>
      <c r="E2167" s="81"/>
      <c r="F2167" s="555"/>
      <c r="G2167" s="81"/>
      <c r="H2167" s="81"/>
      <c r="I2167" s="81"/>
    </row>
    <row r="2168">
      <c r="D2168" s="81"/>
      <c r="E2168" s="81"/>
      <c r="F2168" s="555"/>
      <c r="G2168" s="81"/>
      <c r="H2168" s="81"/>
      <c r="I2168" s="81"/>
    </row>
    <row r="2169">
      <c r="D2169" s="81"/>
      <c r="E2169" s="81"/>
      <c r="F2169" s="555"/>
      <c r="G2169" s="81"/>
      <c r="H2169" s="81"/>
      <c r="I2169" s="81"/>
    </row>
    <row r="2170">
      <c r="D2170" s="81"/>
      <c r="E2170" s="81"/>
      <c r="F2170" s="555"/>
      <c r="G2170" s="81"/>
      <c r="H2170" s="81"/>
      <c r="I2170" s="81"/>
    </row>
    <row r="2171">
      <c r="D2171" s="81"/>
      <c r="E2171" s="81"/>
      <c r="F2171" s="555"/>
      <c r="G2171" s="81"/>
      <c r="H2171" s="81"/>
      <c r="I2171" s="81"/>
    </row>
    <row r="2172">
      <c r="D2172" s="81"/>
      <c r="E2172" s="81"/>
      <c r="F2172" s="555"/>
      <c r="G2172" s="81"/>
      <c r="H2172" s="81"/>
      <c r="I2172" s="81"/>
    </row>
    <row r="2173">
      <c r="D2173" s="81"/>
      <c r="E2173" s="81"/>
      <c r="F2173" s="555"/>
      <c r="G2173" s="81"/>
      <c r="H2173" s="81"/>
      <c r="I2173" s="81"/>
    </row>
    <row r="2174">
      <c r="D2174" s="81"/>
      <c r="E2174" s="81"/>
      <c r="F2174" s="555"/>
      <c r="G2174" s="81"/>
      <c r="H2174" s="81"/>
      <c r="I2174" s="81"/>
    </row>
    <row r="2175">
      <c r="D2175" s="81"/>
      <c r="E2175" s="81"/>
      <c r="F2175" s="555"/>
      <c r="G2175" s="81"/>
      <c r="H2175" s="81"/>
      <c r="I2175" s="81"/>
    </row>
    <row r="2176">
      <c r="D2176" s="81"/>
      <c r="E2176" s="81"/>
      <c r="F2176" s="555"/>
      <c r="G2176" s="81"/>
      <c r="H2176" s="81"/>
      <c r="I2176" s="81"/>
    </row>
    <row r="2177">
      <c r="D2177" s="81"/>
      <c r="E2177" s="81"/>
      <c r="F2177" s="555"/>
      <c r="G2177" s="81"/>
      <c r="H2177" s="81"/>
      <c r="I2177" s="81"/>
    </row>
    <row r="2178">
      <c r="D2178" s="81"/>
      <c r="E2178" s="81"/>
      <c r="F2178" s="555"/>
      <c r="G2178" s="81"/>
      <c r="H2178" s="81"/>
      <c r="I2178" s="81"/>
    </row>
    <row r="2179">
      <c r="D2179" s="81"/>
      <c r="E2179" s="81"/>
      <c r="F2179" s="555"/>
      <c r="G2179" s="81"/>
      <c r="H2179" s="81"/>
      <c r="I2179" s="81"/>
    </row>
    <row r="2180">
      <c r="D2180" s="81"/>
      <c r="E2180" s="81"/>
      <c r="F2180" s="555"/>
      <c r="G2180" s="81"/>
      <c r="H2180" s="81"/>
      <c r="I2180" s="81"/>
    </row>
    <row r="2181">
      <c r="D2181" s="81"/>
      <c r="E2181" s="81"/>
      <c r="F2181" s="555"/>
      <c r="G2181" s="81"/>
      <c r="H2181" s="81"/>
      <c r="I2181" s="81"/>
    </row>
    <row r="2182">
      <c r="D2182" s="81"/>
      <c r="E2182" s="81"/>
      <c r="F2182" s="555"/>
      <c r="G2182" s="81"/>
      <c r="H2182" s="81"/>
      <c r="I2182" s="81"/>
    </row>
    <row r="2183">
      <c r="D2183" s="81"/>
      <c r="E2183" s="81"/>
      <c r="F2183" s="555"/>
      <c r="G2183" s="81"/>
      <c r="H2183" s="81"/>
      <c r="I2183" s="81"/>
    </row>
    <row r="2184">
      <c r="D2184" s="81"/>
      <c r="E2184" s="81"/>
      <c r="F2184" s="555"/>
      <c r="G2184" s="81"/>
      <c r="H2184" s="81"/>
      <c r="I2184" s="81"/>
    </row>
    <row r="2185">
      <c r="D2185" s="81"/>
      <c r="E2185" s="81"/>
      <c r="F2185" s="555"/>
      <c r="G2185" s="81"/>
      <c r="H2185" s="81"/>
      <c r="I2185" s="81"/>
    </row>
    <row r="2186">
      <c r="D2186" s="81"/>
      <c r="E2186" s="81"/>
      <c r="F2186" s="555"/>
      <c r="G2186" s="81"/>
      <c r="H2186" s="81"/>
      <c r="I2186" s="81"/>
    </row>
    <row r="2187">
      <c r="D2187" s="81"/>
      <c r="E2187" s="81"/>
      <c r="F2187" s="555"/>
      <c r="G2187" s="81"/>
      <c r="H2187" s="81"/>
      <c r="I2187" s="81"/>
    </row>
    <row r="2188">
      <c r="D2188" s="81"/>
      <c r="E2188" s="81"/>
      <c r="F2188" s="555"/>
      <c r="G2188" s="81"/>
      <c r="H2188" s="81"/>
      <c r="I2188" s="81"/>
    </row>
    <row r="2189">
      <c r="D2189" s="81"/>
      <c r="E2189" s="81"/>
      <c r="F2189" s="555"/>
      <c r="G2189" s="81"/>
      <c r="H2189" s="81"/>
      <c r="I2189" s="81"/>
    </row>
    <row r="2190">
      <c r="D2190" s="81"/>
      <c r="E2190" s="81"/>
      <c r="F2190" s="555"/>
      <c r="G2190" s="81"/>
      <c r="H2190" s="81"/>
      <c r="I2190" s="81"/>
    </row>
    <row r="2191">
      <c r="D2191" s="81"/>
      <c r="E2191" s="81"/>
      <c r="F2191" s="555"/>
      <c r="G2191" s="81"/>
      <c r="H2191" s="81"/>
      <c r="I2191" s="81"/>
    </row>
    <row r="2192">
      <c r="D2192" s="81"/>
      <c r="E2192" s="81"/>
      <c r="F2192" s="555"/>
      <c r="G2192" s="81"/>
      <c r="H2192" s="81"/>
      <c r="I2192" s="81"/>
    </row>
    <row r="2193">
      <c r="D2193" s="81"/>
      <c r="E2193" s="81"/>
      <c r="F2193" s="555"/>
      <c r="G2193" s="81"/>
      <c r="H2193" s="81"/>
      <c r="I2193" s="81"/>
    </row>
    <row r="2194">
      <c r="D2194" s="81"/>
      <c r="E2194" s="81"/>
      <c r="F2194" s="555"/>
      <c r="G2194" s="81"/>
      <c r="H2194" s="81"/>
      <c r="I2194" s="81"/>
    </row>
    <row r="2195">
      <c r="D2195" s="81"/>
      <c r="E2195" s="81"/>
      <c r="F2195" s="555"/>
      <c r="G2195" s="81"/>
      <c r="H2195" s="81"/>
      <c r="I2195" s="81"/>
    </row>
    <row r="2196">
      <c r="D2196" s="81"/>
      <c r="E2196" s="81"/>
      <c r="F2196" s="555"/>
      <c r="G2196" s="81"/>
      <c r="H2196" s="81"/>
      <c r="I2196" s="81"/>
    </row>
    <row r="2197">
      <c r="D2197" s="81"/>
      <c r="E2197" s="81"/>
      <c r="F2197" s="555"/>
      <c r="G2197" s="81"/>
      <c r="H2197" s="81"/>
      <c r="I2197" s="81"/>
    </row>
    <row r="2198">
      <c r="D2198" s="81"/>
      <c r="E2198" s="81"/>
      <c r="F2198" s="555"/>
      <c r="G2198" s="81"/>
      <c r="H2198" s="81"/>
      <c r="I2198" s="81"/>
    </row>
    <row r="2199">
      <c r="D2199" s="81"/>
      <c r="E2199" s="81"/>
      <c r="F2199" s="555"/>
      <c r="G2199" s="81"/>
      <c r="H2199" s="81"/>
      <c r="I2199" s="81"/>
    </row>
    <row r="2200">
      <c r="D2200" s="81"/>
      <c r="E2200" s="81"/>
      <c r="F2200" s="555"/>
      <c r="G2200" s="81"/>
      <c r="H2200" s="81"/>
      <c r="I2200" s="81"/>
    </row>
    <row r="2201">
      <c r="D2201" s="81"/>
      <c r="E2201" s="81"/>
      <c r="F2201" s="555"/>
      <c r="G2201" s="81"/>
      <c r="H2201" s="81"/>
      <c r="I2201" s="81"/>
    </row>
    <row r="2202">
      <c r="D2202" s="81"/>
      <c r="E2202" s="81"/>
      <c r="F2202" s="555"/>
      <c r="G2202" s="81"/>
      <c r="H2202" s="81"/>
      <c r="I2202" s="81"/>
    </row>
    <row r="2203">
      <c r="D2203" s="81"/>
      <c r="E2203" s="81"/>
      <c r="F2203" s="555"/>
      <c r="G2203" s="81"/>
      <c r="H2203" s="81"/>
      <c r="I2203" s="81"/>
    </row>
    <row r="2204">
      <c r="D2204" s="81"/>
      <c r="E2204" s="81"/>
      <c r="F2204" s="555"/>
      <c r="G2204" s="81"/>
      <c r="H2204" s="81"/>
      <c r="I2204" s="81"/>
    </row>
    <row r="2205">
      <c r="D2205" s="81"/>
      <c r="E2205" s="81"/>
      <c r="F2205" s="555"/>
      <c r="G2205" s="81"/>
      <c r="H2205" s="81"/>
      <c r="I2205" s="81"/>
    </row>
    <row r="2206">
      <c r="D2206" s="81"/>
      <c r="E2206" s="81"/>
      <c r="F2206" s="555"/>
      <c r="G2206" s="81"/>
      <c r="H2206" s="81"/>
      <c r="I2206" s="81"/>
    </row>
    <row r="2207">
      <c r="D2207" s="81"/>
      <c r="E2207" s="81"/>
      <c r="F2207" s="555"/>
      <c r="G2207" s="81"/>
      <c r="H2207" s="81"/>
      <c r="I2207" s="81"/>
    </row>
    <row r="2208">
      <c r="D2208" s="81"/>
      <c r="E2208" s="81"/>
      <c r="F2208" s="555"/>
      <c r="G2208" s="81"/>
      <c r="H2208" s="81"/>
      <c r="I2208" s="81"/>
    </row>
    <row r="2209">
      <c r="D2209" s="81"/>
      <c r="E2209" s="81"/>
      <c r="F2209" s="555"/>
      <c r="G2209" s="81"/>
      <c r="H2209" s="81"/>
      <c r="I2209" s="81"/>
    </row>
    <row r="2210">
      <c r="D2210" s="81"/>
      <c r="E2210" s="81"/>
      <c r="F2210" s="555"/>
      <c r="G2210" s="81"/>
      <c r="H2210" s="81"/>
      <c r="I2210" s="81"/>
    </row>
    <row r="2211">
      <c r="D2211" s="81"/>
      <c r="E2211" s="81"/>
      <c r="F2211" s="555"/>
      <c r="G2211" s="81"/>
      <c r="H2211" s="81"/>
      <c r="I2211" s="81"/>
    </row>
    <row r="2212">
      <c r="D2212" s="81"/>
      <c r="E2212" s="81"/>
      <c r="F2212" s="555"/>
      <c r="G2212" s="81"/>
      <c r="H2212" s="81"/>
      <c r="I2212" s="81"/>
    </row>
    <row r="2213">
      <c r="D2213" s="81"/>
      <c r="E2213" s="81"/>
      <c r="F2213" s="555"/>
      <c r="G2213" s="81"/>
      <c r="H2213" s="81"/>
      <c r="I2213" s="81"/>
    </row>
    <row r="2214">
      <c r="D2214" s="81"/>
      <c r="E2214" s="81"/>
      <c r="F2214" s="555"/>
      <c r="G2214" s="81"/>
      <c r="H2214" s="81"/>
      <c r="I2214" s="81"/>
    </row>
    <row r="2215">
      <c r="D2215" s="81"/>
      <c r="E2215" s="81"/>
      <c r="F2215" s="555"/>
      <c r="G2215" s="81"/>
      <c r="H2215" s="81"/>
      <c r="I2215" s="81"/>
    </row>
    <row r="2216">
      <c r="D2216" s="81"/>
      <c r="E2216" s="81"/>
      <c r="F2216" s="555"/>
      <c r="G2216" s="81"/>
      <c r="H2216" s="81"/>
      <c r="I2216" s="81"/>
    </row>
    <row r="2217">
      <c r="D2217" s="81"/>
      <c r="E2217" s="81"/>
      <c r="F2217" s="555"/>
      <c r="G2217" s="81"/>
      <c r="H2217" s="81"/>
      <c r="I2217" s="81"/>
    </row>
    <row r="2218">
      <c r="D2218" s="81"/>
      <c r="E2218" s="81"/>
      <c r="F2218" s="555"/>
      <c r="G2218" s="81"/>
      <c r="H2218" s="81"/>
      <c r="I2218" s="81"/>
    </row>
    <row r="2219">
      <c r="D2219" s="81"/>
      <c r="E2219" s="81"/>
      <c r="F2219" s="555"/>
      <c r="G2219" s="81"/>
      <c r="H2219" s="81"/>
      <c r="I2219" s="81"/>
    </row>
    <row r="2220">
      <c r="D2220" s="81"/>
      <c r="E2220" s="81"/>
      <c r="F2220" s="555"/>
      <c r="G2220" s="81"/>
      <c r="H2220" s="81"/>
      <c r="I2220" s="81"/>
    </row>
    <row r="2221">
      <c r="D2221" s="81"/>
      <c r="E2221" s="81"/>
      <c r="F2221" s="555"/>
      <c r="G2221" s="81"/>
      <c r="H2221" s="81"/>
      <c r="I2221" s="81"/>
    </row>
    <row r="2222">
      <c r="D2222" s="81"/>
      <c r="E2222" s="81"/>
      <c r="F2222" s="555"/>
      <c r="G2222" s="81"/>
      <c r="H2222" s="81"/>
      <c r="I2222" s="81"/>
    </row>
    <row r="2223">
      <c r="D2223" s="81"/>
      <c r="E2223" s="81"/>
      <c r="F2223" s="555"/>
      <c r="G2223" s="81"/>
      <c r="H2223" s="81"/>
      <c r="I2223" s="81"/>
    </row>
    <row r="2224">
      <c r="D2224" s="81"/>
      <c r="E2224" s="81"/>
      <c r="F2224" s="555"/>
      <c r="G2224" s="81"/>
      <c r="H2224" s="81"/>
      <c r="I2224" s="81"/>
    </row>
    <row r="2225">
      <c r="D2225" s="81"/>
      <c r="E2225" s="81"/>
      <c r="F2225" s="555"/>
      <c r="G2225" s="81"/>
      <c r="H2225" s="81"/>
      <c r="I2225" s="81"/>
    </row>
    <row r="2226">
      <c r="D2226" s="81"/>
      <c r="E2226" s="81"/>
      <c r="F2226" s="555"/>
      <c r="G2226" s="81"/>
      <c r="H2226" s="81"/>
      <c r="I2226" s="81"/>
    </row>
    <row r="2227">
      <c r="D2227" s="81"/>
      <c r="E2227" s="81"/>
      <c r="F2227" s="555"/>
      <c r="G2227" s="81"/>
      <c r="H2227" s="81"/>
      <c r="I2227" s="81"/>
    </row>
    <row r="2228">
      <c r="D2228" s="81"/>
      <c r="E2228" s="81"/>
      <c r="F2228" s="555"/>
      <c r="G2228" s="81"/>
      <c r="H2228" s="81"/>
      <c r="I2228" s="81"/>
    </row>
    <row r="2229">
      <c r="D2229" s="81"/>
      <c r="E2229" s="81"/>
      <c r="F2229" s="555"/>
      <c r="G2229" s="81"/>
      <c r="H2229" s="81"/>
      <c r="I2229" s="81"/>
    </row>
    <row r="2230">
      <c r="D2230" s="81"/>
      <c r="E2230" s="81"/>
      <c r="F2230" s="555"/>
      <c r="G2230" s="81"/>
      <c r="H2230" s="81"/>
      <c r="I2230" s="81"/>
    </row>
    <row r="2231">
      <c r="D2231" s="81"/>
      <c r="E2231" s="81"/>
      <c r="F2231" s="555"/>
      <c r="G2231" s="81"/>
      <c r="H2231" s="81"/>
      <c r="I2231" s="81"/>
    </row>
    <row r="2232">
      <c r="D2232" s="81"/>
      <c r="E2232" s="81"/>
      <c r="F2232" s="555"/>
      <c r="G2232" s="81"/>
      <c r="H2232" s="81"/>
      <c r="I2232" s="81"/>
    </row>
    <row r="2233">
      <c r="D2233" s="81"/>
      <c r="E2233" s="81"/>
      <c r="F2233" s="555"/>
      <c r="G2233" s="81"/>
      <c r="H2233" s="81"/>
      <c r="I2233" s="81"/>
    </row>
    <row r="2234">
      <c r="D2234" s="81"/>
      <c r="E2234" s="81"/>
      <c r="F2234" s="555"/>
      <c r="G2234" s="81"/>
      <c r="H2234" s="81"/>
      <c r="I2234" s="81"/>
    </row>
    <row r="2235">
      <c r="D2235" s="81"/>
      <c r="E2235" s="81"/>
      <c r="F2235" s="555"/>
      <c r="G2235" s="81"/>
      <c r="H2235" s="81"/>
      <c r="I2235" s="81"/>
    </row>
    <row r="2236">
      <c r="D2236" s="81"/>
      <c r="E2236" s="81"/>
      <c r="F2236" s="555"/>
      <c r="G2236" s="81"/>
      <c r="H2236" s="81"/>
      <c r="I2236" s="81"/>
    </row>
    <row r="2237">
      <c r="D2237" s="81"/>
      <c r="E2237" s="81"/>
      <c r="F2237" s="555"/>
      <c r="G2237" s="81"/>
      <c r="H2237" s="81"/>
      <c r="I2237" s="81"/>
    </row>
    <row r="2238">
      <c r="D2238" s="81"/>
      <c r="E2238" s="81"/>
      <c r="F2238" s="555"/>
      <c r="G2238" s="81"/>
      <c r="H2238" s="81"/>
      <c r="I2238" s="81"/>
    </row>
    <row r="2239">
      <c r="D2239" s="81"/>
      <c r="E2239" s="81"/>
      <c r="F2239" s="555"/>
      <c r="G2239" s="81"/>
      <c r="H2239" s="81"/>
      <c r="I2239" s="81"/>
    </row>
    <row r="2240">
      <c r="D2240" s="81"/>
      <c r="E2240" s="81"/>
      <c r="F2240" s="555"/>
      <c r="G2240" s="81"/>
      <c r="H2240" s="81"/>
      <c r="I2240" s="81"/>
    </row>
    <row r="2241">
      <c r="D2241" s="81"/>
      <c r="E2241" s="81"/>
      <c r="F2241" s="555"/>
      <c r="G2241" s="81"/>
      <c r="H2241" s="81"/>
      <c r="I2241" s="81"/>
    </row>
    <row r="2242">
      <c r="D2242" s="81"/>
      <c r="E2242" s="81"/>
      <c r="F2242" s="555"/>
      <c r="G2242" s="81"/>
      <c r="H2242" s="81"/>
      <c r="I2242" s="81"/>
    </row>
    <row r="2243">
      <c r="D2243" s="81"/>
      <c r="E2243" s="81"/>
      <c r="F2243" s="555"/>
      <c r="G2243" s="81"/>
      <c r="H2243" s="81"/>
      <c r="I2243" s="81"/>
    </row>
    <row r="2244">
      <c r="D2244" s="81"/>
      <c r="E2244" s="81"/>
      <c r="F2244" s="555"/>
      <c r="G2244" s="81"/>
      <c r="H2244" s="81"/>
      <c r="I2244" s="81"/>
    </row>
    <row r="2245">
      <c r="D2245" s="81"/>
      <c r="E2245" s="81"/>
      <c r="F2245" s="555"/>
      <c r="G2245" s="81"/>
      <c r="H2245" s="81"/>
      <c r="I2245" s="81"/>
    </row>
    <row r="2246">
      <c r="D2246" s="81"/>
      <c r="E2246" s="81"/>
      <c r="F2246" s="555"/>
      <c r="G2246" s="81"/>
      <c r="H2246" s="81"/>
      <c r="I2246" s="81"/>
    </row>
    <row r="2247">
      <c r="D2247" s="81"/>
      <c r="E2247" s="81"/>
      <c r="F2247" s="555"/>
      <c r="G2247" s="81"/>
      <c r="H2247" s="81"/>
      <c r="I2247" s="81"/>
    </row>
    <row r="2248">
      <c r="D2248" s="81"/>
      <c r="E2248" s="81"/>
      <c r="F2248" s="555"/>
      <c r="G2248" s="81"/>
      <c r="H2248" s="81"/>
      <c r="I2248" s="81"/>
    </row>
    <row r="2249">
      <c r="D2249" s="81"/>
      <c r="E2249" s="81"/>
      <c r="F2249" s="555"/>
      <c r="G2249" s="81"/>
      <c r="H2249" s="81"/>
      <c r="I2249" s="81"/>
    </row>
    <row r="2250">
      <c r="D2250" s="81"/>
      <c r="E2250" s="81"/>
      <c r="F2250" s="555"/>
      <c r="G2250" s="81"/>
      <c r="H2250" s="81"/>
      <c r="I2250" s="81"/>
    </row>
    <row r="2251">
      <c r="D2251" s="81"/>
      <c r="E2251" s="81"/>
      <c r="F2251" s="555"/>
      <c r="G2251" s="81"/>
      <c r="H2251" s="81"/>
      <c r="I2251" s="81"/>
    </row>
    <row r="2252">
      <c r="D2252" s="81"/>
      <c r="E2252" s="81"/>
      <c r="F2252" s="555"/>
      <c r="G2252" s="81"/>
      <c r="H2252" s="81"/>
      <c r="I2252" s="81"/>
    </row>
    <row r="2253">
      <c r="D2253" s="81"/>
      <c r="E2253" s="81"/>
      <c r="F2253" s="555"/>
      <c r="G2253" s="81"/>
      <c r="H2253" s="81"/>
      <c r="I2253" s="81"/>
    </row>
    <row r="2254">
      <c r="D2254" s="81"/>
      <c r="E2254" s="81"/>
      <c r="F2254" s="555"/>
      <c r="G2254" s="81"/>
      <c r="H2254" s="81"/>
      <c r="I2254" s="81"/>
    </row>
    <row r="2255">
      <c r="D2255" s="81"/>
      <c r="E2255" s="81"/>
      <c r="F2255" s="555"/>
      <c r="G2255" s="81"/>
      <c r="H2255" s="81"/>
      <c r="I2255" s="81"/>
    </row>
    <row r="2256">
      <c r="D2256" s="81"/>
      <c r="E2256" s="81"/>
      <c r="F2256" s="555"/>
      <c r="G2256" s="81"/>
      <c r="H2256" s="81"/>
      <c r="I2256" s="81"/>
    </row>
    <row r="2257">
      <c r="D2257" s="81"/>
      <c r="E2257" s="81"/>
      <c r="F2257" s="555"/>
      <c r="G2257" s="81"/>
      <c r="H2257" s="81"/>
      <c r="I2257" s="81"/>
    </row>
    <row r="2258">
      <c r="D2258" s="81"/>
      <c r="E2258" s="81"/>
      <c r="F2258" s="555"/>
      <c r="G2258" s="81"/>
      <c r="H2258" s="81"/>
      <c r="I2258" s="81"/>
    </row>
    <row r="2259">
      <c r="D2259" s="81"/>
      <c r="E2259" s="81"/>
      <c r="F2259" s="555"/>
      <c r="G2259" s="81"/>
      <c r="H2259" s="81"/>
      <c r="I2259" s="81"/>
    </row>
    <row r="2260">
      <c r="D2260" s="81"/>
      <c r="E2260" s="81"/>
      <c r="F2260" s="555"/>
      <c r="G2260" s="81"/>
      <c r="H2260" s="81"/>
      <c r="I2260" s="81"/>
    </row>
    <row r="2261">
      <c r="D2261" s="81"/>
      <c r="E2261" s="81"/>
      <c r="F2261" s="555"/>
      <c r="G2261" s="81"/>
      <c r="H2261" s="81"/>
      <c r="I2261" s="81"/>
    </row>
    <row r="2262">
      <c r="D2262" s="81"/>
      <c r="E2262" s="81"/>
      <c r="F2262" s="555"/>
      <c r="G2262" s="81"/>
      <c r="H2262" s="81"/>
      <c r="I2262" s="81"/>
    </row>
    <row r="2263">
      <c r="D2263" s="81"/>
      <c r="E2263" s="81"/>
      <c r="F2263" s="555"/>
      <c r="G2263" s="81"/>
      <c r="H2263" s="81"/>
      <c r="I2263" s="81"/>
    </row>
    <row r="2264">
      <c r="D2264" s="81"/>
      <c r="E2264" s="81"/>
      <c r="F2264" s="555"/>
      <c r="G2264" s="81"/>
      <c r="H2264" s="81"/>
      <c r="I2264" s="81"/>
    </row>
    <row r="2265">
      <c r="D2265" s="81"/>
      <c r="E2265" s="81"/>
      <c r="F2265" s="555"/>
      <c r="G2265" s="81"/>
      <c r="H2265" s="81"/>
      <c r="I2265" s="81"/>
    </row>
    <row r="2266">
      <c r="D2266" s="81"/>
      <c r="E2266" s="81"/>
      <c r="F2266" s="555"/>
      <c r="G2266" s="81"/>
      <c r="H2266" s="81"/>
      <c r="I2266" s="81"/>
    </row>
    <row r="2267">
      <c r="D2267" s="81"/>
      <c r="E2267" s="81"/>
      <c r="F2267" s="555"/>
      <c r="G2267" s="81"/>
      <c r="H2267" s="81"/>
      <c r="I2267" s="81"/>
    </row>
    <row r="2268">
      <c r="D2268" s="81"/>
      <c r="E2268" s="81"/>
      <c r="F2268" s="555"/>
      <c r="G2268" s="81"/>
      <c r="H2268" s="81"/>
      <c r="I2268" s="81"/>
    </row>
    <row r="2269">
      <c r="D2269" s="81"/>
      <c r="E2269" s="81"/>
      <c r="F2269" s="555"/>
      <c r="G2269" s="81"/>
      <c r="H2269" s="81"/>
      <c r="I2269" s="81"/>
    </row>
    <row r="2270">
      <c r="D2270" s="81"/>
      <c r="E2270" s="81"/>
      <c r="F2270" s="555"/>
      <c r="G2270" s="81"/>
      <c r="H2270" s="81"/>
      <c r="I2270" s="81"/>
    </row>
    <row r="2271">
      <c r="D2271" s="81"/>
      <c r="E2271" s="81"/>
      <c r="F2271" s="555"/>
      <c r="G2271" s="81"/>
      <c r="H2271" s="81"/>
      <c r="I2271" s="81"/>
    </row>
    <row r="2272">
      <c r="D2272" s="81"/>
      <c r="E2272" s="81"/>
      <c r="F2272" s="555"/>
      <c r="G2272" s="81"/>
      <c r="H2272" s="81"/>
      <c r="I2272" s="81"/>
    </row>
    <row r="2273">
      <c r="D2273" s="81"/>
      <c r="E2273" s="81"/>
      <c r="F2273" s="555"/>
      <c r="G2273" s="81"/>
      <c r="H2273" s="81"/>
      <c r="I2273" s="81"/>
    </row>
    <row r="2274">
      <c r="D2274" s="81"/>
      <c r="E2274" s="81"/>
      <c r="F2274" s="555"/>
      <c r="G2274" s="81"/>
      <c r="H2274" s="81"/>
      <c r="I2274" s="81"/>
    </row>
    <row r="2275">
      <c r="D2275" s="81"/>
      <c r="E2275" s="81"/>
      <c r="F2275" s="555"/>
      <c r="G2275" s="81"/>
      <c r="H2275" s="81"/>
      <c r="I2275" s="81"/>
    </row>
    <row r="2276">
      <c r="D2276" s="81"/>
      <c r="E2276" s="81"/>
      <c r="F2276" s="555"/>
      <c r="G2276" s="81"/>
      <c r="H2276" s="81"/>
      <c r="I2276" s="81"/>
    </row>
    <row r="2277">
      <c r="D2277" s="81"/>
      <c r="E2277" s="81"/>
      <c r="F2277" s="555"/>
      <c r="G2277" s="81"/>
      <c r="H2277" s="81"/>
      <c r="I2277" s="81"/>
    </row>
    <row r="2278">
      <c r="D2278" s="81"/>
      <c r="E2278" s="81"/>
      <c r="F2278" s="555"/>
      <c r="G2278" s="81"/>
      <c r="H2278" s="81"/>
      <c r="I2278" s="81"/>
    </row>
    <row r="2279">
      <c r="D2279" s="81"/>
      <c r="E2279" s="81"/>
      <c r="F2279" s="555"/>
      <c r="G2279" s="81"/>
      <c r="H2279" s="81"/>
      <c r="I2279" s="81"/>
    </row>
    <row r="2280">
      <c r="D2280" s="81"/>
      <c r="E2280" s="81"/>
      <c r="F2280" s="555"/>
      <c r="G2280" s="81"/>
      <c r="H2280" s="81"/>
      <c r="I2280" s="81"/>
    </row>
    <row r="2281">
      <c r="D2281" s="81"/>
      <c r="E2281" s="81"/>
      <c r="F2281" s="555"/>
      <c r="G2281" s="81"/>
      <c r="H2281" s="81"/>
      <c r="I2281" s="81"/>
    </row>
    <row r="2282">
      <c r="D2282" s="81"/>
      <c r="E2282" s="81"/>
      <c r="F2282" s="555"/>
      <c r="G2282" s="81"/>
      <c r="H2282" s="81"/>
      <c r="I2282" s="81"/>
    </row>
    <row r="2283">
      <c r="D2283" s="81"/>
      <c r="E2283" s="81"/>
      <c r="F2283" s="555"/>
      <c r="G2283" s="81"/>
      <c r="H2283" s="81"/>
      <c r="I2283" s="81"/>
    </row>
    <row r="2284">
      <c r="D2284" s="81"/>
      <c r="E2284" s="81"/>
      <c r="F2284" s="555"/>
      <c r="G2284" s="81"/>
      <c r="H2284" s="81"/>
      <c r="I2284" s="81"/>
    </row>
    <row r="2285">
      <c r="D2285" s="81"/>
      <c r="E2285" s="81"/>
      <c r="F2285" s="555"/>
      <c r="G2285" s="81"/>
      <c r="H2285" s="81"/>
      <c r="I2285" s="81"/>
    </row>
    <row r="2286">
      <c r="D2286" s="81"/>
      <c r="E2286" s="81"/>
      <c r="F2286" s="555"/>
      <c r="G2286" s="81"/>
      <c r="H2286" s="81"/>
      <c r="I2286" s="81"/>
    </row>
    <row r="2287">
      <c r="D2287" s="81"/>
      <c r="E2287" s="81"/>
      <c r="F2287" s="555"/>
      <c r="G2287" s="81"/>
      <c r="H2287" s="81"/>
      <c r="I2287" s="81"/>
    </row>
    <row r="2288">
      <c r="D2288" s="81"/>
      <c r="E2288" s="81"/>
      <c r="F2288" s="555"/>
      <c r="G2288" s="81"/>
      <c r="H2288" s="81"/>
      <c r="I2288" s="81"/>
    </row>
    <row r="2289">
      <c r="D2289" s="81"/>
      <c r="E2289" s="81"/>
      <c r="F2289" s="555"/>
      <c r="G2289" s="81"/>
      <c r="H2289" s="81"/>
      <c r="I2289" s="81"/>
    </row>
    <row r="2290">
      <c r="D2290" s="81"/>
      <c r="E2290" s="81"/>
      <c r="F2290" s="555"/>
      <c r="G2290" s="81"/>
      <c r="H2290" s="81"/>
      <c r="I2290" s="81"/>
    </row>
    <row r="2291">
      <c r="D2291" s="81"/>
      <c r="E2291" s="81"/>
      <c r="F2291" s="555"/>
      <c r="G2291" s="81"/>
      <c r="H2291" s="81"/>
      <c r="I2291" s="81"/>
    </row>
    <row r="2292">
      <c r="D2292" s="81"/>
      <c r="E2292" s="81"/>
      <c r="F2292" s="555"/>
      <c r="G2292" s="81"/>
      <c r="H2292" s="81"/>
      <c r="I2292" s="81"/>
    </row>
    <row r="2293">
      <c r="D2293" s="81"/>
      <c r="E2293" s="81"/>
      <c r="F2293" s="555"/>
      <c r="G2293" s="81"/>
      <c r="H2293" s="81"/>
      <c r="I2293" s="81"/>
    </row>
    <row r="2294">
      <c r="D2294" s="81"/>
      <c r="E2294" s="81"/>
      <c r="F2294" s="555"/>
      <c r="G2294" s="81"/>
      <c r="H2294" s="81"/>
      <c r="I2294" s="81"/>
    </row>
    <row r="2295">
      <c r="D2295" s="81"/>
      <c r="E2295" s="81"/>
      <c r="F2295" s="555"/>
      <c r="G2295" s="81"/>
      <c r="H2295" s="81"/>
      <c r="I2295" s="81"/>
    </row>
    <row r="2296">
      <c r="D2296" s="81"/>
      <c r="E2296" s="81"/>
      <c r="F2296" s="555"/>
      <c r="G2296" s="81"/>
      <c r="H2296" s="81"/>
      <c r="I2296" s="81"/>
    </row>
    <row r="2297">
      <c r="D2297" s="81"/>
      <c r="E2297" s="81"/>
      <c r="F2297" s="555"/>
      <c r="G2297" s="81"/>
      <c r="H2297" s="81"/>
      <c r="I2297" s="81"/>
    </row>
    <row r="2298">
      <c r="D2298" s="81"/>
      <c r="E2298" s="81"/>
      <c r="F2298" s="555"/>
      <c r="G2298" s="81"/>
      <c r="H2298" s="81"/>
      <c r="I2298" s="81"/>
    </row>
    <row r="2299">
      <c r="D2299" s="81"/>
      <c r="E2299" s="81"/>
      <c r="F2299" s="555"/>
      <c r="G2299" s="81"/>
      <c r="H2299" s="81"/>
      <c r="I2299" s="81"/>
    </row>
    <row r="2300">
      <c r="D2300" s="81"/>
      <c r="E2300" s="81"/>
      <c r="F2300" s="555"/>
      <c r="G2300" s="81"/>
      <c r="H2300" s="81"/>
      <c r="I2300" s="81"/>
    </row>
    <row r="2301">
      <c r="D2301" s="81"/>
      <c r="E2301" s="81"/>
      <c r="F2301" s="555"/>
      <c r="G2301" s="81"/>
      <c r="H2301" s="81"/>
      <c r="I2301" s="81"/>
    </row>
    <row r="2302">
      <c r="D2302" s="81"/>
      <c r="E2302" s="81"/>
      <c r="F2302" s="555"/>
      <c r="G2302" s="81"/>
      <c r="H2302" s="81"/>
      <c r="I2302" s="81"/>
    </row>
    <row r="2303">
      <c r="D2303" s="81"/>
      <c r="E2303" s="81"/>
      <c r="F2303" s="555"/>
      <c r="G2303" s="81"/>
      <c r="H2303" s="81"/>
      <c r="I2303" s="81"/>
    </row>
    <row r="2304">
      <c r="D2304" s="81"/>
      <c r="E2304" s="81"/>
      <c r="F2304" s="555"/>
      <c r="G2304" s="81"/>
      <c r="H2304" s="81"/>
      <c r="I2304" s="81"/>
    </row>
    <row r="2305">
      <c r="D2305" s="81"/>
      <c r="E2305" s="81"/>
      <c r="F2305" s="555"/>
      <c r="G2305" s="81"/>
      <c r="H2305" s="81"/>
      <c r="I2305" s="81"/>
    </row>
    <row r="2306">
      <c r="D2306" s="81"/>
      <c r="E2306" s="81"/>
      <c r="F2306" s="555"/>
      <c r="G2306" s="81"/>
      <c r="H2306" s="81"/>
      <c r="I2306" s="81"/>
    </row>
    <row r="2307">
      <c r="D2307" s="81"/>
      <c r="E2307" s="81"/>
      <c r="F2307" s="555"/>
      <c r="G2307" s="81"/>
      <c r="H2307" s="81"/>
      <c r="I2307" s="81"/>
    </row>
    <row r="2308">
      <c r="D2308" s="81"/>
      <c r="E2308" s="81"/>
      <c r="F2308" s="555"/>
      <c r="G2308" s="81"/>
      <c r="H2308" s="81"/>
      <c r="I2308" s="81"/>
    </row>
    <row r="2309">
      <c r="D2309" s="81"/>
      <c r="E2309" s="81"/>
      <c r="F2309" s="555"/>
      <c r="G2309" s="81"/>
      <c r="H2309" s="81"/>
      <c r="I2309" s="81"/>
    </row>
    <row r="2310">
      <c r="D2310" s="81"/>
      <c r="E2310" s="81"/>
      <c r="F2310" s="555"/>
      <c r="G2310" s="81"/>
      <c r="H2310" s="81"/>
      <c r="I2310" s="81"/>
    </row>
    <row r="2311">
      <c r="D2311" s="81"/>
      <c r="E2311" s="81"/>
      <c r="F2311" s="555"/>
      <c r="G2311" s="81"/>
      <c r="H2311" s="81"/>
      <c r="I2311" s="81"/>
    </row>
    <row r="2312">
      <c r="D2312" s="81"/>
      <c r="E2312" s="81"/>
      <c r="F2312" s="555"/>
      <c r="G2312" s="81"/>
      <c r="H2312" s="81"/>
      <c r="I2312" s="81"/>
    </row>
    <row r="2313">
      <c r="D2313" s="81"/>
      <c r="E2313" s="81"/>
      <c r="F2313" s="555"/>
      <c r="G2313" s="81"/>
      <c r="H2313" s="81"/>
      <c r="I2313" s="81"/>
    </row>
    <row r="2314">
      <c r="D2314" s="81"/>
      <c r="E2314" s="81"/>
      <c r="F2314" s="555"/>
      <c r="G2314" s="81"/>
      <c r="H2314" s="81"/>
      <c r="I2314" s="81"/>
    </row>
    <row r="2315">
      <c r="D2315" s="81"/>
      <c r="E2315" s="81"/>
      <c r="F2315" s="555"/>
      <c r="G2315" s="81"/>
      <c r="H2315" s="81"/>
      <c r="I2315" s="81"/>
    </row>
    <row r="2316">
      <c r="D2316" s="81"/>
      <c r="E2316" s="81"/>
      <c r="F2316" s="555"/>
      <c r="G2316" s="81"/>
      <c r="H2316" s="81"/>
      <c r="I2316" s="81"/>
    </row>
    <row r="2317">
      <c r="D2317" s="81"/>
      <c r="E2317" s="81"/>
      <c r="F2317" s="555"/>
      <c r="G2317" s="81"/>
      <c r="H2317" s="81"/>
      <c r="I2317" s="81"/>
    </row>
    <row r="2318">
      <c r="D2318" s="81"/>
      <c r="E2318" s="81"/>
      <c r="F2318" s="555"/>
      <c r="G2318" s="81"/>
      <c r="H2318" s="81"/>
      <c r="I2318" s="81"/>
    </row>
    <row r="2319">
      <c r="D2319" s="81"/>
      <c r="E2319" s="81"/>
      <c r="F2319" s="555"/>
      <c r="G2319" s="81"/>
      <c r="H2319" s="81"/>
      <c r="I2319" s="81"/>
    </row>
    <row r="2320">
      <c r="D2320" s="81"/>
      <c r="E2320" s="81"/>
      <c r="F2320" s="555"/>
      <c r="G2320" s="81"/>
      <c r="H2320" s="81"/>
      <c r="I2320" s="81"/>
    </row>
    <row r="2321">
      <c r="D2321" s="81"/>
      <c r="E2321" s="81"/>
      <c r="F2321" s="555"/>
      <c r="G2321" s="81"/>
      <c r="H2321" s="81"/>
      <c r="I2321" s="81"/>
    </row>
    <row r="2322">
      <c r="D2322" s="81"/>
      <c r="E2322" s="81"/>
      <c r="F2322" s="555"/>
      <c r="G2322" s="81"/>
      <c r="H2322" s="81"/>
      <c r="I2322" s="81"/>
    </row>
    <row r="2323">
      <c r="D2323" s="81"/>
      <c r="E2323" s="81"/>
      <c r="F2323" s="555"/>
      <c r="G2323" s="81"/>
      <c r="H2323" s="81"/>
      <c r="I2323" s="81"/>
    </row>
    <row r="2324">
      <c r="D2324" s="81"/>
      <c r="E2324" s="81"/>
      <c r="F2324" s="555"/>
      <c r="G2324" s="81"/>
      <c r="H2324" s="81"/>
      <c r="I2324" s="81"/>
    </row>
    <row r="2325">
      <c r="D2325" s="81"/>
      <c r="E2325" s="81"/>
      <c r="F2325" s="555"/>
      <c r="G2325" s="81"/>
      <c r="H2325" s="81"/>
      <c r="I2325" s="81"/>
    </row>
    <row r="2326">
      <c r="D2326" s="81"/>
      <c r="E2326" s="81"/>
      <c r="F2326" s="555"/>
      <c r="G2326" s="81"/>
      <c r="H2326" s="81"/>
      <c r="I2326" s="81"/>
    </row>
    <row r="2327">
      <c r="D2327" s="81"/>
      <c r="E2327" s="81"/>
      <c r="F2327" s="555"/>
      <c r="G2327" s="81"/>
      <c r="H2327" s="81"/>
      <c r="I2327" s="81"/>
    </row>
    <row r="2328">
      <c r="D2328" s="81"/>
      <c r="E2328" s="81"/>
      <c r="F2328" s="555"/>
      <c r="G2328" s="81"/>
      <c r="H2328" s="81"/>
      <c r="I2328" s="81"/>
    </row>
    <row r="2329">
      <c r="D2329" s="81"/>
      <c r="E2329" s="81"/>
      <c r="F2329" s="555"/>
      <c r="G2329" s="81"/>
      <c r="H2329" s="81"/>
      <c r="I2329" s="81"/>
    </row>
    <row r="2330">
      <c r="D2330" s="81"/>
      <c r="E2330" s="81"/>
      <c r="F2330" s="555"/>
      <c r="G2330" s="81"/>
      <c r="H2330" s="81"/>
      <c r="I2330" s="81"/>
    </row>
    <row r="2331">
      <c r="D2331" s="81"/>
      <c r="E2331" s="81"/>
      <c r="F2331" s="555"/>
      <c r="G2331" s="81"/>
      <c r="H2331" s="81"/>
      <c r="I2331" s="81"/>
    </row>
    <row r="2332">
      <c r="D2332" s="81"/>
      <c r="E2332" s="81"/>
      <c r="F2332" s="555"/>
      <c r="G2332" s="81"/>
      <c r="H2332" s="81"/>
      <c r="I2332" s="81"/>
    </row>
    <row r="2333">
      <c r="D2333" s="81"/>
      <c r="E2333" s="81"/>
      <c r="F2333" s="555"/>
      <c r="G2333" s="81"/>
      <c r="H2333" s="81"/>
      <c r="I2333" s="81"/>
    </row>
    <row r="2334">
      <c r="D2334" s="81"/>
      <c r="E2334" s="81"/>
      <c r="F2334" s="555"/>
      <c r="G2334" s="81"/>
      <c r="H2334" s="81"/>
      <c r="I2334" s="81"/>
    </row>
    <row r="2335">
      <c r="D2335" s="81"/>
      <c r="E2335" s="81"/>
      <c r="F2335" s="555"/>
      <c r="G2335" s="81"/>
      <c r="H2335" s="81"/>
      <c r="I2335" s="81"/>
    </row>
    <row r="2336">
      <c r="D2336" s="81"/>
      <c r="E2336" s="81"/>
      <c r="F2336" s="555"/>
      <c r="G2336" s="81"/>
      <c r="H2336" s="81"/>
      <c r="I2336" s="81"/>
    </row>
    <row r="2337">
      <c r="D2337" s="81"/>
      <c r="E2337" s="81"/>
      <c r="F2337" s="555"/>
      <c r="G2337" s="81"/>
      <c r="H2337" s="81"/>
      <c r="I2337" s="81"/>
    </row>
    <row r="2338">
      <c r="D2338" s="81"/>
      <c r="E2338" s="81"/>
      <c r="F2338" s="555"/>
      <c r="G2338" s="81"/>
      <c r="H2338" s="81"/>
      <c r="I2338" s="81"/>
    </row>
    <row r="2339">
      <c r="D2339" s="81"/>
      <c r="E2339" s="81"/>
      <c r="F2339" s="555"/>
      <c r="G2339" s="81"/>
      <c r="H2339" s="81"/>
      <c r="I2339" s="81"/>
    </row>
    <row r="2340">
      <c r="D2340" s="81"/>
      <c r="E2340" s="81"/>
      <c r="F2340" s="555"/>
      <c r="G2340" s="81"/>
      <c r="H2340" s="81"/>
      <c r="I2340" s="81"/>
    </row>
    <row r="2341">
      <c r="D2341" s="81"/>
      <c r="E2341" s="81"/>
      <c r="F2341" s="555"/>
      <c r="G2341" s="81"/>
      <c r="H2341" s="81"/>
      <c r="I2341" s="81"/>
    </row>
    <row r="2342">
      <c r="D2342" s="81"/>
      <c r="E2342" s="81"/>
      <c r="F2342" s="555"/>
      <c r="G2342" s="81"/>
      <c r="H2342" s="81"/>
      <c r="I2342" s="81"/>
    </row>
    <row r="2343">
      <c r="D2343" s="81"/>
      <c r="E2343" s="81"/>
      <c r="F2343" s="555"/>
      <c r="G2343" s="81"/>
      <c r="H2343" s="81"/>
      <c r="I2343" s="81"/>
    </row>
    <row r="2344">
      <c r="D2344" s="81"/>
      <c r="E2344" s="81"/>
      <c r="F2344" s="555"/>
      <c r="G2344" s="81"/>
      <c r="H2344" s="81"/>
      <c r="I2344" s="81"/>
    </row>
    <row r="2345">
      <c r="D2345" s="81"/>
      <c r="E2345" s="81"/>
      <c r="F2345" s="555"/>
      <c r="G2345" s="81"/>
      <c r="H2345" s="81"/>
      <c r="I2345" s="81"/>
    </row>
    <row r="2346">
      <c r="D2346" s="81"/>
      <c r="E2346" s="81"/>
      <c r="F2346" s="555"/>
      <c r="G2346" s="81"/>
      <c r="H2346" s="81"/>
      <c r="I2346" s="81"/>
    </row>
    <row r="2347">
      <c r="D2347" s="81"/>
      <c r="E2347" s="81"/>
      <c r="F2347" s="555"/>
      <c r="G2347" s="81"/>
      <c r="H2347" s="81"/>
      <c r="I2347" s="81"/>
    </row>
    <row r="2348">
      <c r="D2348" s="81"/>
      <c r="E2348" s="81"/>
      <c r="F2348" s="555"/>
      <c r="G2348" s="81"/>
      <c r="H2348" s="81"/>
      <c r="I2348" s="81"/>
    </row>
    <row r="2349">
      <c r="D2349" s="81"/>
      <c r="E2349" s="81"/>
      <c r="F2349" s="555"/>
      <c r="G2349" s="81"/>
      <c r="H2349" s="81"/>
      <c r="I2349" s="81"/>
    </row>
    <row r="2350">
      <c r="D2350" s="81"/>
      <c r="E2350" s="81"/>
      <c r="F2350" s="555"/>
      <c r="G2350" s="81"/>
      <c r="H2350" s="81"/>
      <c r="I2350" s="81"/>
    </row>
    <row r="2351">
      <c r="D2351" s="81"/>
      <c r="E2351" s="81"/>
      <c r="F2351" s="555"/>
      <c r="G2351" s="81"/>
      <c r="H2351" s="81"/>
      <c r="I2351" s="81"/>
    </row>
    <row r="2352">
      <c r="D2352" s="81"/>
      <c r="E2352" s="81"/>
      <c r="F2352" s="555"/>
      <c r="G2352" s="81"/>
      <c r="H2352" s="81"/>
      <c r="I2352" s="81"/>
    </row>
    <row r="2353">
      <c r="D2353" s="81"/>
      <c r="E2353" s="81"/>
      <c r="F2353" s="555"/>
      <c r="G2353" s="81"/>
      <c r="H2353" s="81"/>
      <c r="I2353" s="81"/>
    </row>
    <row r="2354">
      <c r="D2354" s="81"/>
      <c r="E2354" s="81"/>
      <c r="F2354" s="555"/>
      <c r="G2354" s="81"/>
      <c r="H2354" s="81"/>
      <c r="I2354" s="81"/>
    </row>
    <row r="2355">
      <c r="D2355" s="81"/>
      <c r="E2355" s="81"/>
      <c r="F2355" s="555"/>
      <c r="G2355" s="81"/>
      <c r="H2355" s="81"/>
      <c r="I2355" s="81"/>
    </row>
    <row r="2356">
      <c r="D2356" s="81"/>
      <c r="E2356" s="81"/>
      <c r="F2356" s="555"/>
      <c r="G2356" s="81"/>
      <c r="H2356" s="81"/>
      <c r="I2356" s="81"/>
    </row>
    <row r="2357">
      <c r="D2357" s="81"/>
      <c r="E2357" s="81"/>
      <c r="F2357" s="555"/>
      <c r="G2357" s="81"/>
      <c r="H2357" s="81"/>
      <c r="I2357" s="81"/>
    </row>
    <row r="2358">
      <c r="D2358" s="81"/>
      <c r="E2358" s="81"/>
      <c r="F2358" s="555"/>
      <c r="G2358" s="81"/>
      <c r="H2358" s="81"/>
      <c r="I2358" s="81"/>
    </row>
    <row r="2359">
      <c r="D2359" s="81"/>
      <c r="E2359" s="81"/>
      <c r="F2359" s="555"/>
      <c r="G2359" s="81"/>
      <c r="H2359" s="81"/>
      <c r="I2359" s="81"/>
    </row>
    <row r="2360">
      <c r="D2360" s="81"/>
      <c r="E2360" s="81"/>
      <c r="F2360" s="555"/>
      <c r="G2360" s="81"/>
      <c r="H2360" s="81"/>
      <c r="I2360" s="81"/>
    </row>
    <row r="2361">
      <c r="D2361" s="81"/>
      <c r="E2361" s="81"/>
      <c r="F2361" s="555"/>
      <c r="G2361" s="81"/>
      <c r="H2361" s="81"/>
      <c r="I2361" s="81"/>
    </row>
    <row r="2362">
      <c r="D2362" s="81"/>
      <c r="E2362" s="81"/>
      <c r="F2362" s="555"/>
      <c r="G2362" s="81"/>
      <c r="H2362" s="81"/>
      <c r="I2362" s="81"/>
    </row>
    <row r="2363">
      <c r="D2363" s="81"/>
      <c r="E2363" s="81"/>
      <c r="F2363" s="555"/>
      <c r="G2363" s="81"/>
      <c r="H2363" s="81"/>
      <c r="I2363" s="81"/>
    </row>
    <row r="2364">
      <c r="D2364" s="81"/>
      <c r="E2364" s="81"/>
      <c r="F2364" s="555"/>
      <c r="G2364" s="81"/>
      <c r="H2364" s="81"/>
      <c r="I2364" s="81"/>
    </row>
    <row r="2365">
      <c r="D2365" s="81"/>
      <c r="E2365" s="81"/>
      <c r="F2365" s="555"/>
      <c r="G2365" s="81"/>
      <c r="H2365" s="81"/>
      <c r="I2365" s="81"/>
    </row>
    <row r="2366">
      <c r="D2366" s="81"/>
      <c r="E2366" s="81"/>
      <c r="F2366" s="555"/>
      <c r="G2366" s="81"/>
      <c r="H2366" s="81"/>
      <c r="I2366" s="81"/>
    </row>
    <row r="2367">
      <c r="D2367" s="81"/>
      <c r="E2367" s="81"/>
      <c r="F2367" s="555"/>
      <c r="G2367" s="81"/>
      <c r="H2367" s="81"/>
      <c r="I2367" s="81"/>
    </row>
    <row r="2368">
      <c r="D2368" s="81"/>
      <c r="E2368" s="81"/>
      <c r="F2368" s="555"/>
      <c r="G2368" s="81"/>
      <c r="H2368" s="81"/>
      <c r="I2368" s="81"/>
    </row>
    <row r="2369">
      <c r="D2369" s="81"/>
      <c r="E2369" s="81"/>
      <c r="F2369" s="555"/>
      <c r="G2369" s="81"/>
      <c r="H2369" s="81"/>
      <c r="I2369" s="81"/>
    </row>
    <row r="2370">
      <c r="D2370" s="81"/>
      <c r="E2370" s="81"/>
      <c r="F2370" s="555"/>
      <c r="G2370" s="81"/>
      <c r="H2370" s="81"/>
      <c r="I2370" s="81"/>
    </row>
    <row r="2371">
      <c r="D2371" s="81"/>
      <c r="E2371" s="81"/>
      <c r="F2371" s="555"/>
      <c r="G2371" s="81"/>
      <c r="H2371" s="81"/>
      <c r="I2371" s="81"/>
    </row>
    <row r="2372">
      <c r="D2372" s="81"/>
      <c r="E2372" s="81"/>
      <c r="F2372" s="555"/>
      <c r="G2372" s="81"/>
      <c r="H2372" s="81"/>
      <c r="I2372" s="81"/>
    </row>
    <row r="2373">
      <c r="D2373" s="81"/>
      <c r="E2373" s="81"/>
      <c r="F2373" s="555"/>
      <c r="G2373" s="81"/>
      <c r="H2373" s="81"/>
      <c r="I2373" s="81"/>
    </row>
    <row r="2374">
      <c r="D2374" s="81"/>
      <c r="E2374" s="81"/>
      <c r="F2374" s="555"/>
      <c r="G2374" s="81"/>
      <c r="H2374" s="81"/>
      <c r="I2374" s="81"/>
    </row>
    <row r="2375">
      <c r="D2375" s="81"/>
      <c r="E2375" s="81"/>
      <c r="F2375" s="555"/>
      <c r="G2375" s="81"/>
      <c r="H2375" s="81"/>
      <c r="I2375" s="81"/>
    </row>
    <row r="2376">
      <c r="D2376" s="81"/>
      <c r="E2376" s="81"/>
      <c r="F2376" s="555"/>
      <c r="G2376" s="81"/>
      <c r="H2376" s="81"/>
      <c r="I2376" s="81"/>
    </row>
    <row r="2377">
      <c r="D2377" s="81"/>
      <c r="E2377" s="81"/>
      <c r="F2377" s="555"/>
      <c r="G2377" s="81"/>
      <c r="H2377" s="81"/>
      <c r="I2377" s="81"/>
    </row>
    <row r="2378">
      <c r="D2378" s="81"/>
      <c r="E2378" s="81"/>
      <c r="F2378" s="555"/>
      <c r="G2378" s="81"/>
      <c r="H2378" s="81"/>
      <c r="I2378" s="81"/>
    </row>
    <row r="2379">
      <c r="D2379" s="81"/>
      <c r="E2379" s="81"/>
      <c r="F2379" s="555"/>
      <c r="G2379" s="81"/>
      <c r="H2379" s="81"/>
      <c r="I2379" s="81"/>
    </row>
    <row r="2380">
      <c r="D2380" s="81"/>
      <c r="E2380" s="81"/>
      <c r="F2380" s="555"/>
      <c r="G2380" s="81"/>
      <c r="H2380" s="81"/>
      <c r="I2380" s="81"/>
    </row>
    <row r="2381">
      <c r="D2381" s="81"/>
      <c r="E2381" s="81"/>
      <c r="F2381" s="555"/>
      <c r="G2381" s="81"/>
      <c r="H2381" s="81"/>
      <c r="I2381" s="81"/>
    </row>
    <row r="2382">
      <c r="D2382" s="81"/>
      <c r="E2382" s="81"/>
      <c r="F2382" s="555"/>
      <c r="G2382" s="81"/>
      <c r="H2382" s="81"/>
      <c r="I2382" s="81"/>
    </row>
    <row r="2383">
      <c r="D2383" s="81"/>
      <c r="E2383" s="81"/>
      <c r="F2383" s="555"/>
      <c r="G2383" s="81"/>
      <c r="H2383" s="81"/>
      <c r="I2383" s="81"/>
    </row>
    <row r="2384">
      <c r="D2384" s="81"/>
      <c r="E2384" s="81"/>
      <c r="F2384" s="555"/>
      <c r="G2384" s="81"/>
      <c r="H2384" s="81"/>
      <c r="I2384" s="81"/>
    </row>
    <row r="2385">
      <c r="D2385" s="81"/>
      <c r="E2385" s="81"/>
      <c r="F2385" s="555"/>
      <c r="G2385" s="81"/>
      <c r="H2385" s="81"/>
      <c r="I2385" s="81"/>
    </row>
    <row r="2386">
      <c r="D2386" s="81"/>
      <c r="E2386" s="81"/>
      <c r="F2386" s="555"/>
      <c r="G2386" s="81"/>
      <c r="H2386" s="81"/>
      <c r="I2386" s="81"/>
    </row>
    <row r="2387">
      <c r="D2387" s="81"/>
      <c r="E2387" s="81"/>
      <c r="F2387" s="555"/>
      <c r="G2387" s="81"/>
      <c r="H2387" s="81"/>
      <c r="I2387" s="81"/>
    </row>
    <row r="2388">
      <c r="D2388" s="81"/>
      <c r="E2388" s="81"/>
      <c r="F2388" s="555"/>
      <c r="G2388" s="81"/>
      <c r="H2388" s="81"/>
      <c r="I2388" s="81"/>
    </row>
    <row r="2389">
      <c r="D2389" s="81"/>
      <c r="E2389" s="81"/>
      <c r="F2389" s="555"/>
      <c r="G2389" s="81"/>
      <c r="H2389" s="81"/>
      <c r="I2389" s="81"/>
    </row>
    <row r="2390">
      <c r="D2390" s="81"/>
      <c r="E2390" s="81"/>
      <c r="F2390" s="555"/>
      <c r="G2390" s="81"/>
      <c r="H2390" s="81"/>
      <c r="I2390" s="81"/>
    </row>
    <row r="2391">
      <c r="D2391" s="81"/>
      <c r="E2391" s="81"/>
      <c r="F2391" s="555"/>
      <c r="G2391" s="81"/>
      <c r="H2391" s="81"/>
      <c r="I2391" s="81"/>
    </row>
    <row r="2392">
      <c r="D2392" s="81"/>
      <c r="E2392" s="81"/>
      <c r="F2392" s="555"/>
      <c r="G2392" s="81"/>
      <c r="H2392" s="81"/>
      <c r="I2392" s="81"/>
    </row>
    <row r="2393">
      <c r="D2393" s="81"/>
      <c r="E2393" s="81"/>
      <c r="F2393" s="555"/>
      <c r="G2393" s="81"/>
      <c r="H2393" s="81"/>
      <c r="I2393" s="81"/>
    </row>
    <row r="2394">
      <c r="D2394" s="81"/>
      <c r="E2394" s="81"/>
      <c r="F2394" s="555"/>
      <c r="G2394" s="81"/>
      <c r="H2394" s="81"/>
      <c r="I2394" s="81"/>
    </row>
    <row r="2395">
      <c r="D2395" s="81"/>
      <c r="E2395" s="81"/>
      <c r="F2395" s="555"/>
      <c r="G2395" s="81"/>
      <c r="H2395" s="81"/>
      <c r="I2395" s="81"/>
    </row>
    <row r="2396">
      <c r="D2396" s="81"/>
      <c r="E2396" s="81"/>
      <c r="F2396" s="555"/>
      <c r="G2396" s="81"/>
      <c r="H2396" s="81"/>
      <c r="I2396" s="81"/>
    </row>
    <row r="2397">
      <c r="D2397" s="81"/>
      <c r="E2397" s="81"/>
      <c r="F2397" s="555"/>
      <c r="G2397" s="81"/>
      <c r="H2397" s="81"/>
      <c r="I2397" s="81"/>
    </row>
    <row r="2398">
      <c r="D2398" s="81"/>
      <c r="E2398" s="81"/>
      <c r="F2398" s="555"/>
      <c r="G2398" s="81"/>
      <c r="H2398" s="81"/>
      <c r="I2398" s="81"/>
    </row>
    <row r="2399">
      <c r="D2399" s="81"/>
      <c r="E2399" s="81"/>
      <c r="F2399" s="555"/>
      <c r="G2399" s="81"/>
      <c r="H2399" s="81"/>
      <c r="I2399" s="81"/>
    </row>
    <row r="2400">
      <c r="D2400" s="81"/>
      <c r="E2400" s="81"/>
      <c r="F2400" s="555"/>
      <c r="G2400" s="81"/>
      <c r="H2400" s="81"/>
      <c r="I2400" s="81"/>
    </row>
    <row r="2401">
      <c r="D2401" s="81"/>
      <c r="E2401" s="81"/>
      <c r="F2401" s="555"/>
      <c r="G2401" s="81"/>
      <c r="H2401" s="81"/>
      <c r="I2401" s="81"/>
    </row>
    <row r="2402">
      <c r="D2402" s="81"/>
      <c r="E2402" s="81"/>
      <c r="F2402" s="555"/>
      <c r="G2402" s="81"/>
      <c r="H2402" s="81"/>
      <c r="I2402" s="81"/>
    </row>
    <row r="2403">
      <c r="D2403" s="81"/>
      <c r="E2403" s="81"/>
      <c r="F2403" s="555"/>
      <c r="G2403" s="81"/>
      <c r="H2403" s="81"/>
      <c r="I2403" s="81"/>
    </row>
    <row r="2404">
      <c r="D2404" s="81"/>
      <c r="E2404" s="81"/>
      <c r="F2404" s="555"/>
      <c r="G2404" s="81"/>
      <c r="H2404" s="81"/>
      <c r="I2404" s="81"/>
    </row>
    <row r="2405">
      <c r="D2405" s="81"/>
      <c r="E2405" s="81"/>
      <c r="F2405" s="555"/>
      <c r="G2405" s="81"/>
      <c r="H2405" s="81"/>
      <c r="I2405" s="81"/>
    </row>
    <row r="2406">
      <c r="D2406" s="81"/>
      <c r="E2406" s="81"/>
      <c r="F2406" s="555"/>
      <c r="G2406" s="81"/>
      <c r="H2406" s="81"/>
      <c r="I2406" s="81"/>
    </row>
    <row r="2407">
      <c r="D2407" s="81"/>
      <c r="E2407" s="81"/>
      <c r="F2407" s="555"/>
      <c r="G2407" s="81"/>
      <c r="H2407" s="81"/>
      <c r="I2407" s="81"/>
    </row>
    <row r="2408">
      <c r="D2408" s="81"/>
      <c r="E2408" s="81"/>
      <c r="F2408" s="555"/>
      <c r="G2408" s="81"/>
      <c r="H2408" s="81"/>
      <c r="I2408" s="81"/>
    </row>
    <row r="2409">
      <c r="D2409" s="81"/>
      <c r="E2409" s="81"/>
      <c r="F2409" s="555"/>
      <c r="G2409" s="81"/>
      <c r="H2409" s="81"/>
      <c r="I2409" s="81"/>
    </row>
    <row r="2410">
      <c r="D2410" s="81"/>
      <c r="E2410" s="81"/>
      <c r="F2410" s="555"/>
      <c r="G2410" s="81"/>
      <c r="H2410" s="81"/>
      <c r="I2410" s="81"/>
    </row>
    <row r="2411">
      <c r="D2411" s="81"/>
      <c r="E2411" s="81"/>
      <c r="F2411" s="555"/>
      <c r="G2411" s="81"/>
      <c r="H2411" s="81"/>
      <c r="I2411" s="81"/>
    </row>
    <row r="2412">
      <c r="D2412" s="81"/>
      <c r="E2412" s="81"/>
      <c r="F2412" s="555"/>
      <c r="G2412" s="81"/>
      <c r="H2412" s="81"/>
      <c r="I2412" s="81"/>
    </row>
    <row r="2413">
      <c r="D2413" s="81"/>
      <c r="E2413" s="81"/>
      <c r="F2413" s="555"/>
      <c r="G2413" s="81"/>
      <c r="H2413" s="81"/>
      <c r="I2413" s="81"/>
    </row>
    <row r="2414">
      <c r="D2414" s="81"/>
      <c r="E2414" s="81"/>
      <c r="F2414" s="555"/>
      <c r="G2414" s="81"/>
      <c r="H2414" s="81"/>
      <c r="I2414" s="81"/>
    </row>
    <row r="2415">
      <c r="D2415" s="81"/>
      <c r="E2415" s="81"/>
      <c r="F2415" s="555"/>
      <c r="G2415" s="81"/>
      <c r="H2415" s="81"/>
      <c r="I2415" s="81"/>
    </row>
    <row r="2416">
      <c r="D2416" s="81"/>
      <c r="E2416" s="81"/>
      <c r="F2416" s="555"/>
      <c r="G2416" s="81"/>
      <c r="H2416" s="81"/>
      <c r="I2416" s="81"/>
    </row>
    <row r="2417">
      <c r="D2417" s="81"/>
      <c r="E2417" s="81"/>
      <c r="F2417" s="555"/>
      <c r="G2417" s="81"/>
      <c r="H2417" s="81"/>
      <c r="I2417" s="81"/>
    </row>
    <row r="2418">
      <c r="D2418" s="81"/>
      <c r="E2418" s="81"/>
      <c r="F2418" s="555"/>
      <c r="G2418" s="81"/>
      <c r="H2418" s="81"/>
      <c r="I2418" s="81"/>
    </row>
    <row r="2419">
      <c r="D2419" s="81"/>
      <c r="E2419" s="81"/>
      <c r="F2419" s="555"/>
      <c r="G2419" s="81"/>
      <c r="H2419" s="81"/>
      <c r="I2419" s="81"/>
    </row>
    <row r="2420">
      <c r="D2420" s="81"/>
      <c r="E2420" s="81"/>
      <c r="F2420" s="555"/>
      <c r="G2420" s="81"/>
      <c r="H2420" s="81"/>
      <c r="I2420" s="81"/>
    </row>
    <row r="2421">
      <c r="D2421" s="81"/>
      <c r="E2421" s="81"/>
      <c r="F2421" s="555"/>
      <c r="G2421" s="81"/>
      <c r="H2421" s="81"/>
      <c r="I2421" s="81"/>
    </row>
    <row r="2422">
      <c r="D2422" s="81"/>
      <c r="E2422" s="81"/>
      <c r="F2422" s="555"/>
      <c r="G2422" s="81"/>
      <c r="H2422" s="81"/>
      <c r="I2422" s="81"/>
    </row>
    <row r="2423">
      <c r="D2423" s="81"/>
      <c r="E2423" s="81"/>
      <c r="F2423" s="555"/>
      <c r="G2423" s="81"/>
      <c r="H2423" s="81"/>
      <c r="I2423" s="81"/>
    </row>
    <row r="2424">
      <c r="D2424" s="81"/>
      <c r="E2424" s="81"/>
      <c r="F2424" s="555"/>
      <c r="G2424" s="81"/>
      <c r="H2424" s="81"/>
      <c r="I2424" s="81"/>
    </row>
    <row r="2425">
      <c r="D2425" s="81"/>
      <c r="E2425" s="81"/>
      <c r="F2425" s="555"/>
      <c r="G2425" s="81"/>
      <c r="H2425" s="81"/>
      <c r="I2425" s="81"/>
    </row>
    <row r="2426">
      <c r="D2426" s="81"/>
      <c r="E2426" s="81"/>
      <c r="F2426" s="555"/>
      <c r="G2426" s="81"/>
      <c r="H2426" s="81"/>
      <c r="I2426" s="81"/>
    </row>
    <row r="2427">
      <c r="D2427" s="81"/>
      <c r="E2427" s="81"/>
      <c r="F2427" s="555"/>
      <c r="G2427" s="81"/>
      <c r="H2427" s="81"/>
      <c r="I2427" s="81"/>
    </row>
    <row r="2428">
      <c r="D2428" s="81"/>
      <c r="E2428" s="81"/>
      <c r="F2428" s="555"/>
      <c r="G2428" s="81"/>
      <c r="H2428" s="81"/>
      <c r="I2428" s="81"/>
    </row>
    <row r="2429">
      <c r="D2429" s="81"/>
      <c r="E2429" s="81"/>
      <c r="F2429" s="555"/>
      <c r="G2429" s="81"/>
      <c r="H2429" s="81"/>
      <c r="I2429" s="81"/>
    </row>
    <row r="2430">
      <c r="D2430" s="81"/>
      <c r="E2430" s="81"/>
      <c r="F2430" s="555"/>
      <c r="G2430" s="81"/>
      <c r="H2430" s="81"/>
      <c r="I2430" s="81"/>
    </row>
    <row r="2431">
      <c r="D2431" s="81"/>
      <c r="E2431" s="81"/>
      <c r="F2431" s="555"/>
      <c r="G2431" s="81"/>
      <c r="H2431" s="81"/>
      <c r="I2431" s="81"/>
    </row>
    <row r="2432">
      <c r="D2432" s="81"/>
      <c r="E2432" s="81"/>
      <c r="F2432" s="555"/>
      <c r="G2432" s="81"/>
      <c r="H2432" s="81"/>
      <c r="I2432" s="81"/>
    </row>
    <row r="2433">
      <c r="D2433" s="81"/>
      <c r="E2433" s="81"/>
      <c r="F2433" s="555"/>
      <c r="G2433" s="81"/>
      <c r="H2433" s="81"/>
      <c r="I2433" s="81"/>
    </row>
    <row r="2434">
      <c r="D2434" s="81"/>
      <c r="E2434" s="81"/>
      <c r="F2434" s="555"/>
      <c r="G2434" s="81"/>
      <c r="H2434" s="81"/>
      <c r="I2434" s="81"/>
    </row>
    <row r="2435">
      <c r="D2435" s="81"/>
      <c r="E2435" s="81"/>
      <c r="F2435" s="555"/>
      <c r="G2435" s="81"/>
      <c r="H2435" s="81"/>
      <c r="I2435" s="81"/>
    </row>
    <row r="2436">
      <c r="D2436" s="81"/>
      <c r="E2436" s="81"/>
      <c r="F2436" s="555"/>
      <c r="G2436" s="81"/>
      <c r="H2436" s="81"/>
      <c r="I2436" s="81"/>
    </row>
    <row r="2437">
      <c r="D2437" s="81"/>
      <c r="E2437" s="81"/>
      <c r="F2437" s="555"/>
      <c r="G2437" s="81"/>
      <c r="H2437" s="81"/>
      <c r="I2437" s="81"/>
    </row>
    <row r="2438">
      <c r="D2438" s="81"/>
      <c r="E2438" s="81"/>
      <c r="F2438" s="555"/>
      <c r="G2438" s="81"/>
      <c r="H2438" s="81"/>
      <c r="I2438" s="81"/>
    </row>
    <row r="2439">
      <c r="D2439" s="81"/>
      <c r="E2439" s="81"/>
      <c r="F2439" s="555"/>
      <c r="G2439" s="81"/>
      <c r="H2439" s="81"/>
      <c r="I2439" s="81"/>
    </row>
    <row r="2440">
      <c r="D2440" s="81"/>
      <c r="E2440" s="81"/>
      <c r="F2440" s="555"/>
      <c r="G2440" s="81"/>
      <c r="H2440" s="81"/>
      <c r="I2440" s="81"/>
    </row>
    <row r="2441">
      <c r="D2441" s="81"/>
      <c r="E2441" s="81"/>
      <c r="F2441" s="555"/>
      <c r="G2441" s="81"/>
      <c r="H2441" s="81"/>
      <c r="I2441" s="81"/>
    </row>
    <row r="2442">
      <c r="D2442" s="81"/>
      <c r="E2442" s="81"/>
      <c r="F2442" s="555"/>
      <c r="G2442" s="81"/>
      <c r="H2442" s="81"/>
      <c r="I2442" s="81"/>
    </row>
    <row r="2443">
      <c r="D2443" s="81"/>
      <c r="E2443" s="81"/>
      <c r="F2443" s="555"/>
      <c r="G2443" s="81"/>
      <c r="H2443" s="81"/>
      <c r="I2443" s="81"/>
    </row>
    <row r="2444">
      <c r="D2444" s="81"/>
      <c r="E2444" s="81"/>
      <c r="F2444" s="555"/>
      <c r="G2444" s="81"/>
      <c r="H2444" s="81"/>
      <c r="I2444" s="81"/>
    </row>
    <row r="2445">
      <c r="D2445" s="81"/>
      <c r="E2445" s="81"/>
      <c r="F2445" s="555"/>
      <c r="G2445" s="81"/>
      <c r="H2445" s="81"/>
      <c r="I2445" s="81"/>
    </row>
    <row r="2446">
      <c r="D2446" s="81"/>
      <c r="E2446" s="81"/>
      <c r="F2446" s="555"/>
      <c r="G2446" s="81"/>
      <c r="H2446" s="81"/>
      <c r="I2446" s="81"/>
    </row>
    <row r="2447">
      <c r="D2447" s="81"/>
      <c r="E2447" s="81"/>
      <c r="F2447" s="555"/>
      <c r="G2447" s="81"/>
      <c r="H2447" s="81"/>
      <c r="I2447" s="81"/>
    </row>
    <row r="2448">
      <c r="D2448" s="81"/>
      <c r="E2448" s="81"/>
      <c r="F2448" s="555"/>
      <c r="G2448" s="81"/>
      <c r="H2448" s="81"/>
      <c r="I2448" s="81"/>
    </row>
    <row r="2449">
      <c r="D2449" s="81"/>
      <c r="E2449" s="81"/>
      <c r="F2449" s="555"/>
      <c r="G2449" s="81"/>
      <c r="H2449" s="81"/>
      <c r="I2449" s="81"/>
    </row>
    <row r="2450">
      <c r="D2450" s="81"/>
      <c r="E2450" s="81"/>
      <c r="F2450" s="555"/>
      <c r="G2450" s="81"/>
      <c r="H2450" s="81"/>
      <c r="I2450" s="81"/>
    </row>
    <row r="2451">
      <c r="D2451" s="81"/>
      <c r="E2451" s="81"/>
      <c r="F2451" s="555"/>
      <c r="G2451" s="81"/>
      <c r="H2451" s="81"/>
      <c r="I2451" s="81"/>
    </row>
    <row r="2452">
      <c r="D2452" s="81"/>
      <c r="E2452" s="81"/>
      <c r="F2452" s="555"/>
      <c r="G2452" s="81"/>
      <c r="H2452" s="81"/>
      <c r="I2452" s="81"/>
    </row>
    <row r="2453">
      <c r="D2453" s="81"/>
      <c r="E2453" s="81"/>
      <c r="F2453" s="555"/>
      <c r="G2453" s="81"/>
      <c r="H2453" s="81"/>
      <c r="I2453" s="81"/>
    </row>
    <row r="2454">
      <c r="D2454" s="81"/>
      <c r="E2454" s="81"/>
      <c r="F2454" s="555"/>
      <c r="G2454" s="81"/>
      <c r="H2454" s="81"/>
      <c r="I2454" s="81"/>
    </row>
    <row r="2455">
      <c r="D2455" s="81"/>
      <c r="E2455" s="81"/>
      <c r="F2455" s="555"/>
      <c r="G2455" s="81"/>
      <c r="H2455" s="81"/>
      <c r="I2455" s="81"/>
    </row>
    <row r="2456">
      <c r="D2456" s="81"/>
      <c r="E2456" s="81"/>
      <c r="F2456" s="555"/>
      <c r="G2456" s="81"/>
      <c r="H2456" s="81"/>
      <c r="I2456" s="81"/>
    </row>
    <row r="2457">
      <c r="D2457" s="81"/>
      <c r="E2457" s="81"/>
      <c r="F2457" s="555"/>
      <c r="G2457" s="81"/>
      <c r="H2457" s="81"/>
      <c r="I2457" s="81"/>
    </row>
    <row r="2458">
      <c r="D2458" s="81"/>
      <c r="E2458" s="81"/>
      <c r="F2458" s="555"/>
      <c r="G2458" s="81"/>
      <c r="H2458" s="81"/>
      <c r="I2458" s="81"/>
    </row>
    <row r="2459">
      <c r="D2459" s="81"/>
      <c r="E2459" s="81"/>
      <c r="F2459" s="555"/>
      <c r="G2459" s="81"/>
      <c r="H2459" s="81"/>
      <c r="I2459" s="81"/>
    </row>
    <row r="2460">
      <c r="D2460" s="81"/>
      <c r="E2460" s="81"/>
      <c r="F2460" s="555"/>
      <c r="G2460" s="81"/>
      <c r="H2460" s="81"/>
      <c r="I2460" s="81"/>
    </row>
    <row r="2461">
      <c r="D2461" s="81"/>
      <c r="E2461" s="81"/>
      <c r="F2461" s="555"/>
      <c r="G2461" s="81"/>
      <c r="H2461" s="81"/>
      <c r="I2461" s="81"/>
    </row>
    <row r="2462">
      <c r="D2462" s="81"/>
      <c r="E2462" s="81"/>
      <c r="F2462" s="555"/>
      <c r="G2462" s="81"/>
      <c r="H2462" s="81"/>
      <c r="I2462" s="81"/>
    </row>
    <row r="2463">
      <c r="D2463" s="81"/>
      <c r="E2463" s="81"/>
      <c r="F2463" s="555"/>
      <c r="G2463" s="81"/>
      <c r="H2463" s="81"/>
      <c r="I2463" s="81"/>
    </row>
    <row r="2464">
      <c r="D2464" s="81"/>
      <c r="E2464" s="81"/>
      <c r="F2464" s="555"/>
      <c r="G2464" s="81"/>
      <c r="H2464" s="81"/>
      <c r="I2464" s="81"/>
    </row>
    <row r="2465">
      <c r="D2465" s="81"/>
      <c r="E2465" s="81"/>
      <c r="F2465" s="555"/>
      <c r="G2465" s="81"/>
      <c r="H2465" s="81"/>
      <c r="I2465" s="81"/>
    </row>
    <row r="2466">
      <c r="D2466" s="81"/>
      <c r="E2466" s="81"/>
      <c r="F2466" s="555"/>
      <c r="G2466" s="81"/>
      <c r="H2466" s="81"/>
      <c r="I2466" s="81"/>
    </row>
    <row r="2467">
      <c r="D2467" s="81"/>
      <c r="E2467" s="81"/>
      <c r="F2467" s="555"/>
      <c r="G2467" s="81"/>
      <c r="H2467" s="81"/>
      <c r="I2467" s="81"/>
    </row>
    <row r="2468">
      <c r="D2468" s="81"/>
      <c r="E2468" s="81"/>
      <c r="F2468" s="555"/>
      <c r="G2468" s="81"/>
      <c r="H2468" s="81"/>
      <c r="I2468" s="81"/>
    </row>
    <row r="2469">
      <c r="D2469" s="81"/>
      <c r="E2469" s="81"/>
      <c r="F2469" s="555"/>
      <c r="G2469" s="81"/>
      <c r="H2469" s="81"/>
      <c r="I2469" s="81"/>
    </row>
    <row r="2470">
      <c r="D2470" s="81"/>
      <c r="E2470" s="81"/>
      <c r="F2470" s="555"/>
      <c r="G2470" s="81"/>
      <c r="H2470" s="81"/>
      <c r="I2470" s="81"/>
    </row>
    <row r="2471">
      <c r="D2471" s="81"/>
      <c r="E2471" s="81"/>
      <c r="F2471" s="555"/>
      <c r="G2471" s="81"/>
      <c r="H2471" s="81"/>
      <c r="I2471" s="81"/>
    </row>
    <row r="2472">
      <c r="D2472" s="81"/>
      <c r="E2472" s="81"/>
      <c r="F2472" s="555"/>
      <c r="G2472" s="81"/>
      <c r="H2472" s="81"/>
      <c r="I2472" s="81"/>
    </row>
    <row r="2473">
      <c r="D2473" s="81"/>
      <c r="E2473" s="81"/>
      <c r="F2473" s="555"/>
      <c r="G2473" s="81"/>
      <c r="H2473" s="81"/>
      <c r="I2473" s="81"/>
    </row>
    <row r="2474">
      <c r="D2474" s="81"/>
      <c r="E2474" s="81"/>
      <c r="F2474" s="555"/>
      <c r="G2474" s="81"/>
      <c r="H2474" s="81"/>
      <c r="I2474" s="81"/>
    </row>
    <row r="2475">
      <c r="D2475" s="81"/>
      <c r="E2475" s="81"/>
      <c r="F2475" s="555"/>
      <c r="G2475" s="81"/>
      <c r="H2475" s="81"/>
      <c r="I2475" s="81"/>
    </row>
    <row r="2476">
      <c r="D2476" s="81"/>
      <c r="E2476" s="81"/>
      <c r="F2476" s="555"/>
      <c r="G2476" s="81"/>
      <c r="H2476" s="81"/>
      <c r="I2476" s="81"/>
    </row>
    <row r="2477">
      <c r="D2477" s="81"/>
      <c r="E2477" s="81"/>
      <c r="F2477" s="555"/>
      <c r="G2477" s="81"/>
      <c r="H2477" s="81"/>
      <c r="I2477" s="81"/>
    </row>
    <row r="2478">
      <c r="D2478" s="81"/>
      <c r="E2478" s="81"/>
      <c r="F2478" s="555"/>
      <c r="G2478" s="81"/>
      <c r="H2478" s="81"/>
      <c r="I2478" s="81"/>
    </row>
    <row r="2479">
      <c r="D2479" s="81"/>
      <c r="E2479" s="81"/>
      <c r="F2479" s="555"/>
      <c r="G2479" s="81"/>
      <c r="H2479" s="81"/>
      <c r="I2479" s="81"/>
    </row>
    <row r="2480">
      <c r="D2480" s="81"/>
      <c r="E2480" s="81"/>
      <c r="F2480" s="555"/>
      <c r="G2480" s="81"/>
      <c r="H2480" s="81"/>
      <c r="I2480" s="81"/>
    </row>
    <row r="2481">
      <c r="D2481" s="81"/>
      <c r="E2481" s="81"/>
      <c r="F2481" s="555"/>
      <c r="G2481" s="81"/>
      <c r="H2481" s="81"/>
      <c r="I2481" s="81"/>
    </row>
    <row r="2482">
      <c r="D2482" s="81"/>
      <c r="E2482" s="81"/>
      <c r="F2482" s="555"/>
      <c r="G2482" s="81"/>
      <c r="H2482" s="81"/>
      <c r="I2482" s="81"/>
    </row>
    <row r="2483">
      <c r="D2483" s="81"/>
      <c r="E2483" s="81"/>
      <c r="F2483" s="555"/>
      <c r="G2483" s="81"/>
      <c r="H2483" s="81"/>
      <c r="I2483" s="81"/>
    </row>
    <row r="2484">
      <c r="D2484" s="81"/>
      <c r="E2484" s="81"/>
      <c r="F2484" s="555"/>
      <c r="G2484" s="81"/>
      <c r="H2484" s="81"/>
      <c r="I2484" s="81"/>
    </row>
    <row r="2485">
      <c r="D2485" s="81"/>
      <c r="E2485" s="81"/>
      <c r="F2485" s="555"/>
      <c r="G2485" s="81"/>
      <c r="H2485" s="81"/>
      <c r="I2485" s="81"/>
    </row>
    <row r="2486">
      <c r="D2486" s="81"/>
      <c r="E2486" s="81"/>
      <c r="F2486" s="555"/>
      <c r="G2486" s="81"/>
      <c r="H2486" s="81"/>
      <c r="I2486" s="81"/>
    </row>
    <row r="2487">
      <c r="D2487" s="81"/>
      <c r="E2487" s="81"/>
      <c r="F2487" s="555"/>
      <c r="G2487" s="81"/>
      <c r="H2487" s="81"/>
      <c r="I2487" s="81"/>
    </row>
    <row r="2488">
      <c r="D2488" s="81"/>
      <c r="E2488" s="81"/>
      <c r="F2488" s="555"/>
      <c r="G2488" s="81"/>
      <c r="H2488" s="81"/>
      <c r="I2488" s="81"/>
    </row>
    <row r="2489">
      <c r="D2489" s="81"/>
      <c r="E2489" s="81"/>
      <c r="F2489" s="555"/>
      <c r="G2489" s="81"/>
      <c r="H2489" s="81"/>
      <c r="I2489" s="81"/>
    </row>
    <row r="2490">
      <c r="D2490" s="81"/>
      <c r="E2490" s="81"/>
      <c r="F2490" s="555"/>
      <c r="G2490" s="81"/>
      <c r="H2490" s="81"/>
      <c r="I2490" s="81"/>
    </row>
    <row r="2491">
      <c r="D2491" s="81"/>
      <c r="E2491" s="81"/>
      <c r="F2491" s="555"/>
      <c r="G2491" s="81"/>
      <c r="H2491" s="81"/>
      <c r="I2491" s="81"/>
    </row>
    <row r="2492">
      <c r="D2492" s="81"/>
      <c r="E2492" s="81"/>
      <c r="F2492" s="555"/>
      <c r="G2492" s="81"/>
      <c r="H2492" s="81"/>
      <c r="I2492" s="81"/>
    </row>
    <row r="2493">
      <c r="D2493" s="81"/>
      <c r="E2493" s="81"/>
      <c r="F2493" s="555"/>
      <c r="G2493" s="81"/>
      <c r="H2493" s="81"/>
      <c r="I2493" s="81"/>
    </row>
    <row r="2494">
      <c r="D2494" s="81"/>
      <c r="E2494" s="81"/>
      <c r="F2494" s="555"/>
      <c r="G2494" s="81"/>
      <c r="H2494" s="81"/>
      <c r="I2494" s="81"/>
    </row>
    <row r="2495">
      <c r="D2495" s="81"/>
      <c r="E2495" s="81"/>
      <c r="F2495" s="555"/>
      <c r="G2495" s="81"/>
      <c r="H2495" s="81"/>
      <c r="I2495" s="81"/>
    </row>
    <row r="2496">
      <c r="D2496" s="81"/>
      <c r="E2496" s="81"/>
      <c r="F2496" s="555"/>
      <c r="G2496" s="81"/>
      <c r="H2496" s="81"/>
      <c r="I2496" s="81"/>
    </row>
    <row r="2497">
      <c r="D2497" s="81"/>
      <c r="E2497" s="81"/>
      <c r="F2497" s="555"/>
      <c r="G2497" s="81"/>
      <c r="H2497" s="81"/>
      <c r="I2497" s="81"/>
    </row>
    <row r="2498">
      <c r="D2498" s="81"/>
      <c r="E2498" s="81"/>
      <c r="F2498" s="555"/>
      <c r="G2498" s="81"/>
      <c r="H2498" s="81"/>
      <c r="I2498" s="81"/>
    </row>
    <row r="2499">
      <c r="D2499" s="81"/>
      <c r="E2499" s="81"/>
      <c r="F2499" s="555"/>
      <c r="G2499" s="81"/>
      <c r="H2499" s="81"/>
      <c r="I2499" s="81"/>
    </row>
    <row r="2500">
      <c r="D2500" s="81"/>
      <c r="E2500" s="81"/>
      <c r="F2500" s="555"/>
      <c r="G2500" s="81"/>
      <c r="H2500" s="81"/>
      <c r="I2500" s="81"/>
    </row>
    <row r="2501">
      <c r="D2501" s="81"/>
      <c r="E2501" s="81"/>
      <c r="F2501" s="555"/>
      <c r="G2501" s="81"/>
      <c r="H2501" s="81"/>
      <c r="I2501" s="81"/>
    </row>
    <row r="2502">
      <c r="D2502" s="81"/>
      <c r="E2502" s="81"/>
      <c r="F2502" s="555"/>
      <c r="G2502" s="81"/>
      <c r="H2502" s="81"/>
      <c r="I2502" s="81"/>
    </row>
    <row r="2503">
      <c r="D2503" s="81"/>
      <c r="E2503" s="81"/>
      <c r="F2503" s="555"/>
      <c r="G2503" s="81"/>
      <c r="H2503" s="81"/>
      <c r="I2503" s="81"/>
    </row>
    <row r="2504">
      <c r="D2504" s="81"/>
      <c r="E2504" s="81"/>
      <c r="F2504" s="555"/>
      <c r="G2504" s="81"/>
      <c r="H2504" s="81"/>
      <c r="I2504" s="81"/>
    </row>
    <row r="2505">
      <c r="D2505" s="81"/>
      <c r="E2505" s="81"/>
      <c r="F2505" s="555"/>
      <c r="G2505" s="81"/>
      <c r="H2505" s="81"/>
      <c r="I2505" s="81"/>
    </row>
    <row r="2506">
      <c r="D2506" s="81"/>
      <c r="E2506" s="81"/>
      <c r="F2506" s="555"/>
      <c r="G2506" s="81"/>
      <c r="H2506" s="81"/>
      <c r="I2506" s="81"/>
    </row>
    <row r="2507">
      <c r="D2507" s="81"/>
      <c r="E2507" s="81"/>
      <c r="F2507" s="555"/>
      <c r="G2507" s="81"/>
      <c r="H2507" s="81"/>
      <c r="I2507" s="81"/>
    </row>
    <row r="2508">
      <c r="D2508" s="81"/>
      <c r="E2508" s="81"/>
      <c r="F2508" s="555"/>
      <c r="G2508" s="81"/>
      <c r="H2508" s="81"/>
      <c r="I2508" s="81"/>
    </row>
    <row r="2509">
      <c r="D2509" s="81"/>
      <c r="E2509" s="81"/>
      <c r="F2509" s="555"/>
      <c r="G2509" s="81"/>
      <c r="H2509" s="81"/>
      <c r="I2509" s="81"/>
    </row>
    <row r="2510">
      <c r="D2510" s="81"/>
      <c r="E2510" s="81"/>
      <c r="F2510" s="555"/>
      <c r="G2510" s="81"/>
      <c r="H2510" s="81"/>
      <c r="I2510" s="81"/>
    </row>
    <row r="2511">
      <c r="D2511" s="81"/>
      <c r="E2511" s="81"/>
      <c r="F2511" s="555"/>
      <c r="G2511" s="81"/>
      <c r="H2511" s="81"/>
      <c r="I2511" s="81"/>
    </row>
    <row r="2512">
      <c r="D2512" s="81"/>
      <c r="E2512" s="81"/>
      <c r="F2512" s="555"/>
      <c r="G2512" s="81"/>
      <c r="H2512" s="81"/>
      <c r="I2512" s="81"/>
    </row>
    <row r="2513">
      <c r="D2513" s="81"/>
      <c r="E2513" s="81"/>
      <c r="F2513" s="555"/>
      <c r="G2513" s="81"/>
      <c r="H2513" s="81"/>
      <c r="I2513" s="81"/>
    </row>
    <row r="2514">
      <c r="D2514" s="81"/>
      <c r="E2514" s="81"/>
      <c r="F2514" s="555"/>
      <c r="G2514" s="81"/>
      <c r="H2514" s="81"/>
      <c r="I2514" s="81"/>
    </row>
    <row r="2515">
      <c r="D2515" s="81"/>
      <c r="E2515" s="81"/>
      <c r="F2515" s="555"/>
      <c r="G2515" s="81"/>
      <c r="H2515" s="81"/>
      <c r="I2515" s="81"/>
    </row>
    <row r="2516">
      <c r="D2516" s="81"/>
      <c r="E2516" s="81"/>
      <c r="F2516" s="555"/>
      <c r="G2516" s="81"/>
      <c r="H2516" s="81"/>
      <c r="I2516" s="81"/>
    </row>
    <row r="2517">
      <c r="D2517" s="81"/>
      <c r="E2517" s="81"/>
      <c r="F2517" s="555"/>
      <c r="G2517" s="81"/>
      <c r="H2517" s="81"/>
      <c r="I2517" s="81"/>
    </row>
    <row r="2518">
      <c r="D2518" s="81"/>
      <c r="E2518" s="81"/>
      <c r="F2518" s="555"/>
      <c r="G2518" s="81"/>
      <c r="H2518" s="81"/>
      <c r="I2518" s="81"/>
    </row>
    <row r="2519">
      <c r="D2519" s="81"/>
      <c r="E2519" s="81"/>
      <c r="F2519" s="555"/>
      <c r="G2519" s="81"/>
      <c r="H2519" s="81"/>
      <c r="I2519" s="81"/>
    </row>
    <row r="2520">
      <c r="D2520" s="81"/>
      <c r="E2520" s="81"/>
      <c r="F2520" s="555"/>
      <c r="G2520" s="81"/>
      <c r="H2520" s="81"/>
      <c r="I2520" s="81"/>
    </row>
    <row r="2521">
      <c r="D2521" s="81"/>
      <c r="E2521" s="81"/>
      <c r="F2521" s="555"/>
      <c r="G2521" s="81"/>
      <c r="H2521" s="81"/>
      <c r="I2521" s="81"/>
    </row>
    <row r="2522">
      <c r="D2522" s="81"/>
      <c r="E2522" s="81"/>
      <c r="F2522" s="555"/>
      <c r="G2522" s="81"/>
      <c r="H2522" s="81"/>
      <c r="I2522" s="81"/>
    </row>
    <row r="2523">
      <c r="D2523" s="81"/>
      <c r="E2523" s="81"/>
      <c r="F2523" s="555"/>
      <c r="G2523" s="81"/>
      <c r="H2523" s="81"/>
      <c r="I2523" s="81"/>
    </row>
    <row r="2524">
      <c r="D2524" s="81"/>
      <c r="E2524" s="81"/>
      <c r="F2524" s="555"/>
      <c r="G2524" s="81"/>
      <c r="H2524" s="81"/>
      <c r="I2524" s="81"/>
    </row>
    <row r="2525">
      <c r="D2525" s="81"/>
      <c r="E2525" s="81"/>
      <c r="F2525" s="555"/>
      <c r="G2525" s="81"/>
      <c r="H2525" s="81"/>
      <c r="I2525" s="81"/>
    </row>
    <row r="2526">
      <c r="D2526" s="81"/>
      <c r="E2526" s="81"/>
      <c r="F2526" s="555"/>
      <c r="G2526" s="81"/>
      <c r="H2526" s="81"/>
      <c r="I2526" s="81"/>
    </row>
    <row r="2527">
      <c r="D2527" s="81"/>
      <c r="E2527" s="81"/>
      <c r="F2527" s="555"/>
      <c r="G2527" s="81"/>
      <c r="H2527" s="81"/>
      <c r="I2527" s="81"/>
    </row>
    <row r="2528">
      <c r="D2528" s="81"/>
      <c r="E2528" s="81"/>
      <c r="F2528" s="555"/>
      <c r="G2528" s="81"/>
      <c r="H2528" s="81"/>
      <c r="I2528" s="81"/>
    </row>
    <row r="2529">
      <c r="D2529" s="81"/>
      <c r="E2529" s="81"/>
      <c r="F2529" s="555"/>
      <c r="G2529" s="81"/>
      <c r="H2529" s="81"/>
      <c r="I2529" s="81"/>
    </row>
    <row r="2530">
      <c r="D2530" s="81"/>
      <c r="E2530" s="81"/>
      <c r="F2530" s="555"/>
      <c r="G2530" s="81"/>
      <c r="H2530" s="81"/>
      <c r="I2530" s="81"/>
    </row>
    <row r="2531">
      <c r="D2531" s="81"/>
      <c r="E2531" s="81"/>
      <c r="F2531" s="555"/>
      <c r="G2531" s="81"/>
      <c r="H2531" s="81"/>
      <c r="I2531" s="81"/>
    </row>
    <row r="2532">
      <c r="D2532" s="81"/>
      <c r="E2532" s="81"/>
      <c r="F2532" s="555"/>
      <c r="G2532" s="81"/>
      <c r="H2532" s="81"/>
      <c r="I2532" s="81"/>
    </row>
    <row r="2533">
      <c r="D2533" s="81"/>
      <c r="E2533" s="81"/>
      <c r="F2533" s="555"/>
      <c r="G2533" s="81"/>
      <c r="H2533" s="81"/>
      <c r="I2533" s="81"/>
    </row>
    <row r="2534">
      <c r="D2534" s="81"/>
      <c r="E2534" s="81"/>
      <c r="F2534" s="555"/>
      <c r="G2534" s="81"/>
      <c r="H2534" s="81"/>
      <c r="I2534" s="81"/>
    </row>
    <row r="2535">
      <c r="D2535" s="81"/>
      <c r="E2535" s="81"/>
      <c r="F2535" s="555"/>
      <c r="G2535" s="81"/>
      <c r="H2535" s="81"/>
      <c r="I2535" s="81"/>
    </row>
    <row r="2536">
      <c r="D2536" s="81"/>
      <c r="E2536" s="81"/>
      <c r="F2536" s="555"/>
      <c r="G2536" s="81"/>
      <c r="H2536" s="81"/>
      <c r="I2536" s="81"/>
    </row>
    <row r="2537">
      <c r="D2537" s="81"/>
      <c r="E2537" s="81"/>
      <c r="F2537" s="555"/>
      <c r="G2537" s="81"/>
      <c r="H2537" s="81"/>
      <c r="I2537" s="81"/>
    </row>
    <row r="2538">
      <c r="D2538" s="81"/>
      <c r="E2538" s="81"/>
      <c r="F2538" s="555"/>
      <c r="G2538" s="81"/>
      <c r="H2538" s="81"/>
      <c r="I2538" s="81"/>
    </row>
    <row r="2539">
      <c r="D2539" s="81"/>
      <c r="E2539" s="81"/>
      <c r="F2539" s="555"/>
      <c r="G2539" s="81"/>
      <c r="H2539" s="81"/>
      <c r="I2539" s="81"/>
    </row>
    <row r="2540">
      <c r="D2540" s="81"/>
      <c r="E2540" s="81"/>
      <c r="F2540" s="555"/>
      <c r="G2540" s="81"/>
      <c r="H2540" s="81"/>
      <c r="I2540" s="81"/>
    </row>
    <row r="2541">
      <c r="D2541" s="81"/>
      <c r="E2541" s="81"/>
      <c r="F2541" s="555"/>
      <c r="G2541" s="81"/>
      <c r="H2541" s="81"/>
      <c r="I2541" s="81"/>
    </row>
    <row r="2542">
      <c r="D2542" s="81"/>
      <c r="E2542" s="81"/>
      <c r="F2542" s="555"/>
      <c r="G2542" s="81"/>
      <c r="H2542" s="81"/>
      <c r="I2542" s="81"/>
    </row>
    <row r="2543">
      <c r="D2543" s="81"/>
      <c r="E2543" s="81"/>
      <c r="F2543" s="555"/>
      <c r="G2543" s="81"/>
      <c r="H2543" s="81"/>
      <c r="I2543" s="81"/>
    </row>
    <row r="2544">
      <c r="D2544" s="81"/>
      <c r="E2544" s="81"/>
      <c r="F2544" s="555"/>
      <c r="G2544" s="81"/>
      <c r="H2544" s="81"/>
      <c r="I2544" s="81"/>
    </row>
    <row r="2545">
      <c r="D2545" s="81"/>
      <c r="E2545" s="81"/>
      <c r="F2545" s="555"/>
      <c r="G2545" s="81"/>
      <c r="H2545" s="81"/>
      <c r="I2545" s="81"/>
    </row>
    <row r="2546">
      <c r="D2546" s="81"/>
      <c r="E2546" s="81"/>
      <c r="F2546" s="555"/>
      <c r="G2546" s="81"/>
      <c r="H2546" s="81"/>
      <c r="I2546" s="81"/>
    </row>
    <row r="2547">
      <c r="D2547" s="81"/>
      <c r="E2547" s="81"/>
      <c r="F2547" s="555"/>
      <c r="G2547" s="81"/>
      <c r="H2547" s="81"/>
      <c r="I2547" s="81"/>
    </row>
    <row r="2548">
      <c r="D2548" s="81"/>
      <c r="E2548" s="81"/>
      <c r="F2548" s="555"/>
      <c r="G2548" s="81"/>
      <c r="H2548" s="81"/>
      <c r="I2548" s="81"/>
    </row>
    <row r="2549">
      <c r="D2549" s="81"/>
      <c r="E2549" s="81"/>
      <c r="F2549" s="555"/>
      <c r="G2549" s="81"/>
      <c r="H2549" s="81"/>
      <c r="I2549" s="81"/>
    </row>
    <row r="2550">
      <c r="D2550" s="81"/>
      <c r="E2550" s="81"/>
      <c r="F2550" s="555"/>
      <c r="G2550" s="81"/>
      <c r="H2550" s="81"/>
      <c r="I2550" s="81"/>
    </row>
    <row r="2551">
      <c r="D2551" s="81"/>
      <c r="E2551" s="81"/>
      <c r="F2551" s="555"/>
      <c r="G2551" s="81"/>
      <c r="H2551" s="81"/>
      <c r="I2551" s="81"/>
    </row>
    <row r="2552">
      <c r="D2552" s="81"/>
      <c r="E2552" s="81"/>
      <c r="F2552" s="555"/>
      <c r="G2552" s="81"/>
      <c r="H2552" s="81"/>
      <c r="I2552" s="81"/>
    </row>
    <row r="2553">
      <c r="D2553" s="81"/>
      <c r="E2553" s="81"/>
      <c r="F2553" s="555"/>
      <c r="G2553" s="81"/>
      <c r="H2553" s="81"/>
      <c r="I2553" s="81"/>
    </row>
    <row r="2554">
      <c r="D2554" s="81"/>
      <c r="E2554" s="81"/>
      <c r="F2554" s="555"/>
      <c r="G2554" s="81"/>
      <c r="H2554" s="81"/>
      <c r="I2554" s="81"/>
    </row>
    <row r="2555">
      <c r="D2555" s="81"/>
      <c r="E2555" s="81"/>
      <c r="F2555" s="555"/>
      <c r="G2555" s="81"/>
      <c r="H2555" s="81"/>
      <c r="I2555" s="81"/>
    </row>
    <row r="2556">
      <c r="D2556" s="81"/>
      <c r="E2556" s="81"/>
      <c r="F2556" s="555"/>
      <c r="G2556" s="81"/>
      <c r="H2556" s="81"/>
      <c r="I2556" s="81"/>
    </row>
    <row r="2557">
      <c r="D2557" s="81"/>
      <c r="E2557" s="81"/>
      <c r="F2557" s="555"/>
      <c r="G2557" s="81"/>
      <c r="H2557" s="81"/>
      <c r="I2557" s="81"/>
    </row>
    <row r="2558">
      <c r="D2558" s="81"/>
      <c r="E2558" s="81"/>
      <c r="F2558" s="555"/>
      <c r="G2558" s="81"/>
      <c r="H2558" s="81"/>
      <c r="I2558" s="81"/>
    </row>
    <row r="2559">
      <c r="D2559" s="81"/>
      <c r="E2559" s="81"/>
      <c r="F2559" s="555"/>
      <c r="G2559" s="81"/>
      <c r="H2559" s="81"/>
      <c r="I2559" s="81"/>
    </row>
    <row r="2560">
      <c r="D2560" s="81"/>
      <c r="E2560" s="81"/>
      <c r="F2560" s="555"/>
      <c r="G2560" s="81"/>
      <c r="H2560" s="81"/>
      <c r="I2560" s="81"/>
    </row>
    <row r="2561">
      <c r="D2561" s="81"/>
      <c r="E2561" s="81"/>
      <c r="F2561" s="555"/>
      <c r="G2561" s="81"/>
      <c r="H2561" s="81"/>
      <c r="I2561" s="81"/>
    </row>
    <row r="2562">
      <c r="D2562" s="81"/>
      <c r="E2562" s="81"/>
      <c r="F2562" s="555"/>
      <c r="G2562" s="81"/>
      <c r="H2562" s="81"/>
      <c r="I2562" s="81"/>
    </row>
    <row r="2563">
      <c r="D2563" s="81"/>
      <c r="E2563" s="81"/>
      <c r="F2563" s="555"/>
      <c r="G2563" s="81"/>
      <c r="H2563" s="81"/>
      <c r="I2563" s="81"/>
    </row>
    <row r="2564">
      <c r="D2564" s="81"/>
      <c r="E2564" s="81"/>
      <c r="F2564" s="555"/>
      <c r="G2564" s="81"/>
      <c r="H2564" s="81"/>
      <c r="I2564" s="81"/>
    </row>
    <row r="2565">
      <c r="D2565" s="81"/>
      <c r="E2565" s="81"/>
      <c r="F2565" s="555"/>
      <c r="G2565" s="81"/>
      <c r="H2565" s="81"/>
      <c r="I2565" s="81"/>
    </row>
    <row r="2566">
      <c r="D2566" s="81"/>
      <c r="E2566" s="81"/>
      <c r="F2566" s="555"/>
      <c r="G2566" s="81"/>
      <c r="H2566" s="81"/>
      <c r="I2566" s="81"/>
    </row>
    <row r="2567">
      <c r="D2567" s="81"/>
      <c r="E2567" s="81"/>
      <c r="F2567" s="555"/>
      <c r="G2567" s="81"/>
      <c r="H2567" s="81"/>
      <c r="I2567" s="81"/>
    </row>
    <row r="2568">
      <c r="D2568" s="81"/>
      <c r="E2568" s="81"/>
      <c r="F2568" s="555"/>
      <c r="G2568" s="81"/>
      <c r="H2568" s="81"/>
      <c r="I2568" s="81"/>
    </row>
    <row r="2569">
      <c r="D2569" s="81"/>
      <c r="E2569" s="81"/>
      <c r="F2569" s="555"/>
      <c r="G2569" s="81"/>
      <c r="H2569" s="81"/>
      <c r="I2569" s="81"/>
    </row>
    <row r="2570">
      <c r="D2570" s="81"/>
      <c r="E2570" s="81"/>
      <c r="F2570" s="555"/>
      <c r="G2570" s="81"/>
      <c r="H2570" s="81"/>
      <c r="I2570" s="81"/>
    </row>
    <row r="2571">
      <c r="D2571" s="81"/>
      <c r="E2571" s="81"/>
      <c r="F2571" s="555"/>
      <c r="G2571" s="81"/>
      <c r="H2571" s="81"/>
      <c r="I2571" s="81"/>
    </row>
    <row r="2572">
      <c r="D2572" s="81"/>
      <c r="E2572" s="81"/>
      <c r="F2572" s="555"/>
      <c r="G2572" s="81"/>
      <c r="H2572" s="81"/>
      <c r="I2572" s="81"/>
    </row>
    <row r="2573">
      <c r="D2573" s="81"/>
      <c r="E2573" s="81"/>
      <c r="F2573" s="555"/>
      <c r="G2573" s="81"/>
      <c r="H2573" s="81"/>
      <c r="I2573" s="81"/>
    </row>
    <row r="2574">
      <c r="D2574" s="81"/>
      <c r="E2574" s="81"/>
      <c r="F2574" s="555"/>
      <c r="G2574" s="81"/>
      <c r="H2574" s="81"/>
      <c r="I2574" s="81"/>
    </row>
    <row r="2575">
      <c r="D2575" s="81"/>
      <c r="E2575" s="81"/>
      <c r="F2575" s="555"/>
      <c r="G2575" s="81"/>
      <c r="H2575" s="81"/>
      <c r="I2575" s="81"/>
    </row>
    <row r="2576">
      <c r="D2576" s="81"/>
      <c r="E2576" s="81"/>
      <c r="F2576" s="555"/>
      <c r="G2576" s="81"/>
      <c r="H2576" s="81"/>
      <c r="I2576" s="81"/>
    </row>
    <row r="2577">
      <c r="D2577" s="81"/>
      <c r="E2577" s="81"/>
      <c r="F2577" s="555"/>
      <c r="G2577" s="81"/>
      <c r="H2577" s="81"/>
      <c r="I2577" s="81"/>
    </row>
    <row r="2578">
      <c r="D2578" s="81"/>
      <c r="E2578" s="81"/>
      <c r="F2578" s="555"/>
      <c r="G2578" s="81"/>
      <c r="H2578" s="81"/>
      <c r="I2578" s="81"/>
    </row>
    <row r="2579">
      <c r="D2579" s="81"/>
      <c r="E2579" s="81"/>
      <c r="F2579" s="555"/>
      <c r="G2579" s="81"/>
      <c r="H2579" s="81"/>
      <c r="I2579" s="81"/>
    </row>
    <row r="2580">
      <c r="D2580" s="81"/>
      <c r="E2580" s="81"/>
      <c r="F2580" s="555"/>
      <c r="G2580" s="81"/>
      <c r="H2580" s="81"/>
      <c r="I2580" s="81"/>
    </row>
    <row r="2581">
      <c r="D2581" s="81"/>
      <c r="E2581" s="81"/>
      <c r="F2581" s="555"/>
      <c r="G2581" s="81"/>
      <c r="H2581" s="81"/>
      <c r="I2581" s="81"/>
    </row>
    <row r="2582">
      <c r="D2582" s="81"/>
      <c r="E2582" s="81"/>
      <c r="F2582" s="555"/>
      <c r="G2582" s="81"/>
      <c r="H2582" s="81"/>
      <c r="I2582" s="81"/>
    </row>
    <row r="2583">
      <c r="D2583" s="81"/>
      <c r="E2583" s="81"/>
      <c r="F2583" s="555"/>
      <c r="G2583" s="81"/>
      <c r="H2583" s="81"/>
      <c r="I2583" s="81"/>
    </row>
    <row r="2584">
      <c r="D2584" s="81"/>
      <c r="E2584" s="81"/>
      <c r="F2584" s="555"/>
      <c r="G2584" s="81"/>
      <c r="H2584" s="81"/>
      <c r="I2584" s="81"/>
    </row>
    <row r="2585">
      <c r="D2585" s="81"/>
      <c r="E2585" s="81"/>
      <c r="F2585" s="555"/>
      <c r="G2585" s="81"/>
      <c r="H2585" s="81"/>
      <c r="I2585" s="81"/>
    </row>
    <row r="2586">
      <c r="D2586" s="81"/>
      <c r="E2586" s="81"/>
      <c r="F2586" s="555"/>
      <c r="G2586" s="81"/>
      <c r="H2586" s="81"/>
      <c r="I2586" s="81"/>
    </row>
    <row r="2587">
      <c r="D2587" s="81"/>
      <c r="E2587" s="81"/>
      <c r="F2587" s="555"/>
      <c r="G2587" s="81"/>
      <c r="H2587" s="81"/>
      <c r="I2587" s="81"/>
    </row>
    <row r="2588">
      <c r="D2588" s="81"/>
      <c r="E2588" s="81"/>
      <c r="F2588" s="555"/>
      <c r="G2588" s="81"/>
      <c r="H2588" s="81"/>
      <c r="I2588" s="81"/>
    </row>
    <row r="2589">
      <c r="D2589" s="81"/>
      <c r="E2589" s="81"/>
      <c r="F2589" s="555"/>
      <c r="G2589" s="81"/>
      <c r="H2589" s="81"/>
      <c r="I2589" s="81"/>
    </row>
    <row r="2590">
      <c r="D2590" s="81"/>
      <c r="E2590" s="81"/>
      <c r="F2590" s="555"/>
      <c r="G2590" s="81"/>
      <c r="H2590" s="81"/>
      <c r="I2590" s="81"/>
    </row>
    <row r="2591">
      <c r="D2591" s="81"/>
      <c r="E2591" s="81"/>
      <c r="F2591" s="555"/>
      <c r="G2591" s="81"/>
      <c r="H2591" s="81"/>
      <c r="I2591" s="81"/>
    </row>
    <row r="2592">
      <c r="D2592" s="81"/>
      <c r="E2592" s="81"/>
      <c r="F2592" s="555"/>
      <c r="G2592" s="81"/>
      <c r="H2592" s="81"/>
      <c r="I2592" s="81"/>
    </row>
    <row r="2593">
      <c r="D2593" s="81"/>
      <c r="E2593" s="81"/>
      <c r="F2593" s="555"/>
      <c r="G2593" s="81"/>
      <c r="H2593" s="81"/>
      <c r="I2593" s="81"/>
    </row>
    <row r="2594">
      <c r="D2594" s="81"/>
      <c r="E2594" s="81"/>
      <c r="F2594" s="555"/>
      <c r="G2594" s="81"/>
      <c r="H2594" s="81"/>
      <c r="I2594" s="81"/>
    </row>
    <row r="2595">
      <c r="D2595" s="81"/>
      <c r="E2595" s="81"/>
      <c r="F2595" s="555"/>
      <c r="G2595" s="81"/>
      <c r="H2595" s="81"/>
      <c r="I2595" s="81"/>
    </row>
    <row r="2596">
      <c r="D2596" s="81"/>
      <c r="E2596" s="81"/>
      <c r="F2596" s="555"/>
      <c r="G2596" s="81"/>
      <c r="H2596" s="81"/>
      <c r="I2596" s="81"/>
    </row>
    <row r="2597">
      <c r="D2597" s="81"/>
      <c r="E2597" s="81"/>
      <c r="F2597" s="555"/>
      <c r="G2597" s="81"/>
      <c r="H2597" s="81"/>
      <c r="I2597" s="81"/>
    </row>
    <row r="2598">
      <c r="D2598" s="81"/>
      <c r="E2598" s="81"/>
      <c r="F2598" s="555"/>
      <c r="G2598" s="81"/>
      <c r="H2598" s="81"/>
      <c r="I2598" s="81"/>
    </row>
    <row r="2599">
      <c r="D2599" s="81"/>
      <c r="E2599" s="81"/>
      <c r="F2599" s="555"/>
      <c r="G2599" s="81"/>
      <c r="H2599" s="81"/>
      <c r="I2599" s="81"/>
    </row>
    <row r="2600">
      <c r="D2600" s="81"/>
      <c r="E2600" s="81"/>
      <c r="F2600" s="555"/>
      <c r="G2600" s="81"/>
      <c r="H2600" s="81"/>
      <c r="I2600" s="81"/>
    </row>
    <row r="2601">
      <c r="D2601" s="81"/>
      <c r="E2601" s="81"/>
      <c r="F2601" s="555"/>
      <c r="G2601" s="81"/>
      <c r="H2601" s="81"/>
      <c r="I2601" s="81"/>
    </row>
    <row r="2602">
      <c r="D2602" s="81"/>
      <c r="E2602" s="81"/>
      <c r="F2602" s="555"/>
      <c r="G2602" s="81"/>
      <c r="H2602" s="81"/>
      <c r="I2602" s="81"/>
    </row>
    <row r="2603">
      <c r="D2603" s="81"/>
      <c r="E2603" s="81"/>
      <c r="F2603" s="555"/>
      <c r="G2603" s="81"/>
      <c r="H2603" s="81"/>
      <c r="I2603" s="81"/>
    </row>
    <row r="2604">
      <c r="D2604" s="81"/>
      <c r="E2604" s="81"/>
      <c r="F2604" s="555"/>
      <c r="G2604" s="81"/>
      <c r="H2604" s="81"/>
      <c r="I2604" s="81"/>
    </row>
    <row r="2605">
      <c r="D2605" s="81"/>
      <c r="E2605" s="81"/>
      <c r="F2605" s="555"/>
      <c r="G2605" s="81"/>
      <c r="H2605" s="81"/>
      <c r="I2605" s="81"/>
    </row>
    <row r="2606">
      <c r="D2606" s="81"/>
      <c r="E2606" s="81"/>
      <c r="F2606" s="555"/>
      <c r="G2606" s="81"/>
      <c r="H2606" s="81"/>
      <c r="I2606" s="81"/>
    </row>
    <row r="2607">
      <c r="D2607" s="81"/>
      <c r="E2607" s="81"/>
      <c r="F2607" s="555"/>
      <c r="G2607" s="81"/>
      <c r="H2607" s="81"/>
      <c r="I2607" s="81"/>
    </row>
    <row r="2608">
      <c r="D2608" s="81"/>
      <c r="E2608" s="81"/>
      <c r="F2608" s="555"/>
      <c r="G2608" s="81"/>
      <c r="H2608" s="81"/>
      <c r="I2608" s="81"/>
    </row>
    <row r="2609">
      <c r="D2609" s="81"/>
      <c r="E2609" s="81"/>
      <c r="F2609" s="555"/>
      <c r="G2609" s="81"/>
      <c r="H2609" s="81"/>
      <c r="I2609" s="81"/>
    </row>
    <row r="2610">
      <c r="D2610" s="81"/>
      <c r="E2610" s="81"/>
      <c r="F2610" s="555"/>
      <c r="G2610" s="81"/>
      <c r="H2610" s="81"/>
      <c r="I2610" s="81"/>
    </row>
    <row r="2611">
      <c r="D2611" s="81"/>
      <c r="E2611" s="81"/>
      <c r="F2611" s="555"/>
      <c r="G2611" s="81"/>
      <c r="H2611" s="81"/>
      <c r="I2611" s="81"/>
    </row>
    <row r="2612">
      <c r="D2612" s="81"/>
      <c r="E2612" s="81"/>
      <c r="F2612" s="555"/>
      <c r="G2612" s="81"/>
      <c r="H2612" s="81"/>
      <c r="I2612" s="81"/>
    </row>
    <row r="2613">
      <c r="D2613" s="81"/>
      <c r="E2613" s="81"/>
      <c r="F2613" s="555"/>
      <c r="G2613" s="81"/>
      <c r="H2613" s="81"/>
      <c r="I2613" s="81"/>
    </row>
    <row r="2614">
      <c r="D2614" s="81"/>
      <c r="E2614" s="81"/>
      <c r="F2614" s="555"/>
      <c r="G2614" s="81"/>
      <c r="H2614" s="81"/>
      <c r="I2614" s="81"/>
    </row>
    <row r="2615">
      <c r="D2615" s="81"/>
      <c r="E2615" s="81"/>
      <c r="F2615" s="555"/>
      <c r="G2615" s="81"/>
      <c r="H2615" s="81"/>
      <c r="I2615" s="81"/>
    </row>
    <row r="2616">
      <c r="D2616" s="81"/>
      <c r="E2616" s="81"/>
      <c r="F2616" s="555"/>
      <c r="G2616" s="81"/>
      <c r="H2616" s="81"/>
      <c r="I2616" s="81"/>
    </row>
    <row r="2617">
      <c r="D2617" s="81"/>
      <c r="E2617" s="81"/>
      <c r="F2617" s="555"/>
      <c r="G2617" s="81"/>
      <c r="H2617" s="81"/>
      <c r="I2617" s="81"/>
    </row>
    <row r="2618">
      <c r="D2618" s="81"/>
      <c r="E2618" s="81"/>
      <c r="F2618" s="555"/>
      <c r="G2618" s="81"/>
      <c r="H2618" s="81"/>
      <c r="I2618" s="81"/>
    </row>
    <row r="2619">
      <c r="D2619" s="81"/>
      <c r="E2619" s="81"/>
      <c r="F2619" s="555"/>
      <c r="G2619" s="81"/>
      <c r="H2619" s="81"/>
      <c r="I2619" s="81"/>
    </row>
    <row r="2620">
      <c r="D2620" s="81"/>
      <c r="E2620" s="81"/>
      <c r="F2620" s="555"/>
      <c r="G2620" s="81"/>
      <c r="H2620" s="81"/>
      <c r="I2620" s="81"/>
    </row>
    <row r="2621">
      <c r="D2621" s="81"/>
      <c r="E2621" s="81"/>
      <c r="F2621" s="555"/>
      <c r="G2621" s="81"/>
      <c r="H2621" s="81"/>
      <c r="I2621" s="81"/>
    </row>
    <row r="2622">
      <c r="D2622" s="81"/>
      <c r="E2622" s="81"/>
      <c r="F2622" s="555"/>
      <c r="G2622" s="81"/>
      <c r="H2622" s="81"/>
      <c r="I2622" s="81"/>
    </row>
    <row r="2623">
      <c r="D2623" s="81"/>
      <c r="E2623" s="81"/>
      <c r="F2623" s="555"/>
      <c r="G2623" s="81"/>
      <c r="H2623" s="81"/>
      <c r="I2623" s="81"/>
    </row>
    <row r="2624">
      <c r="D2624" s="81"/>
      <c r="E2624" s="81"/>
      <c r="F2624" s="555"/>
      <c r="G2624" s="81"/>
      <c r="H2624" s="81"/>
      <c r="I2624" s="81"/>
    </row>
    <row r="2625">
      <c r="D2625" s="81"/>
      <c r="E2625" s="81"/>
      <c r="F2625" s="555"/>
      <c r="G2625" s="81"/>
      <c r="H2625" s="81"/>
      <c r="I2625" s="81"/>
    </row>
    <row r="2626">
      <c r="D2626" s="81"/>
      <c r="E2626" s="81"/>
      <c r="F2626" s="555"/>
      <c r="G2626" s="81"/>
      <c r="H2626" s="81"/>
      <c r="I2626" s="81"/>
    </row>
    <row r="2627">
      <c r="D2627" s="81"/>
      <c r="E2627" s="81"/>
      <c r="F2627" s="555"/>
      <c r="G2627" s="81"/>
      <c r="H2627" s="81"/>
      <c r="I2627" s="81"/>
    </row>
    <row r="2628">
      <c r="D2628" s="81"/>
      <c r="E2628" s="81"/>
      <c r="F2628" s="555"/>
      <c r="G2628" s="81"/>
      <c r="H2628" s="81"/>
      <c r="I2628" s="81"/>
    </row>
    <row r="2629">
      <c r="D2629" s="81"/>
      <c r="E2629" s="81"/>
      <c r="F2629" s="555"/>
      <c r="G2629" s="81"/>
      <c r="H2629" s="81"/>
      <c r="I2629" s="81"/>
    </row>
    <row r="2630">
      <c r="D2630" s="81"/>
      <c r="E2630" s="81"/>
      <c r="F2630" s="555"/>
      <c r="G2630" s="81"/>
      <c r="H2630" s="81"/>
      <c r="I2630" s="81"/>
    </row>
    <row r="2631">
      <c r="D2631" s="81"/>
      <c r="E2631" s="81"/>
      <c r="F2631" s="555"/>
      <c r="G2631" s="81"/>
      <c r="H2631" s="81"/>
      <c r="I2631" s="81"/>
    </row>
    <row r="2632">
      <c r="D2632" s="81"/>
      <c r="E2632" s="81"/>
      <c r="F2632" s="555"/>
      <c r="G2632" s="81"/>
      <c r="H2632" s="81"/>
      <c r="I2632" s="81"/>
    </row>
    <row r="2633">
      <c r="D2633" s="81"/>
      <c r="E2633" s="81"/>
      <c r="F2633" s="555"/>
      <c r="G2633" s="81"/>
      <c r="H2633" s="81"/>
      <c r="I2633" s="81"/>
    </row>
    <row r="2634">
      <c r="D2634" s="81"/>
      <c r="E2634" s="81"/>
      <c r="F2634" s="555"/>
      <c r="G2634" s="81"/>
      <c r="H2634" s="81"/>
      <c r="I2634" s="81"/>
    </row>
    <row r="2635">
      <c r="D2635" s="81"/>
      <c r="E2635" s="81"/>
      <c r="F2635" s="555"/>
      <c r="G2635" s="81"/>
      <c r="H2635" s="81"/>
      <c r="I2635" s="81"/>
    </row>
    <row r="2636">
      <c r="D2636" s="81"/>
      <c r="E2636" s="81"/>
      <c r="F2636" s="555"/>
      <c r="G2636" s="81"/>
      <c r="H2636" s="81"/>
      <c r="I2636" s="81"/>
    </row>
    <row r="2637">
      <c r="D2637" s="81"/>
      <c r="E2637" s="81"/>
      <c r="F2637" s="555"/>
      <c r="G2637" s="81"/>
      <c r="H2637" s="81"/>
      <c r="I2637" s="81"/>
    </row>
    <row r="2638">
      <c r="D2638" s="81"/>
      <c r="E2638" s="81"/>
      <c r="F2638" s="555"/>
      <c r="G2638" s="81"/>
      <c r="H2638" s="81"/>
      <c r="I2638" s="81"/>
    </row>
    <row r="2639">
      <c r="D2639" s="81"/>
      <c r="E2639" s="81"/>
      <c r="F2639" s="555"/>
      <c r="G2639" s="81"/>
      <c r="H2639" s="81"/>
      <c r="I2639" s="81"/>
    </row>
    <row r="2640">
      <c r="D2640" s="81"/>
      <c r="E2640" s="81"/>
      <c r="F2640" s="555"/>
      <c r="G2640" s="81"/>
      <c r="H2640" s="81"/>
      <c r="I2640" s="81"/>
    </row>
    <row r="2641">
      <c r="D2641" s="81"/>
      <c r="E2641" s="81"/>
      <c r="F2641" s="555"/>
      <c r="G2641" s="81"/>
      <c r="H2641" s="81"/>
      <c r="I2641" s="81"/>
    </row>
    <row r="2642">
      <c r="D2642" s="81"/>
      <c r="E2642" s="81"/>
      <c r="F2642" s="555"/>
      <c r="G2642" s="81"/>
      <c r="H2642" s="81"/>
      <c r="I2642" s="81"/>
    </row>
    <row r="2643">
      <c r="D2643" s="81"/>
      <c r="E2643" s="81"/>
      <c r="F2643" s="555"/>
      <c r="G2643" s="81"/>
      <c r="H2643" s="81"/>
      <c r="I2643" s="81"/>
    </row>
    <row r="2644">
      <c r="D2644" s="81"/>
      <c r="E2644" s="81"/>
      <c r="F2644" s="555"/>
      <c r="G2644" s="81"/>
      <c r="H2644" s="81"/>
      <c r="I2644" s="81"/>
    </row>
    <row r="2645">
      <c r="D2645" s="81"/>
      <c r="E2645" s="81"/>
      <c r="F2645" s="555"/>
      <c r="G2645" s="81"/>
      <c r="H2645" s="81"/>
      <c r="I2645" s="81"/>
    </row>
    <row r="2646">
      <c r="D2646" s="81"/>
      <c r="E2646" s="81"/>
      <c r="F2646" s="555"/>
      <c r="G2646" s="81"/>
      <c r="H2646" s="81"/>
      <c r="I2646" s="81"/>
    </row>
    <row r="2647">
      <c r="D2647" s="81"/>
      <c r="E2647" s="81"/>
      <c r="F2647" s="555"/>
      <c r="G2647" s="81"/>
      <c r="H2647" s="81"/>
      <c r="I2647" s="81"/>
    </row>
    <row r="2648">
      <c r="D2648" s="81"/>
      <c r="E2648" s="81"/>
      <c r="F2648" s="555"/>
      <c r="G2648" s="81"/>
      <c r="H2648" s="81"/>
      <c r="I2648" s="81"/>
    </row>
    <row r="2649">
      <c r="D2649" s="81"/>
      <c r="E2649" s="81"/>
      <c r="F2649" s="555"/>
      <c r="G2649" s="81"/>
      <c r="H2649" s="81"/>
      <c r="I2649" s="81"/>
    </row>
    <row r="2650">
      <c r="D2650" s="81"/>
      <c r="E2650" s="81"/>
      <c r="F2650" s="555"/>
      <c r="G2650" s="81"/>
      <c r="H2650" s="81"/>
      <c r="I2650" s="81"/>
    </row>
    <row r="2651">
      <c r="D2651" s="81"/>
      <c r="E2651" s="81"/>
      <c r="F2651" s="555"/>
      <c r="G2651" s="81"/>
      <c r="H2651" s="81"/>
      <c r="I2651" s="81"/>
    </row>
    <row r="2652">
      <c r="D2652" s="81"/>
      <c r="E2652" s="81"/>
      <c r="F2652" s="555"/>
      <c r="G2652" s="81"/>
      <c r="H2652" s="81"/>
      <c r="I2652" s="81"/>
    </row>
    <row r="2653">
      <c r="D2653" s="81"/>
      <c r="E2653" s="81"/>
      <c r="F2653" s="555"/>
      <c r="G2653" s="81"/>
      <c r="H2653" s="81"/>
      <c r="I2653" s="81"/>
    </row>
    <row r="2654">
      <c r="D2654" s="81"/>
      <c r="E2654" s="81"/>
      <c r="F2654" s="555"/>
      <c r="G2654" s="81"/>
      <c r="H2654" s="81"/>
      <c r="I2654" s="81"/>
    </row>
    <row r="2655">
      <c r="D2655" s="81"/>
      <c r="E2655" s="81"/>
      <c r="F2655" s="555"/>
      <c r="G2655" s="81"/>
      <c r="H2655" s="81"/>
      <c r="I2655" s="81"/>
    </row>
    <row r="2656">
      <c r="D2656" s="81"/>
      <c r="E2656" s="81"/>
      <c r="F2656" s="555"/>
      <c r="G2656" s="81"/>
      <c r="H2656" s="81"/>
      <c r="I2656" s="81"/>
    </row>
    <row r="2657">
      <c r="D2657" s="81"/>
      <c r="E2657" s="81"/>
      <c r="F2657" s="555"/>
      <c r="G2657" s="81"/>
      <c r="H2657" s="81"/>
      <c r="I2657" s="81"/>
    </row>
    <row r="2658">
      <c r="D2658" s="81"/>
      <c r="E2658" s="81"/>
      <c r="F2658" s="555"/>
      <c r="G2658" s="81"/>
      <c r="H2658" s="81"/>
      <c r="I2658" s="81"/>
    </row>
    <row r="2659">
      <c r="D2659" s="81"/>
      <c r="E2659" s="81"/>
      <c r="F2659" s="555"/>
      <c r="G2659" s="81"/>
      <c r="H2659" s="81"/>
      <c r="I2659" s="81"/>
    </row>
    <row r="2660">
      <c r="D2660" s="81"/>
      <c r="E2660" s="81"/>
      <c r="F2660" s="555"/>
      <c r="G2660" s="81"/>
      <c r="H2660" s="81"/>
      <c r="I2660" s="81"/>
    </row>
    <row r="2661">
      <c r="D2661" s="81"/>
      <c r="E2661" s="81"/>
      <c r="F2661" s="555"/>
      <c r="G2661" s="81"/>
      <c r="H2661" s="81"/>
      <c r="I2661" s="81"/>
    </row>
    <row r="2662">
      <c r="D2662" s="81"/>
      <c r="E2662" s="81"/>
      <c r="F2662" s="555"/>
      <c r="G2662" s="81"/>
      <c r="H2662" s="81"/>
      <c r="I2662" s="81"/>
    </row>
    <row r="2663">
      <c r="D2663" s="81"/>
      <c r="E2663" s="81"/>
      <c r="F2663" s="555"/>
      <c r="G2663" s="81"/>
      <c r="H2663" s="81"/>
      <c r="I2663" s="81"/>
    </row>
    <row r="2664">
      <c r="D2664" s="81"/>
      <c r="E2664" s="81"/>
      <c r="F2664" s="555"/>
      <c r="G2664" s="81"/>
      <c r="H2664" s="81"/>
      <c r="I2664" s="81"/>
    </row>
    <row r="2665">
      <c r="D2665" s="81"/>
      <c r="E2665" s="81"/>
      <c r="F2665" s="555"/>
      <c r="G2665" s="81"/>
      <c r="H2665" s="81"/>
      <c r="I2665" s="81"/>
    </row>
    <row r="2666">
      <c r="D2666" s="81"/>
      <c r="E2666" s="81"/>
      <c r="F2666" s="555"/>
      <c r="G2666" s="81"/>
      <c r="H2666" s="81"/>
      <c r="I2666" s="81"/>
    </row>
    <row r="2667">
      <c r="D2667" s="81"/>
      <c r="E2667" s="81"/>
      <c r="F2667" s="555"/>
      <c r="G2667" s="81"/>
      <c r="H2667" s="81"/>
      <c r="I2667" s="81"/>
    </row>
    <row r="2668">
      <c r="D2668" s="81"/>
      <c r="E2668" s="81"/>
      <c r="F2668" s="555"/>
      <c r="G2668" s="81"/>
      <c r="H2668" s="81"/>
      <c r="I2668" s="81"/>
    </row>
    <row r="2669">
      <c r="D2669" s="81"/>
      <c r="E2669" s="81"/>
      <c r="F2669" s="555"/>
      <c r="G2669" s="81"/>
      <c r="H2669" s="81"/>
      <c r="I2669" s="81"/>
    </row>
    <row r="2670">
      <c r="D2670" s="81"/>
      <c r="E2670" s="81"/>
      <c r="F2670" s="555"/>
      <c r="G2670" s="81"/>
      <c r="H2670" s="81"/>
      <c r="I2670" s="81"/>
    </row>
    <row r="2671">
      <c r="D2671" s="81"/>
      <c r="E2671" s="81"/>
      <c r="F2671" s="555"/>
      <c r="G2671" s="81"/>
      <c r="H2671" s="81"/>
      <c r="I2671" s="81"/>
    </row>
    <row r="2672">
      <c r="D2672" s="81"/>
      <c r="E2672" s="81"/>
      <c r="F2672" s="555"/>
      <c r="G2672" s="81"/>
      <c r="H2672" s="81"/>
      <c r="I2672" s="81"/>
    </row>
    <row r="2673">
      <c r="D2673" s="81"/>
      <c r="E2673" s="81"/>
      <c r="F2673" s="555"/>
      <c r="G2673" s="81"/>
      <c r="H2673" s="81"/>
      <c r="I2673" s="81"/>
    </row>
    <row r="2674">
      <c r="D2674" s="81"/>
      <c r="E2674" s="81"/>
      <c r="F2674" s="555"/>
      <c r="G2674" s="81"/>
      <c r="H2674" s="81"/>
      <c r="I2674" s="81"/>
    </row>
    <row r="2675">
      <c r="D2675" s="81"/>
      <c r="E2675" s="81"/>
      <c r="F2675" s="555"/>
      <c r="G2675" s="81"/>
      <c r="H2675" s="81"/>
      <c r="I2675" s="81"/>
    </row>
    <row r="2676">
      <c r="D2676" s="81"/>
      <c r="E2676" s="81"/>
      <c r="F2676" s="555"/>
      <c r="G2676" s="81"/>
      <c r="H2676" s="81"/>
      <c r="I2676" s="81"/>
    </row>
    <row r="2677">
      <c r="D2677" s="81"/>
      <c r="E2677" s="81"/>
      <c r="F2677" s="555"/>
      <c r="G2677" s="81"/>
      <c r="H2677" s="81"/>
      <c r="I2677" s="81"/>
    </row>
    <row r="2678">
      <c r="D2678" s="81"/>
      <c r="E2678" s="81"/>
      <c r="F2678" s="555"/>
      <c r="G2678" s="81"/>
      <c r="H2678" s="81"/>
      <c r="I2678" s="81"/>
    </row>
    <row r="2679">
      <c r="D2679" s="81"/>
      <c r="E2679" s="81"/>
      <c r="F2679" s="555"/>
      <c r="G2679" s="81"/>
      <c r="H2679" s="81"/>
      <c r="I2679" s="81"/>
    </row>
    <row r="2680">
      <c r="D2680" s="81"/>
      <c r="E2680" s="81"/>
      <c r="F2680" s="555"/>
      <c r="G2680" s="81"/>
      <c r="H2680" s="81"/>
      <c r="I2680" s="81"/>
    </row>
    <row r="2681">
      <c r="D2681" s="81"/>
      <c r="E2681" s="81"/>
      <c r="F2681" s="555"/>
      <c r="G2681" s="81"/>
      <c r="H2681" s="81"/>
      <c r="I2681" s="81"/>
    </row>
    <row r="2682">
      <c r="D2682" s="81"/>
      <c r="E2682" s="81"/>
      <c r="F2682" s="555"/>
      <c r="G2682" s="81"/>
      <c r="H2682" s="81"/>
      <c r="I2682" s="81"/>
    </row>
    <row r="2683">
      <c r="D2683" s="81"/>
      <c r="E2683" s="81"/>
      <c r="F2683" s="555"/>
      <c r="G2683" s="81"/>
      <c r="H2683" s="81"/>
      <c r="I2683" s="81"/>
    </row>
    <row r="2684">
      <c r="D2684" s="81"/>
      <c r="E2684" s="81"/>
      <c r="F2684" s="555"/>
      <c r="G2684" s="81"/>
      <c r="H2684" s="81"/>
      <c r="I2684" s="81"/>
    </row>
    <row r="2685">
      <c r="D2685" s="81"/>
      <c r="E2685" s="81"/>
      <c r="F2685" s="555"/>
      <c r="G2685" s="81"/>
      <c r="H2685" s="81"/>
      <c r="I2685" s="81"/>
    </row>
    <row r="2686">
      <c r="D2686" s="81"/>
      <c r="E2686" s="81"/>
      <c r="F2686" s="555"/>
      <c r="G2686" s="81"/>
      <c r="H2686" s="81"/>
      <c r="I2686" s="81"/>
    </row>
    <row r="2687">
      <c r="D2687" s="81"/>
      <c r="E2687" s="81"/>
      <c r="F2687" s="555"/>
      <c r="G2687" s="81"/>
      <c r="H2687" s="81"/>
      <c r="I2687" s="81"/>
    </row>
    <row r="2688">
      <c r="D2688" s="81"/>
      <c r="E2688" s="81"/>
      <c r="F2688" s="555"/>
      <c r="G2688" s="81"/>
      <c r="H2688" s="81"/>
      <c r="I2688" s="81"/>
    </row>
    <row r="2689">
      <c r="D2689" s="81"/>
      <c r="E2689" s="81"/>
      <c r="F2689" s="555"/>
      <c r="G2689" s="81"/>
      <c r="H2689" s="81"/>
      <c r="I2689" s="81"/>
    </row>
    <row r="2690">
      <c r="D2690" s="81"/>
      <c r="E2690" s="81"/>
      <c r="F2690" s="555"/>
      <c r="G2690" s="81"/>
      <c r="H2690" s="81"/>
      <c r="I2690" s="81"/>
    </row>
    <row r="2691">
      <c r="D2691" s="81"/>
      <c r="E2691" s="81"/>
      <c r="F2691" s="555"/>
      <c r="G2691" s="81"/>
      <c r="H2691" s="81"/>
      <c r="I2691" s="81"/>
    </row>
    <row r="2692">
      <c r="D2692" s="81"/>
      <c r="E2692" s="81"/>
      <c r="F2692" s="555"/>
      <c r="G2692" s="81"/>
      <c r="H2692" s="81"/>
      <c r="I2692" s="81"/>
    </row>
    <row r="2693">
      <c r="D2693" s="81"/>
      <c r="E2693" s="81"/>
      <c r="F2693" s="555"/>
      <c r="G2693" s="81"/>
      <c r="H2693" s="81"/>
      <c r="I2693" s="81"/>
    </row>
    <row r="2694">
      <c r="D2694" s="81"/>
      <c r="E2694" s="81"/>
      <c r="F2694" s="555"/>
      <c r="G2694" s="81"/>
      <c r="H2694" s="81"/>
      <c r="I2694" s="81"/>
    </row>
    <row r="2695">
      <c r="D2695" s="81"/>
      <c r="E2695" s="81"/>
      <c r="F2695" s="555"/>
      <c r="G2695" s="81"/>
      <c r="H2695" s="81"/>
      <c r="I2695" s="81"/>
    </row>
    <row r="2696">
      <c r="D2696" s="81"/>
      <c r="E2696" s="81"/>
      <c r="F2696" s="555"/>
      <c r="G2696" s="81"/>
      <c r="H2696" s="81"/>
      <c r="I2696" s="81"/>
    </row>
    <row r="2697">
      <c r="D2697" s="81"/>
      <c r="E2697" s="81"/>
      <c r="F2697" s="555"/>
      <c r="G2697" s="81"/>
      <c r="H2697" s="81"/>
      <c r="I2697" s="81"/>
    </row>
    <row r="2698">
      <c r="D2698" s="81"/>
      <c r="E2698" s="81"/>
      <c r="F2698" s="555"/>
      <c r="G2698" s="81"/>
      <c r="H2698" s="81"/>
      <c r="I2698" s="81"/>
    </row>
    <row r="2699">
      <c r="D2699" s="81"/>
      <c r="E2699" s="81"/>
      <c r="F2699" s="555"/>
      <c r="G2699" s="81"/>
      <c r="H2699" s="81"/>
      <c r="I2699" s="81"/>
    </row>
    <row r="2700">
      <c r="D2700" s="81"/>
      <c r="E2700" s="81"/>
      <c r="F2700" s="555"/>
      <c r="G2700" s="81"/>
      <c r="H2700" s="81"/>
      <c r="I2700" s="81"/>
    </row>
    <row r="2701">
      <c r="D2701" s="81"/>
      <c r="E2701" s="81"/>
      <c r="F2701" s="555"/>
      <c r="G2701" s="81"/>
      <c r="H2701" s="81"/>
      <c r="I2701" s="81"/>
    </row>
    <row r="2702">
      <c r="D2702" s="81"/>
      <c r="E2702" s="81"/>
      <c r="F2702" s="555"/>
      <c r="G2702" s="81"/>
      <c r="H2702" s="81"/>
      <c r="I2702" s="81"/>
    </row>
    <row r="2703">
      <c r="D2703" s="81"/>
      <c r="E2703" s="81"/>
      <c r="F2703" s="555"/>
      <c r="G2703" s="81"/>
      <c r="H2703" s="81"/>
      <c r="I2703" s="81"/>
    </row>
    <row r="2704">
      <c r="D2704" s="81"/>
      <c r="E2704" s="81"/>
      <c r="F2704" s="555"/>
      <c r="G2704" s="81"/>
      <c r="H2704" s="81"/>
      <c r="I2704" s="81"/>
    </row>
    <row r="2705">
      <c r="D2705" s="81"/>
      <c r="E2705" s="81"/>
      <c r="F2705" s="555"/>
      <c r="G2705" s="81"/>
      <c r="H2705" s="81"/>
      <c r="I2705" s="81"/>
    </row>
    <row r="2706">
      <c r="D2706" s="81"/>
      <c r="E2706" s="81"/>
      <c r="F2706" s="555"/>
      <c r="G2706" s="81"/>
      <c r="H2706" s="81"/>
      <c r="I2706" s="81"/>
    </row>
    <row r="2707">
      <c r="D2707" s="81"/>
      <c r="E2707" s="81"/>
      <c r="F2707" s="555"/>
      <c r="G2707" s="81"/>
      <c r="H2707" s="81"/>
      <c r="I2707" s="81"/>
    </row>
    <row r="2708">
      <c r="D2708" s="81"/>
      <c r="E2708" s="81"/>
      <c r="F2708" s="555"/>
      <c r="G2708" s="81"/>
      <c r="H2708" s="81"/>
      <c r="I2708" s="81"/>
    </row>
    <row r="2709">
      <c r="D2709" s="81"/>
      <c r="E2709" s="81"/>
      <c r="F2709" s="555"/>
      <c r="G2709" s="81"/>
      <c r="H2709" s="81"/>
      <c r="I2709" s="81"/>
    </row>
    <row r="2710">
      <c r="D2710" s="81"/>
      <c r="E2710" s="81"/>
      <c r="F2710" s="555"/>
      <c r="G2710" s="81"/>
      <c r="H2710" s="81"/>
      <c r="I2710" s="81"/>
    </row>
    <row r="2711">
      <c r="D2711" s="81"/>
      <c r="E2711" s="81"/>
      <c r="F2711" s="555"/>
      <c r="G2711" s="81"/>
      <c r="H2711" s="81"/>
      <c r="I2711" s="81"/>
    </row>
    <row r="2712">
      <c r="D2712" s="81"/>
      <c r="E2712" s="81"/>
      <c r="F2712" s="555"/>
      <c r="G2712" s="81"/>
      <c r="H2712" s="81"/>
      <c r="I2712" s="81"/>
    </row>
    <row r="2713">
      <c r="D2713" s="81"/>
      <c r="E2713" s="81"/>
      <c r="F2713" s="555"/>
      <c r="G2713" s="81"/>
      <c r="H2713" s="81"/>
      <c r="I2713" s="81"/>
    </row>
    <row r="2714">
      <c r="D2714" s="81"/>
      <c r="E2714" s="81"/>
      <c r="F2714" s="555"/>
      <c r="G2714" s="81"/>
      <c r="H2714" s="81"/>
      <c r="I2714" s="81"/>
    </row>
    <row r="2715">
      <c r="D2715" s="81"/>
      <c r="E2715" s="81"/>
      <c r="F2715" s="555"/>
      <c r="G2715" s="81"/>
      <c r="H2715" s="81"/>
      <c r="I2715" s="81"/>
    </row>
    <row r="2716">
      <c r="D2716" s="81"/>
      <c r="E2716" s="81"/>
      <c r="F2716" s="555"/>
      <c r="G2716" s="81"/>
      <c r="H2716" s="81"/>
      <c r="I2716" s="81"/>
    </row>
    <row r="2717">
      <c r="D2717" s="81"/>
      <c r="E2717" s="81"/>
      <c r="F2717" s="555"/>
      <c r="G2717" s="81"/>
      <c r="H2717" s="81"/>
      <c r="I2717" s="81"/>
    </row>
    <row r="2718">
      <c r="D2718" s="81"/>
      <c r="E2718" s="81"/>
      <c r="F2718" s="555"/>
      <c r="G2718" s="81"/>
      <c r="H2718" s="81"/>
      <c r="I2718" s="81"/>
    </row>
    <row r="2719">
      <c r="D2719" s="81"/>
      <c r="E2719" s="81"/>
      <c r="F2719" s="555"/>
      <c r="G2719" s="81"/>
      <c r="H2719" s="81"/>
      <c r="I2719" s="81"/>
    </row>
    <row r="2720">
      <c r="D2720" s="81"/>
      <c r="E2720" s="81"/>
      <c r="F2720" s="555"/>
      <c r="G2720" s="81"/>
      <c r="H2720" s="81"/>
      <c r="I2720" s="81"/>
    </row>
    <row r="2721">
      <c r="D2721" s="81"/>
      <c r="E2721" s="81"/>
      <c r="F2721" s="555"/>
      <c r="G2721" s="81"/>
      <c r="H2721" s="81"/>
      <c r="I2721" s="81"/>
    </row>
    <row r="2722">
      <c r="D2722" s="81"/>
      <c r="E2722" s="81"/>
      <c r="F2722" s="555"/>
      <c r="G2722" s="81"/>
      <c r="H2722" s="81"/>
      <c r="I2722" s="81"/>
    </row>
    <row r="2723">
      <c r="D2723" s="81"/>
      <c r="E2723" s="81"/>
      <c r="F2723" s="555"/>
      <c r="G2723" s="81"/>
      <c r="H2723" s="81"/>
      <c r="I2723" s="81"/>
    </row>
    <row r="2724">
      <c r="D2724" s="81"/>
      <c r="E2724" s="81"/>
      <c r="F2724" s="555"/>
      <c r="G2724" s="81"/>
      <c r="H2724" s="81"/>
      <c r="I2724" s="81"/>
    </row>
    <row r="2725">
      <c r="D2725" s="81"/>
      <c r="E2725" s="81"/>
      <c r="F2725" s="555"/>
      <c r="G2725" s="81"/>
      <c r="H2725" s="81"/>
      <c r="I2725" s="81"/>
    </row>
    <row r="2726">
      <c r="D2726" s="81"/>
      <c r="E2726" s="81"/>
      <c r="F2726" s="555"/>
      <c r="G2726" s="81"/>
      <c r="H2726" s="81"/>
      <c r="I2726" s="81"/>
    </row>
    <row r="2727">
      <c r="D2727" s="81"/>
      <c r="E2727" s="81"/>
      <c r="F2727" s="555"/>
      <c r="G2727" s="81"/>
      <c r="H2727" s="81"/>
      <c r="I2727" s="81"/>
    </row>
    <row r="2728">
      <c r="D2728" s="81"/>
      <c r="E2728" s="81"/>
      <c r="F2728" s="555"/>
      <c r="G2728" s="81"/>
      <c r="H2728" s="81"/>
      <c r="I2728" s="81"/>
    </row>
    <row r="2729">
      <c r="D2729" s="81"/>
      <c r="E2729" s="81"/>
      <c r="F2729" s="555"/>
      <c r="G2729" s="81"/>
      <c r="H2729" s="81"/>
      <c r="I2729" s="81"/>
    </row>
    <row r="2730">
      <c r="D2730" s="81"/>
      <c r="E2730" s="81"/>
      <c r="F2730" s="555"/>
      <c r="G2730" s="81"/>
      <c r="H2730" s="81"/>
      <c r="I2730" s="81"/>
    </row>
    <row r="2731">
      <c r="D2731" s="81"/>
      <c r="E2731" s="81"/>
      <c r="F2731" s="555"/>
      <c r="G2731" s="81"/>
      <c r="H2731" s="81"/>
      <c r="I2731" s="81"/>
    </row>
    <row r="2732">
      <c r="D2732" s="81"/>
      <c r="E2732" s="81"/>
      <c r="F2732" s="555"/>
      <c r="G2732" s="81"/>
      <c r="H2732" s="81"/>
      <c r="I2732" s="81"/>
    </row>
    <row r="2733">
      <c r="D2733" s="81"/>
      <c r="E2733" s="81"/>
      <c r="F2733" s="555"/>
      <c r="G2733" s="81"/>
      <c r="H2733" s="81"/>
      <c r="I2733" s="81"/>
    </row>
    <row r="2734">
      <c r="D2734" s="81"/>
      <c r="E2734" s="81"/>
      <c r="F2734" s="555"/>
      <c r="G2734" s="81"/>
      <c r="H2734" s="81"/>
      <c r="I2734" s="81"/>
    </row>
    <row r="2735">
      <c r="D2735" s="81"/>
      <c r="E2735" s="81"/>
      <c r="F2735" s="555"/>
      <c r="G2735" s="81"/>
      <c r="H2735" s="81"/>
      <c r="I2735" s="81"/>
    </row>
    <row r="2736">
      <c r="D2736" s="81"/>
      <c r="E2736" s="81"/>
      <c r="F2736" s="555"/>
      <c r="G2736" s="81"/>
      <c r="H2736" s="81"/>
      <c r="I2736" s="81"/>
    </row>
    <row r="2737">
      <c r="D2737" s="81"/>
      <c r="E2737" s="81"/>
      <c r="F2737" s="555"/>
      <c r="G2737" s="81"/>
      <c r="H2737" s="81"/>
      <c r="I2737" s="81"/>
    </row>
    <row r="2738">
      <c r="D2738" s="81"/>
      <c r="E2738" s="81"/>
      <c r="F2738" s="555"/>
      <c r="G2738" s="81"/>
      <c r="H2738" s="81"/>
      <c r="I2738" s="81"/>
    </row>
    <row r="2739">
      <c r="D2739" s="81"/>
      <c r="E2739" s="81"/>
      <c r="F2739" s="555"/>
      <c r="G2739" s="81"/>
      <c r="H2739" s="81"/>
      <c r="I2739" s="81"/>
    </row>
    <row r="2740">
      <c r="D2740" s="81"/>
      <c r="E2740" s="81"/>
      <c r="F2740" s="555"/>
      <c r="G2740" s="81"/>
      <c r="H2740" s="81"/>
      <c r="I2740" s="81"/>
    </row>
    <row r="2741">
      <c r="D2741" s="81"/>
      <c r="E2741" s="81"/>
      <c r="F2741" s="555"/>
      <c r="G2741" s="81"/>
      <c r="H2741" s="81"/>
      <c r="I2741" s="81"/>
    </row>
    <row r="2742">
      <c r="D2742" s="81"/>
      <c r="E2742" s="81"/>
      <c r="F2742" s="555"/>
      <c r="G2742" s="81"/>
      <c r="H2742" s="81"/>
      <c r="I2742" s="81"/>
    </row>
    <row r="2743">
      <c r="D2743" s="81"/>
      <c r="E2743" s="81"/>
      <c r="F2743" s="555"/>
      <c r="G2743" s="81"/>
      <c r="H2743" s="81"/>
      <c r="I2743" s="81"/>
    </row>
    <row r="2744">
      <c r="D2744" s="81"/>
      <c r="E2744" s="81"/>
      <c r="F2744" s="555"/>
      <c r="G2744" s="81"/>
      <c r="H2744" s="81"/>
      <c r="I2744" s="81"/>
    </row>
    <row r="2745">
      <c r="D2745" s="81"/>
      <c r="E2745" s="81"/>
      <c r="F2745" s="555"/>
      <c r="G2745" s="81"/>
      <c r="H2745" s="81"/>
      <c r="I2745" s="81"/>
    </row>
    <row r="2746">
      <c r="D2746" s="81"/>
      <c r="E2746" s="81"/>
      <c r="F2746" s="555"/>
      <c r="G2746" s="81"/>
      <c r="H2746" s="81"/>
      <c r="I2746" s="81"/>
    </row>
    <row r="2747">
      <c r="D2747" s="81"/>
      <c r="E2747" s="81"/>
      <c r="F2747" s="555"/>
      <c r="G2747" s="81"/>
      <c r="H2747" s="81"/>
      <c r="I2747" s="81"/>
    </row>
    <row r="2748">
      <c r="D2748" s="81"/>
      <c r="E2748" s="81"/>
      <c r="F2748" s="555"/>
      <c r="G2748" s="81"/>
      <c r="H2748" s="81"/>
      <c r="I2748" s="81"/>
    </row>
    <row r="2749">
      <c r="D2749" s="81"/>
      <c r="E2749" s="81"/>
      <c r="F2749" s="555"/>
      <c r="G2749" s="81"/>
      <c r="H2749" s="81"/>
      <c r="I2749" s="81"/>
    </row>
    <row r="2750">
      <c r="D2750" s="81"/>
      <c r="E2750" s="81"/>
      <c r="F2750" s="555"/>
      <c r="G2750" s="81"/>
      <c r="H2750" s="81"/>
      <c r="I2750" s="81"/>
    </row>
    <row r="2751">
      <c r="D2751" s="81"/>
      <c r="E2751" s="81"/>
      <c r="F2751" s="555"/>
      <c r="G2751" s="81"/>
      <c r="H2751" s="81"/>
      <c r="I2751" s="81"/>
    </row>
    <row r="2752">
      <c r="D2752" s="81"/>
      <c r="E2752" s="81"/>
      <c r="F2752" s="555"/>
      <c r="G2752" s="81"/>
      <c r="H2752" s="81"/>
      <c r="I2752" s="81"/>
    </row>
    <row r="2753">
      <c r="D2753" s="81"/>
      <c r="E2753" s="81"/>
      <c r="F2753" s="555"/>
      <c r="G2753" s="81"/>
      <c r="H2753" s="81"/>
      <c r="I2753" s="81"/>
    </row>
    <row r="2754">
      <c r="D2754" s="81"/>
      <c r="E2754" s="81"/>
      <c r="F2754" s="555"/>
      <c r="G2754" s="81"/>
      <c r="H2754" s="81"/>
      <c r="I2754" s="81"/>
    </row>
    <row r="2755">
      <c r="D2755" s="81"/>
      <c r="E2755" s="81"/>
      <c r="F2755" s="555"/>
      <c r="G2755" s="81"/>
      <c r="H2755" s="81"/>
      <c r="I2755" s="81"/>
    </row>
    <row r="2756">
      <c r="D2756" s="81"/>
      <c r="E2756" s="81"/>
      <c r="F2756" s="555"/>
      <c r="G2756" s="81"/>
      <c r="H2756" s="81"/>
      <c r="I2756" s="81"/>
    </row>
    <row r="2757">
      <c r="D2757" s="81"/>
      <c r="E2757" s="81"/>
      <c r="F2757" s="555"/>
      <c r="G2757" s="81"/>
      <c r="H2757" s="81"/>
      <c r="I2757" s="81"/>
    </row>
    <row r="2758">
      <c r="D2758" s="81"/>
      <c r="E2758" s="81"/>
      <c r="F2758" s="555"/>
      <c r="G2758" s="81"/>
      <c r="H2758" s="81"/>
      <c r="I2758" s="81"/>
    </row>
    <row r="2759">
      <c r="D2759" s="81"/>
      <c r="E2759" s="81"/>
      <c r="F2759" s="555"/>
      <c r="G2759" s="81"/>
      <c r="H2759" s="81"/>
      <c r="I2759" s="81"/>
    </row>
    <row r="2760">
      <c r="D2760" s="81"/>
      <c r="E2760" s="81"/>
      <c r="F2760" s="555"/>
      <c r="G2760" s="81"/>
      <c r="H2760" s="81"/>
      <c r="I2760" s="81"/>
    </row>
    <row r="2761">
      <c r="D2761" s="81"/>
      <c r="E2761" s="81"/>
      <c r="F2761" s="555"/>
      <c r="G2761" s="81"/>
      <c r="H2761" s="81"/>
      <c r="I2761" s="81"/>
    </row>
    <row r="2762">
      <c r="D2762" s="81"/>
      <c r="E2762" s="81"/>
      <c r="F2762" s="555"/>
      <c r="G2762" s="81"/>
      <c r="H2762" s="81"/>
      <c r="I2762" s="81"/>
    </row>
    <row r="2763">
      <c r="D2763" s="81"/>
      <c r="E2763" s="81"/>
      <c r="F2763" s="555"/>
      <c r="G2763" s="81"/>
      <c r="H2763" s="81"/>
      <c r="I2763" s="81"/>
    </row>
    <row r="2764">
      <c r="D2764" s="81"/>
      <c r="E2764" s="81"/>
      <c r="F2764" s="555"/>
      <c r="G2764" s="81"/>
      <c r="H2764" s="81"/>
      <c r="I2764" s="81"/>
    </row>
    <row r="2765">
      <c r="D2765" s="81"/>
      <c r="E2765" s="81"/>
      <c r="F2765" s="555"/>
      <c r="G2765" s="81"/>
      <c r="H2765" s="81"/>
      <c r="I2765" s="81"/>
    </row>
    <row r="2766">
      <c r="D2766" s="81"/>
      <c r="E2766" s="81"/>
      <c r="F2766" s="555"/>
      <c r="G2766" s="81"/>
      <c r="H2766" s="81"/>
      <c r="I2766" s="81"/>
    </row>
    <row r="2767">
      <c r="D2767" s="81"/>
      <c r="E2767" s="81"/>
      <c r="F2767" s="555"/>
      <c r="G2767" s="81"/>
      <c r="H2767" s="81"/>
      <c r="I2767" s="81"/>
    </row>
    <row r="2768">
      <c r="D2768" s="81"/>
      <c r="E2768" s="81"/>
      <c r="F2768" s="555"/>
      <c r="G2768" s="81"/>
      <c r="H2768" s="81"/>
      <c r="I2768" s="81"/>
    </row>
    <row r="2769">
      <c r="D2769" s="81"/>
      <c r="E2769" s="81"/>
      <c r="F2769" s="555"/>
      <c r="G2769" s="81"/>
      <c r="H2769" s="81"/>
      <c r="I2769" s="81"/>
    </row>
    <row r="2770">
      <c r="D2770" s="81"/>
      <c r="E2770" s="81"/>
      <c r="F2770" s="555"/>
      <c r="G2770" s="81"/>
      <c r="H2770" s="81"/>
      <c r="I2770" s="81"/>
    </row>
    <row r="2771">
      <c r="D2771" s="81"/>
      <c r="E2771" s="81"/>
      <c r="F2771" s="555"/>
      <c r="G2771" s="81"/>
      <c r="H2771" s="81"/>
      <c r="I2771" s="81"/>
    </row>
    <row r="2772">
      <c r="D2772" s="81"/>
      <c r="E2772" s="81"/>
      <c r="F2772" s="555"/>
      <c r="G2772" s="81"/>
      <c r="H2772" s="81"/>
      <c r="I2772" s="81"/>
    </row>
    <row r="2773">
      <c r="D2773" s="81"/>
      <c r="E2773" s="81"/>
      <c r="F2773" s="555"/>
      <c r="G2773" s="81"/>
      <c r="H2773" s="81"/>
      <c r="I2773" s="81"/>
    </row>
    <row r="2774">
      <c r="D2774" s="81"/>
      <c r="E2774" s="81"/>
      <c r="F2774" s="555"/>
      <c r="G2774" s="81"/>
      <c r="H2774" s="81"/>
      <c r="I2774" s="81"/>
    </row>
    <row r="2775">
      <c r="D2775" s="81"/>
      <c r="E2775" s="81"/>
      <c r="F2775" s="555"/>
      <c r="G2775" s="81"/>
      <c r="H2775" s="81"/>
      <c r="I2775" s="81"/>
    </row>
    <row r="2776">
      <c r="D2776" s="81"/>
      <c r="E2776" s="81"/>
      <c r="F2776" s="555"/>
      <c r="G2776" s="81"/>
      <c r="H2776" s="81"/>
      <c r="I2776" s="81"/>
    </row>
    <row r="2777">
      <c r="D2777" s="81"/>
      <c r="E2777" s="81"/>
      <c r="F2777" s="555"/>
      <c r="G2777" s="81"/>
      <c r="H2777" s="81"/>
      <c r="I2777" s="81"/>
    </row>
    <row r="2778">
      <c r="D2778" s="81"/>
      <c r="E2778" s="81"/>
      <c r="F2778" s="555"/>
      <c r="G2778" s="81"/>
      <c r="H2778" s="81"/>
      <c r="I2778" s="81"/>
    </row>
    <row r="2779">
      <c r="D2779" s="81"/>
      <c r="E2779" s="81"/>
      <c r="F2779" s="555"/>
      <c r="G2779" s="81"/>
      <c r="H2779" s="81"/>
      <c r="I2779" s="81"/>
    </row>
    <row r="2780">
      <c r="D2780" s="81"/>
      <c r="E2780" s="81"/>
      <c r="F2780" s="555"/>
      <c r="G2780" s="81"/>
      <c r="H2780" s="81"/>
      <c r="I2780" s="81"/>
    </row>
    <row r="2781">
      <c r="D2781" s="81"/>
      <c r="E2781" s="81"/>
      <c r="F2781" s="555"/>
      <c r="G2781" s="81"/>
      <c r="H2781" s="81"/>
      <c r="I2781" s="81"/>
    </row>
    <row r="2782">
      <c r="D2782" s="81"/>
      <c r="E2782" s="81"/>
      <c r="F2782" s="555"/>
      <c r="G2782" s="81"/>
      <c r="H2782" s="81"/>
      <c r="I2782" s="81"/>
    </row>
    <row r="2783">
      <c r="D2783" s="81"/>
      <c r="E2783" s="81"/>
      <c r="F2783" s="555"/>
      <c r="G2783" s="81"/>
      <c r="H2783" s="81"/>
      <c r="I2783" s="81"/>
    </row>
    <row r="2784">
      <c r="D2784" s="81"/>
      <c r="E2784" s="81"/>
      <c r="F2784" s="555"/>
      <c r="G2784" s="81"/>
      <c r="H2784" s="81"/>
      <c r="I2784" s="81"/>
    </row>
    <row r="2785">
      <c r="D2785" s="81"/>
      <c r="E2785" s="81"/>
      <c r="F2785" s="555"/>
      <c r="G2785" s="81"/>
      <c r="H2785" s="81"/>
      <c r="I2785" s="81"/>
    </row>
    <row r="2786">
      <c r="D2786" s="81"/>
      <c r="E2786" s="81"/>
      <c r="F2786" s="555"/>
      <c r="G2786" s="81"/>
      <c r="H2786" s="81"/>
      <c r="I2786" s="81"/>
    </row>
    <row r="2787">
      <c r="D2787" s="81"/>
      <c r="E2787" s="81"/>
      <c r="F2787" s="555"/>
      <c r="G2787" s="81"/>
      <c r="H2787" s="81"/>
      <c r="I2787" s="81"/>
    </row>
    <row r="2788">
      <c r="D2788" s="81"/>
      <c r="E2788" s="81"/>
      <c r="F2788" s="555"/>
      <c r="G2788" s="81"/>
      <c r="H2788" s="81"/>
      <c r="I2788" s="81"/>
    </row>
    <row r="2789">
      <c r="D2789" s="81"/>
      <c r="E2789" s="81"/>
      <c r="F2789" s="555"/>
      <c r="G2789" s="81"/>
      <c r="H2789" s="81"/>
      <c r="I2789" s="81"/>
    </row>
    <row r="2790">
      <c r="D2790" s="81"/>
      <c r="E2790" s="81"/>
      <c r="F2790" s="555"/>
      <c r="G2790" s="81"/>
      <c r="H2790" s="81"/>
      <c r="I2790" s="81"/>
    </row>
    <row r="2791">
      <c r="D2791" s="81"/>
      <c r="E2791" s="81"/>
      <c r="F2791" s="555"/>
      <c r="G2791" s="81"/>
      <c r="H2791" s="81"/>
      <c r="I2791" s="81"/>
    </row>
    <row r="2792">
      <c r="D2792" s="81"/>
      <c r="E2792" s="81"/>
      <c r="F2792" s="555"/>
      <c r="G2792" s="81"/>
      <c r="H2792" s="81"/>
      <c r="I2792" s="81"/>
    </row>
    <row r="2793">
      <c r="D2793" s="81"/>
      <c r="E2793" s="81"/>
      <c r="F2793" s="555"/>
      <c r="G2793" s="81"/>
      <c r="H2793" s="81"/>
      <c r="I2793" s="81"/>
    </row>
    <row r="2794">
      <c r="D2794" s="81"/>
      <c r="E2794" s="81"/>
      <c r="F2794" s="555"/>
      <c r="G2794" s="81"/>
      <c r="H2794" s="81"/>
      <c r="I2794" s="81"/>
    </row>
    <row r="2795">
      <c r="D2795" s="81"/>
      <c r="E2795" s="81"/>
      <c r="F2795" s="555"/>
      <c r="G2795" s="81"/>
      <c r="H2795" s="81"/>
      <c r="I2795" s="81"/>
    </row>
    <row r="2796">
      <c r="D2796" s="81"/>
      <c r="E2796" s="81"/>
      <c r="F2796" s="555"/>
      <c r="G2796" s="81"/>
      <c r="H2796" s="81"/>
      <c r="I2796" s="81"/>
    </row>
    <row r="2797">
      <c r="D2797" s="81"/>
      <c r="E2797" s="81"/>
      <c r="F2797" s="555"/>
      <c r="G2797" s="81"/>
      <c r="H2797" s="81"/>
      <c r="I2797" s="81"/>
    </row>
    <row r="2798">
      <c r="D2798" s="81"/>
      <c r="E2798" s="81"/>
      <c r="F2798" s="555"/>
      <c r="G2798" s="81"/>
      <c r="H2798" s="81"/>
      <c r="I2798" s="81"/>
    </row>
    <row r="2799">
      <c r="D2799" s="81"/>
      <c r="E2799" s="81"/>
      <c r="F2799" s="555"/>
      <c r="G2799" s="81"/>
      <c r="H2799" s="81"/>
      <c r="I2799" s="81"/>
    </row>
    <row r="2800">
      <c r="D2800" s="81"/>
      <c r="E2800" s="81"/>
      <c r="F2800" s="555"/>
      <c r="G2800" s="81"/>
      <c r="H2800" s="81"/>
      <c r="I2800" s="81"/>
    </row>
    <row r="2801">
      <c r="D2801" s="81"/>
      <c r="E2801" s="81"/>
      <c r="F2801" s="555"/>
      <c r="G2801" s="81"/>
      <c r="H2801" s="81"/>
      <c r="I2801" s="81"/>
    </row>
    <row r="2802">
      <c r="D2802" s="81"/>
      <c r="E2802" s="81"/>
      <c r="F2802" s="555"/>
      <c r="G2802" s="81"/>
      <c r="H2802" s="81"/>
      <c r="I2802" s="81"/>
    </row>
    <row r="2803">
      <c r="D2803" s="81"/>
      <c r="E2803" s="81"/>
      <c r="F2803" s="555"/>
      <c r="G2803" s="81"/>
      <c r="H2803" s="81"/>
      <c r="I2803" s="81"/>
    </row>
    <row r="2804">
      <c r="D2804" s="81"/>
      <c r="E2804" s="81"/>
      <c r="F2804" s="555"/>
      <c r="G2804" s="81"/>
      <c r="H2804" s="81"/>
      <c r="I2804" s="81"/>
    </row>
    <row r="2805">
      <c r="D2805" s="81"/>
      <c r="E2805" s="81"/>
      <c r="F2805" s="555"/>
      <c r="G2805" s="81"/>
      <c r="H2805" s="81"/>
      <c r="I2805" s="81"/>
    </row>
    <row r="2806">
      <c r="D2806" s="81"/>
      <c r="E2806" s="81"/>
      <c r="F2806" s="555"/>
      <c r="G2806" s="81"/>
      <c r="H2806" s="81"/>
      <c r="I2806" s="81"/>
    </row>
    <row r="2807">
      <c r="D2807" s="81"/>
      <c r="E2807" s="81"/>
      <c r="F2807" s="555"/>
      <c r="G2807" s="81"/>
      <c r="H2807" s="81"/>
      <c r="I2807" s="81"/>
    </row>
    <row r="2808">
      <c r="D2808" s="81"/>
      <c r="E2808" s="81"/>
      <c r="F2808" s="555"/>
      <c r="G2808" s="81"/>
      <c r="H2808" s="81"/>
      <c r="I2808" s="81"/>
    </row>
    <row r="2809">
      <c r="D2809" s="81"/>
      <c r="E2809" s="81"/>
      <c r="F2809" s="555"/>
      <c r="G2809" s="81"/>
      <c r="H2809" s="81"/>
      <c r="I2809" s="81"/>
    </row>
    <row r="2810">
      <c r="D2810" s="81"/>
      <c r="E2810" s="81"/>
      <c r="F2810" s="555"/>
      <c r="G2810" s="81"/>
      <c r="H2810" s="81"/>
      <c r="I2810" s="81"/>
    </row>
    <row r="2811">
      <c r="D2811" s="81"/>
      <c r="E2811" s="81"/>
      <c r="F2811" s="555"/>
      <c r="G2811" s="81"/>
      <c r="H2811" s="81"/>
      <c r="I2811" s="81"/>
    </row>
    <row r="2812">
      <c r="D2812" s="81"/>
      <c r="E2812" s="81"/>
      <c r="F2812" s="555"/>
      <c r="G2812" s="81"/>
      <c r="H2812" s="81"/>
      <c r="I2812" s="81"/>
    </row>
    <row r="2813">
      <c r="D2813" s="81"/>
      <c r="E2813" s="81"/>
      <c r="F2813" s="555"/>
      <c r="G2813" s="81"/>
      <c r="H2813" s="81"/>
      <c r="I2813" s="81"/>
    </row>
    <row r="2814">
      <c r="D2814" s="81"/>
      <c r="E2814" s="81"/>
      <c r="F2814" s="555"/>
      <c r="G2814" s="81"/>
      <c r="H2814" s="81"/>
      <c r="I2814" s="81"/>
    </row>
    <row r="2815">
      <c r="D2815" s="81"/>
      <c r="E2815" s="81"/>
      <c r="F2815" s="555"/>
      <c r="G2815" s="81"/>
      <c r="H2815" s="81"/>
      <c r="I2815" s="81"/>
    </row>
    <row r="2816">
      <c r="D2816" s="81"/>
      <c r="E2816" s="81"/>
      <c r="F2816" s="555"/>
      <c r="G2816" s="81"/>
      <c r="H2816" s="81"/>
      <c r="I2816" s="81"/>
    </row>
    <row r="2817">
      <c r="D2817" s="81"/>
      <c r="E2817" s="81"/>
      <c r="F2817" s="555"/>
      <c r="G2817" s="81"/>
      <c r="H2817" s="81"/>
      <c r="I2817" s="81"/>
    </row>
    <row r="2818">
      <c r="D2818" s="81"/>
      <c r="E2818" s="81"/>
      <c r="F2818" s="555"/>
      <c r="G2818" s="81"/>
      <c r="H2818" s="81"/>
      <c r="I2818" s="81"/>
    </row>
    <row r="2819">
      <c r="D2819" s="81"/>
      <c r="E2819" s="81"/>
      <c r="F2819" s="555"/>
      <c r="G2819" s="81"/>
      <c r="H2819" s="81"/>
      <c r="I2819" s="81"/>
    </row>
    <row r="2820">
      <c r="D2820" s="81"/>
      <c r="E2820" s="81"/>
      <c r="F2820" s="555"/>
      <c r="G2820" s="81"/>
      <c r="H2820" s="81"/>
      <c r="I2820" s="81"/>
    </row>
    <row r="2821">
      <c r="D2821" s="81"/>
      <c r="E2821" s="81"/>
      <c r="F2821" s="555"/>
      <c r="G2821" s="81"/>
      <c r="H2821" s="81"/>
      <c r="I2821" s="81"/>
    </row>
    <row r="2822">
      <c r="D2822" s="81"/>
      <c r="E2822" s="81"/>
      <c r="F2822" s="555"/>
      <c r="G2822" s="81"/>
      <c r="H2822" s="81"/>
      <c r="I2822" s="81"/>
    </row>
    <row r="2823">
      <c r="D2823" s="81"/>
      <c r="E2823" s="81"/>
      <c r="F2823" s="555"/>
      <c r="G2823" s="81"/>
      <c r="H2823" s="81"/>
      <c r="I2823" s="81"/>
    </row>
    <row r="2824">
      <c r="D2824" s="81"/>
      <c r="E2824" s="81"/>
      <c r="F2824" s="555"/>
      <c r="G2824" s="81"/>
      <c r="H2824" s="81"/>
      <c r="I2824" s="81"/>
    </row>
    <row r="2825">
      <c r="D2825" s="81"/>
      <c r="E2825" s="81"/>
      <c r="F2825" s="555"/>
      <c r="G2825" s="81"/>
      <c r="H2825" s="81"/>
      <c r="I2825" s="81"/>
    </row>
    <row r="2826">
      <c r="D2826" s="81"/>
      <c r="E2826" s="81"/>
      <c r="F2826" s="555"/>
      <c r="G2826" s="81"/>
      <c r="H2826" s="81"/>
      <c r="I2826" s="81"/>
    </row>
    <row r="2827">
      <c r="D2827" s="81"/>
      <c r="E2827" s="81"/>
      <c r="F2827" s="555"/>
      <c r="G2827" s="81"/>
      <c r="H2827" s="81"/>
      <c r="I2827" s="81"/>
    </row>
    <row r="2828">
      <c r="D2828" s="81"/>
      <c r="E2828" s="81"/>
      <c r="F2828" s="555"/>
      <c r="G2828" s="81"/>
      <c r="H2828" s="81"/>
      <c r="I2828" s="81"/>
    </row>
    <row r="2829">
      <c r="D2829" s="81"/>
      <c r="E2829" s="81"/>
      <c r="F2829" s="555"/>
      <c r="G2829" s="81"/>
      <c r="H2829" s="81"/>
      <c r="I2829" s="81"/>
    </row>
    <row r="2830">
      <c r="D2830" s="81"/>
      <c r="E2830" s="81"/>
      <c r="F2830" s="555"/>
      <c r="G2830" s="81"/>
      <c r="H2830" s="81"/>
      <c r="I2830" s="81"/>
    </row>
    <row r="2831">
      <c r="D2831" s="81"/>
      <c r="E2831" s="81"/>
      <c r="F2831" s="555"/>
      <c r="G2831" s="81"/>
      <c r="H2831" s="81"/>
      <c r="I2831" s="81"/>
    </row>
    <row r="2832">
      <c r="D2832" s="81"/>
      <c r="E2832" s="81"/>
      <c r="F2832" s="555"/>
      <c r="G2832" s="81"/>
      <c r="H2832" s="81"/>
      <c r="I2832" s="81"/>
    </row>
    <row r="2833">
      <c r="D2833" s="81"/>
      <c r="E2833" s="81"/>
      <c r="F2833" s="555"/>
      <c r="G2833" s="81"/>
      <c r="H2833" s="81"/>
      <c r="I2833" s="81"/>
    </row>
    <row r="2834">
      <c r="D2834" s="81"/>
      <c r="E2834" s="81"/>
      <c r="F2834" s="555"/>
      <c r="G2834" s="81"/>
      <c r="H2834" s="81"/>
      <c r="I2834" s="81"/>
    </row>
    <row r="2835">
      <c r="D2835" s="81"/>
      <c r="E2835" s="81"/>
      <c r="F2835" s="555"/>
      <c r="G2835" s="81"/>
      <c r="H2835" s="81"/>
      <c r="I2835" s="81"/>
    </row>
    <row r="2836">
      <c r="D2836" s="81"/>
      <c r="E2836" s="81"/>
      <c r="F2836" s="555"/>
      <c r="G2836" s="81"/>
      <c r="H2836" s="81"/>
      <c r="I2836" s="81"/>
    </row>
    <row r="2837">
      <c r="D2837" s="81"/>
      <c r="E2837" s="81"/>
      <c r="F2837" s="555"/>
      <c r="G2837" s="81"/>
      <c r="H2837" s="81"/>
      <c r="I2837" s="81"/>
    </row>
    <row r="2838">
      <c r="D2838" s="81"/>
      <c r="E2838" s="81"/>
      <c r="F2838" s="555"/>
      <c r="G2838" s="81"/>
      <c r="H2838" s="81"/>
      <c r="I2838" s="81"/>
    </row>
    <row r="2839">
      <c r="D2839" s="81"/>
      <c r="E2839" s="81"/>
      <c r="F2839" s="555"/>
      <c r="G2839" s="81"/>
      <c r="H2839" s="81"/>
      <c r="I2839" s="81"/>
    </row>
    <row r="2840">
      <c r="D2840" s="81"/>
      <c r="E2840" s="81"/>
      <c r="F2840" s="555"/>
      <c r="G2840" s="81"/>
      <c r="H2840" s="81"/>
      <c r="I2840" s="81"/>
    </row>
    <row r="2841">
      <c r="D2841" s="81"/>
      <c r="E2841" s="81"/>
      <c r="F2841" s="555"/>
      <c r="G2841" s="81"/>
      <c r="H2841" s="81"/>
      <c r="I2841" s="81"/>
    </row>
    <row r="2842">
      <c r="D2842" s="81"/>
      <c r="E2842" s="81"/>
      <c r="F2842" s="555"/>
      <c r="G2842" s="81"/>
      <c r="H2842" s="81"/>
      <c r="I2842" s="81"/>
    </row>
    <row r="2843">
      <c r="D2843" s="81"/>
      <c r="E2843" s="81"/>
      <c r="F2843" s="555"/>
      <c r="G2843" s="81"/>
      <c r="H2843" s="81"/>
      <c r="I2843" s="81"/>
    </row>
    <row r="2844">
      <c r="D2844" s="81"/>
      <c r="E2844" s="81"/>
      <c r="F2844" s="555"/>
      <c r="G2844" s="81"/>
      <c r="H2844" s="81"/>
      <c r="I2844" s="81"/>
    </row>
    <row r="2845">
      <c r="D2845" s="81"/>
      <c r="E2845" s="81"/>
      <c r="F2845" s="555"/>
      <c r="G2845" s="81"/>
      <c r="H2845" s="81"/>
      <c r="I2845" s="81"/>
    </row>
    <row r="2846">
      <c r="D2846" s="81"/>
      <c r="E2846" s="81"/>
      <c r="F2846" s="555"/>
      <c r="G2846" s="81"/>
      <c r="H2846" s="81"/>
      <c r="I2846" s="81"/>
    </row>
    <row r="2847">
      <c r="D2847" s="81"/>
      <c r="E2847" s="81"/>
      <c r="F2847" s="555"/>
      <c r="G2847" s="81"/>
      <c r="H2847" s="81"/>
      <c r="I2847" s="81"/>
    </row>
    <row r="2848">
      <c r="D2848" s="81"/>
      <c r="E2848" s="81"/>
      <c r="F2848" s="555"/>
      <c r="G2848" s="81"/>
      <c r="H2848" s="81"/>
      <c r="I2848" s="81"/>
    </row>
    <row r="2849">
      <c r="D2849" s="81"/>
      <c r="E2849" s="81"/>
      <c r="F2849" s="555"/>
      <c r="G2849" s="81"/>
      <c r="H2849" s="81"/>
      <c r="I2849" s="81"/>
    </row>
    <row r="2850">
      <c r="D2850" s="81"/>
      <c r="E2850" s="81"/>
      <c r="F2850" s="555"/>
      <c r="G2850" s="81"/>
      <c r="H2850" s="81"/>
      <c r="I2850" s="81"/>
    </row>
    <row r="2851">
      <c r="D2851" s="81"/>
      <c r="E2851" s="81"/>
      <c r="F2851" s="555"/>
      <c r="G2851" s="81"/>
      <c r="H2851" s="81"/>
      <c r="I2851" s="81"/>
    </row>
    <row r="2852">
      <c r="D2852" s="81"/>
      <c r="E2852" s="81"/>
      <c r="F2852" s="555"/>
      <c r="G2852" s="81"/>
      <c r="H2852" s="81"/>
      <c r="I2852" s="81"/>
    </row>
    <row r="2853">
      <c r="D2853" s="81"/>
      <c r="E2853" s="81"/>
      <c r="F2853" s="555"/>
      <c r="G2853" s="81"/>
      <c r="H2853" s="81"/>
      <c r="I2853" s="81"/>
    </row>
    <row r="2854">
      <c r="D2854" s="81"/>
      <c r="E2854" s="81"/>
      <c r="F2854" s="555"/>
      <c r="G2854" s="81"/>
      <c r="H2854" s="81"/>
      <c r="I2854" s="81"/>
    </row>
    <row r="2855">
      <c r="D2855" s="81"/>
      <c r="E2855" s="81"/>
      <c r="F2855" s="555"/>
      <c r="G2855" s="81"/>
      <c r="H2855" s="81"/>
      <c r="I2855" s="81"/>
    </row>
    <row r="2856">
      <c r="D2856" s="81"/>
      <c r="E2856" s="81"/>
      <c r="F2856" s="555"/>
      <c r="G2856" s="81"/>
      <c r="H2856" s="81"/>
      <c r="I2856" s="81"/>
    </row>
    <row r="2857">
      <c r="D2857" s="81"/>
      <c r="E2857" s="81"/>
      <c r="F2857" s="555"/>
      <c r="G2857" s="81"/>
      <c r="H2857" s="81"/>
      <c r="I2857" s="81"/>
    </row>
    <row r="2858">
      <c r="D2858" s="81"/>
      <c r="E2858" s="81"/>
      <c r="F2858" s="555"/>
      <c r="G2858" s="81"/>
      <c r="H2858" s="81"/>
      <c r="I2858" s="81"/>
    </row>
    <row r="2859">
      <c r="D2859" s="81"/>
      <c r="E2859" s="81"/>
      <c r="F2859" s="555"/>
      <c r="G2859" s="81"/>
      <c r="H2859" s="81"/>
      <c r="I2859" s="81"/>
    </row>
    <row r="2860">
      <c r="D2860" s="81"/>
      <c r="E2860" s="81"/>
      <c r="F2860" s="555"/>
      <c r="G2860" s="81"/>
      <c r="H2860" s="81"/>
      <c r="I2860" s="81"/>
    </row>
    <row r="2861">
      <c r="D2861" s="81"/>
      <c r="E2861" s="81"/>
      <c r="F2861" s="555"/>
      <c r="G2861" s="81"/>
      <c r="H2861" s="81"/>
      <c r="I2861" s="81"/>
    </row>
    <row r="2862">
      <c r="D2862" s="81"/>
      <c r="E2862" s="81"/>
      <c r="F2862" s="555"/>
      <c r="G2862" s="81"/>
      <c r="H2862" s="81"/>
      <c r="I2862" s="81"/>
    </row>
    <row r="2863">
      <c r="D2863" s="81"/>
      <c r="E2863" s="81"/>
      <c r="F2863" s="555"/>
      <c r="G2863" s="81"/>
      <c r="H2863" s="81"/>
      <c r="I2863" s="81"/>
    </row>
    <row r="2864">
      <c r="D2864" s="81"/>
      <c r="E2864" s="81"/>
      <c r="F2864" s="555"/>
      <c r="G2864" s="81"/>
      <c r="H2864" s="81"/>
      <c r="I2864" s="81"/>
    </row>
    <row r="2865">
      <c r="D2865" s="81"/>
      <c r="E2865" s="81"/>
      <c r="F2865" s="555"/>
      <c r="G2865" s="81"/>
      <c r="H2865" s="81"/>
      <c r="I2865" s="81"/>
    </row>
    <row r="2866">
      <c r="D2866" s="81"/>
      <c r="E2866" s="81"/>
      <c r="F2866" s="555"/>
      <c r="G2866" s="81"/>
      <c r="H2866" s="81"/>
      <c r="I2866" s="81"/>
    </row>
    <row r="2867">
      <c r="D2867" s="81"/>
      <c r="E2867" s="81"/>
      <c r="F2867" s="555"/>
      <c r="G2867" s="81"/>
      <c r="H2867" s="81"/>
      <c r="I2867" s="81"/>
    </row>
    <row r="2868">
      <c r="D2868" s="81"/>
      <c r="E2868" s="81"/>
      <c r="F2868" s="555"/>
      <c r="G2868" s="81"/>
      <c r="H2868" s="81"/>
      <c r="I2868" s="81"/>
    </row>
    <row r="2869">
      <c r="D2869" s="81"/>
      <c r="E2869" s="81"/>
      <c r="F2869" s="555"/>
      <c r="G2869" s="81"/>
      <c r="H2869" s="81"/>
      <c r="I2869" s="81"/>
    </row>
    <row r="2870">
      <c r="D2870" s="81"/>
      <c r="E2870" s="81"/>
      <c r="F2870" s="555"/>
      <c r="G2870" s="81"/>
      <c r="H2870" s="81"/>
      <c r="I2870" s="81"/>
    </row>
    <row r="2871">
      <c r="D2871" s="81"/>
      <c r="E2871" s="81"/>
      <c r="F2871" s="555"/>
      <c r="G2871" s="81"/>
      <c r="H2871" s="81"/>
      <c r="I2871" s="81"/>
    </row>
    <row r="2872">
      <c r="D2872" s="81"/>
      <c r="E2872" s="81"/>
      <c r="F2872" s="555"/>
      <c r="G2872" s="81"/>
      <c r="H2872" s="81"/>
      <c r="I2872" s="81"/>
    </row>
    <row r="2873">
      <c r="D2873" s="81"/>
      <c r="E2873" s="81"/>
      <c r="F2873" s="555"/>
      <c r="G2873" s="81"/>
      <c r="H2873" s="81"/>
      <c r="I2873" s="81"/>
    </row>
    <row r="2874">
      <c r="D2874" s="81"/>
      <c r="E2874" s="81"/>
      <c r="F2874" s="555"/>
      <c r="G2874" s="81"/>
      <c r="H2874" s="81"/>
      <c r="I2874" s="81"/>
    </row>
    <row r="2875">
      <c r="D2875" s="81"/>
      <c r="E2875" s="81"/>
      <c r="F2875" s="555"/>
      <c r="G2875" s="81"/>
      <c r="H2875" s="81"/>
      <c r="I2875" s="81"/>
    </row>
    <row r="2876">
      <c r="D2876" s="81"/>
      <c r="E2876" s="81"/>
      <c r="F2876" s="555"/>
      <c r="G2876" s="81"/>
      <c r="H2876" s="81"/>
      <c r="I2876" s="81"/>
    </row>
    <row r="2877">
      <c r="D2877" s="81"/>
      <c r="E2877" s="81"/>
      <c r="F2877" s="555"/>
      <c r="G2877" s="81"/>
      <c r="H2877" s="81"/>
      <c r="I2877" s="81"/>
    </row>
    <row r="2878">
      <c r="D2878" s="81"/>
      <c r="E2878" s="81"/>
      <c r="F2878" s="555"/>
      <c r="G2878" s="81"/>
      <c r="H2878" s="81"/>
      <c r="I2878" s="81"/>
    </row>
    <row r="2879">
      <c r="D2879" s="81"/>
      <c r="E2879" s="81"/>
      <c r="F2879" s="555"/>
      <c r="G2879" s="81"/>
      <c r="H2879" s="81"/>
      <c r="I2879" s="81"/>
    </row>
    <row r="2880">
      <c r="D2880" s="81"/>
      <c r="E2880" s="81"/>
      <c r="F2880" s="555"/>
      <c r="G2880" s="81"/>
      <c r="H2880" s="81"/>
      <c r="I2880" s="81"/>
    </row>
    <row r="2881">
      <c r="D2881" s="81"/>
      <c r="E2881" s="81"/>
      <c r="F2881" s="555"/>
      <c r="G2881" s="81"/>
      <c r="H2881" s="81"/>
      <c r="I2881" s="81"/>
    </row>
    <row r="2882">
      <c r="D2882" s="81"/>
      <c r="E2882" s="81"/>
      <c r="F2882" s="555"/>
      <c r="G2882" s="81"/>
      <c r="H2882" s="81"/>
      <c r="I2882" s="81"/>
    </row>
    <row r="2883">
      <c r="D2883" s="81"/>
      <c r="E2883" s="81"/>
      <c r="F2883" s="555"/>
      <c r="G2883" s="81"/>
      <c r="H2883" s="81"/>
      <c r="I2883" s="81"/>
    </row>
    <row r="2884">
      <c r="D2884" s="81"/>
      <c r="E2884" s="81"/>
      <c r="F2884" s="555"/>
      <c r="G2884" s="81"/>
      <c r="H2884" s="81"/>
      <c r="I2884" s="81"/>
    </row>
    <row r="2885">
      <c r="D2885" s="81"/>
      <c r="E2885" s="81"/>
      <c r="F2885" s="555"/>
      <c r="G2885" s="81"/>
      <c r="H2885" s="81"/>
      <c r="I2885" s="81"/>
    </row>
    <row r="2886">
      <c r="D2886" s="81"/>
      <c r="E2886" s="81"/>
      <c r="F2886" s="555"/>
      <c r="G2886" s="81"/>
      <c r="H2886" s="81"/>
      <c r="I2886" s="81"/>
    </row>
    <row r="2887">
      <c r="D2887" s="81"/>
      <c r="E2887" s="81"/>
      <c r="F2887" s="555"/>
      <c r="G2887" s="81"/>
      <c r="H2887" s="81"/>
      <c r="I2887" s="81"/>
    </row>
    <row r="2888">
      <c r="D2888" s="81"/>
      <c r="E2888" s="81"/>
      <c r="F2888" s="555"/>
      <c r="G2888" s="81"/>
      <c r="H2888" s="81"/>
      <c r="I2888" s="81"/>
    </row>
    <row r="2889">
      <c r="D2889" s="81"/>
      <c r="E2889" s="81"/>
      <c r="F2889" s="555"/>
      <c r="G2889" s="81"/>
      <c r="H2889" s="81"/>
      <c r="I2889" s="81"/>
    </row>
    <row r="2890">
      <c r="D2890" s="81"/>
      <c r="E2890" s="81"/>
      <c r="F2890" s="555"/>
      <c r="G2890" s="81"/>
      <c r="H2890" s="81"/>
      <c r="I2890" s="81"/>
    </row>
    <row r="2891">
      <c r="D2891" s="81"/>
      <c r="E2891" s="81"/>
      <c r="F2891" s="555"/>
      <c r="G2891" s="81"/>
      <c r="H2891" s="81"/>
      <c r="I2891" s="81"/>
    </row>
    <row r="2892">
      <c r="D2892" s="81"/>
      <c r="E2892" s="81"/>
      <c r="F2892" s="555"/>
      <c r="G2892" s="81"/>
      <c r="H2892" s="81"/>
      <c r="I2892" s="81"/>
    </row>
    <row r="2893">
      <c r="D2893" s="81"/>
      <c r="E2893" s="81"/>
      <c r="F2893" s="555"/>
      <c r="G2893" s="81"/>
      <c r="H2893" s="81"/>
      <c r="I2893" s="81"/>
    </row>
    <row r="2894">
      <c r="D2894" s="81"/>
      <c r="E2894" s="81"/>
      <c r="F2894" s="555"/>
      <c r="G2894" s="81"/>
      <c r="H2894" s="81"/>
      <c r="I2894" s="81"/>
    </row>
    <row r="2895">
      <c r="D2895" s="81"/>
      <c r="E2895" s="81"/>
      <c r="F2895" s="555"/>
      <c r="G2895" s="81"/>
      <c r="H2895" s="81"/>
      <c r="I2895" s="81"/>
    </row>
    <row r="2896">
      <c r="D2896" s="81"/>
      <c r="E2896" s="81"/>
      <c r="F2896" s="555"/>
      <c r="G2896" s="81"/>
      <c r="H2896" s="81"/>
      <c r="I2896" s="81"/>
    </row>
    <row r="2897">
      <c r="D2897" s="81"/>
      <c r="E2897" s="81"/>
      <c r="F2897" s="555"/>
      <c r="G2897" s="81"/>
      <c r="H2897" s="81"/>
      <c r="I2897" s="81"/>
    </row>
    <row r="2898">
      <c r="D2898" s="81"/>
      <c r="E2898" s="81"/>
      <c r="F2898" s="555"/>
      <c r="G2898" s="81"/>
      <c r="H2898" s="81"/>
      <c r="I2898" s="81"/>
    </row>
    <row r="2899">
      <c r="D2899" s="81"/>
      <c r="E2899" s="81"/>
      <c r="F2899" s="555"/>
      <c r="G2899" s="81"/>
      <c r="H2899" s="81"/>
      <c r="I2899" s="81"/>
    </row>
    <row r="2900">
      <c r="D2900" s="81"/>
      <c r="E2900" s="81"/>
      <c r="F2900" s="555"/>
      <c r="G2900" s="81"/>
      <c r="H2900" s="81"/>
      <c r="I2900" s="81"/>
    </row>
    <row r="2901">
      <c r="D2901" s="81"/>
      <c r="E2901" s="81"/>
      <c r="F2901" s="555"/>
      <c r="G2901" s="81"/>
      <c r="H2901" s="81"/>
      <c r="I2901" s="81"/>
    </row>
    <row r="2902">
      <c r="D2902" s="81"/>
      <c r="E2902" s="81"/>
      <c r="F2902" s="555"/>
      <c r="G2902" s="81"/>
      <c r="H2902" s="81"/>
      <c r="I2902" s="81"/>
    </row>
    <row r="2903">
      <c r="D2903" s="81"/>
      <c r="E2903" s="81"/>
      <c r="F2903" s="555"/>
      <c r="G2903" s="81"/>
      <c r="H2903" s="81"/>
      <c r="I2903" s="81"/>
    </row>
    <row r="2904">
      <c r="D2904" s="81"/>
      <c r="E2904" s="81"/>
      <c r="F2904" s="555"/>
      <c r="G2904" s="81"/>
      <c r="H2904" s="81"/>
      <c r="I2904" s="81"/>
    </row>
    <row r="2905">
      <c r="D2905" s="81"/>
      <c r="E2905" s="81"/>
      <c r="F2905" s="555"/>
      <c r="G2905" s="81"/>
      <c r="H2905" s="81"/>
      <c r="I2905" s="81"/>
    </row>
    <row r="2906">
      <c r="D2906" s="81"/>
      <c r="E2906" s="81"/>
      <c r="F2906" s="555"/>
      <c r="G2906" s="81"/>
      <c r="H2906" s="81"/>
      <c r="I2906" s="81"/>
    </row>
    <row r="2907">
      <c r="D2907" s="81"/>
      <c r="E2907" s="81"/>
      <c r="F2907" s="555"/>
      <c r="G2907" s="81"/>
      <c r="H2907" s="81"/>
      <c r="I2907" s="81"/>
    </row>
    <row r="2908">
      <c r="D2908" s="81"/>
      <c r="E2908" s="81"/>
      <c r="F2908" s="555"/>
      <c r="G2908" s="81"/>
      <c r="H2908" s="81"/>
      <c r="I2908" s="81"/>
    </row>
    <row r="2909">
      <c r="D2909" s="81"/>
      <c r="E2909" s="81"/>
      <c r="F2909" s="555"/>
      <c r="G2909" s="81"/>
      <c r="H2909" s="81"/>
      <c r="I2909" s="81"/>
    </row>
    <row r="2910">
      <c r="D2910" s="81"/>
      <c r="E2910" s="81"/>
      <c r="F2910" s="555"/>
      <c r="G2910" s="81"/>
      <c r="H2910" s="81"/>
      <c r="I2910" s="81"/>
    </row>
    <row r="2911">
      <c r="D2911" s="81"/>
      <c r="E2911" s="81"/>
      <c r="F2911" s="555"/>
      <c r="G2911" s="81"/>
      <c r="H2911" s="81"/>
      <c r="I2911" s="81"/>
    </row>
    <row r="2912">
      <c r="D2912" s="81"/>
      <c r="E2912" s="81"/>
      <c r="F2912" s="555"/>
      <c r="G2912" s="81"/>
      <c r="H2912" s="81"/>
      <c r="I2912" s="81"/>
    </row>
    <row r="2913">
      <c r="D2913" s="81"/>
      <c r="E2913" s="81"/>
      <c r="F2913" s="555"/>
      <c r="G2913" s="81"/>
      <c r="H2913" s="81"/>
      <c r="I2913" s="81"/>
    </row>
    <row r="2914">
      <c r="D2914" s="81"/>
      <c r="E2914" s="81"/>
      <c r="F2914" s="555"/>
      <c r="G2914" s="81"/>
      <c r="H2914" s="81"/>
      <c r="I2914" s="81"/>
    </row>
    <row r="2915">
      <c r="D2915" s="81"/>
      <c r="E2915" s="81"/>
      <c r="F2915" s="555"/>
      <c r="G2915" s="81"/>
      <c r="H2915" s="81"/>
      <c r="I2915" s="81"/>
    </row>
    <row r="2916">
      <c r="D2916" s="81"/>
      <c r="E2916" s="81"/>
      <c r="F2916" s="555"/>
      <c r="G2916" s="81"/>
      <c r="H2916" s="81"/>
      <c r="I2916" s="81"/>
    </row>
    <row r="2917">
      <c r="D2917" s="81"/>
      <c r="E2917" s="81"/>
      <c r="F2917" s="555"/>
      <c r="G2917" s="81"/>
      <c r="H2917" s="81"/>
      <c r="I2917" s="81"/>
    </row>
    <row r="2918">
      <c r="D2918" s="81"/>
      <c r="E2918" s="81"/>
      <c r="F2918" s="555"/>
      <c r="G2918" s="81"/>
      <c r="H2918" s="81"/>
      <c r="I2918" s="81"/>
    </row>
    <row r="2919">
      <c r="D2919" s="81"/>
      <c r="E2919" s="81"/>
      <c r="F2919" s="555"/>
      <c r="G2919" s="81"/>
      <c r="H2919" s="81"/>
      <c r="I2919" s="81"/>
    </row>
    <row r="2920">
      <c r="D2920" s="81"/>
      <c r="E2920" s="81"/>
      <c r="F2920" s="555"/>
      <c r="G2920" s="81"/>
      <c r="H2920" s="81"/>
      <c r="I2920" s="81"/>
    </row>
    <row r="2921">
      <c r="D2921" s="81"/>
      <c r="E2921" s="81"/>
      <c r="F2921" s="555"/>
      <c r="G2921" s="81"/>
      <c r="H2921" s="81"/>
      <c r="I2921" s="81"/>
    </row>
    <row r="2922">
      <c r="D2922" s="81"/>
      <c r="E2922" s="81"/>
      <c r="F2922" s="555"/>
      <c r="G2922" s="81"/>
      <c r="H2922" s="81"/>
      <c r="I2922" s="81"/>
    </row>
    <row r="2923">
      <c r="D2923" s="81"/>
      <c r="E2923" s="81"/>
      <c r="F2923" s="555"/>
      <c r="G2923" s="81"/>
      <c r="H2923" s="81"/>
      <c r="I2923" s="81"/>
    </row>
    <row r="2924">
      <c r="D2924" s="81"/>
      <c r="E2924" s="81"/>
      <c r="F2924" s="555"/>
      <c r="G2924" s="81"/>
      <c r="H2924" s="81"/>
      <c r="I2924" s="81"/>
    </row>
    <row r="2925">
      <c r="D2925" s="81"/>
      <c r="E2925" s="81"/>
      <c r="F2925" s="555"/>
      <c r="G2925" s="81"/>
      <c r="H2925" s="81"/>
      <c r="I2925" s="81"/>
    </row>
    <row r="2926">
      <c r="D2926" s="81"/>
      <c r="E2926" s="81"/>
      <c r="F2926" s="555"/>
      <c r="G2926" s="81"/>
      <c r="H2926" s="81"/>
      <c r="I2926" s="81"/>
    </row>
    <row r="2927">
      <c r="D2927" s="81"/>
      <c r="E2927" s="81"/>
      <c r="F2927" s="555"/>
      <c r="G2927" s="81"/>
      <c r="H2927" s="81"/>
      <c r="I2927" s="81"/>
    </row>
    <row r="2928">
      <c r="D2928" s="81"/>
      <c r="E2928" s="81"/>
      <c r="F2928" s="555"/>
      <c r="G2928" s="81"/>
      <c r="H2928" s="81"/>
      <c r="I2928" s="81"/>
    </row>
    <row r="2929">
      <c r="D2929" s="81"/>
      <c r="E2929" s="81"/>
      <c r="F2929" s="555"/>
      <c r="G2929" s="81"/>
      <c r="H2929" s="81"/>
      <c r="I2929" s="81"/>
    </row>
    <row r="2930">
      <c r="D2930" s="81"/>
      <c r="E2930" s="81"/>
      <c r="F2930" s="555"/>
      <c r="G2930" s="81"/>
      <c r="H2930" s="81"/>
      <c r="I2930" s="81"/>
    </row>
    <row r="2931">
      <c r="D2931" s="81"/>
      <c r="E2931" s="81"/>
      <c r="F2931" s="555"/>
      <c r="G2931" s="81"/>
      <c r="H2931" s="81"/>
      <c r="I2931" s="81"/>
    </row>
    <row r="2932">
      <c r="D2932" s="81"/>
      <c r="E2932" s="81"/>
      <c r="F2932" s="555"/>
      <c r="G2932" s="81"/>
      <c r="H2932" s="81"/>
      <c r="I2932" s="81"/>
    </row>
    <row r="2933">
      <c r="D2933" s="81"/>
      <c r="E2933" s="81"/>
      <c r="F2933" s="555"/>
      <c r="G2933" s="81"/>
      <c r="H2933" s="81"/>
      <c r="I2933" s="81"/>
    </row>
    <row r="2934">
      <c r="D2934" s="81"/>
      <c r="E2934" s="81"/>
      <c r="F2934" s="555"/>
      <c r="G2934" s="81"/>
      <c r="H2934" s="81"/>
      <c r="I2934" s="81"/>
    </row>
    <row r="2935">
      <c r="D2935" s="81"/>
      <c r="E2935" s="81"/>
      <c r="F2935" s="555"/>
      <c r="G2935" s="81"/>
      <c r="H2935" s="81"/>
      <c r="I2935" s="81"/>
    </row>
    <row r="2936">
      <c r="D2936" s="81"/>
      <c r="E2936" s="81"/>
      <c r="F2936" s="555"/>
      <c r="G2936" s="81"/>
      <c r="H2936" s="81"/>
      <c r="I2936" s="81"/>
    </row>
    <row r="2937">
      <c r="D2937" s="81"/>
      <c r="E2937" s="81"/>
      <c r="F2937" s="555"/>
      <c r="G2937" s="81"/>
      <c r="H2937" s="81"/>
      <c r="I2937" s="81"/>
    </row>
    <row r="2938">
      <c r="D2938" s="81"/>
      <c r="E2938" s="81"/>
      <c r="F2938" s="555"/>
      <c r="G2938" s="81"/>
      <c r="H2938" s="81"/>
      <c r="I2938" s="81"/>
    </row>
    <row r="2939">
      <c r="D2939" s="81"/>
      <c r="E2939" s="81"/>
      <c r="F2939" s="555"/>
      <c r="G2939" s="81"/>
      <c r="H2939" s="81"/>
      <c r="I2939" s="81"/>
    </row>
    <row r="2940">
      <c r="D2940" s="81"/>
      <c r="E2940" s="81"/>
      <c r="F2940" s="555"/>
      <c r="G2940" s="81"/>
      <c r="H2940" s="81"/>
      <c r="I2940" s="81"/>
    </row>
    <row r="2941">
      <c r="D2941" s="81"/>
      <c r="E2941" s="81"/>
      <c r="F2941" s="555"/>
      <c r="G2941" s="81"/>
      <c r="H2941" s="81"/>
      <c r="I2941" s="81"/>
    </row>
    <row r="2942">
      <c r="D2942" s="81"/>
      <c r="E2942" s="81"/>
      <c r="F2942" s="555"/>
      <c r="G2942" s="81"/>
      <c r="H2942" s="81"/>
      <c r="I2942" s="81"/>
    </row>
    <row r="2943">
      <c r="D2943" s="81"/>
      <c r="E2943" s="81"/>
      <c r="F2943" s="555"/>
      <c r="G2943" s="81"/>
      <c r="H2943" s="81"/>
      <c r="I2943" s="81"/>
    </row>
    <row r="2944">
      <c r="D2944" s="81"/>
      <c r="E2944" s="81"/>
      <c r="F2944" s="555"/>
      <c r="G2944" s="81"/>
      <c r="H2944" s="81"/>
      <c r="I2944" s="81"/>
    </row>
    <row r="2945">
      <c r="D2945" s="81"/>
      <c r="E2945" s="81"/>
      <c r="F2945" s="555"/>
      <c r="G2945" s="81"/>
      <c r="H2945" s="81"/>
      <c r="I2945" s="81"/>
    </row>
    <row r="2946">
      <c r="D2946" s="81"/>
      <c r="E2946" s="81"/>
      <c r="F2946" s="555"/>
      <c r="G2946" s="81"/>
      <c r="H2946" s="81"/>
      <c r="I2946" s="81"/>
    </row>
    <row r="2947">
      <c r="D2947" s="81"/>
      <c r="E2947" s="81"/>
      <c r="F2947" s="555"/>
      <c r="G2947" s="81"/>
      <c r="H2947" s="81"/>
      <c r="I2947" s="81"/>
    </row>
    <row r="2948">
      <c r="D2948" s="81"/>
      <c r="E2948" s="81"/>
      <c r="F2948" s="555"/>
      <c r="G2948" s="81"/>
      <c r="H2948" s="81"/>
      <c r="I2948" s="81"/>
    </row>
    <row r="2949">
      <c r="D2949" s="81"/>
      <c r="E2949" s="81"/>
      <c r="F2949" s="555"/>
      <c r="G2949" s="81"/>
      <c r="H2949" s="81"/>
      <c r="I2949" s="81"/>
    </row>
    <row r="2950">
      <c r="D2950" s="81"/>
      <c r="E2950" s="81"/>
      <c r="F2950" s="555"/>
      <c r="G2950" s="81"/>
      <c r="H2950" s="81"/>
      <c r="I2950" s="81"/>
    </row>
    <row r="2951">
      <c r="D2951" s="81"/>
      <c r="E2951" s="81"/>
      <c r="F2951" s="555"/>
      <c r="G2951" s="81"/>
      <c r="H2951" s="81"/>
      <c r="I2951" s="81"/>
    </row>
    <row r="2952">
      <c r="D2952" s="81"/>
      <c r="E2952" s="81"/>
      <c r="F2952" s="555"/>
      <c r="G2952" s="81"/>
      <c r="H2952" s="81"/>
      <c r="I2952" s="81"/>
    </row>
    <row r="2953">
      <c r="D2953" s="81"/>
      <c r="E2953" s="81"/>
      <c r="F2953" s="555"/>
      <c r="G2953" s="81"/>
      <c r="H2953" s="81"/>
      <c r="I2953" s="81"/>
    </row>
    <row r="2954">
      <c r="D2954" s="81"/>
      <c r="E2954" s="81"/>
      <c r="F2954" s="555"/>
      <c r="G2954" s="81"/>
      <c r="H2954" s="81"/>
      <c r="I2954" s="81"/>
    </row>
    <row r="2955">
      <c r="D2955" s="81"/>
      <c r="E2955" s="81"/>
      <c r="F2955" s="555"/>
      <c r="G2955" s="81"/>
      <c r="H2955" s="81"/>
      <c r="I2955" s="81"/>
    </row>
    <row r="2956">
      <c r="D2956" s="81"/>
      <c r="E2956" s="81"/>
      <c r="F2956" s="555"/>
      <c r="G2956" s="81"/>
      <c r="H2956" s="81"/>
      <c r="I2956" s="81"/>
    </row>
    <row r="2957">
      <c r="D2957" s="81"/>
      <c r="E2957" s="81"/>
      <c r="F2957" s="555"/>
      <c r="G2957" s="81"/>
      <c r="H2957" s="81"/>
      <c r="I2957" s="81"/>
    </row>
    <row r="2958">
      <c r="D2958" s="81"/>
      <c r="E2958" s="81"/>
      <c r="F2958" s="555"/>
      <c r="G2958" s="81"/>
      <c r="H2958" s="81"/>
      <c r="I2958" s="81"/>
    </row>
    <row r="2959">
      <c r="D2959" s="81"/>
      <c r="E2959" s="81"/>
      <c r="F2959" s="555"/>
      <c r="G2959" s="81"/>
      <c r="H2959" s="81"/>
      <c r="I2959" s="81"/>
    </row>
    <row r="2960">
      <c r="D2960" s="81"/>
      <c r="E2960" s="81"/>
      <c r="F2960" s="555"/>
      <c r="G2960" s="81"/>
      <c r="H2960" s="81"/>
      <c r="I2960" s="81"/>
    </row>
    <row r="2961">
      <c r="D2961" s="81"/>
      <c r="E2961" s="81"/>
      <c r="F2961" s="555"/>
      <c r="G2961" s="81"/>
      <c r="H2961" s="81"/>
      <c r="I2961" s="81"/>
    </row>
    <row r="2962">
      <c r="D2962" s="81"/>
      <c r="E2962" s="81"/>
      <c r="F2962" s="555"/>
      <c r="G2962" s="81"/>
      <c r="H2962" s="81"/>
      <c r="I2962" s="81"/>
    </row>
    <row r="2963">
      <c r="D2963" s="81"/>
      <c r="E2963" s="81"/>
      <c r="F2963" s="555"/>
      <c r="G2963" s="81"/>
      <c r="H2963" s="81"/>
      <c r="I2963" s="81"/>
    </row>
    <row r="2964">
      <c r="D2964" s="81"/>
      <c r="E2964" s="81"/>
      <c r="F2964" s="555"/>
      <c r="G2964" s="81"/>
      <c r="H2964" s="81"/>
      <c r="I2964" s="81"/>
    </row>
    <row r="2965">
      <c r="D2965" s="81"/>
      <c r="E2965" s="81"/>
      <c r="F2965" s="555"/>
      <c r="G2965" s="81"/>
      <c r="H2965" s="81"/>
      <c r="I2965" s="81"/>
    </row>
    <row r="2966">
      <c r="D2966" s="81"/>
      <c r="E2966" s="81"/>
      <c r="F2966" s="555"/>
      <c r="G2966" s="81"/>
      <c r="H2966" s="81"/>
      <c r="I2966" s="81"/>
    </row>
    <row r="2967">
      <c r="D2967" s="81"/>
      <c r="E2967" s="81"/>
      <c r="F2967" s="555"/>
      <c r="G2967" s="81"/>
      <c r="H2967" s="81"/>
      <c r="I2967" s="81"/>
    </row>
    <row r="2968">
      <c r="D2968" s="81"/>
      <c r="E2968" s="81"/>
      <c r="F2968" s="555"/>
      <c r="G2968" s="81"/>
      <c r="H2968" s="81"/>
      <c r="I2968" s="81"/>
    </row>
    <row r="2969">
      <c r="D2969" s="81"/>
      <c r="E2969" s="81"/>
      <c r="F2969" s="555"/>
      <c r="G2969" s="81"/>
      <c r="H2969" s="81"/>
      <c r="I2969" s="81"/>
    </row>
    <row r="2970">
      <c r="D2970" s="81"/>
      <c r="E2970" s="81"/>
      <c r="F2970" s="555"/>
      <c r="G2970" s="81"/>
      <c r="H2970" s="81"/>
      <c r="I2970" s="81"/>
    </row>
    <row r="2971">
      <c r="D2971" s="81"/>
      <c r="E2971" s="81"/>
      <c r="F2971" s="555"/>
      <c r="G2971" s="81"/>
      <c r="H2971" s="81"/>
      <c r="I2971" s="81"/>
    </row>
    <row r="2972">
      <c r="D2972" s="81"/>
      <c r="E2972" s="81"/>
      <c r="F2972" s="555"/>
      <c r="G2972" s="81"/>
      <c r="H2972" s="81"/>
      <c r="I2972" s="81"/>
    </row>
    <row r="2973">
      <c r="D2973" s="81"/>
      <c r="E2973" s="81"/>
      <c r="F2973" s="555"/>
      <c r="G2973" s="81"/>
      <c r="H2973" s="81"/>
      <c r="I2973" s="81"/>
    </row>
    <row r="2974">
      <c r="D2974" s="81"/>
      <c r="E2974" s="81"/>
      <c r="F2974" s="555"/>
      <c r="G2974" s="81"/>
      <c r="H2974" s="81"/>
      <c r="I2974" s="81"/>
    </row>
    <row r="2975">
      <c r="D2975" s="81"/>
      <c r="E2975" s="81"/>
      <c r="F2975" s="555"/>
      <c r="G2975" s="81"/>
      <c r="H2975" s="81"/>
      <c r="I2975" s="81"/>
    </row>
    <row r="2976">
      <c r="D2976" s="81"/>
      <c r="E2976" s="81"/>
      <c r="F2976" s="555"/>
      <c r="G2976" s="81"/>
      <c r="H2976" s="81"/>
      <c r="I2976" s="81"/>
    </row>
    <row r="2977">
      <c r="D2977" s="81"/>
      <c r="E2977" s="81"/>
      <c r="F2977" s="555"/>
      <c r="G2977" s="81"/>
      <c r="H2977" s="81"/>
      <c r="I2977" s="81"/>
    </row>
    <row r="2978">
      <c r="D2978" s="81"/>
      <c r="E2978" s="81"/>
      <c r="F2978" s="555"/>
      <c r="G2978" s="81"/>
      <c r="H2978" s="81"/>
      <c r="I2978" s="81"/>
    </row>
    <row r="2979">
      <c r="D2979" s="81"/>
      <c r="E2979" s="81"/>
      <c r="F2979" s="555"/>
      <c r="G2979" s="81"/>
      <c r="H2979" s="81"/>
      <c r="I2979" s="81"/>
    </row>
    <row r="2980">
      <c r="D2980" s="81"/>
      <c r="E2980" s="81"/>
      <c r="F2980" s="555"/>
      <c r="G2980" s="81"/>
      <c r="H2980" s="81"/>
      <c r="I2980" s="81"/>
    </row>
    <row r="2981">
      <c r="D2981" s="81"/>
      <c r="E2981" s="81"/>
      <c r="F2981" s="555"/>
      <c r="G2981" s="81"/>
      <c r="H2981" s="81"/>
      <c r="I2981" s="81"/>
    </row>
    <row r="2982">
      <c r="D2982" s="81"/>
      <c r="E2982" s="81"/>
      <c r="F2982" s="555"/>
      <c r="G2982" s="81"/>
      <c r="H2982" s="81"/>
      <c r="I2982" s="81"/>
    </row>
    <row r="2983">
      <c r="D2983" s="81"/>
      <c r="E2983" s="81"/>
      <c r="F2983" s="555"/>
      <c r="G2983" s="81"/>
      <c r="H2983" s="81"/>
      <c r="I2983" s="81"/>
    </row>
    <row r="2984">
      <c r="D2984" s="81"/>
      <c r="E2984" s="81"/>
      <c r="F2984" s="555"/>
      <c r="G2984" s="81"/>
      <c r="H2984" s="81"/>
      <c r="I2984" s="81"/>
    </row>
    <row r="2985">
      <c r="D2985" s="81"/>
      <c r="E2985" s="81"/>
      <c r="F2985" s="555"/>
      <c r="G2985" s="81"/>
      <c r="H2985" s="81"/>
      <c r="I2985" s="81"/>
    </row>
    <row r="2986">
      <c r="D2986" s="81"/>
      <c r="E2986" s="81"/>
      <c r="F2986" s="555"/>
      <c r="G2986" s="81"/>
      <c r="H2986" s="81"/>
      <c r="I2986" s="81"/>
    </row>
    <row r="2987">
      <c r="D2987" s="81"/>
      <c r="E2987" s="81"/>
      <c r="F2987" s="555"/>
      <c r="G2987" s="81"/>
      <c r="H2987" s="81"/>
      <c r="I2987" s="81"/>
    </row>
    <row r="2988">
      <c r="D2988" s="81"/>
      <c r="E2988" s="81"/>
      <c r="F2988" s="555"/>
      <c r="G2988" s="81"/>
      <c r="H2988" s="81"/>
      <c r="I2988" s="81"/>
    </row>
    <row r="2989">
      <c r="D2989" s="81"/>
      <c r="E2989" s="81"/>
      <c r="F2989" s="555"/>
      <c r="G2989" s="81"/>
      <c r="H2989" s="81"/>
      <c r="I2989" s="81"/>
    </row>
    <row r="2990">
      <c r="D2990" s="81"/>
      <c r="E2990" s="81"/>
      <c r="F2990" s="555"/>
      <c r="G2990" s="81"/>
      <c r="H2990" s="81"/>
      <c r="I2990" s="81"/>
    </row>
    <row r="2991">
      <c r="D2991" s="81"/>
      <c r="E2991" s="81"/>
      <c r="F2991" s="555"/>
      <c r="G2991" s="81"/>
      <c r="H2991" s="81"/>
      <c r="I2991" s="81"/>
    </row>
    <row r="2992">
      <c r="D2992" s="81"/>
      <c r="E2992" s="81"/>
      <c r="F2992" s="555"/>
      <c r="G2992" s="81"/>
      <c r="H2992" s="81"/>
      <c r="I2992" s="81"/>
    </row>
    <row r="2993">
      <c r="D2993" s="81"/>
      <c r="E2993" s="81"/>
      <c r="F2993" s="555"/>
      <c r="G2993" s="81"/>
      <c r="H2993" s="81"/>
      <c r="I2993" s="81"/>
    </row>
    <row r="2994">
      <c r="D2994" s="81"/>
      <c r="E2994" s="81"/>
      <c r="F2994" s="555"/>
      <c r="G2994" s="81"/>
      <c r="H2994" s="81"/>
      <c r="I2994" s="81"/>
    </row>
    <row r="2995">
      <c r="D2995" s="81"/>
      <c r="E2995" s="81"/>
      <c r="F2995" s="555"/>
      <c r="G2995" s="81"/>
      <c r="H2995" s="81"/>
      <c r="I2995" s="81"/>
    </row>
    <row r="2996">
      <c r="D2996" s="81"/>
      <c r="E2996" s="81"/>
      <c r="F2996" s="555"/>
      <c r="G2996" s="81"/>
      <c r="H2996" s="81"/>
      <c r="I2996" s="81"/>
    </row>
    <row r="2997">
      <c r="D2997" s="81"/>
      <c r="E2997" s="81"/>
      <c r="F2997" s="555"/>
      <c r="G2997" s="81"/>
      <c r="H2997" s="81"/>
      <c r="I2997" s="81"/>
    </row>
    <row r="2998">
      <c r="D2998" s="81"/>
      <c r="E2998" s="81"/>
      <c r="F2998" s="555"/>
      <c r="G2998" s="81"/>
      <c r="H2998" s="81"/>
      <c r="I2998" s="81"/>
    </row>
    <row r="2999">
      <c r="D2999" s="81"/>
      <c r="E2999" s="81"/>
      <c r="F2999" s="555"/>
      <c r="G2999" s="81"/>
      <c r="H2999" s="81"/>
      <c r="I2999" s="81"/>
    </row>
    <row r="3000">
      <c r="D3000" s="81"/>
      <c r="E3000" s="81"/>
      <c r="F3000" s="555"/>
      <c r="G3000" s="81"/>
      <c r="H3000" s="81"/>
      <c r="I3000" s="81"/>
    </row>
    <row r="3001">
      <c r="D3001" s="81"/>
      <c r="E3001" s="81"/>
      <c r="F3001" s="555"/>
      <c r="G3001" s="81"/>
      <c r="H3001" s="81"/>
      <c r="I3001" s="81"/>
    </row>
    <row r="3002">
      <c r="D3002" s="81"/>
      <c r="E3002" s="81"/>
      <c r="F3002" s="555"/>
      <c r="G3002" s="81"/>
      <c r="H3002" s="81"/>
      <c r="I3002" s="81"/>
    </row>
    <row r="3003">
      <c r="D3003" s="81"/>
      <c r="E3003" s="81"/>
      <c r="F3003" s="555"/>
      <c r="G3003" s="81"/>
      <c r="H3003" s="81"/>
      <c r="I3003" s="81"/>
    </row>
    <row r="3004">
      <c r="D3004" s="81"/>
      <c r="E3004" s="81"/>
      <c r="F3004" s="555"/>
      <c r="G3004" s="81"/>
      <c r="H3004" s="81"/>
      <c r="I3004" s="81"/>
    </row>
    <row r="3005">
      <c r="D3005" s="81"/>
      <c r="E3005" s="81"/>
      <c r="F3005" s="555"/>
      <c r="G3005" s="81"/>
      <c r="H3005" s="81"/>
      <c r="I3005" s="81"/>
    </row>
    <row r="3006">
      <c r="D3006" s="81"/>
      <c r="E3006" s="81"/>
      <c r="F3006" s="555"/>
      <c r="G3006" s="81"/>
      <c r="H3006" s="81"/>
      <c r="I3006" s="81"/>
    </row>
    <row r="3007">
      <c r="D3007" s="81"/>
      <c r="E3007" s="81"/>
      <c r="F3007" s="555"/>
      <c r="G3007" s="81"/>
      <c r="H3007" s="81"/>
      <c r="I3007" s="81"/>
    </row>
    <row r="3008">
      <c r="D3008" s="81"/>
      <c r="E3008" s="81"/>
      <c r="F3008" s="555"/>
      <c r="G3008" s="81"/>
      <c r="H3008" s="81"/>
      <c r="I3008" s="81"/>
    </row>
    <row r="3009">
      <c r="D3009" s="81"/>
      <c r="E3009" s="81"/>
      <c r="F3009" s="555"/>
      <c r="G3009" s="81"/>
      <c r="H3009" s="81"/>
      <c r="I3009" s="81"/>
    </row>
    <row r="3010">
      <c r="D3010" s="81"/>
      <c r="E3010" s="81"/>
      <c r="F3010" s="555"/>
      <c r="G3010" s="81"/>
      <c r="H3010" s="81"/>
      <c r="I3010" s="81"/>
    </row>
    <row r="3011">
      <c r="D3011" s="81"/>
      <c r="E3011" s="81"/>
      <c r="F3011" s="555"/>
      <c r="G3011" s="81"/>
      <c r="H3011" s="81"/>
      <c r="I3011" s="81"/>
    </row>
    <row r="3012">
      <c r="D3012" s="81"/>
      <c r="E3012" s="81"/>
      <c r="F3012" s="555"/>
      <c r="G3012" s="81"/>
      <c r="H3012" s="81"/>
      <c r="I3012" s="81"/>
    </row>
    <row r="3013">
      <c r="D3013" s="81"/>
      <c r="E3013" s="81"/>
      <c r="F3013" s="555"/>
      <c r="G3013" s="81"/>
      <c r="H3013" s="81"/>
      <c r="I3013" s="81"/>
    </row>
    <row r="3014">
      <c r="D3014" s="81"/>
      <c r="E3014" s="81"/>
      <c r="F3014" s="555"/>
      <c r="G3014" s="81"/>
      <c r="H3014" s="81"/>
      <c r="I3014" s="81"/>
    </row>
    <row r="3015">
      <c r="D3015" s="81"/>
      <c r="E3015" s="81"/>
      <c r="F3015" s="555"/>
      <c r="G3015" s="81"/>
      <c r="H3015" s="81"/>
      <c r="I3015" s="81"/>
    </row>
    <row r="3016">
      <c r="D3016" s="81"/>
      <c r="E3016" s="81"/>
      <c r="F3016" s="555"/>
      <c r="G3016" s="81"/>
      <c r="H3016" s="81"/>
      <c r="I3016" s="81"/>
    </row>
    <row r="3017">
      <c r="D3017" s="81"/>
      <c r="E3017" s="81"/>
      <c r="F3017" s="555"/>
      <c r="G3017" s="81"/>
      <c r="H3017" s="81"/>
      <c r="I3017" s="81"/>
    </row>
    <row r="3018">
      <c r="D3018" s="81"/>
      <c r="E3018" s="81"/>
      <c r="F3018" s="555"/>
      <c r="G3018" s="81"/>
      <c r="H3018" s="81"/>
      <c r="I3018" s="81"/>
    </row>
    <row r="3019">
      <c r="D3019" s="81"/>
      <c r="E3019" s="81"/>
      <c r="F3019" s="555"/>
      <c r="G3019" s="81"/>
      <c r="H3019" s="81"/>
      <c r="I3019" s="81"/>
    </row>
    <row r="3020">
      <c r="D3020" s="81"/>
      <c r="E3020" s="81"/>
      <c r="F3020" s="555"/>
      <c r="G3020" s="81"/>
      <c r="H3020" s="81"/>
      <c r="I3020" s="81"/>
    </row>
    <row r="3021">
      <c r="D3021" s="81"/>
      <c r="E3021" s="81"/>
      <c r="F3021" s="555"/>
      <c r="G3021" s="81"/>
      <c r="H3021" s="81"/>
      <c r="I3021" s="81"/>
    </row>
    <row r="3022">
      <c r="D3022" s="81"/>
      <c r="E3022" s="81"/>
      <c r="F3022" s="555"/>
      <c r="G3022" s="81"/>
      <c r="H3022" s="81"/>
      <c r="I3022" s="81"/>
    </row>
    <row r="3023">
      <c r="D3023" s="81"/>
      <c r="E3023" s="81"/>
      <c r="F3023" s="555"/>
      <c r="G3023" s="81"/>
      <c r="H3023" s="81"/>
      <c r="I3023" s="81"/>
    </row>
    <row r="3024">
      <c r="D3024" s="81"/>
      <c r="E3024" s="81"/>
      <c r="F3024" s="555"/>
      <c r="G3024" s="81"/>
      <c r="H3024" s="81"/>
      <c r="I3024" s="81"/>
    </row>
    <row r="3025">
      <c r="D3025" s="81"/>
      <c r="E3025" s="81"/>
      <c r="F3025" s="555"/>
      <c r="G3025" s="81"/>
      <c r="H3025" s="81"/>
      <c r="I3025" s="81"/>
    </row>
    <row r="3026">
      <c r="D3026" s="81"/>
      <c r="E3026" s="81"/>
      <c r="F3026" s="555"/>
      <c r="G3026" s="81"/>
      <c r="H3026" s="81"/>
      <c r="I3026" s="81"/>
    </row>
    <row r="3027">
      <c r="D3027" s="81"/>
      <c r="E3027" s="81"/>
      <c r="F3027" s="555"/>
      <c r="G3027" s="81"/>
      <c r="H3027" s="81"/>
      <c r="I3027" s="81"/>
    </row>
    <row r="3028">
      <c r="D3028" s="81"/>
      <c r="E3028" s="81"/>
      <c r="F3028" s="555"/>
      <c r="G3028" s="81"/>
      <c r="H3028" s="81"/>
      <c r="I3028" s="81"/>
    </row>
    <row r="3029">
      <c r="D3029" s="81"/>
      <c r="E3029" s="81"/>
      <c r="F3029" s="81"/>
      <c r="G3029" s="81"/>
      <c r="H3029" s="81"/>
      <c r="I3029" s="81"/>
    </row>
    <row r="3030">
      <c r="D3030" s="81"/>
      <c r="E3030" s="81"/>
      <c r="F3030" s="81"/>
      <c r="G3030" s="81"/>
      <c r="H3030" s="81"/>
      <c r="I3030" s="81"/>
    </row>
    <row r="3031">
      <c r="D3031" s="81"/>
      <c r="E3031" s="81"/>
      <c r="F3031" s="81"/>
      <c r="G3031" s="81"/>
      <c r="H3031" s="81"/>
      <c r="I3031" s="81"/>
    </row>
    <row r="3032">
      <c r="D3032" s="81"/>
      <c r="E3032" s="81"/>
      <c r="F3032" s="81"/>
      <c r="G3032" s="81"/>
      <c r="H3032" s="81"/>
      <c r="I3032" s="81"/>
    </row>
    <row r="3033">
      <c r="D3033" s="81"/>
      <c r="E3033" s="81"/>
      <c r="F3033" s="81"/>
      <c r="G3033" s="81"/>
      <c r="H3033" s="81"/>
      <c r="I3033" s="81"/>
    </row>
    <row r="3034">
      <c r="D3034" s="81"/>
      <c r="E3034" s="81"/>
      <c r="F3034" s="81"/>
      <c r="G3034" s="81"/>
      <c r="H3034" s="81"/>
      <c r="I3034" s="81"/>
    </row>
    <row r="3035">
      <c r="D3035" s="81"/>
      <c r="E3035" s="81"/>
      <c r="F3035" s="81"/>
      <c r="G3035" s="81"/>
      <c r="H3035" s="81"/>
      <c r="I3035" s="81"/>
    </row>
    <row r="3036">
      <c r="D3036" s="81"/>
      <c r="E3036" s="81"/>
      <c r="F3036" s="81"/>
      <c r="G3036" s="81"/>
      <c r="H3036" s="81"/>
      <c r="I3036" s="81"/>
    </row>
    <row r="3037">
      <c r="D3037" s="81"/>
      <c r="E3037" s="81"/>
      <c r="F3037" s="81"/>
      <c r="G3037" s="81"/>
      <c r="H3037" s="81"/>
      <c r="I3037" s="81"/>
    </row>
    <row r="3038">
      <c r="D3038" s="81"/>
      <c r="E3038" s="81"/>
      <c r="F3038" s="81"/>
      <c r="G3038" s="81"/>
      <c r="H3038" s="81"/>
      <c r="I3038" s="81"/>
    </row>
    <row r="3039">
      <c r="D3039" s="81"/>
      <c r="E3039" s="81"/>
      <c r="F3039" s="81"/>
      <c r="G3039" s="81"/>
      <c r="H3039" s="81"/>
      <c r="I3039" s="81"/>
    </row>
    <row r="3040">
      <c r="D3040" s="81"/>
      <c r="E3040" s="81"/>
      <c r="F3040" s="81"/>
      <c r="G3040" s="81"/>
      <c r="H3040" s="81"/>
      <c r="I3040" s="81"/>
    </row>
    <row r="3041">
      <c r="D3041" s="81"/>
      <c r="E3041" s="81"/>
      <c r="F3041" s="81"/>
      <c r="G3041" s="81"/>
      <c r="H3041" s="81"/>
      <c r="I3041" s="81"/>
    </row>
    <row r="3042">
      <c r="D3042" s="81"/>
      <c r="E3042" s="81"/>
      <c r="F3042" s="81"/>
      <c r="G3042" s="81"/>
      <c r="H3042" s="81"/>
      <c r="I3042" s="81"/>
    </row>
    <row r="3043">
      <c r="D3043" s="81"/>
      <c r="E3043" s="81"/>
      <c r="F3043" s="81"/>
      <c r="G3043" s="81"/>
      <c r="H3043" s="81"/>
      <c r="I3043" s="81"/>
    </row>
    <row r="3044">
      <c r="D3044" s="81"/>
      <c r="E3044" s="81"/>
      <c r="F3044" s="81"/>
      <c r="G3044" s="81"/>
      <c r="H3044" s="81"/>
      <c r="I3044" s="81"/>
    </row>
    <row r="3045">
      <c r="D3045" s="81"/>
      <c r="E3045" s="81"/>
      <c r="F3045" s="81"/>
      <c r="G3045" s="81"/>
      <c r="H3045" s="81"/>
      <c r="I3045" s="81"/>
    </row>
    <row r="3046">
      <c r="D3046" s="81"/>
      <c r="E3046" s="81"/>
      <c r="F3046" s="81"/>
      <c r="G3046" s="81"/>
      <c r="H3046" s="81"/>
      <c r="I3046" s="81"/>
    </row>
    <row r="3047">
      <c r="D3047" s="81"/>
      <c r="E3047" s="81"/>
      <c r="F3047" s="81"/>
      <c r="G3047" s="81"/>
      <c r="H3047" s="81"/>
      <c r="I3047" s="81"/>
    </row>
    <row r="3048">
      <c r="D3048" s="81"/>
      <c r="E3048" s="81"/>
      <c r="F3048" s="81"/>
      <c r="G3048" s="81"/>
      <c r="H3048" s="81"/>
      <c r="I3048" s="81"/>
    </row>
    <row r="3049">
      <c r="D3049" s="81"/>
      <c r="E3049" s="81"/>
      <c r="F3049" s="81"/>
      <c r="G3049" s="81"/>
      <c r="H3049" s="81"/>
      <c r="I3049" s="81"/>
    </row>
    <row r="3050">
      <c r="D3050" s="81"/>
      <c r="E3050" s="81"/>
      <c r="F3050" s="81"/>
      <c r="G3050" s="81"/>
      <c r="H3050" s="81"/>
      <c r="I3050" s="81"/>
    </row>
    <row r="3051">
      <c r="D3051" s="81"/>
      <c r="E3051" s="81"/>
      <c r="F3051" s="81"/>
      <c r="G3051" s="81"/>
      <c r="H3051" s="81"/>
      <c r="I3051" s="81"/>
    </row>
    <row r="3052">
      <c r="D3052" s="81"/>
      <c r="E3052" s="81"/>
      <c r="F3052" s="81"/>
      <c r="G3052" s="81"/>
      <c r="H3052" s="81"/>
      <c r="I3052" s="81"/>
    </row>
    <row r="3053">
      <c r="D3053" s="81"/>
      <c r="E3053" s="81"/>
      <c r="F3053" s="81"/>
      <c r="G3053" s="81"/>
      <c r="H3053" s="81"/>
      <c r="I3053" s="81"/>
    </row>
    <row r="3054">
      <c r="D3054" s="81"/>
      <c r="E3054" s="81"/>
      <c r="F3054" s="81"/>
      <c r="G3054" s="81"/>
      <c r="H3054" s="81"/>
      <c r="I3054" s="81"/>
    </row>
    <row r="3055">
      <c r="D3055" s="81"/>
      <c r="E3055" s="81"/>
      <c r="F3055" s="81"/>
      <c r="G3055" s="81"/>
      <c r="H3055" s="81"/>
      <c r="I3055" s="81"/>
    </row>
    <row r="3056">
      <c r="D3056" s="81"/>
      <c r="E3056" s="81"/>
      <c r="F3056" s="81"/>
      <c r="G3056" s="81"/>
      <c r="H3056" s="81"/>
      <c r="I3056" s="81"/>
    </row>
    <row r="3057">
      <c r="D3057" s="81"/>
      <c r="E3057" s="81"/>
      <c r="F3057" s="81"/>
      <c r="G3057" s="81"/>
      <c r="H3057" s="81"/>
      <c r="I3057" s="81"/>
    </row>
    <row r="3058">
      <c r="D3058" s="81"/>
      <c r="E3058" s="81"/>
      <c r="F3058" s="81"/>
      <c r="G3058" s="81"/>
      <c r="H3058" s="81"/>
      <c r="I3058" s="81"/>
    </row>
    <row r="3059">
      <c r="D3059" s="81"/>
      <c r="E3059" s="81"/>
      <c r="F3059" s="81"/>
      <c r="G3059" s="81"/>
      <c r="H3059" s="81"/>
      <c r="I3059" s="81"/>
    </row>
    <row r="3060">
      <c r="D3060" s="81"/>
      <c r="E3060" s="81"/>
      <c r="F3060" s="81"/>
      <c r="G3060" s="81"/>
      <c r="H3060" s="81"/>
      <c r="I3060" s="81"/>
    </row>
    <row r="3061">
      <c r="D3061" s="81"/>
      <c r="E3061" s="81"/>
      <c r="F3061" s="81"/>
      <c r="G3061" s="81"/>
      <c r="H3061" s="81"/>
      <c r="I3061" s="81"/>
    </row>
    <row r="3062">
      <c r="D3062" s="81"/>
      <c r="E3062" s="81"/>
      <c r="F3062" s="81"/>
      <c r="G3062" s="81"/>
      <c r="H3062" s="81"/>
      <c r="I3062" s="81"/>
    </row>
    <row r="3063">
      <c r="D3063" s="81"/>
      <c r="E3063" s="81"/>
      <c r="F3063" s="81"/>
      <c r="G3063" s="81"/>
      <c r="H3063" s="81"/>
      <c r="I3063" s="81"/>
    </row>
    <row r="3064">
      <c r="D3064" s="81"/>
      <c r="E3064" s="81"/>
      <c r="F3064" s="81"/>
      <c r="G3064" s="81"/>
      <c r="H3064" s="81"/>
      <c r="I3064" s="81"/>
    </row>
    <row r="3065">
      <c r="D3065" s="81"/>
      <c r="E3065" s="81"/>
      <c r="F3065" s="81"/>
      <c r="G3065" s="81"/>
      <c r="H3065" s="81"/>
      <c r="I3065" s="81"/>
    </row>
    <row r="3066">
      <c r="D3066" s="81"/>
      <c r="E3066" s="81"/>
      <c r="F3066" s="81"/>
      <c r="G3066" s="81"/>
      <c r="H3066" s="81"/>
      <c r="I3066" s="81"/>
    </row>
    <row r="3067">
      <c r="D3067" s="81"/>
      <c r="E3067" s="81"/>
      <c r="F3067" s="81"/>
      <c r="G3067" s="81"/>
      <c r="H3067" s="81"/>
      <c r="I3067" s="81"/>
    </row>
    <row r="3068">
      <c r="D3068" s="81"/>
      <c r="E3068" s="81"/>
      <c r="F3068" s="81"/>
      <c r="G3068" s="81"/>
      <c r="H3068" s="81"/>
      <c r="I3068" s="81"/>
    </row>
    <row r="3069">
      <c r="D3069" s="81"/>
      <c r="E3069" s="81"/>
      <c r="F3069" s="81"/>
      <c r="G3069" s="81"/>
      <c r="H3069" s="81"/>
      <c r="I3069" s="81"/>
    </row>
    <row r="3070">
      <c r="D3070" s="81"/>
      <c r="E3070" s="81"/>
      <c r="F3070" s="81"/>
      <c r="G3070" s="81"/>
      <c r="H3070" s="81"/>
      <c r="I3070" s="81"/>
    </row>
    <row r="3071">
      <c r="D3071" s="81"/>
      <c r="E3071" s="81"/>
      <c r="F3071" s="81"/>
      <c r="G3071" s="81"/>
      <c r="H3071" s="81"/>
      <c r="I3071" s="81"/>
    </row>
    <row r="3072">
      <c r="D3072" s="81"/>
      <c r="E3072" s="81"/>
      <c r="F3072" s="81"/>
      <c r="G3072" s="81"/>
      <c r="H3072" s="81"/>
      <c r="I3072" s="81"/>
    </row>
    <row r="3073">
      <c r="D3073" s="81"/>
      <c r="E3073" s="81"/>
      <c r="F3073" s="81"/>
      <c r="G3073" s="81"/>
      <c r="H3073" s="81"/>
      <c r="I3073" s="81"/>
    </row>
    <row r="3074">
      <c r="D3074" s="81"/>
      <c r="E3074" s="81"/>
      <c r="F3074" s="81"/>
      <c r="G3074" s="81"/>
      <c r="H3074" s="81"/>
      <c r="I3074" s="81"/>
    </row>
    <row r="3075">
      <c r="D3075" s="81"/>
      <c r="E3075" s="81"/>
      <c r="F3075" s="81"/>
      <c r="G3075" s="81"/>
      <c r="H3075" s="81"/>
      <c r="I3075" s="81"/>
    </row>
    <row r="3076">
      <c r="D3076" s="81"/>
      <c r="E3076" s="81"/>
      <c r="F3076" s="81"/>
      <c r="G3076" s="81"/>
      <c r="H3076" s="81"/>
      <c r="I3076" s="81"/>
    </row>
    <row r="3077">
      <c r="D3077" s="81"/>
      <c r="E3077" s="81"/>
      <c r="F3077" s="81"/>
      <c r="G3077" s="81"/>
      <c r="H3077" s="81"/>
      <c r="I3077" s="81"/>
    </row>
    <row r="3078">
      <c r="D3078" s="81"/>
      <c r="E3078" s="81"/>
      <c r="F3078" s="81"/>
      <c r="G3078" s="81"/>
      <c r="H3078" s="81"/>
      <c r="I3078" s="81"/>
    </row>
    <row r="3079">
      <c r="D3079" s="81"/>
      <c r="E3079" s="81"/>
      <c r="F3079" s="81"/>
      <c r="G3079" s="81"/>
      <c r="H3079" s="81"/>
      <c r="I3079" s="81"/>
    </row>
    <row r="3080">
      <c r="D3080" s="81"/>
      <c r="E3080" s="81"/>
      <c r="F3080" s="81"/>
      <c r="G3080" s="81"/>
      <c r="H3080" s="81"/>
      <c r="I3080" s="81"/>
    </row>
    <row r="3081">
      <c r="D3081" s="81"/>
      <c r="E3081" s="81"/>
      <c r="F3081" s="81"/>
      <c r="G3081" s="81"/>
      <c r="H3081" s="81"/>
      <c r="I3081" s="81"/>
    </row>
    <row r="3082">
      <c r="D3082" s="81"/>
      <c r="E3082" s="81"/>
      <c r="F3082" s="81"/>
      <c r="G3082" s="81"/>
      <c r="H3082" s="81"/>
      <c r="I3082" s="81"/>
    </row>
    <row r="3083">
      <c r="D3083" s="81"/>
      <c r="E3083" s="81"/>
      <c r="F3083" s="81"/>
      <c r="G3083" s="81"/>
      <c r="H3083" s="81"/>
      <c r="I3083" s="81"/>
    </row>
    <row r="3084">
      <c r="D3084" s="81"/>
      <c r="E3084" s="81"/>
      <c r="F3084" s="81"/>
      <c r="G3084" s="81"/>
      <c r="H3084" s="81"/>
      <c r="I3084" s="81"/>
    </row>
    <row r="3085">
      <c r="D3085" s="81"/>
      <c r="E3085" s="81"/>
      <c r="F3085" s="81"/>
      <c r="G3085" s="81"/>
      <c r="H3085" s="81"/>
      <c r="I3085" s="81"/>
    </row>
    <row r="3086">
      <c r="D3086" s="81"/>
      <c r="E3086" s="81"/>
      <c r="F3086" s="81"/>
      <c r="G3086" s="81"/>
      <c r="H3086" s="81"/>
      <c r="I3086" s="81"/>
    </row>
    <row r="3087">
      <c r="D3087" s="81"/>
      <c r="E3087" s="81"/>
      <c r="F3087" s="81"/>
      <c r="G3087" s="81"/>
      <c r="H3087" s="81"/>
      <c r="I3087" s="81"/>
    </row>
    <row r="3088">
      <c r="D3088" s="81"/>
      <c r="E3088" s="81"/>
      <c r="F3088" s="81"/>
      <c r="G3088" s="81"/>
      <c r="H3088" s="81"/>
      <c r="I3088" s="81"/>
    </row>
    <row r="3089">
      <c r="D3089" s="81"/>
      <c r="E3089" s="81"/>
      <c r="F3089" s="81"/>
      <c r="G3089" s="81"/>
      <c r="H3089" s="81"/>
      <c r="I3089" s="81"/>
    </row>
    <row r="3090">
      <c r="D3090" s="81"/>
      <c r="E3090" s="81"/>
      <c r="F3090" s="81"/>
      <c r="G3090" s="81"/>
      <c r="H3090" s="81"/>
      <c r="I3090" s="81"/>
    </row>
    <row r="3091">
      <c r="D3091" s="81"/>
      <c r="E3091" s="81"/>
      <c r="F3091" s="81"/>
      <c r="G3091" s="81"/>
      <c r="H3091" s="81"/>
      <c r="I3091" s="81"/>
    </row>
    <row r="3092">
      <c r="D3092" s="81"/>
      <c r="E3092" s="81"/>
      <c r="F3092" s="81"/>
      <c r="G3092" s="81"/>
      <c r="H3092" s="81"/>
      <c r="I3092" s="81"/>
    </row>
    <row r="3093">
      <c r="D3093" s="81"/>
      <c r="E3093" s="81"/>
      <c r="F3093" s="81"/>
      <c r="G3093" s="81"/>
      <c r="H3093" s="81"/>
      <c r="I3093" s="81"/>
    </row>
    <row r="3094">
      <c r="D3094" s="81"/>
      <c r="E3094" s="81"/>
      <c r="F3094" s="81"/>
      <c r="G3094" s="81"/>
      <c r="H3094" s="81"/>
      <c r="I3094" s="81"/>
    </row>
    <row r="3095">
      <c r="D3095" s="81"/>
      <c r="E3095" s="81"/>
      <c r="F3095" s="81"/>
      <c r="G3095" s="81"/>
      <c r="H3095" s="81"/>
      <c r="I3095" s="81"/>
    </row>
    <row r="3096">
      <c r="D3096" s="81"/>
      <c r="E3096" s="81"/>
      <c r="F3096" s="81"/>
      <c r="G3096" s="81"/>
      <c r="H3096" s="81"/>
      <c r="I3096" s="81"/>
    </row>
    <row r="3097">
      <c r="D3097" s="81"/>
      <c r="E3097" s="81"/>
      <c r="F3097" s="81"/>
      <c r="G3097" s="81"/>
      <c r="H3097" s="81"/>
      <c r="I3097" s="81"/>
    </row>
    <row r="3098">
      <c r="D3098" s="81"/>
      <c r="E3098" s="81"/>
      <c r="F3098" s="81"/>
      <c r="G3098" s="81"/>
      <c r="H3098" s="81"/>
      <c r="I3098" s="81"/>
    </row>
    <row r="3099">
      <c r="D3099" s="81"/>
      <c r="E3099" s="81"/>
      <c r="F3099" s="81"/>
      <c r="G3099" s="81"/>
      <c r="H3099" s="81"/>
      <c r="I3099" s="81"/>
    </row>
    <row r="3100">
      <c r="D3100" s="81"/>
      <c r="E3100" s="81"/>
      <c r="F3100" s="81"/>
      <c r="G3100" s="81"/>
      <c r="H3100" s="81"/>
      <c r="I3100" s="81"/>
    </row>
    <row r="3101">
      <c r="D3101" s="81"/>
      <c r="E3101" s="81"/>
      <c r="F3101" s="81"/>
      <c r="G3101" s="81"/>
      <c r="H3101" s="81"/>
      <c r="I3101" s="81"/>
    </row>
    <row r="3102">
      <c r="D3102" s="81"/>
      <c r="E3102" s="81"/>
      <c r="F3102" s="81"/>
      <c r="G3102" s="81"/>
      <c r="H3102" s="81"/>
      <c r="I3102" s="81"/>
    </row>
    <row r="3103">
      <c r="D3103" s="81"/>
      <c r="E3103" s="81"/>
      <c r="F3103" s="81"/>
      <c r="G3103" s="81"/>
      <c r="H3103" s="81"/>
      <c r="I3103" s="81"/>
    </row>
    <row r="3104">
      <c r="D3104" s="81"/>
      <c r="E3104" s="81"/>
      <c r="F3104" s="81"/>
      <c r="G3104" s="81"/>
      <c r="H3104" s="81"/>
      <c r="I3104" s="81"/>
    </row>
    <row r="3105">
      <c r="D3105" s="81"/>
      <c r="E3105" s="81"/>
      <c r="F3105" s="81"/>
      <c r="G3105" s="81"/>
      <c r="H3105" s="81"/>
      <c r="I3105" s="81"/>
    </row>
    <row r="3106">
      <c r="D3106" s="81"/>
      <c r="E3106" s="81"/>
      <c r="F3106" s="81"/>
      <c r="G3106" s="81"/>
      <c r="H3106" s="81"/>
      <c r="I3106" s="81"/>
    </row>
    <row r="3107">
      <c r="D3107" s="81"/>
      <c r="E3107" s="81"/>
      <c r="F3107" s="81"/>
      <c r="G3107" s="81"/>
      <c r="H3107" s="81"/>
      <c r="I3107" s="81"/>
    </row>
    <row r="3108">
      <c r="D3108" s="81"/>
      <c r="E3108" s="81"/>
      <c r="F3108" s="81"/>
      <c r="G3108" s="81"/>
      <c r="H3108" s="81"/>
      <c r="I3108" s="81"/>
    </row>
    <row r="3109">
      <c r="D3109" s="81"/>
      <c r="E3109" s="81"/>
      <c r="F3109" s="81"/>
      <c r="G3109" s="81"/>
      <c r="H3109" s="81"/>
      <c r="I3109" s="81"/>
    </row>
    <row r="3110">
      <c r="D3110" s="81"/>
      <c r="E3110" s="81"/>
      <c r="F3110" s="81"/>
      <c r="G3110" s="81"/>
      <c r="H3110" s="81"/>
      <c r="I3110" s="81"/>
    </row>
    <row r="3111">
      <c r="D3111" s="81"/>
      <c r="E3111" s="81"/>
      <c r="F3111" s="81"/>
      <c r="G3111" s="81"/>
      <c r="H3111" s="81"/>
      <c r="I3111" s="81"/>
    </row>
    <row r="3112">
      <c r="D3112" s="81"/>
      <c r="E3112" s="81"/>
      <c r="F3112" s="81"/>
      <c r="G3112" s="81"/>
      <c r="H3112" s="81"/>
      <c r="I3112" s="81"/>
    </row>
    <row r="3113">
      <c r="D3113" s="81"/>
      <c r="E3113" s="81"/>
      <c r="F3113" s="81"/>
      <c r="G3113" s="81"/>
      <c r="H3113" s="81"/>
      <c r="I3113" s="81"/>
    </row>
    <row r="3114">
      <c r="D3114" s="81"/>
      <c r="E3114" s="81"/>
      <c r="F3114" s="81"/>
      <c r="G3114" s="81"/>
      <c r="H3114" s="81"/>
      <c r="I3114" s="81"/>
    </row>
    <row r="3115">
      <c r="D3115" s="81"/>
      <c r="E3115" s="81"/>
      <c r="F3115" s="81"/>
      <c r="G3115" s="81"/>
      <c r="H3115" s="81"/>
      <c r="I3115" s="81"/>
    </row>
    <row r="3116">
      <c r="D3116" s="81"/>
      <c r="E3116" s="81"/>
      <c r="F3116" s="81"/>
      <c r="G3116" s="81"/>
      <c r="H3116" s="81"/>
      <c r="I3116" s="81"/>
    </row>
    <row r="3117">
      <c r="D3117" s="81"/>
      <c r="E3117" s="81"/>
      <c r="F3117" s="81"/>
      <c r="G3117" s="81"/>
      <c r="H3117" s="81"/>
      <c r="I3117" s="81"/>
    </row>
    <row r="3118">
      <c r="D3118" s="81"/>
      <c r="E3118" s="81"/>
      <c r="F3118" s="81"/>
      <c r="G3118" s="81"/>
      <c r="H3118" s="81"/>
      <c r="I3118" s="81"/>
    </row>
    <row r="3119">
      <c r="D3119" s="81"/>
      <c r="E3119" s="81"/>
      <c r="F3119" s="81"/>
      <c r="G3119" s="81"/>
      <c r="H3119" s="81"/>
      <c r="I3119" s="81"/>
    </row>
    <row r="3120">
      <c r="D3120" s="81"/>
      <c r="E3120" s="81"/>
      <c r="F3120" s="81"/>
      <c r="G3120" s="81"/>
      <c r="H3120" s="81"/>
      <c r="I3120" s="81"/>
    </row>
    <row r="3121">
      <c r="D3121" s="81"/>
      <c r="E3121" s="81"/>
      <c r="F3121" s="81"/>
      <c r="G3121" s="81"/>
      <c r="H3121" s="81"/>
      <c r="I3121" s="81"/>
    </row>
    <row r="3122">
      <c r="D3122" s="81"/>
      <c r="E3122" s="81"/>
      <c r="F3122" s="81"/>
      <c r="G3122" s="81"/>
      <c r="H3122" s="81"/>
      <c r="I3122" s="81"/>
    </row>
    <row r="3123">
      <c r="D3123" s="81"/>
      <c r="E3123" s="81"/>
      <c r="F3123" s="81"/>
      <c r="G3123" s="81"/>
      <c r="H3123" s="81"/>
      <c r="I3123" s="81"/>
    </row>
    <row r="3124">
      <c r="D3124" s="81"/>
      <c r="E3124" s="81"/>
      <c r="F3124" s="81"/>
      <c r="G3124" s="81"/>
      <c r="H3124" s="81"/>
      <c r="I3124" s="81"/>
    </row>
    <row r="3125">
      <c r="D3125" s="81"/>
      <c r="E3125" s="81"/>
      <c r="F3125" s="81"/>
      <c r="G3125" s="81"/>
      <c r="H3125" s="81"/>
      <c r="I3125" s="81"/>
    </row>
    <row r="3126">
      <c r="D3126" s="81"/>
      <c r="E3126" s="81"/>
      <c r="F3126" s="81"/>
      <c r="G3126" s="81"/>
      <c r="H3126" s="81"/>
      <c r="I3126" s="81"/>
    </row>
    <row r="3127">
      <c r="D3127" s="81"/>
      <c r="E3127" s="81"/>
      <c r="F3127" s="81"/>
      <c r="G3127" s="81"/>
      <c r="H3127" s="81"/>
      <c r="I3127" s="81"/>
    </row>
    <row r="3128">
      <c r="D3128" s="81"/>
      <c r="E3128" s="81"/>
      <c r="F3128" s="81"/>
      <c r="G3128" s="81"/>
      <c r="H3128" s="81"/>
      <c r="I3128" s="81"/>
    </row>
    <row r="3129">
      <c r="D3129" s="81"/>
      <c r="E3129" s="81"/>
      <c r="F3129" s="81"/>
      <c r="G3129" s="81"/>
      <c r="H3129" s="81"/>
      <c r="I3129" s="81"/>
    </row>
    <row r="3130">
      <c r="D3130" s="81"/>
      <c r="E3130" s="81"/>
      <c r="F3130" s="81"/>
      <c r="G3130" s="81"/>
      <c r="H3130" s="81"/>
      <c r="I3130" s="81"/>
    </row>
    <row r="3131">
      <c r="D3131" s="81"/>
      <c r="E3131" s="81"/>
      <c r="F3131" s="81"/>
      <c r="G3131" s="81"/>
      <c r="H3131" s="81"/>
      <c r="I3131" s="81"/>
    </row>
    <row r="3132">
      <c r="D3132" s="81"/>
      <c r="E3132" s="81"/>
      <c r="F3132" s="81"/>
      <c r="G3132" s="81"/>
      <c r="H3132" s="81"/>
      <c r="I3132" s="81"/>
    </row>
    <row r="3133">
      <c r="D3133" s="81"/>
      <c r="E3133" s="81"/>
      <c r="F3133" s="81"/>
      <c r="G3133" s="81"/>
      <c r="H3133" s="81"/>
      <c r="I3133" s="81"/>
    </row>
    <row r="3134">
      <c r="D3134" s="81"/>
      <c r="E3134" s="81"/>
      <c r="F3134" s="81"/>
      <c r="G3134" s="81"/>
      <c r="H3134" s="81"/>
      <c r="I3134" s="81"/>
    </row>
    <row r="3135">
      <c r="D3135" s="81"/>
      <c r="E3135" s="81"/>
      <c r="F3135" s="81"/>
      <c r="G3135" s="81"/>
      <c r="H3135" s="81"/>
      <c r="I3135" s="81"/>
    </row>
    <row r="3136">
      <c r="D3136" s="81"/>
      <c r="E3136" s="81"/>
      <c r="F3136" s="81"/>
      <c r="G3136" s="81"/>
      <c r="H3136" s="81"/>
      <c r="I3136" s="81"/>
    </row>
    <row r="3137">
      <c r="D3137" s="81"/>
      <c r="E3137" s="81"/>
      <c r="F3137" s="81"/>
      <c r="G3137" s="81"/>
      <c r="H3137" s="81"/>
      <c r="I3137" s="81"/>
    </row>
    <row r="3138">
      <c r="D3138" s="81"/>
      <c r="E3138" s="81"/>
      <c r="F3138" s="81"/>
      <c r="G3138" s="81"/>
      <c r="H3138" s="81"/>
      <c r="I3138" s="81"/>
    </row>
    <row r="3139">
      <c r="D3139" s="81"/>
      <c r="E3139" s="81"/>
      <c r="F3139" s="81"/>
      <c r="G3139" s="81"/>
      <c r="H3139" s="81"/>
      <c r="I3139" s="81"/>
    </row>
    <row r="3140">
      <c r="D3140" s="81"/>
      <c r="E3140" s="81"/>
      <c r="F3140" s="81"/>
      <c r="G3140" s="81"/>
      <c r="H3140" s="81"/>
      <c r="I3140" s="81"/>
    </row>
    <row r="3141">
      <c r="D3141" s="81"/>
      <c r="E3141" s="81"/>
      <c r="F3141" s="81"/>
      <c r="G3141" s="81"/>
      <c r="H3141" s="81"/>
      <c r="I3141" s="81"/>
    </row>
    <row r="3142">
      <c r="D3142" s="81"/>
      <c r="E3142" s="81"/>
      <c r="F3142" s="81"/>
      <c r="G3142" s="81"/>
      <c r="H3142" s="81"/>
      <c r="I3142" s="81"/>
    </row>
    <row r="3143">
      <c r="D3143" s="81"/>
      <c r="E3143" s="81"/>
      <c r="F3143" s="81"/>
      <c r="G3143" s="81"/>
      <c r="H3143" s="81"/>
      <c r="I3143" s="81"/>
    </row>
    <row r="3144">
      <c r="D3144" s="81"/>
      <c r="E3144" s="81"/>
      <c r="F3144" s="81"/>
      <c r="G3144" s="81"/>
      <c r="H3144" s="81"/>
      <c r="I3144" s="81"/>
    </row>
    <row r="3145">
      <c r="D3145" s="81"/>
      <c r="E3145" s="81"/>
      <c r="F3145" s="81"/>
      <c r="G3145" s="81"/>
      <c r="H3145" s="81"/>
      <c r="I3145" s="81"/>
    </row>
    <row r="3146">
      <c r="D3146" s="81"/>
      <c r="E3146" s="81"/>
      <c r="F3146" s="81"/>
      <c r="G3146" s="81"/>
      <c r="H3146" s="81"/>
      <c r="I3146" s="81"/>
    </row>
    <row r="3147">
      <c r="D3147" s="81"/>
      <c r="E3147" s="81"/>
      <c r="F3147" s="81"/>
      <c r="G3147" s="81"/>
      <c r="H3147" s="81"/>
      <c r="I3147" s="81"/>
    </row>
    <row r="3148">
      <c r="D3148" s="81"/>
      <c r="E3148" s="81"/>
      <c r="F3148" s="81"/>
      <c r="G3148" s="81"/>
      <c r="H3148" s="81"/>
      <c r="I3148" s="81"/>
    </row>
    <row r="3149">
      <c r="D3149" s="81"/>
      <c r="E3149" s="81"/>
      <c r="F3149" s="81"/>
      <c r="G3149" s="81"/>
      <c r="H3149" s="81"/>
      <c r="I3149" s="81"/>
    </row>
    <row r="3150">
      <c r="D3150" s="81"/>
      <c r="E3150" s="81"/>
      <c r="F3150" s="81"/>
      <c r="G3150" s="81"/>
      <c r="H3150" s="81"/>
      <c r="I3150" s="81"/>
    </row>
    <row r="3151">
      <c r="D3151" s="81"/>
      <c r="E3151" s="81"/>
      <c r="F3151" s="81"/>
      <c r="G3151" s="81"/>
      <c r="H3151" s="81"/>
      <c r="I3151" s="81"/>
    </row>
    <row r="3152">
      <c r="D3152" s="81"/>
      <c r="E3152" s="81"/>
      <c r="F3152" s="81"/>
      <c r="G3152" s="81"/>
      <c r="H3152" s="81"/>
      <c r="I3152" s="81"/>
    </row>
    <row r="3153">
      <c r="D3153" s="81"/>
      <c r="E3153" s="81"/>
      <c r="F3153" s="81"/>
      <c r="G3153" s="81"/>
      <c r="H3153" s="81"/>
      <c r="I3153" s="81"/>
    </row>
    <row r="3154">
      <c r="D3154" s="81"/>
      <c r="E3154" s="81"/>
      <c r="F3154" s="81"/>
      <c r="G3154" s="81"/>
      <c r="H3154" s="81"/>
      <c r="I3154" s="81"/>
    </row>
    <row r="3155">
      <c r="D3155" s="81"/>
      <c r="E3155" s="81"/>
      <c r="F3155" s="81"/>
      <c r="G3155" s="81"/>
      <c r="H3155" s="81"/>
      <c r="I3155" s="81"/>
    </row>
    <row r="3156">
      <c r="D3156" s="81"/>
      <c r="E3156" s="81"/>
      <c r="F3156" s="81"/>
      <c r="G3156" s="81"/>
      <c r="H3156" s="81"/>
      <c r="I3156" s="81"/>
    </row>
    <row r="3157">
      <c r="D3157" s="81"/>
      <c r="E3157" s="81"/>
      <c r="F3157" s="81"/>
      <c r="G3157" s="81"/>
      <c r="H3157" s="81"/>
      <c r="I3157" s="81"/>
    </row>
    <row r="3158">
      <c r="D3158" s="81"/>
      <c r="E3158" s="81"/>
      <c r="F3158" s="81"/>
      <c r="G3158" s="81"/>
      <c r="H3158" s="81"/>
      <c r="I3158" s="81"/>
    </row>
    <row r="3159">
      <c r="D3159" s="81"/>
      <c r="E3159" s="81"/>
      <c r="F3159" s="81"/>
      <c r="G3159" s="81"/>
      <c r="H3159" s="81"/>
      <c r="I3159" s="81"/>
    </row>
    <row r="3160">
      <c r="D3160" s="81"/>
      <c r="E3160" s="81"/>
      <c r="F3160" s="81"/>
      <c r="G3160" s="81"/>
      <c r="H3160" s="81"/>
      <c r="I3160" s="81"/>
    </row>
    <row r="3161">
      <c r="D3161" s="81"/>
      <c r="E3161" s="81"/>
      <c r="F3161" s="81"/>
      <c r="G3161" s="81"/>
      <c r="H3161" s="81"/>
      <c r="I3161" s="81"/>
    </row>
    <row r="3162">
      <c r="D3162" s="81"/>
      <c r="E3162" s="81"/>
      <c r="F3162" s="81"/>
      <c r="G3162" s="81"/>
      <c r="H3162" s="81"/>
      <c r="I3162" s="81"/>
    </row>
    <row r="3163">
      <c r="D3163" s="81"/>
      <c r="E3163" s="81"/>
      <c r="F3163" s="81"/>
      <c r="G3163" s="81"/>
      <c r="H3163" s="81"/>
      <c r="I3163" s="81"/>
    </row>
    <row r="3164">
      <c r="D3164" s="81"/>
      <c r="E3164" s="81"/>
      <c r="F3164" s="81"/>
      <c r="G3164" s="81"/>
      <c r="H3164" s="81"/>
      <c r="I3164" s="81"/>
    </row>
    <row r="3165">
      <c r="D3165" s="81"/>
      <c r="E3165" s="81"/>
      <c r="F3165" s="81"/>
      <c r="G3165" s="81"/>
      <c r="H3165" s="81"/>
      <c r="I3165" s="81"/>
    </row>
    <row r="3166">
      <c r="D3166" s="81"/>
      <c r="E3166" s="81"/>
      <c r="F3166" s="81"/>
      <c r="G3166" s="81"/>
      <c r="H3166" s="81"/>
      <c r="I3166" s="81"/>
    </row>
    <row r="3167">
      <c r="D3167" s="81"/>
      <c r="E3167" s="81"/>
      <c r="F3167" s="81"/>
      <c r="G3167" s="81"/>
      <c r="H3167" s="81"/>
      <c r="I3167" s="81"/>
    </row>
    <row r="3168">
      <c r="D3168" s="81"/>
      <c r="E3168" s="81"/>
      <c r="F3168" s="81"/>
      <c r="G3168" s="81"/>
      <c r="H3168" s="81"/>
      <c r="I3168" s="81"/>
    </row>
    <row r="3169">
      <c r="D3169" s="81"/>
      <c r="E3169" s="81"/>
      <c r="F3169" s="81"/>
      <c r="G3169" s="81"/>
      <c r="H3169" s="81"/>
      <c r="I3169" s="81"/>
    </row>
    <row r="3170">
      <c r="D3170" s="81"/>
      <c r="E3170" s="81"/>
      <c r="F3170" s="81"/>
      <c r="G3170" s="81"/>
      <c r="H3170" s="81"/>
      <c r="I3170" s="81"/>
    </row>
    <row r="3171">
      <c r="D3171" s="81"/>
      <c r="E3171" s="81"/>
      <c r="F3171" s="81"/>
      <c r="G3171" s="81"/>
      <c r="H3171" s="81"/>
      <c r="I3171" s="81"/>
    </row>
    <row r="3172">
      <c r="D3172" s="81"/>
      <c r="E3172" s="81"/>
      <c r="F3172" s="81"/>
      <c r="G3172" s="81"/>
      <c r="H3172" s="81"/>
      <c r="I3172" s="81"/>
    </row>
    <row r="3173">
      <c r="D3173" s="81"/>
      <c r="E3173" s="81"/>
      <c r="F3173" s="81"/>
      <c r="G3173" s="81"/>
      <c r="H3173" s="81"/>
      <c r="I3173" s="81"/>
    </row>
    <row r="3174">
      <c r="D3174" s="81"/>
      <c r="E3174" s="81"/>
      <c r="F3174" s="81"/>
      <c r="G3174" s="81"/>
      <c r="H3174" s="81"/>
      <c r="I3174" s="81"/>
    </row>
    <row r="3175">
      <c r="D3175" s="81"/>
      <c r="E3175" s="81"/>
      <c r="F3175" s="81"/>
      <c r="G3175" s="81"/>
      <c r="H3175" s="81"/>
      <c r="I3175" s="81"/>
    </row>
    <row r="3176">
      <c r="D3176" s="81"/>
      <c r="E3176" s="81"/>
      <c r="F3176" s="81"/>
      <c r="G3176" s="81"/>
      <c r="H3176" s="81"/>
      <c r="I3176" s="81"/>
    </row>
    <row r="3177">
      <c r="D3177" s="81"/>
      <c r="E3177" s="81"/>
      <c r="F3177" s="81"/>
      <c r="G3177" s="81"/>
      <c r="H3177" s="81"/>
      <c r="I3177" s="81"/>
    </row>
    <row r="3178">
      <c r="D3178" s="81"/>
      <c r="E3178" s="81"/>
      <c r="F3178" s="81"/>
      <c r="G3178" s="81"/>
      <c r="H3178" s="81"/>
      <c r="I3178" s="81"/>
    </row>
    <row r="3179">
      <c r="D3179" s="81"/>
      <c r="E3179" s="81"/>
      <c r="F3179" s="81"/>
      <c r="G3179" s="81"/>
      <c r="H3179" s="81"/>
      <c r="I3179" s="81"/>
    </row>
    <row r="3180">
      <c r="D3180" s="81"/>
      <c r="E3180" s="81"/>
      <c r="F3180" s="81"/>
      <c r="G3180" s="81"/>
      <c r="H3180" s="81"/>
      <c r="I3180" s="81"/>
    </row>
    <row r="3181">
      <c r="D3181" s="81"/>
      <c r="E3181" s="81"/>
      <c r="F3181" s="81"/>
      <c r="G3181" s="81"/>
      <c r="H3181" s="81"/>
      <c r="I3181" s="81"/>
    </row>
    <row r="3182">
      <c r="D3182" s="81"/>
      <c r="E3182" s="81"/>
      <c r="F3182" s="81"/>
      <c r="G3182" s="81"/>
      <c r="H3182" s="81"/>
      <c r="I3182" s="81"/>
    </row>
    <row r="3183">
      <c r="D3183" s="81"/>
      <c r="E3183" s="81"/>
      <c r="F3183" s="81"/>
      <c r="G3183" s="81"/>
      <c r="H3183" s="81"/>
      <c r="I3183" s="81"/>
    </row>
    <row r="3184">
      <c r="D3184" s="81"/>
      <c r="E3184" s="81"/>
      <c r="F3184" s="81"/>
      <c r="G3184" s="81"/>
      <c r="H3184" s="81"/>
      <c r="I3184" s="81"/>
    </row>
    <row r="3185">
      <c r="D3185" s="81"/>
      <c r="E3185" s="81"/>
      <c r="F3185" s="81"/>
      <c r="G3185" s="81"/>
      <c r="H3185" s="81"/>
      <c r="I3185" s="81"/>
    </row>
    <row r="3186">
      <c r="D3186" s="81"/>
      <c r="E3186" s="81"/>
      <c r="F3186" s="81"/>
      <c r="G3186" s="81"/>
      <c r="H3186" s="81"/>
      <c r="I3186" s="81"/>
    </row>
    <row r="3187">
      <c r="D3187" s="81"/>
      <c r="E3187" s="81"/>
      <c r="F3187" s="81"/>
      <c r="G3187" s="81"/>
      <c r="H3187" s="81"/>
      <c r="I3187" s="81"/>
    </row>
    <row r="3188">
      <c r="D3188" s="81"/>
      <c r="E3188" s="81"/>
      <c r="F3188" s="81"/>
      <c r="G3188" s="81"/>
      <c r="H3188" s="81"/>
      <c r="I3188" s="81"/>
    </row>
    <row r="3189">
      <c r="D3189" s="81"/>
      <c r="E3189" s="81"/>
      <c r="F3189" s="81"/>
      <c r="G3189" s="81"/>
      <c r="H3189" s="81"/>
      <c r="I3189" s="81"/>
    </row>
    <row r="3190">
      <c r="D3190" s="81"/>
      <c r="E3190" s="81"/>
      <c r="F3190" s="81"/>
      <c r="G3190" s="81"/>
      <c r="H3190" s="81"/>
      <c r="I3190" s="81"/>
    </row>
    <row r="3191">
      <c r="D3191" s="81"/>
      <c r="E3191" s="81"/>
      <c r="F3191" s="81"/>
      <c r="G3191" s="81"/>
      <c r="H3191" s="81"/>
      <c r="I3191" s="81"/>
    </row>
    <row r="3192">
      <c r="D3192" s="81"/>
      <c r="E3192" s="81"/>
      <c r="F3192" s="81"/>
      <c r="G3192" s="81"/>
      <c r="H3192" s="81"/>
      <c r="I3192" s="81"/>
    </row>
    <row r="3193">
      <c r="D3193" s="81"/>
      <c r="E3193" s="81"/>
      <c r="F3193" s="81"/>
      <c r="G3193" s="81"/>
      <c r="H3193" s="81"/>
      <c r="I3193" s="81"/>
    </row>
    <row r="3194">
      <c r="D3194" s="81"/>
      <c r="E3194" s="81"/>
      <c r="F3194" s="81"/>
      <c r="G3194" s="81"/>
      <c r="H3194" s="81"/>
      <c r="I3194" s="81"/>
    </row>
    <row r="3195">
      <c r="D3195" s="81"/>
      <c r="E3195" s="81"/>
      <c r="F3195" s="81"/>
      <c r="G3195" s="81"/>
      <c r="H3195" s="81"/>
      <c r="I3195" s="81"/>
    </row>
    <row r="3196">
      <c r="D3196" s="81"/>
      <c r="E3196" s="81"/>
      <c r="F3196" s="81"/>
      <c r="G3196" s="81"/>
      <c r="H3196" s="81"/>
      <c r="I3196" s="81"/>
    </row>
    <row r="3197">
      <c r="D3197" s="81"/>
      <c r="E3197" s="81"/>
      <c r="F3197" s="81"/>
      <c r="G3197" s="81"/>
      <c r="H3197" s="81"/>
      <c r="I3197" s="81"/>
    </row>
    <row r="3198">
      <c r="D3198" s="81"/>
      <c r="E3198" s="81"/>
      <c r="F3198" s="81"/>
      <c r="G3198" s="81"/>
      <c r="H3198" s="81"/>
      <c r="I3198" s="81"/>
    </row>
    <row r="3199">
      <c r="D3199" s="81"/>
      <c r="E3199" s="81"/>
      <c r="F3199" s="81"/>
      <c r="G3199" s="81"/>
      <c r="H3199" s="81"/>
      <c r="I3199" s="81"/>
    </row>
    <row r="3200">
      <c r="D3200" s="81"/>
      <c r="E3200" s="81"/>
      <c r="F3200" s="81"/>
      <c r="G3200" s="81"/>
      <c r="H3200" s="81"/>
      <c r="I3200" s="81"/>
    </row>
    <row r="3201">
      <c r="D3201" s="81"/>
      <c r="E3201" s="81"/>
      <c r="F3201" s="81"/>
      <c r="G3201" s="81"/>
      <c r="H3201" s="81"/>
      <c r="I3201" s="81"/>
    </row>
    <row r="3202">
      <c r="D3202" s="81"/>
      <c r="E3202" s="81"/>
      <c r="F3202" s="81"/>
      <c r="G3202" s="81"/>
      <c r="H3202" s="81"/>
      <c r="I3202" s="81"/>
    </row>
    <row r="3203">
      <c r="D3203" s="81"/>
      <c r="E3203" s="81"/>
      <c r="F3203" s="81"/>
      <c r="G3203" s="81"/>
      <c r="H3203" s="81"/>
      <c r="I3203" s="81"/>
    </row>
    <row r="3204">
      <c r="D3204" s="81"/>
      <c r="E3204" s="81"/>
      <c r="F3204" s="81"/>
      <c r="G3204" s="81"/>
      <c r="H3204" s="81"/>
      <c r="I3204" s="81"/>
    </row>
    <row r="3205">
      <c r="D3205" s="81"/>
      <c r="E3205" s="81"/>
      <c r="F3205" s="81"/>
      <c r="G3205" s="81"/>
      <c r="H3205" s="81"/>
      <c r="I3205" s="81"/>
    </row>
    <row r="3206">
      <c r="D3206" s="81"/>
      <c r="E3206" s="81"/>
      <c r="F3206" s="81"/>
      <c r="G3206" s="81"/>
      <c r="H3206" s="81"/>
      <c r="I3206" s="81"/>
    </row>
    <row r="3207">
      <c r="D3207" s="81"/>
      <c r="E3207" s="81"/>
      <c r="F3207" s="81"/>
      <c r="G3207" s="81"/>
      <c r="H3207" s="81"/>
      <c r="I3207" s="81"/>
    </row>
    <row r="3208">
      <c r="D3208" s="81"/>
      <c r="E3208" s="81"/>
      <c r="F3208" s="81"/>
      <c r="G3208" s="81"/>
      <c r="H3208" s="81"/>
      <c r="I3208" s="81"/>
    </row>
    <row r="3209">
      <c r="D3209" s="81"/>
      <c r="E3209" s="81"/>
      <c r="F3209" s="81"/>
      <c r="G3209" s="81"/>
      <c r="H3209" s="81"/>
      <c r="I3209" s="81"/>
    </row>
    <row r="3210">
      <c r="D3210" s="81"/>
      <c r="E3210" s="81"/>
      <c r="F3210" s="81"/>
      <c r="G3210" s="81"/>
      <c r="H3210" s="81"/>
      <c r="I3210" s="81"/>
    </row>
    <row r="3211">
      <c r="D3211" s="81"/>
      <c r="E3211" s="81"/>
      <c r="F3211" s="81"/>
      <c r="G3211" s="81"/>
      <c r="H3211" s="81"/>
      <c r="I3211" s="81"/>
    </row>
    <row r="3212">
      <c r="D3212" s="81"/>
      <c r="E3212" s="81"/>
      <c r="F3212" s="81"/>
      <c r="G3212" s="81"/>
      <c r="H3212" s="81"/>
      <c r="I3212" s="81"/>
    </row>
    <row r="3213">
      <c r="D3213" s="81"/>
      <c r="E3213" s="81"/>
      <c r="F3213" s="81"/>
      <c r="G3213" s="81"/>
      <c r="H3213" s="81"/>
      <c r="I3213" s="81"/>
    </row>
    <row r="3214">
      <c r="D3214" s="81"/>
      <c r="E3214" s="81"/>
      <c r="F3214" s="81"/>
      <c r="G3214" s="81"/>
      <c r="H3214" s="81"/>
      <c r="I3214" s="81"/>
    </row>
    <row r="3215">
      <c r="D3215" s="81"/>
      <c r="E3215" s="81"/>
      <c r="F3215" s="81"/>
      <c r="G3215" s="81"/>
      <c r="H3215" s="81"/>
      <c r="I3215" s="81"/>
    </row>
    <row r="3216">
      <c r="D3216" s="81"/>
      <c r="E3216" s="81"/>
      <c r="F3216" s="81"/>
      <c r="G3216" s="81"/>
      <c r="H3216" s="81"/>
      <c r="I3216" s="81"/>
    </row>
    <row r="3217">
      <c r="D3217" s="81"/>
      <c r="E3217" s="81"/>
      <c r="F3217" s="81"/>
      <c r="G3217" s="81"/>
      <c r="H3217" s="81"/>
      <c r="I3217" s="81"/>
    </row>
    <row r="3218">
      <c r="D3218" s="81"/>
      <c r="E3218" s="81"/>
      <c r="F3218" s="81"/>
      <c r="G3218" s="81"/>
      <c r="H3218" s="81"/>
      <c r="I3218" s="81"/>
    </row>
    <row r="3219">
      <c r="D3219" s="81"/>
      <c r="E3219" s="81"/>
      <c r="F3219" s="81"/>
      <c r="G3219" s="81"/>
      <c r="H3219" s="81"/>
      <c r="I3219" s="81"/>
    </row>
    <row r="3220">
      <c r="D3220" s="81"/>
      <c r="E3220" s="81"/>
      <c r="F3220" s="81"/>
      <c r="G3220" s="81"/>
      <c r="H3220" s="81"/>
      <c r="I3220" s="81"/>
    </row>
    <row r="3221">
      <c r="D3221" s="81"/>
      <c r="E3221" s="81"/>
      <c r="F3221" s="81"/>
      <c r="G3221" s="81"/>
      <c r="H3221" s="81"/>
      <c r="I3221" s="81"/>
    </row>
    <row r="3222">
      <c r="D3222" s="81"/>
      <c r="E3222" s="81"/>
      <c r="F3222" s="81"/>
      <c r="G3222" s="81"/>
      <c r="H3222" s="81"/>
      <c r="I3222" s="81"/>
    </row>
    <row r="3223">
      <c r="D3223" s="81"/>
      <c r="E3223" s="81"/>
      <c r="F3223" s="81"/>
      <c r="G3223" s="81"/>
      <c r="H3223" s="81"/>
      <c r="I3223" s="81"/>
    </row>
    <row r="3224">
      <c r="D3224" s="81"/>
      <c r="E3224" s="81"/>
      <c r="F3224" s="81"/>
      <c r="G3224" s="81"/>
      <c r="H3224" s="81"/>
      <c r="I3224" s="81"/>
    </row>
    <row r="3225">
      <c r="D3225" s="81"/>
      <c r="E3225" s="81"/>
      <c r="F3225" s="81"/>
      <c r="G3225" s="81"/>
      <c r="H3225" s="81"/>
      <c r="I3225" s="81"/>
    </row>
    <row r="3226">
      <c r="D3226" s="81"/>
      <c r="E3226" s="81"/>
      <c r="F3226" s="81"/>
      <c r="G3226" s="81"/>
      <c r="H3226" s="81"/>
      <c r="I3226" s="81"/>
    </row>
    <row r="3227">
      <c r="D3227" s="81"/>
      <c r="E3227" s="81"/>
      <c r="F3227" s="81"/>
      <c r="G3227" s="81"/>
      <c r="H3227" s="81"/>
      <c r="I3227" s="81"/>
    </row>
    <row r="3228">
      <c r="D3228" s="81"/>
      <c r="E3228" s="81"/>
      <c r="F3228" s="81"/>
      <c r="G3228" s="81"/>
      <c r="H3228" s="81"/>
      <c r="I3228" s="81"/>
    </row>
    <row r="3229">
      <c r="D3229" s="81"/>
      <c r="E3229" s="81"/>
      <c r="F3229" s="81"/>
      <c r="G3229" s="81"/>
      <c r="H3229" s="81"/>
      <c r="I3229" s="81"/>
    </row>
    <row r="3230">
      <c r="D3230" s="81"/>
      <c r="E3230" s="81"/>
      <c r="F3230" s="81"/>
      <c r="G3230" s="81"/>
      <c r="H3230" s="81"/>
      <c r="I3230" s="81"/>
    </row>
    <row r="3231">
      <c r="D3231" s="81"/>
      <c r="E3231" s="81"/>
      <c r="F3231" s="81"/>
      <c r="G3231" s="81"/>
      <c r="H3231" s="81"/>
      <c r="I3231" s="81"/>
    </row>
    <row r="3232">
      <c r="D3232" s="81"/>
      <c r="E3232" s="81"/>
      <c r="F3232" s="81"/>
      <c r="G3232" s="81"/>
      <c r="H3232" s="81"/>
      <c r="I3232" s="81"/>
    </row>
    <row r="3233">
      <c r="D3233" s="81"/>
      <c r="E3233" s="81"/>
      <c r="F3233" s="81"/>
      <c r="G3233" s="81"/>
      <c r="H3233" s="81"/>
      <c r="I3233" s="81"/>
    </row>
    <row r="3234">
      <c r="D3234" s="81"/>
      <c r="E3234" s="81"/>
      <c r="F3234" s="81"/>
      <c r="G3234" s="81"/>
      <c r="H3234" s="81"/>
      <c r="I3234" s="81"/>
    </row>
    <row r="3235">
      <c r="D3235" s="81"/>
      <c r="E3235" s="81"/>
      <c r="F3235" s="81"/>
      <c r="G3235" s="81"/>
      <c r="H3235" s="81"/>
      <c r="I3235" s="81"/>
    </row>
    <row r="3236">
      <c r="D3236" s="81"/>
      <c r="E3236" s="81"/>
      <c r="F3236" s="81"/>
      <c r="G3236" s="81"/>
      <c r="H3236" s="81"/>
      <c r="I3236" s="81"/>
    </row>
    <row r="3237">
      <c r="D3237" s="81"/>
      <c r="E3237" s="81"/>
      <c r="F3237" s="81"/>
      <c r="G3237" s="81"/>
      <c r="H3237" s="81"/>
      <c r="I3237" s="81"/>
    </row>
    <row r="3238">
      <c r="D3238" s="81"/>
      <c r="E3238" s="81"/>
      <c r="F3238" s="81"/>
      <c r="G3238" s="81"/>
      <c r="H3238" s="81"/>
      <c r="I3238" s="81"/>
    </row>
    <row r="3239">
      <c r="D3239" s="81"/>
      <c r="E3239" s="81"/>
      <c r="F3239" s="81"/>
      <c r="G3239" s="81"/>
      <c r="H3239" s="81"/>
      <c r="I3239" s="81"/>
    </row>
    <row r="3240">
      <c r="D3240" s="81"/>
      <c r="E3240" s="81"/>
      <c r="F3240" s="81"/>
      <c r="G3240" s="81"/>
      <c r="H3240" s="81"/>
      <c r="I3240" s="81"/>
    </row>
    <row r="3241">
      <c r="D3241" s="81"/>
      <c r="E3241" s="81"/>
      <c r="F3241" s="81"/>
      <c r="G3241" s="81"/>
      <c r="H3241" s="81"/>
      <c r="I3241" s="81"/>
    </row>
    <row r="3242">
      <c r="D3242" s="81"/>
      <c r="E3242" s="81"/>
      <c r="F3242" s="81"/>
      <c r="G3242" s="81"/>
      <c r="H3242" s="81"/>
      <c r="I3242" s="81"/>
    </row>
    <row r="3243">
      <c r="D3243" s="81"/>
      <c r="E3243" s="81"/>
      <c r="F3243" s="81"/>
      <c r="G3243" s="81"/>
      <c r="H3243" s="81"/>
      <c r="I3243" s="81"/>
    </row>
    <row r="3244">
      <c r="D3244" s="81"/>
      <c r="E3244" s="81"/>
      <c r="F3244" s="81"/>
      <c r="G3244" s="81"/>
      <c r="H3244" s="81"/>
      <c r="I3244" s="81"/>
    </row>
    <row r="3245">
      <c r="D3245" s="81"/>
      <c r="E3245" s="81"/>
      <c r="F3245" s="81"/>
      <c r="G3245" s="81"/>
      <c r="H3245" s="81"/>
      <c r="I3245" s="81"/>
    </row>
    <row r="3246">
      <c r="D3246" s="81"/>
      <c r="E3246" s="81"/>
      <c r="F3246" s="81"/>
      <c r="G3246" s="81"/>
      <c r="H3246" s="81"/>
      <c r="I3246" s="81"/>
    </row>
    <row r="3247">
      <c r="D3247" s="81"/>
      <c r="E3247" s="81"/>
      <c r="F3247" s="81"/>
      <c r="G3247" s="81"/>
      <c r="H3247" s="81"/>
      <c r="I3247" s="81"/>
    </row>
    <row r="3248">
      <c r="D3248" s="81"/>
      <c r="E3248" s="81"/>
      <c r="F3248" s="81"/>
      <c r="G3248" s="81"/>
      <c r="H3248" s="81"/>
      <c r="I3248" s="81"/>
    </row>
    <row r="3249">
      <c r="D3249" s="81"/>
      <c r="E3249" s="81"/>
      <c r="F3249" s="81"/>
      <c r="G3249" s="81"/>
      <c r="H3249" s="81"/>
      <c r="I3249" s="81"/>
    </row>
    <row r="3250">
      <c r="D3250" s="81"/>
      <c r="E3250" s="81"/>
      <c r="F3250" s="81"/>
      <c r="G3250" s="81"/>
      <c r="H3250" s="81"/>
      <c r="I3250" s="81"/>
    </row>
    <row r="3251">
      <c r="D3251" s="81"/>
      <c r="E3251" s="81"/>
      <c r="F3251" s="81"/>
      <c r="G3251" s="81"/>
      <c r="H3251" s="81"/>
      <c r="I3251" s="81"/>
    </row>
    <row r="3252">
      <c r="D3252" s="81"/>
      <c r="E3252" s="81"/>
      <c r="F3252" s="81"/>
      <c r="G3252" s="81"/>
      <c r="H3252" s="81"/>
      <c r="I3252" s="81"/>
    </row>
    <row r="3253">
      <c r="D3253" s="81"/>
      <c r="E3253" s="81"/>
      <c r="F3253" s="81"/>
      <c r="G3253" s="81"/>
      <c r="H3253" s="81"/>
      <c r="I3253" s="81"/>
    </row>
    <row r="3254">
      <c r="D3254" s="81"/>
      <c r="E3254" s="81"/>
      <c r="F3254" s="81"/>
      <c r="G3254" s="81"/>
      <c r="H3254" s="81"/>
      <c r="I3254" s="81"/>
    </row>
    <row r="3255">
      <c r="D3255" s="81"/>
      <c r="E3255" s="81"/>
      <c r="F3255" s="81"/>
      <c r="G3255" s="81"/>
      <c r="H3255" s="81"/>
      <c r="I3255" s="81"/>
    </row>
    <row r="3256">
      <c r="D3256" s="81"/>
      <c r="E3256" s="81"/>
      <c r="F3256" s="81"/>
      <c r="G3256" s="81"/>
      <c r="H3256" s="81"/>
      <c r="I3256" s="81"/>
    </row>
    <row r="3257">
      <c r="D3257" s="81"/>
      <c r="E3257" s="81"/>
      <c r="F3257" s="81"/>
      <c r="G3257" s="81"/>
      <c r="H3257" s="81"/>
      <c r="I3257" s="81"/>
    </row>
    <row r="3258">
      <c r="D3258" s="81"/>
      <c r="E3258" s="81"/>
      <c r="F3258" s="81"/>
      <c r="G3258" s="81"/>
      <c r="H3258" s="81"/>
      <c r="I3258" s="81"/>
    </row>
    <row r="3259">
      <c r="D3259" s="81"/>
      <c r="E3259" s="81"/>
      <c r="F3259" s="81"/>
      <c r="G3259" s="81"/>
      <c r="H3259" s="81"/>
      <c r="I3259" s="81"/>
    </row>
    <row r="3260">
      <c r="D3260" s="81"/>
      <c r="E3260" s="81"/>
      <c r="F3260" s="81"/>
      <c r="G3260" s="81"/>
      <c r="H3260" s="81"/>
      <c r="I3260" s="81"/>
    </row>
    <row r="3261">
      <c r="D3261" s="81"/>
      <c r="E3261" s="81"/>
      <c r="F3261" s="81"/>
      <c r="G3261" s="81"/>
      <c r="H3261" s="81"/>
      <c r="I3261" s="81"/>
    </row>
    <row r="3262">
      <c r="D3262" s="81"/>
      <c r="E3262" s="81"/>
      <c r="F3262" s="81"/>
      <c r="G3262" s="81"/>
      <c r="H3262" s="81"/>
      <c r="I3262" s="81"/>
    </row>
    <row r="3263">
      <c r="D3263" s="81"/>
      <c r="E3263" s="81"/>
      <c r="F3263" s="81"/>
      <c r="G3263" s="81"/>
      <c r="H3263" s="81"/>
      <c r="I3263" s="81"/>
    </row>
    <row r="3264">
      <c r="D3264" s="81"/>
      <c r="E3264" s="81"/>
      <c r="F3264" s="81"/>
      <c r="G3264" s="81"/>
      <c r="H3264" s="81"/>
      <c r="I3264" s="81"/>
    </row>
    <row r="3265">
      <c r="D3265" s="81"/>
      <c r="E3265" s="81"/>
      <c r="F3265" s="81"/>
      <c r="G3265" s="81"/>
      <c r="H3265" s="81"/>
      <c r="I3265" s="81"/>
    </row>
    <row r="3266">
      <c r="D3266" s="81"/>
      <c r="E3266" s="81"/>
      <c r="F3266" s="81"/>
      <c r="G3266" s="81"/>
      <c r="H3266" s="81"/>
      <c r="I3266" s="81"/>
    </row>
    <row r="3267">
      <c r="D3267" s="81"/>
      <c r="E3267" s="81"/>
      <c r="F3267" s="81"/>
      <c r="G3267" s="81"/>
      <c r="H3267" s="81"/>
      <c r="I3267" s="81"/>
    </row>
    <row r="3268">
      <c r="D3268" s="81"/>
      <c r="E3268" s="81"/>
      <c r="F3268" s="81"/>
      <c r="G3268" s="81"/>
      <c r="H3268" s="81"/>
      <c r="I3268" s="81"/>
    </row>
    <row r="3269">
      <c r="D3269" s="81"/>
      <c r="E3269" s="81"/>
      <c r="F3269" s="81"/>
      <c r="G3269" s="81"/>
      <c r="H3269" s="81"/>
      <c r="I3269" s="81"/>
    </row>
    <row r="3270">
      <c r="D3270" s="81"/>
      <c r="E3270" s="81"/>
      <c r="F3270" s="81"/>
      <c r="G3270" s="81"/>
      <c r="H3270" s="81"/>
      <c r="I3270" s="81"/>
    </row>
    <row r="3271">
      <c r="D3271" s="81"/>
      <c r="E3271" s="81"/>
      <c r="F3271" s="81"/>
      <c r="G3271" s="81"/>
      <c r="H3271" s="81"/>
      <c r="I3271" s="81"/>
    </row>
    <row r="3272">
      <c r="D3272" s="81"/>
      <c r="E3272" s="81"/>
      <c r="F3272" s="81"/>
      <c r="G3272" s="81"/>
      <c r="H3272" s="81"/>
      <c r="I3272" s="81"/>
    </row>
    <row r="3273">
      <c r="D3273" s="81"/>
      <c r="E3273" s="81"/>
      <c r="F3273" s="81"/>
      <c r="G3273" s="81"/>
      <c r="H3273" s="81"/>
      <c r="I3273" s="81"/>
    </row>
    <row r="3274">
      <c r="D3274" s="81"/>
      <c r="E3274" s="81"/>
      <c r="F3274" s="81"/>
      <c r="G3274" s="81"/>
      <c r="H3274" s="81"/>
      <c r="I3274" s="81"/>
    </row>
    <row r="3275">
      <c r="D3275" s="81"/>
      <c r="E3275" s="81"/>
      <c r="F3275" s="81"/>
      <c r="G3275" s="81"/>
      <c r="H3275" s="81"/>
      <c r="I3275" s="81"/>
    </row>
    <row r="3276">
      <c r="D3276" s="81"/>
      <c r="E3276" s="81"/>
      <c r="F3276" s="81"/>
      <c r="G3276" s="81"/>
      <c r="H3276" s="81"/>
      <c r="I3276" s="81"/>
    </row>
    <row r="3277">
      <c r="D3277" s="81"/>
      <c r="E3277" s="81"/>
      <c r="F3277" s="81"/>
      <c r="G3277" s="81"/>
      <c r="H3277" s="81"/>
      <c r="I3277" s="81"/>
    </row>
    <row r="3278">
      <c r="D3278" s="81"/>
      <c r="E3278" s="81"/>
      <c r="F3278" s="81"/>
      <c r="G3278" s="81"/>
      <c r="H3278" s="81"/>
      <c r="I3278" s="81"/>
    </row>
    <row r="3279">
      <c r="D3279" s="81"/>
      <c r="E3279" s="81"/>
      <c r="F3279" s="81"/>
      <c r="G3279" s="81"/>
      <c r="H3279" s="81"/>
      <c r="I3279" s="81"/>
    </row>
    <row r="3280">
      <c r="D3280" s="81"/>
      <c r="E3280" s="81"/>
      <c r="F3280" s="81"/>
      <c r="G3280" s="81"/>
      <c r="H3280" s="81"/>
      <c r="I3280" s="81"/>
    </row>
    <row r="3281">
      <c r="D3281" s="81"/>
      <c r="E3281" s="81"/>
      <c r="F3281" s="81"/>
      <c r="G3281" s="81"/>
      <c r="H3281" s="81"/>
      <c r="I3281" s="81"/>
    </row>
    <row r="3282">
      <c r="D3282" s="81"/>
      <c r="E3282" s="81"/>
      <c r="F3282" s="81"/>
      <c r="G3282" s="81"/>
      <c r="H3282" s="81"/>
      <c r="I3282" s="81"/>
    </row>
    <row r="3283">
      <c r="D3283" s="81"/>
      <c r="E3283" s="81"/>
      <c r="F3283" s="81"/>
      <c r="G3283" s="81"/>
      <c r="H3283" s="81"/>
      <c r="I3283" s="81"/>
    </row>
    <row r="3284">
      <c r="D3284" s="81"/>
      <c r="E3284" s="81"/>
      <c r="F3284" s="81"/>
      <c r="G3284" s="81"/>
      <c r="H3284" s="81"/>
      <c r="I3284" s="81"/>
    </row>
    <row r="3285">
      <c r="D3285" s="81"/>
      <c r="E3285" s="81"/>
      <c r="F3285" s="81"/>
      <c r="G3285" s="81"/>
      <c r="H3285" s="81"/>
      <c r="I3285" s="81"/>
    </row>
    <row r="3286">
      <c r="D3286" s="81"/>
      <c r="E3286" s="81"/>
      <c r="F3286" s="81"/>
      <c r="G3286" s="81"/>
      <c r="H3286" s="81"/>
      <c r="I3286" s="81"/>
    </row>
    <row r="3287">
      <c r="D3287" s="81"/>
      <c r="E3287" s="81"/>
      <c r="F3287" s="81"/>
      <c r="G3287" s="81"/>
      <c r="H3287" s="81"/>
      <c r="I3287" s="81"/>
    </row>
    <row r="3288">
      <c r="D3288" s="81"/>
      <c r="E3288" s="81"/>
      <c r="F3288" s="81"/>
      <c r="G3288" s="81"/>
      <c r="H3288" s="81"/>
      <c r="I3288" s="81"/>
    </row>
    <row r="3289">
      <c r="D3289" s="81"/>
      <c r="E3289" s="81"/>
      <c r="F3289" s="81"/>
      <c r="G3289" s="81"/>
      <c r="H3289" s="81"/>
      <c r="I3289" s="81"/>
    </row>
    <row r="3290">
      <c r="D3290" s="81"/>
      <c r="E3290" s="81"/>
      <c r="F3290" s="81"/>
      <c r="G3290" s="81"/>
      <c r="H3290" s="81"/>
      <c r="I3290" s="81"/>
    </row>
    <row r="3291">
      <c r="D3291" s="81"/>
      <c r="E3291" s="81"/>
      <c r="F3291" s="81"/>
      <c r="G3291" s="81"/>
      <c r="H3291" s="81"/>
      <c r="I3291" s="81"/>
    </row>
    <row r="3292">
      <c r="D3292" s="81"/>
      <c r="E3292" s="81"/>
      <c r="F3292" s="81"/>
      <c r="G3292" s="81"/>
      <c r="H3292" s="81"/>
      <c r="I3292" s="81"/>
    </row>
    <row r="3293">
      <c r="D3293" s="81"/>
      <c r="E3293" s="81"/>
      <c r="F3293" s="81"/>
      <c r="G3293" s="81"/>
      <c r="H3293" s="81"/>
      <c r="I3293" s="81"/>
    </row>
    <row r="3294">
      <c r="D3294" s="81"/>
      <c r="E3294" s="81"/>
      <c r="F3294" s="81"/>
      <c r="G3294" s="81"/>
      <c r="H3294" s="81"/>
      <c r="I3294" s="81"/>
    </row>
    <row r="3295">
      <c r="D3295" s="81"/>
      <c r="E3295" s="81"/>
      <c r="F3295" s="81"/>
      <c r="G3295" s="81"/>
      <c r="H3295" s="81"/>
      <c r="I3295" s="81"/>
    </row>
    <row r="3296">
      <c r="D3296" s="81"/>
      <c r="E3296" s="81"/>
      <c r="F3296" s="81"/>
      <c r="G3296" s="81"/>
      <c r="H3296" s="81"/>
      <c r="I3296" s="81"/>
    </row>
    <row r="3297">
      <c r="D3297" s="81"/>
      <c r="E3297" s="81"/>
      <c r="F3297" s="81"/>
      <c r="G3297" s="81"/>
      <c r="H3297" s="81"/>
      <c r="I3297" s="81"/>
    </row>
    <row r="3298">
      <c r="D3298" s="81"/>
      <c r="E3298" s="81"/>
      <c r="F3298" s="81"/>
      <c r="G3298" s="81"/>
      <c r="H3298" s="81"/>
      <c r="I3298" s="81"/>
    </row>
    <row r="3299">
      <c r="D3299" s="81"/>
      <c r="E3299" s="81"/>
      <c r="F3299" s="81"/>
      <c r="G3299" s="81"/>
      <c r="H3299" s="81"/>
      <c r="I3299" s="81"/>
    </row>
    <row r="3300">
      <c r="D3300" s="81"/>
      <c r="E3300" s="81"/>
      <c r="F3300" s="81"/>
      <c r="G3300" s="81"/>
      <c r="H3300" s="81"/>
      <c r="I3300" s="81"/>
    </row>
    <row r="3301">
      <c r="D3301" s="81"/>
      <c r="E3301" s="81"/>
      <c r="F3301" s="81"/>
      <c r="G3301" s="81"/>
      <c r="H3301" s="81"/>
      <c r="I3301" s="81"/>
    </row>
    <row r="3302">
      <c r="D3302" s="81"/>
      <c r="E3302" s="81"/>
      <c r="F3302" s="81"/>
      <c r="G3302" s="81"/>
      <c r="H3302" s="81"/>
      <c r="I3302" s="81"/>
    </row>
    <row r="3303">
      <c r="D3303" s="81"/>
      <c r="E3303" s="81"/>
      <c r="F3303" s="81"/>
      <c r="G3303" s="81"/>
      <c r="H3303" s="81"/>
      <c r="I3303" s="81"/>
    </row>
    <row r="3304">
      <c r="D3304" s="81"/>
      <c r="E3304" s="81"/>
      <c r="F3304" s="81"/>
      <c r="G3304" s="81"/>
      <c r="H3304" s="81"/>
      <c r="I3304" s="81"/>
    </row>
    <row r="3305">
      <c r="D3305" s="81"/>
      <c r="E3305" s="81"/>
      <c r="F3305" s="81"/>
      <c r="G3305" s="81"/>
      <c r="H3305" s="81"/>
      <c r="I3305" s="81"/>
    </row>
    <row r="3306">
      <c r="D3306" s="81"/>
      <c r="E3306" s="81"/>
      <c r="F3306" s="81"/>
      <c r="G3306" s="81"/>
      <c r="H3306" s="81"/>
      <c r="I3306" s="81"/>
    </row>
    <row r="3307">
      <c r="D3307" s="81"/>
      <c r="E3307" s="81"/>
      <c r="F3307" s="81"/>
      <c r="G3307" s="81"/>
      <c r="H3307" s="81"/>
      <c r="I3307" s="81"/>
    </row>
    <row r="3308">
      <c r="D3308" s="81"/>
      <c r="E3308" s="81"/>
      <c r="F3308" s="81"/>
      <c r="G3308" s="81"/>
      <c r="H3308" s="81"/>
      <c r="I3308" s="81"/>
    </row>
    <row r="3309">
      <c r="D3309" s="81"/>
      <c r="E3309" s="81"/>
      <c r="F3309" s="81"/>
      <c r="G3309" s="81"/>
      <c r="H3309" s="81"/>
      <c r="I3309" s="81"/>
    </row>
    <row r="3310">
      <c r="D3310" s="81"/>
      <c r="E3310" s="81"/>
      <c r="F3310" s="81"/>
      <c r="G3310" s="81"/>
      <c r="H3310" s="81"/>
      <c r="I3310" s="81"/>
    </row>
    <row r="3311">
      <c r="D3311" s="81"/>
      <c r="E3311" s="81"/>
      <c r="F3311" s="81"/>
      <c r="G3311" s="81"/>
      <c r="H3311" s="81"/>
      <c r="I3311" s="81"/>
    </row>
    <row r="3312">
      <c r="D3312" s="81"/>
      <c r="E3312" s="81"/>
      <c r="F3312" s="81"/>
      <c r="G3312" s="81"/>
      <c r="H3312" s="81"/>
      <c r="I3312" s="81"/>
    </row>
    <row r="3313">
      <c r="D3313" s="81"/>
      <c r="E3313" s="81"/>
      <c r="F3313" s="81"/>
      <c r="G3313" s="81"/>
      <c r="H3313" s="81"/>
      <c r="I3313" s="81"/>
    </row>
    <row r="3314">
      <c r="D3314" s="81"/>
      <c r="E3314" s="81"/>
      <c r="F3314" s="81"/>
      <c r="G3314" s="81"/>
      <c r="H3314" s="81"/>
      <c r="I3314" s="81"/>
    </row>
    <row r="3315">
      <c r="D3315" s="81"/>
      <c r="E3315" s="81"/>
      <c r="F3315" s="81"/>
      <c r="G3315" s="81"/>
      <c r="H3315" s="81"/>
      <c r="I3315" s="81"/>
    </row>
    <row r="3316">
      <c r="D3316" s="81"/>
      <c r="E3316" s="81"/>
      <c r="F3316" s="81"/>
      <c r="G3316" s="81"/>
      <c r="H3316" s="81"/>
      <c r="I3316" s="81"/>
    </row>
    <row r="3317">
      <c r="D3317" s="81"/>
      <c r="E3317" s="81"/>
      <c r="F3317" s="81"/>
      <c r="G3317" s="81"/>
      <c r="H3317" s="81"/>
      <c r="I3317" s="81"/>
    </row>
    <row r="3318">
      <c r="D3318" s="81"/>
      <c r="E3318" s="81"/>
      <c r="F3318" s="81"/>
      <c r="G3318" s="81"/>
      <c r="H3318" s="81"/>
      <c r="I3318" s="81"/>
    </row>
    <row r="3319">
      <c r="D3319" s="81"/>
      <c r="E3319" s="81"/>
      <c r="F3319" s="81"/>
      <c r="G3319" s="81"/>
      <c r="H3319" s="81"/>
      <c r="I3319" s="81"/>
    </row>
    <row r="3320">
      <c r="D3320" s="81"/>
      <c r="E3320" s="81"/>
      <c r="F3320" s="81"/>
      <c r="G3320" s="81"/>
      <c r="H3320" s="81"/>
      <c r="I3320" s="81"/>
    </row>
    <row r="3321">
      <c r="D3321" s="81"/>
      <c r="E3321" s="81"/>
      <c r="F3321" s="81"/>
      <c r="G3321" s="81"/>
      <c r="H3321" s="81"/>
      <c r="I3321" s="81"/>
    </row>
    <row r="3322">
      <c r="D3322" s="81"/>
      <c r="E3322" s="81"/>
      <c r="F3322" s="81"/>
      <c r="G3322" s="81"/>
      <c r="H3322" s="81"/>
      <c r="I3322" s="81"/>
    </row>
    <row r="3323">
      <c r="D3323" s="81"/>
      <c r="E3323" s="81"/>
      <c r="F3323" s="81"/>
      <c r="G3323" s="81"/>
      <c r="H3323" s="81"/>
      <c r="I3323" s="81"/>
    </row>
    <row r="3324">
      <c r="D3324" s="81"/>
      <c r="E3324" s="81"/>
      <c r="F3324" s="81"/>
      <c r="G3324" s="81"/>
      <c r="H3324" s="81"/>
      <c r="I3324" s="81"/>
    </row>
    <row r="3325">
      <c r="D3325" s="81"/>
      <c r="E3325" s="81"/>
      <c r="F3325" s="81"/>
      <c r="G3325" s="81"/>
      <c r="H3325" s="81"/>
      <c r="I3325" s="81"/>
    </row>
    <row r="3326">
      <c r="D3326" s="81"/>
      <c r="E3326" s="81"/>
      <c r="F3326" s="81"/>
      <c r="G3326" s="81"/>
      <c r="H3326" s="81"/>
      <c r="I3326" s="81"/>
    </row>
    <row r="3327">
      <c r="D3327" s="81"/>
      <c r="E3327" s="81"/>
      <c r="F3327" s="81"/>
      <c r="G3327" s="81"/>
      <c r="H3327" s="81"/>
      <c r="I3327" s="81"/>
    </row>
    <row r="3328">
      <c r="D3328" s="81"/>
      <c r="E3328" s="81"/>
      <c r="F3328" s="81"/>
      <c r="G3328" s="81"/>
      <c r="H3328" s="81"/>
      <c r="I3328" s="81"/>
    </row>
    <row r="3329">
      <c r="D3329" s="81"/>
      <c r="E3329" s="81"/>
      <c r="F3329" s="81"/>
      <c r="G3329" s="81"/>
      <c r="H3329" s="81"/>
      <c r="I3329" s="81"/>
    </row>
    <row r="3330">
      <c r="D3330" s="81"/>
      <c r="E3330" s="81"/>
      <c r="F3330" s="81"/>
      <c r="G3330" s="81"/>
      <c r="H3330" s="81"/>
      <c r="I3330" s="81"/>
    </row>
    <row r="3331">
      <c r="D3331" s="81"/>
      <c r="E3331" s="81"/>
      <c r="F3331" s="81"/>
      <c r="G3331" s="81"/>
      <c r="H3331" s="81"/>
      <c r="I3331" s="81"/>
    </row>
    <row r="3332">
      <c r="D3332" s="81"/>
      <c r="E3332" s="81"/>
      <c r="F3332" s="81"/>
      <c r="G3332" s="81"/>
      <c r="H3332" s="81"/>
      <c r="I3332" s="81"/>
    </row>
    <row r="3333">
      <c r="D3333" s="81"/>
      <c r="E3333" s="81"/>
      <c r="F3333" s="81"/>
      <c r="G3333" s="81"/>
      <c r="H3333" s="81"/>
      <c r="I3333" s="81"/>
    </row>
    <row r="3334">
      <c r="D3334" s="81"/>
      <c r="E3334" s="81"/>
      <c r="F3334" s="81"/>
      <c r="G3334" s="81"/>
      <c r="H3334" s="81"/>
      <c r="I3334" s="81"/>
    </row>
    <row r="3335">
      <c r="D3335" s="81"/>
      <c r="E3335" s="81"/>
      <c r="F3335" s="81"/>
      <c r="G3335" s="81"/>
      <c r="H3335" s="81"/>
      <c r="I3335" s="81"/>
    </row>
    <row r="3336">
      <c r="D3336" s="81"/>
      <c r="E3336" s="81"/>
      <c r="F3336" s="81"/>
      <c r="G3336" s="81"/>
      <c r="H3336" s="81"/>
      <c r="I3336" s="81"/>
    </row>
    <row r="3337">
      <c r="D3337" s="81"/>
      <c r="E3337" s="81"/>
      <c r="F3337" s="81"/>
      <c r="G3337" s="81"/>
      <c r="H3337" s="81"/>
      <c r="I3337" s="81"/>
    </row>
    <row r="3338">
      <c r="D3338" s="81"/>
      <c r="E3338" s="81"/>
      <c r="F3338" s="81"/>
      <c r="G3338" s="81"/>
      <c r="H3338" s="81"/>
      <c r="I3338" s="81"/>
    </row>
    <row r="3339">
      <c r="D3339" s="81"/>
      <c r="E3339" s="81"/>
      <c r="F3339" s="81"/>
      <c r="G3339" s="81"/>
      <c r="H3339" s="81"/>
      <c r="I3339" s="81"/>
    </row>
    <row r="3340">
      <c r="D3340" s="81"/>
      <c r="E3340" s="81"/>
      <c r="F3340" s="81"/>
      <c r="G3340" s="81"/>
      <c r="H3340" s="81"/>
      <c r="I3340" s="81"/>
    </row>
    <row r="3341">
      <c r="D3341" s="81"/>
      <c r="E3341" s="81"/>
      <c r="F3341" s="81"/>
      <c r="G3341" s="81"/>
      <c r="H3341" s="81"/>
      <c r="I3341" s="81"/>
    </row>
    <row r="3342">
      <c r="D3342" s="81"/>
      <c r="E3342" s="81"/>
      <c r="F3342" s="81"/>
      <c r="G3342" s="81"/>
      <c r="H3342" s="81"/>
      <c r="I3342" s="81"/>
    </row>
    <row r="3343">
      <c r="D3343" s="81"/>
      <c r="E3343" s="81"/>
      <c r="F3343" s="81"/>
      <c r="G3343" s="81"/>
      <c r="H3343" s="81"/>
      <c r="I3343" s="81"/>
    </row>
    <row r="3344">
      <c r="D3344" s="81"/>
      <c r="E3344" s="81"/>
      <c r="F3344" s="81"/>
      <c r="G3344" s="81"/>
      <c r="H3344" s="81"/>
      <c r="I3344" s="81"/>
    </row>
    <row r="3345">
      <c r="D3345" s="81"/>
      <c r="E3345" s="81"/>
      <c r="F3345" s="81"/>
      <c r="G3345" s="81"/>
      <c r="H3345" s="81"/>
      <c r="I3345" s="81"/>
    </row>
    <row r="3346">
      <c r="D3346" s="81"/>
      <c r="E3346" s="81"/>
      <c r="F3346" s="81"/>
      <c r="G3346" s="81"/>
      <c r="H3346" s="81"/>
      <c r="I3346" s="81"/>
    </row>
    <row r="3347">
      <c r="D3347" s="81"/>
      <c r="E3347" s="81"/>
      <c r="F3347" s="81"/>
      <c r="G3347" s="81"/>
      <c r="H3347" s="81"/>
      <c r="I3347" s="81"/>
    </row>
    <row r="3348">
      <c r="D3348" s="81"/>
      <c r="E3348" s="81"/>
      <c r="F3348" s="81"/>
      <c r="G3348" s="81"/>
      <c r="H3348" s="81"/>
      <c r="I3348" s="81"/>
    </row>
    <row r="3349">
      <c r="D3349" s="81"/>
      <c r="E3349" s="81"/>
      <c r="F3349" s="81"/>
      <c r="G3349" s="81"/>
      <c r="H3349" s="81"/>
      <c r="I3349" s="81"/>
    </row>
    <row r="3350">
      <c r="D3350" s="81"/>
      <c r="E3350" s="81"/>
      <c r="F3350" s="81"/>
      <c r="G3350" s="81"/>
      <c r="H3350" s="81"/>
      <c r="I3350" s="81"/>
    </row>
    <row r="3351">
      <c r="D3351" s="81"/>
      <c r="E3351" s="81"/>
      <c r="F3351" s="81"/>
      <c r="G3351" s="81"/>
      <c r="H3351" s="81"/>
      <c r="I3351" s="81"/>
    </row>
    <row r="3352">
      <c r="D3352" s="81"/>
      <c r="E3352" s="81"/>
      <c r="F3352" s="81"/>
      <c r="G3352" s="81"/>
      <c r="H3352" s="81"/>
      <c r="I3352" s="81"/>
    </row>
    <row r="3353">
      <c r="D3353" s="81"/>
      <c r="E3353" s="81"/>
      <c r="F3353" s="81"/>
      <c r="G3353" s="81"/>
      <c r="H3353" s="81"/>
      <c r="I3353" s="81"/>
    </row>
    <row r="3354">
      <c r="D3354" s="81"/>
      <c r="E3354" s="81"/>
      <c r="F3354" s="81"/>
      <c r="G3354" s="81"/>
      <c r="H3354" s="81"/>
      <c r="I3354" s="81"/>
    </row>
    <row r="3355">
      <c r="D3355" s="81"/>
      <c r="E3355" s="81"/>
      <c r="F3355" s="81"/>
      <c r="G3355" s="81"/>
      <c r="H3355" s="81"/>
      <c r="I3355" s="81"/>
    </row>
    <row r="3356">
      <c r="D3356" s="81"/>
      <c r="E3356" s="81"/>
      <c r="F3356" s="81"/>
      <c r="G3356" s="81"/>
      <c r="H3356" s="81"/>
      <c r="I3356" s="81"/>
    </row>
    <row r="3357">
      <c r="D3357" s="81"/>
      <c r="E3357" s="81"/>
      <c r="F3357" s="81"/>
      <c r="G3357" s="81"/>
      <c r="H3357" s="81"/>
      <c r="I3357" s="81"/>
    </row>
    <row r="3358">
      <c r="D3358" s="81"/>
      <c r="E3358" s="81"/>
      <c r="F3358" s="81"/>
      <c r="G3358" s="81"/>
      <c r="H3358" s="81"/>
      <c r="I3358" s="81"/>
    </row>
    <row r="3359">
      <c r="D3359" s="81"/>
      <c r="E3359" s="81"/>
      <c r="F3359" s="81"/>
      <c r="G3359" s="81"/>
      <c r="H3359" s="81"/>
      <c r="I3359" s="81"/>
    </row>
    <row r="3360">
      <c r="D3360" s="81"/>
      <c r="E3360" s="81"/>
      <c r="F3360" s="81"/>
      <c r="G3360" s="81"/>
      <c r="H3360" s="81"/>
      <c r="I3360" s="81"/>
    </row>
    <row r="3361">
      <c r="D3361" s="81"/>
      <c r="E3361" s="81"/>
      <c r="F3361" s="81"/>
      <c r="G3361" s="81"/>
      <c r="H3361" s="81"/>
      <c r="I3361" s="81"/>
    </row>
    <row r="3362">
      <c r="D3362" s="81"/>
      <c r="E3362" s="81"/>
      <c r="F3362" s="81"/>
      <c r="G3362" s="81"/>
      <c r="H3362" s="81"/>
      <c r="I3362" s="81"/>
    </row>
    <row r="3363">
      <c r="D3363" s="81"/>
      <c r="E3363" s="81"/>
      <c r="F3363" s="81"/>
      <c r="G3363" s="81"/>
      <c r="H3363" s="81"/>
      <c r="I3363" s="81"/>
    </row>
    <row r="3364">
      <c r="D3364" s="81"/>
      <c r="E3364" s="81"/>
      <c r="F3364" s="81"/>
      <c r="G3364" s="81"/>
      <c r="H3364" s="81"/>
      <c r="I3364" s="81"/>
    </row>
    <row r="3365">
      <c r="D3365" s="81"/>
      <c r="E3365" s="81"/>
      <c r="F3365" s="81"/>
      <c r="G3365" s="81"/>
      <c r="H3365" s="81"/>
      <c r="I3365" s="81"/>
    </row>
    <row r="3366">
      <c r="D3366" s="81"/>
      <c r="E3366" s="81"/>
      <c r="F3366" s="81"/>
      <c r="G3366" s="81"/>
      <c r="H3366" s="81"/>
      <c r="I3366" s="81"/>
    </row>
    <row r="3367">
      <c r="D3367" s="81"/>
      <c r="E3367" s="81"/>
      <c r="F3367" s="81"/>
      <c r="G3367" s="81"/>
      <c r="H3367" s="81"/>
      <c r="I3367" s="81"/>
    </row>
    <row r="3368">
      <c r="D3368" s="81"/>
      <c r="E3368" s="81"/>
      <c r="F3368" s="81"/>
      <c r="G3368" s="81"/>
      <c r="H3368" s="81"/>
      <c r="I3368" s="81"/>
    </row>
    <row r="3369">
      <c r="D3369" s="81"/>
      <c r="E3369" s="81"/>
      <c r="F3369" s="81"/>
      <c r="G3369" s="81"/>
      <c r="H3369" s="81"/>
      <c r="I3369" s="81"/>
    </row>
    <row r="3370">
      <c r="D3370" s="81"/>
      <c r="E3370" s="81"/>
      <c r="F3370" s="81"/>
      <c r="G3370" s="81"/>
      <c r="H3370" s="81"/>
      <c r="I3370" s="81"/>
    </row>
    <row r="3371">
      <c r="D3371" s="81"/>
      <c r="E3371" s="81"/>
      <c r="F3371" s="81"/>
      <c r="G3371" s="81"/>
      <c r="H3371" s="81"/>
      <c r="I3371" s="81"/>
    </row>
    <row r="3372">
      <c r="D3372" s="81"/>
      <c r="E3372" s="81"/>
      <c r="F3372" s="81"/>
      <c r="G3372" s="81"/>
      <c r="H3372" s="81"/>
      <c r="I3372" s="81"/>
    </row>
    <row r="3373">
      <c r="D3373" s="81"/>
      <c r="E3373" s="81"/>
      <c r="F3373" s="81"/>
      <c r="G3373" s="81"/>
      <c r="H3373" s="81"/>
      <c r="I3373" s="81"/>
    </row>
    <row r="3374">
      <c r="D3374" s="81"/>
      <c r="E3374" s="81"/>
      <c r="F3374" s="81"/>
      <c r="G3374" s="81"/>
      <c r="H3374" s="81"/>
      <c r="I3374" s="81"/>
    </row>
    <row r="3375">
      <c r="D3375" s="81"/>
      <c r="E3375" s="81"/>
      <c r="F3375" s="81"/>
      <c r="G3375" s="81"/>
      <c r="H3375" s="81"/>
      <c r="I3375" s="81"/>
    </row>
    <row r="3376">
      <c r="D3376" s="81"/>
      <c r="E3376" s="81"/>
      <c r="F3376" s="81"/>
      <c r="G3376" s="81"/>
      <c r="H3376" s="81"/>
      <c r="I3376" s="81"/>
    </row>
    <row r="3377">
      <c r="D3377" s="81"/>
      <c r="E3377" s="81"/>
      <c r="F3377" s="81"/>
      <c r="G3377" s="81"/>
      <c r="H3377" s="81"/>
      <c r="I3377" s="81"/>
    </row>
    <row r="3378">
      <c r="D3378" s="81"/>
      <c r="E3378" s="81"/>
      <c r="F3378" s="81"/>
      <c r="G3378" s="81"/>
      <c r="H3378" s="81"/>
      <c r="I3378" s="81"/>
    </row>
    <row r="3379">
      <c r="D3379" s="81"/>
      <c r="E3379" s="81"/>
      <c r="F3379" s="81"/>
      <c r="G3379" s="81"/>
      <c r="H3379" s="81"/>
      <c r="I3379" s="81"/>
    </row>
    <row r="3380">
      <c r="D3380" s="81"/>
      <c r="E3380" s="81"/>
      <c r="F3380" s="81"/>
      <c r="G3380" s="81"/>
      <c r="H3380" s="81"/>
      <c r="I3380" s="81"/>
    </row>
    <row r="3381">
      <c r="D3381" s="81"/>
      <c r="E3381" s="81"/>
      <c r="F3381" s="81"/>
      <c r="G3381" s="81"/>
      <c r="H3381" s="81"/>
      <c r="I3381" s="81"/>
    </row>
    <row r="3382">
      <c r="D3382" s="81"/>
      <c r="E3382" s="81"/>
      <c r="F3382" s="81"/>
      <c r="G3382" s="81"/>
      <c r="H3382" s="81"/>
      <c r="I3382" s="81"/>
    </row>
    <row r="3383">
      <c r="D3383" s="81"/>
      <c r="E3383" s="81"/>
      <c r="F3383" s="81"/>
      <c r="G3383" s="81"/>
      <c r="H3383" s="81"/>
      <c r="I3383" s="81"/>
    </row>
    <row r="3384">
      <c r="D3384" s="81"/>
      <c r="E3384" s="81"/>
      <c r="F3384" s="81"/>
      <c r="G3384" s="81"/>
      <c r="H3384" s="81"/>
      <c r="I3384" s="81"/>
    </row>
    <row r="3385">
      <c r="D3385" s="81"/>
      <c r="E3385" s="81"/>
      <c r="F3385" s="81"/>
      <c r="G3385" s="81"/>
      <c r="H3385" s="81"/>
      <c r="I3385" s="81"/>
    </row>
    <row r="3386">
      <c r="D3386" s="81"/>
      <c r="E3386" s="81"/>
      <c r="F3386" s="81"/>
      <c r="G3386" s="81"/>
      <c r="H3386" s="81"/>
      <c r="I3386" s="81"/>
    </row>
    <row r="3387">
      <c r="D3387" s="81"/>
      <c r="E3387" s="81"/>
      <c r="F3387" s="81"/>
      <c r="G3387" s="81"/>
      <c r="H3387" s="81"/>
      <c r="I3387" s="81"/>
    </row>
    <row r="3388">
      <c r="D3388" s="81"/>
      <c r="E3388" s="81"/>
      <c r="F3388" s="81"/>
      <c r="G3388" s="81"/>
      <c r="H3388" s="81"/>
      <c r="I3388" s="81"/>
    </row>
    <row r="3389">
      <c r="D3389" s="81"/>
      <c r="E3389" s="81"/>
      <c r="F3389" s="81"/>
      <c r="G3389" s="81"/>
      <c r="H3389" s="81"/>
      <c r="I3389" s="81"/>
    </row>
    <row r="3390">
      <c r="D3390" s="81"/>
      <c r="E3390" s="81"/>
      <c r="F3390" s="81"/>
      <c r="G3390" s="81"/>
      <c r="H3390" s="81"/>
      <c r="I3390" s="81"/>
    </row>
    <row r="3391">
      <c r="D3391" s="81"/>
      <c r="E3391" s="81"/>
      <c r="F3391" s="81"/>
      <c r="G3391" s="81"/>
      <c r="H3391" s="81"/>
      <c r="I3391" s="81"/>
    </row>
    <row r="3392">
      <c r="D3392" s="81"/>
      <c r="E3392" s="81"/>
      <c r="F3392" s="81"/>
      <c r="G3392" s="81"/>
      <c r="H3392" s="81"/>
      <c r="I3392" s="81"/>
    </row>
    <row r="3393">
      <c r="D3393" s="81"/>
      <c r="E3393" s="81"/>
      <c r="F3393" s="81"/>
      <c r="G3393" s="81"/>
      <c r="H3393" s="81"/>
      <c r="I3393" s="81"/>
    </row>
    <row r="3394">
      <c r="D3394" s="81"/>
      <c r="E3394" s="81"/>
      <c r="F3394" s="81"/>
      <c r="G3394" s="81"/>
      <c r="H3394" s="81"/>
      <c r="I3394" s="81"/>
    </row>
    <row r="3395">
      <c r="D3395" s="81"/>
      <c r="E3395" s="81"/>
      <c r="F3395" s="81"/>
      <c r="G3395" s="81"/>
      <c r="H3395" s="81"/>
      <c r="I3395" s="81"/>
    </row>
    <row r="3396">
      <c r="D3396" s="81"/>
      <c r="E3396" s="81"/>
      <c r="F3396" s="81"/>
      <c r="G3396" s="81"/>
      <c r="H3396" s="81"/>
      <c r="I3396" s="81"/>
    </row>
    <row r="3397">
      <c r="D3397" s="81"/>
      <c r="E3397" s="81"/>
      <c r="F3397" s="81"/>
      <c r="G3397" s="81"/>
      <c r="H3397" s="81"/>
      <c r="I3397" s="81"/>
    </row>
    <row r="3398">
      <c r="D3398" s="81"/>
      <c r="E3398" s="81"/>
      <c r="F3398" s="81"/>
      <c r="G3398" s="81"/>
      <c r="H3398" s="81"/>
      <c r="I3398" s="81"/>
    </row>
    <row r="3399">
      <c r="D3399" s="81"/>
      <c r="E3399" s="81"/>
      <c r="F3399" s="81"/>
      <c r="G3399" s="81"/>
      <c r="H3399" s="81"/>
      <c r="I3399" s="81"/>
    </row>
    <row r="3400">
      <c r="D3400" s="81"/>
      <c r="E3400" s="81"/>
      <c r="F3400" s="81"/>
      <c r="G3400" s="81"/>
      <c r="H3400" s="81"/>
      <c r="I3400" s="81"/>
    </row>
    <row r="3401">
      <c r="D3401" s="81"/>
      <c r="E3401" s="81"/>
      <c r="F3401" s="81"/>
      <c r="G3401" s="81"/>
      <c r="H3401" s="81"/>
      <c r="I3401" s="81"/>
    </row>
    <row r="3402">
      <c r="D3402" s="81"/>
      <c r="E3402" s="81"/>
      <c r="F3402" s="81"/>
      <c r="G3402" s="81"/>
      <c r="H3402" s="81"/>
      <c r="I3402" s="81"/>
    </row>
    <row r="3403">
      <c r="D3403" s="81"/>
      <c r="E3403" s="81"/>
      <c r="F3403" s="81"/>
      <c r="G3403" s="81"/>
      <c r="H3403" s="81"/>
      <c r="I3403" s="81"/>
    </row>
    <row r="3404">
      <c r="D3404" s="81"/>
      <c r="E3404" s="81"/>
      <c r="F3404" s="81"/>
      <c r="G3404" s="81"/>
      <c r="H3404" s="81"/>
      <c r="I3404" s="81"/>
    </row>
    <row r="3405">
      <c r="D3405" s="81"/>
      <c r="E3405" s="81"/>
      <c r="F3405" s="81"/>
      <c r="G3405" s="81"/>
      <c r="H3405" s="81"/>
      <c r="I3405" s="81"/>
    </row>
    <row r="3406">
      <c r="D3406" s="81"/>
      <c r="E3406" s="81"/>
      <c r="F3406" s="81"/>
      <c r="G3406" s="81"/>
      <c r="H3406" s="81"/>
      <c r="I3406" s="81"/>
    </row>
    <row r="3407">
      <c r="D3407" s="81"/>
      <c r="E3407" s="81"/>
      <c r="F3407" s="81"/>
      <c r="G3407" s="81"/>
      <c r="H3407" s="81"/>
      <c r="I3407" s="81"/>
    </row>
    <row r="3408">
      <c r="D3408" s="81"/>
      <c r="E3408" s="81"/>
      <c r="F3408" s="81"/>
      <c r="G3408" s="81"/>
      <c r="H3408" s="81"/>
      <c r="I3408" s="81"/>
    </row>
    <row r="3409">
      <c r="D3409" s="81"/>
      <c r="E3409" s="81"/>
      <c r="F3409" s="81"/>
      <c r="G3409" s="81"/>
      <c r="H3409" s="81"/>
      <c r="I3409" s="81"/>
    </row>
    <row r="3410">
      <c r="D3410" s="81"/>
      <c r="E3410" s="81"/>
      <c r="F3410" s="81"/>
      <c r="G3410" s="81"/>
      <c r="H3410" s="81"/>
      <c r="I3410" s="81"/>
    </row>
    <row r="3411">
      <c r="D3411" s="81"/>
      <c r="E3411" s="81"/>
      <c r="F3411" s="81"/>
      <c r="G3411" s="81"/>
      <c r="H3411" s="81"/>
      <c r="I3411" s="81"/>
    </row>
    <row r="3412">
      <c r="D3412" s="81"/>
      <c r="E3412" s="81"/>
      <c r="F3412" s="81"/>
      <c r="G3412" s="81"/>
      <c r="H3412" s="81"/>
      <c r="I3412" s="81"/>
    </row>
    <row r="3413">
      <c r="D3413" s="81"/>
      <c r="E3413" s="81"/>
      <c r="F3413" s="81"/>
      <c r="G3413" s="81"/>
      <c r="H3413" s="81"/>
      <c r="I3413" s="81"/>
    </row>
    <row r="3414">
      <c r="D3414" s="81"/>
      <c r="E3414" s="81"/>
      <c r="F3414" s="81"/>
      <c r="G3414" s="81"/>
      <c r="H3414" s="81"/>
      <c r="I3414" s="81"/>
    </row>
    <row r="3415">
      <c r="D3415" s="81"/>
      <c r="E3415" s="81"/>
      <c r="F3415" s="81"/>
      <c r="G3415" s="81"/>
      <c r="H3415" s="81"/>
      <c r="I3415" s="81"/>
    </row>
    <row r="3416">
      <c r="D3416" s="81"/>
      <c r="E3416" s="81"/>
      <c r="F3416" s="81"/>
      <c r="G3416" s="81"/>
      <c r="H3416" s="81"/>
      <c r="I3416" s="81"/>
    </row>
    <row r="3417">
      <c r="D3417" s="81"/>
      <c r="E3417" s="81"/>
      <c r="F3417" s="81"/>
      <c r="G3417" s="81"/>
      <c r="H3417" s="81"/>
      <c r="I3417" s="81"/>
    </row>
    <row r="3418">
      <c r="D3418" s="81"/>
      <c r="E3418" s="81"/>
      <c r="F3418" s="81"/>
      <c r="G3418" s="81"/>
      <c r="H3418" s="81"/>
      <c r="I3418" s="81"/>
    </row>
    <row r="3419">
      <c r="D3419" s="81"/>
      <c r="E3419" s="81"/>
      <c r="F3419" s="81"/>
      <c r="G3419" s="81"/>
      <c r="H3419" s="81"/>
      <c r="I3419" s="81"/>
    </row>
    <row r="3420">
      <c r="D3420" s="81"/>
      <c r="E3420" s="81"/>
      <c r="F3420" s="81"/>
      <c r="G3420" s="81"/>
      <c r="H3420" s="81"/>
      <c r="I3420" s="81"/>
    </row>
    <row r="3421">
      <c r="D3421" s="81"/>
      <c r="E3421" s="81"/>
      <c r="F3421" s="81"/>
      <c r="G3421" s="81"/>
      <c r="H3421" s="81"/>
      <c r="I3421" s="81"/>
    </row>
    <row r="3422">
      <c r="D3422" s="81"/>
      <c r="E3422" s="81"/>
      <c r="F3422" s="81"/>
      <c r="G3422" s="81"/>
      <c r="H3422" s="81"/>
      <c r="I3422" s="81"/>
    </row>
    <row r="3423">
      <c r="D3423" s="81"/>
      <c r="E3423" s="81"/>
      <c r="F3423" s="81"/>
      <c r="G3423" s="81"/>
      <c r="H3423" s="81"/>
      <c r="I3423" s="81"/>
    </row>
    <row r="3424">
      <c r="D3424" s="81"/>
      <c r="E3424" s="81"/>
      <c r="F3424" s="81"/>
      <c r="G3424" s="81"/>
      <c r="H3424" s="81"/>
      <c r="I3424" s="81"/>
    </row>
    <row r="3425">
      <c r="D3425" s="81"/>
      <c r="E3425" s="81"/>
      <c r="F3425" s="81"/>
      <c r="G3425" s="81"/>
      <c r="H3425" s="81"/>
      <c r="I3425" s="81"/>
    </row>
    <row r="3426">
      <c r="D3426" s="81"/>
      <c r="E3426" s="81"/>
      <c r="F3426" s="81"/>
      <c r="G3426" s="81"/>
      <c r="H3426" s="81"/>
      <c r="I3426" s="81"/>
    </row>
    <row r="3427">
      <c r="D3427" s="81"/>
      <c r="E3427" s="81"/>
      <c r="F3427" s="81"/>
      <c r="G3427" s="81"/>
      <c r="H3427" s="81"/>
      <c r="I3427" s="81"/>
    </row>
    <row r="3428">
      <c r="D3428" s="81"/>
      <c r="E3428" s="81"/>
      <c r="F3428" s="81"/>
      <c r="G3428" s="81"/>
      <c r="H3428" s="81"/>
      <c r="I3428" s="81"/>
    </row>
    <row r="3429">
      <c r="D3429" s="81"/>
      <c r="E3429" s="81"/>
      <c r="F3429" s="81"/>
      <c r="G3429" s="81"/>
      <c r="H3429" s="81"/>
      <c r="I3429" s="81"/>
    </row>
    <row r="3430">
      <c r="D3430" s="81"/>
      <c r="E3430" s="81"/>
      <c r="F3430" s="81"/>
      <c r="G3430" s="81"/>
      <c r="H3430" s="81"/>
      <c r="I3430" s="81"/>
    </row>
    <row r="3431">
      <c r="D3431" s="81"/>
      <c r="E3431" s="81"/>
      <c r="F3431" s="81"/>
      <c r="G3431" s="81"/>
      <c r="H3431" s="81"/>
      <c r="I3431" s="81"/>
    </row>
    <row r="3432">
      <c r="D3432" s="81"/>
      <c r="E3432" s="81"/>
      <c r="F3432" s="81"/>
      <c r="G3432" s="81"/>
      <c r="H3432" s="81"/>
      <c r="I3432" s="81"/>
    </row>
    <row r="3433">
      <c r="D3433" s="81"/>
      <c r="E3433" s="81"/>
      <c r="F3433" s="81"/>
      <c r="G3433" s="81"/>
      <c r="H3433" s="81"/>
      <c r="I3433" s="81"/>
    </row>
    <row r="3434">
      <c r="D3434" s="81"/>
      <c r="E3434" s="81"/>
      <c r="F3434" s="81"/>
      <c r="G3434" s="81"/>
      <c r="H3434" s="81"/>
      <c r="I3434" s="81"/>
    </row>
    <row r="3435">
      <c r="D3435" s="81"/>
      <c r="E3435" s="81"/>
      <c r="F3435" s="81"/>
      <c r="G3435" s="81"/>
      <c r="H3435" s="81"/>
      <c r="I3435" s="81"/>
    </row>
    <row r="3436">
      <c r="D3436" s="81"/>
      <c r="E3436" s="81"/>
      <c r="F3436" s="81"/>
      <c r="G3436" s="81"/>
      <c r="H3436" s="81"/>
      <c r="I3436" s="81"/>
    </row>
    <row r="3437">
      <c r="D3437" s="81"/>
      <c r="E3437" s="81"/>
      <c r="F3437" s="81"/>
      <c r="G3437" s="81"/>
      <c r="H3437" s="81"/>
      <c r="I3437" s="81"/>
    </row>
    <row r="3438">
      <c r="D3438" s="81"/>
      <c r="E3438" s="81"/>
      <c r="F3438" s="81"/>
      <c r="G3438" s="81"/>
      <c r="H3438" s="81"/>
      <c r="I3438" s="81"/>
    </row>
    <row r="3439">
      <c r="D3439" s="81"/>
      <c r="E3439" s="81"/>
      <c r="F3439" s="81"/>
      <c r="G3439" s="81"/>
      <c r="H3439" s="81"/>
      <c r="I3439" s="81"/>
    </row>
    <row r="3440">
      <c r="D3440" s="81"/>
      <c r="E3440" s="81"/>
      <c r="F3440" s="81"/>
      <c r="G3440" s="81"/>
      <c r="H3440" s="81"/>
      <c r="I3440" s="81"/>
    </row>
    <row r="3441">
      <c r="D3441" s="81"/>
      <c r="E3441" s="81"/>
      <c r="F3441" s="81"/>
      <c r="G3441" s="81"/>
      <c r="H3441" s="81"/>
      <c r="I3441" s="81"/>
    </row>
    <row r="3442">
      <c r="D3442" s="81"/>
      <c r="E3442" s="81"/>
      <c r="F3442" s="81"/>
      <c r="G3442" s="81"/>
      <c r="H3442" s="81"/>
      <c r="I3442" s="81"/>
    </row>
    <row r="3443">
      <c r="D3443" s="81"/>
      <c r="E3443" s="81"/>
      <c r="F3443" s="81"/>
      <c r="G3443" s="81"/>
      <c r="H3443" s="81"/>
      <c r="I3443" s="81"/>
    </row>
    <row r="3444">
      <c r="D3444" s="81"/>
      <c r="E3444" s="81"/>
      <c r="F3444" s="81"/>
      <c r="G3444" s="81"/>
      <c r="H3444" s="81"/>
      <c r="I3444" s="81"/>
    </row>
    <row r="3445">
      <c r="D3445" s="81"/>
      <c r="E3445" s="81"/>
      <c r="F3445" s="81"/>
      <c r="G3445" s="81"/>
      <c r="H3445" s="81"/>
      <c r="I3445" s="81"/>
    </row>
    <row r="3446">
      <c r="D3446" s="81"/>
      <c r="E3446" s="81"/>
      <c r="F3446" s="81"/>
      <c r="G3446" s="81"/>
      <c r="H3446" s="81"/>
      <c r="I3446" s="81"/>
    </row>
    <row r="3447">
      <c r="D3447" s="81"/>
      <c r="E3447" s="81"/>
      <c r="F3447" s="81"/>
      <c r="G3447" s="81"/>
      <c r="H3447" s="81"/>
      <c r="I3447" s="81"/>
    </row>
    <row r="3448">
      <c r="D3448" s="81"/>
      <c r="E3448" s="81"/>
      <c r="F3448" s="81"/>
      <c r="G3448" s="81"/>
      <c r="H3448" s="81"/>
      <c r="I3448" s="81"/>
    </row>
    <row r="3449">
      <c r="D3449" s="81"/>
      <c r="E3449" s="81"/>
      <c r="F3449" s="81"/>
      <c r="G3449" s="81"/>
      <c r="H3449" s="81"/>
      <c r="I3449" s="81"/>
    </row>
    <row r="3450">
      <c r="D3450" s="81"/>
      <c r="E3450" s="81"/>
      <c r="F3450" s="81"/>
      <c r="G3450" s="81"/>
      <c r="H3450" s="81"/>
      <c r="I3450" s="81"/>
    </row>
    <row r="3451">
      <c r="D3451" s="81"/>
      <c r="E3451" s="81"/>
      <c r="F3451" s="81"/>
      <c r="G3451" s="81"/>
      <c r="H3451" s="81"/>
      <c r="I3451" s="81"/>
    </row>
    <row r="3452">
      <c r="D3452" s="81"/>
      <c r="E3452" s="81"/>
      <c r="F3452" s="81"/>
      <c r="G3452" s="81"/>
      <c r="H3452" s="81"/>
      <c r="I3452" s="81"/>
    </row>
    <row r="3453">
      <c r="D3453" s="81"/>
      <c r="E3453" s="81"/>
      <c r="F3453" s="81"/>
      <c r="G3453" s="81"/>
      <c r="H3453" s="81"/>
      <c r="I3453" s="81"/>
    </row>
    <row r="3454">
      <c r="D3454" s="81"/>
      <c r="E3454" s="81"/>
      <c r="F3454" s="81"/>
      <c r="G3454" s="81"/>
      <c r="H3454" s="81"/>
      <c r="I3454" s="81"/>
    </row>
    <row r="3455">
      <c r="D3455" s="81"/>
      <c r="E3455" s="81"/>
      <c r="F3455" s="81"/>
      <c r="G3455" s="81"/>
      <c r="H3455" s="81"/>
      <c r="I3455" s="81"/>
    </row>
    <row r="3456">
      <c r="D3456" s="81"/>
      <c r="E3456" s="81"/>
      <c r="F3456" s="81"/>
      <c r="G3456" s="81"/>
      <c r="H3456" s="81"/>
      <c r="I3456" s="81"/>
    </row>
    <row r="3457">
      <c r="D3457" s="81"/>
      <c r="E3457" s="81"/>
      <c r="F3457" s="81"/>
      <c r="G3457" s="81"/>
      <c r="H3457" s="81"/>
      <c r="I3457" s="81"/>
    </row>
    <row r="3458">
      <c r="D3458" s="81"/>
      <c r="E3458" s="81"/>
      <c r="F3458" s="81"/>
      <c r="G3458" s="81"/>
      <c r="H3458" s="81"/>
      <c r="I3458" s="81"/>
    </row>
    <row r="3459">
      <c r="D3459" s="81"/>
      <c r="E3459" s="81"/>
      <c r="F3459" s="81"/>
      <c r="G3459" s="81"/>
      <c r="H3459" s="81"/>
      <c r="I3459" s="81"/>
    </row>
    <row r="3460">
      <c r="D3460" s="81"/>
      <c r="E3460" s="81"/>
      <c r="F3460" s="81"/>
      <c r="G3460" s="81"/>
      <c r="H3460" s="81"/>
      <c r="I3460" s="81"/>
    </row>
    <row r="3461">
      <c r="D3461" s="81"/>
      <c r="E3461" s="81"/>
      <c r="F3461" s="81"/>
      <c r="G3461" s="81"/>
      <c r="H3461" s="81"/>
      <c r="I3461" s="81"/>
    </row>
    <row r="3462">
      <c r="D3462" s="81"/>
      <c r="E3462" s="81"/>
      <c r="F3462" s="81"/>
      <c r="G3462" s="81"/>
      <c r="H3462" s="81"/>
      <c r="I3462" s="81"/>
    </row>
    <row r="3463">
      <c r="D3463" s="81"/>
      <c r="E3463" s="81"/>
      <c r="F3463" s="81"/>
      <c r="G3463" s="81"/>
      <c r="H3463" s="81"/>
      <c r="I3463" s="81"/>
    </row>
    <row r="3464">
      <c r="D3464" s="81"/>
      <c r="E3464" s="81"/>
      <c r="F3464" s="81"/>
      <c r="G3464" s="81"/>
      <c r="H3464" s="81"/>
      <c r="I3464" s="81"/>
    </row>
    <row r="3465">
      <c r="D3465" s="81"/>
      <c r="E3465" s="81"/>
      <c r="F3465" s="81"/>
      <c r="G3465" s="81"/>
      <c r="H3465" s="81"/>
      <c r="I3465" s="81"/>
    </row>
    <row r="3466">
      <c r="D3466" s="81"/>
      <c r="E3466" s="81"/>
      <c r="F3466" s="81"/>
      <c r="G3466" s="81"/>
      <c r="H3466" s="81"/>
      <c r="I3466" s="81"/>
    </row>
    <row r="3467">
      <c r="D3467" s="81"/>
      <c r="E3467" s="81"/>
      <c r="F3467" s="81"/>
      <c r="G3467" s="81"/>
      <c r="H3467" s="81"/>
      <c r="I3467" s="81"/>
    </row>
    <row r="3468">
      <c r="D3468" s="81"/>
      <c r="E3468" s="81"/>
      <c r="F3468" s="81"/>
      <c r="G3468" s="81"/>
      <c r="H3468" s="81"/>
      <c r="I3468" s="81"/>
    </row>
    <row r="3469">
      <c r="D3469" s="81"/>
      <c r="E3469" s="81"/>
      <c r="F3469" s="81"/>
      <c r="G3469" s="81"/>
      <c r="H3469" s="81"/>
      <c r="I3469" s="81"/>
    </row>
    <row r="3470">
      <c r="D3470" s="81"/>
      <c r="E3470" s="81"/>
      <c r="F3470" s="81"/>
      <c r="G3470" s="81"/>
      <c r="H3470" s="81"/>
      <c r="I3470" s="81"/>
    </row>
    <row r="3471">
      <c r="D3471" s="81"/>
      <c r="E3471" s="81"/>
      <c r="F3471" s="81"/>
      <c r="G3471" s="81"/>
      <c r="H3471" s="81"/>
      <c r="I3471" s="81"/>
    </row>
    <row r="3472">
      <c r="D3472" s="81"/>
      <c r="E3472" s="81"/>
      <c r="F3472" s="81"/>
      <c r="G3472" s="81"/>
      <c r="H3472" s="81"/>
      <c r="I3472" s="81"/>
    </row>
    <row r="3473">
      <c r="D3473" s="81"/>
      <c r="E3473" s="81"/>
      <c r="F3473" s="81"/>
      <c r="G3473" s="81"/>
      <c r="H3473" s="81"/>
      <c r="I3473" s="81"/>
    </row>
    <row r="3474">
      <c r="D3474" s="81"/>
      <c r="E3474" s="81"/>
      <c r="F3474" s="81"/>
      <c r="G3474" s="81"/>
      <c r="H3474" s="81"/>
      <c r="I3474" s="81"/>
    </row>
    <row r="3475">
      <c r="D3475" s="81"/>
      <c r="E3475" s="81"/>
      <c r="F3475" s="81"/>
      <c r="G3475" s="81"/>
      <c r="H3475" s="81"/>
      <c r="I3475" s="81"/>
    </row>
    <row r="3476">
      <c r="D3476" s="81"/>
      <c r="E3476" s="81"/>
      <c r="F3476" s="81"/>
      <c r="G3476" s="81"/>
      <c r="H3476" s="81"/>
      <c r="I3476" s="81"/>
    </row>
    <row r="3477">
      <c r="D3477" s="81"/>
      <c r="E3477" s="81"/>
      <c r="F3477" s="81"/>
      <c r="G3477" s="81"/>
      <c r="H3477" s="81"/>
      <c r="I3477" s="81"/>
    </row>
    <row r="3478">
      <c r="D3478" s="81"/>
      <c r="E3478" s="81"/>
      <c r="F3478" s="81"/>
      <c r="G3478" s="81"/>
      <c r="H3478" s="81"/>
      <c r="I3478" s="81"/>
    </row>
    <row r="3479">
      <c r="D3479" s="81"/>
      <c r="E3479" s="81"/>
      <c r="F3479" s="81"/>
      <c r="G3479" s="81"/>
      <c r="H3479" s="81"/>
      <c r="I3479" s="81"/>
    </row>
    <row r="3480">
      <c r="D3480" s="81"/>
      <c r="E3480" s="81"/>
      <c r="F3480" s="81"/>
      <c r="G3480" s="81"/>
      <c r="H3480" s="81"/>
      <c r="I3480" s="81"/>
    </row>
    <row r="3481">
      <c r="D3481" s="81"/>
      <c r="E3481" s="81"/>
      <c r="F3481" s="81"/>
      <c r="G3481" s="81"/>
      <c r="H3481" s="81"/>
      <c r="I3481" s="81"/>
    </row>
    <row r="3482">
      <c r="D3482" s="81"/>
      <c r="E3482" s="81"/>
      <c r="F3482" s="81"/>
      <c r="G3482" s="81"/>
      <c r="H3482" s="81"/>
      <c r="I3482" s="81"/>
    </row>
    <row r="3483">
      <c r="D3483" s="81"/>
      <c r="E3483" s="81"/>
      <c r="F3483" s="81"/>
      <c r="G3483" s="81"/>
      <c r="H3483" s="81"/>
      <c r="I3483" s="81"/>
    </row>
    <row r="3484">
      <c r="D3484" s="81"/>
      <c r="E3484" s="81"/>
      <c r="F3484" s="81"/>
      <c r="G3484" s="81"/>
      <c r="H3484" s="81"/>
      <c r="I3484" s="81"/>
    </row>
    <row r="3485">
      <c r="D3485" s="81"/>
      <c r="E3485" s="81"/>
      <c r="F3485" s="81"/>
      <c r="G3485" s="81"/>
      <c r="H3485" s="81"/>
      <c r="I3485" s="81"/>
    </row>
    <row r="3486">
      <c r="D3486" s="81"/>
      <c r="E3486" s="81"/>
      <c r="F3486" s="81"/>
      <c r="G3486" s="81"/>
      <c r="H3486" s="81"/>
      <c r="I3486" s="81"/>
    </row>
    <row r="3487">
      <c r="D3487" s="81"/>
      <c r="E3487" s="81"/>
      <c r="F3487" s="81"/>
      <c r="G3487" s="81"/>
      <c r="H3487" s="81"/>
      <c r="I3487" s="81"/>
    </row>
    <row r="3488">
      <c r="D3488" s="81"/>
      <c r="E3488" s="81"/>
      <c r="F3488" s="81"/>
      <c r="G3488" s="81"/>
      <c r="H3488" s="81"/>
      <c r="I3488" s="81"/>
    </row>
    <row r="3489">
      <c r="D3489" s="81"/>
      <c r="E3489" s="81"/>
      <c r="F3489" s="81"/>
      <c r="G3489" s="81"/>
      <c r="H3489" s="81"/>
      <c r="I3489" s="81"/>
    </row>
    <row r="3490">
      <c r="D3490" s="81"/>
      <c r="E3490" s="81"/>
      <c r="F3490" s="81"/>
      <c r="G3490" s="81"/>
      <c r="H3490" s="81"/>
      <c r="I3490" s="81"/>
    </row>
    <row r="3491">
      <c r="D3491" s="81"/>
      <c r="E3491" s="81"/>
      <c r="F3491" s="81"/>
      <c r="G3491" s="81"/>
      <c r="H3491" s="81"/>
      <c r="I3491" s="81"/>
    </row>
    <row r="3492">
      <c r="D3492" s="81"/>
      <c r="E3492" s="81"/>
      <c r="F3492" s="81"/>
      <c r="G3492" s="81"/>
      <c r="H3492" s="81"/>
      <c r="I3492" s="81"/>
    </row>
    <row r="3493">
      <c r="D3493" s="81"/>
      <c r="E3493" s="81"/>
      <c r="F3493" s="81"/>
      <c r="G3493" s="81"/>
      <c r="H3493" s="81"/>
      <c r="I3493" s="81"/>
    </row>
    <row r="3494">
      <c r="D3494" s="81"/>
      <c r="E3494" s="81"/>
      <c r="F3494" s="81"/>
      <c r="G3494" s="81"/>
      <c r="H3494" s="81"/>
      <c r="I3494" s="81"/>
    </row>
    <row r="3495">
      <c r="D3495" s="81"/>
      <c r="E3495" s="81"/>
      <c r="F3495" s="81"/>
      <c r="G3495" s="81"/>
      <c r="H3495" s="81"/>
      <c r="I3495" s="81"/>
    </row>
    <row r="3496">
      <c r="D3496" s="81"/>
      <c r="E3496" s="81"/>
      <c r="F3496" s="81"/>
      <c r="G3496" s="81"/>
      <c r="H3496" s="81"/>
      <c r="I3496" s="81"/>
    </row>
    <row r="3497">
      <c r="D3497" s="81"/>
      <c r="E3497" s="81"/>
      <c r="F3497" s="81"/>
      <c r="G3497" s="81"/>
      <c r="H3497" s="81"/>
      <c r="I3497" s="81"/>
    </row>
    <row r="3498">
      <c r="D3498" s="81"/>
      <c r="E3498" s="81"/>
      <c r="F3498" s="81"/>
      <c r="G3498" s="81"/>
      <c r="H3498" s="81"/>
      <c r="I3498" s="81"/>
    </row>
    <row r="3499">
      <c r="D3499" s="81"/>
      <c r="E3499" s="81"/>
      <c r="F3499" s="81"/>
      <c r="G3499" s="81"/>
      <c r="H3499" s="81"/>
      <c r="I3499" s="81"/>
    </row>
    <row r="3500">
      <c r="D3500" s="81"/>
      <c r="E3500" s="81"/>
      <c r="F3500" s="81"/>
      <c r="G3500" s="81"/>
      <c r="H3500" s="81"/>
      <c r="I3500" s="81"/>
    </row>
    <row r="3501">
      <c r="D3501" s="81"/>
      <c r="E3501" s="81"/>
      <c r="F3501" s="81"/>
      <c r="G3501" s="81"/>
      <c r="H3501" s="81"/>
      <c r="I3501" s="81"/>
    </row>
    <row r="3502">
      <c r="D3502" s="81"/>
      <c r="E3502" s="81"/>
      <c r="F3502" s="81"/>
      <c r="G3502" s="81"/>
      <c r="H3502" s="81"/>
      <c r="I3502" s="81"/>
    </row>
    <row r="3503">
      <c r="D3503" s="81"/>
      <c r="E3503" s="81"/>
      <c r="F3503" s="81"/>
      <c r="G3503" s="81"/>
      <c r="H3503" s="81"/>
      <c r="I3503" s="81"/>
    </row>
    <row r="3504">
      <c r="D3504" s="81"/>
      <c r="E3504" s="81"/>
      <c r="F3504" s="81"/>
      <c r="G3504" s="81"/>
      <c r="H3504" s="81"/>
      <c r="I3504" s="81"/>
    </row>
    <row r="3505">
      <c r="D3505" s="81"/>
      <c r="E3505" s="81"/>
      <c r="F3505" s="81"/>
      <c r="G3505" s="81"/>
      <c r="H3505" s="81"/>
      <c r="I3505" s="81"/>
    </row>
    <row r="3506">
      <c r="D3506" s="81"/>
      <c r="E3506" s="81"/>
      <c r="F3506" s="81"/>
      <c r="G3506" s="81"/>
      <c r="H3506" s="81"/>
      <c r="I3506" s="81"/>
    </row>
    <row r="3507">
      <c r="D3507" s="81"/>
      <c r="E3507" s="81"/>
      <c r="F3507" s="81"/>
      <c r="G3507" s="81"/>
      <c r="H3507" s="81"/>
      <c r="I3507" s="81"/>
    </row>
    <row r="3508">
      <c r="D3508" s="81"/>
      <c r="E3508" s="81"/>
      <c r="F3508" s="81"/>
      <c r="G3508" s="81"/>
      <c r="H3508" s="81"/>
      <c r="I3508" s="81"/>
    </row>
    <row r="3509">
      <c r="D3509" s="81"/>
      <c r="E3509" s="81"/>
      <c r="F3509" s="81"/>
      <c r="G3509" s="81"/>
      <c r="H3509" s="81"/>
      <c r="I3509" s="81"/>
    </row>
    <row r="3510">
      <c r="D3510" s="81"/>
      <c r="E3510" s="81"/>
      <c r="F3510" s="81"/>
      <c r="G3510" s="81"/>
      <c r="H3510" s="81"/>
      <c r="I3510" s="81"/>
    </row>
    <row r="3511">
      <c r="D3511" s="81"/>
      <c r="E3511" s="81"/>
      <c r="F3511" s="81"/>
      <c r="G3511" s="81"/>
      <c r="H3511" s="81"/>
      <c r="I3511" s="81"/>
    </row>
    <row r="3512">
      <c r="D3512" s="81"/>
      <c r="E3512" s="81"/>
      <c r="F3512" s="81"/>
      <c r="G3512" s="81"/>
      <c r="H3512" s="81"/>
      <c r="I3512" s="81"/>
    </row>
    <row r="3513">
      <c r="D3513" s="81"/>
      <c r="E3513" s="81"/>
      <c r="F3513" s="81"/>
      <c r="G3513" s="81"/>
      <c r="H3513" s="81"/>
      <c r="I3513" s="81"/>
    </row>
    <row r="3514">
      <c r="D3514" s="81"/>
      <c r="E3514" s="81"/>
      <c r="F3514" s="81"/>
      <c r="G3514" s="81"/>
      <c r="H3514" s="81"/>
      <c r="I3514" s="81"/>
    </row>
    <row r="3515">
      <c r="D3515" s="81"/>
      <c r="E3515" s="81"/>
      <c r="F3515" s="81"/>
      <c r="G3515" s="81"/>
      <c r="H3515" s="81"/>
      <c r="I3515" s="81"/>
    </row>
    <row r="3516">
      <c r="D3516" s="81"/>
      <c r="E3516" s="81"/>
      <c r="F3516" s="81"/>
      <c r="G3516" s="81"/>
      <c r="H3516" s="81"/>
      <c r="I3516" s="81"/>
    </row>
    <row r="3517">
      <c r="D3517" s="81"/>
      <c r="E3517" s="81"/>
      <c r="F3517" s="81"/>
      <c r="G3517" s="81"/>
      <c r="H3517" s="81"/>
      <c r="I3517" s="81"/>
    </row>
    <row r="3518">
      <c r="D3518" s="81"/>
      <c r="E3518" s="81"/>
      <c r="F3518" s="81"/>
      <c r="G3518" s="81"/>
      <c r="H3518" s="81"/>
      <c r="I3518" s="81"/>
    </row>
    <row r="3519">
      <c r="D3519" s="81"/>
      <c r="E3519" s="81"/>
      <c r="F3519" s="81"/>
      <c r="G3519" s="81"/>
      <c r="H3519" s="81"/>
      <c r="I3519" s="81"/>
    </row>
    <row r="3520">
      <c r="D3520" s="81"/>
      <c r="E3520" s="81"/>
      <c r="F3520" s="81"/>
      <c r="G3520" s="81"/>
      <c r="H3520" s="81"/>
      <c r="I3520" s="81"/>
    </row>
    <row r="3521">
      <c r="D3521" s="81"/>
      <c r="E3521" s="81"/>
      <c r="F3521" s="81"/>
      <c r="G3521" s="81"/>
      <c r="H3521" s="81"/>
      <c r="I3521" s="81"/>
    </row>
    <row r="3522">
      <c r="D3522" s="81"/>
      <c r="E3522" s="81"/>
      <c r="F3522" s="81"/>
      <c r="G3522" s="81"/>
      <c r="H3522" s="81"/>
      <c r="I3522" s="81"/>
    </row>
    <row r="3523">
      <c r="D3523" s="81"/>
      <c r="E3523" s="81"/>
      <c r="F3523" s="81"/>
      <c r="G3523" s="81"/>
      <c r="H3523" s="81"/>
      <c r="I3523" s="81"/>
    </row>
    <row r="3524">
      <c r="D3524" s="81"/>
      <c r="E3524" s="81"/>
      <c r="F3524" s="81"/>
      <c r="G3524" s="81"/>
      <c r="H3524" s="81"/>
      <c r="I3524" s="81"/>
    </row>
    <row r="3525">
      <c r="D3525" s="81"/>
      <c r="E3525" s="81"/>
      <c r="F3525" s="81"/>
      <c r="G3525" s="81"/>
      <c r="H3525" s="81"/>
      <c r="I3525" s="81"/>
    </row>
    <row r="3526">
      <c r="D3526" s="81"/>
      <c r="E3526" s="81"/>
      <c r="F3526" s="81"/>
      <c r="G3526" s="81"/>
      <c r="H3526" s="81"/>
      <c r="I3526" s="81"/>
    </row>
    <row r="3527">
      <c r="D3527" s="81"/>
      <c r="E3527" s="81"/>
      <c r="F3527" s="81"/>
      <c r="G3527" s="81"/>
      <c r="H3527" s="81"/>
      <c r="I3527" s="81"/>
    </row>
    <row r="3528">
      <c r="D3528" s="81"/>
      <c r="E3528" s="81"/>
      <c r="F3528" s="81"/>
      <c r="G3528" s="81"/>
      <c r="H3528" s="81"/>
      <c r="I3528" s="81"/>
    </row>
    <row r="3529">
      <c r="D3529" s="81"/>
      <c r="E3529" s="81"/>
      <c r="F3529" s="81"/>
      <c r="G3529" s="81"/>
      <c r="H3529" s="81"/>
      <c r="I3529" s="81"/>
    </row>
    <row r="3530">
      <c r="D3530" s="81"/>
      <c r="E3530" s="81"/>
      <c r="F3530" s="81"/>
      <c r="G3530" s="81"/>
      <c r="H3530" s="81"/>
      <c r="I3530" s="81"/>
    </row>
    <row r="3531">
      <c r="D3531" s="81"/>
      <c r="E3531" s="81"/>
      <c r="F3531" s="81"/>
      <c r="G3531" s="81"/>
      <c r="H3531" s="81"/>
      <c r="I3531" s="81"/>
    </row>
    <row r="3532">
      <c r="D3532" s="81"/>
      <c r="E3532" s="81"/>
      <c r="F3532" s="81"/>
      <c r="G3532" s="81"/>
      <c r="H3532" s="81"/>
      <c r="I3532" s="81"/>
    </row>
    <row r="3533">
      <c r="D3533" s="81"/>
      <c r="E3533" s="81"/>
      <c r="F3533" s="81"/>
      <c r="G3533" s="81"/>
      <c r="H3533" s="81"/>
      <c r="I3533" s="81"/>
    </row>
    <row r="3534">
      <c r="D3534" s="81"/>
      <c r="E3534" s="81"/>
      <c r="F3534" s="81"/>
      <c r="G3534" s="81"/>
      <c r="H3534" s="81"/>
      <c r="I3534" s="81"/>
    </row>
    <row r="3535">
      <c r="D3535" s="81"/>
      <c r="E3535" s="81"/>
      <c r="F3535" s="81"/>
      <c r="G3535" s="81"/>
      <c r="H3535" s="81"/>
      <c r="I3535" s="81"/>
    </row>
    <row r="3536">
      <c r="D3536" s="81"/>
      <c r="E3536" s="81"/>
      <c r="F3536" s="81"/>
      <c r="G3536" s="81"/>
      <c r="H3536" s="81"/>
      <c r="I3536" s="81"/>
    </row>
    <row r="3537">
      <c r="D3537" s="81"/>
      <c r="E3537" s="81"/>
      <c r="F3537" s="81"/>
      <c r="G3537" s="81"/>
      <c r="H3537" s="81"/>
      <c r="I3537" s="81"/>
    </row>
    <row r="3538">
      <c r="D3538" s="81"/>
      <c r="E3538" s="81"/>
      <c r="F3538" s="81"/>
      <c r="G3538" s="81"/>
      <c r="H3538" s="81"/>
      <c r="I3538" s="81"/>
    </row>
    <row r="3539">
      <c r="D3539" s="81"/>
      <c r="E3539" s="81"/>
      <c r="F3539" s="81"/>
      <c r="G3539" s="81"/>
      <c r="H3539" s="81"/>
      <c r="I3539" s="81"/>
    </row>
    <row r="3540">
      <c r="D3540" s="81"/>
      <c r="E3540" s="81"/>
      <c r="F3540" s="81"/>
      <c r="G3540" s="81"/>
      <c r="H3540" s="81"/>
      <c r="I3540" s="81"/>
    </row>
    <row r="3541">
      <c r="D3541" s="81"/>
      <c r="E3541" s="81"/>
      <c r="F3541" s="81"/>
      <c r="G3541" s="81"/>
      <c r="H3541" s="81"/>
      <c r="I3541" s="81"/>
    </row>
    <row r="3542">
      <c r="D3542" s="81"/>
      <c r="E3542" s="81"/>
      <c r="F3542" s="81"/>
      <c r="G3542" s="81"/>
      <c r="H3542" s="81"/>
      <c r="I3542" s="81"/>
    </row>
    <row r="3543">
      <c r="D3543" s="81"/>
      <c r="E3543" s="81"/>
      <c r="F3543" s="81"/>
      <c r="G3543" s="81"/>
      <c r="H3543" s="81"/>
      <c r="I3543" s="81"/>
    </row>
    <row r="3544">
      <c r="D3544" s="81"/>
      <c r="E3544" s="81"/>
      <c r="F3544" s="81"/>
      <c r="G3544" s="81"/>
      <c r="H3544" s="81"/>
      <c r="I3544" s="81"/>
    </row>
    <row r="3545">
      <c r="D3545" s="81"/>
      <c r="E3545" s="81"/>
      <c r="F3545" s="81"/>
      <c r="G3545" s="81"/>
      <c r="H3545" s="81"/>
      <c r="I3545" s="81"/>
    </row>
    <row r="3546">
      <c r="D3546" s="81"/>
      <c r="E3546" s="81"/>
      <c r="F3546" s="81"/>
      <c r="G3546" s="81"/>
      <c r="H3546" s="81"/>
      <c r="I3546" s="81"/>
    </row>
    <row r="3547">
      <c r="D3547" s="81"/>
      <c r="E3547" s="81"/>
      <c r="F3547" s="81"/>
      <c r="G3547" s="81"/>
      <c r="H3547" s="81"/>
      <c r="I3547" s="81"/>
    </row>
    <row r="3548">
      <c r="D3548" s="81"/>
      <c r="E3548" s="81"/>
      <c r="F3548" s="81"/>
      <c r="G3548" s="81"/>
      <c r="H3548" s="81"/>
      <c r="I3548" s="81"/>
    </row>
    <row r="3549">
      <c r="D3549" s="81"/>
      <c r="E3549" s="81"/>
      <c r="F3549" s="81"/>
      <c r="G3549" s="81"/>
      <c r="H3549" s="81"/>
      <c r="I3549" s="81"/>
    </row>
    <row r="3550">
      <c r="D3550" s="81"/>
      <c r="E3550" s="81"/>
      <c r="F3550" s="81"/>
      <c r="G3550" s="81"/>
      <c r="H3550" s="81"/>
      <c r="I3550" s="81"/>
    </row>
    <row r="3551">
      <c r="D3551" s="81"/>
      <c r="E3551" s="81"/>
      <c r="F3551" s="81"/>
      <c r="G3551" s="81"/>
      <c r="H3551" s="81"/>
      <c r="I3551" s="81"/>
    </row>
    <row r="3552">
      <c r="D3552" s="81"/>
      <c r="E3552" s="81"/>
      <c r="F3552" s="81"/>
      <c r="G3552" s="81"/>
      <c r="H3552" s="81"/>
      <c r="I3552" s="81"/>
    </row>
    <row r="3553">
      <c r="D3553" s="81"/>
      <c r="E3553" s="81"/>
      <c r="F3553" s="81"/>
      <c r="G3553" s="81"/>
      <c r="H3553" s="81"/>
      <c r="I3553" s="81"/>
    </row>
    <row r="3554">
      <c r="D3554" s="81"/>
      <c r="E3554" s="81"/>
      <c r="F3554" s="81"/>
      <c r="G3554" s="81"/>
      <c r="H3554" s="81"/>
      <c r="I3554" s="81"/>
    </row>
    <row r="3555">
      <c r="D3555" s="81"/>
      <c r="E3555" s="81"/>
      <c r="F3555" s="81"/>
      <c r="G3555" s="81"/>
      <c r="H3555" s="81"/>
      <c r="I3555" s="81"/>
    </row>
    <row r="3556">
      <c r="D3556" s="81"/>
      <c r="E3556" s="81"/>
      <c r="F3556" s="81"/>
      <c r="G3556" s="81"/>
      <c r="H3556" s="81"/>
      <c r="I3556" s="81"/>
    </row>
    <row r="3557">
      <c r="D3557" s="81"/>
      <c r="E3557" s="81"/>
      <c r="F3557" s="81"/>
      <c r="G3557" s="81"/>
      <c r="H3557" s="81"/>
      <c r="I3557" s="81"/>
    </row>
    <row r="3558">
      <c r="D3558" s="81"/>
      <c r="E3558" s="81"/>
      <c r="F3558" s="81"/>
      <c r="G3558" s="81"/>
      <c r="H3558" s="81"/>
      <c r="I3558" s="81"/>
    </row>
    <row r="3559">
      <c r="D3559" s="81"/>
      <c r="E3559" s="81"/>
      <c r="F3559" s="81"/>
      <c r="G3559" s="81"/>
      <c r="H3559" s="81"/>
      <c r="I3559" s="81"/>
    </row>
    <row r="3560">
      <c r="D3560" s="81"/>
      <c r="E3560" s="81"/>
      <c r="F3560" s="81"/>
      <c r="G3560" s="81"/>
      <c r="H3560" s="81"/>
      <c r="I3560" s="81"/>
    </row>
    <row r="3561">
      <c r="D3561" s="81"/>
      <c r="E3561" s="81"/>
      <c r="F3561" s="81"/>
      <c r="G3561" s="81"/>
      <c r="H3561" s="81"/>
      <c r="I3561" s="81"/>
    </row>
    <row r="3562">
      <c r="D3562" s="81"/>
      <c r="E3562" s="81"/>
      <c r="F3562" s="81"/>
      <c r="G3562" s="81"/>
      <c r="H3562" s="81"/>
      <c r="I3562" s="81"/>
    </row>
    <row r="3563">
      <c r="D3563" s="81"/>
      <c r="E3563" s="81"/>
      <c r="F3563" s="81"/>
      <c r="G3563" s="81"/>
      <c r="H3563" s="81"/>
      <c r="I3563" s="81"/>
    </row>
    <row r="3564">
      <c r="D3564" s="81"/>
      <c r="E3564" s="81"/>
      <c r="F3564" s="81"/>
      <c r="G3564" s="81"/>
      <c r="H3564" s="81"/>
      <c r="I3564" s="81"/>
    </row>
    <row r="3565">
      <c r="D3565" s="81"/>
      <c r="E3565" s="81"/>
      <c r="F3565" s="81"/>
      <c r="G3565" s="81"/>
      <c r="H3565" s="81"/>
      <c r="I3565" s="81"/>
    </row>
    <row r="3566">
      <c r="D3566" s="81"/>
      <c r="E3566" s="81"/>
      <c r="F3566" s="81"/>
      <c r="G3566" s="81"/>
      <c r="H3566" s="81"/>
      <c r="I3566" s="81"/>
    </row>
    <row r="3567">
      <c r="D3567" s="81"/>
      <c r="E3567" s="81"/>
      <c r="F3567" s="81"/>
      <c r="G3567" s="81"/>
      <c r="H3567" s="81"/>
      <c r="I3567" s="81"/>
    </row>
    <row r="3568">
      <c r="D3568" s="81"/>
      <c r="E3568" s="81"/>
      <c r="F3568" s="81"/>
      <c r="G3568" s="81"/>
      <c r="H3568" s="81"/>
      <c r="I3568" s="81"/>
    </row>
    <row r="3569">
      <c r="D3569" s="81"/>
      <c r="E3569" s="81"/>
      <c r="F3569" s="81"/>
      <c r="G3569" s="81"/>
      <c r="H3569" s="81"/>
      <c r="I3569" s="81"/>
    </row>
    <row r="3570">
      <c r="D3570" s="81"/>
      <c r="E3570" s="81"/>
      <c r="F3570" s="81"/>
      <c r="G3570" s="81"/>
      <c r="H3570" s="81"/>
      <c r="I3570" s="81"/>
    </row>
    <row r="3571">
      <c r="D3571" s="81"/>
      <c r="E3571" s="81"/>
      <c r="F3571" s="81"/>
      <c r="G3571" s="81"/>
      <c r="H3571" s="81"/>
      <c r="I3571" s="81"/>
    </row>
    <row r="3572">
      <c r="D3572" s="81"/>
      <c r="E3572" s="81"/>
      <c r="F3572" s="81"/>
      <c r="G3572" s="81"/>
      <c r="H3572" s="81"/>
      <c r="I3572" s="81"/>
    </row>
    <row r="3573">
      <c r="D3573" s="81"/>
      <c r="E3573" s="81"/>
      <c r="F3573" s="81"/>
      <c r="G3573" s="81"/>
      <c r="H3573" s="81"/>
      <c r="I3573" s="81"/>
    </row>
    <row r="3574">
      <c r="D3574" s="81"/>
      <c r="E3574" s="81"/>
      <c r="F3574" s="81"/>
      <c r="G3574" s="81"/>
      <c r="H3574" s="81"/>
      <c r="I3574" s="81"/>
    </row>
    <row r="3575">
      <c r="D3575" s="81"/>
      <c r="E3575" s="81"/>
      <c r="F3575" s="81"/>
      <c r="G3575" s="81"/>
      <c r="H3575" s="81"/>
      <c r="I3575" s="81"/>
    </row>
    <row r="3576">
      <c r="D3576" s="81"/>
      <c r="E3576" s="81"/>
      <c r="F3576" s="81"/>
      <c r="G3576" s="81"/>
      <c r="H3576" s="81"/>
      <c r="I3576" s="81"/>
    </row>
    <row r="3577">
      <c r="D3577" s="81"/>
      <c r="E3577" s="81"/>
      <c r="F3577" s="81"/>
      <c r="G3577" s="81"/>
      <c r="H3577" s="81"/>
      <c r="I3577" s="81"/>
    </row>
    <row r="3578">
      <c r="D3578" s="81"/>
      <c r="E3578" s="81"/>
      <c r="F3578" s="81"/>
      <c r="G3578" s="81"/>
      <c r="H3578" s="81"/>
      <c r="I3578" s="81"/>
    </row>
    <row r="3579">
      <c r="D3579" s="81"/>
      <c r="E3579" s="81"/>
      <c r="F3579" s="81"/>
      <c r="G3579" s="81"/>
      <c r="H3579" s="81"/>
      <c r="I3579" s="81"/>
    </row>
    <row r="3580">
      <c r="D3580" s="81"/>
      <c r="E3580" s="81"/>
      <c r="F3580" s="81"/>
      <c r="G3580" s="81"/>
      <c r="H3580" s="81"/>
      <c r="I3580" s="81"/>
    </row>
    <row r="3581">
      <c r="D3581" s="81"/>
      <c r="E3581" s="81"/>
      <c r="F3581" s="81"/>
      <c r="G3581" s="81"/>
      <c r="H3581" s="81"/>
      <c r="I3581" s="81"/>
    </row>
    <row r="3582">
      <c r="D3582" s="81"/>
      <c r="E3582" s="81"/>
      <c r="F3582" s="81"/>
      <c r="G3582" s="81"/>
      <c r="H3582" s="81"/>
      <c r="I3582" s="81"/>
    </row>
    <row r="3583">
      <c r="D3583" s="81"/>
      <c r="E3583" s="81"/>
      <c r="F3583" s="81"/>
      <c r="G3583" s="81"/>
      <c r="H3583" s="81"/>
      <c r="I3583" s="81"/>
    </row>
    <row r="3584">
      <c r="D3584" s="81"/>
      <c r="E3584" s="81"/>
      <c r="F3584" s="81"/>
      <c r="G3584" s="81"/>
      <c r="H3584" s="81"/>
      <c r="I3584" s="81"/>
    </row>
    <row r="3585">
      <c r="D3585" s="81"/>
      <c r="E3585" s="81"/>
      <c r="F3585" s="81"/>
      <c r="G3585" s="81"/>
      <c r="H3585" s="81"/>
      <c r="I3585" s="81"/>
    </row>
    <row r="3586">
      <c r="D3586" s="81"/>
      <c r="E3586" s="81"/>
      <c r="F3586" s="81"/>
      <c r="G3586" s="81"/>
      <c r="H3586" s="81"/>
      <c r="I3586" s="81"/>
    </row>
    <row r="3587">
      <c r="D3587" s="81"/>
      <c r="E3587" s="81"/>
      <c r="F3587" s="81"/>
      <c r="G3587" s="81"/>
      <c r="H3587" s="81"/>
      <c r="I3587" s="81"/>
    </row>
    <row r="3588">
      <c r="D3588" s="81"/>
      <c r="E3588" s="81"/>
      <c r="F3588" s="81"/>
      <c r="G3588" s="81"/>
      <c r="H3588" s="81"/>
      <c r="I3588" s="81"/>
    </row>
    <row r="3589">
      <c r="D3589" s="81"/>
      <c r="E3589" s="81"/>
      <c r="F3589" s="81"/>
      <c r="G3589" s="81"/>
      <c r="H3589" s="81"/>
      <c r="I3589" s="81"/>
    </row>
    <row r="3590">
      <c r="D3590" s="81"/>
      <c r="E3590" s="81"/>
      <c r="F3590" s="81"/>
      <c r="G3590" s="81"/>
      <c r="H3590" s="81"/>
      <c r="I3590" s="81"/>
    </row>
    <row r="3591">
      <c r="D3591" s="81"/>
      <c r="E3591" s="81"/>
      <c r="F3591" s="81"/>
      <c r="G3591" s="81"/>
      <c r="H3591" s="81"/>
      <c r="I3591" s="81"/>
    </row>
    <row r="3592">
      <c r="D3592" s="81"/>
      <c r="E3592" s="81"/>
      <c r="F3592" s="81"/>
      <c r="G3592" s="81"/>
      <c r="H3592" s="81"/>
      <c r="I3592" s="81"/>
    </row>
    <row r="3593">
      <c r="D3593" s="81"/>
      <c r="E3593" s="81"/>
      <c r="F3593" s="81"/>
      <c r="G3593" s="81"/>
      <c r="H3593" s="81"/>
      <c r="I3593" s="81"/>
    </row>
    <row r="3594">
      <c r="D3594" s="81"/>
      <c r="E3594" s="81"/>
      <c r="F3594" s="81"/>
      <c r="G3594" s="81"/>
      <c r="H3594" s="81"/>
      <c r="I3594" s="81"/>
    </row>
    <row r="3595">
      <c r="D3595" s="81"/>
      <c r="E3595" s="81"/>
      <c r="F3595" s="81"/>
      <c r="G3595" s="81"/>
      <c r="H3595" s="81"/>
      <c r="I3595" s="81"/>
    </row>
    <row r="3596">
      <c r="D3596" s="81"/>
      <c r="E3596" s="81"/>
      <c r="F3596" s="81"/>
      <c r="G3596" s="81"/>
      <c r="H3596" s="81"/>
      <c r="I3596" s="81"/>
    </row>
    <row r="3597">
      <c r="D3597" s="81"/>
      <c r="E3597" s="81"/>
      <c r="F3597" s="81"/>
      <c r="G3597" s="81"/>
      <c r="H3597" s="81"/>
      <c r="I3597" s="81"/>
    </row>
    <row r="3598">
      <c r="D3598" s="81"/>
      <c r="E3598" s="81"/>
      <c r="F3598" s="81"/>
      <c r="G3598" s="81"/>
      <c r="H3598" s="81"/>
      <c r="I3598" s="81"/>
    </row>
    <row r="3599">
      <c r="D3599" s="81"/>
      <c r="E3599" s="81"/>
      <c r="F3599" s="81"/>
      <c r="G3599" s="81"/>
      <c r="H3599" s="81"/>
      <c r="I3599" s="81"/>
    </row>
    <row r="3600">
      <c r="D3600" s="81"/>
      <c r="E3600" s="81"/>
      <c r="F3600" s="81"/>
      <c r="G3600" s="81"/>
      <c r="H3600" s="81"/>
      <c r="I3600" s="81"/>
    </row>
    <row r="3601">
      <c r="D3601" s="81"/>
      <c r="E3601" s="81"/>
      <c r="F3601" s="81"/>
      <c r="G3601" s="81"/>
      <c r="H3601" s="81"/>
      <c r="I3601" s="81"/>
    </row>
    <row r="3602">
      <c r="D3602" s="81"/>
      <c r="E3602" s="81"/>
      <c r="F3602" s="81"/>
      <c r="G3602" s="81"/>
      <c r="H3602" s="81"/>
      <c r="I3602" s="81"/>
    </row>
    <row r="3603">
      <c r="D3603" s="81"/>
      <c r="E3603" s="81"/>
      <c r="F3603" s="81"/>
      <c r="G3603" s="81"/>
      <c r="H3603" s="81"/>
      <c r="I3603" s="81"/>
    </row>
    <row r="3604">
      <c r="D3604" s="81"/>
      <c r="E3604" s="81"/>
      <c r="F3604" s="81"/>
      <c r="G3604" s="81"/>
      <c r="H3604" s="81"/>
      <c r="I3604" s="81"/>
    </row>
    <row r="3605">
      <c r="D3605" s="81"/>
      <c r="E3605" s="81"/>
      <c r="F3605" s="81"/>
      <c r="G3605" s="81"/>
      <c r="H3605" s="81"/>
      <c r="I3605" s="81"/>
    </row>
    <row r="3606">
      <c r="D3606" s="81"/>
      <c r="E3606" s="81"/>
      <c r="F3606" s="81"/>
      <c r="G3606" s="81"/>
      <c r="H3606" s="81"/>
      <c r="I3606" s="81"/>
    </row>
    <row r="3607">
      <c r="D3607" s="81"/>
      <c r="E3607" s="81"/>
      <c r="F3607" s="81"/>
      <c r="G3607" s="81"/>
      <c r="H3607" s="81"/>
      <c r="I3607" s="81"/>
    </row>
    <row r="3608">
      <c r="D3608" s="81"/>
      <c r="E3608" s="81"/>
      <c r="F3608" s="81"/>
      <c r="G3608" s="81"/>
      <c r="H3608" s="81"/>
      <c r="I3608" s="81"/>
    </row>
    <row r="3609">
      <c r="D3609" s="81"/>
      <c r="E3609" s="81"/>
      <c r="F3609" s="81"/>
      <c r="G3609" s="81"/>
      <c r="H3609" s="81"/>
      <c r="I3609" s="81"/>
    </row>
    <row r="3610">
      <c r="D3610" s="81"/>
      <c r="E3610" s="81"/>
      <c r="F3610" s="81"/>
      <c r="G3610" s="81"/>
      <c r="H3610" s="81"/>
      <c r="I3610" s="81"/>
    </row>
    <row r="3611">
      <c r="D3611" s="81"/>
      <c r="E3611" s="81"/>
      <c r="F3611" s="81"/>
      <c r="G3611" s="81"/>
      <c r="H3611" s="81"/>
      <c r="I3611" s="81"/>
    </row>
    <row r="3612">
      <c r="D3612" s="81"/>
      <c r="E3612" s="81"/>
      <c r="F3612" s="81"/>
      <c r="G3612" s="81"/>
      <c r="H3612" s="81"/>
      <c r="I3612" s="81"/>
    </row>
    <row r="3613">
      <c r="D3613" s="81"/>
      <c r="E3613" s="81"/>
      <c r="F3613" s="81"/>
      <c r="G3613" s="81"/>
      <c r="H3613" s="81"/>
      <c r="I3613" s="81"/>
    </row>
    <row r="3614">
      <c r="D3614" s="81"/>
      <c r="E3614" s="81"/>
      <c r="F3614" s="81"/>
      <c r="G3614" s="81"/>
      <c r="H3614" s="81"/>
      <c r="I3614" s="81"/>
    </row>
    <row r="3615">
      <c r="D3615" s="81"/>
      <c r="E3615" s="81"/>
      <c r="F3615" s="81"/>
      <c r="G3615" s="81"/>
      <c r="H3615" s="81"/>
      <c r="I3615" s="81"/>
    </row>
    <row r="3616">
      <c r="D3616" s="81"/>
      <c r="E3616" s="81"/>
      <c r="F3616" s="81"/>
      <c r="G3616" s="81"/>
      <c r="H3616" s="81"/>
      <c r="I3616" s="81"/>
    </row>
    <row r="3617">
      <c r="D3617" s="81"/>
      <c r="E3617" s="81"/>
      <c r="F3617" s="81"/>
      <c r="G3617" s="81"/>
      <c r="H3617" s="81"/>
      <c r="I3617" s="81"/>
    </row>
    <row r="3618">
      <c r="D3618" s="81"/>
      <c r="E3618" s="81"/>
      <c r="F3618" s="81"/>
      <c r="G3618" s="81"/>
      <c r="H3618" s="81"/>
      <c r="I3618" s="81"/>
    </row>
    <row r="3619">
      <c r="D3619" s="81"/>
      <c r="E3619" s="81"/>
      <c r="F3619" s="81"/>
      <c r="G3619" s="81"/>
      <c r="H3619" s="81"/>
      <c r="I3619" s="81"/>
    </row>
    <row r="3620">
      <c r="D3620" s="81"/>
      <c r="E3620" s="81"/>
      <c r="F3620" s="81"/>
      <c r="G3620" s="81"/>
      <c r="H3620" s="81"/>
      <c r="I3620" s="81"/>
    </row>
    <row r="3621">
      <c r="D3621" s="81"/>
      <c r="E3621" s="81"/>
      <c r="F3621" s="81"/>
      <c r="G3621" s="81"/>
      <c r="H3621" s="81"/>
      <c r="I3621" s="81"/>
    </row>
    <row r="3622">
      <c r="D3622" s="81"/>
      <c r="E3622" s="81"/>
      <c r="F3622" s="81"/>
      <c r="G3622" s="81"/>
      <c r="H3622" s="81"/>
      <c r="I3622" s="81"/>
    </row>
    <row r="3623">
      <c r="D3623" s="81"/>
      <c r="E3623" s="81"/>
      <c r="F3623" s="81"/>
      <c r="G3623" s="81"/>
      <c r="H3623" s="81"/>
      <c r="I3623" s="81"/>
    </row>
    <row r="3624">
      <c r="D3624" s="81"/>
      <c r="E3624" s="81"/>
      <c r="F3624" s="81"/>
      <c r="G3624" s="81"/>
      <c r="H3624" s="81"/>
      <c r="I3624" s="81"/>
    </row>
    <row r="3625">
      <c r="D3625" s="81"/>
      <c r="E3625" s="81"/>
      <c r="F3625" s="81"/>
      <c r="G3625" s="81"/>
      <c r="H3625" s="81"/>
      <c r="I3625" s="81"/>
    </row>
    <row r="3626">
      <c r="D3626" s="81"/>
      <c r="E3626" s="81"/>
      <c r="F3626" s="81"/>
      <c r="G3626" s="81"/>
      <c r="H3626" s="81"/>
      <c r="I3626" s="81"/>
    </row>
    <row r="3627">
      <c r="D3627" s="81"/>
      <c r="E3627" s="81"/>
      <c r="F3627" s="81"/>
      <c r="G3627" s="81"/>
      <c r="H3627" s="81"/>
      <c r="I3627" s="81"/>
    </row>
    <row r="3628">
      <c r="D3628" s="81"/>
      <c r="E3628" s="81"/>
      <c r="F3628" s="81"/>
      <c r="G3628" s="81"/>
      <c r="H3628" s="81"/>
      <c r="I3628" s="81"/>
    </row>
    <row r="3629">
      <c r="D3629" s="81"/>
      <c r="E3629" s="81"/>
      <c r="F3629" s="81"/>
      <c r="G3629" s="81"/>
      <c r="H3629" s="81"/>
      <c r="I3629" s="81"/>
    </row>
    <row r="3630">
      <c r="D3630" s="81"/>
      <c r="E3630" s="81"/>
      <c r="F3630" s="81"/>
      <c r="G3630" s="81"/>
      <c r="H3630" s="81"/>
      <c r="I3630" s="81"/>
    </row>
    <row r="3631">
      <c r="D3631" s="81"/>
      <c r="E3631" s="81"/>
      <c r="F3631" s="81"/>
      <c r="G3631" s="81"/>
      <c r="H3631" s="81"/>
      <c r="I3631" s="81"/>
    </row>
    <row r="3632">
      <c r="D3632" s="81"/>
      <c r="E3632" s="81"/>
      <c r="F3632" s="81"/>
      <c r="G3632" s="81"/>
      <c r="H3632" s="81"/>
      <c r="I3632" s="81"/>
    </row>
    <row r="3633">
      <c r="D3633" s="81"/>
      <c r="E3633" s="81"/>
      <c r="F3633" s="81"/>
      <c r="G3633" s="81"/>
      <c r="H3633" s="81"/>
      <c r="I3633" s="81"/>
    </row>
    <row r="3634">
      <c r="D3634" s="81"/>
      <c r="E3634" s="81"/>
      <c r="F3634" s="81"/>
      <c r="G3634" s="81"/>
      <c r="H3634" s="81"/>
      <c r="I3634" s="81"/>
    </row>
    <row r="3635">
      <c r="D3635" s="81"/>
      <c r="E3635" s="81"/>
      <c r="F3635" s="81"/>
      <c r="G3635" s="81"/>
      <c r="H3635" s="81"/>
      <c r="I3635" s="81"/>
    </row>
    <row r="3636">
      <c r="D3636" s="81"/>
      <c r="E3636" s="81"/>
      <c r="F3636" s="81"/>
      <c r="G3636" s="81"/>
      <c r="H3636" s="81"/>
      <c r="I3636" s="81"/>
    </row>
    <row r="3637">
      <c r="D3637" s="81"/>
      <c r="E3637" s="81"/>
      <c r="F3637" s="81"/>
      <c r="G3637" s="81"/>
      <c r="H3637" s="81"/>
      <c r="I3637" s="81"/>
    </row>
    <row r="3638">
      <c r="D3638" s="81"/>
      <c r="E3638" s="81"/>
      <c r="F3638" s="81"/>
      <c r="G3638" s="81"/>
      <c r="H3638" s="81"/>
      <c r="I3638" s="81"/>
    </row>
    <row r="3639">
      <c r="D3639" s="81"/>
      <c r="E3639" s="81"/>
      <c r="F3639" s="81"/>
      <c r="G3639" s="81"/>
      <c r="H3639" s="81"/>
      <c r="I3639" s="81"/>
    </row>
    <row r="3640">
      <c r="D3640" s="81"/>
      <c r="E3640" s="81"/>
      <c r="F3640" s="81"/>
      <c r="G3640" s="81"/>
      <c r="H3640" s="81"/>
      <c r="I3640" s="81"/>
    </row>
    <row r="3641">
      <c r="D3641" s="81"/>
      <c r="E3641" s="81"/>
      <c r="F3641" s="81"/>
      <c r="G3641" s="81"/>
      <c r="H3641" s="81"/>
      <c r="I3641" s="81"/>
    </row>
    <row r="3642">
      <c r="D3642" s="81"/>
      <c r="E3642" s="81"/>
      <c r="F3642" s="81"/>
      <c r="G3642" s="81"/>
      <c r="H3642" s="81"/>
      <c r="I3642" s="81"/>
    </row>
    <row r="3643">
      <c r="D3643" s="81"/>
      <c r="E3643" s="81"/>
      <c r="F3643" s="81"/>
      <c r="G3643" s="81"/>
      <c r="H3643" s="81"/>
      <c r="I3643" s="81"/>
    </row>
    <row r="3644">
      <c r="D3644" s="81"/>
      <c r="E3644" s="81"/>
      <c r="F3644" s="81"/>
      <c r="G3644" s="81"/>
      <c r="H3644" s="81"/>
      <c r="I3644" s="81"/>
    </row>
    <row r="3645">
      <c r="D3645" s="81"/>
      <c r="E3645" s="81"/>
      <c r="F3645" s="81"/>
      <c r="G3645" s="81"/>
      <c r="H3645" s="81"/>
      <c r="I3645" s="81"/>
    </row>
    <row r="3646">
      <c r="D3646" s="81"/>
      <c r="E3646" s="81"/>
      <c r="F3646" s="81"/>
      <c r="G3646" s="81"/>
      <c r="H3646" s="81"/>
      <c r="I3646" s="81"/>
    </row>
    <row r="3647">
      <c r="D3647" s="81"/>
      <c r="E3647" s="81"/>
      <c r="F3647" s="81"/>
      <c r="G3647" s="81"/>
      <c r="H3647" s="81"/>
      <c r="I3647" s="81"/>
    </row>
    <row r="3648">
      <c r="D3648" s="81"/>
      <c r="E3648" s="81"/>
      <c r="F3648" s="81"/>
      <c r="G3648" s="81"/>
      <c r="H3648" s="81"/>
      <c r="I3648" s="81"/>
    </row>
    <row r="3649">
      <c r="D3649" s="81"/>
      <c r="E3649" s="81"/>
      <c r="F3649" s="81"/>
      <c r="G3649" s="81"/>
      <c r="H3649" s="81"/>
      <c r="I3649" s="81"/>
    </row>
    <row r="3650">
      <c r="D3650" s="81"/>
      <c r="E3650" s="81"/>
      <c r="F3650" s="81"/>
      <c r="G3650" s="81"/>
      <c r="H3650" s="81"/>
      <c r="I3650" s="81"/>
    </row>
    <row r="3651">
      <c r="D3651" s="81"/>
      <c r="E3651" s="81"/>
      <c r="F3651" s="81"/>
      <c r="G3651" s="81"/>
      <c r="H3651" s="81"/>
      <c r="I3651" s="81"/>
    </row>
    <row r="3652">
      <c r="D3652" s="81"/>
      <c r="E3652" s="81"/>
      <c r="F3652" s="81"/>
      <c r="G3652" s="81"/>
      <c r="H3652" s="81"/>
      <c r="I3652" s="81"/>
    </row>
    <row r="3653">
      <c r="D3653" s="81"/>
      <c r="E3653" s="81"/>
      <c r="F3653" s="81"/>
      <c r="G3653" s="81"/>
      <c r="H3653" s="81"/>
      <c r="I3653" s="81"/>
    </row>
    <row r="3654">
      <c r="D3654" s="81"/>
      <c r="E3654" s="81"/>
      <c r="F3654" s="81"/>
      <c r="G3654" s="81"/>
      <c r="H3654" s="81"/>
      <c r="I3654" s="81"/>
    </row>
    <row r="3655">
      <c r="D3655" s="81"/>
      <c r="E3655" s="81"/>
      <c r="F3655" s="81"/>
      <c r="G3655" s="81"/>
      <c r="H3655" s="81"/>
      <c r="I3655" s="81"/>
    </row>
    <row r="3656">
      <c r="D3656" s="81"/>
      <c r="E3656" s="81"/>
      <c r="F3656" s="81"/>
      <c r="G3656" s="81"/>
      <c r="H3656" s="81"/>
      <c r="I3656" s="81"/>
    </row>
    <row r="3657">
      <c r="D3657" s="81"/>
      <c r="E3657" s="81"/>
      <c r="F3657" s="81"/>
      <c r="G3657" s="81"/>
      <c r="H3657" s="81"/>
      <c r="I3657" s="81"/>
    </row>
    <row r="3658">
      <c r="D3658" s="81"/>
      <c r="E3658" s="81"/>
      <c r="F3658" s="81"/>
      <c r="G3658" s="81"/>
      <c r="H3658" s="81"/>
      <c r="I3658" s="81"/>
    </row>
    <row r="3659">
      <c r="D3659" s="81"/>
      <c r="E3659" s="81"/>
      <c r="F3659" s="81"/>
      <c r="G3659" s="81"/>
      <c r="H3659" s="81"/>
      <c r="I3659" s="81"/>
    </row>
    <row r="3660">
      <c r="D3660" s="81"/>
      <c r="E3660" s="81"/>
      <c r="F3660" s="81"/>
      <c r="G3660" s="81"/>
      <c r="H3660" s="81"/>
      <c r="I3660" s="81"/>
    </row>
    <row r="3661">
      <c r="D3661" s="81"/>
      <c r="E3661" s="81"/>
      <c r="F3661" s="81"/>
      <c r="G3661" s="81"/>
      <c r="H3661" s="81"/>
      <c r="I3661" s="81"/>
    </row>
    <row r="3662">
      <c r="D3662" s="81"/>
      <c r="E3662" s="81"/>
      <c r="F3662" s="81"/>
      <c r="G3662" s="81"/>
      <c r="H3662" s="81"/>
      <c r="I3662" s="81"/>
    </row>
    <row r="3663">
      <c r="D3663" s="81"/>
      <c r="E3663" s="81"/>
      <c r="F3663" s="81"/>
      <c r="G3663" s="81"/>
      <c r="H3663" s="81"/>
      <c r="I3663" s="81"/>
    </row>
    <row r="3664">
      <c r="D3664" s="81"/>
      <c r="E3664" s="81"/>
      <c r="F3664" s="81"/>
      <c r="G3664" s="81"/>
      <c r="H3664" s="81"/>
      <c r="I3664" s="81"/>
    </row>
    <row r="3665">
      <c r="D3665" s="81"/>
      <c r="E3665" s="81"/>
      <c r="F3665" s="81"/>
      <c r="G3665" s="81"/>
      <c r="H3665" s="81"/>
      <c r="I3665" s="81"/>
    </row>
    <row r="3666">
      <c r="D3666" s="81"/>
      <c r="E3666" s="81"/>
      <c r="F3666" s="81"/>
      <c r="G3666" s="81"/>
      <c r="H3666" s="81"/>
      <c r="I3666" s="81"/>
    </row>
    <row r="3667">
      <c r="D3667" s="81"/>
      <c r="E3667" s="81"/>
      <c r="F3667" s="81"/>
      <c r="G3667" s="81"/>
      <c r="H3667" s="81"/>
      <c r="I3667" s="81"/>
    </row>
    <row r="3668">
      <c r="D3668" s="81"/>
      <c r="E3668" s="81"/>
      <c r="F3668" s="81"/>
      <c r="G3668" s="81"/>
      <c r="H3668" s="81"/>
      <c r="I3668" s="81"/>
    </row>
    <row r="3669">
      <c r="D3669" s="81"/>
      <c r="E3669" s="81"/>
      <c r="F3669" s="81"/>
      <c r="G3669" s="81"/>
      <c r="H3669" s="81"/>
      <c r="I3669" s="81"/>
    </row>
    <row r="3670">
      <c r="D3670" s="81"/>
      <c r="E3670" s="81"/>
      <c r="F3670" s="81"/>
      <c r="G3670" s="81"/>
      <c r="H3670" s="81"/>
      <c r="I3670" s="81"/>
    </row>
    <row r="3671">
      <c r="D3671" s="81"/>
      <c r="E3671" s="81"/>
      <c r="F3671" s="81"/>
      <c r="G3671" s="81"/>
      <c r="H3671" s="81"/>
      <c r="I3671" s="81"/>
    </row>
    <row r="3672">
      <c r="D3672" s="81"/>
      <c r="E3672" s="81"/>
      <c r="F3672" s="81"/>
      <c r="G3672" s="81"/>
      <c r="H3672" s="81"/>
      <c r="I3672" s="81"/>
    </row>
    <row r="3673">
      <c r="D3673" s="81"/>
      <c r="E3673" s="81"/>
      <c r="F3673" s="81"/>
      <c r="G3673" s="81"/>
      <c r="H3673" s="81"/>
      <c r="I3673" s="81"/>
    </row>
    <row r="3674">
      <c r="D3674" s="81"/>
      <c r="E3674" s="81"/>
      <c r="F3674" s="81"/>
      <c r="G3674" s="81"/>
      <c r="H3674" s="81"/>
      <c r="I3674" s="81"/>
    </row>
    <row r="3675">
      <c r="D3675" s="81"/>
      <c r="E3675" s="81"/>
      <c r="F3675" s="81"/>
      <c r="G3675" s="81"/>
      <c r="H3675" s="81"/>
      <c r="I3675" s="81"/>
    </row>
    <row r="3676">
      <c r="D3676" s="81"/>
      <c r="E3676" s="81"/>
      <c r="F3676" s="81"/>
      <c r="G3676" s="81"/>
      <c r="H3676" s="81"/>
      <c r="I3676" s="81"/>
    </row>
    <row r="3677">
      <c r="D3677" s="81"/>
      <c r="E3677" s="81"/>
      <c r="F3677" s="81"/>
      <c r="G3677" s="81"/>
      <c r="H3677" s="81"/>
      <c r="I3677" s="81"/>
    </row>
    <row r="3678">
      <c r="D3678" s="81"/>
      <c r="E3678" s="81"/>
      <c r="F3678" s="81"/>
      <c r="G3678" s="81"/>
      <c r="H3678" s="81"/>
      <c r="I3678" s="81"/>
    </row>
    <row r="3679">
      <c r="D3679" s="81"/>
      <c r="E3679" s="81"/>
      <c r="F3679" s="81"/>
      <c r="G3679" s="81"/>
      <c r="H3679" s="81"/>
      <c r="I3679" s="81"/>
    </row>
    <row r="3680">
      <c r="D3680" s="81"/>
      <c r="E3680" s="81"/>
      <c r="F3680" s="81"/>
      <c r="G3680" s="81"/>
      <c r="H3680" s="81"/>
      <c r="I3680" s="81"/>
    </row>
    <row r="3681">
      <c r="D3681" s="81"/>
      <c r="E3681" s="81"/>
      <c r="F3681" s="81"/>
      <c r="G3681" s="81"/>
      <c r="H3681" s="81"/>
      <c r="I3681" s="81"/>
    </row>
    <row r="3682">
      <c r="D3682" s="81"/>
      <c r="E3682" s="81"/>
      <c r="F3682" s="81"/>
      <c r="G3682" s="81"/>
      <c r="H3682" s="81"/>
      <c r="I3682" s="81"/>
    </row>
    <row r="3683">
      <c r="D3683" s="81"/>
      <c r="E3683" s="81"/>
      <c r="F3683" s="81"/>
      <c r="G3683" s="81"/>
      <c r="H3683" s="81"/>
      <c r="I3683" s="81"/>
    </row>
    <row r="3684">
      <c r="D3684" s="81"/>
      <c r="E3684" s="81"/>
      <c r="F3684" s="81"/>
      <c r="G3684" s="81"/>
      <c r="H3684" s="81"/>
      <c r="I3684" s="81"/>
    </row>
    <row r="3685">
      <c r="D3685" s="81"/>
      <c r="E3685" s="81"/>
      <c r="F3685" s="81"/>
      <c r="G3685" s="81"/>
      <c r="H3685" s="81"/>
      <c r="I3685" s="81"/>
    </row>
    <row r="3686">
      <c r="D3686" s="81"/>
      <c r="E3686" s="81"/>
      <c r="F3686" s="81"/>
      <c r="G3686" s="81"/>
      <c r="H3686" s="81"/>
      <c r="I3686" s="81"/>
    </row>
    <row r="3687">
      <c r="D3687" s="81"/>
      <c r="E3687" s="81"/>
      <c r="F3687" s="81"/>
      <c r="G3687" s="81"/>
      <c r="H3687" s="81"/>
      <c r="I3687" s="81"/>
    </row>
    <row r="3688">
      <c r="D3688" s="81"/>
      <c r="E3688" s="81"/>
      <c r="F3688" s="81"/>
      <c r="G3688" s="81"/>
      <c r="H3688" s="81"/>
      <c r="I3688" s="81"/>
    </row>
    <row r="3689">
      <c r="D3689" s="81"/>
      <c r="E3689" s="81"/>
      <c r="F3689" s="81"/>
      <c r="G3689" s="81"/>
      <c r="H3689" s="81"/>
      <c r="I3689" s="81"/>
    </row>
    <row r="3690">
      <c r="D3690" s="81"/>
      <c r="E3690" s="81"/>
      <c r="F3690" s="81"/>
      <c r="G3690" s="81"/>
      <c r="H3690" s="81"/>
      <c r="I3690" s="81"/>
    </row>
    <row r="3691">
      <c r="D3691" s="81"/>
      <c r="E3691" s="81"/>
      <c r="F3691" s="81"/>
      <c r="G3691" s="81"/>
      <c r="H3691" s="81"/>
      <c r="I3691" s="81"/>
    </row>
    <row r="3692">
      <c r="D3692" s="81"/>
      <c r="E3692" s="81"/>
      <c r="F3692" s="81"/>
      <c r="G3692" s="81"/>
      <c r="H3692" s="81"/>
      <c r="I3692" s="81"/>
    </row>
    <row r="3693">
      <c r="D3693" s="81"/>
      <c r="E3693" s="81"/>
      <c r="F3693" s="81"/>
      <c r="G3693" s="81"/>
      <c r="H3693" s="81"/>
      <c r="I3693" s="81"/>
    </row>
    <row r="3694">
      <c r="D3694" s="81"/>
      <c r="E3694" s="81"/>
      <c r="F3694" s="81"/>
      <c r="G3694" s="81"/>
      <c r="H3694" s="81"/>
      <c r="I3694" s="81"/>
    </row>
    <row r="3695">
      <c r="D3695" s="81"/>
      <c r="E3695" s="81"/>
      <c r="F3695" s="81"/>
      <c r="G3695" s="81"/>
      <c r="H3695" s="81"/>
      <c r="I3695" s="81"/>
    </row>
    <row r="3696">
      <c r="D3696" s="81"/>
      <c r="E3696" s="81"/>
      <c r="F3696" s="81"/>
      <c r="G3696" s="81"/>
      <c r="H3696" s="81"/>
      <c r="I3696" s="81"/>
    </row>
    <row r="3697">
      <c r="D3697" s="81"/>
      <c r="E3697" s="81"/>
      <c r="F3697" s="81"/>
      <c r="G3697" s="81"/>
      <c r="H3697" s="81"/>
      <c r="I3697" s="81"/>
    </row>
    <row r="3698">
      <c r="D3698" s="81"/>
      <c r="E3698" s="81"/>
      <c r="F3698" s="81"/>
      <c r="G3698" s="81"/>
      <c r="H3698" s="81"/>
      <c r="I3698" s="81"/>
    </row>
    <row r="3699">
      <c r="D3699" s="81"/>
      <c r="E3699" s="81"/>
      <c r="F3699" s="81"/>
      <c r="G3699" s="81"/>
      <c r="H3699" s="81"/>
      <c r="I3699" s="81"/>
    </row>
    <row r="3700">
      <c r="D3700" s="81"/>
      <c r="E3700" s="81"/>
      <c r="F3700" s="81"/>
      <c r="G3700" s="81"/>
      <c r="H3700" s="81"/>
      <c r="I3700" s="81"/>
    </row>
    <row r="3701">
      <c r="D3701" s="81"/>
      <c r="E3701" s="81"/>
      <c r="F3701" s="81"/>
      <c r="G3701" s="81"/>
      <c r="H3701" s="81"/>
      <c r="I3701" s="81"/>
    </row>
    <row r="3702">
      <c r="D3702" s="81"/>
      <c r="E3702" s="81"/>
      <c r="F3702" s="81"/>
      <c r="G3702" s="81"/>
      <c r="H3702" s="81"/>
      <c r="I3702" s="81"/>
    </row>
    <row r="3703">
      <c r="D3703" s="81"/>
      <c r="E3703" s="81"/>
      <c r="F3703" s="81"/>
      <c r="G3703" s="81"/>
      <c r="H3703" s="81"/>
      <c r="I3703" s="81"/>
    </row>
    <row r="3704">
      <c r="D3704" s="81"/>
      <c r="E3704" s="81"/>
      <c r="F3704" s="81"/>
      <c r="G3704" s="81"/>
      <c r="H3704" s="81"/>
      <c r="I3704" s="81"/>
    </row>
    <row r="3705">
      <c r="D3705" s="81"/>
      <c r="E3705" s="81"/>
      <c r="F3705" s="81"/>
      <c r="G3705" s="81"/>
      <c r="H3705" s="81"/>
      <c r="I3705" s="81"/>
    </row>
    <row r="3706">
      <c r="D3706" s="81"/>
      <c r="E3706" s="81"/>
      <c r="F3706" s="81"/>
      <c r="G3706" s="81"/>
      <c r="H3706" s="81"/>
      <c r="I3706" s="81"/>
    </row>
    <row r="3707">
      <c r="D3707" s="81"/>
      <c r="E3707" s="81"/>
      <c r="F3707" s="81"/>
      <c r="G3707" s="81"/>
      <c r="H3707" s="81"/>
      <c r="I3707" s="81"/>
    </row>
    <row r="3708">
      <c r="D3708" s="81"/>
      <c r="E3708" s="81"/>
      <c r="F3708" s="81"/>
      <c r="G3708" s="81"/>
      <c r="H3708" s="81"/>
      <c r="I3708" s="81"/>
    </row>
    <row r="3709">
      <c r="D3709" s="81"/>
      <c r="E3709" s="81"/>
      <c r="F3709" s="81"/>
      <c r="G3709" s="81"/>
      <c r="H3709" s="81"/>
      <c r="I3709" s="81"/>
    </row>
    <row r="3710">
      <c r="D3710" s="81"/>
      <c r="E3710" s="81"/>
      <c r="F3710" s="81"/>
      <c r="G3710" s="81"/>
      <c r="H3710" s="81"/>
      <c r="I3710" s="81"/>
    </row>
    <row r="3711">
      <c r="D3711" s="81"/>
      <c r="E3711" s="81"/>
      <c r="F3711" s="81"/>
      <c r="G3711" s="81"/>
      <c r="H3711" s="81"/>
      <c r="I3711" s="81"/>
    </row>
    <row r="3712">
      <c r="D3712" s="81"/>
      <c r="E3712" s="81"/>
      <c r="F3712" s="81"/>
      <c r="G3712" s="81"/>
      <c r="H3712" s="81"/>
      <c r="I3712" s="81"/>
    </row>
    <row r="3713">
      <c r="D3713" s="81"/>
      <c r="E3713" s="81"/>
      <c r="F3713" s="81"/>
      <c r="G3713" s="81"/>
      <c r="H3713" s="81"/>
      <c r="I3713" s="81"/>
    </row>
    <row r="3714">
      <c r="D3714" s="81"/>
      <c r="E3714" s="81"/>
      <c r="F3714" s="81"/>
      <c r="G3714" s="81"/>
      <c r="H3714" s="81"/>
      <c r="I3714" s="81"/>
    </row>
    <row r="3715">
      <c r="D3715" s="81"/>
      <c r="E3715" s="81"/>
      <c r="F3715" s="81"/>
      <c r="G3715" s="81"/>
      <c r="H3715" s="81"/>
      <c r="I3715" s="81"/>
    </row>
    <row r="3716">
      <c r="D3716" s="81"/>
      <c r="E3716" s="81"/>
      <c r="F3716" s="81"/>
      <c r="G3716" s="81"/>
      <c r="H3716" s="81"/>
      <c r="I3716" s="81"/>
    </row>
    <row r="3717">
      <c r="D3717" s="81"/>
      <c r="E3717" s="81"/>
      <c r="F3717" s="81"/>
      <c r="G3717" s="81"/>
      <c r="H3717" s="81"/>
      <c r="I3717" s="81"/>
    </row>
    <row r="3718">
      <c r="D3718" s="81"/>
      <c r="E3718" s="81"/>
      <c r="F3718" s="81"/>
      <c r="G3718" s="81"/>
      <c r="H3718" s="81"/>
      <c r="I3718" s="81"/>
    </row>
    <row r="3719">
      <c r="D3719" s="81"/>
      <c r="E3719" s="81"/>
      <c r="F3719" s="81"/>
      <c r="G3719" s="81"/>
      <c r="H3719" s="81"/>
      <c r="I3719" s="81"/>
    </row>
    <row r="3720">
      <c r="D3720" s="81"/>
      <c r="E3720" s="81"/>
      <c r="F3720" s="81"/>
      <c r="G3720" s="81"/>
      <c r="H3720" s="81"/>
      <c r="I3720" s="81"/>
    </row>
    <row r="3721">
      <c r="D3721" s="81"/>
      <c r="E3721" s="81"/>
      <c r="F3721" s="81"/>
      <c r="G3721" s="81"/>
      <c r="H3721" s="81"/>
      <c r="I3721" s="81"/>
    </row>
    <row r="3722">
      <c r="D3722" s="81"/>
      <c r="E3722" s="81"/>
      <c r="F3722" s="81"/>
      <c r="G3722" s="81"/>
      <c r="H3722" s="81"/>
      <c r="I3722" s="81"/>
    </row>
    <row r="3723">
      <c r="D3723" s="81"/>
      <c r="E3723" s="81"/>
      <c r="F3723" s="81"/>
      <c r="G3723" s="81"/>
      <c r="H3723" s="81"/>
      <c r="I3723" s="81"/>
    </row>
    <row r="3724">
      <c r="D3724" s="81"/>
      <c r="E3724" s="81"/>
      <c r="F3724" s="81"/>
      <c r="G3724" s="81"/>
      <c r="H3724" s="81"/>
      <c r="I3724" s="81"/>
    </row>
    <row r="3725">
      <c r="D3725" s="81"/>
      <c r="E3725" s="81"/>
      <c r="F3725" s="81"/>
      <c r="G3725" s="81"/>
      <c r="H3725" s="81"/>
      <c r="I3725" s="81"/>
    </row>
    <row r="3726">
      <c r="D3726" s="81"/>
      <c r="E3726" s="81"/>
      <c r="F3726" s="81"/>
      <c r="G3726" s="81"/>
      <c r="H3726" s="81"/>
      <c r="I3726" s="81"/>
    </row>
    <row r="3727">
      <c r="D3727" s="81"/>
      <c r="E3727" s="81"/>
      <c r="F3727" s="81"/>
      <c r="G3727" s="81"/>
      <c r="H3727" s="81"/>
      <c r="I3727" s="81"/>
    </row>
    <row r="3728">
      <c r="D3728" s="81"/>
      <c r="E3728" s="81"/>
      <c r="F3728" s="81"/>
      <c r="G3728" s="81"/>
      <c r="H3728" s="81"/>
      <c r="I3728" s="81"/>
    </row>
    <row r="3729">
      <c r="D3729" s="81"/>
      <c r="E3729" s="81"/>
      <c r="F3729" s="81"/>
      <c r="G3729" s="81"/>
      <c r="H3729" s="81"/>
      <c r="I3729" s="81"/>
    </row>
    <row r="3730">
      <c r="D3730" s="81"/>
      <c r="E3730" s="81"/>
      <c r="F3730" s="81"/>
      <c r="G3730" s="81"/>
      <c r="H3730" s="81"/>
      <c r="I3730" s="81"/>
    </row>
    <row r="3731">
      <c r="D3731" s="81"/>
      <c r="E3731" s="81"/>
      <c r="F3731" s="81"/>
      <c r="G3731" s="81"/>
      <c r="H3731" s="81"/>
      <c r="I3731" s="81"/>
    </row>
    <row r="3732">
      <c r="D3732" s="81"/>
      <c r="E3732" s="81"/>
      <c r="F3732" s="81"/>
      <c r="G3732" s="81"/>
      <c r="H3732" s="81"/>
      <c r="I3732" s="81"/>
    </row>
    <row r="3733">
      <c r="D3733" s="81"/>
      <c r="E3733" s="81"/>
      <c r="F3733" s="81"/>
      <c r="G3733" s="81"/>
      <c r="H3733" s="81"/>
      <c r="I3733" s="81"/>
    </row>
    <row r="3734">
      <c r="D3734" s="81"/>
      <c r="E3734" s="81"/>
      <c r="F3734" s="81"/>
      <c r="G3734" s="81"/>
      <c r="H3734" s="81"/>
      <c r="I3734" s="81"/>
    </row>
    <row r="3735">
      <c r="D3735" s="81"/>
      <c r="E3735" s="81"/>
      <c r="F3735" s="81"/>
      <c r="G3735" s="81"/>
      <c r="H3735" s="81"/>
      <c r="I3735" s="81"/>
    </row>
    <row r="3736">
      <c r="D3736" s="81"/>
      <c r="E3736" s="81"/>
      <c r="F3736" s="81"/>
      <c r="G3736" s="81"/>
      <c r="H3736" s="81"/>
      <c r="I3736" s="81"/>
    </row>
    <row r="3737">
      <c r="D3737" s="81"/>
      <c r="E3737" s="81"/>
      <c r="F3737" s="81"/>
      <c r="G3737" s="81"/>
      <c r="H3737" s="81"/>
      <c r="I3737" s="81"/>
    </row>
    <row r="3738">
      <c r="D3738" s="81"/>
      <c r="E3738" s="81"/>
      <c r="F3738" s="81"/>
      <c r="G3738" s="81"/>
      <c r="H3738" s="81"/>
      <c r="I3738" s="81"/>
    </row>
    <row r="3739">
      <c r="D3739" s="81"/>
      <c r="E3739" s="81"/>
      <c r="F3739" s="81"/>
      <c r="G3739" s="81"/>
      <c r="H3739" s="81"/>
      <c r="I3739" s="81"/>
    </row>
    <row r="3740">
      <c r="D3740" s="81"/>
      <c r="E3740" s="81"/>
      <c r="F3740" s="81"/>
      <c r="G3740" s="81"/>
      <c r="H3740" s="81"/>
      <c r="I3740" s="81"/>
    </row>
    <row r="3741">
      <c r="D3741" s="81"/>
      <c r="E3741" s="81"/>
      <c r="F3741" s="81"/>
      <c r="G3741" s="81"/>
      <c r="H3741" s="81"/>
      <c r="I3741" s="81"/>
    </row>
    <row r="3742">
      <c r="D3742" s="81"/>
      <c r="E3742" s="81"/>
      <c r="F3742" s="81"/>
      <c r="G3742" s="81"/>
      <c r="H3742" s="81"/>
      <c r="I3742" s="81"/>
    </row>
    <row r="3743">
      <c r="D3743" s="81"/>
      <c r="E3743" s="81"/>
      <c r="F3743" s="81"/>
      <c r="G3743" s="81"/>
      <c r="H3743" s="81"/>
      <c r="I3743" s="81"/>
    </row>
    <row r="3744">
      <c r="D3744" s="81"/>
      <c r="E3744" s="81"/>
      <c r="F3744" s="81"/>
      <c r="G3744" s="81"/>
      <c r="H3744" s="81"/>
      <c r="I3744" s="81"/>
    </row>
    <row r="3745">
      <c r="D3745" s="81"/>
      <c r="E3745" s="81"/>
      <c r="F3745" s="81"/>
      <c r="G3745" s="81"/>
      <c r="H3745" s="81"/>
      <c r="I3745" s="81"/>
    </row>
    <row r="3746">
      <c r="D3746" s="81"/>
      <c r="E3746" s="81"/>
      <c r="F3746" s="81"/>
      <c r="G3746" s="81"/>
      <c r="H3746" s="81"/>
      <c r="I3746" s="81"/>
    </row>
    <row r="3747">
      <c r="D3747" s="81"/>
      <c r="E3747" s="81"/>
      <c r="F3747" s="81"/>
      <c r="G3747" s="81"/>
      <c r="H3747" s="81"/>
      <c r="I3747" s="81"/>
    </row>
    <row r="3748">
      <c r="D3748" s="81"/>
      <c r="E3748" s="81"/>
      <c r="F3748" s="81"/>
      <c r="G3748" s="81"/>
      <c r="H3748" s="81"/>
      <c r="I3748" s="81"/>
    </row>
    <row r="3749">
      <c r="D3749" s="81"/>
      <c r="E3749" s="81"/>
      <c r="F3749" s="81"/>
      <c r="G3749" s="81"/>
      <c r="H3749" s="81"/>
      <c r="I3749" s="81"/>
    </row>
    <row r="3750">
      <c r="D3750" s="81"/>
      <c r="E3750" s="81"/>
      <c r="F3750" s="81"/>
      <c r="G3750" s="81"/>
      <c r="H3750" s="81"/>
      <c r="I3750" s="81"/>
    </row>
    <row r="3751">
      <c r="D3751" s="81"/>
      <c r="E3751" s="81"/>
      <c r="F3751" s="81"/>
      <c r="G3751" s="81"/>
      <c r="H3751" s="81"/>
      <c r="I3751" s="81"/>
    </row>
    <row r="3752">
      <c r="D3752" s="81"/>
      <c r="E3752" s="81"/>
      <c r="F3752" s="81"/>
      <c r="G3752" s="81"/>
      <c r="H3752" s="81"/>
      <c r="I3752" s="81"/>
    </row>
    <row r="3753">
      <c r="D3753" s="81"/>
      <c r="E3753" s="81"/>
      <c r="F3753" s="81"/>
      <c r="G3753" s="81"/>
      <c r="H3753" s="81"/>
      <c r="I3753" s="81"/>
    </row>
    <row r="3754">
      <c r="D3754" s="81"/>
      <c r="E3754" s="81"/>
      <c r="F3754" s="81"/>
      <c r="G3754" s="81"/>
      <c r="H3754" s="81"/>
      <c r="I3754" s="81"/>
    </row>
    <row r="3755">
      <c r="D3755" s="81"/>
      <c r="E3755" s="81"/>
      <c r="F3755" s="81"/>
      <c r="G3755" s="81"/>
      <c r="H3755" s="81"/>
      <c r="I3755" s="81"/>
    </row>
    <row r="3756">
      <c r="D3756" s="81"/>
      <c r="E3756" s="81"/>
      <c r="F3756" s="81"/>
      <c r="G3756" s="81"/>
      <c r="H3756" s="81"/>
      <c r="I3756" s="81"/>
    </row>
    <row r="3757">
      <c r="D3757" s="81"/>
      <c r="E3757" s="81"/>
      <c r="F3757" s="81"/>
      <c r="G3757" s="81"/>
      <c r="H3757" s="81"/>
      <c r="I3757" s="81"/>
    </row>
    <row r="3758">
      <c r="D3758" s="81"/>
      <c r="E3758" s="81"/>
      <c r="F3758" s="81"/>
      <c r="G3758" s="81"/>
      <c r="H3758" s="81"/>
      <c r="I3758" s="81"/>
    </row>
    <row r="3759">
      <c r="D3759" s="81"/>
      <c r="E3759" s="81"/>
      <c r="F3759" s="81"/>
      <c r="G3759" s="81"/>
      <c r="H3759" s="81"/>
      <c r="I3759" s="81"/>
    </row>
    <row r="3760">
      <c r="D3760" s="81"/>
      <c r="E3760" s="81"/>
      <c r="F3760" s="81"/>
      <c r="G3760" s="81"/>
      <c r="H3760" s="81"/>
      <c r="I3760" s="81"/>
    </row>
    <row r="3761">
      <c r="D3761" s="81"/>
      <c r="E3761" s="81"/>
      <c r="F3761" s="81"/>
      <c r="G3761" s="81"/>
      <c r="H3761" s="81"/>
      <c r="I3761" s="81"/>
    </row>
    <row r="3762">
      <c r="D3762" s="81"/>
      <c r="E3762" s="81"/>
      <c r="F3762" s="81"/>
      <c r="G3762" s="81"/>
      <c r="H3762" s="81"/>
      <c r="I3762" s="81"/>
    </row>
    <row r="3763">
      <c r="D3763" s="81"/>
      <c r="E3763" s="81"/>
      <c r="F3763" s="81"/>
      <c r="G3763" s="81"/>
      <c r="H3763" s="81"/>
      <c r="I3763" s="81"/>
    </row>
    <row r="3764">
      <c r="D3764" s="81"/>
      <c r="E3764" s="81"/>
      <c r="F3764" s="81"/>
      <c r="G3764" s="81"/>
      <c r="H3764" s="81"/>
      <c r="I3764" s="81"/>
    </row>
    <row r="3765">
      <c r="D3765" s="81"/>
      <c r="E3765" s="81"/>
      <c r="F3765" s="81"/>
      <c r="G3765" s="81"/>
      <c r="H3765" s="81"/>
      <c r="I3765" s="81"/>
    </row>
    <row r="3766">
      <c r="D3766" s="81"/>
      <c r="E3766" s="81"/>
      <c r="F3766" s="81"/>
      <c r="G3766" s="81"/>
      <c r="H3766" s="81"/>
      <c r="I3766" s="81"/>
    </row>
    <row r="3767">
      <c r="D3767" s="81"/>
      <c r="E3767" s="81"/>
      <c r="F3767" s="81"/>
      <c r="G3767" s="81"/>
      <c r="H3767" s="81"/>
      <c r="I3767" s="81"/>
    </row>
    <row r="3768">
      <c r="D3768" s="81"/>
      <c r="E3768" s="81"/>
      <c r="F3768" s="81"/>
      <c r="G3768" s="81"/>
      <c r="H3768" s="81"/>
      <c r="I3768" s="81"/>
    </row>
    <row r="3769">
      <c r="D3769" s="81"/>
      <c r="E3769" s="81"/>
      <c r="F3769" s="81"/>
      <c r="G3769" s="81"/>
      <c r="H3769" s="81"/>
      <c r="I3769" s="81"/>
    </row>
    <row r="3770">
      <c r="D3770" s="81"/>
      <c r="E3770" s="81"/>
      <c r="F3770" s="81"/>
      <c r="G3770" s="81"/>
      <c r="H3770" s="81"/>
      <c r="I3770" s="81"/>
    </row>
    <row r="3771">
      <c r="D3771" s="81"/>
      <c r="E3771" s="81"/>
      <c r="F3771" s="81"/>
      <c r="G3771" s="81"/>
      <c r="H3771" s="81"/>
      <c r="I3771" s="81"/>
    </row>
    <row r="3772">
      <c r="D3772" s="81"/>
      <c r="E3772" s="81"/>
      <c r="F3772" s="81"/>
      <c r="G3772" s="81"/>
      <c r="H3772" s="81"/>
      <c r="I3772" s="81"/>
    </row>
    <row r="3773">
      <c r="D3773" s="81"/>
      <c r="E3773" s="81"/>
      <c r="F3773" s="81"/>
      <c r="G3773" s="81"/>
      <c r="H3773" s="81"/>
      <c r="I3773" s="81"/>
    </row>
    <row r="3774">
      <c r="D3774" s="81"/>
      <c r="E3774" s="81"/>
      <c r="F3774" s="81"/>
      <c r="G3774" s="81"/>
      <c r="H3774" s="81"/>
      <c r="I3774" s="81"/>
    </row>
    <row r="3775">
      <c r="D3775" s="81"/>
      <c r="E3775" s="81"/>
      <c r="F3775" s="81"/>
      <c r="G3775" s="81"/>
      <c r="H3775" s="81"/>
      <c r="I3775" s="81"/>
    </row>
    <row r="3776">
      <c r="D3776" s="81"/>
      <c r="E3776" s="81"/>
      <c r="F3776" s="81"/>
      <c r="G3776" s="81"/>
      <c r="H3776" s="81"/>
      <c r="I3776" s="81"/>
    </row>
    <row r="3777">
      <c r="D3777" s="81"/>
      <c r="E3777" s="81"/>
      <c r="F3777" s="81"/>
      <c r="G3777" s="81"/>
      <c r="H3777" s="81"/>
      <c r="I3777" s="81"/>
    </row>
    <row r="3778">
      <c r="D3778" s="81"/>
      <c r="E3778" s="81"/>
      <c r="F3778" s="81"/>
      <c r="G3778" s="81"/>
      <c r="H3778" s="81"/>
      <c r="I3778" s="81"/>
    </row>
    <row r="3779">
      <c r="D3779" s="81"/>
      <c r="E3779" s="81"/>
      <c r="F3779" s="81"/>
      <c r="G3779" s="81"/>
      <c r="H3779" s="81"/>
      <c r="I3779" s="81"/>
    </row>
    <row r="3780">
      <c r="D3780" s="81"/>
      <c r="E3780" s="81"/>
      <c r="F3780" s="81"/>
      <c r="G3780" s="81"/>
      <c r="H3780" s="81"/>
      <c r="I3780" s="81"/>
    </row>
    <row r="3781">
      <c r="D3781" s="81"/>
      <c r="E3781" s="81"/>
      <c r="F3781" s="81"/>
      <c r="G3781" s="81"/>
      <c r="H3781" s="81"/>
      <c r="I3781" s="81"/>
    </row>
    <row r="3782">
      <c r="D3782" s="81"/>
      <c r="E3782" s="81"/>
      <c r="F3782" s="81"/>
      <c r="G3782" s="81"/>
      <c r="H3782" s="81"/>
      <c r="I3782" s="81"/>
    </row>
    <row r="3783">
      <c r="D3783" s="81"/>
      <c r="E3783" s="81"/>
      <c r="F3783" s="81"/>
      <c r="G3783" s="81"/>
      <c r="H3783" s="81"/>
      <c r="I3783" s="81"/>
    </row>
    <row r="3784">
      <c r="D3784" s="81"/>
      <c r="E3784" s="81"/>
      <c r="F3784" s="81"/>
      <c r="G3784" s="81"/>
      <c r="H3784" s="81"/>
      <c r="I3784" s="81"/>
    </row>
    <row r="3785">
      <c r="D3785" s="81"/>
      <c r="E3785" s="81"/>
      <c r="F3785" s="81"/>
      <c r="G3785" s="81"/>
      <c r="H3785" s="81"/>
      <c r="I3785" s="81"/>
    </row>
    <row r="3786">
      <c r="D3786" s="81"/>
      <c r="E3786" s="81"/>
      <c r="F3786" s="81"/>
      <c r="G3786" s="81"/>
      <c r="H3786" s="81"/>
      <c r="I3786" s="81"/>
    </row>
    <row r="3787">
      <c r="D3787" s="81"/>
      <c r="E3787" s="81"/>
      <c r="F3787" s="81"/>
      <c r="G3787" s="81"/>
      <c r="H3787" s="81"/>
      <c r="I3787" s="81"/>
    </row>
    <row r="3788">
      <c r="D3788" s="81"/>
      <c r="E3788" s="81"/>
      <c r="F3788" s="81"/>
      <c r="G3788" s="81"/>
      <c r="H3788" s="81"/>
      <c r="I3788" s="81"/>
    </row>
    <row r="3789">
      <c r="D3789" s="81"/>
      <c r="E3789" s="81"/>
      <c r="F3789" s="81"/>
      <c r="G3789" s="81"/>
      <c r="H3789" s="81"/>
      <c r="I3789" s="81"/>
    </row>
    <row r="3790">
      <c r="D3790" s="81"/>
      <c r="E3790" s="81"/>
      <c r="F3790" s="81"/>
      <c r="G3790" s="81"/>
      <c r="H3790" s="81"/>
      <c r="I3790" s="81"/>
    </row>
    <row r="3791">
      <c r="D3791" s="81"/>
      <c r="E3791" s="81"/>
      <c r="F3791" s="81"/>
      <c r="G3791" s="81"/>
      <c r="H3791" s="81"/>
      <c r="I3791" s="81"/>
    </row>
    <row r="3792">
      <c r="D3792" s="81"/>
      <c r="E3792" s="81"/>
      <c r="F3792" s="81"/>
      <c r="G3792" s="81"/>
      <c r="H3792" s="81"/>
      <c r="I3792" s="81"/>
    </row>
    <row r="3793">
      <c r="D3793" s="81"/>
      <c r="E3793" s="81"/>
      <c r="F3793" s="81"/>
      <c r="G3793" s="81"/>
      <c r="H3793" s="81"/>
      <c r="I3793" s="81"/>
    </row>
    <row r="3794">
      <c r="D3794" s="81"/>
      <c r="E3794" s="81"/>
      <c r="F3794" s="81"/>
      <c r="G3794" s="81"/>
      <c r="H3794" s="81"/>
      <c r="I3794" s="81"/>
    </row>
    <row r="3795">
      <c r="D3795" s="81"/>
      <c r="E3795" s="81"/>
      <c r="F3795" s="81"/>
      <c r="G3795" s="81"/>
      <c r="H3795" s="81"/>
      <c r="I3795" s="81"/>
    </row>
    <row r="3796">
      <c r="D3796" s="81"/>
      <c r="E3796" s="81"/>
      <c r="F3796" s="81"/>
      <c r="G3796" s="81"/>
      <c r="H3796" s="81"/>
      <c r="I3796" s="81"/>
    </row>
    <row r="3797">
      <c r="D3797" s="81"/>
      <c r="E3797" s="81"/>
      <c r="F3797" s="81"/>
      <c r="G3797" s="81"/>
      <c r="H3797" s="81"/>
      <c r="I3797" s="81"/>
    </row>
    <row r="3798">
      <c r="D3798" s="81"/>
      <c r="E3798" s="81"/>
      <c r="F3798" s="81"/>
      <c r="G3798" s="81"/>
      <c r="H3798" s="81"/>
      <c r="I3798" s="81"/>
    </row>
    <row r="3799">
      <c r="D3799" s="81"/>
      <c r="E3799" s="81"/>
      <c r="F3799" s="81"/>
      <c r="G3799" s="81"/>
      <c r="H3799" s="81"/>
      <c r="I3799" s="81"/>
    </row>
    <row r="3800">
      <c r="D3800" s="81"/>
      <c r="E3800" s="81"/>
      <c r="F3800" s="81"/>
      <c r="G3800" s="81"/>
      <c r="H3800" s="81"/>
      <c r="I3800" s="81"/>
    </row>
    <row r="3801">
      <c r="D3801" s="81"/>
      <c r="E3801" s="81"/>
      <c r="F3801" s="81"/>
      <c r="G3801" s="81"/>
      <c r="H3801" s="81"/>
      <c r="I3801" s="81"/>
    </row>
    <row r="3802">
      <c r="D3802" s="81"/>
      <c r="E3802" s="81"/>
      <c r="F3802" s="81"/>
      <c r="G3802" s="81"/>
      <c r="H3802" s="81"/>
      <c r="I3802" s="81"/>
    </row>
    <row r="3803">
      <c r="D3803" s="81"/>
      <c r="E3803" s="81"/>
      <c r="F3803" s="81"/>
      <c r="G3803" s="81"/>
      <c r="H3803" s="81"/>
      <c r="I3803" s="81"/>
    </row>
    <row r="3804">
      <c r="D3804" s="81"/>
      <c r="E3804" s="81"/>
      <c r="F3804" s="81"/>
      <c r="G3804" s="81"/>
      <c r="H3804" s="81"/>
      <c r="I3804" s="81"/>
    </row>
    <row r="3805">
      <c r="D3805" s="81"/>
      <c r="E3805" s="81"/>
      <c r="F3805" s="81"/>
      <c r="G3805" s="81"/>
      <c r="H3805" s="81"/>
      <c r="I3805" s="81"/>
    </row>
    <row r="3806">
      <c r="D3806" s="81"/>
      <c r="E3806" s="81"/>
      <c r="F3806" s="81"/>
      <c r="G3806" s="81"/>
      <c r="H3806" s="81"/>
      <c r="I3806" s="81"/>
    </row>
    <row r="3807">
      <c r="D3807" s="81"/>
      <c r="E3807" s="81"/>
      <c r="F3807" s="81"/>
      <c r="G3807" s="81"/>
      <c r="H3807" s="81"/>
      <c r="I3807" s="81"/>
    </row>
    <row r="3808">
      <c r="D3808" s="81"/>
      <c r="E3808" s="81"/>
      <c r="F3808" s="81"/>
      <c r="G3808" s="81"/>
      <c r="H3808" s="81"/>
      <c r="I3808" s="81"/>
    </row>
    <row r="3809">
      <c r="D3809" s="81"/>
      <c r="E3809" s="81"/>
      <c r="F3809" s="81"/>
      <c r="G3809" s="81"/>
      <c r="H3809" s="81"/>
      <c r="I3809" s="81"/>
    </row>
    <row r="3810">
      <c r="D3810" s="81"/>
      <c r="E3810" s="81"/>
      <c r="F3810" s="81"/>
      <c r="G3810" s="81"/>
      <c r="H3810" s="81"/>
      <c r="I3810" s="81"/>
    </row>
    <row r="3811">
      <c r="D3811" s="81"/>
      <c r="E3811" s="81"/>
      <c r="F3811" s="81"/>
      <c r="G3811" s="81"/>
      <c r="H3811" s="81"/>
      <c r="I3811" s="81"/>
    </row>
    <row r="3812">
      <c r="D3812" s="81"/>
      <c r="E3812" s="81"/>
      <c r="F3812" s="81"/>
      <c r="G3812" s="81"/>
      <c r="H3812" s="81"/>
      <c r="I3812" s="81"/>
    </row>
    <row r="3813">
      <c r="D3813" s="81"/>
      <c r="E3813" s="81"/>
      <c r="F3813" s="81"/>
      <c r="G3813" s="81"/>
      <c r="H3813" s="81"/>
      <c r="I3813" s="81"/>
    </row>
    <row r="3814">
      <c r="D3814" s="81"/>
      <c r="E3814" s="81"/>
      <c r="F3814" s="81"/>
      <c r="G3814" s="81"/>
      <c r="H3814" s="81"/>
      <c r="I3814" s="81"/>
    </row>
    <row r="3815">
      <c r="D3815" s="81"/>
      <c r="E3815" s="81"/>
      <c r="F3815" s="81"/>
      <c r="G3815" s="81"/>
      <c r="H3815" s="81"/>
      <c r="I3815" s="81"/>
    </row>
    <row r="3816">
      <c r="D3816" s="81"/>
      <c r="E3816" s="81"/>
      <c r="F3816" s="81"/>
      <c r="G3816" s="81"/>
      <c r="H3816" s="81"/>
      <c r="I3816" s="81"/>
    </row>
    <row r="3817">
      <c r="D3817" s="81"/>
      <c r="E3817" s="81"/>
      <c r="F3817" s="81"/>
      <c r="G3817" s="81"/>
      <c r="H3817" s="81"/>
      <c r="I3817" s="81"/>
    </row>
    <row r="3818">
      <c r="D3818" s="81"/>
      <c r="E3818" s="81"/>
      <c r="F3818" s="81"/>
      <c r="G3818" s="81"/>
      <c r="H3818" s="81"/>
      <c r="I3818" s="81"/>
    </row>
    <row r="3819">
      <c r="D3819" s="81"/>
      <c r="E3819" s="81"/>
      <c r="F3819" s="81"/>
      <c r="G3819" s="81"/>
      <c r="H3819" s="81"/>
      <c r="I3819" s="81"/>
    </row>
    <row r="3820">
      <c r="D3820" s="81"/>
      <c r="E3820" s="81"/>
      <c r="F3820" s="81"/>
      <c r="G3820" s="81"/>
      <c r="H3820" s="81"/>
      <c r="I3820" s="81"/>
    </row>
    <row r="3821">
      <c r="D3821" s="81"/>
      <c r="E3821" s="81"/>
      <c r="F3821" s="81"/>
      <c r="G3821" s="81"/>
      <c r="H3821" s="81"/>
      <c r="I3821" s="81"/>
    </row>
    <row r="3822">
      <c r="D3822" s="81"/>
      <c r="E3822" s="81"/>
      <c r="F3822" s="81"/>
      <c r="G3822" s="81"/>
      <c r="H3822" s="81"/>
      <c r="I3822" s="81"/>
    </row>
    <row r="3823">
      <c r="D3823" s="81"/>
      <c r="E3823" s="81"/>
      <c r="F3823" s="81"/>
      <c r="G3823" s="81"/>
      <c r="H3823" s="81"/>
      <c r="I3823" s="81"/>
    </row>
    <row r="3824">
      <c r="D3824" s="81"/>
      <c r="E3824" s="81"/>
      <c r="F3824" s="81"/>
      <c r="G3824" s="81"/>
      <c r="H3824" s="81"/>
      <c r="I3824" s="81"/>
    </row>
    <row r="3825">
      <c r="D3825" s="81"/>
      <c r="E3825" s="81"/>
      <c r="F3825" s="81"/>
      <c r="G3825" s="81"/>
      <c r="H3825" s="81"/>
      <c r="I3825" s="81"/>
    </row>
    <row r="3826">
      <c r="D3826" s="81"/>
      <c r="E3826" s="81"/>
      <c r="F3826" s="81"/>
      <c r="G3826" s="81"/>
      <c r="H3826" s="81"/>
      <c r="I3826" s="81"/>
    </row>
    <row r="3827">
      <c r="D3827" s="81"/>
      <c r="E3827" s="81"/>
      <c r="F3827" s="81"/>
      <c r="G3827" s="81"/>
      <c r="H3827" s="81"/>
      <c r="I3827" s="81"/>
    </row>
    <row r="3828">
      <c r="D3828" s="81"/>
      <c r="E3828" s="81"/>
      <c r="F3828" s="81"/>
      <c r="G3828" s="81"/>
      <c r="H3828" s="81"/>
      <c r="I3828" s="81"/>
    </row>
    <row r="3829">
      <c r="D3829" s="81"/>
      <c r="E3829" s="81"/>
      <c r="F3829" s="81"/>
      <c r="G3829" s="81"/>
      <c r="H3829" s="81"/>
      <c r="I3829" s="81"/>
    </row>
    <row r="3830">
      <c r="D3830" s="81"/>
      <c r="E3830" s="81"/>
      <c r="F3830" s="81"/>
      <c r="G3830" s="81"/>
      <c r="H3830" s="81"/>
      <c r="I3830" s="81"/>
    </row>
    <row r="3831">
      <c r="D3831" s="81"/>
      <c r="E3831" s="81"/>
      <c r="F3831" s="81"/>
      <c r="G3831" s="81"/>
      <c r="H3831" s="81"/>
      <c r="I3831" s="81"/>
    </row>
    <row r="3832">
      <c r="D3832" s="81"/>
      <c r="E3832" s="81"/>
      <c r="F3832" s="81"/>
      <c r="G3832" s="81"/>
      <c r="H3832" s="81"/>
      <c r="I3832" s="81"/>
    </row>
    <row r="3833">
      <c r="D3833" s="81"/>
      <c r="E3833" s="81"/>
      <c r="F3833" s="81"/>
      <c r="G3833" s="81"/>
      <c r="H3833" s="81"/>
      <c r="I3833" s="81"/>
    </row>
    <row r="3834">
      <c r="D3834" s="81"/>
      <c r="E3834" s="81"/>
      <c r="F3834" s="81"/>
      <c r="G3834" s="81"/>
      <c r="H3834" s="81"/>
      <c r="I3834" s="81"/>
    </row>
    <row r="3835">
      <c r="D3835" s="81"/>
      <c r="E3835" s="81"/>
      <c r="F3835" s="81"/>
      <c r="G3835" s="81"/>
      <c r="H3835" s="81"/>
      <c r="I3835" s="81"/>
    </row>
    <row r="3836">
      <c r="D3836" s="81"/>
      <c r="E3836" s="81"/>
      <c r="F3836" s="81"/>
      <c r="G3836" s="81"/>
      <c r="H3836" s="81"/>
      <c r="I3836" s="81"/>
    </row>
    <row r="3837">
      <c r="D3837" s="81"/>
      <c r="E3837" s="81"/>
      <c r="F3837" s="81"/>
      <c r="G3837" s="81"/>
      <c r="H3837" s="81"/>
      <c r="I3837" s="81"/>
    </row>
    <row r="3838">
      <c r="D3838" s="81"/>
      <c r="E3838" s="81"/>
      <c r="F3838" s="81"/>
      <c r="G3838" s="81"/>
      <c r="H3838" s="81"/>
      <c r="I3838" s="81"/>
    </row>
    <row r="3839">
      <c r="D3839" s="81"/>
      <c r="E3839" s="81"/>
      <c r="F3839" s="81"/>
      <c r="G3839" s="81"/>
      <c r="H3839" s="81"/>
      <c r="I3839" s="81"/>
    </row>
    <row r="3840">
      <c r="D3840" s="81"/>
      <c r="E3840" s="81"/>
      <c r="F3840" s="81"/>
      <c r="G3840" s="81"/>
      <c r="H3840" s="81"/>
      <c r="I3840" s="81"/>
    </row>
    <row r="3841">
      <c r="D3841" s="81"/>
      <c r="E3841" s="81"/>
      <c r="F3841" s="81"/>
      <c r="G3841" s="81"/>
      <c r="H3841" s="81"/>
      <c r="I3841" s="81"/>
    </row>
    <row r="3842">
      <c r="D3842" s="81"/>
      <c r="E3842" s="81"/>
      <c r="F3842" s="81"/>
      <c r="G3842" s="81"/>
      <c r="H3842" s="81"/>
      <c r="I3842" s="81"/>
    </row>
    <row r="3843">
      <c r="D3843" s="81"/>
      <c r="E3843" s="81"/>
      <c r="F3843" s="81"/>
      <c r="G3843" s="81"/>
      <c r="H3843" s="81"/>
      <c r="I3843" s="81"/>
    </row>
    <row r="3844">
      <c r="D3844" s="81"/>
      <c r="E3844" s="81"/>
      <c r="F3844" s="81"/>
      <c r="G3844" s="81"/>
      <c r="H3844" s="81"/>
      <c r="I3844" s="81"/>
    </row>
    <row r="3845">
      <c r="D3845" s="81"/>
      <c r="E3845" s="81"/>
      <c r="F3845" s="81"/>
      <c r="G3845" s="81"/>
      <c r="H3845" s="81"/>
      <c r="I3845" s="81"/>
    </row>
    <row r="3846">
      <c r="D3846" s="81"/>
      <c r="E3846" s="81"/>
      <c r="F3846" s="81"/>
      <c r="G3846" s="81"/>
      <c r="H3846" s="81"/>
      <c r="I3846" s="81"/>
    </row>
    <row r="3847">
      <c r="D3847" s="81"/>
      <c r="E3847" s="81"/>
      <c r="F3847" s="81"/>
      <c r="G3847" s="81"/>
      <c r="H3847" s="81"/>
      <c r="I3847" s="81"/>
    </row>
    <row r="3848">
      <c r="D3848" s="81"/>
      <c r="E3848" s="81"/>
      <c r="F3848" s="81"/>
      <c r="G3848" s="81"/>
      <c r="H3848" s="81"/>
      <c r="I3848" s="81"/>
    </row>
    <row r="3849">
      <c r="D3849" s="81"/>
      <c r="E3849" s="81"/>
      <c r="F3849" s="81"/>
      <c r="G3849" s="81"/>
      <c r="H3849" s="81"/>
      <c r="I3849" s="81"/>
    </row>
    <row r="3850">
      <c r="D3850" s="81"/>
      <c r="E3850" s="81"/>
      <c r="F3850" s="81"/>
      <c r="G3850" s="81"/>
      <c r="H3850" s="81"/>
      <c r="I3850" s="81"/>
    </row>
    <row r="3851">
      <c r="D3851" s="81"/>
      <c r="E3851" s="81"/>
      <c r="F3851" s="81"/>
      <c r="G3851" s="81"/>
      <c r="H3851" s="81"/>
      <c r="I3851" s="81"/>
    </row>
    <row r="3852">
      <c r="D3852" s="81"/>
      <c r="E3852" s="81"/>
      <c r="F3852" s="81"/>
      <c r="G3852" s="81"/>
      <c r="H3852" s="81"/>
      <c r="I3852" s="81"/>
    </row>
    <row r="3853">
      <c r="D3853" s="81"/>
      <c r="E3853" s="81"/>
      <c r="F3853" s="81"/>
      <c r="G3853" s="81"/>
      <c r="H3853" s="81"/>
      <c r="I3853" s="81"/>
    </row>
    <row r="3854">
      <c r="D3854" s="81"/>
      <c r="E3854" s="81"/>
      <c r="F3854" s="81"/>
      <c r="G3854" s="81"/>
      <c r="H3854" s="81"/>
      <c r="I3854" s="81"/>
    </row>
    <row r="3855">
      <c r="D3855" s="81"/>
      <c r="E3855" s="81"/>
      <c r="F3855" s="81"/>
      <c r="G3855" s="81"/>
      <c r="H3855" s="81"/>
      <c r="I3855" s="81"/>
    </row>
    <row r="3856">
      <c r="D3856" s="81"/>
      <c r="E3856" s="81"/>
      <c r="F3856" s="81"/>
      <c r="G3856" s="81"/>
      <c r="H3856" s="81"/>
      <c r="I3856" s="81"/>
    </row>
    <row r="3857">
      <c r="D3857" s="81"/>
      <c r="E3857" s="81"/>
      <c r="F3857" s="81"/>
      <c r="G3857" s="81"/>
      <c r="H3857" s="81"/>
      <c r="I3857" s="81"/>
    </row>
    <row r="3858">
      <c r="D3858" s="81"/>
      <c r="E3858" s="81"/>
      <c r="F3858" s="81"/>
      <c r="G3858" s="81"/>
      <c r="H3858" s="81"/>
      <c r="I3858" s="81"/>
    </row>
    <row r="3859">
      <c r="D3859" s="81"/>
      <c r="E3859" s="81"/>
      <c r="F3859" s="81"/>
      <c r="G3859" s="81"/>
      <c r="H3859" s="81"/>
      <c r="I3859" s="81"/>
    </row>
    <row r="3860">
      <c r="D3860" s="81"/>
      <c r="E3860" s="81"/>
      <c r="F3860" s="81"/>
      <c r="G3860" s="81"/>
      <c r="H3860" s="81"/>
      <c r="I3860" s="81"/>
    </row>
    <row r="3861">
      <c r="D3861" s="81"/>
      <c r="E3861" s="81"/>
      <c r="F3861" s="81"/>
      <c r="G3861" s="81"/>
      <c r="H3861" s="81"/>
      <c r="I3861" s="81"/>
    </row>
    <row r="3862">
      <c r="D3862" s="81"/>
      <c r="E3862" s="81"/>
      <c r="F3862" s="81"/>
      <c r="G3862" s="81"/>
      <c r="H3862" s="81"/>
      <c r="I3862" s="81"/>
    </row>
    <row r="3863">
      <c r="D3863" s="81"/>
      <c r="E3863" s="81"/>
      <c r="F3863" s="81"/>
      <c r="G3863" s="81"/>
      <c r="H3863" s="81"/>
      <c r="I3863" s="81"/>
    </row>
    <row r="3864">
      <c r="D3864" s="81"/>
      <c r="E3864" s="81"/>
      <c r="F3864" s="81"/>
      <c r="G3864" s="81"/>
      <c r="H3864" s="81"/>
      <c r="I3864" s="81"/>
    </row>
    <row r="3865">
      <c r="D3865" s="81"/>
      <c r="E3865" s="81"/>
      <c r="F3865" s="81"/>
      <c r="G3865" s="81"/>
      <c r="H3865" s="81"/>
      <c r="I3865" s="81"/>
    </row>
    <row r="3866">
      <c r="D3866" s="81"/>
      <c r="E3866" s="81"/>
      <c r="F3866" s="81"/>
      <c r="G3866" s="81"/>
      <c r="H3866" s="81"/>
      <c r="I3866" s="81"/>
    </row>
    <row r="3867">
      <c r="D3867" s="81"/>
      <c r="E3867" s="81"/>
      <c r="F3867" s="81"/>
      <c r="G3867" s="81"/>
      <c r="H3867" s="81"/>
      <c r="I3867" s="81"/>
    </row>
    <row r="3868">
      <c r="D3868" s="81"/>
      <c r="E3868" s="81"/>
      <c r="F3868" s="81"/>
      <c r="G3868" s="81"/>
      <c r="H3868" s="81"/>
      <c r="I3868" s="81"/>
    </row>
    <row r="3869">
      <c r="D3869" s="81"/>
      <c r="E3869" s="81"/>
      <c r="F3869" s="81"/>
      <c r="G3869" s="81"/>
      <c r="H3869" s="81"/>
      <c r="I3869" s="81"/>
    </row>
    <row r="3870">
      <c r="D3870" s="81"/>
      <c r="E3870" s="81"/>
      <c r="F3870" s="81"/>
      <c r="G3870" s="81"/>
      <c r="H3870" s="81"/>
      <c r="I3870" s="81"/>
    </row>
    <row r="3871">
      <c r="D3871" s="81"/>
      <c r="E3871" s="81"/>
      <c r="F3871" s="81"/>
      <c r="G3871" s="81"/>
      <c r="H3871" s="81"/>
      <c r="I3871" s="81"/>
    </row>
    <row r="3872">
      <c r="D3872" s="81"/>
      <c r="E3872" s="81"/>
      <c r="F3872" s="81"/>
      <c r="G3872" s="81"/>
      <c r="H3872" s="81"/>
      <c r="I3872" s="81"/>
    </row>
    <row r="3873">
      <c r="D3873" s="81"/>
      <c r="E3873" s="81"/>
      <c r="F3873" s="81"/>
      <c r="G3873" s="81"/>
      <c r="H3873" s="81"/>
      <c r="I3873" s="81"/>
    </row>
    <row r="3874">
      <c r="D3874" s="81"/>
      <c r="E3874" s="81"/>
      <c r="F3874" s="81"/>
      <c r="G3874" s="81"/>
      <c r="H3874" s="81"/>
      <c r="I3874" s="81"/>
    </row>
    <row r="3875">
      <c r="D3875" s="81"/>
      <c r="E3875" s="81"/>
      <c r="F3875" s="81"/>
      <c r="G3875" s="81"/>
      <c r="H3875" s="81"/>
      <c r="I3875" s="81"/>
    </row>
    <row r="3876">
      <c r="D3876" s="81"/>
      <c r="E3876" s="81"/>
      <c r="F3876" s="81"/>
      <c r="G3876" s="81"/>
      <c r="H3876" s="81"/>
      <c r="I3876" s="81"/>
    </row>
    <row r="3877">
      <c r="D3877" s="81"/>
      <c r="E3877" s="81"/>
      <c r="F3877" s="81"/>
      <c r="G3877" s="81"/>
      <c r="H3877" s="81"/>
      <c r="I3877" s="81"/>
    </row>
    <row r="3878">
      <c r="D3878" s="81"/>
      <c r="E3878" s="81"/>
      <c r="F3878" s="81"/>
      <c r="G3878" s="81"/>
      <c r="H3878" s="81"/>
      <c r="I3878" s="81"/>
    </row>
    <row r="3879">
      <c r="D3879" s="81"/>
      <c r="E3879" s="81"/>
      <c r="F3879" s="81"/>
      <c r="G3879" s="81"/>
      <c r="H3879" s="81"/>
      <c r="I3879" s="81"/>
    </row>
    <row r="3880">
      <c r="D3880" s="81"/>
      <c r="E3880" s="81"/>
      <c r="F3880" s="81"/>
      <c r="G3880" s="81"/>
      <c r="H3880" s="81"/>
      <c r="I3880" s="81"/>
    </row>
    <row r="3881">
      <c r="D3881" s="81"/>
      <c r="E3881" s="81"/>
      <c r="F3881" s="81"/>
      <c r="G3881" s="81"/>
      <c r="H3881" s="81"/>
      <c r="I3881" s="81"/>
    </row>
    <row r="3882">
      <c r="D3882" s="81"/>
      <c r="E3882" s="81"/>
      <c r="F3882" s="81"/>
      <c r="G3882" s="81"/>
      <c r="H3882" s="81"/>
      <c r="I3882" s="81"/>
    </row>
    <row r="3883">
      <c r="D3883" s="81"/>
      <c r="E3883" s="81"/>
      <c r="F3883" s="81"/>
      <c r="G3883" s="81"/>
      <c r="H3883" s="81"/>
      <c r="I3883" s="81"/>
    </row>
    <row r="3884">
      <c r="D3884" s="81"/>
      <c r="E3884" s="81"/>
      <c r="F3884" s="81"/>
      <c r="G3884" s="81"/>
      <c r="H3884" s="81"/>
      <c r="I3884" s="81"/>
    </row>
    <row r="3885">
      <c r="D3885" s="81"/>
      <c r="E3885" s="81"/>
      <c r="F3885" s="81"/>
      <c r="G3885" s="81"/>
      <c r="H3885" s="81"/>
      <c r="I3885" s="81"/>
    </row>
    <row r="3886">
      <c r="D3886" s="81"/>
      <c r="E3886" s="81"/>
      <c r="F3886" s="81"/>
      <c r="G3886" s="81"/>
      <c r="H3886" s="81"/>
      <c r="I3886" s="81"/>
    </row>
    <row r="3887">
      <c r="D3887" s="81"/>
      <c r="E3887" s="81"/>
      <c r="F3887" s="81"/>
      <c r="G3887" s="81"/>
      <c r="H3887" s="81"/>
      <c r="I3887" s="81"/>
    </row>
    <row r="3888">
      <c r="D3888" s="81"/>
      <c r="E3888" s="81"/>
      <c r="F3888" s="81"/>
      <c r="G3888" s="81"/>
      <c r="H3888" s="81"/>
      <c r="I3888" s="81"/>
    </row>
    <row r="3889">
      <c r="D3889" s="81"/>
      <c r="E3889" s="81"/>
      <c r="F3889" s="81"/>
      <c r="G3889" s="81"/>
      <c r="H3889" s="81"/>
      <c r="I3889" s="81"/>
    </row>
    <row r="3890">
      <c r="D3890" s="81"/>
      <c r="E3890" s="81"/>
      <c r="F3890" s="81"/>
      <c r="G3890" s="81"/>
      <c r="H3890" s="81"/>
      <c r="I3890" s="81"/>
    </row>
    <row r="3891">
      <c r="D3891" s="81"/>
      <c r="E3891" s="81"/>
      <c r="F3891" s="81"/>
      <c r="G3891" s="81"/>
      <c r="H3891" s="81"/>
      <c r="I3891" s="81"/>
    </row>
    <row r="3892">
      <c r="D3892" s="81"/>
      <c r="E3892" s="81"/>
      <c r="F3892" s="81"/>
      <c r="G3892" s="81"/>
      <c r="H3892" s="81"/>
      <c r="I3892" s="81"/>
    </row>
    <row r="3893">
      <c r="D3893" s="81"/>
      <c r="E3893" s="81"/>
      <c r="F3893" s="81"/>
      <c r="G3893" s="81"/>
      <c r="H3893" s="81"/>
      <c r="I3893" s="81"/>
    </row>
    <row r="3894">
      <c r="D3894" s="81"/>
      <c r="E3894" s="81"/>
      <c r="F3894" s="81"/>
      <c r="G3894" s="81"/>
      <c r="H3894" s="81"/>
      <c r="I3894" s="81"/>
    </row>
    <row r="3895">
      <c r="D3895" s="81"/>
      <c r="E3895" s="81"/>
      <c r="F3895" s="81"/>
      <c r="G3895" s="81"/>
      <c r="H3895" s="81"/>
      <c r="I3895" s="81"/>
    </row>
    <row r="3896">
      <c r="D3896" s="81"/>
      <c r="E3896" s="81"/>
      <c r="F3896" s="81"/>
      <c r="G3896" s="81"/>
      <c r="H3896" s="81"/>
      <c r="I3896" s="81"/>
    </row>
    <row r="3897">
      <c r="D3897" s="81"/>
      <c r="E3897" s="81"/>
      <c r="F3897" s="81"/>
      <c r="G3897" s="81"/>
      <c r="H3897" s="81"/>
      <c r="I3897" s="81"/>
    </row>
    <row r="3898">
      <c r="D3898" s="81"/>
      <c r="E3898" s="81"/>
      <c r="F3898" s="81"/>
      <c r="G3898" s="81"/>
      <c r="H3898" s="81"/>
      <c r="I3898" s="81"/>
    </row>
    <row r="3899">
      <c r="D3899" s="81"/>
      <c r="E3899" s="81"/>
      <c r="F3899" s="81"/>
      <c r="G3899" s="81"/>
      <c r="H3899" s="81"/>
      <c r="I3899" s="81"/>
    </row>
    <row r="3900">
      <c r="D3900" s="81"/>
      <c r="E3900" s="81"/>
      <c r="F3900" s="81"/>
      <c r="G3900" s="81"/>
      <c r="H3900" s="81"/>
      <c r="I3900" s="81"/>
    </row>
    <row r="3901">
      <c r="D3901" s="81"/>
      <c r="E3901" s="81"/>
      <c r="F3901" s="81"/>
      <c r="G3901" s="81"/>
      <c r="H3901" s="81"/>
      <c r="I3901" s="81"/>
    </row>
    <row r="3902">
      <c r="D3902" s="81"/>
      <c r="E3902" s="81"/>
      <c r="F3902" s="81"/>
      <c r="G3902" s="81"/>
      <c r="H3902" s="81"/>
      <c r="I3902" s="81"/>
    </row>
    <row r="3903">
      <c r="D3903" s="81"/>
      <c r="E3903" s="81"/>
      <c r="F3903" s="81"/>
      <c r="G3903" s="81"/>
      <c r="H3903" s="81"/>
      <c r="I3903" s="81"/>
    </row>
    <row r="3904">
      <c r="D3904" s="81"/>
      <c r="E3904" s="81"/>
      <c r="F3904" s="81"/>
      <c r="G3904" s="81"/>
      <c r="H3904" s="81"/>
      <c r="I3904" s="81"/>
    </row>
    <row r="3905">
      <c r="D3905" s="81"/>
      <c r="E3905" s="81"/>
      <c r="F3905" s="81"/>
      <c r="G3905" s="81"/>
      <c r="H3905" s="81"/>
      <c r="I3905" s="81"/>
    </row>
    <row r="3906">
      <c r="D3906" s="81"/>
      <c r="E3906" s="81"/>
      <c r="F3906" s="81"/>
      <c r="G3906" s="81"/>
      <c r="H3906" s="81"/>
      <c r="I3906" s="81"/>
    </row>
    <row r="3907">
      <c r="D3907" s="81"/>
      <c r="E3907" s="81"/>
      <c r="F3907" s="81"/>
      <c r="G3907" s="81"/>
      <c r="H3907" s="81"/>
      <c r="I3907" s="81"/>
    </row>
    <row r="3908">
      <c r="D3908" s="81"/>
      <c r="E3908" s="81"/>
      <c r="F3908" s="81"/>
      <c r="G3908" s="81"/>
      <c r="H3908" s="81"/>
      <c r="I3908" s="81"/>
    </row>
    <row r="3909">
      <c r="D3909" s="81"/>
      <c r="E3909" s="81"/>
      <c r="F3909" s="81"/>
      <c r="G3909" s="81"/>
      <c r="H3909" s="81"/>
      <c r="I3909" s="81"/>
    </row>
    <row r="3910">
      <c r="D3910" s="81"/>
      <c r="E3910" s="81"/>
      <c r="F3910" s="81"/>
      <c r="G3910" s="81"/>
      <c r="H3910" s="81"/>
      <c r="I3910" s="81"/>
    </row>
    <row r="3911">
      <c r="D3911" s="81"/>
      <c r="E3911" s="81"/>
      <c r="F3911" s="81"/>
      <c r="G3911" s="81"/>
      <c r="H3911" s="81"/>
      <c r="I3911" s="81"/>
    </row>
    <row r="3912">
      <c r="D3912" s="81"/>
      <c r="E3912" s="81"/>
      <c r="F3912" s="81"/>
      <c r="G3912" s="81"/>
      <c r="H3912" s="81"/>
      <c r="I3912" s="81"/>
    </row>
    <row r="3913">
      <c r="D3913" s="81"/>
      <c r="E3913" s="81"/>
      <c r="F3913" s="81"/>
      <c r="G3913" s="81"/>
      <c r="H3913" s="81"/>
      <c r="I3913" s="81"/>
    </row>
    <row r="3914">
      <c r="D3914" s="81"/>
      <c r="E3914" s="81"/>
      <c r="F3914" s="81"/>
      <c r="G3914" s="81"/>
      <c r="H3914" s="81"/>
      <c r="I3914" s="81"/>
    </row>
    <row r="3915">
      <c r="D3915" s="81"/>
      <c r="E3915" s="81"/>
      <c r="F3915" s="81"/>
      <c r="G3915" s="81"/>
      <c r="H3915" s="81"/>
      <c r="I3915" s="81"/>
    </row>
    <row r="3916">
      <c r="D3916" s="81"/>
      <c r="E3916" s="81"/>
      <c r="F3916" s="81"/>
      <c r="G3916" s="81"/>
      <c r="H3916" s="81"/>
      <c r="I3916" s="81"/>
    </row>
    <row r="3917">
      <c r="D3917" s="81"/>
      <c r="E3917" s="81"/>
      <c r="F3917" s="81"/>
      <c r="G3917" s="81"/>
      <c r="H3917" s="81"/>
      <c r="I3917" s="81"/>
    </row>
    <row r="3918">
      <c r="D3918" s="81"/>
      <c r="E3918" s="81"/>
      <c r="F3918" s="81"/>
      <c r="G3918" s="81"/>
      <c r="H3918" s="81"/>
      <c r="I3918" s="81"/>
    </row>
    <row r="3919">
      <c r="D3919" s="81"/>
      <c r="E3919" s="81"/>
      <c r="F3919" s="81"/>
      <c r="G3919" s="81"/>
      <c r="H3919" s="81"/>
      <c r="I3919" s="81"/>
    </row>
    <row r="3920">
      <c r="D3920" s="81"/>
      <c r="E3920" s="81"/>
      <c r="F3920" s="81"/>
      <c r="G3920" s="81"/>
      <c r="H3920" s="81"/>
      <c r="I3920" s="81"/>
    </row>
    <row r="3921">
      <c r="D3921" s="81"/>
      <c r="E3921" s="81"/>
      <c r="F3921" s="81"/>
      <c r="G3921" s="81"/>
      <c r="H3921" s="81"/>
      <c r="I3921" s="81"/>
    </row>
    <row r="3922">
      <c r="D3922" s="81"/>
      <c r="E3922" s="81"/>
      <c r="F3922" s="81"/>
      <c r="G3922" s="81"/>
      <c r="H3922" s="81"/>
      <c r="I3922" s="81"/>
    </row>
    <row r="3923">
      <c r="D3923" s="81"/>
      <c r="E3923" s="81"/>
      <c r="F3923" s="81"/>
      <c r="G3923" s="81"/>
      <c r="H3923" s="81"/>
      <c r="I3923" s="81"/>
    </row>
    <row r="3924">
      <c r="D3924" s="81"/>
      <c r="E3924" s="81"/>
      <c r="F3924" s="81"/>
      <c r="G3924" s="81"/>
      <c r="H3924" s="81"/>
      <c r="I3924" s="81"/>
    </row>
    <row r="3925">
      <c r="D3925" s="81"/>
      <c r="E3925" s="81"/>
      <c r="F3925" s="81"/>
      <c r="G3925" s="81"/>
      <c r="H3925" s="81"/>
      <c r="I3925" s="81"/>
    </row>
    <row r="3926">
      <c r="D3926" s="81"/>
      <c r="E3926" s="81"/>
      <c r="F3926" s="81"/>
      <c r="G3926" s="81"/>
      <c r="H3926" s="81"/>
      <c r="I3926" s="81"/>
    </row>
    <row r="3927">
      <c r="D3927" s="81"/>
      <c r="E3927" s="81"/>
      <c r="F3927" s="81"/>
      <c r="G3927" s="81"/>
      <c r="H3927" s="81"/>
      <c r="I3927" s="81"/>
    </row>
    <row r="3928">
      <c r="D3928" s="81"/>
      <c r="E3928" s="81"/>
      <c r="F3928" s="81"/>
      <c r="G3928" s="81"/>
      <c r="H3928" s="81"/>
      <c r="I3928" s="81"/>
    </row>
    <row r="3929">
      <c r="D3929" s="81"/>
      <c r="E3929" s="81"/>
      <c r="F3929" s="81"/>
      <c r="G3929" s="81"/>
      <c r="H3929" s="81"/>
      <c r="I3929" s="81"/>
    </row>
    <row r="3930">
      <c r="D3930" s="81"/>
      <c r="E3930" s="81"/>
      <c r="F3930" s="81"/>
      <c r="G3930" s="81"/>
      <c r="H3930" s="81"/>
      <c r="I3930" s="81"/>
    </row>
    <row r="3931">
      <c r="D3931" s="81"/>
      <c r="E3931" s="81"/>
      <c r="F3931" s="81"/>
      <c r="G3931" s="81"/>
      <c r="H3931" s="81"/>
      <c r="I3931" s="81"/>
    </row>
    <row r="3932">
      <c r="D3932" s="81"/>
      <c r="E3932" s="81"/>
      <c r="F3932" s="81"/>
      <c r="G3932" s="81"/>
      <c r="H3932" s="81"/>
      <c r="I3932" s="81"/>
    </row>
    <row r="3933">
      <c r="D3933" s="81"/>
      <c r="E3933" s="81"/>
      <c r="F3933" s="81"/>
      <c r="G3933" s="81"/>
      <c r="H3933" s="81"/>
      <c r="I3933" s="81"/>
    </row>
    <row r="3934">
      <c r="D3934" s="81"/>
      <c r="E3934" s="81"/>
      <c r="F3934" s="81"/>
      <c r="G3934" s="81"/>
      <c r="H3934" s="81"/>
      <c r="I3934" s="81"/>
    </row>
    <row r="3935">
      <c r="D3935" s="81"/>
      <c r="E3935" s="81"/>
      <c r="F3935" s="81"/>
      <c r="G3935" s="81"/>
      <c r="H3935" s="81"/>
      <c r="I3935" s="81"/>
    </row>
    <row r="3936">
      <c r="D3936" s="81"/>
      <c r="E3936" s="81"/>
      <c r="F3936" s="81"/>
      <c r="G3936" s="81"/>
      <c r="H3936" s="81"/>
      <c r="I3936" s="81"/>
    </row>
    <row r="3937">
      <c r="D3937" s="81"/>
      <c r="E3937" s="81"/>
      <c r="F3937" s="81"/>
      <c r="G3937" s="81"/>
      <c r="H3937" s="81"/>
      <c r="I3937" s="81"/>
    </row>
    <row r="3938">
      <c r="D3938" s="81"/>
      <c r="E3938" s="81"/>
      <c r="F3938" s="81"/>
      <c r="G3938" s="81"/>
      <c r="H3938" s="81"/>
      <c r="I3938" s="81"/>
    </row>
    <row r="3939">
      <c r="D3939" s="81"/>
      <c r="E3939" s="81"/>
      <c r="F3939" s="81"/>
      <c r="G3939" s="81"/>
      <c r="H3939" s="81"/>
      <c r="I3939" s="81"/>
    </row>
    <row r="3940">
      <c r="D3940" s="81"/>
      <c r="E3940" s="81"/>
      <c r="F3940" s="81"/>
      <c r="G3940" s="81"/>
      <c r="H3940" s="81"/>
      <c r="I3940" s="81"/>
    </row>
    <row r="3941">
      <c r="D3941" s="81"/>
      <c r="E3941" s="81"/>
      <c r="F3941" s="81"/>
      <c r="G3941" s="81"/>
      <c r="H3941" s="81"/>
      <c r="I3941" s="81"/>
    </row>
    <row r="3942">
      <c r="D3942" s="81"/>
      <c r="E3942" s="81"/>
      <c r="F3942" s="81"/>
      <c r="G3942" s="81"/>
      <c r="H3942" s="81"/>
      <c r="I3942" s="81"/>
    </row>
    <row r="3943">
      <c r="D3943" s="81"/>
      <c r="E3943" s="81"/>
      <c r="F3943" s="81"/>
      <c r="G3943" s="81"/>
      <c r="H3943" s="81"/>
      <c r="I3943" s="81"/>
    </row>
    <row r="3944">
      <c r="D3944" s="81"/>
      <c r="E3944" s="81"/>
      <c r="F3944" s="81"/>
      <c r="G3944" s="81"/>
      <c r="H3944" s="81"/>
      <c r="I3944" s="81"/>
    </row>
    <row r="3945">
      <c r="D3945" s="81"/>
      <c r="E3945" s="81"/>
      <c r="F3945" s="81"/>
      <c r="G3945" s="81"/>
      <c r="H3945" s="81"/>
      <c r="I3945" s="81"/>
    </row>
    <row r="3946">
      <c r="D3946" s="81"/>
      <c r="E3946" s="81"/>
      <c r="F3946" s="81"/>
      <c r="G3946" s="81"/>
      <c r="H3946" s="81"/>
      <c r="I3946" s="81"/>
    </row>
    <row r="3947">
      <c r="D3947" s="81"/>
      <c r="E3947" s="81"/>
      <c r="F3947" s="81"/>
      <c r="G3947" s="81"/>
      <c r="H3947" s="81"/>
      <c r="I3947" s="81"/>
    </row>
    <row r="3948">
      <c r="D3948" s="81"/>
      <c r="E3948" s="81"/>
      <c r="F3948" s="81"/>
      <c r="G3948" s="81"/>
      <c r="H3948" s="81"/>
      <c r="I3948" s="81"/>
    </row>
    <row r="3949">
      <c r="D3949" s="81"/>
      <c r="E3949" s="81"/>
      <c r="F3949" s="81"/>
      <c r="G3949" s="81"/>
      <c r="H3949" s="81"/>
      <c r="I3949" s="81"/>
    </row>
    <row r="3950">
      <c r="D3950" s="81"/>
      <c r="E3950" s="81"/>
      <c r="F3950" s="81"/>
      <c r="G3950" s="81"/>
      <c r="H3950" s="81"/>
      <c r="I3950" s="81"/>
    </row>
    <row r="3951">
      <c r="D3951" s="81"/>
      <c r="E3951" s="81"/>
      <c r="F3951" s="81"/>
      <c r="G3951" s="81"/>
      <c r="H3951" s="81"/>
      <c r="I3951" s="81"/>
    </row>
    <row r="3952">
      <c r="D3952" s="81"/>
      <c r="E3952" s="81"/>
      <c r="F3952" s="81"/>
      <c r="G3952" s="81"/>
      <c r="H3952" s="81"/>
      <c r="I3952" s="81"/>
    </row>
    <row r="3953">
      <c r="D3953" s="81"/>
      <c r="E3953" s="81"/>
      <c r="F3953" s="81"/>
      <c r="G3953" s="81"/>
      <c r="H3953" s="81"/>
      <c r="I3953" s="81"/>
    </row>
    <row r="3954">
      <c r="D3954" s="81"/>
      <c r="E3954" s="81"/>
      <c r="F3954" s="81"/>
      <c r="G3954" s="81"/>
      <c r="H3954" s="81"/>
      <c r="I3954" s="81"/>
    </row>
    <row r="3955">
      <c r="D3955" s="81"/>
      <c r="E3955" s="81"/>
      <c r="F3955" s="81"/>
      <c r="G3955" s="81"/>
      <c r="H3955" s="81"/>
      <c r="I3955" s="81"/>
    </row>
    <row r="3956">
      <c r="D3956" s="81"/>
      <c r="E3956" s="81"/>
      <c r="F3956" s="81"/>
      <c r="G3956" s="81"/>
      <c r="H3956" s="81"/>
      <c r="I3956" s="81"/>
    </row>
    <row r="3957">
      <c r="D3957" s="81"/>
      <c r="E3957" s="81"/>
      <c r="F3957" s="81"/>
      <c r="G3957" s="81"/>
      <c r="H3957" s="81"/>
      <c r="I3957" s="81"/>
    </row>
    <row r="3958">
      <c r="D3958" s="81"/>
      <c r="E3958" s="81"/>
      <c r="F3958" s="81"/>
      <c r="G3958" s="81"/>
      <c r="H3958" s="81"/>
      <c r="I3958" s="81"/>
    </row>
    <row r="3959">
      <c r="D3959" s="81"/>
      <c r="E3959" s="81"/>
      <c r="F3959" s="81"/>
      <c r="G3959" s="81"/>
      <c r="H3959" s="81"/>
      <c r="I3959" s="81"/>
    </row>
    <row r="3960">
      <c r="D3960" s="81"/>
      <c r="E3960" s="81"/>
      <c r="F3960" s="81"/>
      <c r="G3960" s="81"/>
      <c r="H3960" s="81"/>
      <c r="I3960" s="81"/>
    </row>
    <row r="3961">
      <c r="D3961" s="81"/>
      <c r="E3961" s="81"/>
      <c r="F3961" s="81"/>
      <c r="G3961" s="81"/>
      <c r="H3961" s="81"/>
      <c r="I3961" s="81"/>
    </row>
    <row r="3962">
      <c r="D3962" s="81"/>
      <c r="E3962" s="81"/>
      <c r="F3962" s="81"/>
      <c r="G3962" s="81"/>
      <c r="H3962" s="81"/>
      <c r="I3962" s="81"/>
    </row>
    <row r="3963">
      <c r="D3963" s="81"/>
      <c r="E3963" s="81"/>
      <c r="F3963" s="81"/>
      <c r="G3963" s="81"/>
      <c r="H3963" s="81"/>
      <c r="I3963" s="81"/>
    </row>
    <row r="3964">
      <c r="D3964" s="81"/>
      <c r="E3964" s="81"/>
      <c r="F3964" s="81"/>
      <c r="G3964" s="81"/>
      <c r="H3964" s="81"/>
      <c r="I3964" s="81"/>
    </row>
    <row r="3965">
      <c r="D3965" s="81"/>
      <c r="E3965" s="81"/>
      <c r="F3965" s="81"/>
      <c r="G3965" s="81"/>
      <c r="H3965" s="81"/>
      <c r="I3965" s="81"/>
    </row>
    <row r="3966">
      <c r="D3966" s="81"/>
      <c r="E3966" s="81"/>
      <c r="F3966" s="81"/>
      <c r="G3966" s="81"/>
      <c r="H3966" s="81"/>
      <c r="I3966" s="81"/>
    </row>
    <row r="3967">
      <c r="D3967" s="81"/>
      <c r="E3967" s="81"/>
      <c r="F3967" s="81"/>
      <c r="G3967" s="81"/>
      <c r="H3967" s="81"/>
      <c r="I3967" s="81"/>
    </row>
    <row r="3968">
      <c r="D3968" s="81"/>
      <c r="E3968" s="81"/>
      <c r="F3968" s="81"/>
      <c r="G3968" s="81"/>
      <c r="H3968" s="81"/>
      <c r="I3968" s="81"/>
    </row>
    <row r="3969">
      <c r="D3969" s="81"/>
      <c r="E3969" s="81"/>
      <c r="F3969" s="81"/>
      <c r="G3969" s="81"/>
      <c r="H3969" s="81"/>
      <c r="I3969" s="81"/>
    </row>
    <row r="3970">
      <c r="D3970" s="81"/>
      <c r="E3970" s="81"/>
      <c r="F3970" s="81"/>
      <c r="G3970" s="81"/>
      <c r="H3970" s="81"/>
      <c r="I3970" s="81"/>
    </row>
    <row r="3971">
      <c r="D3971" s="81"/>
      <c r="E3971" s="81"/>
      <c r="F3971" s="81"/>
      <c r="G3971" s="81"/>
      <c r="H3971" s="81"/>
      <c r="I3971" s="81"/>
    </row>
    <row r="3972">
      <c r="D3972" s="81"/>
      <c r="E3972" s="81"/>
      <c r="F3972" s="81"/>
      <c r="G3972" s="81"/>
      <c r="H3972" s="81"/>
      <c r="I3972" s="81"/>
    </row>
    <row r="3973">
      <c r="D3973" s="81"/>
      <c r="E3973" s="81"/>
      <c r="F3973" s="81"/>
      <c r="G3973" s="81"/>
      <c r="H3973" s="81"/>
      <c r="I3973" s="81"/>
    </row>
    <row r="3974">
      <c r="D3974" s="81"/>
      <c r="E3974" s="81"/>
      <c r="F3974" s="81"/>
      <c r="G3974" s="81"/>
      <c r="H3974" s="81"/>
      <c r="I3974" s="81"/>
    </row>
    <row r="3975">
      <c r="D3975" s="81"/>
      <c r="E3975" s="81"/>
      <c r="F3975" s="81"/>
      <c r="G3975" s="81"/>
      <c r="H3975" s="81"/>
      <c r="I3975" s="81"/>
    </row>
    <row r="3976">
      <c r="D3976" s="81"/>
      <c r="E3976" s="81"/>
      <c r="F3976" s="81"/>
      <c r="G3976" s="81"/>
      <c r="H3976" s="81"/>
      <c r="I3976" s="81"/>
    </row>
    <row r="3977">
      <c r="D3977" s="81"/>
      <c r="E3977" s="81"/>
      <c r="F3977" s="81"/>
      <c r="G3977" s="81"/>
      <c r="H3977" s="81"/>
      <c r="I3977" s="81"/>
    </row>
    <row r="3978">
      <c r="D3978" s="81"/>
      <c r="E3978" s="81"/>
      <c r="F3978" s="81"/>
      <c r="G3978" s="81"/>
      <c r="H3978" s="81"/>
      <c r="I3978" s="81"/>
    </row>
    <row r="3979">
      <c r="D3979" s="81"/>
      <c r="E3979" s="81"/>
      <c r="F3979" s="81"/>
      <c r="G3979" s="81"/>
      <c r="H3979" s="81"/>
      <c r="I3979" s="81"/>
    </row>
    <row r="3980">
      <c r="D3980" s="81"/>
      <c r="E3980" s="81"/>
      <c r="F3980" s="81"/>
      <c r="G3980" s="81"/>
      <c r="H3980" s="81"/>
      <c r="I3980" s="81"/>
    </row>
    <row r="3981">
      <c r="D3981" s="81"/>
      <c r="E3981" s="81"/>
      <c r="F3981" s="81"/>
      <c r="G3981" s="81"/>
      <c r="H3981" s="81"/>
      <c r="I3981" s="81"/>
    </row>
    <row r="3982">
      <c r="D3982" s="81"/>
      <c r="E3982" s="81"/>
      <c r="F3982" s="81"/>
      <c r="G3982" s="81"/>
      <c r="H3982" s="81"/>
      <c r="I3982" s="81"/>
    </row>
    <row r="3983">
      <c r="D3983" s="81"/>
      <c r="E3983" s="81"/>
      <c r="F3983" s="81"/>
      <c r="G3983" s="81"/>
      <c r="H3983" s="81"/>
      <c r="I3983" s="81"/>
    </row>
    <row r="3984">
      <c r="D3984" s="81"/>
      <c r="E3984" s="81"/>
      <c r="F3984" s="81"/>
      <c r="G3984" s="81"/>
      <c r="H3984" s="81"/>
      <c r="I3984" s="81"/>
    </row>
    <row r="3985">
      <c r="D3985" s="81"/>
      <c r="E3985" s="81"/>
      <c r="F3985" s="81"/>
      <c r="G3985" s="81"/>
      <c r="H3985" s="81"/>
      <c r="I3985" s="81"/>
    </row>
    <row r="3986">
      <c r="D3986" s="81"/>
      <c r="E3986" s="81"/>
      <c r="F3986" s="81"/>
      <c r="G3986" s="81"/>
      <c r="H3986" s="81"/>
      <c r="I3986" s="81"/>
    </row>
    <row r="3987">
      <c r="D3987" s="81"/>
      <c r="E3987" s="81"/>
      <c r="F3987" s="81"/>
      <c r="G3987" s="81"/>
      <c r="H3987" s="81"/>
      <c r="I3987" s="81"/>
    </row>
    <row r="3988">
      <c r="D3988" s="81"/>
      <c r="E3988" s="81"/>
      <c r="F3988" s="81"/>
      <c r="G3988" s="81"/>
      <c r="H3988" s="81"/>
      <c r="I3988" s="81"/>
    </row>
    <row r="3989">
      <c r="D3989" s="81"/>
      <c r="E3989" s="81"/>
      <c r="F3989" s="81"/>
      <c r="G3989" s="81"/>
      <c r="H3989" s="81"/>
      <c r="I3989" s="81"/>
    </row>
    <row r="3990">
      <c r="D3990" s="81"/>
      <c r="E3990" s="81"/>
      <c r="F3990" s="81"/>
      <c r="G3990" s="81"/>
      <c r="H3990" s="81"/>
      <c r="I3990" s="81"/>
    </row>
    <row r="3991">
      <c r="D3991" s="81"/>
      <c r="E3991" s="81"/>
      <c r="F3991" s="81"/>
      <c r="G3991" s="81"/>
      <c r="H3991" s="81"/>
      <c r="I3991" s="81"/>
    </row>
    <row r="3992">
      <c r="D3992" s="81"/>
      <c r="E3992" s="81"/>
      <c r="F3992" s="81"/>
      <c r="G3992" s="81"/>
      <c r="H3992" s="81"/>
      <c r="I3992" s="81"/>
    </row>
    <row r="3993">
      <c r="D3993" s="81"/>
      <c r="E3993" s="81"/>
      <c r="F3993" s="81"/>
      <c r="G3993" s="81"/>
      <c r="H3993" s="81"/>
      <c r="I3993" s="81"/>
    </row>
    <row r="3994">
      <c r="D3994" s="81"/>
      <c r="E3994" s="81"/>
      <c r="F3994" s="81"/>
      <c r="G3994" s="81"/>
      <c r="H3994" s="81"/>
      <c r="I3994" s="81"/>
    </row>
    <row r="3995">
      <c r="D3995" s="81"/>
      <c r="E3995" s="81"/>
      <c r="F3995" s="81"/>
      <c r="G3995" s="81"/>
      <c r="H3995" s="81"/>
      <c r="I3995" s="81"/>
    </row>
    <row r="3996">
      <c r="D3996" s="81"/>
      <c r="E3996" s="81"/>
      <c r="F3996" s="81"/>
      <c r="G3996" s="81"/>
      <c r="H3996" s="81"/>
      <c r="I3996" s="81"/>
    </row>
    <row r="3997">
      <c r="D3997" s="81"/>
      <c r="E3997" s="81"/>
      <c r="F3997" s="81"/>
      <c r="G3997" s="81"/>
      <c r="H3997" s="81"/>
      <c r="I3997" s="81"/>
    </row>
    <row r="3998">
      <c r="D3998" s="81"/>
      <c r="E3998" s="81"/>
      <c r="F3998" s="81"/>
      <c r="G3998" s="81"/>
      <c r="H3998" s="81"/>
      <c r="I3998" s="81"/>
    </row>
    <row r="3999">
      <c r="D3999" s="81"/>
      <c r="E3999" s="81"/>
      <c r="F3999" s="81"/>
      <c r="G3999" s="81"/>
      <c r="H3999" s="81"/>
      <c r="I3999" s="81"/>
    </row>
    <row r="4000">
      <c r="D4000" s="81"/>
      <c r="E4000" s="81"/>
      <c r="F4000" s="81"/>
      <c r="G4000" s="81"/>
      <c r="H4000" s="81"/>
      <c r="I4000" s="81"/>
    </row>
    <row r="4001">
      <c r="D4001" s="81"/>
      <c r="E4001" s="81"/>
      <c r="F4001" s="81"/>
      <c r="G4001" s="81"/>
      <c r="H4001" s="81"/>
      <c r="I4001" s="81"/>
    </row>
    <row r="4002">
      <c r="D4002" s="81"/>
      <c r="E4002" s="81"/>
      <c r="F4002" s="81"/>
      <c r="G4002" s="81"/>
      <c r="H4002" s="81"/>
      <c r="I4002" s="81"/>
    </row>
    <row r="4003">
      <c r="D4003" s="81"/>
      <c r="E4003" s="81"/>
      <c r="F4003" s="81"/>
      <c r="G4003" s="81"/>
      <c r="H4003" s="81"/>
      <c r="I4003" s="81"/>
    </row>
    <row r="4004">
      <c r="D4004" s="81"/>
      <c r="E4004" s="81"/>
      <c r="F4004" s="81"/>
      <c r="G4004" s="81"/>
      <c r="H4004" s="81"/>
      <c r="I4004" s="81"/>
    </row>
    <row r="4005">
      <c r="D4005" s="81"/>
      <c r="E4005" s="81"/>
      <c r="F4005" s="81"/>
      <c r="G4005" s="81"/>
      <c r="H4005" s="81"/>
      <c r="I4005" s="81"/>
    </row>
    <row r="4006">
      <c r="D4006" s="81"/>
      <c r="E4006" s="81"/>
      <c r="F4006" s="81"/>
      <c r="G4006" s="81"/>
      <c r="H4006" s="81"/>
      <c r="I4006" s="81"/>
    </row>
    <row r="4007">
      <c r="D4007" s="81"/>
      <c r="E4007" s="81"/>
      <c r="F4007" s="81"/>
      <c r="G4007" s="81"/>
      <c r="H4007" s="81"/>
      <c r="I4007" s="81"/>
    </row>
    <row r="4008">
      <c r="D4008" s="81"/>
      <c r="E4008" s="81"/>
      <c r="F4008" s="81"/>
      <c r="G4008" s="81"/>
      <c r="H4008" s="81"/>
      <c r="I4008" s="81"/>
    </row>
    <row r="4009">
      <c r="D4009" s="81"/>
      <c r="E4009" s="81"/>
      <c r="F4009" s="81"/>
      <c r="G4009" s="81"/>
      <c r="H4009" s="81"/>
      <c r="I4009" s="81"/>
    </row>
    <row r="4010">
      <c r="D4010" s="81"/>
      <c r="E4010" s="81"/>
      <c r="F4010" s="81"/>
      <c r="G4010" s="81"/>
      <c r="H4010" s="81"/>
      <c r="I4010" s="81"/>
    </row>
    <row r="4011">
      <c r="D4011" s="81"/>
      <c r="E4011" s="81"/>
      <c r="F4011" s="81"/>
      <c r="G4011" s="81"/>
      <c r="H4011" s="81"/>
      <c r="I4011" s="81"/>
    </row>
    <row r="4012">
      <c r="D4012" s="81"/>
      <c r="E4012" s="81"/>
      <c r="F4012" s="81"/>
      <c r="G4012" s="81"/>
      <c r="H4012" s="81"/>
      <c r="I4012" s="81"/>
    </row>
    <row r="4013">
      <c r="D4013" s="81"/>
      <c r="E4013" s="81"/>
      <c r="F4013" s="81"/>
      <c r="G4013" s="81"/>
      <c r="H4013" s="81"/>
      <c r="I4013" s="81"/>
    </row>
    <row r="4014">
      <c r="D4014" s="81"/>
      <c r="E4014" s="81"/>
      <c r="F4014" s="81"/>
      <c r="G4014" s="81"/>
      <c r="H4014" s="81"/>
      <c r="I4014" s="81"/>
    </row>
    <row r="4015">
      <c r="D4015" s="81"/>
      <c r="E4015" s="81"/>
      <c r="F4015" s="81"/>
      <c r="G4015" s="81"/>
      <c r="H4015" s="81"/>
      <c r="I4015" s="81"/>
    </row>
    <row r="4016">
      <c r="D4016" s="81"/>
      <c r="E4016" s="81"/>
      <c r="F4016" s="81"/>
      <c r="G4016" s="81"/>
      <c r="H4016" s="81"/>
      <c r="I4016" s="81"/>
    </row>
    <row r="4017">
      <c r="D4017" s="81"/>
      <c r="E4017" s="81"/>
      <c r="F4017" s="81"/>
      <c r="G4017" s="81"/>
      <c r="H4017" s="81"/>
      <c r="I4017" s="81"/>
    </row>
    <row r="4018">
      <c r="D4018" s="81"/>
      <c r="E4018" s="81"/>
      <c r="F4018" s="81"/>
      <c r="G4018" s="81"/>
      <c r="H4018" s="81"/>
      <c r="I4018" s="81"/>
    </row>
    <row r="4019">
      <c r="D4019" s="81"/>
      <c r="E4019" s="81"/>
      <c r="F4019" s="81"/>
      <c r="G4019" s="81"/>
      <c r="H4019" s="81"/>
      <c r="I4019" s="81"/>
    </row>
    <row r="4020">
      <c r="D4020" s="81"/>
      <c r="E4020" s="81"/>
      <c r="F4020" s="81"/>
      <c r="G4020" s="81"/>
      <c r="H4020" s="81"/>
      <c r="I4020" s="81"/>
    </row>
    <row r="4021">
      <c r="D4021" s="81"/>
      <c r="E4021" s="81"/>
      <c r="F4021" s="81"/>
      <c r="G4021" s="81"/>
      <c r="H4021" s="81"/>
      <c r="I4021" s="81"/>
    </row>
    <row r="4022">
      <c r="D4022" s="81"/>
      <c r="E4022" s="81"/>
      <c r="F4022" s="81"/>
      <c r="G4022" s="81"/>
      <c r="H4022" s="81"/>
      <c r="I4022" s="81"/>
    </row>
    <row r="4023">
      <c r="D4023" s="81"/>
      <c r="E4023" s="81"/>
      <c r="F4023" s="81"/>
      <c r="G4023" s="81"/>
      <c r="H4023" s="81"/>
      <c r="I4023" s="81"/>
    </row>
    <row r="4024">
      <c r="D4024" s="81"/>
      <c r="E4024" s="81"/>
      <c r="F4024" s="81"/>
      <c r="G4024" s="81"/>
      <c r="H4024" s="81"/>
      <c r="I4024" s="81"/>
    </row>
    <row r="4025">
      <c r="D4025" s="81"/>
      <c r="E4025" s="81"/>
      <c r="F4025" s="81"/>
      <c r="G4025" s="81"/>
      <c r="H4025" s="81"/>
      <c r="I4025" s="81"/>
    </row>
    <row r="4026">
      <c r="D4026" s="81"/>
      <c r="E4026" s="81"/>
      <c r="F4026" s="81"/>
      <c r="G4026" s="81"/>
      <c r="H4026" s="81"/>
      <c r="I4026" s="81"/>
    </row>
    <row r="4027">
      <c r="D4027" s="81"/>
      <c r="E4027" s="81"/>
      <c r="F4027" s="81"/>
      <c r="G4027" s="81"/>
      <c r="H4027" s="81"/>
      <c r="I4027" s="81"/>
    </row>
    <row r="4028">
      <c r="D4028" s="81"/>
      <c r="E4028" s="81"/>
      <c r="F4028" s="81"/>
      <c r="G4028" s="81"/>
      <c r="H4028" s="81"/>
      <c r="I4028" s="81"/>
    </row>
    <row r="4029">
      <c r="D4029" s="81"/>
      <c r="E4029" s="81"/>
      <c r="F4029" s="81"/>
      <c r="G4029" s="81"/>
      <c r="H4029" s="81"/>
      <c r="I4029" s="81"/>
    </row>
    <row r="4030">
      <c r="D4030" s="81"/>
      <c r="E4030" s="81"/>
      <c r="F4030" s="81"/>
      <c r="G4030" s="81"/>
      <c r="H4030" s="81"/>
      <c r="I4030" s="81"/>
    </row>
    <row r="4031">
      <c r="D4031" s="81"/>
      <c r="E4031" s="81"/>
      <c r="F4031" s="81"/>
      <c r="G4031" s="81"/>
      <c r="H4031" s="81"/>
      <c r="I4031" s="81"/>
    </row>
    <row r="4032">
      <c r="D4032" s="81"/>
      <c r="E4032" s="81"/>
      <c r="F4032" s="81"/>
      <c r="G4032" s="81"/>
      <c r="H4032" s="81"/>
      <c r="I4032" s="81"/>
    </row>
    <row r="4033">
      <c r="D4033" s="81"/>
      <c r="E4033" s="81"/>
      <c r="F4033" s="81"/>
      <c r="G4033" s="81"/>
      <c r="H4033" s="81"/>
      <c r="I4033" s="81"/>
    </row>
    <row r="4034">
      <c r="D4034" s="81"/>
      <c r="E4034" s="81"/>
      <c r="F4034" s="81"/>
      <c r="G4034" s="81"/>
      <c r="H4034" s="81"/>
      <c r="I4034" s="81"/>
    </row>
    <row r="4035">
      <c r="D4035" s="81"/>
      <c r="E4035" s="81"/>
      <c r="F4035" s="81"/>
      <c r="G4035" s="81"/>
      <c r="H4035" s="81"/>
      <c r="I4035" s="81"/>
    </row>
    <row r="4036">
      <c r="D4036" s="81"/>
      <c r="E4036" s="81"/>
      <c r="F4036" s="81"/>
      <c r="G4036" s="81"/>
      <c r="H4036" s="81"/>
      <c r="I4036" s="81"/>
    </row>
    <row r="4037">
      <c r="D4037" s="81"/>
      <c r="E4037" s="81"/>
      <c r="F4037" s="81"/>
      <c r="G4037" s="81"/>
      <c r="H4037" s="81"/>
      <c r="I4037" s="81"/>
    </row>
    <row r="4038">
      <c r="D4038" s="81"/>
      <c r="E4038" s="81"/>
      <c r="F4038" s="81"/>
      <c r="G4038" s="81"/>
      <c r="H4038" s="81"/>
      <c r="I4038" s="81"/>
    </row>
    <row r="4039">
      <c r="D4039" s="81"/>
      <c r="E4039" s="81"/>
      <c r="F4039" s="81"/>
      <c r="G4039" s="81"/>
      <c r="H4039" s="81"/>
      <c r="I4039" s="81"/>
    </row>
    <row r="4040">
      <c r="D4040" s="81"/>
      <c r="E4040" s="81"/>
      <c r="F4040" s="81"/>
      <c r="G4040" s="81"/>
      <c r="H4040" s="81"/>
      <c r="I4040" s="81"/>
    </row>
    <row r="4041">
      <c r="D4041" s="81"/>
      <c r="E4041" s="81"/>
      <c r="F4041" s="81"/>
      <c r="G4041" s="81"/>
      <c r="H4041" s="81"/>
      <c r="I4041" s="81"/>
    </row>
    <row r="4042">
      <c r="D4042" s="81"/>
      <c r="E4042" s="81"/>
      <c r="F4042" s="81"/>
      <c r="G4042" s="81"/>
      <c r="H4042" s="81"/>
      <c r="I4042" s="81"/>
    </row>
    <row r="4043">
      <c r="D4043" s="81"/>
      <c r="E4043" s="81"/>
      <c r="F4043" s="81"/>
      <c r="G4043" s="81"/>
      <c r="H4043" s="81"/>
      <c r="I4043" s="81"/>
    </row>
    <row r="4044">
      <c r="D4044" s="81"/>
      <c r="E4044" s="81"/>
      <c r="F4044" s="81"/>
      <c r="G4044" s="81"/>
      <c r="H4044" s="81"/>
      <c r="I4044" s="81"/>
    </row>
    <row r="4045">
      <c r="D4045" s="81"/>
      <c r="E4045" s="81"/>
      <c r="F4045" s="81"/>
      <c r="G4045" s="81"/>
      <c r="H4045" s="81"/>
      <c r="I4045" s="81"/>
    </row>
    <row r="4046">
      <c r="D4046" s="81"/>
      <c r="E4046" s="81"/>
      <c r="F4046" s="81"/>
      <c r="G4046" s="81"/>
      <c r="H4046" s="81"/>
      <c r="I4046" s="81"/>
    </row>
    <row r="4047">
      <c r="D4047" s="81"/>
      <c r="E4047" s="81"/>
      <c r="F4047" s="81"/>
      <c r="G4047" s="81"/>
      <c r="H4047" s="81"/>
      <c r="I4047" s="81"/>
    </row>
    <row r="4048">
      <c r="D4048" s="81"/>
      <c r="E4048" s="81"/>
      <c r="F4048" s="81"/>
      <c r="G4048" s="81"/>
      <c r="H4048" s="81"/>
      <c r="I4048" s="81"/>
    </row>
    <row r="4049">
      <c r="D4049" s="81"/>
      <c r="E4049" s="81"/>
      <c r="F4049" s="81"/>
      <c r="G4049" s="81"/>
      <c r="H4049" s="81"/>
      <c r="I4049" s="81"/>
    </row>
    <row r="4050">
      <c r="D4050" s="81"/>
      <c r="E4050" s="81"/>
      <c r="F4050" s="81"/>
      <c r="G4050" s="81"/>
      <c r="H4050" s="81"/>
      <c r="I4050" s="81"/>
    </row>
    <row r="4051">
      <c r="D4051" s="81"/>
      <c r="E4051" s="81"/>
      <c r="F4051" s="81"/>
      <c r="G4051" s="81"/>
      <c r="H4051" s="81"/>
      <c r="I4051" s="81"/>
    </row>
    <row r="4052">
      <c r="D4052" s="81"/>
      <c r="E4052" s="81"/>
      <c r="F4052" s="81"/>
      <c r="G4052" s="81"/>
      <c r="H4052" s="81"/>
      <c r="I4052" s="81"/>
    </row>
    <row r="4053">
      <c r="D4053" s="81"/>
      <c r="E4053" s="81"/>
      <c r="F4053" s="81"/>
      <c r="G4053" s="81"/>
      <c r="H4053" s="81"/>
      <c r="I4053" s="81"/>
    </row>
    <row r="4054">
      <c r="D4054" s="81"/>
      <c r="E4054" s="81"/>
      <c r="F4054" s="81"/>
      <c r="G4054" s="81"/>
      <c r="H4054" s="81"/>
      <c r="I4054" s="81"/>
    </row>
    <row r="4055">
      <c r="D4055" s="81"/>
      <c r="E4055" s="81"/>
      <c r="F4055" s="81"/>
      <c r="G4055" s="81"/>
      <c r="H4055" s="81"/>
      <c r="I4055" s="81"/>
    </row>
    <row r="4056">
      <c r="D4056" s="81"/>
      <c r="E4056" s="81"/>
      <c r="F4056" s="81"/>
      <c r="G4056" s="81"/>
      <c r="H4056" s="81"/>
      <c r="I4056" s="81"/>
    </row>
    <row r="4057">
      <c r="D4057" s="81"/>
      <c r="E4057" s="81"/>
      <c r="F4057" s="81"/>
      <c r="G4057" s="81"/>
      <c r="H4057" s="81"/>
      <c r="I4057" s="81"/>
    </row>
    <row r="4058">
      <c r="D4058" s="81"/>
      <c r="E4058" s="81"/>
      <c r="F4058" s="81"/>
      <c r="G4058" s="81"/>
      <c r="H4058" s="81"/>
      <c r="I4058" s="81"/>
    </row>
    <row r="4059">
      <c r="D4059" s="81"/>
      <c r="E4059" s="81"/>
      <c r="F4059" s="81"/>
      <c r="G4059" s="81"/>
      <c r="H4059" s="81"/>
      <c r="I4059" s="81"/>
    </row>
    <row r="4060">
      <c r="D4060" s="81"/>
      <c r="E4060" s="81"/>
      <c r="F4060" s="81"/>
      <c r="G4060" s="81"/>
      <c r="H4060" s="81"/>
      <c r="I4060" s="81"/>
    </row>
    <row r="4061">
      <c r="D4061" s="81"/>
      <c r="E4061" s="81"/>
      <c r="F4061" s="81"/>
      <c r="G4061" s="81"/>
      <c r="H4061" s="81"/>
      <c r="I4061" s="81"/>
    </row>
    <row r="4062">
      <c r="D4062" s="81"/>
      <c r="E4062" s="81"/>
      <c r="F4062" s="81"/>
      <c r="G4062" s="81"/>
      <c r="H4062" s="81"/>
      <c r="I4062" s="81"/>
    </row>
    <row r="4063">
      <c r="D4063" s="81"/>
      <c r="E4063" s="81"/>
      <c r="F4063" s="81"/>
      <c r="G4063" s="81"/>
      <c r="H4063" s="81"/>
      <c r="I4063" s="81"/>
    </row>
    <row r="4064">
      <c r="D4064" s="81"/>
      <c r="E4064" s="81"/>
      <c r="F4064" s="81"/>
      <c r="G4064" s="81"/>
      <c r="H4064" s="81"/>
      <c r="I4064" s="81"/>
    </row>
    <row r="4065">
      <c r="D4065" s="81"/>
      <c r="E4065" s="81"/>
      <c r="F4065" s="81"/>
      <c r="G4065" s="81"/>
      <c r="H4065" s="81"/>
      <c r="I4065" s="81"/>
    </row>
    <row r="4066">
      <c r="D4066" s="81"/>
      <c r="E4066" s="81"/>
      <c r="F4066" s="81"/>
      <c r="G4066" s="81"/>
      <c r="H4066" s="81"/>
      <c r="I4066" s="81"/>
    </row>
    <row r="4067">
      <c r="D4067" s="81"/>
      <c r="E4067" s="81"/>
      <c r="F4067" s="81"/>
      <c r="G4067" s="81"/>
      <c r="H4067" s="81"/>
      <c r="I4067" s="81"/>
    </row>
    <row r="4068">
      <c r="D4068" s="81"/>
      <c r="E4068" s="81"/>
      <c r="F4068" s="81"/>
      <c r="G4068" s="81"/>
      <c r="H4068" s="81"/>
      <c r="I4068" s="81"/>
    </row>
    <row r="4069">
      <c r="D4069" s="81"/>
      <c r="E4069" s="81"/>
      <c r="F4069" s="81"/>
      <c r="G4069" s="81"/>
      <c r="H4069" s="81"/>
      <c r="I4069" s="81"/>
    </row>
    <row r="4070">
      <c r="D4070" s="81"/>
      <c r="E4070" s="81"/>
      <c r="F4070" s="81"/>
      <c r="G4070" s="81"/>
      <c r="H4070" s="81"/>
      <c r="I4070" s="81"/>
    </row>
    <row r="4071">
      <c r="D4071" s="81"/>
      <c r="E4071" s="81"/>
      <c r="F4071" s="81"/>
      <c r="G4071" s="81"/>
      <c r="H4071" s="81"/>
      <c r="I4071" s="81"/>
    </row>
    <row r="4072">
      <c r="D4072" s="81"/>
      <c r="E4072" s="81"/>
      <c r="F4072" s="81"/>
      <c r="G4072" s="81"/>
      <c r="H4072" s="81"/>
      <c r="I4072" s="81"/>
    </row>
    <row r="4073">
      <c r="D4073" s="81"/>
      <c r="E4073" s="81"/>
      <c r="F4073" s="81"/>
      <c r="G4073" s="81"/>
      <c r="H4073" s="81"/>
      <c r="I4073" s="81"/>
    </row>
    <row r="4074">
      <c r="D4074" s="81"/>
      <c r="E4074" s="81"/>
      <c r="F4074" s="81"/>
      <c r="G4074" s="81"/>
      <c r="H4074" s="81"/>
      <c r="I4074" s="81"/>
    </row>
    <row r="4075">
      <c r="D4075" s="81"/>
      <c r="E4075" s="81"/>
      <c r="F4075" s="81"/>
      <c r="G4075" s="81"/>
      <c r="H4075" s="81"/>
      <c r="I4075" s="81"/>
    </row>
    <row r="4076">
      <c r="D4076" s="81"/>
      <c r="E4076" s="81"/>
      <c r="F4076" s="81"/>
      <c r="G4076" s="81"/>
      <c r="H4076" s="81"/>
      <c r="I4076" s="81"/>
    </row>
    <row r="4077">
      <c r="D4077" s="81"/>
      <c r="E4077" s="81"/>
      <c r="F4077" s="81"/>
      <c r="G4077" s="81"/>
      <c r="H4077" s="81"/>
      <c r="I4077" s="81"/>
    </row>
    <row r="4078">
      <c r="D4078" s="81"/>
      <c r="E4078" s="81"/>
      <c r="F4078" s="81"/>
      <c r="G4078" s="81"/>
      <c r="H4078" s="81"/>
      <c r="I4078" s="81"/>
    </row>
    <row r="4079">
      <c r="D4079" s="81"/>
      <c r="E4079" s="81"/>
      <c r="F4079" s="81"/>
      <c r="G4079" s="81"/>
      <c r="H4079" s="81"/>
      <c r="I4079" s="81"/>
    </row>
    <row r="4080">
      <c r="D4080" s="81"/>
      <c r="E4080" s="81"/>
      <c r="F4080" s="81"/>
      <c r="G4080" s="81"/>
      <c r="H4080" s="81"/>
      <c r="I4080" s="81"/>
    </row>
    <row r="4081">
      <c r="D4081" s="81"/>
      <c r="E4081" s="81"/>
      <c r="F4081" s="81"/>
      <c r="G4081" s="81"/>
      <c r="H4081" s="81"/>
      <c r="I4081" s="81"/>
    </row>
    <row r="4082">
      <c r="D4082" s="81"/>
      <c r="E4082" s="81"/>
      <c r="F4082" s="81"/>
      <c r="G4082" s="81"/>
      <c r="H4082" s="81"/>
      <c r="I4082" s="81"/>
    </row>
    <row r="4083">
      <c r="D4083" s="81"/>
      <c r="E4083" s="81"/>
      <c r="F4083" s="81"/>
      <c r="G4083" s="81"/>
      <c r="H4083" s="81"/>
      <c r="I4083" s="81"/>
    </row>
    <row r="4084">
      <c r="D4084" s="81"/>
      <c r="E4084" s="81"/>
      <c r="F4084" s="81"/>
      <c r="G4084" s="81"/>
      <c r="H4084" s="81"/>
      <c r="I4084" s="81"/>
    </row>
    <row r="4085">
      <c r="D4085" s="81"/>
      <c r="E4085" s="81"/>
      <c r="F4085" s="81"/>
      <c r="G4085" s="81"/>
      <c r="H4085" s="81"/>
      <c r="I4085" s="81"/>
    </row>
    <row r="4086">
      <c r="D4086" s="81"/>
      <c r="E4086" s="81"/>
      <c r="F4086" s="81"/>
      <c r="G4086" s="81"/>
      <c r="H4086" s="81"/>
      <c r="I4086" s="81"/>
    </row>
    <row r="4087">
      <c r="D4087" s="81"/>
      <c r="E4087" s="81"/>
      <c r="F4087" s="81"/>
      <c r="G4087" s="81"/>
      <c r="H4087" s="81"/>
      <c r="I4087" s="81"/>
    </row>
    <row r="4088">
      <c r="D4088" s="81"/>
      <c r="E4088" s="81"/>
      <c r="F4088" s="81"/>
      <c r="G4088" s="81"/>
      <c r="H4088" s="81"/>
      <c r="I4088" s="81"/>
    </row>
    <row r="4089">
      <c r="D4089" s="81"/>
      <c r="E4089" s="81"/>
      <c r="F4089" s="81"/>
      <c r="G4089" s="81"/>
      <c r="H4089" s="81"/>
      <c r="I4089" s="81"/>
    </row>
    <row r="4090">
      <c r="D4090" s="81"/>
      <c r="E4090" s="81"/>
      <c r="F4090" s="81"/>
      <c r="G4090" s="81"/>
      <c r="H4090" s="81"/>
      <c r="I4090" s="81"/>
    </row>
    <row r="4091">
      <c r="D4091" s="81"/>
      <c r="E4091" s="81"/>
      <c r="F4091" s="81"/>
      <c r="G4091" s="81"/>
      <c r="H4091" s="81"/>
      <c r="I4091" s="81"/>
    </row>
    <row r="4092">
      <c r="D4092" s="81"/>
      <c r="E4092" s="81"/>
      <c r="F4092" s="81"/>
      <c r="G4092" s="81"/>
      <c r="H4092" s="81"/>
      <c r="I4092" s="81"/>
    </row>
    <row r="4093">
      <c r="D4093" s="81"/>
      <c r="E4093" s="81"/>
      <c r="F4093" s="81"/>
      <c r="G4093" s="81"/>
      <c r="H4093" s="81"/>
      <c r="I4093" s="81"/>
    </row>
    <row r="4094">
      <c r="D4094" s="81"/>
      <c r="E4094" s="81"/>
      <c r="F4094" s="81"/>
      <c r="G4094" s="81"/>
      <c r="H4094" s="81"/>
      <c r="I4094" s="81"/>
    </row>
    <row r="4095">
      <c r="D4095" s="81"/>
      <c r="E4095" s="81"/>
      <c r="F4095" s="81"/>
      <c r="G4095" s="81"/>
      <c r="H4095" s="81"/>
      <c r="I4095" s="81"/>
    </row>
    <row r="4096">
      <c r="D4096" s="81"/>
      <c r="E4096" s="81"/>
      <c r="F4096" s="81"/>
      <c r="G4096" s="81"/>
      <c r="H4096" s="81"/>
      <c r="I4096" s="81"/>
    </row>
    <row r="4097">
      <c r="D4097" s="81"/>
      <c r="E4097" s="81"/>
      <c r="F4097" s="81"/>
      <c r="G4097" s="81"/>
      <c r="H4097" s="81"/>
      <c r="I4097" s="81"/>
    </row>
    <row r="4098">
      <c r="D4098" s="81"/>
      <c r="E4098" s="81"/>
      <c r="F4098" s="81"/>
      <c r="G4098" s="81"/>
      <c r="H4098" s="81"/>
      <c r="I4098" s="81"/>
    </row>
    <row r="4099">
      <c r="D4099" s="81"/>
      <c r="E4099" s="81"/>
      <c r="F4099" s="81"/>
      <c r="G4099" s="81"/>
      <c r="H4099" s="81"/>
      <c r="I4099" s="81"/>
    </row>
    <row r="4100">
      <c r="D4100" s="81"/>
      <c r="E4100" s="81"/>
      <c r="F4100" s="81"/>
      <c r="G4100" s="81"/>
      <c r="H4100" s="81"/>
      <c r="I4100" s="81"/>
    </row>
    <row r="4101">
      <c r="D4101" s="81"/>
      <c r="E4101" s="81"/>
      <c r="F4101" s="81"/>
      <c r="G4101" s="81"/>
      <c r="H4101" s="81"/>
      <c r="I4101" s="81"/>
    </row>
    <row r="4102">
      <c r="D4102" s="81"/>
      <c r="E4102" s="81"/>
      <c r="F4102" s="81"/>
      <c r="G4102" s="81"/>
      <c r="H4102" s="81"/>
      <c r="I4102" s="81"/>
    </row>
    <row r="4103">
      <c r="D4103" s="81"/>
      <c r="E4103" s="81"/>
      <c r="F4103" s="81"/>
      <c r="G4103" s="81"/>
      <c r="H4103" s="81"/>
      <c r="I4103" s="81"/>
    </row>
    <row r="4104">
      <c r="D4104" s="81"/>
      <c r="E4104" s="81"/>
      <c r="F4104" s="81"/>
      <c r="G4104" s="81"/>
      <c r="H4104" s="81"/>
      <c r="I4104" s="81"/>
    </row>
    <row r="4105">
      <c r="D4105" s="81"/>
      <c r="E4105" s="81"/>
      <c r="F4105" s="81"/>
      <c r="G4105" s="81"/>
      <c r="H4105" s="81"/>
      <c r="I4105" s="81"/>
    </row>
    <row r="4106">
      <c r="D4106" s="81"/>
      <c r="E4106" s="81"/>
      <c r="F4106" s="81"/>
      <c r="G4106" s="81"/>
      <c r="H4106" s="81"/>
      <c r="I4106" s="81"/>
    </row>
    <row r="4107">
      <c r="D4107" s="81"/>
      <c r="E4107" s="81"/>
      <c r="F4107" s="81"/>
      <c r="G4107" s="81"/>
      <c r="H4107" s="81"/>
      <c r="I4107" s="81"/>
    </row>
    <row r="4108">
      <c r="D4108" s="81"/>
      <c r="E4108" s="81"/>
      <c r="F4108" s="81"/>
      <c r="G4108" s="81"/>
      <c r="H4108" s="81"/>
      <c r="I4108" s="81"/>
    </row>
    <row r="4109">
      <c r="D4109" s="81"/>
      <c r="E4109" s="81"/>
      <c r="F4109" s="81"/>
      <c r="G4109" s="81"/>
      <c r="H4109" s="81"/>
      <c r="I4109" s="81"/>
    </row>
    <row r="4110">
      <c r="D4110" s="81"/>
      <c r="E4110" s="81"/>
      <c r="F4110" s="81"/>
      <c r="G4110" s="81"/>
      <c r="H4110" s="81"/>
      <c r="I4110" s="81"/>
    </row>
    <row r="4111">
      <c r="D4111" s="81"/>
      <c r="E4111" s="81"/>
      <c r="F4111" s="81"/>
      <c r="G4111" s="81"/>
      <c r="H4111" s="81"/>
      <c r="I4111" s="81"/>
    </row>
    <row r="4112">
      <c r="D4112" s="81"/>
      <c r="E4112" s="81"/>
      <c r="F4112" s="81"/>
      <c r="G4112" s="81"/>
      <c r="H4112" s="81"/>
      <c r="I4112" s="81"/>
    </row>
    <row r="4113">
      <c r="D4113" s="81"/>
      <c r="E4113" s="81"/>
      <c r="F4113" s="81"/>
      <c r="G4113" s="81"/>
      <c r="H4113" s="81"/>
      <c r="I4113" s="81"/>
    </row>
    <row r="4114">
      <c r="D4114" s="81"/>
      <c r="E4114" s="81"/>
      <c r="F4114" s="81"/>
      <c r="G4114" s="81"/>
      <c r="H4114" s="81"/>
      <c r="I4114" s="81"/>
    </row>
    <row r="4115">
      <c r="D4115" s="81"/>
      <c r="E4115" s="81"/>
      <c r="F4115" s="81"/>
      <c r="G4115" s="81"/>
      <c r="H4115" s="81"/>
      <c r="I4115" s="81"/>
    </row>
    <row r="4116">
      <c r="D4116" s="81"/>
      <c r="E4116" s="81"/>
      <c r="F4116" s="81"/>
      <c r="G4116" s="81"/>
      <c r="H4116" s="81"/>
      <c r="I4116" s="81"/>
    </row>
    <row r="4117">
      <c r="D4117" s="81"/>
      <c r="E4117" s="81"/>
      <c r="F4117" s="81"/>
      <c r="G4117" s="81"/>
      <c r="H4117" s="81"/>
      <c r="I4117" s="81"/>
    </row>
    <row r="4118">
      <c r="D4118" s="81"/>
      <c r="E4118" s="81"/>
      <c r="F4118" s="81"/>
      <c r="G4118" s="81"/>
      <c r="H4118" s="81"/>
      <c r="I4118" s="81"/>
    </row>
    <row r="4119">
      <c r="D4119" s="81"/>
      <c r="E4119" s="81"/>
      <c r="F4119" s="81"/>
      <c r="G4119" s="81"/>
      <c r="H4119" s="81"/>
      <c r="I4119" s="81"/>
    </row>
    <row r="4120">
      <c r="D4120" s="81"/>
      <c r="E4120" s="81"/>
      <c r="F4120" s="81"/>
      <c r="G4120" s="81"/>
      <c r="H4120" s="81"/>
      <c r="I4120" s="81"/>
    </row>
    <row r="4121">
      <c r="D4121" s="81"/>
      <c r="E4121" s="81"/>
      <c r="F4121" s="81"/>
      <c r="G4121" s="81"/>
      <c r="H4121" s="81"/>
      <c r="I4121" s="81"/>
    </row>
    <row r="4122">
      <c r="D4122" s="81"/>
      <c r="E4122" s="81"/>
      <c r="F4122" s="81"/>
      <c r="G4122" s="81"/>
      <c r="H4122" s="81"/>
      <c r="I4122" s="81"/>
    </row>
    <row r="4123">
      <c r="D4123" s="81"/>
      <c r="E4123" s="81"/>
      <c r="F4123" s="81"/>
      <c r="G4123" s="81"/>
      <c r="H4123" s="81"/>
      <c r="I4123" s="81"/>
    </row>
    <row r="4124">
      <c r="D4124" s="81"/>
      <c r="E4124" s="81"/>
      <c r="F4124" s="81"/>
      <c r="G4124" s="81"/>
      <c r="H4124" s="81"/>
      <c r="I4124" s="81"/>
    </row>
    <row r="4125">
      <c r="D4125" s="81"/>
      <c r="E4125" s="81"/>
      <c r="F4125" s="81"/>
      <c r="G4125" s="81"/>
      <c r="H4125" s="81"/>
      <c r="I4125" s="81"/>
    </row>
    <row r="4126">
      <c r="D4126" s="81"/>
      <c r="E4126" s="81"/>
      <c r="F4126" s="81"/>
      <c r="G4126" s="81"/>
      <c r="H4126" s="81"/>
      <c r="I4126" s="81"/>
    </row>
    <row r="4127">
      <c r="D4127" s="81"/>
      <c r="E4127" s="81"/>
      <c r="F4127" s="81"/>
      <c r="G4127" s="81"/>
      <c r="H4127" s="81"/>
      <c r="I4127" s="81"/>
    </row>
    <row r="4128">
      <c r="D4128" s="81"/>
      <c r="E4128" s="81"/>
      <c r="F4128" s="81"/>
      <c r="G4128" s="81"/>
      <c r="H4128" s="81"/>
      <c r="I4128" s="81"/>
    </row>
    <row r="4129">
      <c r="D4129" s="81"/>
      <c r="E4129" s="81"/>
      <c r="F4129" s="81"/>
      <c r="G4129" s="81"/>
      <c r="H4129" s="81"/>
      <c r="I4129" s="81"/>
    </row>
    <row r="4130">
      <c r="D4130" s="81"/>
      <c r="E4130" s="81"/>
      <c r="F4130" s="81"/>
      <c r="G4130" s="81"/>
      <c r="H4130" s="81"/>
      <c r="I4130" s="81"/>
    </row>
    <row r="4131">
      <c r="D4131" s="81"/>
      <c r="E4131" s="81"/>
      <c r="F4131" s="81"/>
      <c r="G4131" s="81"/>
      <c r="H4131" s="81"/>
      <c r="I4131" s="81"/>
    </row>
    <row r="4132">
      <c r="D4132" s="81"/>
      <c r="E4132" s="81"/>
      <c r="F4132" s="81"/>
      <c r="G4132" s="81"/>
      <c r="H4132" s="81"/>
      <c r="I4132" s="81"/>
    </row>
    <row r="4133">
      <c r="D4133" s="81"/>
      <c r="E4133" s="81"/>
      <c r="F4133" s="81"/>
      <c r="G4133" s="81"/>
      <c r="H4133" s="81"/>
      <c r="I4133" s="81"/>
    </row>
    <row r="4134">
      <c r="D4134" s="81"/>
      <c r="E4134" s="81"/>
      <c r="F4134" s="81"/>
      <c r="G4134" s="81"/>
      <c r="H4134" s="81"/>
      <c r="I4134" s="81"/>
    </row>
    <row r="4135">
      <c r="D4135" s="81"/>
      <c r="E4135" s="81"/>
      <c r="F4135" s="81"/>
      <c r="G4135" s="81"/>
      <c r="H4135" s="81"/>
      <c r="I4135" s="81"/>
    </row>
    <row r="4136">
      <c r="D4136" s="81"/>
      <c r="E4136" s="81"/>
      <c r="F4136" s="81"/>
      <c r="G4136" s="81"/>
      <c r="H4136" s="81"/>
      <c r="I4136" s="81"/>
    </row>
    <row r="4137">
      <c r="D4137" s="81"/>
      <c r="E4137" s="81"/>
      <c r="F4137" s="81"/>
      <c r="G4137" s="81"/>
      <c r="H4137" s="81"/>
      <c r="I4137" s="81"/>
    </row>
    <row r="4138">
      <c r="D4138" s="81"/>
      <c r="E4138" s="81"/>
      <c r="F4138" s="81"/>
      <c r="G4138" s="81"/>
      <c r="H4138" s="81"/>
      <c r="I4138" s="81"/>
    </row>
    <row r="4139">
      <c r="D4139" s="81"/>
      <c r="E4139" s="81"/>
      <c r="F4139" s="81"/>
      <c r="G4139" s="81"/>
      <c r="H4139" s="81"/>
      <c r="I4139" s="81"/>
    </row>
    <row r="4140">
      <c r="D4140" s="81"/>
      <c r="E4140" s="81"/>
      <c r="F4140" s="81"/>
      <c r="G4140" s="81"/>
      <c r="H4140" s="81"/>
      <c r="I4140" s="81"/>
    </row>
    <row r="4141">
      <c r="D4141" s="81"/>
      <c r="E4141" s="81"/>
      <c r="F4141" s="81"/>
      <c r="G4141" s="81"/>
      <c r="H4141" s="81"/>
      <c r="I4141" s="81"/>
    </row>
    <row r="4142">
      <c r="D4142" s="81"/>
      <c r="E4142" s="81"/>
      <c r="F4142" s="81"/>
      <c r="G4142" s="81"/>
      <c r="H4142" s="81"/>
      <c r="I4142" s="81"/>
    </row>
    <row r="4143">
      <c r="D4143" s="81"/>
      <c r="E4143" s="81"/>
      <c r="F4143" s="81"/>
      <c r="G4143" s="81"/>
      <c r="H4143" s="81"/>
      <c r="I4143" s="81"/>
    </row>
    <row r="4144">
      <c r="D4144" s="81"/>
      <c r="E4144" s="81"/>
      <c r="F4144" s="81"/>
      <c r="G4144" s="81"/>
      <c r="H4144" s="81"/>
      <c r="I4144" s="81"/>
    </row>
    <row r="4145">
      <c r="D4145" s="81"/>
      <c r="E4145" s="81"/>
      <c r="F4145" s="81"/>
      <c r="G4145" s="81"/>
      <c r="H4145" s="81"/>
      <c r="I4145" s="81"/>
    </row>
    <row r="4146">
      <c r="D4146" s="81"/>
      <c r="E4146" s="81"/>
      <c r="F4146" s="81"/>
      <c r="G4146" s="81"/>
      <c r="H4146" s="81"/>
      <c r="I4146" s="81"/>
    </row>
    <row r="4147">
      <c r="D4147" s="81"/>
      <c r="E4147" s="81"/>
      <c r="F4147" s="81"/>
      <c r="G4147" s="81"/>
      <c r="H4147" s="81"/>
      <c r="I4147" s="81"/>
    </row>
    <row r="4148">
      <c r="D4148" s="81"/>
      <c r="E4148" s="81"/>
      <c r="F4148" s="81"/>
      <c r="G4148" s="81"/>
      <c r="H4148" s="81"/>
      <c r="I4148" s="81"/>
    </row>
    <row r="4149">
      <c r="D4149" s="81"/>
      <c r="E4149" s="81"/>
      <c r="F4149" s="81"/>
      <c r="G4149" s="81"/>
      <c r="H4149" s="81"/>
      <c r="I4149" s="81"/>
    </row>
    <row r="4150">
      <c r="D4150" s="81"/>
      <c r="E4150" s="81"/>
      <c r="F4150" s="81"/>
      <c r="G4150" s="81"/>
      <c r="H4150" s="81"/>
      <c r="I4150" s="81"/>
    </row>
    <row r="4151">
      <c r="D4151" s="81"/>
      <c r="E4151" s="81"/>
      <c r="F4151" s="81"/>
      <c r="G4151" s="81"/>
      <c r="H4151" s="81"/>
      <c r="I4151" s="81"/>
    </row>
    <row r="4152">
      <c r="D4152" s="81"/>
      <c r="E4152" s="81"/>
      <c r="F4152" s="81"/>
      <c r="G4152" s="81"/>
      <c r="H4152" s="81"/>
      <c r="I4152" s="81"/>
    </row>
    <row r="4153">
      <c r="D4153" s="81"/>
      <c r="E4153" s="81"/>
      <c r="F4153" s="81"/>
      <c r="G4153" s="81"/>
      <c r="H4153" s="81"/>
      <c r="I4153" s="81"/>
    </row>
    <row r="4154">
      <c r="D4154" s="81"/>
      <c r="E4154" s="81"/>
      <c r="F4154" s="81"/>
      <c r="G4154" s="81"/>
      <c r="H4154" s="81"/>
      <c r="I4154" s="81"/>
    </row>
    <row r="4155">
      <c r="D4155" s="81"/>
      <c r="E4155" s="81"/>
      <c r="F4155" s="81"/>
      <c r="G4155" s="81"/>
      <c r="H4155" s="81"/>
      <c r="I4155" s="81"/>
    </row>
    <row r="4156">
      <c r="D4156" s="81"/>
      <c r="E4156" s="81"/>
      <c r="F4156" s="81"/>
      <c r="G4156" s="81"/>
      <c r="H4156" s="81"/>
      <c r="I4156" s="81"/>
    </row>
    <row r="4157">
      <c r="D4157" s="81"/>
      <c r="E4157" s="81"/>
      <c r="F4157" s="81"/>
      <c r="G4157" s="81"/>
      <c r="H4157" s="81"/>
      <c r="I4157" s="81"/>
    </row>
    <row r="4158">
      <c r="D4158" s="81"/>
      <c r="E4158" s="81"/>
      <c r="F4158" s="81"/>
      <c r="G4158" s="81"/>
      <c r="H4158" s="81"/>
      <c r="I4158" s="81"/>
    </row>
    <row r="4159">
      <c r="D4159" s="81"/>
      <c r="E4159" s="81"/>
      <c r="F4159" s="81"/>
      <c r="G4159" s="81"/>
      <c r="H4159" s="81"/>
      <c r="I4159" s="81"/>
    </row>
    <row r="4160">
      <c r="D4160" s="81"/>
      <c r="E4160" s="81"/>
      <c r="F4160" s="81"/>
      <c r="G4160" s="81"/>
      <c r="H4160" s="81"/>
      <c r="I4160" s="81"/>
    </row>
    <row r="4161">
      <c r="D4161" s="81"/>
      <c r="E4161" s="81"/>
      <c r="F4161" s="81"/>
      <c r="G4161" s="81"/>
      <c r="H4161" s="81"/>
      <c r="I4161" s="81"/>
    </row>
    <row r="4162">
      <c r="D4162" s="81"/>
      <c r="E4162" s="81"/>
      <c r="F4162" s="81"/>
      <c r="G4162" s="81"/>
      <c r="H4162" s="81"/>
      <c r="I4162" s="81"/>
    </row>
    <row r="4163">
      <c r="D4163" s="81"/>
      <c r="E4163" s="81"/>
      <c r="F4163" s="81"/>
      <c r="G4163" s="81"/>
      <c r="H4163" s="81"/>
      <c r="I4163" s="81"/>
    </row>
    <row r="4164">
      <c r="D4164" s="81"/>
      <c r="E4164" s="81"/>
      <c r="F4164" s="81"/>
      <c r="G4164" s="81"/>
      <c r="H4164" s="81"/>
      <c r="I4164" s="81"/>
    </row>
    <row r="4165">
      <c r="D4165" s="81"/>
      <c r="E4165" s="81"/>
      <c r="F4165" s="81"/>
      <c r="G4165" s="81"/>
      <c r="H4165" s="81"/>
      <c r="I4165" s="81"/>
    </row>
    <row r="4166">
      <c r="D4166" s="81"/>
      <c r="E4166" s="81"/>
      <c r="F4166" s="81"/>
      <c r="G4166" s="81"/>
      <c r="H4166" s="81"/>
      <c r="I4166" s="81"/>
    </row>
    <row r="4167">
      <c r="D4167" s="81"/>
      <c r="E4167" s="81"/>
      <c r="F4167" s="81"/>
      <c r="G4167" s="81"/>
      <c r="H4167" s="81"/>
      <c r="I4167" s="81"/>
    </row>
    <row r="4168">
      <c r="D4168" s="81"/>
      <c r="E4168" s="81"/>
      <c r="F4168" s="81"/>
      <c r="G4168" s="81"/>
      <c r="H4168" s="81"/>
      <c r="I4168" s="81"/>
    </row>
    <row r="4169">
      <c r="D4169" s="81"/>
      <c r="E4169" s="81"/>
      <c r="F4169" s="81"/>
      <c r="G4169" s="81"/>
      <c r="H4169" s="81"/>
      <c r="I4169" s="81"/>
    </row>
    <row r="4170">
      <c r="D4170" s="81"/>
      <c r="E4170" s="81"/>
      <c r="F4170" s="81"/>
      <c r="G4170" s="81"/>
      <c r="H4170" s="81"/>
      <c r="I4170" s="81"/>
    </row>
    <row r="4171">
      <c r="D4171" s="81"/>
      <c r="E4171" s="81"/>
      <c r="F4171" s="81"/>
      <c r="G4171" s="81"/>
      <c r="H4171" s="81"/>
      <c r="I4171" s="81"/>
    </row>
    <row r="4172">
      <c r="D4172" s="81"/>
      <c r="E4172" s="81"/>
      <c r="F4172" s="81"/>
      <c r="G4172" s="81"/>
      <c r="H4172" s="81"/>
      <c r="I4172" s="81"/>
    </row>
    <row r="4173">
      <c r="D4173" s="81"/>
      <c r="E4173" s="81"/>
      <c r="F4173" s="81"/>
      <c r="G4173" s="81"/>
      <c r="H4173" s="81"/>
      <c r="I4173" s="81"/>
    </row>
    <row r="4174">
      <c r="D4174" s="81"/>
      <c r="E4174" s="81"/>
      <c r="F4174" s="81"/>
      <c r="G4174" s="81"/>
      <c r="H4174" s="81"/>
      <c r="I4174" s="81"/>
    </row>
    <row r="4175">
      <c r="D4175" s="81"/>
      <c r="E4175" s="81"/>
      <c r="F4175" s="81"/>
      <c r="G4175" s="81"/>
      <c r="H4175" s="81"/>
      <c r="I4175" s="81"/>
    </row>
    <row r="4176">
      <c r="D4176" s="81"/>
      <c r="E4176" s="81"/>
      <c r="F4176" s="81"/>
      <c r="G4176" s="81"/>
      <c r="H4176" s="81"/>
      <c r="I4176" s="81"/>
    </row>
    <row r="4177">
      <c r="D4177" s="81"/>
      <c r="E4177" s="81"/>
      <c r="F4177" s="81"/>
      <c r="G4177" s="81"/>
      <c r="H4177" s="81"/>
      <c r="I4177" s="81"/>
    </row>
    <row r="4178">
      <c r="D4178" s="81"/>
      <c r="E4178" s="81"/>
      <c r="F4178" s="81"/>
      <c r="G4178" s="81"/>
      <c r="H4178" s="81"/>
      <c r="I4178" s="81"/>
    </row>
    <row r="4179">
      <c r="D4179" s="81"/>
      <c r="E4179" s="81"/>
      <c r="F4179" s="81"/>
      <c r="G4179" s="81"/>
      <c r="H4179" s="81"/>
      <c r="I4179" s="81"/>
    </row>
    <row r="4180">
      <c r="D4180" s="81"/>
      <c r="E4180" s="81"/>
      <c r="F4180" s="81"/>
      <c r="G4180" s="81"/>
      <c r="H4180" s="81"/>
      <c r="I4180" s="81"/>
    </row>
    <row r="4181">
      <c r="D4181" s="81"/>
      <c r="E4181" s="81"/>
      <c r="F4181" s="81"/>
      <c r="G4181" s="81"/>
      <c r="H4181" s="81"/>
      <c r="I4181" s="81"/>
    </row>
    <row r="4182">
      <c r="D4182" s="81"/>
      <c r="E4182" s="81"/>
      <c r="F4182" s="81"/>
      <c r="G4182" s="81"/>
      <c r="H4182" s="81"/>
      <c r="I4182" s="81"/>
    </row>
    <row r="4183">
      <c r="D4183" s="81"/>
      <c r="E4183" s="81"/>
      <c r="F4183" s="81"/>
      <c r="G4183" s="81"/>
      <c r="H4183" s="81"/>
      <c r="I4183" s="81"/>
    </row>
    <row r="4184">
      <c r="D4184" s="81"/>
      <c r="E4184" s="81"/>
      <c r="F4184" s="81"/>
      <c r="G4184" s="81"/>
      <c r="H4184" s="81"/>
      <c r="I4184" s="81"/>
    </row>
    <row r="4185">
      <c r="D4185" s="81"/>
      <c r="E4185" s="81"/>
      <c r="F4185" s="81"/>
      <c r="G4185" s="81"/>
      <c r="H4185" s="81"/>
      <c r="I4185" s="81"/>
    </row>
    <row r="4186">
      <c r="D4186" s="81"/>
      <c r="E4186" s="81"/>
      <c r="F4186" s="81"/>
      <c r="G4186" s="81"/>
      <c r="H4186" s="81"/>
      <c r="I4186" s="81"/>
    </row>
    <row r="4187">
      <c r="D4187" s="81"/>
      <c r="E4187" s="81"/>
      <c r="F4187" s="81"/>
      <c r="G4187" s="81"/>
      <c r="H4187" s="81"/>
      <c r="I4187" s="81"/>
    </row>
    <row r="4188">
      <c r="D4188" s="81"/>
      <c r="E4188" s="81"/>
      <c r="F4188" s="81"/>
      <c r="G4188" s="81"/>
      <c r="H4188" s="81"/>
      <c r="I4188" s="81"/>
    </row>
    <row r="4189">
      <c r="D4189" s="81"/>
      <c r="E4189" s="81"/>
      <c r="F4189" s="81"/>
      <c r="G4189" s="81"/>
      <c r="H4189" s="81"/>
      <c r="I4189" s="81"/>
    </row>
    <row r="4190">
      <c r="D4190" s="81"/>
      <c r="E4190" s="81"/>
      <c r="F4190" s="81"/>
      <c r="G4190" s="81"/>
      <c r="H4190" s="81"/>
      <c r="I4190" s="81"/>
    </row>
    <row r="4191">
      <c r="D4191" s="81"/>
      <c r="E4191" s="81"/>
      <c r="F4191" s="81"/>
      <c r="G4191" s="81"/>
      <c r="H4191" s="81"/>
      <c r="I4191" s="81"/>
    </row>
    <row r="4192">
      <c r="D4192" s="81"/>
      <c r="E4192" s="81"/>
      <c r="F4192" s="81"/>
      <c r="G4192" s="81"/>
      <c r="H4192" s="81"/>
      <c r="I4192" s="81"/>
    </row>
    <row r="4193">
      <c r="D4193" s="81"/>
      <c r="E4193" s="81"/>
      <c r="F4193" s="81"/>
      <c r="G4193" s="81"/>
      <c r="H4193" s="81"/>
      <c r="I4193" s="81"/>
    </row>
    <row r="4194">
      <c r="D4194" s="81"/>
      <c r="E4194" s="81"/>
      <c r="F4194" s="81"/>
      <c r="G4194" s="81"/>
      <c r="H4194" s="81"/>
      <c r="I4194" s="81"/>
    </row>
    <row r="4195">
      <c r="D4195" s="81"/>
      <c r="E4195" s="81"/>
      <c r="F4195" s="81"/>
      <c r="G4195" s="81"/>
      <c r="H4195" s="81"/>
      <c r="I4195" s="81"/>
    </row>
    <row r="4196">
      <c r="D4196" s="81"/>
      <c r="E4196" s="81"/>
      <c r="F4196" s="81"/>
      <c r="G4196" s="81"/>
      <c r="H4196" s="81"/>
      <c r="I4196" s="81"/>
    </row>
    <row r="4197">
      <c r="D4197" s="81"/>
      <c r="E4197" s="81"/>
      <c r="F4197" s="81"/>
      <c r="G4197" s="81"/>
      <c r="H4197" s="81"/>
      <c r="I4197" s="81"/>
    </row>
    <row r="4198">
      <c r="D4198" s="81"/>
      <c r="E4198" s="81"/>
      <c r="F4198" s="81"/>
      <c r="G4198" s="81"/>
      <c r="H4198" s="81"/>
      <c r="I4198" s="81"/>
    </row>
    <row r="4199">
      <c r="D4199" s="81"/>
      <c r="E4199" s="81"/>
      <c r="F4199" s="81"/>
      <c r="G4199" s="81"/>
      <c r="H4199" s="81"/>
      <c r="I4199" s="81"/>
    </row>
    <row r="4200">
      <c r="D4200" s="81"/>
      <c r="E4200" s="81"/>
      <c r="F4200" s="81"/>
      <c r="G4200" s="81"/>
      <c r="H4200" s="81"/>
      <c r="I4200" s="81"/>
    </row>
    <row r="4201">
      <c r="D4201" s="81"/>
      <c r="E4201" s="81"/>
      <c r="F4201" s="81"/>
      <c r="G4201" s="81"/>
      <c r="H4201" s="81"/>
      <c r="I4201" s="81"/>
    </row>
    <row r="4202">
      <c r="D4202" s="81"/>
      <c r="E4202" s="81"/>
      <c r="F4202" s="81"/>
      <c r="G4202" s="81"/>
      <c r="H4202" s="81"/>
      <c r="I4202" s="81"/>
    </row>
    <row r="4203">
      <c r="D4203" s="81"/>
      <c r="E4203" s="81"/>
      <c r="F4203" s="81"/>
      <c r="G4203" s="81"/>
      <c r="H4203" s="81"/>
      <c r="I4203" s="81"/>
    </row>
    <row r="4204">
      <c r="D4204" s="81"/>
      <c r="E4204" s="81"/>
      <c r="F4204" s="81"/>
      <c r="G4204" s="81"/>
      <c r="H4204" s="81"/>
      <c r="I4204" s="81"/>
    </row>
    <row r="4205">
      <c r="D4205" s="81"/>
      <c r="E4205" s="81"/>
      <c r="F4205" s="81"/>
      <c r="G4205" s="81"/>
      <c r="H4205" s="81"/>
      <c r="I4205" s="81"/>
    </row>
    <row r="4206">
      <c r="D4206" s="81"/>
      <c r="E4206" s="81"/>
      <c r="F4206" s="81"/>
      <c r="G4206" s="81"/>
      <c r="H4206" s="81"/>
      <c r="I4206" s="81"/>
    </row>
    <row r="4207">
      <c r="D4207" s="81"/>
      <c r="E4207" s="81"/>
      <c r="F4207" s="81"/>
      <c r="G4207" s="81"/>
      <c r="H4207" s="81"/>
      <c r="I4207" s="81"/>
    </row>
    <row r="4208">
      <c r="D4208" s="81"/>
      <c r="E4208" s="81"/>
      <c r="F4208" s="81"/>
      <c r="G4208" s="81"/>
      <c r="H4208" s="81"/>
      <c r="I4208" s="81"/>
    </row>
    <row r="4209">
      <c r="D4209" s="81"/>
      <c r="E4209" s="81"/>
      <c r="F4209" s="81"/>
      <c r="G4209" s="81"/>
      <c r="H4209" s="81"/>
      <c r="I4209" s="81"/>
    </row>
    <row r="4210">
      <c r="D4210" s="81"/>
      <c r="E4210" s="81"/>
      <c r="F4210" s="81"/>
      <c r="G4210" s="81"/>
      <c r="H4210" s="81"/>
      <c r="I4210" s="81"/>
    </row>
    <row r="4211">
      <c r="D4211" s="81"/>
      <c r="E4211" s="81"/>
      <c r="F4211" s="81"/>
      <c r="G4211" s="81"/>
      <c r="H4211" s="81"/>
      <c r="I4211" s="81"/>
    </row>
    <row r="4212">
      <c r="D4212" s="81"/>
      <c r="E4212" s="81"/>
      <c r="F4212" s="81"/>
      <c r="G4212" s="81"/>
      <c r="H4212" s="81"/>
      <c r="I4212" s="81"/>
    </row>
    <row r="4213">
      <c r="D4213" s="81"/>
      <c r="E4213" s="81"/>
      <c r="F4213" s="81"/>
      <c r="G4213" s="81"/>
      <c r="H4213" s="81"/>
      <c r="I4213" s="81"/>
    </row>
    <row r="4214">
      <c r="D4214" s="81"/>
      <c r="E4214" s="81"/>
      <c r="F4214" s="81"/>
      <c r="G4214" s="81"/>
      <c r="H4214" s="81"/>
      <c r="I4214" s="81"/>
    </row>
    <row r="4215">
      <c r="D4215" s="81"/>
      <c r="E4215" s="81"/>
      <c r="F4215" s="81"/>
      <c r="G4215" s="81"/>
      <c r="H4215" s="81"/>
      <c r="I4215" s="81"/>
    </row>
    <row r="4216">
      <c r="D4216" s="81"/>
      <c r="E4216" s="81"/>
      <c r="F4216" s="81"/>
      <c r="G4216" s="81"/>
      <c r="H4216" s="81"/>
      <c r="I4216" s="81"/>
    </row>
    <row r="4217">
      <c r="D4217" s="81"/>
      <c r="E4217" s="81"/>
      <c r="F4217" s="81"/>
      <c r="G4217" s="81"/>
      <c r="H4217" s="81"/>
      <c r="I4217" s="81"/>
    </row>
    <row r="4218">
      <c r="D4218" s="81"/>
      <c r="E4218" s="81"/>
      <c r="F4218" s="81"/>
      <c r="G4218" s="81"/>
      <c r="H4218" s="81"/>
      <c r="I4218" s="81"/>
    </row>
    <row r="4219">
      <c r="D4219" s="81"/>
      <c r="E4219" s="81"/>
      <c r="F4219" s="81"/>
      <c r="G4219" s="81"/>
      <c r="H4219" s="81"/>
      <c r="I4219" s="81"/>
    </row>
    <row r="4220">
      <c r="D4220" s="81"/>
      <c r="E4220" s="81"/>
      <c r="F4220" s="81"/>
      <c r="G4220" s="81"/>
      <c r="H4220" s="81"/>
      <c r="I4220" s="81"/>
    </row>
    <row r="4221">
      <c r="D4221" s="81"/>
      <c r="E4221" s="81"/>
      <c r="F4221" s="81"/>
      <c r="G4221" s="81"/>
      <c r="H4221" s="81"/>
      <c r="I4221" s="81"/>
    </row>
    <row r="4222">
      <c r="D4222" s="81"/>
      <c r="E4222" s="81"/>
      <c r="F4222" s="81"/>
      <c r="G4222" s="81"/>
      <c r="H4222" s="81"/>
      <c r="I4222" s="81"/>
    </row>
    <row r="4223">
      <c r="D4223" s="81"/>
      <c r="E4223" s="81"/>
      <c r="F4223" s="81"/>
      <c r="G4223" s="81"/>
      <c r="H4223" s="81"/>
      <c r="I4223" s="81"/>
    </row>
    <row r="4224">
      <c r="D4224" s="81"/>
      <c r="E4224" s="81"/>
      <c r="F4224" s="81"/>
      <c r="G4224" s="81"/>
      <c r="H4224" s="81"/>
      <c r="I4224" s="81"/>
    </row>
    <row r="4225">
      <c r="D4225" s="81"/>
      <c r="E4225" s="81"/>
      <c r="F4225" s="81"/>
      <c r="G4225" s="81"/>
      <c r="H4225" s="81"/>
      <c r="I4225" s="81"/>
    </row>
    <row r="4226">
      <c r="D4226" s="81"/>
      <c r="E4226" s="81"/>
      <c r="F4226" s="81"/>
      <c r="G4226" s="81"/>
      <c r="H4226" s="81"/>
      <c r="I4226" s="81"/>
    </row>
    <row r="4227">
      <c r="D4227" s="81"/>
      <c r="E4227" s="81"/>
      <c r="F4227" s="81"/>
      <c r="G4227" s="81"/>
      <c r="H4227" s="81"/>
      <c r="I4227" s="81"/>
    </row>
    <row r="4228">
      <c r="D4228" s="81"/>
      <c r="E4228" s="81"/>
      <c r="F4228" s="81"/>
      <c r="G4228" s="81"/>
      <c r="H4228" s="81"/>
      <c r="I4228" s="81"/>
    </row>
    <row r="4229">
      <c r="D4229" s="81"/>
      <c r="E4229" s="81"/>
      <c r="F4229" s="81"/>
      <c r="G4229" s="81"/>
      <c r="H4229" s="81"/>
      <c r="I4229" s="81"/>
    </row>
    <row r="4230">
      <c r="D4230" s="81"/>
      <c r="E4230" s="81"/>
      <c r="F4230" s="81"/>
      <c r="G4230" s="81"/>
      <c r="H4230" s="81"/>
      <c r="I4230" s="81"/>
    </row>
    <row r="4231">
      <c r="D4231" s="81"/>
      <c r="E4231" s="81"/>
      <c r="F4231" s="81"/>
      <c r="G4231" s="81"/>
      <c r="H4231" s="81"/>
      <c r="I4231" s="81"/>
    </row>
    <row r="4232">
      <c r="D4232" s="81"/>
      <c r="E4232" s="81"/>
      <c r="F4232" s="81"/>
      <c r="G4232" s="81"/>
      <c r="H4232" s="81"/>
      <c r="I4232" s="81"/>
    </row>
    <row r="4233">
      <c r="D4233" s="81"/>
      <c r="E4233" s="81"/>
      <c r="F4233" s="81"/>
      <c r="G4233" s="81"/>
      <c r="H4233" s="81"/>
      <c r="I4233" s="81"/>
    </row>
    <row r="4234">
      <c r="D4234" s="81"/>
      <c r="E4234" s="81"/>
      <c r="F4234" s="81"/>
      <c r="G4234" s="81"/>
      <c r="H4234" s="81"/>
      <c r="I4234" s="81"/>
    </row>
    <row r="4235">
      <c r="D4235" s="81"/>
      <c r="E4235" s="81"/>
      <c r="F4235" s="81"/>
      <c r="G4235" s="81"/>
      <c r="H4235" s="81"/>
      <c r="I4235" s="81"/>
    </row>
    <row r="4236">
      <c r="D4236" s="81"/>
      <c r="E4236" s="81"/>
      <c r="F4236" s="81"/>
      <c r="G4236" s="81"/>
      <c r="H4236" s="81"/>
      <c r="I4236" s="81"/>
    </row>
    <row r="4237">
      <c r="D4237" s="81"/>
      <c r="E4237" s="81"/>
      <c r="F4237" s="81"/>
      <c r="G4237" s="81"/>
      <c r="H4237" s="81"/>
      <c r="I4237" s="81"/>
    </row>
    <row r="4238">
      <c r="D4238" s="81"/>
      <c r="E4238" s="81"/>
      <c r="F4238" s="81"/>
      <c r="G4238" s="81"/>
      <c r="H4238" s="81"/>
      <c r="I4238" s="81"/>
    </row>
    <row r="4239">
      <c r="D4239" s="81"/>
      <c r="E4239" s="81"/>
      <c r="F4239" s="81"/>
      <c r="G4239" s="81"/>
      <c r="H4239" s="81"/>
      <c r="I4239" s="81"/>
    </row>
    <row r="4240">
      <c r="D4240" s="81"/>
      <c r="E4240" s="81"/>
      <c r="F4240" s="81"/>
      <c r="G4240" s="81"/>
      <c r="H4240" s="81"/>
      <c r="I4240" s="81"/>
    </row>
    <row r="4241">
      <c r="D4241" s="81"/>
      <c r="E4241" s="81"/>
      <c r="F4241" s="81"/>
      <c r="G4241" s="81"/>
      <c r="H4241" s="81"/>
      <c r="I4241" s="81"/>
    </row>
    <row r="4242">
      <c r="D4242" s="81"/>
      <c r="E4242" s="81"/>
      <c r="F4242" s="81"/>
      <c r="G4242" s="81"/>
      <c r="H4242" s="81"/>
      <c r="I4242" s="81"/>
    </row>
    <row r="4243">
      <c r="D4243" s="81"/>
      <c r="E4243" s="81"/>
      <c r="F4243" s="81"/>
      <c r="G4243" s="81"/>
      <c r="H4243" s="81"/>
      <c r="I4243" s="81"/>
    </row>
    <row r="4244">
      <c r="D4244" s="81"/>
      <c r="E4244" s="81"/>
      <c r="F4244" s="81"/>
      <c r="G4244" s="81"/>
      <c r="H4244" s="81"/>
      <c r="I4244" s="81"/>
    </row>
    <row r="4245">
      <c r="D4245" s="81"/>
      <c r="E4245" s="81"/>
      <c r="F4245" s="81"/>
      <c r="G4245" s="81"/>
      <c r="H4245" s="81"/>
      <c r="I4245" s="81"/>
    </row>
    <row r="4246">
      <c r="D4246" s="81"/>
      <c r="E4246" s="81"/>
      <c r="F4246" s="81"/>
      <c r="G4246" s="81"/>
      <c r="H4246" s="81"/>
      <c r="I4246" s="81"/>
    </row>
    <row r="4247">
      <c r="D4247" s="81"/>
      <c r="E4247" s="81"/>
      <c r="F4247" s="81"/>
      <c r="G4247" s="81"/>
      <c r="H4247" s="81"/>
      <c r="I4247" s="81"/>
    </row>
    <row r="4248">
      <c r="D4248" s="81"/>
      <c r="E4248" s="81"/>
      <c r="F4248" s="81"/>
      <c r="G4248" s="81"/>
      <c r="H4248" s="81"/>
      <c r="I4248" s="81"/>
    </row>
    <row r="4249">
      <c r="D4249" s="81"/>
      <c r="E4249" s="81"/>
      <c r="F4249" s="81"/>
      <c r="G4249" s="81"/>
      <c r="H4249" s="81"/>
      <c r="I4249" s="81"/>
    </row>
    <row r="4250">
      <c r="D4250" s="81"/>
      <c r="E4250" s="81"/>
      <c r="F4250" s="81"/>
      <c r="G4250" s="81"/>
      <c r="H4250" s="81"/>
      <c r="I4250" s="81"/>
    </row>
    <row r="4251">
      <c r="D4251" s="81"/>
      <c r="E4251" s="81"/>
      <c r="F4251" s="81"/>
      <c r="G4251" s="81"/>
      <c r="H4251" s="81"/>
      <c r="I4251" s="81"/>
    </row>
    <row r="4252">
      <c r="D4252" s="81"/>
      <c r="E4252" s="81"/>
      <c r="F4252" s="81"/>
      <c r="G4252" s="81"/>
      <c r="H4252" s="81"/>
      <c r="I4252" s="81"/>
    </row>
    <row r="4253">
      <c r="D4253" s="81"/>
      <c r="E4253" s="81"/>
      <c r="F4253" s="81"/>
      <c r="G4253" s="81"/>
      <c r="H4253" s="81"/>
      <c r="I4253" s="81"/>
    </row>
    <row r="4254">
      <c r="D4254" s="81"/>
      <c r="E4254" s="81"/>
      <c r="F4254" s="81"/>
      <c r="G4254" s="81"/>
      <c r="H4254" s="81"/>
      <c r="I4254" s="81"/>
    </row>
    <row r="4255">
      <c r="D4255" s="81"/>
      <c r="E4255" s="81"/>
      <c r="F4255" s="81"/>
      <c r="G4255" s="81"/>
      <c r="H4255" s="81"/>
      <c r="I4255" s="81"/>
    </row>
    <row r="4256">
      <c r="D4256" s="81"/>
      <c r="E4256" s="81"/>
      <c r="F4256" s="81"/>
      <c r="G4256" s="81"/>
      <c r="H4256" s="81"/>
      <c r="I4256" s="81"/>
    </row>
    <row r="4257">
      <c r="D4257" s="81"/>
      <c r="E4257" s="81"/>
      <c r="F4257" s="81"/>
      <c r="G4257" s="81"/>
      <c r="H4257" s="81"/>
      <c r="I4257" s="81"/>
    </row>
    <row r="4258">
      <c r="D4258" s="81"/>
      <c r="E4258" s="81"/>
      <c r="F4258" s="81"/>
      <c r="G4258" s="81"/>
      <c r="H4258" s="81"/>
      <c r="I4258" s="81"/>
    </row>
    <row r="4259">
      <c r="D4259" s="81"/>
      <c r="E4259" s="81"/>
      <c r="F4259" s="81"/>
      <c r="G4259" s="81"/>
      <c r="H4259" s="81"/>
      <c r="I4259" s="81"/>
    </row>
    <row r="4260">
      <c r="D4260" s="81"/>
      <c r="E4260" s="81"/>
      <c r="F4260" s="81"/>
      <c r="G4260" s="81"/>
      <c r="H4260" s="81"/>
      <c r="I4260" s="81"/>
    </row>
    <row r="4261">
      <c r="D4261" s="81"/>
      <c r="E4261" s="81"/>
      <c r="F4261" s="81"/>
      <c r="G4261" s="81"/>
      <c r="H4261" s="81"/>
      <c r="I4261" s="81"/>
    </row>
    <row r="4262">
      <c r="D4262" s="81"/>
      <c r="E4262" s="81"/>
      <c r="F4262" s="81"/>
      <c r="G4262" s="81"/>
      <c r="H4262" s="81"/>
      <c r="I4262" s="81"/>
    </row>
    <row r="4263">
      <c r="D4263" s="81"/>
      <c r="E4263" s="81"/>
      <c r="F4263" s="81"/>
      <c r="G4263" s="81"/>
      <c r="H4263" s="81"/>
      <c r="I4263" s="81"/>
    </row>
    <row r="4264">
      <c r="D4264" s="81"/>
      <c r="E4264" s="81"/>
      <c r="F4264" s="81"/>
      <c r="G4264" s="81"/>
      <c r="H4264" s="81"/>
      <c r="I4264" s="81"/>
    </row>
    <row r="4265">
      <c r="D4265" s="81"/>
      <c r="E4265" s="81"/>
      <c r="F4265" s="81"/>
      <c r="G4265" s="81"/>
      <c r="H4265" s="81"/>
      <c r="I4265" s="81"/>
    </row>
    <row r="4266">
      <c r="D4266" s="81"/>
      <c r="E4266" s="81"/>
      <c r="F4266" s="81"/>
      <c r="G4266" s="81"/>
      <c r="H4266" s="81"/>
      <c r="I4266" s="81"/>
    </row>
    <row r="4267">
      <c r="D4267" s="81"/>
      <c r="E4267" s="81"/>
      <c r="F4267" s="81"/>
      <c r="G4267" s="81"/>
      <c r="H4267" s="81"/>
      <c r="I4267" s="81"/>
    </row>
    <row r="4268">
      <c r="D4268" s="81"/>
      <c r="E4268" s="81"/>
      <c r="F4268" s="81"/>
      <c r="G4268" s="81"/>
      <c r="H4268" s="81"/>
      <c r="I4268" s="81"/>
    </row>
    <row r="4269">
      <c r="D4269" s="81"/>
      <c r="E4269" s="81"/>
      <c r="F4269" s="81"/>
      <c r="G4269" s="81"/>
      <c r="H4269" s="81"/>
      <c r="I4269" s="81"/>
    </row>
    <row r="4270">
      <c r="D4270" s="81"/>
      <c r="E4270" s="81"/>
      <c r="F4270" s="81"/>
      <c r="G4270" s="81"/>
      <c r="H4270" s="81"/>
      <c r="I4270" s="81"/>
    </row>
    <row r="4271">
      <c r="D4271" s="81"/>
      <c r="E4271" s="81"/>
      <c r="F4271" s="81"/>
      <c r="G4271" s="81"/>
      <c r="H4271" s="81"/>
      <c r="I4271" s="81"/>
    </row>
    <row r="4272">
      <c r="D4272" s="81"/>
      <c r="E4272" s="81"/>
      <c r="F4272" s="81"/>
      <c r="G4272" s="81"/>
      <c r="H4272" s="81"/>
      <c r="I4272" s="81"/>
    </row>
    <row r="4273">
      <c r="D4273" s="81"/>
      <c r="E4273" s="81"/>
      <c r="F4273" s="81"/>
      <c r="G4273" s="81"/>
      <c r="H4273" s="81"/>
      <c r="I4273" s="81"/>
    </row>
    <row r="4274">
      <c r="D4274" s="81"/>
      <c r="E4274" s="81"/>
      <c r="F4274" s="81"/>
      <c r="G4274" s="81"/>
      <c r="H4274" s="81"/>
      <c r="I4274" s="81"/>
    </row>
    <row r="4275">
      <c r="D4275" s="81"/>
      <c r="E4275" s="81"/>
      <c r="F4275" s="81"/>
      <c r="G4275" s="81"/>
      <c r="H4275" s="81"/>
      <c r="I4275" s="81"/>
    </row>
    <row r="4276">
      <c r="D4276" s="81"/>
      <c r="E4276" s="81"/>
      <c r="F4276" s="81"/>
      <c r="G4276" s="81"/>
      <c r="H4276" s="81"/>
      <c r="I4276" s="81"/>
    </row>
    <row r="4277">
      <c r="D4277" s="81"/>
      <c r="E4277" s="81"/>
      <c r="F4277" s="81"/>
      <c r="G4277" s="81"/>
      <c r="H4277" s="81"/>
      <c r="I4277" s="81"/>
    </row>
    <row r="4278">
      <c r="D4278" s="81"/>
      <c r="E4278" s="81"/>
      <c r="F4278" s="81"/>
      <c r="G4278" s="81"/>
      <c r="H4278" s="81"/>
      <c r="I4278" s="81"/>
    </row>
    <row r="4279">
      <c r="D4279" s="81"/>
      <c r="E4279" s="81"/>
      <c r="F4279" s="81"/>
      <c r="G4279" s="81"/>
      <c r="H4279" s="81"/>
      <c r="I4279" s="81"/>
    </row>
    <row r="4280">
      <c r="D4280" s="81"/>
      <c r="E4280" s="81"/>
      <c r="F4280" s="81"/>
      <c r="G4280" s="81"/>
      <c r="H4280" s="81"/>
      <c r="I4280" s="81"/>
    </row>
    <row r="4281">
      <c r="D4281" s="81"/>
      <c r="E4281" s="81"/>
      <c r="F4281" s="81"/>
      <c r="G4281" s="81"/>
      <c r="H4281" s="81"/>
      <c r="I4281" s="81"/>
    </row>
    <row r="4282">
      <c r="D4282" s="81"/>
      <c r="E4282" s="81"/>
      <c r="F4282" s="81"/>
      <c r="G4282" s="81"/>
      <c r="H4282" s="81"/>
      <c r="I4282" s="81"/>
    </row>
    <row r="4283">
      <c r="D4283" s="81"/>
      <c r="E4283" s="81"/>
      <c r="F4283" s="81"/>
      <c r="G4283" s="81"/>
      <c r="H4283" s="81"/>
      <c r="I4283" s="81"/>
    </row>
    <row r="4284">
      <c r="D4284" s="81"/>
      <c r="E4284" s="81"/>
      <c r="F4284" s="81"/>
      <c r="G4284" s="81"/>
      <c r="H4284" s="81"/>
      <c r="I4284" s="81"/>
    </row>
    <row r="4285">
      <c r="D4285" s="81"/>
      <c r="E4285" s="81"/>
      <c r="F4285" s="81"/>
      <c r="G4285" s="81"/>
      <c r="H4285" s="81"/>
      <c r="I4285" s="81"/>
    </row>
    <row r="4286">
      <c r="D4286" s="81"/>
      <c r="E4286" s="81"/>
      <c r="F4286" s="81"/>
      <c r="G4286" s="81"/>
      <c r="H4286" s="81"/>
      <c r="I4286" s="81"/>
    </row>
    <row r="4287">
      <c r="D4287" s="81"/>
      <c r="E4287" s="81"/>
      <c r="F4287" s="81"/>
      <c r="G4287" s="81"/>
      <c r="H4287" s="81"/>
      <c r="I4287" s="81"/>
    </row>
    <row r="4288">
      <c r="D4288" s="81"/>
      <c r="E4288" s="81"/>
      <c r="F4288" s="81"/>
      <c r="G4288" s="81"/>
      <c r="H4288" s="81"/>
      <c r="I4288" s="81"/>
    </row>
    <row r="4289">
      <c r="D4289" s="81"/>
      <c r="E4289" s="81"/>
      <c r="F4289" s="81"/>
      <c r="G4289" s="81"/>
      <c r="H4289" s="81"/>
      <c r="I4289" s="81"/>
    </row>
    <row r="4290">
      <c r="D4290" s="81"/>
      <c r="E4290" s="81"/>
      <c r="F4290" s="81"/>
      <c r="G4290" s="81"/>
      <c r="H4290" s="81"/>
      <c r="I4290" s="81"/>
    </row>
    <row r="4291">
      <c r="D4291" s="81"/>
      <c r="E4291" s="81"/>
      <c r="F4291" s="81"/>
      <c r="G4291" s="81"/>
      <c r="H4291" s="81"/>
      <c r="I4291" s="81"/>
    </row>
    <row r="4292">
      <c r="D4292" s="81"/>
      <c r="E4292" s="81"/>
      <c r="F4292" s="81"/>
      <c r="G4292" s="81"/>
      <c r="H4292" s="81"/>
      <c r="I4292" s="81"/>
    </row>
    <row r="4293">
      <c r="D4293" s="81"/>
      <c r="E4293" s="81"/>
      <c r="F4293" s="81"/>
      <c r="G4293" s="81"/>
      <c r="H4293" s="81"/>
      <c r="I4293" s="81"/>
    </row>
    <row r="4294">
      <c r="D4294" s="81"/>
      <c r="E4294" s="81"/>
      <c r="F4294" s="81"/>
      <c r="G4294" s="81"/>
      <c r="H4294" s="81"/>
      <c r="I4294" s="81"/>
    </row>
    <row r="4295">
      <c r="D4295" s="81"/>
      <c r="E4295" s="81"/>
      <c r="F4295" s="81"/>
      <c r="G4295" s="81"/>
      <c r="H4295" s="81"/>
      <c r="I4295" s="81"/>
    </row>
    <row r="4296">
      <c r="D4296" s="81"/>
      <c r="E4296" s="81"/>
      <c r="F4296" s="81"/>
      <c r="G4296" s="81"/>
      <c r="H4296" s="81"/>
      <c r="I4296" s="81"/>
    </row>
    <row r="4297">
      <c r="D4297" s="81"/>
      <c r="E4297" s="81"/>
      <c r="F4297" s="81"/>
      <c r="G4297" s="81"/>
      <c r="H4297" s="81"/>
      <c r="I4297" s="81"/>
    </row>
    <row r="4298">
      <c r="D4298" s="81"/>
      <c r="E4298" s="81"/>
      <c r="F4298" s="81"/>
      <c r="G4298" s="81"/>
      <c r="H4298" s="81"/>
      <c r="I4298" s="81"/>
    </row>
    <row r="4299">
      <c r="D4299" s="81"/>
      <c r="E4299" s="81"/>
      <c r="F4299" s="81"/>
      <c r="G4299" s="81"/>
      <c r="H4299" s="81"/>
      <c r="I4299" s="81"/>
    </row>
    <row r="4300">
      <c r="D4300" s="81"/>
      <c r="E4300" s="81"/>
      <c r="F4300" s="81"/>
      <c r="G4300" s="81"/>
      <c r="H4300" s="81"/>
      <c r="I4300" s="81"/>
    </row>
    <row r="4301">
      <c r="D4301" s="81"/>
      <c r="E4301" s="81"/>
      <c r="F4301" s="81"/>
      <c r="G4301" s="81"/>
      <c r="H4301" s="81"/>
      <c r="I4301" s="81"/>
    </row>
    <row r="4302">
      <c r="D4302" s="81"/>
      <c r="E4302" s="81"/>
      <c r="F4302" s="81"/>
      <c r="G4302" s="81"/>
      <c r="H4302" s="81"/>
      <c r="I4302" s="81"/>
    </row>
    <row r="4303">
      <c r="D4303" s="81"/>
      <c r="E4303" s="81"/>
      <c r="F4303" s="81"/>
      <c r="G4303" s="81"/>
      <c r="H4303" s="81"/>
      <c r="I4303" s="81"/>
    </row>
    <row r="4304">
      <c r="D4304" s="81"/>
      <c r="E4304" s="81"/>
      <c r="F4304" s="81"/>
      <c r="G4304" s="81"/>
      <c r="H4304" s="81"/>
      <c r="I4304" s="81"/>
    </row>
    <row r="4305">
      <c r="D4305" s="81"/>
      <c r="E4305" s="81"/>
      <c r="F4305" s="81"/>
      <c r="G4305" s="81"/>
      <c r="H4305" s="81"/>
      <c r="I4305" s="81"/>
    </row>
    <row r="4306">
      <c r="D4306" s="81"/>
      <c r="E4306" s="81"/>
      <c r="F4306" s="81"/>
      <c r="G4306" s="81"/>
      <c r="H4306" s="81"/>
      <c r="I4306" s="81"/>
    </row>
    <row r="4307">
      <c r="D4307" s="81"/>
      <c r="E4307" s="81"/>
      <c r="F4307" s="81"/>
      <c r="G4307" s="81"/>
      <c r="H4307" s="81"/>
      <c r="I4307" s="81"/>
    </row>
    <row r="4308">
      <c r="D4308" s="81"/>
      <c r="E4308" s="81"/>
      <c r="F4308" s="81"/>
      <c r="G4308" s="81"/>
      <c r="H4308" s="81"/>
      <c r="I4308" s="81"/>
    </row>
    <row r="4309">
      <c r="D4309" s="81"/>
      <c r="E4309" s="81"/>
      <c r="F4309" s="81"/>
      <c r="G4309" s="81"/>
      <c r="H4309" s="81"/>
      <c r="I4309" s="81"/>
    </row>
    <row r="4310">
      <c r="D4310" s="81"/>
      <c r="E4310" s="81"/>
      <c r="F4310" s="81"/>
      <c r="G4310" s="81"/>
      <c r="H4310" s="81"/>
      <c r="I4310" s="81"/>
    </row>
    <row r="4311">
      <c r="D4311" s="81"/>
      <c r="E4311" s="81"/>
      <c r="F4311" s="81"/>
      <c r="G4311" s="81"/>
      <c r="H4311" s="81"/>
      <c r="I4311" s="81"/>
    </row>
    <row r="4312">
      <c r="D4312" s="81"/>
      <c r="E4312" s="81"/>
      <c r="F4312" s="81"/>
      <c r="G4312" s="81"/>
      <c r="H4312" s="81"/>
      <c r="I4312" s="81"/>
    </row>
    <row r="4313">
      <c r="D4313" s="81"/>
      <c r="E4313" s="81"/>
      <c r="F4313" s="81"/>
      <c r="G4313" s="81"/>
      <c r="H4313" s="81"/>
      <c r="I4313" s="81"/>
    </row>
    <row r="4314">
      <c r="D4314" s="81"/>
      <c r="E4314" s="81"/>
      <c r="F4314" s="81"/>
      <c r="G4314" s="81"/>
      <c r="H4314" s="81"/>
      <c r="I4314" s="81"/>
    </row>
    <row r="4315">
      <c r="D4315" s="81"/>
      <c r="E4315" s="81"/>
      <c r="F4315" s="81"/>
      <c r="G4315" s="81"/>
      <c r="H4315" s="81"/>
      <c r="I4315" s="81"/>
    </row>
    <row r="4316">
      <c r="D4316" s="81"/>
      <c r="E4316" s="81"/>
      <c r="F4316" s="81"/>
      <c r="G4316" s="81"/>
      <c r="H4316" s="81"/>
      <c r="I4316" s="81"/>
    </row>
    <row r="4317">
      <c r="D4317" s="81"/>
      <c r="E4317" s="81"/>
      <c r="F4317" s="81"/>
      <c r="G4317" s="81"/>
      <c r="H4317" s="81"/>
      <c r="I4317" s="81"/>
    </row>
    <row r="4318">
      <c r="D4318" s="81"/>
      <c r="E4318" s="81"/>
      <c r="F4318" s="81"/>
      <c r="G4318" s="81"/>
      <c r="H4318" s="81"/>
      <c r="I4318" s="81"/>
    </row>
    <row r="4319">
      <c r="D4319" s="81"/>
      <c r="E4319" s="81"/>
      <c r="F4319" s="81"/>
      <c r="G4319" s="81"/>
      <c r="H4319" s="81"/>
      <c r="I4319" s="81"/>
    </row>
    <row r="4320">
      <c r="D4320" s="81"/>
      <c r="E4320" s="81"/>
      <c r="F4320" s="81"/>
      <c r="G4320" s="81"/>
      <c r="H4320" s="81"/>
      <c r="I4320" s="81"/>
    </row>
    <row r="4321">
      <c r="D4321" s="81"/>
      <c r="E4321" s="81"/>
      <c r="F4321" s="81"/>
      <c r="G4321" s="81"/>
      <c r="H4321" s="81"/>
      <c r="I4321" s="81"/>
    </row>
    <row r="4322">
      <c r="D4322" s="81"/>
      <c r="E4322" s="81"/>
      <c r="F4322" s="81"/>
      <c r="G4322" s="81"/>
      <c r="H4322" s="81"/>
      <c r="I4322" s="81"/>
    </row>
    <row r="4323">
      <c r="D4323" s="81"/>
      <c r="E4323" s="81"/>
      <c r="F4323" s="81"/>
      <c r="G4323" s="81"/>
      <c r="H4323" s="81"/>
      <c r="I4323" s="81"/>
    </row>
    <row r="4324">
      <c r="D4324" s="81"/>
      <c r="E4324" s="81"/>
      <c r="F4324" s="81"/>
      <c r="G4324" s="81"/>
      <c r="H4324" s="81"/>
      <c r="I4324" s="81"/>
    </row>
    <row r="4325">
      <c r="D4325" s="81"/>
      <c r="E4325" s="81"/>
      <c r="F4325" s="81"/>
      <c r="G4325" s="81"/>
      <c r="H4325" s="81"/>
      <c r="I4325" s="81"/>
    </row>
    <row r="4326">
      <c r="D4326" s="81"/>
      <c r="E4326" s="81"/>
      <c r="F4326" s="81"/>
      <c r="G4326" s="81"/>
      <c r="H4326" s="81"/>
      <c r="I4326" s="81"/>
    </row>
    <row r="4327">
      <c r="D4327" s="81"/>
      <c r="E4327" s="81"/>
      <c r="F4327" s="81"/>
      <c r="G4327" s="81"/>
      <c r="H4327" s="81"/>
      <c r="I4327" s="81"/>
    </row>
    <row r="4328">
      <c r="D4328" s="81"/>
      <c r="E4328" s="81"/>
      <c r="F4328" s="81"/>
      <c r="G4328" s="81"/>
      <c r="H4328" s="81"/>
      <c r="I4328" s="81"/>
    </row>
    <row r="4329">
      <c r="D4329" s="81"/>
      <c r="E4329" s="81"/>
      <c r="F4329" s="81"/>
      <c r="G4329" s="81"/>
      <c r="H4329" s="81"/>
      <c r="I4329" s="81"/>
    </row>
    <row r="4330">
      <c r="D4330" s="81"/>
      <c r="E4330" s="81"/>
      <c r="F4330" s="81"/>
      <c r="G4330" s="81"/>
      <c r="H4330" s="81"/>
      <c r="I4330" s="81"/>
    </row>
    <row r="4331">
      <c r="D4331" s="81"/>
      <c r="E4331" s="81"/>
      <c r="F4331" s="81"/>
      <c r="G4331" s="81"/>
      <c r="H4331" s="81"/>
      <c r="I4331" s="81"/>
    </row>
    <row r="4332">
      <c r="D4332" s="81"/>
      <c r="E4332" s="81"/>
      <c r="F4332" s="81"/>
      <c r="G4332" s="81"/>
      <c r="H4332" s="81"/>
      <c r="I4332" s="81"/>
    </row>
    <row r="4333">
      <c r="D4333" s="81"/>
      <c r="E4333" s="81"/>
      <c r="F4333" s="81"/>
      <c r="G4333" s="81"/>
      <c r="H4333" s="81"/>
      <c r="I4333" s="81"/>
    </row>
    <row r="4334">
      <c r="D4334" s="81"/>
      <c r="E4334" s="81"/>
      <c r="F4334" s="81"/>
      <c r="G4334" s="81"/>
      <c r="H4334" s="81"/>
      <c r="I4334" s="81"/>
    </row>
    <row r="4335">
      <c r="D4335" s="81"/>
      <c r="E4335" s="81"/>
      <c r="F4335" s="81"/>
      <c r="G4335" s="81"/>
      <c r="H4335" s="81"/>
      <c r="I4335" s="81"/>
    </row>
    <row r="4336">
      <c r="D4336" s="81"/>
      <c r="E4336" s="81"/>
      <c r="F4336" s="81"/>
      <c r="G4336" s="81"/>
      <c r="H4336" s="81"/>
      <c r="I4336" s="81"/>
    </row>
    <row r="4337">
      <c r="D4337" s="81"/>
      <c r="E4337" s="81"/>
      <c r="F4337" s="81"/>
      <c r="G4337" s="81"/>
      <c r="H4337" s="81"/>
      <c r="I4337" s="81"/>
    </row>
    <row r="4338">
      <c r="D4338" s="81"/>
      <c r="E4338" s="81"/>
      <c r="F4338" s="81"/>
      <c r="G4338" s="81"/>
      <c r="H4338" s="81"/>
      <c r="I4338" s="81"/>
    </row>
    <row r="4339">
      <c r="D4339" s="81"/>
      <c r="E4339" s="81"/>
      <c r="F4339" s="81"/>
      <c r="G4339" s="81"/>
      <c r="H4339" s="81"/>
      <c r="I4339" s="81"/>
    </row>
    <row r="4340">
      <c r="D4340" s="81"/>
      <c r="E4340" s="81"/>
      <c r="F4340" s="81"/>
      <c r="G4340" s="81"/>
      <c r="H4340" s="81"/>
      <c r="I4340" s="81"/>
    </row>
    <row r="4341">
      <c r="D4341" s="81"/>
      <c r="E4341" s="81"/>
      <c r="F4341" s="81"/>
      <c r="G4341" s="81"/>
      <c r="H4341" s="81"/>
      <c r="I4341" s="81"/>
    </row>
    <row r="4342">
      <c r="D4342" s="81"/>
      <c r="E4342" s="81"/>
      <c r="F4342" s="81"/>
      <c r="G4342" s="81"/>
      <c r="H4342" s="81"/>
      <c r="I4342" s="81"/>
    </row>
    <row r="4343">
      <c r="D4343" s="81"/>
      <c r="E4343" s="81"/>
      <c r="F4343" s="81"/>
      <c r="G4343" s="81"/>
      <c r="H4343" s="81"/>
      <c r="I4343" s="81"/>
    </row>
    <row r="4344">
      <c r="D4344" s="81"/>
      <c r="E4344" s="81"/>
      <c r="F4344" s="81"/>
      <c r="G4344" s="81"/>
      <c r="H4344" s="81"/>
      <c r="I4344" s="81"/>
    </row>
    <row r="4345">
      <c r="D4345" s="81"/>
      <c r="E4345" s="81"/>
      <c r="F4345" s="81"/>
      <c r="G4345" s="81"/>
      <c r="H4345" s="81"/>
      <c r="I4345" s="81"/>
    </row>
    <row r="4346">
      <c r="D4346" s="81"/>
      <c r="E4346" s="81"/>
      <c r="F4346" s="81"/>
      <c r="G4346" s="81"/>
      <c r="H4346" s="81"/>
      <c r="I4346" s="81"/>
    </row>
    <row r="4347">
      <c r="D4347" s="81"/>
      <c r="E4347" s="81"/>
      <c r="F4347" s="81"/>
      <c r="G4347" s="81"/>
      <c r="H4347" s="81"/>
      <c r="I4347" s="81"/>
    </row>
    <row r="4348">
      <c r="D4348" s="81"/>
      <c r="E4348" s="81"/>
      <c r="F4348" s="81"/>
      <c r="G4348" s="81"/>
      <c r="H4348" s="81"/>
      <c r="I4348" s="81"/>
    </row>
    <row r="4349">
      <c r="D4349" s="81"/>
      <c r="E4349" s="81"/>
      <c r="F4349" s="81"/>
      <c r="G4349" s="81"/>
      <c r="H4349" s="81"/>
      <c r="I4349" s="81"/>
    </row>
    <row r="4350">
      <c r="D4350" s="81"/>
      <c r="E4350" s="81"/>
      <c r="F4350" s="81"/>
      <c r="G4350" s="81"/>
      <c r="H4350" s="81"/>
      <c r="I4350" s="81"/>
    </row>
    <row r="4351">
      <c r="D4351" s="81"/>
      <c r="E4351" s="81"/>
      <c r="F4351" s="81"/>
      <c r="G4351" s="81"/>
      <c r="H4351" s="81"/>
      <c r="I4351" s="81"/>
    </row>
    <row r="4352">
      <c r="D4352" s="81"/>
      <c r="E4352" s="81"/>
      <c r="F4352" s="81"/>
      <c r="G4352" s="81"/>
      <c r="H4352" s="81"/>
      <c r="I4352" s="81"/>
    </row>
    <row r="4353">
      <c r="D4353" s="81"/>
      <c r="E4353" s="81"/>
      <c r="F4353" s="81"/>
      <c r="G4353" s="81"/>
      <c r="H4353" s="81"/>
      <c r="I4353" s="81"/>
    </row>
    <row r="4354">
      <c r="D4354" s="81"/>
      <c r="E4354" s="81"/>
      <c r="F4354" s="81"/>
      <c r="G4354" s="81"/>
      <c r="H4354" s="81"/>
      <c r="I4354" s="81"/>
    </row>
    <row r="4355">
      <c r="D4355" s="81"/>
      <c r="E4355" s="81"/>
      <c r="F4355" s="81"/>
      <c r="G4355" s="81"/>
      <c r="H4355" s="81"/>
      <c r="I4355" s="81"/>
    </row>
    <row r="4356">
      <c r="D4356" s="81"/>
      <c r="E4356" s="81"/>
      <c r="F4356" s="81"/>
      <c r="G4356" s="81"/>
      <c r="H4356" s="81"/>
      <c r="I4356" s="81"/>
    </row>
    <row r="4357">
      <c r="D4357" s="81"/>
      <c r="E4357" s="81"/>
      <c r="F4357" s="81"/>
      <c r="G4357" s="81"/>
      <c r="H4357" s="81"/>
      <c r="I4357" s="81"/>
    </row>
    <row r="4358">
      <c r="D4358" s="81"/>
      <c r="E4358" s="81"/>
      <c r="F4358" s="81"/>
      <c r="G4358" s="81"/>
      <c r="H4358" s="81"/>
      <c r="I4358" s="81"/>
    </row>
    <row r="4359">
      <c r="D4359" s="81"/>
      <c r="E4359" s="81"/>
      <c r="F4359" s="81"/>
      <c r="G4359" s="81"/>
      <c r="H4359" s="81"/>
      <c r="I4359" s="81"/>
    </row>
    <row r="4360">
      <c r="D4360" s="81"/>
      <c r="E4360" s="81"/>
      <c r="F4360" s="81"/>
      <c r="G4360" s="81"/>
      <c r="H4360" s="81"/>
      <c r="I4360" s="81"/>
    </row>
    <row r="4361">
      <c r="D4361" s="81"/>
      <c r="E4361" s="81"/>
      <c r="F4361" s="81"/>
      <c r="G4361" s="81"/>
      <c r="H4361" s="81"/>
      <c r="I4361" s="81"/>
    </row>
    <row r="4362">
      <c r="D4362" s="81"/>
      <c r="E4362" s="81"/>
      <c r="F4362" s="81"/>
      <c r="G4362" s="81"/>
      <c r="H4362" s="81"/>
      <c r="I4362" s="81"/>
    </row>
    <row r="4363">
      <c r="D4363" s="81"/>
      <c r="E4363" s="81"/>
      <c r="F4363" s="81"/>
      <c r="G4363" s="81"/>
      <c r="H4363" s="81"/>
      <c r="I4363" s="81"/>
    </row>
    <row r="4364">
      <c r="D4364" s="81"/>
      <c r="E4364" s="81"/>
      <c r="F4364" s="81"/>
      <c r="G4364" s="81"/>
      <c r="H4364" s="81"/>
      <c r="I4364" s="81"/>
    </row>
    <row r="4365">
      <c r="D4365" s="81"/>
      <c r="E4365" s="81"/>
      <c r="F4365" s="81"/>
      <c r="G4365" s="81"/>
      <c r="H4365" s="81"/>
      <c r="I4365" s="81"/>
    </row>
    <row r="4366">
      <c r="D4366" s="81"/>
      <c r="E4366" s="81"/>
      <c r="F4366" s="81"/>
      <c r="G4366" s="81"/>
      <c r="H4366" s="81"/>
      <c r="I4366" s="81"/>
    </row>
    <row r="4367">
      <c r="D4367" s="81"/>
      <c r="E4367" s="81"/>
      <c r="F4367" s="81"/>
      <c r="G4367" s="81"/>
      <c r="H4367" s="81"/>
      <c r="I4367" s="81"/>
    </row>
    <row r="4368">
      <c r="D4368" s="81"/>
      <c r="E4368" s="81"/>
      <c r="F4368" s="81"/>
      <c r="G4368" s="81"/>
      <c r="H4368" s="81"/>
      <c r="I4368" s="81"/>
    </row>
    <row r="4369">
      <c r="D4369" s="81"/>
      <c r="E4369" s="81"/>
      <c r="F4369" s="81"/>
      <c r="G4369" s="81"/>
      <c r="H4369" s="81"/>
      <c r="I4369" s="81"/>
    </row>
    <row r="4370">
      <c r="D4370" s="81"/>
      <c r="E4370" s="81"/>
      <c r="F4370" s="81"/>
      <c r="G4370" s="81"/>
      <c r="H4370" s="81"/>
      <c r="I4370" s="81"/>
    </row>
    <row r="4371">
      <c r="D4371" s="81"/>
      <c r="E4371" s="81"/>
      <c r="F4371" s="81"/>
      <c r="G4371" s="81"/>
      <c r="H4371" s="81"/>
      <c r="I4371" s="81"/>
    </row>
    <row r="4372">
      <c r="D4372" s="81"/>
      <c r="E4372" s="81"/>
      <c r="F4372" s="81"/>
      <c r="G4372" s="81"/>
      <c r="H4372" s="81"/>
      <c r="I4372" s="81"/>
    </row>
    <row r="4373">
      <c r="D4373" s="81"/>
      <c r="E4373" s="81"/>
      <c r="F4373" s="81"/>
      <c r="G4373" s="81"/>
      <c r="H4373" s="81"/>
      <c r="I4373" s="81"/>
    </row>
    <row r="4374">
      <c r="D4374" s="81"/>
      <c r="E4374" s="81"/>
      <c r="F4374" s="81"/>
      <c r="G4374" s="81"/>
      <c r="H4374" s="81"/>
      <c r="I4374" s="81"/>
    </row>
    <row r="4375">
      <c r="D4375" s="81"/>
      <c r="E4375" s="81"/>
      <c r="F4375" s="81"/>
      <c r="G4375" s="81"/>
      <c r="H4375" s="81"/>
      <c r="I4375" s="81"/>
    </row>
    <row r="4376">
      <c r="D4376" s="81"/>
      <c r="E4376" s="81"/>
      <c r="F4376" s="81"/>
      <c r="G4376" s="81"/>
      <c r="H4376" s="81"/>
      <c r="I4376" s="81"/>
    </row>
    <row r="4377">
      <c r="D4377" s="81"/>
      <c r="E4377" s="81"/>
      <c r="F4377" s="81"/>
      <c r="G4377" s="81"/>
      <c r="H4377" s="81"/>
      <c r="I4377" s="81"/>
    </row>
    <row r="4378">
      <c r="D4378" s="81"/>
      <c r="E4378" s="81"/>
      <c r="F4378" s="81"/>
      <c r="G4378" s="81"/>
      <c r="H4378" s="81"/>
      <c r="I4378" s="81"/>
    </row>
    <row r="4379">
      <c r="D4379" s="81"/>
      <c r="E4379" s="81"/>
      <c r="F4379" s="81"/>
      <c r="G4379" s="81"/>
      <c r="H4379" s="81"/>
      <c r="I4379" s="81"/>
    </row>
    <row r="4380">
      <c r="D4380" s="81"/>
      <c r="E4380" s="81"/>
      <c r="F4380" s="81"/>
      <c r="G4380" s="81"/>
      <c r="H4380" s="81"/>
      <c r="I4380" s="81"/>
    </row>
    <row r="4381">
      <c r="D4381" s="81"/>
      <c r="E4381" s="81"/>
      <c r="F4381" s="81"/>
      <c r="G4381" s="81"/>
      <c r="H4381" s="81"/>
      <c r="I4381" s="81"/>
    </row>
    <row r="4382">
      <c r="D4382" s="81"/>
      <c r="E4382" s="81"/>
      <c r="F4382" s="81"/>
      <c r="G4382" s="81"/>
      <c r="H4382" s="81"/>
      <c r="I4382" s="81"/>
    </row>
    <row r="4383">
      <c r="D4383" s="81"/>
      <c r="E4383" s="81"/>
      <c r="F4383" s="81"/>
      <c r="G4383" s="81"/>
      <c r="H4383" s="81"/>
      <c r="I4383" s="81"/>
    </row>
    <row r="4384">
      <c r="D4384" s="81"/>
      <c r="E4384" s="81"/>
      <c r="F4384" s="81"/>
      <c r="G4384" s="81"/>
      <c r="H4384" s="81"/>
      <c r="I4384" s="81"/>
    </row>
    <row r="4385">
      <c r="D4385" s="81"/>
      <c r="E4385" s="81"/>
      <c r="F4385" s="81"/>
      <c r="G4385" s="81"/>
      <c r="H4385" s="81"/>
      <c r="I4385" s="81"/>
    </row>
    <row r="4386">
      <c r="D4386" s="81"/>
      <c r="E4386" s="81"/>
      <c r="F4386" s="81"/>
      <c r="G4386" s="81"/>
      <c r="H4386" s="81"/>
      <c r="I4386" s="81"/>
    </row>
    <row r="4387">
      <c r="D4387" s="81"/>
      <c r="E4387" s="81"/>
      <c r="F4387" s="81"/>
      <c r="G4387" s="81"/>
      <c r="H4387" s="81"/>
      <c r="I4387" s="81"/>
    </row>
    <row r="4388">
      <c r="D4388" s="81"/>
      <c r="E4388" s="81"/>
      <c r="F4388" s="81"/>
      <c r="G4388" s="81"/>
      <c r="H4388" s="81"/>
      <c r="I4388" s="81"/>
    </row>
    <row r="4389">
      <c r="D4389" s="81"/>
      <c r="E4389" s="81"/>
      <c r="F4389" s="81"/>
      <c r="G4389" s="81"/>
      <c r="H4389" s="81"/>
      <c r="I4389" s="81"/>
    </row>
    <row r="4390">
      <c r="D4390" s="81"/>
      <c r="E4390" s="81"/>
      <c r="F4390" s="81"/>
      <c r="G4390" s="81"/>
      <c r="H4390" s="81"/>
      <c r="I4390" s="81"/>
    </row>
    <row r="4391">
      <c r="D4391" s="81"/>
      <c r="E4391" s="81"/>
      <c r="F4391" s="81"/>
      <c r="G4391" s="81"/>
      <c r="H4391" s="81"/>
      <c r="I4391" s="81"/>
    </row>
    <row r="4392">
      <c r="D4392" s="81"/>
      <c r="E4392" s="81"/>
      <c r="F4392" s="81"/>
      <c r="G4392" s="81"/>
      <c r="H4392" s="81"/>
      <c r="I4392" s="81"/>
    </row>
    <row r="4393">
      <c r="D4393" s="81"/>
      <c r="E4393" s="81"/>
      <c r="F4393" s="81"/>
      <c r="G4393" s="81"/>
      <c r="H4393" s="81"/>
      <c r="I4393" s="81"/>
    </row>
    <row r="4394">
      <c r="D4394" s="81"/>
      <c r="E4394" s="81"/>
      <c r="F4394" s="81"/>
      <c r="G4394" s="81"/>
      <c r="H4394" s="81"/>
      <c r="I4394" s="81"/>
    </row>
    <row r="4395">
      <c r="D4395" s="81"/>
      <c r="E4395" s="81"/>
      <c r="F4395" s="81"/>
      <c r="G4395" s="81"/>
      <c r="H4395" s="81"/>
      <c r="I4395" s="81"/>
    </row>
    <row r="4396">
      <c r="D4396" s="81"/>
      <c r="E4396" s="81"/>
      <c r="F4396" s="81"/>
      <c r="G4396" s="81"/>
      <c r="H4396" s="81"/>
      <c r="I4396" s="81"/>
    </row>
    <row r="4397">
      <c r="D4397" s="81"/>
      <c r="E4397" s="81"/>
      <c r="F4397" s="81"/>
      <c r="G4397" s="81"/>
      <c r="H4397" s="81"/>
      <c r="I4397" s="81"/>
    </row>
    <row r="4398">
      <c r="D4398" s="81"/>
      <c r="E4398" s="81"/>
      <c r="F4398" s="81"/>
      <c r="G4398" s="81"/>
      <c r="H4398" s="81"/>
      <c r="I4398" s="81"/>
    </row>
    <row r="4399">
      <c r="D4399" s="81"/>
      <c r="E4399" s="81"/>
      <c r="F4399" s="81"/>
      <c r="G4399" s="81"/>
      <c r="H4399" s="81"/>
      <c r="I4399" s="81"/>
    </row>
    <row r="4400">
      <c r="D4400" s="81"/>
      <c r="E4400" s="81"/>
      <c r="F4400" s="81"/>
      <c r="G4400" s="81"/>
      <c r="H4400" s="81"/>
      <c r="I4400" s="81"/>
    </row>
    <row r="4401">
      <c r="D4401" s="81"/>
      <c r="E4401" s="81"/>
      <c r="F4401" s="81"/>
      <c r="G4401" s="81"/>
      <c r="H4401" s="81"/>
      <c r="I4401" s="81"/>
    </row>
    <row r="4402">
      <c r="D4402" s="81"/>
      <c r="E4402" s="81"/>
      <c r="F4402" s="81"/>
      <c r="G4402" s="81"/>
      <c r="H4402" s="81"/>
      <c r="I4402" s="81"/>
    </row>
    <row r="4403">
      <c r="D4403" s="81"/>
      <c r="E4403" s="81"/>
      <c r="F4403" s="81"/>
      <c r="G4403" s="81"/>
      <c r="H4403" s="81"/>
      <c r="I4403" s="81"/>
    </row>
    <row r="4404">
      <c r="D4404" s="81"/>
      <c r="E4404" s="81"/>
      <c r="F4404" s="81"/>
      <c r="G4404" s="81"/>
      <c r="H4404" s="81"/>
      <c r="I4404" s="81"/>
    </row>
    <row r="4405">
      <c r="D4405" s="81"/>
      <c r="E4405" s="81"/>
      <c r="F4405" s="81"/>
      <c r="G4405" s="81"/>
      <c r="H4405" s="81"/>
      <c r="I4405" s="81"/>
    </row>
    <row r="4406">
      <c r="D4406" s="81"/>
      <c r="E4406" s="81"/>
      <c r="F4406" s="81"/>
      <c r="G4406" s="81"/>
      <c r="H4406" s="81"/>
      <c r="I4406" s="81"/>
    </row>
    <row r="4407">
      <c r="D4407" s="81"/>
      <c r="E4407" s="81"/>
      <c r="F4407" s="81"/>
      <c r="G4407" s="81"/>
      <c r="H4407" s="81"/>
      <c r="I4407" s="81"/>
    </row>
    <row r="4408">
      <c r="D4408" s="81"/>
      <c r="E4408" s="81"/>
      <c r="F4408" s="81"/>
      <c r="G4408" s="81"/>
      <c r="H4408" s="81"/>
      <c r="I4408" s="81"/>
    </row>
    <row r="4409">
      <c r="D4409" s="81"/>
      <c r="E4409" s="81"/>
      <c r="F4409" s="81"/>
      <c r="G4409" s="81"/>
      <c r="H4409" s="81"/>
      <c r="I4409" s="81"/>
    </row>
    <row r="4410">
      <c r="D4410" s="81"/>
      <c r="E4410" s="81"/>
      <c r="F4410" s="81"/>
      <c r="G4410" s="81"/>
      <c r="H4410" s="81"/>
      <c r="I4410" s="81"/>
    </row>
    <row r="4411">
      <c r="D4411" s="81"/>
      <c r="E4411" s="81"/>
      <c r="F4411" s="81"/>
      <c r="G4411" s="81"/>
      <c r="H4411" s="81"/>
      <c r="I4411" s="81"/>
    </row>
    <row r="4412">
      <c r="D4412" s="81"/>
      <c r="E4412" s="81"/>
      <c r="F4412" s="81"/>
      <c r="G4412" s="81"/>
      <c r="H4412" s="81"/>
      <c r="I4412" s="81"/>
    </row>
    <row r="4413">
      <c r="D4413" s="81"/>
      <c r="E4413" s="81"/>
      <c r="F4413" s="81"/>
      <c r="G4413" s="81"/>
      <c r="H4413" s="81"/>
      <c r="I4413" s="81"/>
    </row>
    <row r="4414">
      <c r="D4414" s="81"/>
      <c r="E4414" s="81"/>
      <c r="F4414" s="81"/>
      <c r="G4414" s="81"/>
      <c r="H4414" s="81"/>
      <c r="I4414" s="81"/>
    </row>
    <row r="4415">
      <c r="D4415" s="81"/>
      <c r="E4415" s="81"/>
      <c r="F4415" s="81"/>
      <c r="G4415" s="81"/>
      <c r="H4415" s="81"/>
      <c r="I4415" s="81"/>
    </row>
    <row r="4416">
      <c r="D4416" s="81"/>
      <c r="E4416" s="81"/>
      <c r="F4416" s="81"/>
      <c r="G4416" s="81"/>
      <c r="H4416" s="81"/>
      <c r="I4416" s="81"/>
    </row>
    <row r="4417">
      <c r="D4417" s="81"/>
      <c r="E4417" s="81"/>
      <c r="F4417" s="81"/>
      <c r="G4417" s="81"/>
      <c r="H4417" s="81"/>
      <c r="I4417" s="81"/>
    </row>
    <row r="4418">
      <c r="D4418" s="81"/>
      <c r="E4418" s="81"/>
      <c r="F4418" s="81"/>
      <c r="G4418" s="81"/>
      <c r="H4418" s="81"/>
      <c r="I4418" s="81"/>
    </row>
    <row r="4419">
      <c r="D4419" s="81"/>
      <c r="E4419" s="81"/>
      <c r="F4419" s="81"/>
      <c r="G4419" s="81"/>
      <c r="H4419" s="81"/>
      <c r="I4419" s="81"/>
    </row>
    <row r="4420">
      <c r="D4420" s="81"/>
      <c r="E4420" s="81"/>
      <c r="F4420" s="81"/>
      <c r="G4420" s="81"/>
      <c r="H4420" s="81"/>
      <c r="I4420" s="81"/>
    </row>
    <row r="4421">
      <c r="D4421" s="81"/>
      <c r="E4421" s="81"/>
      <c r="F4421" s="81"/>
      <c r="G4421" s="81"/>
      <c r="H4421" s="81"/>
      <c r="I4421" s="81"/>
    </row>
    <row r="4422">
      <c r="D4422" s="81"/>
      <c r="E4422" s="81"/>
      <c r="F4422" s="81"/>
      <c r="G4422" s="81"/>
      <c r="H4422" s="81"/>
      <c r="I4422" s="81"/>
    </row>
    <row r="4423">
      <c r="D4423" s="81"/>
      <c r="E4423" s="81"/>
      <c r="F4423" s="81"/>
      <c r="G4423" s="81"/>
      <c r="H4423" s="81"/>
      <c r="I4423" s="81"/>
    </row>
    <row r="4424">
      <c r="D4424" s="81"/>
      <c r="E4424" s="81"/>
      <c r="F4424" s="81"/>
      <c r="G4424" s="81"/>
      <c r="H4424" s="81"/>
      <c r="I4424" s="81"/>
    </row>
    <row r="4425">
      <c r="D4425" s="81"/>
      <c r="E4425" s="81"/>
      <c r="F4425" s="81"/>
      <c r="G4425" s="81"/>
      <c r="H4425" s="81"/>
      <c r="I4425" s="81"/>
    </row>
    <row r="4426">
      <c r="D4426" s="81"/>
      <c r="E4426" s="81"/>
      <c r="F4426" s="81"/>
      <c r="G4426" s="81"/>
      <c r="H4426" s="81"/>
      <c r="I4426" s="81"/>
    </row>
    <row r="4427">
      <c r="D4427" s="81"/>
      <c r="E4427" s="81"/>
      <c r="F4427" s="81"/>
      <c r="G4427" s="81"/>
      <c r="H4427" s="81"/>
      <c r="I4427" s="81"/>
    </row>
    <row r="4428">
      <c r="D4428" s="81"/>
      <c r="E4428" s="81"/>
      <c r="F4428" s="81"/>
      <c r="G4428" s="81"/>
      <c r="H4428" s="81"/>
      <c r="I4428" s="81"/>
    </row>
    <row r="4429">
      <c r="D4429" s="81"/>
      <c r="E4429" s="81"/>
      <c r="F4429" s="81"/>
      <c r="G4429" s="81"/>
      <c r="H4429" s="81"/>
      <c r="I4429" s="81"/>
    </row>
    <row r="4430">
      <c r="D4430" s="81"/>
      <c r="E4430" s="81"/>
      <c r="F4430" s="81"/>
      <c r="G4430" s="81"/>
      <c r="H4430" s="81"/>
      <c r="I4430" s="81"/>
    </row>
    <row r="4431">
      <c r="D4431" s="81"/>
      <c r="E4431" s="81"/>
      <c r="F4431" s="81"/>
      <c r="G4431" s="81"/>
      <c r="H4431" s="81"/>
      <c r="I4431" s="81"/>
    </row>
    <row r="4432">
      <c r="D4432" s="81"/>
      <c r="E4432" s="81"/>
      <c r="F4432" s="81"/>
      <c r="G4432" s="81"/>
      <c r="H4432" s="81"/>
      <c r="I4432" s="81"/>
    </row>
    <row r="4433">
      <c r="D4433" s="81"/>
      <c r="E4433" s="81"/>
      <c r="F4433" s="81"/>
      <c r="G4433" s="81"/>
      <c r="H4433" s="81"/>
      <c r="I4433" s="81"/>
    </row>
    <row r="4434">
      <c r="D4434" s="81"/>
      <c r="E4434" s="81"/>
      <c r="F4434" s="81"/>
      <c r="G4434" s="81"/>
      <c r="H4434" s="81"/>
      <c r="I4434" s="81"/>
    </row>
    <row r="4435">
      <c r="D4435" s="81"/>
      <c r="E4435" s="81"/>
      <c r="F4435" s="81"/>
      <c r="G4435" s="81"/>
      <c r="H4435" s="81"/>
      <c r="I4435" s="81"/>
    </row>
    <row r="4436">
      <c r="D4436" s="81"/>
      <c r="E4436" s="81"/>
      <c r="F4436" s="81"/>
      <c r="G4436" s="81"/>
      <c r="H4436" s="81"/>
      <c r="I4436" s="81"/>
    </row>
    <row r="4437">
      <c r="D4437" s="81"/>
      <c r="E4437" s="81"/>
      <c r="F4437" s="81"/>
      <c r="G4437" s="81"/>
      <c r="H4437" s="81"/>
      <c r="I4437" s="81"/>
    </row>
    <row r="4438">
      <c r="D4438" s="81"/>
      <c r="E4438" s="81"/>
      <c r="F4438" s="81"/>
      <c r="G4438" s="81"/>
      <c r="H4438" s="81"/>
      <c r="I4438" s="81"/>
    </row>
    <row r="4439">
      <c r="D4439" s="81"/>
      <c r="E4439" s="81"/>
      <c r="F4439" s="81"/>
      <c r="G4439" s="81"/>
      <c r="H4439" s="81"/>
      <c r="I4439" s="81"/>
    </row>
    <row r="4440">
      <c r="D4440" s="81"/>
      <c r="E4440" s="81"/>
      <c r="F4440" s="81"/>
      <c r="G4440" s="81"/>
      <c r="H4440" s="81"/>
      <c r="I4440" s="81"/>
    </row>
    <row r="4441">
      <c r="D4441" s="81"/>
      <c r="E4441" s="81"/>
      <c r="F4441" s="81"/>
      <c r="G4441" s="81"/>
      <c r="H4441" s="81"/>
      <c r="I4441" s="81"/>
    </row>
    <row r="4442">
      <c r="D4442" s="81"/>
      <c r="E4442" s="81"/>
      <c r="F4442" s="81"/>
      <c r="G4442" s="81"/>
      <c r="H4442" s="81"/>
      <c r="I4442" s="81"/>
    </row>
    <row r="4443">
      <c r="D4443" s="81"/>
      <c r="E4443" s="81"/>
      <c r="F4443" s="81"/>
      <c r="G4443" s="81"/>
      <c r="H4443" s="81"/>
      <c r="I4443" s="81"/>
    </row>
    <row r="4444">
      <c r="D4444" s="81"/>
      <c r="E4444" s="81"/>
      <c r="F4444" s="81"/>
      <c r="G4444" s="81"/>
      <c r="H4444" s="81"/>
      <c r="I4444" s="81"/>
    </row>
    <row r="4445">
      <c r="D4445" s="81"/>
      <c r="E4445" s="81"/>
      <c r="F4445" s="81"/>
      <c r="G4445" s="81"/>
      <c r="H4445" s="81"/>
      <c r="I4445" s="81"/>
    </row>
    <row r="4446">
      <c r="D4446" s="81"/>
      <c r="E4446" s="81"/>
      <c r="F4446" s="81"/>
      <c r="G4446" s="81"/>
      <c r="H4446" s="81"/>
      <c r="I4446" s="81"/>
    </row>
    <row r="4447">
      <c r="D4447" s="81"/>
      <c r="E4447" s="81"/>
      <c r="F4447" s="81"/>
      <c r="G4447" s="81"/>
      <c r="H4447" s="81"/>
      <c r="I4447" s="81"/>
    </row>
    <row r="4448">
      <c r="D4448" s="81"/>
      <c r="E4448" s="81"/>
      <c r="F4448" s="81"/>
      <c r="G4448" s="81"/>
      <c r="H4448" s="81"/>
      <c r="I4448" s="81"/>
    </row>
    <row r="4449">
      <c r="D4449" s="81"/>
      <c r="E4449" s="81"/>
      <c r="F4449" s="81"/>
      <c r="G4449" s="81"/>
      <c r="H4449" s="81"/>
      <c r="I4449" s="81"/>
    </row>
    <row r="4450">
      <c r="D4450" s="81"/>
      <c r="E4450" s="81"/>
      <c r="F4450" s="81"/>
      <c r="G4450" s="81"/>
      <c r="H4450" s="81"/>
      <c r="I4450" s="81"/>
    </row>
    <row r="4451">
      <c r="D4451" s="81"/>
      <c r="E4451" s="81"/>
      <c r="F4451" s="81"/>
      <c r="G4451" s="81"/>
      <c r="H4451" s="81"/>
      <c r="I4451" s="81"/>
    </row>
    <row r="4452">
      <c r="D4452" s="81"/>
      <c r="E4452" s="81"/>
      <c r="F4452" s="81"/>
      <c r="G4452" s="81"/>
      <c r="H4452" s="81"/>
      <c r="I4452" s="81"/>
    </row>
    <row r="4453">
      <c r="D4453" s="81"/>
      <c r="E4453" s="81"/>
      <c r="F4453" s="81"/>
      <c r="G4453" s="81"/>
      <c r="H4453" s="81"/>
      <c r="I4453" s="81"/>
    </row>
    <row r="4454">
      <c r="D4454" s="81"/>
      <c r="E4454" s="81"/>
      <c r="F4454" s="81"/>
      <c r="G4454" s="81"/>
      <c r="H4454" s="81"/>
      <c r="I4454" s="81"/>
    </row>
    <row r="4455">
      <c r="D4455" s="81"/>
      <c r="E4455" s="81"/>
      <c r="F4455" s="81"/>
      <c r="G4455" s="81"/>
      <c r="H4455" s="81"/>
      <c r="I4455" s="81"/>
    </row>
    <row r="4456">
      <c r="D4456" s="81"/>
      <c r="E4456" s="81"/>
      <c r="F4456" s="81"/>
      <c r="G4456" s="81"/>
      <c r="H4456" s="81"/>
      <c r="I4456" s="81"/>
    </row>
    <row r="4457">
      <c r="D4457" s="81"/>
      <c r="E4457" s="81"/>
      <c r="F4457" s="81"/>
      <c r="G4457" s="81"/>
      <c r="H4457" s="81"/>
      <c r="I4457" s="81"/>
    </row>
    <row r="4458">
      <c r="D4458" s="81"/>
      <c r="E4458" s="81"/>
      <c r="F4458" s="81"/>
      <c r="G4458" s="81"/>
      <c r="H4458" s="81"/>
      <c r="I4458" s="81"/>
    </row>
    <row r="4459">
      <c r="D4459" s="81"/>
      <c r="E4459" s="81"/>
      <c r="F4459" s="81"/>
      <c r="G4459" s="81"/>
      <c r="H4459" s="81"/>
      <c r="I4459" s="81"/>
    </row>
    <row r="4460">
      <c r="D4460" s="81"/>
      <c r="E4460" s="81"/>
      <c r="F4460" s="81"/>
      <c r="G4460" s="81"/>
      <c r="H4460" s="81"/>
      <c r="I4460" s="81"/>
    </row>
    <row r="4461">
      <c r="D4461" s="81"/>
      <c r="E4461" s="81"/>
      <c r="F4461" s="81"/>
      <c r="G4461" s="81"/>
      <c r="H4461" s="81"/>
      <c r="I4461" s="81"/>
    </row>
    <row r="4462">
      <c r="D4462" s="81"/>
      <c r="E4462" s="81"/>
      <c r="F4462" s="81"/>
      <c r="G4462" s="81"/>
      <c r="H4462" s="81"/>
      <c r="I4462" s="81"/>
    </row>
    <row r="4463">
      <c r="D4463" s="81"/>
      <c r="E4463" s="81"/>
      <c r="F4463" s="81"/>
      <c r="G4463" s="81"/>
      <c r="H4463" s="81"/>
      <c r="I4463" s="81"/>
    </row>
    <row r="4464">
      <c r="D4464" s="81"/>
      <c r="E4464" s="81"/>
      <c r="F4464" s="81"/>
      <c r="G4464" s="81"/>
      <c r="H4464" s="81"/>
      <c r="I4464" s="81"/>
    </row>
    <row r="4465">
      <c r="D4465" s="81"/>
      <c r="E4465" s="81"/>
      <c r="F4465" s="81"/>
      <c r="G4465" s="81"/>
      <c r="H4465" s="81"/>
      <c r="I4465" s="81"/>
    </row>
    <row r="4466">
      <c r="D4466" s="81"/>
      <c r="E4466" s="81"/>
      <c r="F4466" s="81"/>
      <c r="G4466" s="81"/>
      <c r="H4466" s="81"/>
      <c r="I4466" s="81"/>
    </row>
    <row r="4467">
      <c r="D4467" s="81"/>
      <c r="E4467" s="81"/>
      <c r="F4467" s="81"/>
      <c r="G4467" s="81"/>
      <c r="H4467" s="81"/>
      <c r="I4467" s="81"/>
    </row>
    <row r="4468">
      <c r="D4468" s="81"/>
      <c r="E4468" s="81"/>
      <c r="F4468" s="81"/>
      <c r="G4468" s="81"/>
      <c r="H4468" s="81"/>
      <c r="I4468" s="81"/>
    </row>
    <row r="4469">
      <c r="D4469" s="81"/>
      <c r="E4469" s="81"/>
      <c r="F4469" s="81"/>
      <c r="G4469" s="81"/>
      <c r="H4469" s="81"/>
      <c r="I4469" s="81"/>
    </row>
    <row r="4470">
      <c r="D4470" s="81"/>
      <c r="E4470" s="81"/>
      <c r="F4470" s="81"/>
      <c r="G4470" s="81"/>
      <c r="H4470" s="81"/>
      <c r="I4470" s="81"/>
    </row>
    <row r="4471">
      <c r="D4471" s="81"/>
      <c r="E4471" s="81"/>
      <c r="F4471" s="81"/>
      <c r="G4471" s="81"/>
      <c r="H4471" s="81"/>
      <c r="I4471" s="81"/>
    </row>
    <row r="4472">
      <c r="D4472" s="81"/>
      <c r="E4472" s="81"/>
      <c r="F4472" s="81"/>
      <c r="G4472" s="81"/>
      <c r="H4472" s="81"/>
      <c r="I4472" s="81"/>
    </row>
    <row r="4473">
      <c r="D4473" s="81"/>
      <c r="E4473" s="81"/>
      <c r="F4473" s="81"/>
      <c r="G4473" s="81"/>
      <c r="H4473" s="81"/>
      <c r="I4473" s="81"/>
    </row>
    <row r="4474">
      <c r="D4474" s="81"/>
      <c r="E4474" s="81"/>
      <c r="F4474" s="81"/>
      <c r="G4474" s="81"/>
      <c r="H4474" s="81"/>
      <c r="I4474" s="81"/>
    </row>
    <row r="4475">
      <c r="D4475" s="81"/>
      <c r="E4475" s="81"/>
      <c r="F4475" s="81"/>
      <c r="G4475" s="81"/>
      <c r="H4475" s="81"/>
      <c r="I4475" s="81"/>
    </row>
    <row r="4476">
      <c r="D4476" s="81"/>
      <c r="E4476" s="81"/>
      <c r="F4476" s="81"/>
      <c r="G4476" s="81"/>
      <c r="H4476" s="81"/>
      <c r="I4476" s="81"/>
    </row>
    <row r="4477">
      <c r="D4477" s="81"/>
      <c r="E4477" s="81"/>
      <c r="F4477" s="81"/>
      <c r="G4477" s="81"/>
      <c r="H4477" s="81"/>
      <c r="I4477" s="81"/>
    </row>
    <row r="4478">
      <c r="D4478" s="81"/>
      <c r="E4478" s="81"/>
      <c r="F4478" s="81"/>
      <c r="G4478" s="81"/>
      <c r="H4478" s="81"/>
      <c r="I4478" s="81"/>
    </row>
    <row r="4479">
      <c r="D4479" s="81"/>
      <c r="E4479" s="81"/>
      <c r="F4479" s="81"/>
      <c r="G4479" s="81"/>
      <c r="H4479" s="81"/>
      <c r="I4479" s="81"/>
    </row>
    <row r="4480">
      <c r="D4480" s="81"/>
      <c r="E4480" s="81"/>
      <c r="F4480" s="81"/>
      <c r="G4480" s="81"/>
      <c r="H4480" s="81"/>
      <c r="I4480" s="81"/>
    </row>
    <row r="4481">
      <c r="D4481" s="81"/>
      <c r="E4481" s="81"/>
      <c r="F4481" s="81"/>
      <c r="G4481" s="81"/>
      <c r="H4481" s="81"/>
      <c r="I4481" s="81"/>
    </row>
    <row r="4482">
      <c r="D4482" s="81"/>
      <c r="E4482" s="81"/>
      <c r="F4482" s="81"/>
      <c r="G4482" s="81"/>
      <c r="H4482" s="81"/>
      <c r="I4482" s="81"/>
    </row>
    <row r="4483">
      <c r="D4483" s="81"/>
      <c r="E4483" s="81"/>
      <c r="F4483" s="81"/>
      <c r="G4483" s="81"/>
      <c r="H4483" s="81"/>
      <c r="I4483" s="81"/>
    </row>
    <row r="4484">
      <c r="D4484" s="81"/>
      <c r="E4484" s="81"/>
      <c r="F4484" s="81"/>
      <c r="G4484" s="81"/>
      <c r="H4484" s="81"/>
      <c r="I4484" s="81"/>
    </row>
    <row r="4485">
      <c r="D4485" s="81"/>
      <c r="E4485" s="81"/>
      <c r="F4485" s="81"/>
      <c r="G4485" s="81"/>
      <c r="H4485" s="81"/>
      <c r="I4485" s="81"/>
    </row>
    <row r="4486">
      <c r="D4486" s="81"/>
      <c r="E4486" s="81"/>
      <c r="F4486" s="81"/>
      <c r="G4486" s="81"/>
      <c r="H4486" s="81"/>
      <c r="I4486" s="81"/>
    </row>
    <row r="4487">
      <c r="D4487" s="81"/>
      <c r="E4487" s="81"/>
      <c r="F4487" s="81"/>
      <c r="G4487" s="81"/>
      <c r="H4487" s="81"/>
      <c r="I4487" s="81"/>
    </row>
    <row r="4488">
      <c r="D4488" s="81"/>
      <c r="E4488" s="81"/>
      <c r="F4488" s="81"/>
      <c r="G4488" s="81"/>
      <c r="H4488" s="81"/>
      <c r="I4488" s="81"/>
    </row>
    <row r="4489">
      <c r="D4489" s="81"/>
      <c r="E4489" s="81"/>
      <c r="F4489" s="81"/>
      <c r="G4489" s="81"/>
      <c r="H4489" s="81"/>
      <c r="I4489" s="81"/>
    </row>
    <row r="4490">
      <c r="D4490" s="81"/>
      <c r="E4490" s="81"/>
      <c r="F4490" s="81"/>
      <c r="G4490" s="81"/>
      <c r="H4490" s="81"/>
      <c r="I4490" s="81"/>
    </row>
    <row r="4491">
      <c r="D4491" s="81"/>
      <c r="E4491" s="81"/>
      <c r="F4491" s="81"/>
      <c r="G4491" s="81"/>
      <c r="H4491" s="81"/>
      <c r="I4491" s="81"/>
    </row>
    <row r="4492">
      <c r="D4492" s="81"/>
      <c r="E4492" s="81"/>
      <c r="F4492" s="81"/>
      <c r="G4492" s="81"/>
      <c r="H4492" s="81"/>
      <c r="I4492" s="81"/>
    </row>
    <row r="4493">
      <c r="D4493" s="81"/>
      <c r="E4493" s="81"/>
      <c r="F4493" s="81"/>
      <c r="G4493" s="81"/>
      <c r="H4493" s="81"/>
      <c r="I4493" s="81"/>
    </row>
    <row r="4494">
      <c r="D4494" s="81"/>
      <c r="E4494" s="81"/>
      <c r="F4494" s="81"/>
      <c r="G4494" s="81"/>
      <c r="H4494" s="81"/>
      <c r="I4494" s="81"/>
    </row>
    <row r="4495">
      <c r="D4495" s="81"/>
      <c r="E4495" s="81"/>
      <c r="F4495" s="81"/>
      <c r="G4495" s="81"/>
      <c r="H4495" s="81"/>
      <c r="I4495" s="81"/>
    </row>
    <row r="4496">
      <c r="D4496" s="81"/>
      <c r="E4496" s="81"/>
      <c r="F4496" s="81"/>
      <c r="G4496" s="81"/>
      <c r="H4496" s="81"/>
      <c r="I4496" s="81"/>
    </row>
    <row r="4497">
      <c r="D4497" s="81"/>
      <c r="E4497" s="81"/>
      <c r="F4497" s="81"/>
      <c r="G4497" s="81"/>
      <c r="H4497" s="81"/>
      <c r="I4497" s="81"/>
    </row>
    <row r="4498">
      <c r="D4498" s="81"/>
      <c r="E4498" s="81"/>
      <c r="F4498" s="81"/>
      <c r="G4498" s="81"/>
      <c r="H4498" s="81"/>
      <c r="I4498" s="81"/>
    </row>
    <row r="4499">
      <c r="D4499" s="81"/>
      <c r="E4499" s="81"/>
      <c r="F4499" s="81"/>
      <c r="G4499" s="81"/>
      <c r="H4499" s="81"/>
      <c r="I4499" s="81"/>
    </row>
    <row r="4500">
      <c r="D4500" s="81"/>
      <c r="E4500" s="81"/>
      <c r="F4500" s="81"/>
      <c r="G4500" s="81"/>
      <c r="H4500" s="81"/>
      <c r="I4500" s="81"/>
    </row>
    <row r="4501">
      <c r="D4501" s="81"/>
      <c r="E4501" s="81"/>
      <c r="F4501" s="81"/>
      <c r="G4501" s="81"/>
      <c r="H4501" s="81"/>
      <c r="I4501" s="81"/>
    </row>
    <row r="4502">
      <c r="D4502" s="81"/>
      <c r="E4502" s="81"/>
      <c r="F4502" s="81"/>
      <c r="G4502" s="81"/>
      <c r="H4502" s="81"/>
      <c r="I4502" s="81"/>
    </row>
    <row r="4503">
      <c r="D4503" s="81"/>
      <c r="E4503" s="81"/>
      <c r="F4503" s="81"/>
      <c r="G4503" s="81"/>
      <c r="H4503" s="81"/>
      <c r="I4503" s="81"/>
    </row>
    <row r="4504">
      <c r="D4504" s="81"/>
      <c r="E4504" s="81"/>
      <c r="F4504" s="81"/>
      <c r="G4504" s="81"/>
      <c r="H4504" s="81"/>
      <c r="I4504" s="81"/>
    </row>
    <row r="4505">
      <c r="D4505" s="81"/>
      <c r="E4505" s="81"/>
      <c r="F4505" s="81"/>
      <c r="G4505" s="81"/>
      <c r="H4505" s="81"/>
      <c r="I4505" s="81"/>
    </row>
    <row r="4506">
      <c r="D4506" s="81"/>
      <c r="E4506" s="81"/>
      <c r="F4506" s="81"/>
      <c r="G4506" s="81"/>
      <c r="H4506" s="81"/>
      <c r="I4506" s="81"/>
    </row>
    <row r="4507">
      <c r="D4507" s="81"/>
      <c r="E4507" s="81"/>
      <c r="F4507" s="81"/>
      <c r="G4507" s="81"/>
      <c r="H4507" s="81"/>
      <c r="I4507" s="81"/>
    </row>
    <row r="4508">
      <c r="D4508" s="81"/>
      <c r="E4508" s="81"/>
      <c r="F4508" s="81"/>
      <c r="G4508" s="81"/>
      <c r="H4508" s="81"/>
      <c r="I4508" s="81"/>
    </row>
    <row r="4509">
      <c r="D4509" s="81"/>
      <c r="E4509" s="81"/>
      <c r="F4509" s="81"/>
      <c r="G4509" s="81"/>
      <c r="H4509" s="81"/>
      <c r="I4509" s="81"/>
    </row>
    <row r="4510">
      <c r="D4510" s="81"/>
      <c r="E4510" s="81"/>
      <c r="F4510" s="81"/>
      <c r="G4510" s="81"/>
      <c r="H4510" s="81"/>
      <c r="I4510" s="81"/>
    </row>
    <row r="4511">
      <c r="D4511" s="81"/>
      <c r="E4511" s="81"/>
      <c r="F4511" s="81"/>
      <c r="G4511" s="81"/>
      <c r="H4511" s="81"/>
      <c r="I4511" s="81"/>
    </row>
    <row r="4512">
      <c r="D4512" s="81"/>
      <c r="E4512" s="81"/>
      <c r="F4512" s="81"/>
      <c r="G4512" s="81"/>
      <c r="H4512" s="81"/>
      <c r="I4512" s="81"/>
    </row>
    <row r="4513">
      <c r="D4513" s="81"/>
      <c r="E4513" s="81"/>
      <c r="F4513" s="81"/>
      <c r="G4513" s="81"/>
      <c r="H4513" s="81"/>
      <c r="I4513" s="81"/>
    </row>
    <row r="4514">
      <c r="D4514" s="81"/>
      <c r="E4514" s="81"/>
      <c r="F4514" s="81"/>
      <c r="G4514" s="81"/>
      <c r="H4514" s="81"/>
      <c r="I4514" s="81"/>
    </row>
    <row r="4515">
      <c r="D4515" s="81"/>
      <c r="E4515" s="81"/>
      <c r="F4515" s="81"/>
      <c r="G4515" s="81"/>
      <c r="H4515" s="81"/>
      <c r="I4515" s="81"/>
    </row>
    <row r="4516">
      <c r="D4516" s="81"/>
      <c r="E4516" s="81"/>
      <c r="F4516" s="81"/>
      <c r="G4516" s="81"/>
      <c r="H4516" s="81"/>
      <c r="I4516" s="81"/>
    </row>
    <row r="4517">
      <c r="D4517" s="81"/>
      <c r="E4517" s="81"/>
      <c r="F4517" s="81"/>
      <c r="G4517" s="81"/>
      <c r="H4517" s="81"/>
      <c r="I4517" s="81"/>
    </row>
    <row r="4518">
      <c r="D4518" s="81"/>
      <c r="E4518" s="81"/>
      <c r="F4518" s="81"/>
      <c r="G4518" s="81"/>
      <c r="H4518" s="81"/>
      <c r="I4518" s="81"/>
    </row>
    <row r="4519">
      <c r="D4519" s="81"/>
      <c r="E4519" s="81"/>
      <c r="F4519" s="81"/>
      <c r="G4519" s="81"/>
      <c r="H4519" s="81"/>
      <c r="I4519" s="81"/>
    </row>
    <row r="4520">
      <c r="D4520" s="81"/>
      <c r="E4520" s="81"/>
      <c r="F4520" s="81"/>
      <c r="G4520" s="81"/>
      <c r="H4520" s="81"/>
      <c r="I4520" s="81"/>
    </row>
    <row r="4521">
      <c r="D4521" s="81"/>
      <c r="E4521" s="81"/>
      <c r="F4521" s="81"/>
      <c r="G4521" s="81"/>
      <c r="H4521" s="81"/>
      <c r="I4521" s="81"/>
    </row>
    <row r="4522">
      <c r="D4522" s="81"/>
      <c r="E4522" s="81"/>
      <c r="F4522" s="81"/>
      <c r="G4522" s="81"/>
      <c r="H4522" s="81"/>
      <c r="I4522" s="81"/>
    </row>
    <row r="4523">
      <c r="D4523" s="81"/>
      <c r="E4523" s="81"/>
      <c r="F4523" s="81"/>
      <c r="G4523" s="81"/>
      <c r="H4523" s="81"/>
      <c r="I4523" s="81"/>
    </row>
    <row r="4524">
      <c r="D4524" s="81"/>
      <c r="E4524" s="81"/>
      <c r="F4524" s="81"/>
      <c r="G4524" s="81"/>
      <c r="H4524" s="81"/>
      <c r="I4524" s="81"/>
    </row>
    <row r="4525">
      <c r="D4525" s="81"/>
      <c r="E4525" s="81"/>
      <c r="F4525" s="81"/>
      <c r="G4525" s="81"/>
      <c r="H4525" s="81"/>
      <c r="I4525" s="81"/>
    </row>
    <row r="4526">
      <c r="D4526" s="81"/>
      <c r="E4526" s="81"/>
      <c r="F4526" s="81"/>
      <c r="G4526" s="81"/>
      <c r="H4526" s="81"/>
      <c r="I4526" s="81"/>
    </row>
    <row r="4527">
      <c r="D4527" s="81"/>
      <c r="E4527" s="81"/>
      <c r="F4527" s="81"/>
      <c r="G4527" s="81"/>
      <c r="H4527" s="81"/>
      <c r="I4527" s="81"/>
    </row>
    <row r="4528">
      <c r="D4528" s="81"/>
      <c r="E4528" s="81"/>
      <c r="F4528" s="81"/>
      <c r="G4528" s="81"/>
      <c r="H4528" s="81"/>
      <c r="I4528" s="81"/>
    </row>
    <row r="4529">
      <c r="D4529" s="81"/>
      <c r="E4529" s="81"/>
      <c r="F4529" s="81"/>
      <c r="G4529" s="81"/>
      <c r="H4529" s="81"/>
      <c r="I4529" s="81"/>
    </row>
    <row r="4530">
      <c r="D4530" s="81"/>
      <c r="E4530" s="81"/>
      <c r="F4530" s="81"/>
      <c r="G4530" s="81"/>
      <c r="H4530" s="81"/>
      <c r="I4530" s="81"/>
    </row>
    <row r="4531">
      <c r="D4531" s="81"/>
      <c r="E4531" s="81"/>
      <c r="F4531" s="81"/>
      <c r="G4531" s="81"/>
      <c r="H4531" s="81"/>
      <c r="I4531" s="81"/>
    </row>
    <row r="4532">
      <c r="D4532" s="81"/>
      <c r="E4532" s="81"/>
      <c r="F4532" s="81"/>
      <c r="G4532" s="81"/>
      <c r="H4532" s="81"/>
      <c r="I4532" s="81"/>
    </row>
    <row r="4533">
      <c r="D4533" s="81"/>
      <c r="E4533" s="81"/>
      <c r="F4533" s="81"/>
      <c r="G4533" s="81"/>
      <c r="H4533" s="81"/>
      <c r="I4533" s="81"/>
    </row>
    <row r="4534">
      <c r="D4534" s="81"/>
      <c r="E4534" s="81"/>
      <c r="F4534" s="81"/>
      <c r="G4534" s="81"/>
      <c r="H4534" s="81"/>
      <c r="I4534" s="81"/>
    </row>
    <row r="4535">
      <c r="D4535" s="81"/>
      <c r="E4535" s="81"/>
      <c r="F4535" s="81"/>
      <c r="G4535" s="81"/>
      <c r="H4535" s="81"/>
      <c r="I4535" s="81"/>
    </row>
    <row r="4536">
      <c r="D4536" s="81"/>
      <c r="E4536" s="81"/>
      <c r="F4536" s="81"/>
      <c r="G4536" s="81"/>
      <c r="H4536" s="81"/>
      <c r="I4536" s="81"/>
    </row>
    <row r="4537">
      <c r="D4537" s="81"/>
      <c r="E4537" s="81"/>
      <c r="F4537" s="81"/>
      <c r="G4537" s="81"/>
      <c r="H4537" s="81"/>
      <c r="I4537" s="81"/>
    </row>
    <row r="4538">
      <c r="D4538" s="81"/>
      <c r="E4538" s="81"/>
      <c r="F4538" s="81"/>
      <c r="G4538" s="81"/>
      <c r="H4538" s="81"/>
      <c r="I4538" s="81"/>
    </row>
    <row r="4539">
      <c r="D4539" s="81"/>
      <c r="E4539" s="81"/>
      <c r="F4539" s="81"/>
      <c r="G4539" s="81"/>
      <c r="H4539" s="81"/>
      <c r="I4539" s="81"/>
    </row>
    <row r="4540">
      <c r="D4540" s="81"/>
      <c r="E4540" s="81"/>
      <c r="F4540" s="81"/>
      <c r="G4540" s="81"/>
      <c r="H4540" s="81"/>
      <c r="I4540" s="81"/>
    </row>
    <row r="4541">
      <c r="D4541" s="81"/>
      <c r="E4541" s="81"/>
      <c r="F4541" s="81"/>
      <c r="G4541" s="81"/>
      <c r="H4541" s="81"/>
      <c r="I4541" s="81"/>
    </row>
    <row r="4542">
      <c r="D4542" s="81"/>
      <c r="E4542" s="81"/>
      <c r="F4542" s="81"/>
      <c r="G4542" s="81"/>
      <c r="H4542" s="81"/>
      <c r="I4542" s="81"/>
    </row>
    <row r="4543">
      <c r="D4543" s="81"/>
      <c r="E4543" s="81"/>
      <c r="F4543" s="81"/>
      <c r="G4543" s="81"/>
      <c r="H4543" s="81"/>
      <c r="I4543" s="81"/>
    </row>
    <row r="4544">
      <c r="D4544" s="81"/>
      <c r="E4544" s="81"/>
      <c r="F4544" s="81"/>
      <c r="G4544" s="81"/>
      <c r="H4544" s="81"/>
      <c r="I4544" s="81"/>
    </row>
    <row r="4545">
      <c r="D4545" s="81"/>
      <c r="E4545" s="81"/>
      <c r="F4545" s="81"/>
      <c r="G4545" s="81"/>
      <c r="H4545" s="81"/>
      <c r="I4545" s="81"/>
    </row>
    <row r="4546">
      <c r="D4546" s="81"/>
      <c r="E4546" s="81"/>
      <c r="F4546" s="81"/>
      <c r="G4546" s="81"/>
      <c r="H4546" s="81"/>
      <c r="I4546" s="81"/>
    </row>
    <row r="4547">
      <c r="D4547" s="81"/>
      <c r="E4547" s="81"/>
      <c r="F4547" s="81"/>
      <c r="G4547" s="81"/>
      <c r="H4547" s="81"/>
      <c r="I4547" s="81"/>
    </row>
    <row r="4548">
      <c r="D4548" s="81"/>
      <c r="E4548" s="81"/>
      <c r="F4548" s="81"/>
      <c r="G4548" s="81"/>
      <c r="H4548" s="81"/>
      <c r="I4548" s="81"/>
    </row>
    <row r="4549">
      <c r="D4549" s="81"/>
      <c r="E4549" s="81"/>
      <c r="F4549" s="81"/>
      <c r="G4549" s="81"/>
      <c r="H4549" s="81"/>
      <c r="I4549" s="81"/>
    </row>
    <row r="4550">
      <c r="D4550" s="81"/>
      <c r="E4550" s="81"/>
      <c r="F4550" s="81"/>
      <c r="G4550" s="81"/>
      <c r="H4550" s="81"/>
      <c r="I4550" s="81"/>
    </row>
    <row r="4551">
      <c r="D4551" s="81"/>
      <c r="E4551" s="81"/>
      <c r="F4551" s="81"/>
      <c r="G4551" s="81"/>
      <c r="H4551" s="81"/>
      <c r="I4551" s="81"/>
    </row>
    <row r="4552">
      <c r="D4552" s="81"/>
      <c r="E4552" s="81"/>
      <c r="F4552" s="81"/>
      <c r="G4552" s="81"/>
      <c r="H4552" s="81"/>
      <c r="I4552" s="81"/>
    </row>
    <row r="4553">
      <c r="D4553" s="81"/>
      <c r="E4553" s="81"/>
      <c r="F4553" s="81"/>
      <c r="G4553" s="81"/>
      <c r="H4553" s="81"/>
      <c r="I4553" s="81"/>
    </row>
    <row r="4554">
      <c r="D4554" s="81"/>
      <c r="E4554" s="81"/>
      <c r="F4554" s="81"/>
      <c r="G4554" s="81"/>
      <c r="H4554" s="81"/>
      <c r="I4554" s="81"/>
    </row>
    <row r="4555">
      <c r="D4555" s="81"/>
      <c r="E4555" s="81"/>
      <c r="F4555" s="81"/>
      <c r="G4555" s="81"/>
      <c r="H4555" s="81"/>
      <c r="I4555" s="81"/>
    </row>
    <row r="4556">
      <c r="D4556" s="81"/>
      <c r="E4556" s="81"/>
      <c r="F4556" s="81"/>
      <c r="G4556" s="81"/>
      <c r="H4556" s="81"/>
      <c r="I4556" s="81"/>
    </row>
    <row r="4557">
      <c r="D4557" s="81"/>
      <c r="E4557" s="81"/>
      <c r="F4557" s="81"/>
      <c r="G4557" s="81"/>
      <c r="H4557" s="81"/>
      <c r="I4557" s="81"/>
    </row>
    <row r="4558">
      <c r="D4558" s="81"/>
      <c r="E4558" s="81"/>
      <c r="F4558" s="81"/>
      <c r="G4558" s="81"/>
      <c r="H4558" s="81"/>
      <c r="I4558" s="81"/>
    </row>
    <row r="4559">
      <c r="D4559" s="81"/>
      <c r="E4559" s="81"/>
      <c r="F4559" s="81"/>
      <c r="G4559" s="81"/>
      <c r="H4559" s="81"/>
      <c r="I4559" s="81"/>
    </row>
    <row r="4560">
      <c r="D4560" s="81"/>
      <c r="E4560" s="81"/>
      <c r="F4560" s="81"/>
      <c r="G4560" s="81"/>
      <c r="H4560" s="81"/>
      <c r="I4560" s="81"/>
    </row>
    <row r="4561">
      <c r="D4561" s="81"/>
      <c r="E4561" s="81"/>
      <c r="F4561" s="81"/>
      <c r="G4561" s="81"/>
      <c r="H4561" s="81"/>
      <c r="I4561" s="81"/>
    </row>
    <row r="4562">
      <c r="D4562" s="81"/>
      <c r="E4562" s="81"/>
      <c r="F4562" s="81"/>
      <c r="G4562" s="81"/>
      <c r="H4562" s="81"/>
      <c r="I4562" s="81"/>
    </row>
    <row r="4563">
      <c r="D4563" s="81"/>
      <c r="E4563" s="81"/>
      <c r="F4563" s="81"/>
      <c r="G4563" s="81"/>
      <c r="H4563" s="81"/>
      <c r="I4563" s="81"/>
    </row>
    <row r="4564">
      <c r="D4564" s="81"/>
      <c r="E4564" s="81"/>
      <c r="F4564" s="81"/>
      <c r="G4564" s="81"/>
      <c r="H4564" s="81"/>
      <c r="I4564" s="81"/>
    </row>
    <row r="4565">
      <c r="D4565" s="81"/>
      <c r="E4565" s="81"/>
      <c r="F4565" s="81"/>
      <c r="G4565" s="81"/>
      <c r="H4565" s="81"/>
      <c r="I4565" s="81"/>
    </row>
    <row r="4566">
      <c r="D4566" s="81"/>
      <c r="E4566" s="81"/>
      <c r="F4566" s="81"/>
      <c r="G4566" s="81"/>
      <c r="H4566" s="81"/>
      <c r="I4566" s="81"/>
    </row>
    <row r="4567">
      <c r="D4567" s="81"/>
      <c r="E4567" s="81"/>
      <c r="F4567" s="81"/>
      <c r="G4567" s="81"/>
      <c r="H4567" s="81"/>
      <c r="I4567" s="81"/>
    </row>
    <row r="4568">
      <c r="D4568" s="81"/>
      <c r="E4568" s="81"/>
      <c r="F4568" s="81"/>
      <c r="G4568" s="81"/>
      <c r="H4568" s="81"/>
      <c r="I4568" s="81"/>
    </row>
    <row r="4569">
      <c r="D4569" s="81"/>
      <c r="E4569" s="81"/>
      <c r="F4569" s="81"/>
      <c r="G4569" s="81"/>
      <c r="H4569" s="81"/>
      <c r="I4569" s="81"/>
    </row>
    <row r="4570">
      <c r="D4570" s="81"/>
      <c r="E4570" s="81"/>
      <c r="F4570" s="81"/>
      <c r="G4570" s="81"/>
      <c r="H4570" s="81"/>
      <c r="I4570" s="81"/>
    </row>
    <row r="4571">
      <c r="D4571" s="81"/>
      <c r="E4571" s="81"/>
      <c r="F4571" s="81"/>
      <c r="G4571" s="81"/>
      <c r="H4571" s="81"/>
      <c r="I4571" s="81"/>
    </row>
    <row r="4572">
      <c r="D4572" s="81"/>
      <c r="E4572" s="81"/>
      <c r="F4572" s="81"/>
      <c r="G4572" s="81"/>
      <c r="H4572" s="81"/>
      <c r="I4572" s="81"/>
    </row>
    <row r="4573">
      <c r="D4573" s="81"/>
      <c r="E4573" s="81"/>
      <c r="F4573" s="81"/>
      <c r="G4573" s="81"/>
      <c r="H4573" s="81"/>
      <c r="I4573" s="81"/>
    </row>
    <row r="4574">
      <c r="D4574" s="81"/>
      <c r="E4574" s="81"/>
      <c r="F4574" s="81"/>
      <c r="G4574" s="81"/>
      <c r="H4574" s="81"/>
      <c r="I4574" s="81"/>
    </row>
    <row r="4575">
      <c r="D4575" s="81"/>
      <c r="E4575" s="81"/>
      <c r="F4575" s="81"/>
      <c r="G4575" s="81"/>
      <c r="H4575" s="81"/>
      <c r="I4575" s="81"/>
    </row>
    <row r="4576">
      <c r="D4576" s="81"/>
      <c r="E4576" s="81"/>
      <c r="F4576" s="81"/>
      <c r="G4576" s="81"/>
      <c r="H4576" s="81"/>
      <c r="I4576" s="81"/>
    </row>
    <row r="4577">
      <c r="D4577" s="81"/>
      <c r="E4577" s="81"/>
      <c r="F4577" s="81"/>
      <c r="G4577" s="81"/>
      <c r="H4577" s="81"/>
      <c r="I4577" s="81"/>
    </row>
    <row r="4578">
      <c r="D4578" s="81"/>
      <c r="E4578" s="81"/>
      <c r="F4578" s="81"/>
      <c r="G4578" s="81"/>
      <c r="H4578" s="81"/>
      <c r="I4578" s="81"/>
    </row>
    <row r="4579">
      <c r="D4579" s="81"/>
      <c r="E4579" s="81"/>
      <c r="F4579" s="81"/>
      <c r="G4579" s="81"/>
      <c r="H4579" s="81"/>
      <c r="I4579" s="81"/>
    </row>
    <row r="4580">
      <c r="D4580" s="81"/>
      <c r="E4580" s="81"/>
      <c r="F4580" s="81"/>
      <c r="G4580" s="81"/>
      <c r="H4580" s="81"/>
      <c r="I4580" s="81"/>
    </row>
    <row r="4581">
      <c r="D4581" s="81"/>
      <c r="E4581" s="81"/>
      <c r="F4581" s="81"/>
      <c r="G4581" s="81"/>
      <c r="H4581" s="81"/>
      <c r="I4581" s="81"/>
    </row>
    <row r="4582">
      <c r="D4582" s="81"/>
      <c r="E4582" s="81"/>
      <c r="F4582" s="81"/>
      <c r="G4582" s="81"/>
      <c r="H4582" s="81"/>
      <c r="I4582" s="81"/>
    </row>
    <row r="4583">
      <c r="D4583" s="81"/>
      <c r="E4583" s="81"/>
      <c r="F4583" s="81"/>
      <c r="G4583" s="81"/>
      <c r="H4583" s="81"/>
      <c r="I4583" s="81"/>
    </row>
    <row r="4584">
      <c r="D4584" s="81"/>
      <c r="E4584" s="81"/>
      <c r="F4584" s="81"/>
      <c r="G4584" s="81"/>
      <c r="H4584" s="81"/>
      <c r="I4584" s="81"/>
    </row>
    <row r="4585">
      <c r="D4585" s="81"/>
      <c r="E4585" s="81"/>
      <c r="F4585" s="81"/>
      <c r="G4585" s="81"/>
      <c r="H4585" s="81"/>
      <c r="I4585" s="81"/>
    </row>
    <row r="4586">
      <c r="D4586" s="81"/>
      <c r="E4586" s="81"/>
      <c r="F4586" s="81"/>
      <c r="G4586" s="81"/>
      <c r="H4586" s="81"/>
      <c r="I4586" s="81"/>
    </row>
    <row r="4587">
      <c r="D4587" s="81"/>
      <c r="E4587" s="81"/>
      <c r="F4587" s="81"/>
      <c r="G4587" s="81"/>
      <c r="H4587" s="81"/>
      <c r="I4587" s="81"/>
    </row>
    <row r="4588">
      <c r="D4588" s="81"/>
      <c r="E4588" s="81"/>
      <c r="F4588" s="81"/>
      <c r="G4588" s="81"/>
      <c r="H4588" s="81"/>
      <c r="I4588" s="81"/>
    </row>
    <row r="4589">
      <c r="D4589" s="81"/>
      <c r="E4589" s="81"/>
      <c r="F4589" s="81"/>
      <c r="G4589" s="81"/>
      <c r="H4589" s="81"/>
      <c r="I4589" s="81"/>
    </row>
    <row r="4590">
      <c r="D4590" s="81"/>
      <c r="E4590" s="81"/>
      <c r="F4590" s="81"/>
      <c r="G4590" s="81"/>
      <c r="H4590" s="81"/>
      <c r="I4590" s="81"/>
    </row>
    <row r="4591">
      <c r="D4591" s="81"/>
      <c r="E4591" s="81"/>
      <c r="F4591" s="81"/>
      <c r="G4591" s="81"/>
      <c r="H4591" s="81"/>
      <c r="I4591" s="81"/>
    </row>
    <row r="4592">
      <c r="D4592" s="81"/>
      <c r="E4592" s="81"/>
      <c r="F4592" s="81"/>
      <c r="G4592" s="81"/>
      <c r="H4592" s="81"/>
      <c r="I4592" s="81"/>
    </row>
    <row r="4593">
      <c r="D4593" s="81"/>
      <c r="E4593" s="81"/>
      <c r="F4593" s="81"/>
      <c r="G4593" s="81"/>
      <c r="H4593" s="81"/>
      <c r="I4593" s="81"/>
    </row>
    <row r="4594">
      <c r="D4594" s="81"/>
      <c r="E4594" s="81"/>
      <c r="F4594" s="81"/>
      <c r="G4594" s="81"/>
      <c r="H4594" s="81"/>
      <c r="I4594" s="81"/>
    </row>
    <row r="4595">
      <c r="D4595" s="81"/>
      <c r="E4595" s="81"/>
      <c r="F4595" s="81"/>
      <c r="G4595" s="81"/>
      <c r="H4595" s="81"/>
      <c r="I4595" s="81"/>
    </row>
    <row r="4596">
      <c r="D4596" s="81"/>
      <c r="E4596" s="81"/>
      <c r="F4596" s="81"/>
      <c r="G4596" s="81"/>
      <c r="H4596" s="81"/>
      <c r="I4596" s="81"/>
    </row>
    <row r="4597">
      <c r="D4597" s="81"/>
      <c r="E4597" s="81"/>
      <c r="F4597" s="81"/>
      <c r="G4597" s="81"/>
      <c r="H4597" s="81"/>
      <c r="I4597" s="81"/>
    </row>
    <row r="4598">
      <c r="D4598" s="81"/>
      <c r="E4598" s="81"/>
      <c r="F4598" s="81"/>
      <c r="G4598" s="81"/>
      <c r="H4598" s="81"/>
      <c r="I4598" s="81"/>
    </row>
    <row r="4599">
      <c r="D4599" s="81"/>
      <c r="E4599" s="81"/>
      <c r="F4599" s="81"/>
      <c r="G4599" s="81"/>
      <c r="H4599" s="81"/>
      <c r="I4599" s="81"/>
    </row>
    <row r="4600">
      <c r="D4600" s="81"/>
      <c r="E4600" s="81"/>
      <c r="F4600" s="81"/>
      <c r="G4600" s="81"/>
      <c r="H4600" s="81"/>
      <c r="I4600" s="81"/>
    </row>
    <row r="4601">
      <c r="D4601" s="81"/>
      <c r="E4601" s="81"/>
      <c r="F4601" s="81"/>
      <c r="G4601" s="81"/>
      <c r="H4601" s="81"/>
      <c r="I4601" s="81"/>
    </row>
    <row r="4602">
      <c r="D4602" s="81"/>
      <c r="E4602" s="81"/>
      <c r="F4602" s="81"/>
      <c r="G4602" s="81"/>
      <c r="H4602" s="81"/>
      <c r="I4602" s="81"/>
    </row>
    <row r="4603">
      <c r="D4603" s="81"/>
      <c r="E4603" s="81"/>
      <c r="F4603" s="81"/>
      <c r="G4603" s="81"/>
      <c r="H4603" s="81"/>
      <c r="I4603" s="81"/>
    </row>
    <row r="4604">
      <c r="D4604" s="81"/>
      <c r="E4604" s="81"/>
      <c r="F4604" s="81"/>
      <c r="G4604" s="81"/>
      <c r="H4604" s="81"/>
      <c r="I4604" s="81"/>
    </row>
    <row r="4605">
      <c r="D4605" s="81"/>
      <c r="E4605" s="81"/>
      <c r="F4605" s="81"/>
      <c r="G4605" s="81"/>
      <c r="H4605" s="81"/>
      <c r="I4605" s="81"/>
    </row>
    <row r="4606">
      <c r="D4606" s="81"/>
      <c r="E4606" s="81"/>
      <c r="F4606" s="81"/>
      <c r="G4606" s="81"/>
      <c r="H4606" s="81"/>
      <c r="I4606" s="81"/>
    </row>
    <row r="4607">
      <c r="D4607" s="81"/>
      <c r="E4607" s="81"/>
      <c r="F4607" s="81"/>
      <c r="G4607" s="81"/>
      <c r="H4607" s="81"/>
      <c r="I4607" s="81"/>
    </row>
    <row r="4608">
      <c r="D4608" s="81"/>
      <c r="E4608" s="81"/>
      <c r="F4608" s="81"/>
      <c r="G4608" s="81"/>
      <c r="H4608" s="81"/>
      <c r="I4608" s="81"/>
    </row>
    <row r="4609">
      <c r="D4609" s="81"/>
      <c r="E4609" s="81"/>
      <c r="F4609" s="81"/>
      <c r="G4609" s="81"/>
      <c r="H4609" s="81"/>
      <c r="I4609" s="81"/>
    </row>
    <row r="4610">
      <c r="D4610" s="81"/>
      <c r="E4610" s="81"/>
      <c r="F4610" s="81"/>
      <c r="G4610" s="81"/>
      <c r="H4610" s="81"/>
      <c r="I4610" s="81"/>
    </row>
    <row r="4611">
      <c r="D4611" s="81"/>
      <c r="E4611" s="81"/>
      <c r="F4611" s="81"/>
      <c r="G4611" s="81"/>
      <c r="H4611" s="81"/>
      <c r="I4611" s="81"/>
    </row>
    <row r="4612">
      <c r="D4612" s="81"/>
      <c r="E4612" s="81"/>
      <c r="F4612" s="81"/>
      <c r="G4612" s="81"/>
      <c r="H4612" s="81"/>
      <c r="I4612" s="81"/>
    </row>
    <row r="4613">
      <c r="D4613" s="81"/>
      <c r="E4613" s="81"/>
      <c r="F4613" s="81"/>
      <c r="G4613" s="81"/>
      <c r="H4613" s="81"/>
      <c r="I4613" s="81"/>
    </row>
    <row r="4614">
      <c r="D4614" s="81"/>
      <c r="E4614" s="81"/>
      <c r="F4614" s="81"/>
      <c r="G4614" s="81"/>
      <c r="H4614" s="81"/>
      <c r="I4614" s="81"/>
    </row>
    <row r="4615">
      <c r="D4615" s="81"/>
      <c r="E4615" s="81"/>
      <c r="F4615" s="81"/>
      <c r="G4615" s="81"/>
      <c r="H4615" s="81"/>
      <c r="I4615" s="81"/>
    </row>
    <row r="4616">
      <c r="D4616" s="81"/>
      <c r="E4616" s="81"/>
      <c r="F4616" s="81"/>
      <c r="G4616" s="81"/>
      <c r="H4616" s="81"/>
      <c r="I4616" s="81"/>
    </row>
    <row r="4617">
      <c r="D4617" s="81"/>
      <c r="E4617" s="81"/>
      <c r="F4617" s="81"/>
      <c r="G4617" s="81"/>
      <c r="H4617" s="81"/>
      <c r="I4617" s="81"/>
    </row>
    <row r="4618">
      <c r="D4618" s="81"/>
      <c r="E4618" s="81"/>
      <c r="F4618" s="81"/>
      <c r="G4618" s="81"/>
      <c r="H4618" s="81"/>
      <c r="I4618" s="81"/>
    </row>
    <row r="4619">
      <c r="D4619" s="81"/>
      <c r="E4619" s="81"/>
      <c r="F4619" s="81"/>
      <c r="G4619" s="81"/>
      <c r="H4619" s="81"/>
      <c r="I4619" s="81"/>
    </row>
    <row r="4620">
      <c r="D4620" s="81"/>
      <c r="E4620" s="81"/>
      <c r="F4620" s="81"/>
      <c r="G4620" s="81"/>
      <c r="H4620" s="81"/>
      <c r="I4620" s="81"/>
    </row>
    <row r="4621">
      <c r="D4621" s="81"/>
      <c r="E4621" s="81"/>
      <c r="F4621" s="81"/>
      <c r="G4621" s="81"/>
      <c r="H4621" s="81"/>
      <c r="I4621" s="81"/>
    </row>
    <row r="4622">
      <c r="D4622" s="81"/>
      <c r="E4622" s="81"/>
      <c r="F4622" s="81"/>
      <c r="G4622" s="81"/>
      <c r="H4622" s="81"/>
      <c r="I4622" s="81"/>
    </row>
    <row r="4623">
      <c r="D4623" s="81"/>
      <c r="E4623" s="81"/>
      <c r="F4623" s="81"/>
      <c r="G4623" s="81"/>
      <c r="H4623" s="81"/>
      <c r="I4623" s="81"/>
    </row>
    <row r="4624">
      <c r="D4624" s="81"/>
      <c r="E4624" s="81"/>
      <c r="F4624" s="81"/>
      <c r="G4624" s="81"/>
      <c r="H4624" s="81"/>
      <c r="I4624" s="81"/>
    </row>
    <row r="4625">
      <c r="D4625" s="81"/>
      <c r="E4625" s="81"/>
      <c r="F4625" s="81"/>
      <c r="G4625" s="81"/>
      <c r="H4625" s="81"/>
      <c r="I4625" s="81"/>
    </row>
    <row r="4626">
      <c r="D4626" s="81"/>
      <c r="E4626" s="81"/>
      <c r="F4626" s="81"/>
      <c r="G4626" s="81"/>
      <c r="H4626" s="81"/>
      <c r="I4626" s="81"/>
    </row>
    <row r="4627">
      <c r="D4627" s="81"/>
      <c r="E4627" s="81"/>
      <c r="F4627" s="81"/>
      <c r="G4627" s="81"/>
      <c r="H4627" s="81"/>
      <c r="I4627" s="81"/>
    </row>
    <row r="4628">
      <c r="D4628" s="81"/>
      <c r="E4628" s="81"/>
      <c r="F4628" s="81"/>
      <c r="G4628" s="81"/>
      <c r="H4628" s="81"/>
      <c r="I4628" s="81"/>
    </row>
  </sheetData>
  <customSheetViews>
    <customSheetView guid="{9968795E-3BFB-485F-960E-5F37103E47A5}" filter="1" showAutoFilter="1">
      <autoFilter ref="$A$1:$G$5340"/>
    </customSheetView>
    <customSheetView guid="{4BC5D1F8-6AB7-4253-A826-9AFBB6ED2B05}" filter="1" showAutoFilter="1">
      <autoFilter ref="$A$1:$D$973"/>
    </customSheetView>
  </customSheetViews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20.5"/>
    <col customWidth="1" min="5" max="5" width="26.13"/>
    <col hidden="1" min="8" max="20" width="12.63"/>
  </cols>
  <sheetData>
    <row r="1">
      <c r="A1" s="56" t="s">
        <v>4476</v>
      </c>
      <c r="B1" s="56" t="s">
        <v>1</v>
      </c>
      <c r="C1" s="248" t="s">
        <v>3706</v>
      </c>
      <c r="D1" s="114" t="s">
        <v>6148</v>
      </c>
      <c r="E1" s="388" t="s">
        <v>3708</v>
      </c>
      <c r="F1" s="389">
        <v>125.0</v>
      </c>
      <c r="M1" s="353" t="s">
        <v>4476</v>
      </c>
      <c r="N1" s="353" t="s">
        <v>1</v>
      </c>
      <c r="P1" s="11" t="s">
        <v>252</v>
      </c>
      <c r="Q1" s="11" t="str">
        <f>"Empty codes:"&amp; COUNTBLANK(N2:N81)</f>
        <v>Empty codes:0</v>
      </c>
    </row>
    <row r="2">
      <c r="A2" s="170" t="s">
        <v>15333</v>
      </c>
      <c r="B2" s="170">
        <v>2345.0</v>
      </c>
      <c r="C2" s="245" t="e">
        <v>#N/A</v>
      </c>
      <c r="E2" s="393" t="s">
        <v>2008</v>
      </c>
      <c r="F2" s="388">
        <v>6.0</v>
      </c>
      <c r="M2" s="558" t="s">
        <v>15333</v>
      </c>
      <c r="N2" s="558">
        <v>2345.0</v>
      </c>
      <c r="O2" s="36"/>
      <c r="P2" s="36" t="e">
        <v>#N/A</v>
      </c>
    </row>
    <row r="3">
      <c r="A3" s="170" t="s">
        <v>1736</v>
      </c>
      <c r="B3" s="170">
        <v>3607.0</v>
      </c>
      <c r="C3" s="245" t="e">
        <v>#N/A</v>
      </c>
      <c r="E3" s="393" t="s">
        <v>3709</v>
      </c>
      <c r="F3" s="388">
        <v>26.0</v>
      </c>
      <c r="G3" s="39"/>
      <c r="M3" s="558" t="s">
        <v>1736</v>
      </c>
      <c r="N3" s="558">
        <v>3607.0</v>
      </c>
      <c r="O3" s="36"/>
      <c r="P3" s="36" t="e">
        <v>#N/A</v>
      </c>
    </row>
    <row r="4">
      <c r="A4" s="170" t="s">
        <v>1739</v>
      </c>
      <c r="B4" s="170">
        <v>663.0</v>
      </c>
      <c r="C4" s="245" t="e">
        <v>#N/A</v>
      </c>
      <c r="E4" s="393" t="s">
        <v>3710</v>
      </c>
      <c r="F4" s="395">
        <v>0.0</v>
      </c>
      <c r="G4" s="39"/>
      <c r="M4" s="558" t="s">
        <v>1739</v>
      </c>
      <c r="N4" s="558">
        <v>663.0</v>
      </c>
      <c r="O4" s="36"/>
      <c r="P4" s="36" t="e">
        <v>#N/A</v>
      </c>
    </row>
    <row r="5">
      <c r="A5" s="170" t="s">
        <v>1740</v>
      </c>
      <c r="B5" s="170">
        <v>6924.0</v>
      </c>
      <c r="C5" s="245" t="e">
        <v>#N/A</v>
      </c>
      <c r="E5" s="393" t="s">
        <v>3711</v>
      </c>
      <c r="F5" s="396">
        <v>93.0</v>
      </c>
      <c r="G5" s="39"/>
      <c r="M5" s="558" t="s">
        <v>1740</v>
      </c>
      <c r="N5" s="558">
        <v>6924.0</v>
      </c>
      <c r="O5" s="36"/>
      <c r="P5" s="36" t="e">
        <v>#N/A</v>
      </c>
    </row>
    <row r="6">
      <c r="A6" s="170" t="s">
        <v>1741</v>
      </c>
      <c r="B6" s="170">
        <v>2345.0</v>
      </c>
      <c r="C6" s="245" t="e">
        <v>#N/A</v>
      </c>
      <c r="E6" s="393" t="s">
        <v>3712</v>
      </c>
      <c r="F6" s="559" t="s">
        <v>6157</v>
      </c>
      <c r="G6" s="39"/>
      <c r="M6" s="558" t="s">
        <v>1741</v>
      </c>
      <c r="N6" s="558">
        <v>2345.0</v>
      </c>
      <c r="O6" s="36"/>
      <c r="P6" s="36" t="e">
        <v>#N/A</v>
      </c>
    </row>
    <row r="7">
      <c r="A7" s="175" t="s">
        <v>1742</v>
      </c>
      <c r="B7" s="175">
        <v>986.0</v>
      </c>
      <c r="C7" s="245">
        <v>1.0</v>
      </c>
      <c r="F7" s="39"/>
      <c r="G7" s="39"/>
      <c r="M7" s="353" t="s">
        <v>1742</v>
      </c>
      <c r="N7" s="353">
        <v>986.0</v>
      </c>
      <c r="P7" s="18">
        <v>1.0</v>
      </c>
    </row>
    <row r="8">
      <c r="A8" s="170" t="s">
        <v>1745</v>
      </c>
      <c r="B8" s="170">
        <v>189.0</v>
      </c>
      <c r="C8" s="245" t="e">
        <v>#N/A</v>
      </c>
      <c r="F8" s="39"/>
      <c r="G8" s="39"/>
      <c r="M8" s="558" t="s">
        <v>1745</v>
      </c>
      <c r="N8" s="558">
        <v>189.0</v>
      </c>
      <c r="O8" s="36"/>
      <c r="P8" s="36" t="e">
        <v>#N/A</v>
      </c>
    </row>
    <row r="9">
      <c r="A9" s="170" t="s">
        <v>1747</v>
      </c>
      <c r="B9" s="170">
        <v>6675.0</v>
      </c>
      <c r="C9" s="245" t="e">
        <v>#N/A</v>
      </c>
      <c r="F9" s="39"/>
      <c r="G9" s="39"/>
      <c r="M9" s="558" t="s">
        <v>1747</v>
      </c>
      <c r="N9" s="558">
        <v>6675.0</v>
      </c>
      <c r="O9" s="36"/>
      <c r="P9" s="36" t="e">
        <v>#N/A</v>
      </c>
    </row>
    <row r="10">
      <c r="A10" s="170" t="s">
        <v>1749</v>
      </c>
      <c r="B10" s="170">
        <v>986.0</v>
      </c>
      <c r="C10" s="245" t="e">
        <v>#N/A</v>
      </c>
      <c r="M10" s="558" t="s">
        <v>1749</v>
      </c>
      <c r="N10" s="558">
        <v>986.0</v>
      </c>
      <c r="O10" s="36"/>
      <c r="P10" s="36" t="e">
        <v>#N/A</v>
      </c>
    </row>
    <row r="11">
      <c r="A11" s="170" t="s">
        <v>1743</v>
      </c>
      <c r="B11" s="170">
        <v>6658.0</v>
      </c>
      <c r="C11" s="245" t="e">
        <v>#N/A</v>
      </c>
      <c r="E11" s="174"/>
      <c r="F11" s="39"/>
      <c r="M11" s="558" t="s">
        <v>1743</v>
      </c>
      <c r="N11" s="558">
        <v>6658.0</v>
      </c>
      <c r="O11" s="36"/>
      <c r="P11" s="36" t="e">
        <v>#N/A</v>
      </c>
    </row>
    <row r="12">
      <c r="A12" s="170" t="s">
        <v>1744</v>
      </c>
      <c r="B12" s="170">
        <v>986.0</v>
      </c>
      <c r="C12" s="245" t="e">
        <v>#N/A</v>
      </c>
      <c r="E12" s="174"/>
      <c r="F12" s="39"/>
      <c r="M12" s="558" t="s">
        <v>1744</v>
      </c>
      <c r="N12" s="558">
        <v>986.0</v>
      </c>
      <c r="O12" s="36"/>
      <c r="P12" s="36" t="e">
        <v>#N/A</v>
      </c>
    </row>
    <row r="13">
      <c r="A13" s="170" t="s">
        <v>1746</v>
      </c>
      <c r="B13" s="170">
        <v>986.0</v>
      </c>
      <c r="C13" s="245" t="e">
        <v>#N/A</v>
      </c>
      <c r="E13" s="174"/>
      <c r="F13" s="39"/>
      <c r="M13" s="558" t="s">
        <v>1746</v>
      </c>
      <c r="N13" s="558">
        <v>986.0</v>
      </c>
      <c r="O13" s="36"/>
      <c r="P13" s="36" t="e">
        <v>#N/A</v>
      </c>
    </row>
    <row r="14">
      <c r="A14" s="170" t="s">
        <v>1748</v>
      </c>
      <c r="B14" s="170">
        <v>986.0</v>
      </c>
      <c r="C14" s="245" t="e">
        <v>#N/A</v>
      </c>
      <c r="E14" s="174"/>
      <c r="F14" s="39"/>
      <c r="M14" s="558" t="s">
        <v>1748</v>
      </c>
      <c r="N14" s="558">
        <v>986.0</v>
      </c>
      <c r="O14" s="36"/>
      <c r="P14" s="36" t="e">
        <v>#N/A</v>
      </c>
    </row>
    <row r="15">
      <c r="A15" s="170" t="s">
        <v>1750</v>
      </c>
      <c r="B15" s="170">
        <v>986.0</v>
      </c>
      <c r="C15" s="245" t="e">
        <v>#N/A</v>
      </c>
      <c r="E15" s="174"/>
      <c r="F15" s="39"/>
      <c r="M15" s="558" t="s">
        <v>1750</v>
      </c>
      <c r="N15" s="558">
        <v>986.0</v>
      </c>
      <c r="O15" s="36"/>
      <c r="P15" s="36" t="e">
        <v>#N/A</v>
      </c>
    </row>
    <row r="16">
      <c r="A16" s="170" t="s">
        <v>1751</v>
      </c>
      <c r="B16" s="170">
        <v>986.0</v>
      </c>
      <c r="C16" s="245" t="e">
        <v>#N/A</v>
      </c>
      <c r="E16" s="174"/>
      <c r="F16" s="39"/>
      <c r="M16" s="558" t="s">
        <v>1751</v>
      </c>
      <c r="N16" s="558">
        <v>986.0</v>
      </c>
      <c r="O16" s="36"/>
      <c r="P16" s="36" t="e">
        <v>#N/A</v>
      </c>
    </row>
    <row r="17">
      <c r="A17" s="170" t="s">
        <v>1752</v>
      </c>
      <c r="B17" s="170">
        <v>986.0</v>
      </c>
      <c r="C17" s="245" t="e">
        <v>#N/A</v>
      </c>
      <c r="E17" s="174"/>
      <c r="F17" s="39"/>
      <c r="M17" s="558" t="s">
        <v>1752</v>
      </c>
      <c r="N17" s="558">
        <v>986.0</v>
      </c>
      <c r="O17" s="36"/>
      <c r="P17" s="36" t="e">
        <v>#N/A</v>
      </c>
    </row>
    <row r="18">
      <c r="A18" s="170" t="s">
        <v>1758</v>
      </c>
      <c r="B18" s="170">
        <v>7158.0</v>
      </c>
      <c r="C18" s="245" t="e">
        <v>#N/A</v>
      </c>
      <c r="M18" s="558" t="s">
        <v>1758</v>
      </c>
      <c r="N18" s="558">
        <v>7158.0</v>
      </c>
      <c r="O18" s="36"/>
      <c r="P18" s="36" t="e">
        <v>#N/A</v>
      </c>
    </row>
    <row r="19">
      <c r="A19" s="170" t="s">
        <v>1753</v>
      </c>
      <c r="B19" s="170">
        <v>6827.0</v>
      </c>
      <c r="C19" s="245" t="e">
        <v>#N/A</v>
      </c>
      <c r="M19" s="558" t="s">
        <v>1753</v>
      </c>
      <c r="N19" s="558">
        <v>6827.0</v>
      </c>
      <c r="O19" s="36"/>
      <c r="P19" s="36" t="e">
        <v>#N/A</v>
      </c>
    </row>
    <row r="20">
      <c r="A20" s="170" t="s">
        <v>1754</v>
      </c>
      <c r="B20" s="170">
        <v>6736.0</v>
      </c>
      <c r="C20" s="245" t="e">
        <v>#N/A</v>
      </c>
      <c r="M20" s="558" t="s">
        <v>1754</v>
      </c>
      <c r="N20" s="558">
        <v>6736.0</v>
      </c>
      <c r="O20" s="558">
        <v>6770.0</v>
      </c>
      <c r="P20" s="36" t="e">
        <v>#N/A</v>
      </c>
    </row>
    <row r="21">
      <c r="A21" s="170" t="s">
        <v>1755</v>
      </c>
      <c r="B21" s="170">
        <v>6772.0</v>
      </c>
      <c r="C21" s="245" t="e">
        <v>#N/A</v>
      </c>
      <c r="M21" s="558" t="s">
        <v>1755</v>
      </c>
      <c r="N21" s="558">
        <v>6772.0</v>
      </c>
      <c r="O21" s="36"/>
      <c r="P21" s="36" t="e">
        <v>#N/A</v>
      </c>
    </row>
    <row r="22">
      <c r="A22" s="170" t="s">
        <v>1756</v>
      </c>
      <c r="B22" s="170">
        <v>3307.0</v>
      </c>
      <c r="C22" s="245" t="e">
        <v>#N/A</v>
      </c>
      <c r="M22" s="558" t="s">
        <v>1756</v>
      </c>
      <c r="N22" s="558">
        <v>3307.0</v>
      </c>
      <c r="O22" s="36"/>
      <c r="P22" s="36" t="e">
        <v>#N/A</v>
      </c>
    </row>
    <row r="23">
      <c r="A23" s="170" t="s">
        <v>1757</v>
      </c>
      <c r="B23" s="170">
        <v>7104.0</v>
      </c>
      <c r="C23" s="245" t="e">
        <v>#N/A</v>
      </c>
      <c r="M23" s="558" t="s">
        <v>1757</v>
      </c>
      <c r="N23" s="558">
        <v>7104.0</v>
      </c>
      <c r="O23" s="36"/>
      <c r="P23" s="36" t="e">
        <v>#N/A</v>
      </c>
    </row>
    <row r="24">
      <c r="A24" s="170" t="s">
        <v>1759</v>
      </c>
      <c r="B24" s="170">
        <v>6272.0</v>
      </c>
      <c r="C24" s="245" t="e">
        <v>#N/A</v>
      </c>
      <c r="M24" s="558" t="s">
        <v>1759</v>
      </c>
      <c r="N24" s="558">
        <v>6272.0</v>
      </c>
      <c r="O24" s="36"/>
      <c r="P24" s="36" t="e">
        <v>#N/A</v>
      </c>
    </row>
    <row r="25">
      <c r="A25" s="170" t="s">
        <v>1760</v>
      </c>
      <c r="B25" s="170">
        <v>195.0</v>
      </c>
      <c r="C25" s="245" t="e">
        <v>#N/A</v>
      </c>
      <c r="M25" s="558" t="s">
        <v>1760</v>
      </c>
      <c r="N25" s="558">
        <v>195.0</v>
      </c>
      <c r="O25" s="36"/>
      <c r="P25" s="36" t="e">
        <v>#N/A</v>
      </c>
    </row>
    <row r="26">
      <c r="A26" s="170" t="s">
        <v>1761</v>
      </c>
      <c r="B26" s="170">
        <v>7033.0</v>
      </c>
      <c r="C26" s="245" t="e">
        <v>#N/A</v>
      </c>
      <c r="M26" s="558" t="s">
        <v>1761</v>
      </c>
      <c r="N26" s="558">
        <v>7033.0</v>
      </c>
      <c r="O26" s="36"/>
      <c r="P26" s="36" t="e">
        <v>#N/A</v>
      </c>
    </row>
    <row r="27">
      <c r="A27" s="170" t="s">
        <v>1762</v>
      </c>
      <c r="B27" s="170">
        <v>6132.0</v>
      </c>
      <c r="C27" s="245" t="e">
        <v>#N/A</v>
      </c>
      <c r="M27" s="558" t="s">
        <v>1762</v>
      </c>
      <c r="N27" s="558">
        <v>6132.0</v>
      </c>
      <c r="O27" s="36"/>
      <c r="P27" s="36" t="e">
        <v>#N/A</v>
      </c>
    </row>
    <row r="28">
      <c r="A28" s="170" t="s">
        <v>1763</v>
      </c>
      <c r="B28" s="170">
        <v>136.0</v>
      </c>
      <c r="C28" s="245" t="e">
        <v>#N/A</v>
      </c>
      <c r="M28" s="558" t="s">
        <v>1763</v>
      </c>
      <c r="N28" s="558">
        <v>136.0</v>
      </c>
      <c r="O28" s="36"/>
      <c r="P28" s="36" t="e">
        <v>#N/A</v>
      </c>
    </row>
    <row r="29">
      <c r="A29" s="170" t="s">
        <v>1764</v>
      </c>
      <c r="B29" s="170">
        <v>7168.0</v>
      </c>
      <c r="C29" s="245" t="e">
        <v>#N/A</v>
      </c>
      <c r="M29" s="558" t="s">
        <v>1764</v>
      </c>
      <c r="N29" s="558">
        <v>7168.0</v>
      </c>
      <c r="O29" s="36"/>
      <c r="P29" s="36" t="e">
        <v>#N/A</v>
      </c>
    </row>
    <row r="30">
      <c r="A30" s="170" t="s">
        <v>1765</v>
      </c>
      <c r="B30" s="170">
        <v>7186.0</v>
      </c>
      <c r="C30" s="245" t="e">
        <v>#N/A</v>
      </c>
      <c r="M30" s="558" t="s">
        <v>1765</v>
      </c>
      <c r="N30" s="558">
        <v>7186.0</v>
      </c>
      <c r="O30" s="36"/>
      <c r="P30" s="36" t="e">
        <v>#N/A</v>
      </c>
    </row>
    <row r="31">
      <c r="A31" s="170" t="s">
        <v>1766</v>
      </c>
      <c r="B31" s="170">
        <v>7132.0</v>
      </c>
      <c r="C31" s="245" t="e">
        <v>#N/A</v>
      </c>
      <c r="M31" s="558" t="s">
        <v>1766</v>
      </c>
      <c r="N31" s="558">
        <v>7132.0</v>
      </c>
      <c r="O31" s="558">
        <v>7010.0</v>
      </c>
      <c r="P31" s="36" t="e">
        <v>#N/A</v>
      </c>
    </row>
    <row r="32">
      <c r="A32" s="170" t="s">
        <v>1767</v>
      </c>
      <c r="B32" s="170">
        <v>6133.0</v>
      </c>
      <c r="C32" s="245" t="e">
        <v>#N/A</v>
      </c>
      <c r="M32" s="558" t="s">
        <v>1767</v>
      </c>
      <c r="N32" s="558">
        <v>6133.0</v>
      </c>
      <c r="O32" s="36"/>
      <c r="P32" s="36" t="e">
        <v>#N/A</v>
      </c>
    </row>
    <row r="33">
      <c r="A33" s="170" t="s">
        <v>1768</v>
      </c>
      <c r="B33" s="170">
        <v>6133.0</v>
      </c>
      <c r="C33" s="245" t="e">
        <v>#N/A</v>
      </c>
      <c r="M33" s="558" t="s">
        <v>1768</v>
      </c>
      <c r="N33" s="558">
        <v>6133.0</v>
      </c>
      <c r="O33" s="36"/>
      <c r="P33" s="36" t="e">
        <v>#N/A</v>
      </c>
    </row>
    <row r="34">
      <c r="A34" s="170" t="s">
        <v>1769</v>
      </c>
      <c r="B34" s="170">
        <v>6133.0</v>
      </c>
      <c r="C34" s="245" t="e">
        <v>#N/A</v>
      </c>
      <c r="M34" s="558" t="s">
        <v>1769</v>
      </c>
      <c r="N34" s="558">
        <v>6133.0</v>
      </c>
      <c r="O34" s="36"/>
      <c r="P34" s="36" t="e">
        <v>#N/A</v>
      </c>
    </row>
    <row r="35">
      <c r="A35" s="170" t="s">
        <v>1770</v>
      </c>
      <c r="B35" s="170">
        <v>6133.0</v>
      </c>
      <c r="C35" s="245" t="e">
        <v>#N/A</v>
      </c>
      <c r="M35" s="558" t="s">
        <v>1770</v>
      </c>
      <c r="N35" s="558">
        <v>6133.0</v>
      </c>
      <c r="O35" s="36"/>
      <c r="P35" s="36" t="e">
        <v>#N/A</v>
      </c>
    </row>
    <row r="36">
      <c r="A36" s="175" t="s">
        <v>1771</v>
      </c>
      <c r="B36" s="175">
        <v>6706.0</v>
      </c>
      <c r="C36" s="245">
        <v>5.0</v>
      </c>
      <c r="M36" s="353" t="s">
        <v>1771</v>
      </c>
      <c r="N36" s="353">
        <v>6706.0</v>
      </c>
      <c r="P36" s="18">
        <v>1.0</v>
      </c>
    </row>
    <row r="37">
      <c r="A37" s="170" t="s">
        <v>1772</v>
      </c>
      <c r="B37" s="170">
        <v>7137.0</v>
      </c>
      <c r="C37" s="245" t="e">
        <v>#N/A</v>
      </c>
      <c r="M37" s="558" t="s">
        <v>1772</v>
      </c>
      <c r="N37" s="558">
        <v>7137.0</v>
      </c>
      <c r="O37" s="36"/>
      <c r="P37" s="36" t="e">
        <v>#N/A</v>
      </c>
    </row>
    <row r="38">
      <c r="A38" s="170" t="s">
        <v>1773</v>
      </c>
      <c r="B38" s="170">
        <v>7246.0</v>
      </c>
      <c r="C38" s="245" t="e">
        <v>#N/A</v>
      </c>
      <c r="M38" s="558" t="s">
        <v>1773</v>
      </c>
      <c r="N38" s="558">
        <v>7246.0</v>
      </c>
      <c r="O38" s="36"/>
      <c r="P38" s="36" t="e">
        <v>#N/A</v>
      </c>
    </row>
    <row r="39">
      <c r="A39" s="170" t="s">
        <v>1774</v>
      </c>
      <c r="B39" s="170">
        <v>7036.0</v>
      </c>
      <c r="C39" s="245" t="e">
        <v>#N/A</v>
      </c>
      <c r="M39" s="558" t="s">
        <v>1774</v>
      </c>
      <c r="N39" s="558">
        <v>7036.0</v>
      </c>
      <c r="O39" s="36"/>
      <c r="P39" s="36" t="e">
        <v>#N/A</v>
      </c>
    </row>
    <row r="40">
      <c r="A40" s="170" t="s">
        <v>1775</v>
      </c>
      <c r="B40" s="170">
        <v>7036.0</v>
      </c>
      <c r="C40" s="245" t="e">
        <v>#N/A</v>
      </c>
      <c r="M40" s="558" t="s">
        <v>1775</v>
      </c>
      <c r="N40" s="558">
        <v>7036.0</v>
      </c>
      <c r="O40" s="36"/>
      <c r="P40" s="36" t="e">
        <v>#N/A</v>
      </c>
    </row>
    <row r="41">
      <c r="A41" s="175" t="s">
        <v>1776</v>
      </c>
      <c r="B41" s="175">
        <v>7010.0</v>
      </c>
      <c r="C41" s="245">
        <v>1.0</v>
      </c>
      <c r="M41" s="353" t="s">
        <v>1776</v>
      </c>
      <c r="N41" s="353">
        <v>7010.0</v>
      </c>
      <c r="O41" s="11">
        <v>6779.0</v>
      </c>
      <c r="P41" s="18">
        <v>1.0</v>
      </c>
    </row>
    <row r="42">
      <c r="A42" s="175" t="s">
        <v>1783</v>
      </c>
      <c r="B42" s="175">
        <v>7036.0</v>
      </c>
      <c r="C42" s="245">
        <v>6.0</v>
      </c>
      <c r="M42" s="353" t="s">
        <v>1783</v>
      </c>
      <c r="N42" s="353">
        <v>7036.0</v>
      </c>
      <c r="P42" s="18">
        <v>1.0</v>
      </c>
    </row>
    <row r="43">
      <c r="A43" s="170" t="s">
        <v>1777</v>
      </c>
      <c r="B43" s="16">
        <v>14465.0</v>
      </c>
      <c r="C43" s="245" t="s">
        <v>15334</v>
      </c>
      <c r="M43" s="558" t="s">
        <v>1777</v>
      </c>
      <c r="N43" s="558">
        <v>6779.0</v>
      </c>
      <c r="O43" s="36"/>
      <c r="P43" s="36" t="e">
        <v>#N/A</v>
      </c>
    </row>
    <row r="44">
      <c r="A44" s="170" t="s">
        <v>1778</v>
      </c>
      <c r="B44" s="170">
        <v>7031.0</v>
      </c>
      <c r="C44" s="245" t="e">
        <v>#N/A</v>
      </c>
      <c r="M44" s="558" t="s">
        <v>1778</v>
      </c>
      <c r="N44" s="558">
        <v>7031.0</v>
      </c>
      <c r="O44" s="36"/>
      <c r="P44" s="36" t="e">
        <v>#N/A</v>
      </c>
    </row>
    <row r="45">
      <c r="A45" s="170" t="s">
        <v>1787</v>
      </c>
      <c r="B45" s="170">
        <v>6728.0</v>
      </c>
      <c r="C45" s="245" t="e">
        <v>#N/A</v>
      </c>
      <c r="M45" s="558" t="s">
        <v>1787</v>
      </c>
      <c r="N45" s="558">
        <v>6728.0</v>
      </c>
      <c r="O45" s="36"/>
      <c r="P45" s="36" t="e">
        <v>#N/A</v>
      </c>
    </row>
    <row r="46">
      <c r="A46" s="175" t="s">
        <v>1779</v>
      </c>
      <c r="B46" s="175">
        <v>6706.0</v>
      </c>
      <c r="C46" s="245">
        <v>6.0</v>
      </c>
      <c r="M46" s="353" t="s">
        <v>1779</v>
      </c>
      <c r="N46" s="353">
        <v>6706.0</v>
      </c>
      <c r="P46" s="18">
        <v>1.0</v>
      </c>
    </row>
    <row r="47">
      <c r="A47" s="170" t="s">
        <v>1780</v>
      </c>
      <c r="B47" s="170">
        <v>7036.0</v>
      </c>
      <c r="C47" s="245" t="e">
        <v>#N/A</v>
      </c>
      <c r="M47" s="558" t="s">
        <v>1780</v>
      </c>
      <c r="N47" s="558">
        <v>7036.0</v>
      </c>
      <c r="O47" s="36"/>
      <c r="P47" s="36" t="e">
        <v>#N/A</v>
      </c>
    </row>
    <row r="48">
      <c r="A48" s="170" t="s">
        <v>1781</v>
      </c>
      <c r="B48" s="170">
        <v>7036.0</v>
      </c>
      <c r="C48" s="245" t="e">
        <v>#N/A</v>
      </c>
      <c r="M48" s="558" t="s">
        <v>1781</v>
      </c>
      <c r="N48" s="558">
        <v>7036.0</v>
      </c>
      <c r="O48" s="36"/>
      <c r="P48" s="36" t="e">
        <v>#N/A</v>
      </c>
    </row>
    <row r="49">
      <c r="A49" s="170" t="s">
        <v>1782</v>
      </c>
      <c r="B49" s="170">
        <v>7036.0</v>
      </c>
      <c r="C49" s="245" t="e">
        <v>#N/A</v>
      </c>
      <c r="M49" s="558" t="s">
        <v>1782</v>
      </c>
      <c r="N49" s="558">
        <v>7036.0</v>
      </c>
      <c r="O49" s="36"/>
      <c r="P49" s="36" t="e">
        <v>#N/A</v>
      </c>
    </row>
    <row r="50">
      <c r="A50" s="170" t="s">
        <v>1784</v>
      </c>
      <c r="B50" s="170">
        <v>7036.0</v>
      </c>
      <c r="C50" s="245" t="e">
        <v>#N/A</v>
      </c>
      <c r="M50" s="558" t="s">
        <v>1784</v>
      </c>
      <c r="N50" s="558">
        <v>7036.0</v>
      </c>
      <c r="O50" s="36"/>
      <c r="P50" s="36" t="e">
        <v>#N/A</v>
      </c>
    </row>
    <row r="51">
      <c r="A51" s="170" t="s">
        <v>1785</v>
      </c>
      <c r="B51" s="170">
        <v>7036.0</v>
      </c>
      <c r="C51" s="245" t="e">
        <v>#N/A</v>
      </c>
      <c r="M51" s="558" t="s">
        <v>1785</v>
      </c>
      <c r="N51" s="558">
        <v>7036.0</v>
      </c>
      <c r="O51" s="36"/>
      <c r="P51" s="36" t="e">
        <v>#N/A</v>
      </c>
    </row>
    <row r="52">
      <c r="A52" s="170" t="s">
        <v>1790</v>
      </c>
      <c r="B52" s="170">
        <v>6718.0</v>
      </c>
      <c r="C52" s="245" t="e">
        <v>#N/A</v>
      </c>
      <c r="M52" s="558" t="s">
        <v>1790</v>
      </c>
      <c r="N52" s="558">
        <v>6718.0</v>
      </c>
      <c r="O52" s="36"/>
      <c r="P52" s="36" t="e">
        <v>#N/A</v>
      </c>
    </row>
    <row r="53">
      <c r="A53" s="170" t="s">
        <v>1791</v>
      </c>
      <c r="B53" s="170">
        <v>7157.0</v>
      </c>
      <c r="C53" s="245" t="e">
        <v>#N/A</v>
      </c>
      <c r="M53" s="558" t="s">
        <v>1791</v>
      </c>
      <c r="N53" s="558">
        <v>7157.0</v>
      </c>
      <c r="O53" s="36"/>
      <c r="P53" s="36" t="e">
        <v>#N/A</v>
      </c>
    </row>
    <row r="54">
      <c r="A54" s="170" t="s">
        <v>1792</v>
      </c>
      <c r="B54" s="170">
        <v>7134.0</v>
      </c>
      <c r="C54" s="245" t="e">
        <v>#N/A</v>
      </c>
      <c r="M54" s="558" t="s">
        <v>1792</v>
      </c>
      <c r="N54" s="558">
        <v>7134.0</v>
      </c>
      <c r="O54" s="36"/>
      <c r="P54" s="36" t="e">
        <v>#N/A</v>
      </c>
    </row>
    <row r="55">
      <c r="A55" s="170" t="s">
        <v>1811</v>
      </c>
      <c r="B55" s="170">
        <v>6829.0</v>
      </c>
      <c r="C55" s="245" t="e">
        <v>#N/A</v>
      </c>
      <c r="M55" s="558" t="s">
        <v>1811</v>
      </c>
      <c r="N55" s="558">
        <v>6829.0</v>
      </c>
      <c r="O55" s="36"/>
      <c r="P55" s="36" t="e">
        <v>#N/A</v>
      </c>
    </row>
    <row r="56">
      <c r="A56" s="170" t="s">
        <v>1793</v>
      </c>
      <c r="B56" s="170">
        <v>7416.0</v>
      </c>
      <c r="C56" s="245" t="e">
        <v>#N/A</v>
      </c>
      <c r="M56" s="558" t="s">
        <v>1793</v>
      </c>
      <c r="N56" s="558">
        <v>7416.0</v>
      </c>
      <c r="O56" s="36"/>
      <c r="P56" s="36" t="e">
        <v>#N/A</v>
      </c>
    </row>
    <row r="57">
      <c r="A57" s="170" t="s">
        <v>1794</v>
      </c>
      <c r="B57" s="170">
        <v>7876.0</v>
      </c>
      <c r="C57" s="245" t="e">
        <v>#N/A</v>
      </c>
      <c r="M57" s="558" t="s">
        <v>1794</v>
      </c>
      <c r="N57" s="558">
        <v>7876.0</v>
      </c>
      <c r="O57" s="36"/>
      <c r="P57" s="36" t="e">
        <v>#N/A</v>
      </c>
    </row>
    <row r="58">
      <c r="A58" s="175" t="s">
        <v>1795</v>
      </c>
      <c r="B58" s="175">
        <v>7847.0</v>
      </c>
      <c r="C58" s="245">
        <v>1.0</v>
      </c>
      <c r="M58" s="353" t="s">
        <v>1795</v>
      </c>
      <c r="N58" s="353">
        <v>7847.0</v>
      </c>
      <c r="P58" s="18">
        <v>1.0</v>
      </c>
    </row>
    <row r="59">
      <c r="A59" s="170" t="s">
        <v>1797</v>
      </c>
      <c r="B59" s="170">
        <v>6893.0</v>
      </c>
      <c r="C59" s="245" t="e">
        <v>#N/A</v>
      </c>
      <c r="M59" s="558" t="s">
        <v>1797</v>
      </c>
      <c r="N59" s="558">
        <v>6893.0</v>
      </c>
      <c r="O59" s="36"/>
      <c r="P59" s="36" t="e">
        <v>#N/A</v>
      </c>
    </row>
    <row r="60">
      <c r="A60" s="170" t="s">
        <v>1799</v>
      </c>
      <c r="B60" s="170">
        <v>7415.0</v>
      </c>
      <c r="C60" s="245" t="e">
        <v>#N/A</v>
      </c>
      <c r="M60" s="558" t="s">
        <v>1799</v>
      </c>
      <c r="N60" s="558">
        <v>7415.0</v>
      </c>
      <c r="O60" s="36"/>
      <c r="P60" s="36" t="e">
        <v>#N/A</v>
      </c>
    </row>
    <row r="61">
      <c r="A61" s="170" t="s">
        <v>1801</v>
      </c>
      <c r="B61" s="170">
        <v>6669.0</v>
      </c>
      <c r="C61" s="245" t="e">
        <v>#N/A</v>
      </c>
      <c r="M61" s="558" t="s">
        <v>1801</v>
      </c>
      <c r="N61" s="558">
        <v>6669.0</v>
      </c>
      <c r="O61" s="36"/>
      <c r="P61" s="36" t="e">
        <v>#N/A</v>
      </c>
    </row>
    <row r="62">
      <c r="A62" s="170" t="s">
        <v>1802</v>
      </c>
      <c r="B62" s="170">
        <v>6669.0</v>
      </c>
      <c r="C62" s="245" t="e">
        <v>#N/A</v>
      </c>
      <c r="M62" s="558" t="s">
        <v>1802</v>
      </c>
      <c r="N62" s="558">
        <v>6669.0</v>
      </c>
      <c r="O62" s="36"/>
      <c r="P62" s="36" t="e">
        <v>#N/A</v>
      </c>
    </row>
    <row r="63">
      <c r="A63" s="170" t="s">
        <v>1804</v>
      </c>
      <c r="B63" s="170">
        <v>6669.0</v>
      </c>
      <c r="C63" s="245" t="e">
        <v>#N/A</v>
      </c>
      <c r="M63" s="558" t="s">
        <v>1804</v>
      </c>
      <c r="N63" s="558">
        <v>6669.0</v>
      </c>
      <c r="O63" s="36"/>
      <c r="P63" s="36" t="e">
        <v>#N/A</v>
      </c>
    </row>
    <row r="64">
      <c r="A64" s="170" t="s">
        <v>1806</v>
      </c>
      <c r="B64" s="170">
        <v>489.0</v>
      </c>
      <c r="C64" s="245" t="e">
        <v>#N/A</v>
      </c>
      <c r="M64" s="558" t="s">
        <v>1806</v>
      </c>
      <c r="N64" s="558">
        <v>489.0</v>
      </c>
      <c r="O64" s="36"/>
      <c r="P64" s="36" t="e">
        <v>#N/A</v>
      </c>
    </row>
    <row r="65">
      <c r="A65" s="170" t="s">
        <v>1807</v>
      </c>
      <c r="B65" s="170">
        <v>7183.0</v>
      </c>
      <c r="C65" s="245" t="e">
        <v>#N/A</v>
      </c>
      <c r="M65" s="558" t="s">
        <v>1807</v>
      </c>
      <c r="N65" s="558">
        <v>7183.0</v>
      </c>
      <c r="O65" s="36"/>
      <c r="P65" s="36" t="e">
        <v>#N/A</v>
      </c>
    </row>
    <row r="66">
      <c r="A66" s="170" t="s">
        <v>4621</v>
      </c>
      <c r="B66" s="170">
        <v>7186.0</v>
      </c>
      <c r="C66" s="245" t="e">
        <v>#N/A</v>
      </c>
      <c r="M66" s="558" t="s">
        <v>4621</v>
      </c>
      <c r="N66" s="558">
        <v>7186.0</v>
      </c>
      <c r="O66" s="36"/>
      <c r="P66" s="36" t="e">
        <v>#N/A</v>
      </c>
    </row>
    <row r="67">
      <c r="A67" s="170" t="s">
        <v>4622</v>
      </c>
      <c r="B67" s="170">
        <v>6671.0</v>
      </c>
      <c r="C67" s="245" t="e">
        <v>#N/A</v>
      </c>
      <c r="M67" s="558" t="s">
        <v>4622</v>
      </c>
      <c r="N67" s="558">
        <v>6671.0</v>
      </c>
      <c r="O67" s="35"/>
      <c r="P67" s="36" t="e">
        <v>#N/A</v>
      </c>
    </row>
    <row r="68">
      <c r="A68" s="170" t="s">
        <v>4623</v>
      </c>
      <c r="B68" s="170">
        <v>9742.0</v>
      </c>
      <c r="C68" s="245" t="e">
        <v>#N/A</v>
      </c>
      <c r="M68" s="558" t="s">
        <v>4623</v>
      </c>
      <c r="N68" s="558">
        <v>9742.0</v>
      </c>
      <c r="O68" s="36"/>
      <c r="P68" s="36" t="e">
        <v>#N/A</v>
      </c>
    </row>
    <row r="69">
      <c r="A69" s="170" t="s">
        <v>4624</v>
      </c>
      <c r="B69" s="170">
        <v>9742.0</v>
      </c>
      <c r="C69" s="245" t="e">
        <v>#N/A</v>
      </c>
      <c r="M69" s="558" t="s">
        <v>4624</v>
      </c>
      <c r="N69" s="558">
        <v>9742.0</v>
      </c>
      <c r="O69" s="36"/>
      <c r="P69" s="36" t="e">
        <v>#N/A</v>
      </c>
    </row>
    <row r="70">
      <c r="A70" s="170" t="s">
        <v>4625</v>
      </c>
      <c r="B70" s="170">
        <v>6936.0</v>
      </c>
      <c r="C70" s="245" t="e">
        <v>#N/A</v>
      </c>
      <c r="M70" s="558" t="s">
        <v>4625</v>
      </c>
      <c r="N70" s="558">
        <v>6936.0</v>
      </c>
      <c r="O70" s="36"/>
      <c r="P70" s="36" t="e">
        <v>#N/A</v>
      </c>
    </row>
    <row r="71">
      <c r="A71" s="170" t="s">
        <v>15335</v>
      </c>
      <c r="B71" s="170">
        <v>11104.0</v>
      </c>
      <c r="C71" s="245" t="e">
        <v>#N/A</v>
      </c>
      <c r="M71" s="558" t="s">
        <v>15335</v>
      </c>
      <c r="N71" s="558">
        <v>11104.0</v>
      </c>
      <c r="O71" s="36"/>
      <c r="P71" s="36" t="e">
        <v>#N/A</v>
      </c>
    </row>
    <row r="72">
      <c r="A72" s="170" t="s">
        <v>15336</v>
      </c>
      <c r="B72" s="170">
        <v>930.0</v>
      </c>
      <c r="C72" s="245" t="e">
        <v>#N/A</v>
      </c>
      <c r="M72" s="558" t="s">
        <v>15336</v>
      </c>
      <c r="N72" s="558">
        <v>930.0</v>
      </c>
      <c r="O72" s="36"/>
      <c r="P72" s="36" t="e">
        <v>#N/A</v>
      </c>
    </row>
    <row r="73">
      <c r="A73" s="170" t="s">
        <v>15337</v>
      </c>
      <c r="B73" s="170">
        <v>10141.0</v>
      </c>
      <c r="C73" s="245" t="e">
        <v>#N/A</v>
      </c>
      <c r="M73" s="558" t="s">
        <v>15337</v>
      </c>
      <c r="N73" s="558">
        <v>10141.0</v>
      </c>
      <c r="O73" s="36"/>
      <c r="P73" s="36" t="e">
        <v>#N/A</v>
      </c>
    </row>
    <row r="74">
      <c r="A74" s="170" t="s">
        <v>15338</v>
      </c>
      <c r="B74" s="170">
        <v>13829.0</v>
      </c>
      <c r="C74" s="245" t="e">
        <v>#N/A</v>
      </c>
      <c r="M74" s="558" t="s">
        <v>15338</v>
      </c>
      <c r="N74" s="35">
        <v>13829.0</v>
      </c>
      <c r="O74" s="36"/>
      <c r="P74" s="36" t="e">
        <v>#N/A</v>
      </c>
    </row>
    <row r="75">
      <c r="A75" s="170" t="s">
        <v>15339</v>
      </c>
      <c r="B75" s="170">
        <v>14482.0</v>
      </c>
      <c r="C75" s="245" t="e">
        <v>#N/A</v>
      </c>
      <c r="M75" s="558" t="s">
        <v>15339</v>
      </c>
      <c r="N75" s="558">
        <v>4193.0</v>
      </c>
      <c r="O75" s="36"/>
      <c r="P75" s="36" t="e">
        <v>#N/A</v>
      </c>
    </row>
    <row r="76">
      <c r="A76" s="170" t="s">
        <v>15340</v>
      </c>
      <c r="B76" s="170">
        <v>9746.0</v>
      </c>
      <c r="C76" s="245" t="e">
        <v>#N/A</v>
      </c>
      <c r="M76" s="558" t="s">
        <v>15340</v>
      </c>
      <c r="N76" s="558">
        <v>9746.0</v>
      </c>
      <c r="O76" s="36"/>
      <c r="P76" s="36" t="e">
        <v>#N/A</v>
      </c>
    </row>
    <row r="77">
      <c r="A77" s="170" t="s">
        <v>15341</v>
      </c>
      <c r="B77" s="170">
        <v>6802.0</v>
      </c>
      <c r="C77" s="245" t="e">
        <v>#N/A</v>
      </c>
      <c r="M77" s="558" t="s">
        <v>15341</v>
      </c>
      <c r="N77" s="558">
        <v>6802.0</v>
      </c>
      <c r="O77" s="36"/>
      <c r="P77" s="36" t="e">
        <v>#N/A</v>
      </c>
    </row>
    <row r="78">
      <c r="A78" s="170" t="s">
        <v>15342</v>
      </c>
      <c r="B78" s="170">
        <v>6875.0</v>
      </c>
      <c r="C78" s="245" t="e">
        <v>#N/A</v>
      </c>
      <c r="M78" s="558" t="s">
        <v>15342</v>
      </c>
      <c r="N78" s="558">
        <v>6875.0</v>
      </c>
      <c r="O78" s="36"/>
      <c r="P78" s="36" t="e">
        <v>#N/A</v>
      </c>
    </row>
    <row r="79">
      <c r="A79" s="170" t="s">
        <v>15343</v>
      </c>
      <c r="B79" s="170">
        <v>13952.0</v>
      </c>
      <c r="C79" s="245" t="e">
        <v>#N/A</v>
      </c>
      <c r="M79" s="558" t="s">
        <v>15343</v>
      </c>
      <c r="N79" s="558">
        <v>13952.0</v>
      </c>
      <c r="O79" s="36"/>
      <c r="P79" s="36" t="e">
        <v>#N/A</v>
      </c>
    </row>
    <row r="80">
      <c r="A80" s="170" t="s">
        <v>15344</v>
      </c>
      <c r="B80" s="170">
        <v>7083.0</v>
      </c>
      <c r="C80" s="245" t="e">
        <v>#N/A</v>
      </c>
      <c r="M80" s="558" t="s">
        <v>15344</v>
      </c>
      <c r="N80" s="558">
        <v>7083.0</v>
      </c>
      <c r="O80" s="36"/>
      <c r="P80" s="36" t="e">
        <v>#N/A</v>
      </c>
    </row>
    <row r="81">
      <c r="A81" s="170" t="s">
        <v>15345</v>
      </c>
      <c r="B81" s="170">
        <v>7415.0</v>
      </c>
      <c r="C81" s="245" t="e">
        <v>#N/A</v>
      </c>
      <c r="M81" s="558" t="s">
        <v>15345</v>
      </c>
      <c r="N81" s="558">
        <v>7415.0</v>
      </c>
      <c r="O81" s="36"/>
      <c r="P81" s="36" t="e">
        <v>#N/A</v>
      </c>
    </row>
    <row r="82">
      <c r="A82" s="170" t="s">
        <v>15346</v>
      </c>
      <c r="B82" s="170">
        <v>8524.0</v>
      </c>
      <c r="C82" s="245" t="e">
        <v>#N/A</v>
      </c>
      <c r="M82" s="558" t="s">
        <v>15346</v>
      </c>
      <c r="N82" s="558">
        <v>8524.0</v>
      </c>
      <c r="O82" s="36"/>
      <c r="P82" s="36" t="e">
        <v>#N/A</v>
      </c>
    </row>
    <row r="83">
      <c r="A83" s="170" t="s">
        <v>15347</v>
      </c>
      <c r="B83" s="170">
        <v>14055.0</v>
      </c>
      <c r="C83" s="245" t="e">
        <v>#N/A</v>
      </c>
      <c r="M83" s="558" t="s">
        <v>15347</v>
      </c>
      <c r="N83" s="109">
        <v>14055.0</v>
      </c>
      <c r="O83" s="36"/>
      <c r="P83" s="36" t="e">
        <v>#N/A</v>
      </c>
    </row>
    <row r="84">
      <c r="A84" s="170" t="s">
        <v>15348</v>
      </c>
      <c r="B84" s="489">
        <v>12553.0</v>
      </c>
      <c r="C84" s="245" t="e">
        <v>#N/A</v>
      </c>
      <c r="M84" s="558" t="s">
        <v>15348</v>
      </c>
      <c r="N84" s="43">
        <v>12553.0</v>
      </c>
      <c r="O84" s="36"/>
      <c r="P84" s="36" t="e">
        <v>#N/A</v>
      </c>
    </row>
    <row r="85">
      <c r="A85" s="170" t="s">
        <v>15349</v>
      </c>
      <c r="B85" s="170">
        <v>7023.0</v>
      </c>
      <c r="C85" s="245" t="e">
        <v>#N/A</v>
      </c>
      <c r="M85" s="558" t="s">
        <v>15349</v>
      </c>
      <c r="N85" s="558">
        <v>7023.0</v>
      </c>
      <c r="O85" s="36"/>
      <c r="P85" s="36" t="e">
        <v>#N/A</v>
      </c>
    </row>
    <row r="86">
      <c r="A86" s="170" t="s">
        <v>15350</v>
      </c>
      <c r="B86" s="170">
        <v>14337.0</v>
      </c>
      <c r="C86" s="245" t="e">
        <v>#N/A</v>
      </c>
      <c r="M86" s="558" t="s">
        <v>15350</v>
      </c>
      <c r="N86" s="35">
        <v>14337.0</v>
      </c>
      <c r="O86" s="36"/>
      <c r="P86" s="36" t="e">
        <v>#N/A</v>
      </c>
    </row>
    <row r="87">
      <c r="A87" s="170" t="s">
        <v>5067</v>
      </c>
      <c r="B87" s="170">
        <v>12388.0</v>
      </c>
      <c r="C87" s="245" t="e">
        <v>#N/A</v>
      </c>
      <c r="M87" s="558" t="s">
        <v>5067</v>
      </c>
      <c r="N87" s="35">
        <v>12388.0</v>
      </c>
      <c r="O87" s="36"/>
      <c r="P87" s="36" t="e">
        <v>#N/A</v>
      </c>
    </row>
    <row r="88">
      <c r="A88" s="170" t="s">
        <v>15351</v>
      </c>
      <c r="B88" s="170">
        <v>6729.0</v>
      </c>
      <c r="C88" s="245" t="e">
        <v>#N/A</v>
      </c>
      <c r="M88" s="558" t="s">
        <v>15351</v>
      </c>
      <c r="N88" s="35">
        <v>6729.0</v>
      </c>
      <c r="O88" s="36"/>
      <c r="P88" s="36" t="e">
        <v>#N/A</v>
      </c>
    </row>
    <row r="89">
      <c r="A89" s="170" t="s">
        <v>15352</v>
      </c>
      <c r="B89" s="170">
        <v>6780.0</v>
      </c>
      <c r="C89" s="245" t="e">
        <v>#N/A</v>
      </c>
      <c r="M89" s="558" t="s">
        <v>15352</v>
      </c>
      <c r="N89" s="35">
        <v>6780.0</v>
      </c>
      <c r="O89" s="36"/>
      <c r="P89" s="36" t="e">
        <v>#N/A</v>
      </c>
    </row>
    <row r="90">
      <c r="A90" s="175" t="s">
        <v>15353</v>
      </c>
      <c r="B90" s="11">
        <v>14480.0</v>
      </c>
      <c r="C90" s="245" t="e">
        <v>#N/A</v>
      </c>
      <c r="M90" s="558" t="s">
        <v>15353</v>
      </c>
      <c r="N90" s="36"/>
      <c r="O90" s="36"/>
      <c r="P90" s="36" t="e">
        <v>#N/A</v>
      </c>
    </row>
    <row r="91">
      <c r="A91" s="175" t="s">
        <v>15354</v>
      </c>
      <c r="B91" s="231"/>
      <c r="C91" s="245" t="e">
        <v>#N/A</v>
      </c>
      <c r="M91" s="558" t="s">
        <v>15354</v>
      </c>
      <c r="N91" s="36"/>
      <c r="O91" s="36"/>
      <c r="P91" s="36" t="e">
        <v>#N/A</v>
      </c>
    </row>
    <row r="92">
      <c r="A92" s="175" t="s">
        <v>15355</v>
      </c>
      <c r="B92" s="175">
        <v>6779.0</v>
      </c>
      <c r="C92" s="245" t="e">
        <v>#N/A</v>
      </c>
      <c r="M92" s="558" t="s">
        <v>15355</v>
      </c>
      <c r="N92" s="36"/>
      <c r="O92" s="36"/>
      <c r="P92" s="36" t="e">
        <v>#N/A</v>
      </c>
    </row>
    <row r="93">
      <c r="A93" s="170" t="s">
        <v>15356</v>
      </c>
      <c r="B93" s="170">
        <v>13858.0</v>
      </c>
      <c r="C93" s="245" t="e">
        <v>#N/A</v>
      </c>
      <c r="M93" s="558" t="s">
        <v>15356</v>
      </c>
      <c r="N93" s="35">
        <v>13858.0</v>
      </c>
      <c r="O93" s="36"/>
      <c r="P93" s="36" t="e">
        <v>#N/A</v>
      </c>
    </row>
    <row r="94">
      <c r="A94" s="175" t="s">
        <v>15357</v>
      </c>
      <c r="B94" s="175">
        <v>14563.0</v>
      </c>
      <c r="C94" s="245" t="e">
        <v>#N/A</v>
      </c>
      <c r="M94" s="558" t="s">
        <v>15357</v>
      </c>
      <c r="N94" s="36"/>
      <c r="O94" s="36"/>
      <c r="P94" s="36" t="e">
        <v>#N/A</v>
      </c>
    </row>
    <row r="95">
      <c r="A95" s="175" t="s">
        <v>15358</v>
      </c>
      <c r="B95" s="231"/>
      <c r="C95" s="245" t="e">
        <v>#N/A</v>
      </c>
      <c r="M95" s="558" t="s">
        <v>15358</v>
      </c>
      <c r="N95" s="36"/>
      <c r="O95" s="36"/>
      <c r="P95" s="36" t="e">
        <v>#N/A</v>
      </c>
    </row>
    <row r="96">
      <c r="A96" s="175" t="s">
        <v>15359</v>
      </c>
      <c r="B96" s="175">
        <v>7747.0</v>
      </c>
      <c r="C96" s="245" t="e">
        <v>#N/A</v>
      </c>
      <c r="M96" s="558" t="s">
        <v>15359</v>
      </c>
      <c r="N96" s="36"/>
      <c r="O96" s="36"/>
      <c r="P96" s="36" t="e">
        <v>#N/A</v>
      </c>
    </row>
    <row r="97">
      <c r="A97" s="175" t="s">
        <v>15360</v>
      </c>
      <c r="B97" s="175">
        <v>12932.0</v>
      </c>
      <c r="C97" s="245" t="e">
        <v>#N/A</v>
      </c>
      <c r="M97" s="558" t="s">
        <v>15360</v>
      </c>
      <c r="N97" s="36"/>
      <c r="O97" s="36"/>
      <c r="P97" s="36" t="e">
        <v>#N/A</v>
      </c>
    </row>
    <row r="98">
      <c r="A98" s="170" t="s">
        <v>15361</v>
      </c>
      <c r="B98" s="170">
        <v>9742.0</v>
      </c>
      <c r="C98" s="245" t="e">
        <v>#N/A</v>
      </c>
      <c r="M98" s="558" t="s">
        <v>15361</v>
      </c>
      <c r="N98" s="35">
        <v>9742.0</v>
      </c>
      <c r="O98" s="36"/>
      <c r="P98" s="36" t="e">
        <v>#N/A</v>
      </c>
    </row>
    <row r="99">
      <c r="A99" s="175" t="s">
        <v>15362</v>
      </c>
      <c r="B99" s="175">
        <v>14516.0</v>
      </c>
      <c r="C99" s="245" t="e">
        <v>#N/A</v>
      </c>
      <c r="M99" s="558" t="s">
        <v>15362</v>
      </c>
      <c r="N99" s="36"/>
      <c r="O99" s="36"/>
      <c r="P99" s="36" t="e">
        <v>#N/A</v>
      </c>
    </row>
    <row r="100">
      <c r="A100" s="175" t="s">
        <v>15363</v>
      </c>
      <c r="B100" s="175">
        <v>6722.0</v>
      </c>
      <c r="C100" s="245" t="e">
        <v>#N/A</v>
      </c>
      <c r="M100" s="558" t="s">
        <v>15363</v>
      </c>
      <c r="N100" s="36"/>
      <c r="O100" s="36"/>
      <c r="P100" s="36" t="e">
        <v>#N/A</v>
      </c>
    </row>
    <row r="101">
      <c r="A101" s="175" t="s">
        <v>15364</v>
      </c>
      <c r="B101" s="231"/>
      <c r="C101" s="245" t="e">
        <v>#N/A</v>
      </c>
      <c r="M101" s="558" t="s">
        <v>15364</v>
      </c>
      <c r="N101" s="36"/>
      <c r="O101" s="36"/>
      <c r="P101" s="36" t="e">
        <v>#N/A</v>
      </c>
    </row>
    <row r="102">
      <c r="A102" s="170" t="s">
        <v>15365</v>
      </c>
      <c r="B102" s="170">
        <v>13951.0</v>
      </c>
      <c r="C102" s="245" t="e">
        <v>#N/A</v>
      </c>
      <c r="M102" s="558" t="s">
        <v>15365</v>
      </c>
      <c r="N102" s="35">
        <v>13951.0</v>
      </c>
      <c r="O102" s="36"/>
      <c r="P102" s="36" t="e">
        <v>#N/A</v>
      </c>
    </row>
    <row r="103">
      <c r="A103" s="170" t="s">
        <v>15366</v>
      </c>
      <c r="B103" s="170">
        <v>12609.0</v>
      </c>
      <c r="C103" s="245" t="e">
        <v>#N/A</v>
      </c>
      <c r="M103" s="558" t="s">
        <v>15366</v>
      </c>
      <c r="N103" s="35">
        <v>12609.0</v>
      </c>
      <c r="O103" s="36"/>
      <c r="P103" s="36" t="e">
        <v>#N/A</v>
      </c>
    </row>
    <row r="104">
      <c r="A104" s="175" t="s">
        <v>15367</v>
      </c>
      <c r="B104" s="231"/>
      <c r="C104" s="245" t="e">
        <v>#N/A</v>
      </c>
      <c r="M104" s="558" t="s">
        <v>15367</v>
      </c>
      <c r="N104" s="36"/>
      <c r="O104" s="36"/>
      <c r="P104" s="36" t="e">
        <v>#N/A</v>
      </c>
    </row>
    <row r="105">
      <c r="A105" s="170" t="s">
        <v>15368</v>
      </c>
      <c r="B105" s="170">
        <v>14004.0</v>
      </c>
      <c r="C105" s="245" t="e">
        <v>#N/A</v>
      </c>
      <c r="M105" s="558" t="s">
        <v>15368</v>
      </c>
      <c r="N105" s="35">
        <v>14004.0</v>
      </c>
      <c r="O105" s="36"/>
      <c r="P105" s="36" t="e">
        <v>#N/A</v>
      </c>
    </row>
    <row r="106">
      <c r="A106" s="175" t="s">
        <v>15369</v>
      </c>
      <c r="B106" s="175">
        <v>11049.0</v>
      </c>
      <c r="C106" s="245" t="e">
        <v>#N/A</v>
      </c>
      <c r="M106" s="558" t="s">
        <v>15369</v>
      </c>
      <c r="N106" s="36"/>
      <c r="O106" s="36"/>
      <c r="P106" s="36" t="e">
        <v>#N/A</v>
      </c>
    </row>
    <row r="107">
      <c r="A107" s="175" t="s">
        <v>15370</v>
      </c>
      <c r="B107" s="175">
        <v>11049.0</v>
      </c>
      <c r="C107" s="245" t="e">
        <v>#N/A</v>
      </c>
      <c r="M107" s="558" t="s">
        <v>15370</v>
      </c>
      <c r="N107" s="36"/>
      <c r="O107" s="36"/>
      <c r="P107" s="36" t="e">
        <v>#N/A</v>
      </c>
    </row>
    <row r="108">
      <c r="A108" s="175" t="s">
        <v>15371</v>
      </c>
      <c r="B108" s="175">
        <v>11049.0</v>
      </c>
      <c r="C108" s="245" t="e">
        <v>#N/A</v>
      </c>
      <c r="M108" s="558" t="s">
        <v>15371</v>
      </c>
      <c r="N108" s="36"/>
      <c r="O108" s="36"/>
      <c r="P108" s="36" t="e">
        <v>#N/A</v>
      </c>
    </row>
    <row r="109">
      <c r="A109" s="175" t="s">
        <v>15372</v>
      </c>
      <c r="B109" s="175">
        <v>11049.0</v>
      </c>
      <c r="C109" s="245" t="e">
        <v>#N/A</v>
      </c>
      <c r="M109" s="558" t="s">
        <v>15372</v>
      </c>
      <c r="N109" s="36"/>
      <c r="O109" s="36"/>
      <c r="P109" s="36" t="e">
        <v>#N/A</v>
      </c>
    </row>
    <row r="110">
      <c r="A110" s="175" t="s">
        <v>15373</v>
      </c>
      <c r="B110" s="175">
        <v>11049.0</v>
      </c>
      <c r="C110" s="245" t="e">
        <v>#N/A</v>
      </c>
      <c r="M110" s="558" t="s">
        <v>15373</v>
      </c>
      <c r="N110" s="36"/>
      <c r="O110" s="36"/>
      <c r="P110" s="36" t="e">
        <v>#N/A</v>
      </c>
    </row>
    <row r="111">
      <c r="A111" s="175" t="s">
        <v>15374</v>
      </c>
      <c r="B111" s="175">
        <v>11049.0</v>
      </c>
      <c r="C111" s="245" t="e">
        <v>#N/A</v>
      </c>
      <c r="M111" s="558" t="s">
        <v>15374</v>
      </c>
      <c r="N111" s="36"/>
      <c r="O111" s="36"/>
      <c r="P111" s="36" t="e">
        <v>#N/A</v>
      </c>
    </row>
    <row r="112">
      <c r="A112" s="175" t="s">
        <v>15375</v>
      </c>
      <c r="B112" s="175">
        <v>11049.0</v>
      </c>
      <c r="C112" s="245" t="e">
        <v>#N/A</v>
      </c>
      <c r="M112" s="558" t="s">
        <v>15375</v>
      </c>
      <c r="N112" s="36"/>
      <c r="O112" s="36"/>
      <c r="P112" s="36" t="e">
        <v>#N/A</v>
      </c>
    </row>
    <row r="113">
      <c r="A113" s="175" t="s">
        <v>15376</v>
      </c>
      <c r="B113" s="175">
        <v>11049.0</v>
      </c>
      <c r="C113" s="245" t="e">
        <v>#N/A</v>
      </c>
      <c r="M113" s="558" t="s">
        <v>15376</v>
      </c>
      <c r="N113" s="36"/>
      <c r="O113" s="36"/>
      <c r="P113" s="36" t="e">
        <v>#N/A</v>
      </c>
    </row>
    <row r="114">
      <c r="A114" s="175" t="s">
        <v>15377</v>
      </c>
      <c r="B114" s="175">
        <v>11049.0</v>
      </c>
      <c r="C114" s="245" t="e">
        <v>#N/A</v>
      </c>
      <c r="M114" s="558" t="s">
        <v>15377</v>
      </c>
      <c r="N114" s="36"/>
      <c r="O114" s="36"/>
      <c r="P114" s="36" t="e">
        <v>#N/A</v>
      </c>
    </row>
    <row r="115">
      <c r="A115" s="175" t="s">
        <v>15378</v>
      </c>
      <c r="B115" s="175">
        <v>11049.0</v>
      </c>
      <c r="C115" s="245" t="e">
        <v>#N/A</v>
      </c>
      <c r="M115" s="558" t="s">
        <v>15378</v>
      </c>
      <c r="N115" s="36"/>
      <c r="O115" s="36"/>
      <c r="P115" s="36" t="e">
        <v>#N/A</v>
      </c>
    </row>
    <row r="116">
      <c r="A116" s="170" t="s">
        <v>15379</v>
      </c>
      <c r="B116" s="170">
        <v>10616.0</v>
      </c>
      <c r="C116" s="245" t="e">
        <v>#N/A</v>
      </c>
      <c r="M116" s="558" t="s">
        <v>15379</v>
      </c>
      <c r="N116" s="35">
        <v>10616.0</v>
      </c>
      <c r="O116" s="36"/>
      <c r="P116" s="36" t="e">
        <v>#N/A</v>
      </c>
    </row>
    <row r="117">
      <c r="A117" s="175" t="s">
        <v>15380</v>
      </c>
      <c r="B117" s="231"/>
      <c r="C117" s="245" t="e">
        <v>#N/A</v>
      </c>
      <c r="M117" s="558" t="s">
        <v>15380</v>
      </c>
      <c r="N117" s="36"/>
      <c r="O117" s="36"/>
      <c r="P117" s="36" t="e">
        <v>#N/A</v>
      </c>
    </row>
    <row r="118">
      <c r="A118" s="175" t="s">
        <v>15381</v>
      </c>
      <c r="B118" s="231"/>
      <c r="C118" s="245" t="e">
        <v>#N/A</v>
      </c>
      <c r="M118" s="558" t="s">
        <v>15381</v>
      </c>
      <c r="N118" s="36"/>
      <c r="O118" s="36"/>
      <c r="P118" s="36" t="e">
        <v>#N/A</v>
      </c>
    </row>
    <row r="119">
      <c r="A119" s="170" t="s">
        <v>15382</v>
      </c>
      <c r="B119" s="170">
        <v>11708.0</v>
      </c>
      <c r="C119" s="245" t="e">
        <v>#N/A</v>
      </c>
      <c r="M119" s="558" t="s">
        <v>15382</v>
      </c>
      <c r="N119" s="35">
        <v>11708.0</v>
      </c>
      <c r="O119" s="36"/>
      <c r="P119" s="36" t="e">
        <v>#N/A</v>
      </c>
    </row>
    <row r="120">
      <c r="A120" s="175" t="s">
        <v>15383</v>
      </c>
      <c r="B120" s="231"/>
      <c r="C120" s="245" t="e">
        <v>#N/A</v>
      </c>
      <c r="M120" s="558" t="s">
        <v>15383</v>
      </c>
      <c r="N120" s="36"/>
      <c r="O120" s="36"/>
      <c r="P120" s="36" t="e">
        <v>#N/A</v>
      </c>
    </row>
    <row r="121">
      <c r="A121" s="170" t="s">
        <v>15384</v>
      </c>
      <c r="B121" s="170">
        <v>14065.0</v>
      </c>
      <c r="C121" s="245" t="e">
        <v>#N/A</v>
      </c>
      <c r="M121" s="558" t="s">
        <v>15384</v>
      </c>
      <c r="N121" s="35">
        <v>14065.0</v>
      </c>
      <c r="O121" s="36"/>
      <c r="P121" s="36" t="e">
        <v>#N/A</v>
      </c>
    </row>
    <row r="122">
      <c r="A122" s="170" t="s">
        <v>15385</v>
      </c>
      <c r="B122" s="170">
        <v>14005.0</v>
      </c>
      <c r="C122" s="245" t="e">
        <v>#N/A</v>
      </c>
      <c r="M122" s="558" t="s">
        <v>15385</v>
      </c>
      <c r="N122" s="35">
        <v>14005.0</v>
      </c>
      <c r="O122" s="36"/>
      <c r="P122" s="36" t="e">
        <v>#N/A</v>
      </c>
    </row>
    <row r="123">
      <c r="A123" s="175" t="s">
        <v>15386</v>
      </c>
      <c r="B123" s="231"/>
      <c r="C123" s="245" t="e">
        <v>#N/A</v>
      </c>
      <c r="M123" s="558" t="s">
        <v>15386</v>
      </c>
      <c r="N123" s="36"/>
      <c r="O123" s="36"/>
      <c r="P123" s="36" t="e">
        <v>#N/A</v>
      </c>
    </row>
    <row r="124">
      <c r="A124" s="175" t="s">
        <v>15387</v>
      </c>
      <c r="B124" s="231"/>
      <c r="C124" s="245" t="e">
        <v>#N/A</v>
      </c>
      <c r="M124" s="558" t="s">
        <v>15387</v>
      </c>
      <c r="N124" s="36"/>
      <c r="O124" s="36"/>
      <c r="P124" s="36" t="e">
        <v>#N/A</v>
      </c>
    </row>
    <row r="125">
      <c r="A125" s="170" t="s">
        <v>15388</v>
      </c>
      <c r="B125" s="170">
        <v>14065.0</v>
      </c>
      <c r="C125" s="245" t="e">
        <v>#N/A</v>
      </c>
      <c r="M125" s="558" t="s">
        <v>15388</v>
      </c>
      <c r="N125" s="35">
        <v>14065.0</v>
      </c>
      <c r="O125" s="36"/>
      <c r="P125" s="36" t="e">
        <v>#N/A</v>
      </c>
    </row>
    <row r="126">
      <c r="A126" s="170" t="s">
        <v>15389</v>
      </c>
      <c r="B126" s="170">
        <v>7142.0</v>
      </c>
      <c r="C126" s="245" t="e">
        <v>#N/A</v>
      </c>
      <c r="M126" s="558" t="s">
        <v>15389</v>
      </c>
      <c r="N126" s="35">
        <v>7142.0</v>
      </c>
      <c r="O126" s="36"/>
      <c r="P126" s="36" t="e">
        <v>#N/A</v>
      </c>
    </row>
    <row r="127">
      <c r="A127" s="7" t="s">
        <v>1798</v>
      </c>
      <c r="B127" s="216">
        <v>8096.0</v>
      </c>
      <c r="C127" s="11" t="s">
        <v>10980</v>
      </c>
    </row>
    <row r="128">
      <c r="A128" s="7" t="s">
        <v>1800</v>
      </c>
      <c r="B128" s="216">
        <v>9301.0</v>
      </c>
      <c r="C128" s="11" t="s">
        <v>10980</v>
      </c>
    </row>
    <row r="129">
      <c r="A129" s="7" t="s">
        <v>1788</v>
      </c>
      <c r="B129" s="7">
        <v>11271.0</v>
      </c>
      <c r="C129" s="11" t="s">
        <v>10980</v>
      </c>
    </row>
    <row r="130">
      <c r="A130" s="7" t="s">
        <v>1803</v>
      </c>
      <c r="B130" s="216">
        <v>13949.0</v>
      </c>
      <c r="C130" s="11" t="s">
        <v>10980</v>
      </c>
    </row>
    <row r="131">
      <c r="A131" s="7" t="s">
        <v>1805</v>
      </c>
      <c r="B131" s="216">
        <v>12277.0</v>
      </c>
      <c r="C131" s="11" t="s">
        <v>10980</v>
      </c>
    </row>
    <row r="132">
      <c r="A132" s="7" t="s">
        <v>1789</v>
      </c>
      <c r="B132" s="216">
        <v>8623.0</v>
      </c>
      <c r="C132" s="11" t="s">
        <v>10980</v>
      </c>
    </row>
    <row r="133">
      <c r="A133" s="7" t="s">
        <v>15390</v>
      </c>
      <c r="B133" s="216">
        <v>13811.0</v>
      </c>
      <c r="C133" s="11" t="s">
        <v>10980</v>
      </c>
    </row>
    <row r="134">
      <c r="A134" s="7" t="s">
        <v>15391</v>
      </c>
      <c r="B134" s="216">
        <v>9768.0</v>
      </c>
      <c r="C134" s="11" t="s">
        <v>10980</v>
      </c>
    </row>
    <row r="135">
      <c r="A135" s="7" t="s">
        <v>15392</v>
      </c>
      <c r="B135" s="216">
        <v>13988.0</v>
      </c>
      <c r="C135" s="11" t="s">
        <v>10980</v>
      </c>
    </row>
    <row r="136">
      <c r="A136" s="7" t="s">
        <v>6416</v>
      </c>
      <c r="B136" s="216">
        <v>12609.0</v>
      </c>
      <c r="C136" s="11" t="s">
        <v>10980</v>
      </c>
    </row>
    <row r="137">
      <c r="A137" s="102" t="s">
        <v>15393</v>
      </c>
      <c r="B137" s="66">
        <v>10368.0</v>
      </c>
      <c r="C137" s="11" t="s">
        <v>10980</v>
      </c>
    </row>
    <row r="138">
      <c r="A138" s="102" t="s">
        <v>15394</v>
      </c>
      <c r="B138" s="7"/>
      <c r="C138" s="11" t="s">
        <v>10980</v>
      </c>
    </row>
    <row r="139">
      <c r="A139" s="231"/>
      <c r="B139" s="231"/>
    </row>
    <row r="140">
      <c r="A140" s="231"/>
      <c r="B140" s="231"/>
    </row>
    <row r="141">
      <c r="A141" s="231"/>
      <c r="B141" s="231"/>
    </row>
    <row r="142">
      <c r="A142" s="231"/>
      <c r="B142" s="231"/>
    </row>
    <row r="143">
      <c r="A143" s="231"/>
      <c r="B143" s="231"/>
    </row>
    <row r="144">
      <c r="A144" s="231"/>
      <c r="B144" s="231"/>
    </row>
    <row r="145">
      <c r="A145" s="231"/>
      <c r="B145" s="231"/>
    </row>
    <row r="146">
      <c r="A146" s="231"/>
      <c r="B146" s="231"/>
    </row>
    <row r="147">
      <c r="A147" s="231"/>
      <c r="B147" s="231"/>
    </row>
    <row r="148">
      <c r="A148" s="231"/>
      <c r="B148" s="231"/>
    </row>
    <row r="149">
      <c r="A149" s="231"/>
      <c r="B149" s="231"/>
    </row>
    <row r="150">
      <c r="A150" s="231"/>
      <c r="B150" s="231"/>
    </row>
    <row r="151">
      <c r="A151" s="231"/>
      <c r="B151" s="231"/>
    </row>
    <row r="152">
      <c r="A152" s="231"/>
      <c r="B152" s="231"/>
    </row>
    <row r="153">
      <c r="A153" s="231"/>
      <c r="B153" s="231"/>
    </row>
    <row r="154">
      <c r="A154" s="231"/>
      <c r="B154" s="231"/>
    </row>
    <row r="155">
      <c r="A155" s="231"/>
      <c r="B155" s="231"/>
    </row>
    <row r="156">
      <c r="A156" s="231"/>
      <c r="B156" s="231"/>
    </row>
    <row r="157">
      <c r="A157" s="231"/>
      <c r="B157" s="231"/>
    </row>
    <row r="158">
      <c r="A158" s="231"/>
      <c r="B158" s="231"/>
    </row>
    <row r="159">
      <c r="A159" s="231"/>
      <c r="B159" s="231"/>
    </row>
    <row r="160">
      <c r="A160" s="231"/>
      <c r="B160" s="231"/>
    </row>
    <row r="161">
      <c r="A161" s="231"/>
      <c r="B161" s="231"/>
    </row>
    <row r="162">
      <c r="A162" s="231"/>
      <c r="B162" s="231"/>
    </row>
    <row r="163">
      <c r="A163" s="231"/>
      <c r="B163" s="231"/>
    </row>
    <row r="164">
      <c r="A164" s="231"/>
      <c r="B164" s="231"/>
    </row>
    <row r="165">
      <c r="A165" s="231"/>
      <c r="B165" s="231"/>
    </row>
    <row r="166">
      <c r="A166" s="231"/>
      <c r="B166" s="231"/>
    </row>
    <row r="167">
      <c r="A167" s="231"/>
      <c r="B167" s="231"/>
    </row>
    <row r="168">
      <c r="A168" s="231"/>
      <c r="B168" s="231"/>
    </row>
    <row r="169">
      <c r="A169" s="231"/>
      <c r="B169" s="231"/>
    </row>
    <row r="170">
      <c r="A170" s="231"/>
      <c r="B170" s="231"/>
    </row>
    <row r="171">
      <c r="A171" s="231"/>
      <c r="B171" s="231"/>
    </row>
    <row r="172">
      <c r="A172" s="231"/>
      <c r="B172" s="231"/>
    </row>
    <row r="173">
      <c r="A173" s="231"/>
      <c r="B173" s="231"/>
    </row>
    <row r="174">
      <c r="A174" s="231"/>
      <c r="B174" s="231"/>
    </row>
    <row r="175">
      <c r="A175" s="231"/>
      <c r="B175" s="231"/>
    </row>
    <row r="176">
      <c r="A176" s="231"/>
      <c r="B176" s="231"/>
    </row>
    <row r="177">
      <c r="A177" s="231"/>
      <c r="B177" s="231"/>
    </row>
    <row r="178">
      <c r="A178" s="231"/>
      <c r="B178" s="231"/>
    </row>
    <row r="179">
      <c r="A179" s="231"/>
      <c r="B179" s="231"/>
    </row>
    <row r="180">
      <c r="A180" s="231"/>
      <c r="B180" s="231"/>
    </row>
    <row r="181">
      <c r="A181" s="231"/>
      <c r="B181" s="231"/>
    </row>
    <row r="182">
      <c r="A182" s="231"/>
      <c r="B182" s="231"/>
    </row>
    <row r="183">
      <c r="A183" s="231"/>
      <c r="B183" s="231"/>
    </row>
    <row r="184">
      <c r="A184" s="231"/>
      <c r="B184" s="231"/>
    </row>
    <row r="185">
      <c r="A185" s="231"/>
      <c r="B185" s="231"/>
    </row>
    <row r="186">
      <c r="A186" s="231"/>
      <c r="B186" s="231"/>
    </row>
    <row r="187">
      <c r="A187" s="231"/>
      <c r="B187" s="231"/>
    </row>
    <row r="188">
      <c r="A188" s="231"/>
      <c r="B188" s="231"/>
    </row>
    <row r="189">
      <c r="A189" s="231"/>
      <c r="B189" s="231"/>
    </row>
    <row r="190">
      <c r="A190" s="231"/>
      <c r="B190" s="231"/>
    </row>
    <row r="191">
      <c r="A191" s="231"/>
      <c r="B191" s="231"/>
    </row>
    <row r="192">
      <c r="A192" s="231"/>
      <c r="B192" s="231"/>
    </row>
    <row r="193">
      <c r="A193" s="231"/>
      <c r="B193" s="231"/>
    </row>
    <row r="194">
      <c r="A194" s="231"/>
      <c r="B194" s="231"/>
    </row>
    <row r="195">
      <c r="A195" s="231"/>
      <c r="B195" s="231"/>
    </row>
    <row r="196">
      <c r="A196" s="231"/>
      <c r="B196" s="231"/>
    </row>
    <row r="197">
      <c r="A197" s="231"/>
      <c r="B197" s="231"/>
    </row>
    <row r="198">
      <c r="A198" s="231"/>
      <c r="B198" s="231"/>
    </row>
    <row r="199">
      <c r="A199" s="231"/>
      <c r="B199" s="231"/>
    </row>
    <row r="200">
      <c r="A200" s="231"/>
      <c r="B200" s="231"/>
    </row>
    <row r="201">
      <c r="A201" s="231"/>
      <c r="B201" s="231"/>
    </row>
    <row r="202">
      <c r="A202" s="231"/>
      <c r="B202" s="231"/>
    </row>
    <row r="203">
      <c r="A203" s="231"/>
      <c r="B203" s="231"/>
    </row>
    <row r="204">
      <c r="A204" s="231"/>
      <c r="B204" s="231"/>
    </row>
    <row r="205">
      <c r="A205" s="231"/>
      <c r="B205" s="231"/>
    </row>
    <row r="206">
      <c r="A206" s="231"/>
      <c r="B206" s="231"/>
    </row>
    <row r="207">
      <c r="A207" s="231"/>
      <c r="B207" s="231"/>
    </row>
    <row r="208">
      <c r="A208" s="231"/>
      <c r="B208" s="231"/>
    </row>
    <row r="209">
      <c r="A209" s="231"/>
      <c r="B209" s="231"/>
    </row>
    <row r="210">
      <c r="A210" s="231"/>
      <c r="B210" s="231"/>
    </row>
    <row r="211">
      <c r="A211" s="231"/>
      <c r="B211" s="231"/>
    </row>
    <row r="212">
      <c r="A212" s="231"/>
      <c r="B212" s="231"/>
    </row>
    <row r="213">
      <c r="A213" s="231"/>
      <c r="B213" s="231"/>
    </row>
    <row r="214">
      <c r="A214" s="231"/>
      <c r="B214" s="231"/>
    </row>
    <row r="215">
      <c r="A215" s="231"/>
      <c r="B215" s="231"/>
    </row>
    <row r="216">
      <c r="A216" s="231"/>
      <c r="B216" s="231"/>
    </row>
    <row r="217">
      <c r="A217" s="231"/>
      <c r="B217" s="231"/>
    </row>
    <row r="218">
      <c r="A218" s="231"/>
      <c r="B218" s="231"/>
    </row>
    <row r="219">
      <c r="A219" s="231"/>
      <c r="B219" s="231"/>
    </row>
    <row r="220">
      <c r="A220" s="231"/>
      <c r="B220" s="231"/>
    </row>
    <row r="221">
      <c r="A221" s="231"/>
      <c r="B221" s="231"/>
    </row>
    <row r="222">
      <c r="A222" s="231"/>
      <c r="B222" s="231"/>
    </row>
    <row r="223">
      <c r="A223" s="231"/>
      <c r="B223" s="231"/>
    </row>
    <row r="224">
      <c r="A224" s="231"/>
      <c r="B224" s="231"/>
    </row>
    <row r="225">
      <c r="A225" s="231"/>
      <c r="B225" s="231"/>
    </row>
    <row r="226">
      <c r="A226" s="231"/>
      <c r="B226" s="231"/>
    </row>
    <row r="227">
      <c r="A227" s="231"/>
      <c r="B227" s="231"/>
    </row>
    <row r="228">
      <c r="A228" s="231"/>
      <c r="B228" s="231"/>
    </row>
    <row r="229">
      <c r="A229" s="231"/>
      <c r="B229" s="231"/>
    </row>
    <row r="230">
      <c r="A230" s="231"/>
      <c r="B230" s="231"/>
    </row>
    <row r="231">
      <c r="A231" s="231"/>
      <c r="B231" s="231"/>
    </row>
    <row r="232">
      <c r="A232" s="231"/>
      <c r="B232" s="231"/>
    </row>
    <row r="233">
      <c r="A233" s="231"/>
      <c r="B233" s="231"/>
    </row>
    <row r="234">
      <c r="A234" s="231"/>
      <c r="B234" s="231"/>
    </row>
    <row r="235">
      <c r="A235" s="231"/>
      <c r="B235" s="231"/>
    </row>
    <row r="236">
      <c r="A236" s="231"/>
      <c r="B236" s="231"/>
    </row>
    <row r="237">
      <c r="A237" s="231"/>
      <c r="B237" s="231"/>
    </row>
    <row r="238">
      <c r="A238" s="231"/>
      <c r="B238" s="231"/>
    </row>
    <row r="239">
      <c r="A239" s="231"/>
      <c r="B239" s="231"/>
    </row>
    <row r="240">
      <c r="A240" s="231"/>
      <c r="B240" s="231"/>
    </row>
    <row r="241">
      <c r="A241" s="231"/>
      <c r="B241" s="231"/>
    </row>
    <row r="242">
      <c r="A242" s="231"/>
      <c r="B242" s="231"/>
    </row>
    <row r="243">
      <c r="A243" s="231"/>
      <c r="B243" s="231"/>
    </row>
    <row r="244">
      <c r="A244" s="231"/>
      <c r="B244" s="231"/>
    </row>
    <row r="245">
      <c r="A245" s="231"/>
      <c r="B245" s="231"/>
    </row>
    <row r="246">
      <c r="A246" s="231"/>
      <c r="B246" s="231"/>
    </row>
    <row r="247">
      <c r="A247" s="231"/>
      <c r="B247" s="231"/>
    </row>
    <row r="248">
      <c r="A248" s="231"/>
      <c r="B248" s="231"/>
    </row>
    <row r="249">
      <c r="A249" s="231"/>
      <c r="B249" s="231"/>
    </row>
    <row r="250">
      <c r="A250" s="231"/>
      <c r="B250" s="231"/>
    </row>
    <row r="251">
      <c r="A251" s="231"/>
      <c r="B251" s="231"/>
    </row>
    <row r="252">
      <c r="A252" s="231"/>
      <c r="B252" s="231"/>
    </row>
    <row r="253">
      <c r="A253" s="231"/>
      <c r="B253" s="231"/>
    </row>
    <row r="254">
      <c r="A254" s="231"/>
      <c r="B254" s="231"/>
    </row>
    <row r="255">
      <c r="A255" s="231"/>
      <c r="B255" s="231"/>
    </row>
    <row r="256">
      <c r="A256" s="231"/>
      <c r="B256" s="231"/>
    </row>
    <row r="257">
      <c r="A257" s="231"/>
      <c r="B257" s="231"/>
    </row>
    <row r="258">
      <c r="A258" s="231"/>
      <c r="B258" s="231"/>
    </row>
    <row r="259">
      <c r="A259" s="231"/>
      <c r="B259" s="231"/>
    </row>
    <row r="260">
      <c r="A260" s="231"/>
      <c r="B260" s="231"/>
    </row>
    <row r="261">
      <c r="A261" s="231"/>
      <c r="B261" s="231"/>
    </row>
    <row r="262">
      <c r="A262" s="231"/>
      <c r="B262" s="231"/>
    </row>
    <row r="263">
      <c r="A263" s="231"/>
      <c r="B263" s="231"/>
    </row>
    <row r="264">
      <c r="A264" s="231"/>
      <c r="B264" s="231"/>
    </row>
    <row r="265">
      <c r="A265" s="231"/>
      <c r="B265" s="231"/>
    </row>
    <row r="266">
      <c r="A266" s="231"/>
      <c r="B266" s="231"/>
    </row>
    <row r="267">
      <c r="A267" s="231"/>
      <c r="B267" s="231"/>
    </row>
    <row r="268">
      <c r="A268" s="231"/>
      <c r="B268" s="231"/>
    </row>
    <row r="269">
      <c r="A269" s="231"/>
      <c r="B269" s="231"/>
    </row>
    <row r="270">
      <c r="A270" s="231"/>
      <c r="B270" s="231"/>
    </row>
    <row r="271">
      <c r="A271" s="231"/>
      <c r="B271" s="231"/>
    </row>
    <row r="272">
      <c r="A272" s="231"/>
      <c r="B272" s="231"/>
    </row>
    <row r="273">
      <c r="A273" s="231"/>
      <c r="B273" s="231"/>
    </row>
    <row r="274">
      <c r="A274" s="231"/>
      <c r="B274" s="231"/>
    </row>
    <row r="275">
      <c r="A275" s="231"/>
      <c r="B275" s="231"/>
    </row>
    <row r="276">
      <c r="A276" s="231"/>
      <c r="B276" s="231"/>
    </row>
    <row r="277">
      <c r="A277" s="231"/>
      <c r="B277" s="231"/>
    </row>
    <row r="278">
      <c r="A278" s="231"/>
      <c r="B278" s="231"/>
    </row>
    <row r="279">
      <c r="A279" s="231"/>
      <c r="B279" s="231"/>
    </row>
    <row r="280">
      <c r="A280" s="231"/>
      <c r="B280" s="231"/>
    </row>
    <row r="281">
      <c r="A281" s="231"/>
      <c r="B281" s="231"/>
    </row>
    <row r="282">
      <c r="A282" s="231"/>
      <c r="B282" s="231"/>
    </row>
    <row r="283">
      <c r="A283" s="231"/>
      <c r="B283" s="231"/>
    </row>
    <row r="284">
      <c r="A284" s="231"/>
      <c r="B284" s="231"/>
    </row>
    <row r="285">
      <c r="A285" s="231"/>
      <c r="B285" s="231"/>
    </row>
    <row r="286">
      <c r="A286" s="231"/>
      <c r="B286" s="231"/>
    </row>
    <row r="287">
      <c r="A287" s="231"/>
      <c r="B287" s="231"/>
    </row>
    <row r="288">
      <c r="A288" s="231"/>
      <c r="B288" s="231"/>
    </row>
    <row r="289">
      <c r="A289" s="231"/>
      <c r="B289" s="231"/>
    </row>
    <row r="290">
      <c r="A290" s="231"/>
      <c r="B290" s="231"/>
    </row>
    <row r="291">
      <c r="A291" s="231"/>
      <c r="B291" s="231"/>
    </row>
    <row r="292">
      <c r="A292" s="231"/>
      <c r="B292" s="231"/>
    </row>
    <row r="293">
      <c r="A293" s="231"/>
      <c r="B293" s="231"/>
    </row>
    <row r="294">
      <c r="A294" s="231"/>
      <c r="B294" s="231"/>
    </row>
    <row r="295">
      <c r="A295" s="231"/>
      <c r="B295" s="231"/>
    </row>
    <row r="296">
      <c r="A296" s="231"/>
      <c r="B296" s="231"/>
    </row>
    <row r="297">
      <c r="A297" s="231"/>
      <c r="B297" s="231"/>
    </row>
    <row r="298">
      <c r="A298" s="231"/>
      <c r="B298" s="231"/>
    </row>
    <row r="299">
      <c r="A299" s="231"/>
      <c r="B299" s="231"/>
    </row>
    <row r="300">
      <c r="A300" s="231"/>
      <c r="B300" s="231"/>
    </row>
    <row r="301">
      <c r="A301" s="231"/>
      <c r="B301" s="231"/>
    </row>
    <row r="302">
      <c r="A302" s="231"/>
      <c r="B302" s="231"/>
    </row>
    <row r="303">
      <c r="A303" s="231"/>
      <c r="B303" s="231"/>
    </row>
    <row r="304">
      <c r="A304" s="231"/>
      <c r="B304" s="231"/>
    </row>
    <row r="305">
      <c r="A305" s="231"/>
      <c r="B305" s="231"/>
    </row>
    <row r="306">
      <c r="A306" s="231"/>
      <c r="B306" s="231"/>
    </row>
    <row r="307">
      <c r="A307" s="231"/>
      <c r="B307" s="231"/>
    </row>
    <row r="308">
      <c r="A308" s="231"/>
      <c r="B308" s="231"/>
    </row>
    <row r="309">
      <c r="A309" s="231"/>
      <c r="B309" s="231"/>
    </row>
    <row r="310">
      <c r="A310" s="231"/>
      <c r="B310" s="231"/>
    </row>
    <row r="311">
      <c r="A311" s="231"/>
      <c r="B311" s="231"/>
    </row>
    <row r="312">
      <c r="A312" s="231"/>
      <c r="B312" s="231"/>
    </row>
    <row r="313">
      <c r="A313" s="231"/>
      <c r="B313" s="231"/>
    </row>
    <row r="314">
      <c r="A314" s="231"/>
      <c r="B314" s="231"/>
    </row>
    <row r="315">
      <c r="A315" s="231"/>
      <c r="B315" s="231"/>
    </row>
    <row r="316">
      <c r="A316" s="231"/>
      <c r="B316" s="231"/>
    </row>
    <row r="317">
      <c r="A317" s="231"/>
      <c r="B317" s="231"/>
    </row>
    <row r="318">
      <c r="A318" s="231"/>
      <c r="B318" s="231"/>
    </row>
    <row r="319">
      <c r="A319" s="231"/>
      <c r="B319" s="231"/>
    </row>
    <row r="320">
      <c r="A320" s="231"/>
      <c r="B320" s="231"/>
    </row>
    <row r="321">
      <c r="A321" s="231"/>
      <c r="B321" s="231"/>
    </row>
    <row r="322">
      <c r="A322" s="231"/>
      <c r="B322" s="231"/>
    </row>
    <row r="323">
      <c r="A323" s="231"/>
      <c r="B323" s="231"/>
    </row>
    <row r="324">
      <c r="A324" s="231"/>
      <c r="B324" s="231"/>
    </row>
    <row r="325">
      <c r="A325" s="231"/>
      <c r="B325" s="231"/>
    </row>
    <row r="326">
      <c r="A326" s="231"/>
      <c r="B326" s="231"/>
    </row>
    <row r="327">
      <c r="A327" s="231"/>
      <c r="B327" s="231"/>
    </row>
    <row r="328">
      <c r="A328" s="231"/>
      <c r="B328" s="231"/>
    </row>
    <row r="329">
      <c r="A329" s="231"/>
      <c r="B329" s="231"/>
    </row>
    <row r="330">
      <c r="A330" s="231"/>
      <c r="B330" s="231"/>
    </row>
    <row r="331">
      <c r="A331" s="231"/>
      <c r="B331" s="231"/>
    </row>
    <row r="332">
      <c r="A332" s="231"/>
      <c r="B332" s="231"/>
    </row>
    <row r="333">
      <c r="A333" s="231"/>
      <c r="B333" s="231"/>
    </row>
    <row r="334">
      <c r="A334" s="231"/>
      <c r="B334" s="231"/>
    </row>
    <row r="335">
      <c r="A335" s="231"/>
      <c r="B335" s="231"/>
    </row>
    <row r="336">
      <c r="A336" s="231"/>
      <c r="B336" s="231"/>
    </row>
    <row r="337">
      <c r="A337" s="231"/>
      <c r="B337" s="231"/>
    </row>
    <row r="338">
      <c r="A338" s="231"/>
      <c r="B338" s="231"/>
    </row>
    <row r="339">
      <c r="A339" s="231"/>
      <c r="B339" s="231"/>
    </row>
    <row r="340">
      <c r="A340" s="231"/>
      <c r="B340" s="231"/>
    </row>
    <row r="341">
      <c r="A341" s="231"/>
      <c r="B341" s="231"/>
    </row>
    <row r="342">
      <c r="A342" s="231"/>
      <c r="B342" s="231"/>
    </row>
    <row r="343">
      <c r="A343" s="231"/>
      <c r="B343" s="231"/>
    </row>
    <row r="344">
      <c r="A344" s="231"/>
      <c r="B344" s="231"/>
    </row>
    <row r="345">
      <c r="A345" s="231"/>
      <c r="B345" s="231"/>
    </row>
    <row r="346">
      <c r="A346" s="231"/>
      <c r="B346" s="231"/>
    </row>
    <row r="347">
      <c r="A347" s="231"/>
      <c r="B347" s="231"/>
    </row>
    <row r="348">
      <c r="A348" s="231"/>
      <c r="B348" s="231"/>
    </row>
    <row r="349">
      <c r="A349" s="231"/>
      <c r="B349" s="231"/>
    </row>
    <row r="350">
      <c r="A350" s="231"/>
      <c r="B350" s="231"/>
    </row>
    <row r="351">
      <c r="A351" s="231"/>
      <c r="B351" s="231"/>
    </row>
    <row r="352">
      <c r="A352" s="231"/>
      <c r="B352" s="231"/>
    </row>
    <row r="353">
      <c r="A353" s="231"/>
      <c r="B353" s="231"/>
    </row>
    <row r="354">
      <c r="A354" s="231"/>
      <c r="B354" s="231"/>
    </row>
    <row r="355">
      <c r="A355" s="231"/>
      <c r="B355" s="231"/>
    </row>
    <row r="356">
      <c r="A356" s="231"/>
      <c r="B356" s="231"/>
    </row>
    <row r="357">
      <c r="A357" s="231"/>
      <c r="B357" s="231"/>
    </row>
    <row r="358">
      <c r="A358" s="231"/>
      <c r="B358" s="231"/>
    </row>
    <row r="359">
      <c r="A359" s="231"/>
      <c r="B359" s="231"/>
    </row>
    <row r="360">
      <c r="A360" s="231"/>
      <c r="B360" s="231"/>
    </row>
    <row r="361">
      <c r="A361" s="231"/>
      <c r="B361" s="231"/>
    </row>
    <row r="362">
      <c r="A362" s="231"/>
      <c r="B362" s="231"/>
    </row>
    <row r="363">
      <c r="A363" s="231"/>
      <c r="B363" s="231"/>
    </row>
    <row r="364">
      <c r="A364" s="231"/>
      <c r="B364" s="231"/>
    </row>
    <row r="365">
      <c r="A365" s="231"/>
      <c r="B365" s="231"/>
    </row>
    <row r="366">
      <c r="A366" s="231"/>
      <c r="B366" s="231"/>
    </row>
    <row r="367">
      <c r="A367" s="231"/>
      <c r="B367" s="231"/>
    </row>
    <row r="368">
      <c r="A368" s="231"/>
      <c r="B368" s="231"/>
    </row>
    <row r="369">
      <c r="A369" s="231"/>
      <c r="B369" s="231"/>
    </row>
    <row r="370">
      <c r="A370" s="231"/>
      <c r="B370" s="231"/>
    </row>
    <row r="371">
      <c r="A371" s="231"/>
      <c r="B371" s="231"/>
    </row>
    <row r="372">
      <c r="A372" s="231"/>
      <c r="B372" s="231"/>
    </row>
    <row r="373">
      <c r="A373" s="231"/>
      <c r="B373" s="231"/>
    </row>
    <row r="374">
      <c r="A374" s="231"/>
      <c r="B374" s="231"/>
    </row>
    <row r="375">
      <c r="A375" s="231"/>
      <c r="B375" s="231"/>
    </row>
    <row r="376">
      <c r="A376" s="231"/>
      <c r="B376" s="231"/>
    </row>
    <row r="377">
      <c r="A377" s="231"/>
      <c r="B377" s="231"/>
    </row>
    <row r="378">
      <c r="A378" s="231"/>
      <c r="B378" s="231"/>
    </row>
    <row r="379">
      <c r="A379" s="231"/>
      <c r="B379" s="231"/>
    </row>
    <row r="380">
      <c r="A380" s="231"/>
      <c r="B380" s="231"/>
    </row>
    <row r="381">
      <c r="A381" s="231"/>
      <c r="B381" s="231"/>
    </row>
    <row r="382">
      <c r="A382" s="231"/>
      <c r="B382" s="231"/>
    </row>
    <row r="383">
      <c r="A383" s="231"/>
      <c r="B383" s="231"/>
    </row>
    <row r="384">
      <c r="A384" s="231"/>
      <c r="B384" s="231"/>
    </row>
    <row r="385">
      <c r="A385" s="231"/>
      <c r="B385" s="231"/>
    </row>
    <row r="386">
      <c r="A386" s="231"/>
      <c r="B386" s="231"/>
    </row>
    <row r="387">
      <c r="A387" s="231"/>
      <c r="B387" s="231"/>
    </row>
    <row r="388">
      <c r="A388" s="231"/>
      <c r="B388" s="231"/>
    </row>
    <row r="389">
      <c r="A389" s="231"/>
      <c r="B389" s="231"/>
    </row>
    <row r="390">
      <c r="A390" s="231"/>
      <c r="B390" s="231"/>
    </row>
    <row r="391">
      <c r="A391" s="231"/>
      <c r="B391" s="231"/>
    </row>
    <row r="392">
      <c r="A392" s="231"/>
      <c r="B392" s="231"/>
    </row>
    <row r="393">
      <c r="A393" s="231"/>
      <c r="B393" s="231"/>
    </row>
    <row r="394">
      <c r="A394" s="231"/>
      <c r="B394" s="231"/>
    </row>
    <row r="395">
      <c r="A395" s="231"/>
      <c r="B395" s="231"/>
    </row>
    <row r="396">
      <c r="A396" s="231"/>
      <c r="B396" s="231"/>
    </row>
    <row r="397">
      <c r="A397" s="231"/>
      <c r="B397" s="231"/>
    </row>
    <row r="398">
      <c r="A398" s="231"/>
      <c r="B398" s="231"/>
    </row>
    <row r="399">
      <c r="A399" s="231"/>
      <c r="B399" s="231"/>
    </row>
    <row r="400">
      <c r="A400" s="231"/>
      <c r="B400" s="231"/>
    </row>
    <row r="401">
      <c r="A401" s="231"/>
      <c r="B401" s="231"/>
    </row>
    <row r="402">
      <c r="A402" s="231"/>
      <c r="B402" s="231"/>
    </row>
    <row r="403">
      <c r="A403" s="231"/>
      <c r="B403" s="231"/>
    </row>
    <row r="404">
      <c r="A404" s="231"/>
      <c r="B404" s="231"/>
    </row>
    <row r="405">
      <c r="A405" s="231"/>
      <c r="B405" s="231"/>
    </row>
    <row r="406">
      <c r="A406" s="231"/>
      <c r="B406" s="231"/>
    </row>
    <row r="407">
      <c r="A407" s="231"/>
      <c r="B407" s="231"/>
    </row>
    <row r="408">
      <c r="A408" s="231"/>
      <c r="B408" s="231"/>
    </row>
    <row r="409">
      <c r="A409" s="231"/>
      <c r="B409" s="231"/>
    </row>
    <row r="410">
      <c r="A410" s="231"/>
      <c r="B410" s="231"/>
    </row>
    <row r="411">
      <c r="A411" s="231"/>
      <c r="B411" s="231"/>
    </row>
    <row r="412">
      <c r="A412" s="231"/>
      <c r="B412" s="231"/>
    </row>
    <row r="413">
      <c r="A413" s="231"/>
      <c r="B413" s="231"/>
    </row>
    <row r="414">
      <c r="A414" s="231"/>
      <c r="B414" s="231"/>
    </row>
    <row r="415">
      <c r="A415" s="231"/>
      <c r="B415" s="231"/>
    </row>
    <row r="416">
      <c r="A416" s="231"/>
      <c r="B416" s="231"/>
    </row>
    <row r="417">
      <c r="A417" s="231"/>
      <c r="B417" s="231"/>
    </row>
    <row r="418">
      <c r="A418" s="231"/>
      <c r="B418" s="231"/>
    </row>
    <row r="419">
      <c r="A419" s="231"/>
      <c r="B419" s="231"/>
    </row>
    <row r="420">
      <c r="A420" s="231"/>
      <c r="B420" s="231"/>
    </row>
    <row r="421">
      <c r="A421" s="231"/>
      <c r="B421" s="231"/>
    </row>
    <row r="422">
      <c r="A422" s="231"/>
      <c r="B422" s="231"/>
    </row>
    <row r="423">
      <c r="A423" s="231"/>
      <c r="B423" s="231"/>
    </row>
    <row r="424">
      <c r="A424" s="231"/>
      <c r="B424" s="231"/>
    </row>
    <row r="425">
      <c r="A425" s="231"/>
      <c r="B425" s="231"/>
    </row>
    <row r="426">
      <c r="A426" s="231"/>
      <c r="B426" s="231"/>
    </row>
    <row r="427">
      <c r="A427" s="231"/>
      <c r="B427" s="231"/>
    </row>
    <row r="428">
      <c r="A428" s="231"/>
      <c r="B428" s="231"/>
    </row>
    <row r="429">
      <c r="A429" s="231"/>
      <c r="B429" s="231"/>
    </row>
    <row r="430">
      <c r="A430" s="231"/>
      <c r="B430" s="231"/>
    </row>
    <row r="431">
      <c r="A431" s="231"/>
      <c r="B431" s="231"/>
    </row>
    <row r="432">
      <c r="A432" s="231"/>
      <c r="B432" s="231"/>
    </row>
    <row r="433">
      <c r="A433" s="231"/>
      <c r="B433" s="231"/>
    </row>
    <row r="434">
      <c r="A434" s="231"/>
      <c r="B434" s="231"/>
    </row>
    <row r="435">
      <c r="A435" s="231"/>
      <c r="B435" s="231"/>
    </row>
    <row r="436">
      <c r="A436" s="231"/>
      <c r="B436" s="231"/>
    </row>
    <row r="437">
      <c r="A437" s="231"/>
      <c r="B437" s="231"/>
    </row>
    <row r="438">
      <c r="A438" s="231"/>
      <c r="B438" s="231"/>
    </row>
    <row r="439">
      <c r="A439" s="231"/>
      <c r="B439" s="231"/>
    </row>
    <row r="440">
      <c r="A440" s="231"/>
      <c r="B440" s="231"/>
    </row>
    <row r="441">
      <c r="A441" s="231"/>
      <c r="B441" s="231"/>
    </row>
    <row r="442">
      <c r="A442" s="231"/>
      <c r="B442" s="231"/>
    </row>
    <row r="443">
      <c r="A443" s="231"/>
      <c r="B443" s="231"/>
    </row>
    <row r="444">
      <c r="A444" s="231"/>
      <c r="B444" s="231"/>
    </row>
    <row r="445">
      <c r="A445" s="231"/>
      <c r="B445" s="231"/>
    </row>
    <row r="446">
      <c r="A446" s="231"/>
      <c r="B446" s="231"/>
    </row>
    <row r="447">
      <c r="A447" s="231"/>
      <c r="B447" s="231"/>
    </row>
    <row r="448">
      <c r="A448" s="231"/>
      <c r="B448" s="231"/>
    </row>
    <row r="449">
      <c r="A449" s="231"/>
      <c r="B449" s="231"/>
    </row>
    <row r="450">
      <c r="A450" s="231"/>
      <c r="B450" s="231"/>
    </row>
    <row r="451">
      <c r="A451" s="231"/>
      <c r="B451" s="231"/>
    </row>
    <row r="452">
      <c r="A452" s="231"/>
      <c r="B452" s="231"/>
    </row>
    <row r="453">
      <c r="A453" s="231"/>
      <c r="B453" s="231"/>
    </row>
    <row r="454">
      <c r="A454" s="231"/>
      <c r="B454" s="231"/>
    </row>
    <row r="455">
      <c r="A455" s="231"/>
      <c r="B455" s="231"/>
    </row>
    <row r="456">
      <c r="A456" s="231"/>
      <c r="B456" s="231"/>
    </row>
    <row r="457">
      <c r="A457" s="231"/>
      <c r="B457" s="231"/>
    </row>
    <row r="458">
      <c r="A458" s="231"/>
      <c r="B458" s="231"/>
    </row>
    <row r="459">
      <c r="A459" s="231"/>
      <c r="B459" s="231"/>
    </row>
    <row r="460">
      <c r="A460" s="231"/>
      <c r="B460" s="231"/>
    </row>
    <row r="461">
      <c r="A461" s="231"/>
      <c r="B461" s="231"/>
    </row>
    <row r="462">
      <c r="A462" s="231"/>
      <c r="B462" s="231"/>
    </row>
    <row r="463">
      <c r="A463" s="231"/>
      <c r="B463" s="231"/>
    </row>
    <row r="464">
      <c r="A464" s="231"/>
      <c r="B464" s="231"/>
    </row>
    <row r="465">
      <c r="A465" s="231"/>
      <c r="B465" s="231"/>
    </row>
    <row r="466">
      <c r="A466" s="231"/>
      <c r="B466" s="231"/>
    </row>
    <row r="467">
      <c r="A467" s="231"/>
      <c r="B467" s="231"/>
    </row>
    <row r="468">
      <c r="A468" s="231"/>
      <c r="B468" s="231"/>
    </row>
    <row r="469">
      <c r="A469" s="231"/>
      <c r="B469" s="231"/>
    </row>
    <row r="470">
      <c r="A470" s="231"/>
      <c r="B470" s="231"/>
    </row>
    <row r="471">
      <c r="A471" s="231"/>
      <c r="B471" s="231"/>
    </row>
    <row r="472">
      <c r="A472" s="231"/>
      <c r="B472" s="231"/>
    </row>
    <row r="473">
      <c r="A473" s="231"/>
      <c r="B473" s="231"/>
    </row>
    <row r="474">
      <c r="A474" s="231"/>
      <c r="B474" s="231"/>
    </row>
    <row r="475">
      <c r="A475" s="231"/>
      <c r="B475" s="231"/>
    </row>
    <row r="476">
      <c r="A476" s="231"/>
      <c r="B476" s="231"/>
    </row>
    <row r="477">
      <c r="A477" s="231"/>
      <c r="B477" s="231"/>
    </row>
    <row r="478">
      <c r="A478" s="231"/>
      <c r="B478" s="231"/>
    </row>
    <row r="479">
      <c r="A479" s="231"/>
      <c r="B479" s="231"/>
    </row>
    <row r="480">
      <c r="A480" s="231"/>
      <c r="B480" s="231"/>
    </row>
    <row r="481">
      <c r="A481" s="231"/>
      <c r="B481" s="231"/>
    </row>
    <row r="482">
      <c r="A482" s="231"/>
      <c r="B482" s="231"/>
    </row>
    <row r="483">
      <c r="A483" s="231"/>
      <c r="B483" s="231"/>
    </row>
    <row r="484">
      <c r="A484" s="231"/>
      <c r="B484" s="231"/>
    </row>
    <row r="485">
      <c r="A485" s="231"/>
      <c r="B485" s="231"/>
    </row>
    <row r="486">
      <c r="A486" s="231"/>
      <c r="B486" s="231"/>
    </row>
    <row r="487">
      <c r="A487" s="231"/>
      <c r="B487" s="231"/>
    </row>
    <row r="488">
      <c r="A488" s="231"/>
      <c r="B488" s="231"/>
    </row>
    <row r="489">
      <c r="A489" s="231"/>
      <c r="B489" s="231"/>
    </row>
    <row r="490">
      <c r="A490" s="231"/>
      <c r="B490" s="231"/>
    </row>
    <row r="491">
      <c r="A491" s="231"/>
      <c r="B491" s="231"/>
    </row>
    <row r="492">
      <c r="A492" s="231"/>
      <c r="B492" s="231"/>
    </row>
    <row r="493">
      <c r="A493" s="231"/>
      <c r="B493" s="231"/>
    </row>
    <row r="494">
      <c r="A494" s="231"/>
      <c r="B494" s="231"/>
    </row>
    <row r="495">
      <c r="A495" s="231"/>
      <c r="B495" s="231"/>
    </row>
    <row r="496">
      <c r="A496" s="231"/>
      <c r="B496" s="231"/>
    </row>
    <row r="497">
      <c r="A497" s="231"/>
      <c r="B497" s="231"/>
    </row>
    <row r="498">
      <c r="A498" s="231"/>
      <c r="B498" s="231"/>
    </row>
    <row r="499">
      <c r="A499" s="231"/>
      <c r="B499" s="231"/>
    </row>
    <row r="500">
      <c r="A500" s="231"/>
      <c r="B500" s="231"/>
    </row>
    <row r="501">
      <c r="A501" s="231"/>
      <c r="B501" s="231"/>
    </row>
    <row r="502">
      <c r="A502" s="231"/>
      <c r="B502" s="231"/>
    </row>
    <row r="503">
      <c r="A503" s="231"/>
      <c r="B503" s="231"/>
    </row>
    <row r="504">
      <c r="A504" s="231"/>
      <c r="B504" s="231"/>
    </row>
    <row r="505">
      <c r="A505" s="231"/>
      <c r="B505" s="231"/>
    </row>
    <row r="506">
      <c r="A506" s="231"/>
      <c r="B506" s="231"/>
    </row>
    <row r="507">
      <c r="A507" s="231"/>
      <c r="B507" s="231"/>
    </row>
    <row r="508">
      <c r="A508" s="231"/>
      <c r="B508" s="231"/>
    </row>
    <row r="509">
      <c r="A509" s="231"/>
      <c r="B509" s="231"/>
    </row>
    <row r="510">
      <c r="A510" s="231"/>
      <c r="B510" s="231"/>
    </row>
    <row r="511">
      <c r="A511" s="231"/>
      <c r="B511" s="231"/>
    </row>
    <row r="512">
      <c r="A512" s="231"/>
      <c r="B512" s="231"/>
    </row>
    <row r="513">
      <c r="A513" s="231"/>
      <c r="B513" s="231"/>
    </row>
    <row r="514">
      <c r="A514" s="231"/>
      <c r="B514" s="231"/>
    </row>
    <row r="515">
      <c r="A515" s="231"/>
      <c r="B515" s="231"/>
    </row>
    <row r="516">
      <c r="A516" s="231"/>
      <c r="B516" s="231"/>
    </row>
    <row r="517">
      <c r="A517" s="231"/>
      <c r="B517" s="231"/>
    </row>
    <row r="518">
      <c r="A518" s="231"/>
      <c r="B518" s="231"/>
    </row>
    <row r="519">
      <c r="A519" s="231"/>
      <c r="B519" s="231"/>
    </row>
    <row r="520">
      <c r="A520" s="231"/>
      <c r="B520" s="231"/>
    </row>
    <row r="521">
      <c r="A521" s="231"/>
      <c r="B521" s="231"/>
    </row>
    <row r="522">
      <c r="A522" s="231"/>
      <c r="B522" s="231"/>
    </row>
    <row r="523">
      <c r="A523" s="231"/>
      <c r="B523" s="231"/>
    </row>
    <row r="524">
      <c r="A524" s="231"/>
      <c r="B524" s="231"/>
    </row>
    <row r="525">
      <c r="A525" s="231"/>
      <c r="B525" s="231"/>
    </row>
    <row r="526">
      <c r="A526" s="231"/>
      <c r="B526" s="231"/>
    </row>
    <row r="527">
      <c r="A527" s="231"/>
      <c r="B527" s="231"/>
    </row>
    <row r="528">
      <c r="A528" s="231"/>
      <c r="B528" s="231"/>
    </row>
    <row r="529">
      <c r="A529" s="231"/>
      <c r="B529" s="231"/>
    </row>
    <row r="530">
      <c r="A530" s="231"/>
      <c r="B530" s="231"/>
    </row>
    <row r="531">
      <c r="A531" s="231"/>
      <c r="B531" s="231"/>
    </row>
    <row r="532">
      <c r="A532" s="231"/>
      <c r="B532" s="231"/>
    </row>
    <row r="533">
      <c r="A533" s="231"/>
      <c r="B533" s="231"/>
    </row>
    <row r="534">
      <c r="A534" s="231"/>
      <c r="B534" s="231"/>
    </row>
    <row r="535">
      <c r="A535" s="231"/>
      <c r="B535" s="231"/>
    </row>
    <row r="536">
      <c r="A536" s="231"/>
      <c r="B536" s="231"/>
    </row>
    <row r="537">
      <c r="A537" s="231"/>
      <c r="B537" s="231"/>
    </row>
    <row r="538">
      <c r="A538" s="231"/>
      <c r="B538" s="231"/>
    </row>
    <row r="539">
      <c r="A539" s="231"/>
      <c r="B539" s="231"/>
    </row>
    <row r="540">
      <c r="A540" s="231"/>
      <c r="B540" s="231"/>
    </row>
    <row r="541">
      <c r="A541" s="231"/>
      <c r="B541" s="231"/>
    </row>
    <row r="542">
      <c r="A542" s="231"/>
      <c r="B542" s="231"/>
    </row>
    <row r="543">
      <c r="A543" s="231"/>
      <c r="B543" s="231"/>
    </row>
    <row r="544">
      <c r="A544" s="231"/>
      <c r="B544" s="231"/>
    </row>
    <row r="545">
      <c r="A545" s="231"/>
      <c r="B545" s="231"/>
    </row>
    <row r="546">
      <c r="A546" s="231"/>
      <c r="B546" s="231"/>
    </row>
    <row r="547">
      <c r="A547" s="231"/>
      <c r="B547" s="231"/>
    </row>
    <row r="548">
      <c r="A548" s="231"/>
      <c r="B548" s="231"/>
    </row>
    <row r="549">
      <c r="A549" s="231"/>
      <c r="B549" s="231"/>
    </row>
    <row r="550">
      <c r="A550" s="231"/>
      <c r="B550" s="231"/>
    </row>
    <row r="551">
      <c r="A551" s="231"/>
      <c r="B551" s="231"/>
    </row>
    <row r="552">
      <c r="A552" s="231"/>
      <c r="B552" s="231"/>
    </row>
    <row r="553">
      <c r="A553" s="231"/>
      <c r="B553" s="231"/>
    </row>
    <row r="554">
      <c r="A554" s="231"/>
      <c r="B554" s="231"/>
    </row>
    <row r="555">
      <c r="A555" s="231"/>
      <c r="B555" s="231"/>
    </row>
    <row r="556">
      <c r="A556" s="231"/>
      <c r="B556" s="231"/>
    </row>
    <row r="557">
      <c r="A557" s="231"/>
      <c r="B557" s="231"/>
    </row>
    <row r="558">
      <c r="A558" s="231"/>
      <c r="B558" s="231"/>
    </row>
    <row r="559">
      <c r="A559" s="231"/>
      <c r="B559" s="231"/>
    </row>
    <row r="560">
      <c r="A560" s="231"/>
      <c r="B560" s="231"/>
    </row>
    <row r="561">
      <c r="A561" s="231"/>
      <c r="B561" s="231"/>
    </row>
    <row r="562">
      <c r="A562" s="231"/>
      <c r="B562" s="231"/>
    </row>
    <row r="563">
      <c r="A563" s="231"/>
      <c r="B563" s="231"/>
    </row>
    <row r="564">
      <c r="A564" s="231"/>
      <c r="B564" s="231"/>
    </row>
    <row r="565">
      <c r="A565" s="231"/>
      <c r="B565" s="231"/>
    </row>
    <row r="566">
      <c r="A566" s="231"/>
      <c r="B566" s="231"/>
    </row>
    <row r="567">
      <c r="A567" s="231"/>
      <c r="B567" s="231"/>
    </row>
    <row r="568">
      <c r="A568" s="231"/>
      <c r="B568" s="231"/>
    </row>
    <row r="569">
      <c r="A569" s="231"/>
      <c r="B569" s="231"/>
    </row>
    <row r="570">
      <c r="A570" s="231"/>
      <c r="B570" s="231"/>
    </row>
    <row r="571">
      <c r="A571" s="231"/>
      <c r="B571" s="231"/>
    </row>
    <row r="572">
      <c r="A572" s="231"/>
      <c r="B572" s="231"/>
    </row>
    <row r="573">
      <c r="A573" s="231"/>
      <c r="B573" s="231"/>
    </row>
    <row r="574">
      <c r="A574" s="231"/>
      <c r="B574" s="231"/>
    </row>
    <row r="575">
      <c r="A575" s="231"/>
      <c r="B575" s="231"/>
    </row>
    <row r="576">
      <c r="A576" s="231"/>
      <c r="B576" s="231"/>
    </row>
    <row r="577">
      <c r="A577" s="231"/>
      <c r="B577" s="231"/>
    </row>
    <row r="578">
      <c r="A578" s="231"/>
      <c r="B578" s="231"/>
    </row>
    <row r="579">
      <c r="A579" s="231"/>
      <c r="B579" s="231"/>
    </row>
    <row r="580">
      <c r="A580" s="231"/>
      <c r="B580" s="231"/>
    </row>
    <row r="581">
      <c r="A581" s="231"/>
      <c r="B581" s="231"/>
    </row>
    <row r="582">
      <c r="A582" s="231"/>
      <c r="B582" s="231"/>
    </row>
    <row r="583">
      <c r="A583" s="231"/>
      <c r="B583" s="231"/>
    </row>
    <row r="584">
      <c r="A584" s="231"/>
      <c r="B584" s="231"/>
    </row>
    <row r="585">
      <c r="A585" s="231"/>
      <c r="B585" s="231"/>
    </row>
    <row r="586">
      <c r="A586" s="231"/>
      <c r="B586" s="231"/>
    </row>
    <row r="587">
      <c r="A587" s="231"/>
      <c r="B587" s="231"/>
    </row>
    <row r="588">
      <c r="A588" s="231"/>
      <c r="B588" s="231"/>
    </row>
    <row r="589">
      <c r="A589" s="231"/>
      <c r="B589" s="231"/>
    </row>
    <row r="590">
      <c r="A590" s="231"/>
      <c r="B590" s="231"/>
    </row>
    <row r="591">
      <c r="A591" s="231"/>
      <c r="B591" s="231"/>
    </row>
    <row r="592">
      <c r="A592" s="231"/>
      <c r="B592" s="231"/>
    </row>
    <row r="593">
      <c r="A593" s="231"/>
      <c r="B593" s="231"/>
    </row>
    <row r="594">
      <c r="A594" s="231"/>
      <c r="B594" s="231"/>
    </row>
    <row r="595">
      <c r="A595" s="231"/>
      <c r="B595" s="231"/>
    </row>
    <row r="596">
      <c r="A596" s="231"/>
      <c r="B596" s="231"/>
    </row>
    <row r="597">
      <c r="A597" s="231"/>
      <c r="B597" s="231"/>
    </row>
    <row r="598">
      <c r="A598" s="231"/>
      <c r="B598" s="231"/>
    </row>
    <row r="599">
      <c r="A599" s="231"/>
      <c r="B599" s="231"/>
    </row>
    <row r="600">
      <c r="A600" s="231"/>
      <c r="B600" s="231"/>
    </row>
    <row r="601">
      <c r="A601" s="231"/>
      <c r="B601" s="231"/>
    </row>
    <row r="602">
      <c r="A602" s="231"/>
      <c r="B602" s="231"/>
    </row>
    <row r="603">
      <c r="A603" s="231"/>
      <c r="B603" s="231"/>
    </row>
    <row r="604">
      <c r="A604" s="231"/>
      <c r="B604" s="231"/>
    </row>
    <row r="605">
      <c r="A605" s="231"/>
      <c r="B605" s="231"/>
    </row>
    <row r="606">
      <c r="A606" s="231"/>
      <c r="B606" s="231"/>
    </row>
    <row r="607">
      <c r="A607" s="231"/>
      <c r="B607" s="231"/>
    </row>
    <row r="608">
      <c r="A608" s="231"/>
      <c r="B608" s="231"/>
    </row>
    <row r="609">
      <c r="A609" s="231"/>
      <c r="B609" s="231"/>
    </row>
    <row r="610">
      <c r="A610" s="231"/>
      <c r="B610" s="231"/>
    </row>
    <row r="611">
      <c r="A611" s="231"/>
      <c r="B611" s="231"/>
    </row>
    <row r="612">
      <c r="A612" s="231"/>
      <c r="B612" s="231"/>
    </row>
    <row r="613">
      <c r="A613" s="231"/>
      <c r="B613" s="231"/>
    </row>
    <row r="614">
      <c r="A614" s="231"/>
      <c r="B614" s="231"/>
    </row>
    <row r="615">
      <c r="A615" s="231"/>
      <c r="B615" s="231"/>
    </row>
    <row r="616">
      <c r="A616" s="231"/>
      <c r="B616" s="231"/>
    </row>
    <row r="617">
      <c r="A617" s="231"/>
      <c r="B617" s="231"/>
    </row>
    <row r="618">
      <c r="A618" s="231"/>
      <c r="B618" s="231"/>
    </row>
    <row r="619">
      <c r="A619" s="231"/>
      <c r="B619" s="231"/>
    </row>
    <row r="620">
      <c r="A620" s="231"/>
      <c r="B620" s="231"/>
    </row>
    <row r="621">
      <c r="A621" s="231"/>
      <c r="B621" s="231"/>
    </row>
    <row r="622">
      <c r="A622" s="231"/>
      <c r="B622" s="231"/>
    </row>
    <row r="623">
      <c r="A623" s="231"/>
      <c r="B623" s="231"/>
    </row>
    <row r="624">
      <c r="A624" s="231"/>
      <c r="B624" s="231"/>
    </row>
    <row r="625">
      <c r="A625" s="231"/>
      <c r="B625" s="231"/>
    </row>
    <row r="626">
      <c r="A626" s="231"/>
      <c r="B626" s="231"/>
    </row>
    <row r="627">
      <c r="A627" s="231"/>
      <c r="B627" s="231"/>
    </row>
    <row r="628">
      <c r="A628" s="231"/>
      <c r="B628" s="231"/>
    </row>
    <row r="629">
      <c r="A629" s="231"/>
      <c r="B629" s="231"/>
    </row>
    <row r="630">
      <c r="A630" s="231"/>
      <c r="B630" s="231"/>
    </row>
    <row r="631">
      <c r="A631" s="231"/>
      <c r="B631" s="231"/>
    </row>
    <row r="632">
      <c r="A632" s="231"/>
      <c r="B632" s="231"/>
    </row>
    <row r="633">
      <c r="A633" s="231"/>
      <c r="B633" s="231"/>
    </row>
    <row r="634">
      <c r="A634" s="231"/>
      <c r="B634" s="231"/>
    </row>
    <row r="635">
      <c r="A635" s="231"/>
      <c r="B635" s="231"/>
    </row>
    <row r="636">
      <c r="A636" s="231"/>
      <c r="B636" s="231"/>
    </row>
    <row r="637">
      <c r="A637" s="231"/>
      <c r="B637" s="231"/>
    </row>
    <row r="638">
      <c r="A638" s="231"/>
      <c r="B638" s="231"/>
    </row>
    <row r="639">
      <c r="A639" s="231"/>
      <c r="B639" s="231"/>
    </row>
    <row r="640">
      <c r="A640" s="231"/>
      <c r="B640" s="231"/>
    </row>
    <row r="641">
      <c r="A641" s="231"/>
      <c r="B641" s="231"/>
    </row>
    <row r="642">
      <c r="A642" s="231"/>
      <c r="B642" s="231"/>
    </row>
    <row r="643">
      <c r="A643" s="231"/>
      <c r="B643" s="231"/>
    </row>
    <row r="644">
      <c r="A644" s="231"/>
      <c r="B644" s="231"/>
    </row>
    <row r="645">
      <c r="A645" s="231"/>
      <c r="B645" s="231"/>
    </row>
    <row r="646">
      <c r="A646" s="231"/>
      <c r="B646" s="231"/>
    </row>
    <row r="647">
      <c r="A647" s="231"/>
      <c r="B647" s="231"/>
    </row>
    <row r="648">
      <c r="A648" s="231"/>
      <c r="B648" s="231"/>
    </row>
    <row r="649">
      <c r="A649" s="231"/>
      <c r="B649" s="231"/>
    </row>
    <row r="650">
      <c r="A650" s="231"/>
      <c r="B650" s="231"/>
    </row>
    <row r="651">
      <c r="A651" s="231"/>
      <c r="B651" s="231"/>
    </row>
    <row r="652">
      <c r="A652" s="231"/>
      <c r="B652" s="231"/>
    </row>
    <row r="653">
      <c r="A653" s="231"/>
      <c r="B653" s="231"/>
    </row>
    <row r="654">
      <c r="A654" s="231"/>
      <c r="B654" s="231"/>
    </row>
    <row r="655">
      <c r="A655" s="231"/>
      <c r="B655" s="231"/>
    </row>
    <row r="656">
      <c r="A656" s="231"/>
      <c r="B656" s="231"/>
    </row>
    <row r="657">
      <c r="A657" s="231"/>
      <c r="B657" s="231"/>
    </row>
    <row r="658">
      <c r="A658" s="231"/>
      <c r="B658" s="231"/>
    </row>
    <row r="659">
      <c r="A659" s="231"/>
      <c r="B659" s="231"/>
    </row>
    <row r="660">
      <c r="A660" s="231"/>
      <c r="B660" s="231"/>
    </row>
    <row r="661">
      <c r="A661" s="231"/>
      <c r="B661" s="231"/>
    </row>
    <row r="662">
      <c r="A662" s="231"/>
      <c r="B662" s="231"/>
    </row>
    <row r="663">
      <c r="A663" s="231"/>
      <c r="B663" s="231"/>
    </row>
    <row r="664">
      <c r="A664" s="231"/>
      <c r="B664" s="231"/>
    </row>
    <row r="665">
      <c r="A665" s="231"/>
      <c r="B665" s="231"/>
    </row>
    <row r="666">
      <c r="A666" s="231"/>
      <c r="B666" s="231"/>
    </row>
    <row r="667">
      <c r="A667" s="231"/>
      <c r="B667" s="231"/>
    </row>
    <row r="668">
      <c r="A668" s="231"/>
      <c r="B668" s="231"/>
    </row>
    <row r="669">
      <c r="A669" s="231"/>
      <c r="B669" s="231"/>
    </row>
    <row r="670">
      <c r="A670" s="231"/>
      <c r="B670" s="231"/>
    </row>
    <row r="671">
      <c r="A671" s="231"/>
      <c r="B671" s="231"/>
    </row>
    <row r="672">
      <c r="A672" s="231"/>
      <c r="B672" s="231"/>
    </row>
    <row r="673">
      <c r="A673" s="231"/>
      <c r="B673" s="231"/>
    </row>
    <row r="674">
      <c r="A674" s="231"/>
      <c r="B674" s="231"/>
    </row>
    <row r="675">
      <c r="A675" s="231"/>
      <c r="B675" s="231"/>
    </row>
    <row r="676">
      <c r="A676" s="231"/>
      <c r="B676" s="231"/>
    </row>
    <row r="677">
      <c r="A677" s="231"/>
      <c r="B677" s="231"/>
    </row>
    <row r="678">
      <c r="A678" s="231"/>
      <c r="B678" s="231"/>
    </row>
    <row r="679">
      <c r="A679" s="231"/>
      <c r="B679" s="231"/>
    </row>
    <row r="680">
      <c r="A680" s="231"/>
      <c r="B680" s="231"/>
    </row>
    <row r="681">
      <c r="A681" s="231"/>
      <c r="B681" s="231"/>
    </row>
    <row r="682">
      <c r="A682" s="231"/>
      <c r="B682" s="231"/>
    </row>
    <row r="683">
      <c r="A683" s="231"/>
      <c r="B683" s="231"/>
    </row>
    <row r="684">
      <c r="A684" s="231"/>
      <c r="B684" s="231"/>
    </row>
    <row r="685">
      <c r="A685" s="231"/>
      <c r="B685" s="231"/>
    </row>
    <row r="686">
      <c r="A686" s="231"/>
      <c r="B686" s="231"/>
    </row>
    <row r="687">
      <c r="A687" s="231"/>
      <c r="B687" s="231"/>
    </row>
    <row r="688">
      <c r="A688" s="231"/>
      <c r="B688" s="231"/>
    </row>
    <row r="689">
      <c r="A689" s="231"/>
      <c r="B689" s="231"/>
    </row>
    <row r="690">
      <c r="A690" s="231"/>
      <c r="B690" s="231"/>
    </row>
    <row r="691">
      <c r="A691" s="231"/>
      <c r="B691" s="231"/>
    </row>
    <row r="692">
      <c r="A692" s="231"/>
      <c r="B692" s="231"/>
    </row>
    <row r="693">
      <c r="A693" s="231"/>
      <c r="B693" s="231"/>
    </row>
    <row r="694">
      <c r="A694" s="231"/>
      <c r="B694" s="231"/>
    </row>
    <row r="695">
      <c r="A695" s="231"/>
      <c r="B695" s="231"/>
    </row>
    <row r="696">
      <c r="A696" s="231"/>
      <c r="B696" s="231"/>
    </row>
    <row r="697">
      <c r="A697" s="231"/>
      <c r="B697" s="231"/>
    </row>
    <row r="698">
      <c r="A698" s="231"/>
      <c r="B698" s="231"/>
    </row>
    <row r="699">
      <c r="A699" s="231"/>
      <c r="B699" s="231"/>
    </row>
    <row r="700">
      <c r="A700" s="231"/>
      <c r="B700" s="231"/>
    </row>
    <row r="701">
      <c r="A701" s="231"/>
      <c r="B701" s="231"/>
    </row>
    <row r="702">
      <c r="A702" s="231"/>
      <c r="B702" s="231"/>
    </row>
    <row r="703">
      <c r="A703" s="231"/>
      <c r="B703" s="231"/>
    </row>
    <row r="704">
      <c r="A704" s="231"/>
      <c r="B704" s="231"/>
    </row>
    <row r="705">
      <c r="A705" s="231"/>
      <c r="B705" s="231"/>
    </row>
    <row r="706">
      <c r="A706" s="231"/>
      <c r="B706" s="231"/>
    </row>
    <row r="707">
      <c r="A707" s="231"/>
      <c r="B707" s="231"/>
    </row>
    <row r="708">
      <c r="A708" s="231"/>
      <c r="B708" s="231"/>
    </row>
    <row r="709">
      <c r="A709" s="231"/>
      <c r="B709" s="231"/>
    </row>
    <row r="710">
      <c r="A710" s="231"/>
      <c r="B710" s="231"/>
    </row>
    <row r="711">
      <c r="A711" s="231"/>
      <c r="B711" s="231"/>
    </row>
    <row r="712">
      <c r="A712" s="231"/>
      <c r="B712" s="231"/>
    </row>
    <row r="713">
      <c r="A713" s="231"/>
      <c r="B713" s="231"/>
    </row>
    <row r="714">
      <c r="A714" s="231"/>
      <c r="B714" s="231"/>
    </row>
    <row r="715">
      <c r="A715" s="231"/>
      <c r="B715" s="231"/>
    </row>
    <row r="716">
      <c r="A716" s="231"/>
      <c r="B716" s="231"/>
    </row>
    <row r="717">
      <c r="A717" s="231"/>
      <c r="B717" s="231"/>
    </row>
    <row r="718">
      <c r="A718" s="231"/>
      <c r="B718" s="231"/>
    </row>
    <row r="719">
      <c r="A719" s="231"/>
      <c r="B719" s="231"/>
    </row>
    <row r="720">
      <c r="A720" s="231"/>
      <c r="B720" s="231"/>
    </row>
    <row r="721">
      <c r="A721" s="231"/>
      <c r="B721" s="231"/>
    </row>
    <row r="722">
      <c r="A722" s="231"/>
      <c r="B722" s="231"/>
    </row>
    <row r="723">
      <c r="A723" s="231"/>
      <c r="B723" s="231"/>
    </row>
    <row r="724">
      <c r="A724" s="231"/>
      <c r="B724" s="231"/>
    </row>
    <row r="725">
      <c r="A725" s="231"/>
      <c r="B725" s="231"/>
    </row>
    <row r="726">
      <c r="A726" s="231"/>
      <c r="B726" s="231"/>
    </row>
    <row r="727">
      <c r="A727" s="231"/>
      <c r="B727" s="231"/>
    </row>
    <row r="728">
      <c r="A728" s="231"/>
      <c r="B728" s="231"/>
    </row>
    <row r="729">
      <c r="A729" s="231"/>
      <c r="B729" s="231"/>
    </row>
    <row r="730">
      <c r="A730" s="231"/>
      <c r="B730" s="231"/>
    </row>
    <row r="731">
      <c r="A731" s="231"/>
      <c r="B731" s="231"/>
    </row>
    <row r="732">
      <c r="A732" s="231"/>
      <c r="B732" s="231"/>
    </row>
    <row r="733">
      <c r="A733" s="231"/>
      <c r="B733" s="231"/>
    </row>
    <row r="734">
      <c r="A734" s="231"/>
      <c r="B734" s="231"/>
    </row>
    <row r="735">
      <c r="A735" s="231"/>
      <c r="B735" s="231"/>
    </row>
    <row r="736">
      <c r="A736" s="231"/>
      <c r="B736" s="231"/>
    </row>
    <row r="737">
      <c r="A737" s="231"/>
      <c r="B737" s="231"/>
    </row>
    <row r="738">
      <c r="A738" s="231"/>
      <c r="B738" s="231"/>
    </row>
    <row r="739">
      <c r="A739" s="231"/>
      <c r="B739" s="231"/>
    </row>
    <row r="740">
      <c r="A740" s="231"/>
      <c r="B740" s="231"/>
    </row>
    <row r="741">
      <c r="A741" s="231"/>
      <c r="B741" s="231"/>
    </row>
    <row r="742">
      <c r="A742" s="231"/>
      <c r="B742" s="231"/>
    </row>
    <row r="743">
      <c r="A743" s="231"/>
      <c r="B743" s="231"/>
    </row>
    <row r="744">
      <c r="A744" s="231"/>
      <c r="B744" s="231"/>
    </row>
    <row r="745">
      <c r="A745" s="231"/>
      <c r="B745" s="231"/>
    </row>
    <row r="746">
      <c r="A746" s="231"/>
      <c r="B746" s="231"/>
    </row>
    <row r="747">
      <c r="A747" s="231"/>
      <c r="B747" s="231"/>
    </row>
    <row r="748">
      <c r="A748" s="231"/>
      <c r="B748" s="231"/>
    </row>
    <row r="749">
      <c r="A749" s="231"/>
      <c r="B749" s="231"/>
    </row>
    <row r="750">
      <c r="A750" s="231"/>
      <c r="B750" s="231"/>
    </row>
    <row r="751">
      <c r="A751" s="231"/>
      <c r="B751" s="231"/>
    </row>
    <row r="752">
      <c r="A752" s="231"/>
      <c r="B752" s="231"/>
    </row>
    <row r="753">
      <c r="A753" s="231"/>
      <c r="B753" s="231"/>
    </row>
    <row r="754">
      <c r="A754" s="231"/>
      <c r="B754" s="231"/>
    </row>
    <row r="755">
      <c r="A755" s="231"/>
      <c r="B755" s="231"/>
    </row>
    <row r="756">
      <c r="A756" s="231"/>
      <c r="B756" s="231"/>
    </row>
    <row r="757">
      <c r="A757" s="231"/>
      <c r="B757" s="231"/>
    </row>
    <row r="758">
      <c r="A758" s="231"/>
      <c r="B758" s="231"/>
    </row>
    <row r="759">
      <c r="A759" s="231"/>
      <c r="B759" s="231"/>
    </row>
    <row r="760">
      <c r="A760" s="231"/>
      <c r="B760" s="231"/>
    </row>
    <row r="761">
      <c r="A761" s="231"/>
      <c r="B761" s="231"/>
    </row>
    <row r="762">
      <c r="A762" s="231"/>
      <c r="B762" s="231"/>
    </row>
    <row r="763">
      <c r="A763" s="231"/>
      <c r="B763" s="231"/>
    </row>
    <row r="764">
      <c r="A764" s="231"/>
      <c r="B764" s="231"/>
    </row>
    <row r="765">
      <c r="A765" s="231"/>
      <c r="B765" s="231"/>
    </row>
    <row r="766">
      <c r="A766" s="231"/>
      <c r="B766" s="231"/>
    </row>
    <row r="767">
      <c r="A767" s="231"/>
      <c r="B767" s="231"/>
    </row>
    <row r="768">
      <c r="A768" s="231"/>
      <c r="B768" s="231"/>
    </row>
    <row r="769">
      <c r="A769" s="231"/>
      <c r="B769" s="231"/>
    </row>
    <row r="770">
      <c r="A770" s="231"/>
      <c r="B770" s="231"/>
    </row>
    <row r="771">
      <c r="A771" s="231"/>
      <c r="B771" s="231"/>
    </row>
    <row r="772">
      <c r="A772" s="231"/>
      <c r="B772" s="231"/>
    </row>
    <row r="773">
      <c r="A773" s="231"/>
      <c r="B773" s="231"/>
    </row>
    <row r="774">
      <c r="A774" s="231"/>
      <c r="B774" s="231"/>
    </row>
    <row r="775">
      <c r="A775" s="231"/>
      <c r="B775" s="231"/>
    </row>
    <row r="776">
      <c r="A776" s="231"/>
      <c r="B776" s="231"/>
    </row>
    <row r="777">
      <c r="A777" s="231"/>
      <c r="B777" s="231"/>
    </row>
    <row r="778">
      <c r="A778" s="231"/>
      <c r="B778" s="231"/>
    </row>
    <row r="779">
      <c r="A779" s="231"/>
      <c r="B779" s="231"/>
    </row>
    <row r="780">
      <c r="A780" s="231"/>
      <c r="B780" s="231"/>
    </row>
    <row r="781">
      <c r="A781" s="231"/>
      <c r="B781" s="231"/>
    </row>
    <row r="782">
      <c r="A782" s="231"/>
      <c r="B782" s="231"/>
    </row>
    <row r="783">
      <c r="A783" s="231"/>
      <c r="B783" s="231"/>
    </row>
    <row r="784">
      <c r="A784" s="231"/>
      <c r="B784" s="231"/>
    </row>
    <row r="785">
      <c r="A785" s="231"/>
      <c r="B785" s="231"/>
    </row>
    <row r="786">
      <c r="A786" s="231"/>
      <c r="B786" s="231"/>
    </row>
    <row r="787">
      <c r="A787" s="231"/>
      <c r="B787" s="231"/>
    </row>
    <row r="788">
      <c r="A788" s="231"/>
      <c r="B788" s="231"/>
    </row>
    <row r="789">
      <c r="A789" s="231"/>
      <c r="B789" s="231"/>
    </row>
    <row r="790">
      <c r="A790" s="231"/>
      <c r="B790" s="231"/>
    </row>
    <row r="791">
      <c r="A791" s="231"/>
      <c r="B791" s="231"/>
    </row>
    <row r="792">
      <c r="A792" s="231"/>
      <c r="B792" s="231"/>
    </row>
    <row r="793">
      <c r="A793" s="231"/>
      <c r="B793" s="231"/>
    </row>
    <row r="794">
      <c r="A794" s="231"/>
      <c r="B794" s="231"/>
    </row>
    <row r="795">
      <c r="A795" s="231"/>
      <c r="B795" s="231"/>
    </row>
    <row r="796">
      <c r="A796" s="231"/>
      <c r="B796" s="231"/>
    </row>
    <row r="797">
      <c r="A797" s="231"/>
      <c r="B797" s="231"/>
    </row>
    <row r="798">
      <c r="A798" s="231"/>
      <c r="B798" s="231"/>
    </row>
    <row r="799">
      <c r="A799" s="231"/>
      <c r="B799" s="231"/>
    </row>
    <row r="800">
      <c r="A800" s="231"/>
      <c r="B800" s="231"/>
    </row>
    <row r="801">
      <c r="A801" s="231"/>
      <c r="B801" s="231"/>
    </row>
    <row r="802">
      <c r="A802" s="231"/>
      <c r="B802" s="231"/>
    </row>
    <row r="803">
      <c r="A803" s="231"/>
      <c r="B803" s="231"/>
    </row>
    <row r="804">
      <c r="A804" s="231"/>
      <c r="B804" s="231"/>
    </row>
    <row r="805">
      <c r="A805" s="231"/>
      <c r="B805" s="231"/>
    </row>
    <row r="806">
      <c r="A806" s="231"/>
      <c r="B806" s="231"/>
    </row>
    <row r="807">
      <c r="A807" s="231"/>
      <c r="B807" s="231"/>
    </row>
    <row r="808">
      <c r="A808" s="231"/>
      <c r="B808" s="231"/>
    </row>
    <row r="809">
      <c r="A809" s="231"/>
      <c r="B809" s="231"/>
    </row>
    <row r="810">
      <c r="A810" s="231"/>
      <c r="B810" s="231"/>
    </row>
    <row r="811">
      <c r="A811" s="231"/>
      <c r="B811" s="231"/>
    </row>
    <row r="812">
      <c r="A812" s="231"/>
      <c r="B812" s="231"/>
    </row>
    <row r="813">
      <c r="A813" s="231"/>
      <c r="B813" s="231"/>
    </row>
    <row r="814">
      <c r="A814" s="231"/>
      <c r="B814" s="231"/>
    </row>
    <row r="815">
      <c r="A815" s="231"/>
      <c r="B815" s="231"/>
    </row>
    <row r="816">
      <c r="A816" s="231"/>
      <c r="B816" s="231"/>
    </row>
    <row r="817">
      <c r="A817" s="231"/>
      <c r="B817" s="231"/>
    </row>
    <row r="818">
      <c r="A818" s="231"/>
      <c r="B818" s="231"/>
    </row>
    <row r="819">
      <c r="A819" s="231"/>
      <c r="B819" s="231"/>
    </row>
    <row r="820">
      <c r="A820" s="231"/>
      <c r="B820" s="231"/>
    </row>
    <row r="821">
      <c r="A821" s="231"/>
      <c r="B821" s="231"/>
    </row>
    <row r="822">
      <c r="A822" s="231"/>
      <c r="B822" s="231"/>
    </row>
    <row r="823">
      <c r="A823" s="231"/>
      <c r="B823" s="231"/>
    </row>
    <row r="824">
      <c r="A824" s="231"/>
      <c r="B824" s="231"/>
    </row>
    <row r="825">
      <c r="A825" s="231"/>
      <c r="B825" s="231"/>
    </row>
    <row r="826">
      <c r="A826" s="231"/>
      <c r="B826" s="231"/>
    </row>
    <row r="827">
      <c r="A827" s="231"/>
      <c r="B827" s="231"/>
    </row>
    <row r="828">
      <c r="A828" s="231"/>
      <c r="B828" s="231"/>
    </row>
    <row r="829">
      <c r="A829" s="231"/>
      <c r="B829" s="231"/>
    </row>
    <row r="830">
      <c r="A830" s="231"/>
      <c r="B830" s="231"/>
    </row>
    <row r="831">
      <c r="A831" s="231"/>
      <c r="B831" s="231"/>
    </row>
    <row r="832">
      <c r="A832" s="231"/>
      <c r="B832" s="231"/>
    </row>
    <row r="833">
      <c r="A833" s="231"/>
      <c r="B833" s="231"/>
    </row>
    <row r="834">
      <c r="A834" s="231"/>
      <c r="B834" s="231"/>
    </row>
    <row r="835">
      <c r="A835" s="231"/>
      <c r="B835" s="231"/>
    </row>
    <row r="836">
      <c r="A836" s="231"/>
      <c r="B836" s="231"/>
    </row>
    <row r="837">
      <c r="A837" s="231"/>
      <c r="B837" s="231"/>
    </row>
    <row r="838">
      <c r="A838" s="231"/>
      <c r="B838" s="231"/>
    </row>
    <row r="839">
      <c r="A839" s="231"/>
      <c r="B839" s="231"/>
    </row>
    <row r="840">
      <c r="A840" s="231"/>
      <c r="B840" s="231"/>
    </row>
    <row r="841">
      <c r="A841" s="231"/>
      <c r="B841" s="231"/>
    </row>
    <row r="842">
      <c r="A842" s="231"/>
      <c r="B842" s="231"/>
    </row>
    <row r="843">
      <c r="A843" s="231"/>
      <c r="B843" s="231"/>
    </row>
    <row r="844">
      <c r="A844" s="231"/>
      <c r="B844" s="231"/>
    </row>
    <row r="845">
      <c r="A845" s="231"/>
      <c r="B845" s="231"/>
    </row>
    <row r="846">
      <c r="A846" s="231"/>
      <c r="B846" s="231"/>
    </row>
    <row r="847">
      <c r="A847" s="231"/>
      <c r="B847" s="231"/>
    </row>
    <row r="848">
      <c r="A848" s="231"/>
      <c r="B848" s="231"/>
    </row>
    <row r="849">
      <c r="A849" s="231"/>
      <c r="B849" s="231"/>
    </row>
    <row r="850">
      <c r="A850" s="231"/>
      <c r="B850" s="231"/>
    </row>
    <row r="851">
      <c r="A851" s="231"/>
      <c r="B851" s="231"/>
    </row>
    <row r="852">
      <c r="A852" s="231"/>
      <c r="B852" s="231"/>
    </row>
    <row r="853">
      <c r="A853" s="231"/>
      <c r="B853" s="231"/>
    </row>
    <row r="854">
      <c r="A854" s="231"/>
      <c r="B854" s="231"/>
    </row>
    <row r="855">
      <c r="A855" s="231"/>
      <c r="B855" s="231"/>
    </row>
    <row r="856">
      <c r="A856" s="231"/>
      <c r="B856" s="231"/>
    </row>
    <row r="857">
      <c r="A857" s="231"/>
      <c r="B857" s="231"/>
    </row>
    <row r="858">
      <c r="A858" s="231"/>
      <c r="B858" s="231"/>
    </row>
    <row r="859">
      <c r="A859" s="231"/>
      <c r="B859" s="231"/>
    </row>
    <row r="860">
      <c r="A860" s="231"/>
      <c r="B860" s="231"/>
    </row>
    <row r="861">
      <c r="A861" s="231"/>
      <c r="B861" s="231"/>
    </row>
    <row r="862">
      <c r="A862" s="231"/>
      <c r="B862" s="231"/>
    </row>
    <row r="863">
      <c r="A863" s="231"/>
      <c r="B863" s="231"/>
    </row>
    <row r="864">
      <c r="A864" s="231"/>
      <c r="B864" s="231"/>
    </row>
    <row r="865">
      <c r="A865" s="231"/>
      <c r="B865" s="231"/>
    </row>
    <row r="866">
      <c r="A866" s="231"/>
      <c r="B866" s="231"/>
    </row>
    <row r="867">
      <c r="A867" s="231"/>
      <c r="B867" s="231"/>
    </row>
    <row r="868">
      <c r="A868" s="231"/>
      <c r="B868" s="231"/>
    </row>
    <row r="869">
      <c r="A869" s="231"/>
      <c r="B869" s="231"/>
    </row>
    <row r="870">
      <c r="A870" s="231"/>
      <c r="B870" s="231"/>
    </row>
    <row r="871">
      <c r="A871" s="231"/>
      <c r="B871" s="231"/>
    </row>
    <row r="872">
      <c r="A872" s="231"/>
      <c r="B872" s="231"/>
    </row>
    <row r="873">
      <c r="A873" s="231"/>
      <c r="B873" s="231"/>
    </row>
    <row r="874">
      <c r="A874" s="231"/>
      <c r="B874" s="231"/>
    </row>
    <row r="875">
      <c r="A875" s="231"/>
      <c r="B875" s="231"/>
    </row>
    <row r="876">
      <c r="A876" s="231"/>
      <c r="B876" s="231"/>
    </row>
    <row r="877">
      <c r="A877" s="231"/>
      <c r="B877" s="231"/>
    </row>
    <row r="878">
      <c r="A878" s="231"/>
      <c r="B878" s="231"/>
    </row>
    <row r="879">
      <c r="A879" s="231"/>
      <c r="B879" s="231"/>
    </row>
    <row r="880">
      <c r="A880" s="231"/>
      <c r="B880" s="231"/>
    </row>
    <row r="881">
      <c r="A881" s="231"/>
      <c r="B881" s="231"/>
    </row>
    <row r="882">
      <c r="A882" s="231"/>
      <c r="B882" s="231"/>
    </row>
    <row r="883">
      <c r="A883" s="231"/>
      <c r="B883" s="231"/>
    </row>
    <row r="884">
      <c r="A884" s="231"/>
      <c r="B884" s="231"/>
    </row>
    <row r="885">
      <c r="A885" s="231"/>
      <c r="B885" s="231"/>
    </row>
    <row r="886">
      <c r="A886" s="231"/>
      <c r="B886" s="231"/>
    </row>
    <row r="887">
      <c r="A887" s="231"/>
      <c r="B887" s="231"/>
    </row>
    <row r="888">
      <c r="A888" s="231"/>
      <c r="B888" s="231"/>
    </row>
    <row r="889">
      <c r="A889" s="231"/>
      <c r="B889" s="231"/>
    </row>
    <row r="890">
      <c r="A890" s="231"/>
      <c r="B890" s="231"/>
    </row>
    <row r="891">
      <c r="A891" s="231"/>
      <c r="B891" s="231"/>
    </row>
    <row r="892">
      <c r="A892" s="231"/>
      <c r="B892" s="231"/>
    </row>
    <row r="893">
      <c r="A893" s="231"/>
      <c r="B893" s="231"/>
    </row>
    <row r="894">
      <c r="A894" s="231"/>
      <c r="B894" s="231"/>
    </row>
    <row r="895">
      <c r="A895" s="231"/>
      <c r="B895" s="231"/>
    </row>
    <row r="896">
      <c r="A896" s="231"/>
      <c r="B896" s="231"/>
    </row>
    <row r="897">
      <c r="A897" s="231"/>
      <c r="B897" s="231"/>
    </row>
    <row r="898">
      <c r="A898" s="231"/>
      <c r="B898" s="231"/>
    </row>
    <row r="899">
      <c r="A899" s="231"/>
      <c r="B899" s="231"/>
    </row>
    <row r="900">
      <c r="A900" s="231"/>
      <c r="B900" s="231"/>
    </row>
    <row r="901">
      <c r="A901" s="231"/>
      <c r="B901" s="231"/>
    </row>
    <row r="902">
      <c r="A902" s="231"/>
      <c r="B902" s="231"/>
    </row>
    <row r="903">
      <c r="A903" s="231"/>
      <c r="B903" s="231"/>
    </row>
    <row r="904">
      <c r="A904" s="231"/>
      <c r="B904" s="231"/>
    </row>
    <row r="905">
      <c r="A905" s="231"/>
      <c r="B905" s="231"/>
    </row>
    <row r="906">
      <c r="A906" s="231"/>
      <c r="B906" s="231"/>
    </row>
    <row r="907">
      <c r="A907" s="231"/>
      <c r="B907" s="231"/>
    </row>
    <row r="908">
      <c r="A908" s="231"/>
      <c r="B908" s="231"/>
    </row>
    <row r="909">
      <c r="A909" s="231"/>
      <c r="B909" s="231"/>
    </row>
    <row r="910">
      <c r="A910" s="231"/>
      <c r="B910" s="231"/>
    </row>
    <row r="911">
      <c r="A911" s="231"/>
      <c r="B911" s="231"/>
    </row>
    <row r="912">
      <c r="A912" s="231"/>
      <c r="B912" s="231"/>
    </row>
    <row r="913">
      <c r="A913" s="231"/>
      <c r="B913" s="231"/>
    </row>
    <row r="914">
      <c r="A914" s="231"/>
      <c r="B914" s="231"/>
    </row>
    <row r="915">
      <c r="A915" s="231"/>
      <c r="B915" s="231"/>
    </row>
    <row r="916">
      <c r="A916" s="231"/>
      <c r="B916" s="231"/>
    </row>
    <row r="917">
      <c r="A917" s="231"/>
      <c r="B917" s="231"/>
    </row>
    <row r="918">
      <c r="A918" s="231"/>
      <c r="B918" s="231"/>
    </row>
    <row r="919">
      <c r="A919" s="231"/>
      <c r="B919" s="231"/>
    </row>
    <row r="920">
      <c r="A920" s="231"/>
      <c r="B920" s="231"/>
    </row>
    <row r="921">
      <c r="A921" s="231"/>
      <c r="B921" s="231"/>
    </row>
    <row r="922">
      <c r="A922" s="231"/>
      <c r="B922" s="231"/>
    </row>
    <row r="923">
      <c r="A923" s="231"/>
      <c r="B923" s="231"/>
    </row>
    <row r="924">
      <c r="A924" s="231"/>
      <c r="B924" s="231"/>
    </row>
    <row r="925">
      <c r="A925" s="231"/>
      <c r="B925" s="231"/>
    </row>
    <row r="926">
      <c r="A926" s="231"/>
      <c r="B926" s="231"/>
    </row>
    <row r="927">
      <c r="A927" s="231"/>
      <c r="B927" s="231"/>
    </row>
    <row r="928">
      <c r="A928" s="231"/>
      <c r="B928" s="231"/>
    </row>
    <row r="929">
      <c r="A929" s="231"/>
      <c r="B929" s="231"/>
    </row>
    <row r="930">
      <c r="A930" s="231"/>
      <c r="B930" s="231"/>
    </row>
    <row r="931">
      <c r="A931" s="231"/>
      <c r="B931" s="231"/>
    </row>
    <row r="932">
      <c r="A932" s="231"/>
      <c r="B932" s="231"/>
    </row>
    <row r="933">
      <c r="A933" s="231"/>
      <c r="B933" s="231"/>
    </row>
    <row r="934">
      <c r="A934" s="231"/>
      <c r="B934" s="231"/>
    </row>
    <row r="935">
      <c r="A935" s="231"/>
      <c r="B935" s="231"/>
    </row>
    <row r="936">
      <c r="A936" s="231"/>
      <c r="B936" s="231"/>
    </row>
    <row r="937">
      <c r="A937" s="231"/>
      <c r="B937" s="231"/>
    </row>
    <row r="938">
      <c r="A938" s="231"/>
      <c r="B938" s="231"/>
    </row>
    <row r="939">
      <c r="A939" s="231"/>
      <c r="B939" s="231"/>
    </row>
    <row r="940">
      <c r="A940" s="231"/>
      <c r="B940" s="231"/>
    </row>
    <row r="941">
      <c r="A941" s="231"/>
      <c r="B941" s="231"/>
    </row>
    <row r="942">
      <c r="A942" s="231"/>
      <c r="B942" s="231"/>
    </row>
    <row r="943">
      <c r="A943" s="231"/>
      <c r="B943" s="231"/>
    </row>
    <row r="944">
      <c r="A944" s="231"/>
      <c r="B944" s="231"/>
    </row>
    <row r="945">
      <c r="A945" s="231"/>
      <c r="B945" s="231"/>
    </row>
    <row r="946">
      <c r="A946" s="231"/>
      <c r="B946" s="231"/>
    </row>
    <row r="947">
      <c r="A947" s="231"/>
      <c r="B947" s="231"/>
    </row>
    <row r="948">
      <c r="A948" s="231"/>
      <c r="B948" s="231"/>
    </row>
    <row r="949">
      <c r="A949" s="231"/>
      <c r="B949" s="231"/>
    </row>
    <row r="950">
      <c r="A950" s="231"/>
      <c r="B950" s="231"/>
    </row>
    <row r="951">
      <c r="A951" s="231"/>
      <c r="B951" s="231"/>
    </row>
    <row r="952">
      <c r="A952" s="231"/>
      <c r="B952" s="231"/>
    </row>
    <row r="953">
      <c r="A953" s="231"/>
      <c r="B953" s="231"/>
    </row>
    <row r="954">
      <c r="A954" s="231"/>
      <c r="B954" s="231"/>
    </row>
    <row r="955">
      <c r="A955" s="231"/>
      <c r="B955" s="231"/>
    </row>
    <row r="956">
      <c r="A956" s="231"/>
      <c r="B956" s="231"/>
    </row>
    <row r="957">
      <c r="A957" s="231"/>
      <c r="B957" s="231"/>
    </row>
    <row r="958">
      <c r="A958" s="231"/>
      <c r="B958" s="231"/>
    </row>
    <row r="959">
      <c r="A959" s="231"/>
      <c r="B959" s="231"/>
    </row>
    <row r="960">
      <c r="A960" s="231"/>
      <c r="B960" s="231"/>
    </row>
    <row r="961">
      <c r="A961" s="231"/>
      <c r="B961" s="231"/>
    </row>
    <row r="962">
      <c r="A962" s="231"/>
      <c r="B962" s="231"/>
    </row>
    <row r="963">
      <c r="A963" s="231"/>
      <c r="B963" s="231"/>
    </row>
    <row r="964">
      <c r="A964" s="231"/>
      <c r="B964" s="231"/>
    </row>
    <row r="965">
      <c r="A965" s="231"/>
      <c r="B965" s="231"/>
    </row>
    <row r="966">
      <c r="A966" s="231"/>
      <c r="B966" s="231"/>
    </row>
    <row r="967">
      <c r="A967" s="231"/>
      <c r="B967" s="231"/>
    </row>
    <row r="968">
      <c r="A968" s="231"/>
      <c r="B968" s="231"/>
    </row>
    <row r="969">
      <c r="A969" s="231"/>
      <c r="B969" s="231"/>
    </row>
    <row r="970">
      <c r="A970" s="231"/>
      <c r="B970" s="231"/>
    </row>
    <row r="971">
      <c r="A971" s="231"/>
      <c r="B971" s="231"/>
    </row>
    <row r="972">
      <c r="A972" s="231"/>
      <c r="B972" s="231"/>
    </row>
    <row r="973">
      <c r="A973" s="231"/>
      <c r="B973" s="231"/>
    </row>
    <row r="974">
      <c r="A974" s="231"/>
      <c r="B974" s="231"/>
    </row>
    <row r="975">
      <c r="A975" s="231"/>
      <c r="B975" s="231"/>
    </row>
    <row r="976">
      <c r="A976" s="231"/>
      <c r="B976" s="231"/>
    </row>
    <row r="977">
      <c r="A977" s="231"/>
      <c r="B977" s="231"/>
    </row>
    <row r="978">
      <c r="A978" s="231"/>
      <c r="B978" s="231"/>
    </row>
    <row r="979">
      <c r="A979" s="231"/>
      <c r="B979" s="231"/>
    </row>
    <row r="980">
      <c r="A980" s="231"/>
      <c r="B980" s="231"/>
    </row>
    <row r="981">
      <c r="A981" s="231"/>
      <c r="B981" s="231"/>
    </row>
    <row r="982">
      <c r="A982" s="231"/>
      <c r="B982" s="231"/>
    </row>
    <row r="983">
      <c r="A983" s="231"/>
      <c r="B983" s="231"/>
    </row>
    <row r="984">
      <c r="A984" s="231"/>
      <c r="B984" s="231"/>
    </row>
    <row r="985">
      <c r="A985" s="231"/>
      <c r="B985" s="231"/>
    </row>
    <row r="986">
      <c r="A986" s="231"/>
      <c r="B986" s="231"/>
    </row>
    <row r="987">
      <c r="A987" s="231"/>
      <c r="B987" s="231"/>
    </row>
    <row r="988">
      <c r="A988" s="231"/>
      <c r="B988" s="231"/>
    </row>
    <row r="989">
      <c r="A989" s="231"/>
      <c r="B989" s="231"/>
    </row>
    <row r="990">
      <c r="A990" s="231"/>
      <c r="B990" s="231"/>
    </row>
    <row r="991">
      <c r="A991" s="231"/>
      <c r="B991" s="231"/>
    </row>
    <row r="992">
      <c r="A992" s="231"/>
      <c r="B992" s="231"/>
    </row>
  </sheetData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25.13"/>
    <col customWidth="1" min="4" max="4" width="16.88"/>
    <col customWidth="1" min="5" max="5" width="26.13"/>
    <col customWidth="1" min="7" max="7" width="15.0"/>
    <col hidden="1" min="10" max="22" width="12.63"/>
  </cols>
  <sheetData>
    <row r="1">
      <c r="A1" s="358" t="s">
        <v>44</v>
      </c>
      <c r="B1" s="560" t="s">
        <v>1</v>
      </c>
      <c r="C1" s="57" t="s">
        <v>294</v>
      </c>
      <c r="D1" s="55" t="s">
        <v>248</v>
      </c>
      <c r="E1" s="348" t="s">
        <v>249</v>
      </c>
      <c r="F1" s="349" t="s">
        <v>250</v>
      </c>
      <c r="G1" s="561" t="s">
        <v>15395</v>
      </c>
      <c r="H1" s="348"/>
      <c r="I1" s="348"/>
      <c r="O1" s="353" t="s">
        <v>4476</v>
      </c>
      <c r="P1" s="353" t="s">
        <v>1</v>
      </c>
      <c r="R1" s="11" t="s">
        <v>252</v>
      </c>
      <c r="S1" s="11" t="str">
        <f>"Empty codes:"&amp; COUNTBLANK(P2:P81)</f>
        <v>Empty codes:0</v>
      </c>
    </row>
    <row r="2" hidden="1">
      <c r="A2" s="562" t="s">
        <v>1738</v>
      </c>
      <c r="B2" s="129">
        <v>14465.0</v>
      </c>
      <c r="C2" s="195" t="s">
        <v>15396</v>
      </c>
      <c r="D2" s="563">
        <v>0.9</v>
      </c>
      <c r="E2" s="563">
        <v>0.9</v>
      </c>
      <c r="F2" s="229" t="s">
        <v>1656</v>
      </c>
      <c r="G2" s="564">
        <v>46146.0</v>
      </c>
      <c r="H2" s="564"/>
      <c r="I2" s="564"/>
      <c r="O2" s="558" t="s">
        <v>15333</v>
      </c>
      <c r="P2" s="558">
        <v>2345.0</v>
      </c>
      <c r="Q2" s="36"/>
      <c r="R2" s="36" t="e">
        <v>#N/A</v>
      </c>
    </row>
    <row r="3">
      <c r="A3" s="562" t="s">
        <v>1736</v>
      </c>
      <c r="B3" s="129">
        <v>14298.0</v>
      </c>
      <c r="C3" s="195" t="s">
        <v>15396</v>
      </c>
      <c r="D3" s="563">
        <v>0.9</v>
      </c>
      <c r="E3" s="563">
        <v>0.9</v>
      </c>
      <c r="F3" s="229" t="s">
        <v>1656</v>
      </c>
      <c r="G3" s="564">
        <v>46146.0</v>
      </c>
      <c r="H3" s="564"/>
      <c r="I3" s="564"/>
      <c r="O3" s="558" t="s">
        <v>1736</v>
      </c>
      <c r="P3" s="558">
        <v>3607.0</v>
      </c>
      <c r="Q3" s="36"/>
      <c r="R3" s="36" t="e">
        <v>#N/A</v>
      </c>
    </row>
    <row r="4" hidden="1">
      <c r="A4" s="562" t="s">
        <v>1739</v>
      </c>
      <c r="B4" s="129">
        <v>7157.0</v>
      </c>
      <c r="C4" s="195" t="s">
        <v>15396</v>
      </c>
      <c r="D4" s="563">
        <v>0.8</v>
      </c>
      <c r="E4" s="563">
        <v>0.8</v>
      </c>
      <c r="F4" s="229" t="s">
        <v>1656</v>
      </c>
      <c r="G4" s="564">
        <v>46146.0</v>
      </c>
      <c r="H4" s="564"/>
      <c r="I4" s="564"/>
      <c r="O4" s="558" t="s">
        <v>1739</v>
      </c>
      <c r="P4" s="558">
        <v>663.0</v>
      </c>
      <c r="Q4" s="36"/>
      <c r="R4" s="36" t="e">
        <v>#N/A</v>
      </c>
    </row>
    <row r="5" hidden="1">
      <c r="A5" s="562" t="s">
        <v>1740</v>
      </c>
      <c r="B5" s="129">
        <v>13864.0</v>
      </c>
      <c r="C5" s="195" t="s">
        <v>15396</v>
      </c>
      <c r="D5" s="563">
        <v>0.8</v>
      </c>
      <c r="E5" s="563">
        <v>0.8</v>
      </c>
      <c r="F5" s="229" t="s">
        <v>1656</v>
      </c>
      <c r="G5" s="564">
        <v>46146.0</v>
      </c>
      <c r="H5" s="564"/>
      <c r="I5" s="564"/>
      <c r="O5" s="558" t="s">
        <v>1740</v>
      </c>
      <c r="P5" s="558">
        <v>6924.0</v>
      </c>
      <c r="Q5" s="36"/>
      <c r="R5" s="36" t="e">
        <v>#N/A</v>
      </c>
    </row>
    <row r="6" hidden="1">
      <c r="A6" s="562" t="s">
        <v>1741</v>
      </c>
      <c r="B6" s="129">
        <v>6675.0</v>
      </c>
      <c r="C6" s="195" t="s">
        <v>15396</v>
      </c>
      <c r="D6" s="563">
        <v>0.8</v>
      </c>
      <c r="E6" s="563">
        <v>0.8</v>
      </c>
      <c r="F6" s="229" t="s">
        <v>1656</v>
      </c>
      <c r="G6" s="564">
        <v>46146.0</v>
      </c>
      <c r="H6" s="564"/>
      <c r="I6" s="564"/>
      <c r="O6" s="558" t="s">
        <v>1741</v>
      </c>
      <c r="P6" s="558">
        <v>2345.0</v>
      </c>
      <c r="Q6" s="36"/>
      <c r="R6" s="36" t="e">
        <v>#N/A</v>
      </c>
    </row>
    <row r="7" hidden="1">
      <c r="A7" s="562" t="s">
        <v>1742</v>
      </c>
      <c r="B7" s="129">
        <v>6706.0</v>
      </c>
      <c r="C7" s="195" t="s">
        <v>15396</v>
      </c>
      <c r="D7" s="563">
        <v>0.8</v>
      </c>
      <c r="E7" s="563">
        <v>0.8</v>
      </c>
      <c r="F7" s="229" t="s">
        <v>1656</v>
      </c>
      <c r="G7" s="564">
        <v>46146.0</v>
      </c>
      <c r="H7" s="564"/>
      <c r="I7" s="564"/>
      <c r="O7" s="353" t="s">
        <v>1742</v>
      </c>
      <c r="P7" s="353">
        <v>986.0</v>
      </c>
      <c r="R7" s="18">
        <v>1.0</v>
      </c>
    </row>
    <row r="8" hidden="1">
      <c r="A8" s="562" t="s">
        <v>1745</v>
      </c>
      <c r="B8" s="129">
        <v>6706.0</v>
      </c>
      <c r="C8" s="195" t="s">
        <v>15396</v>
      </c>
      <c r="D8" s="563">
        <v>0.8</v>
      </c>
      <c r="E8" s="563">
        <v>0.8</v>
      </c>
      <c r="F8" s="229" t="s">
        <v>1656</v>
      </c>
      <c r="G8" s="564">
        <v>46146.0</v>
      </c>
      <c r="H8" s="564"/>
      <c r="I8" s="564"/>
      <c r="O8" s="558" t="s">
        <v>1745</v>
      </c>
      <c r="P8" s="558">
        <v>189.0</v>
      </c>
      <c r="Q8" s="36"/>
      <c r="R8" s="36" t="e">
        <v>#N/A</v>
      </c>
    </row>
    <row r="9" hidden="1">
      <c r="A9" s="562" t="s">
        <v>1747</v>
      </c>
      <c r="B9" s="129">
        <v>6706.0</v>
      </c>
      <c r="C9" s="195" t="s">
        <v>15396</v>
      </c>
      <c r="D9" s="563">
        <v>0.8</v>
      </c>
      <c r="E9" s="563">
        <v>0.8</v>
      </c>
      <c r="F9" s="229" t="s">
        <v>1656</v>
      </c>
      <c r="G9" s="564">
        <v>46146.0</v>
      </c>
      <c r="H9" s="564"/>
      <c r="I9" s="564"/>
      <c r="O9" s="558" t="s">
        <v>1747</v>
      </c>
      <c r="P9" s="558">
        <v>6675.0</v>
      </c>
      <c r="Q9" s="36"/>
      <c r="R9" s="36" t="e">
        <v>#N/A</v>
      </c>
    </row>
    <row r="10" hidden="1">
      <c r="A10" s="562" t="s">
        <v>1749</v>
      </c>
      <c r="B10" s="129">
        <v>6706.0</v>
      </c>
      <c r="C10" s="195" t="s">
        <v>15396</v>
      </c>
      <c r="D10" s="563">
        <v>0.8</v>
      </c>
      <c r="E10" s="563">
        <v>0.8</v>
      </c>
      <c r="F10" s="229" t="s">
        <v>1656</v>
      </c>
      <c r="G10" s="564">
        <v>46146.0</v>
      </c>
      <c r="H10" s="564"/>
      <c r="I10" s="564"/>
      <c r="O10" s="558" t="s">
        <v>1749</v>
      </c>
      <c r="P10" s="558">
        <v>986.0</v>
      </c>
      <c r="Q10" s="36"/>
      <c r="R10" s="36" t="e">
        <v>#N/A</v>
      </c>
    </row>
    <row r="11" hidden="1">
      <c r="A11" s="562" t="s">
        <v>1743</v>
      </c>
      <c r="B11" s="565">
        <v>6706.0</v>
      </c>
      <c r="C11" s="195" t="s">
        <v>15396</v>
      </c>
      <c r="D11" s="563">
        <v>0.8</v>
      </c>
      <c r="E11" s="563">
        <v>0.8</v>
      </c>
      <c r="F11" s="229" t="s">
        <v>1656</v>
      </c>
      <c r="G11" s="564">
        <v>46146.0</v>
      </c>
      <c r="H11" s="564"/>
      <c r="I11" s="564"/>
      <c r="O11" s="558" t="s">
        <v>1743</v>
      </c>
      <c r="P11" s="558">
        <v>6658.0</v>
      </c>
      <c r="Q11" s="36"/>
      <c r="R11" s="36" t="e">
        <v>#N/A</v>
      </c>
    </row>
    <row r="12" hidden="1">
      <c r="A12" s="562" t="s">
        <v>1744</v>
      </c>
      <c r="B12" s="565">
        <v>8486.0</v>
      </c>
      <c r="C12" s="195" t="s">
        <v>15396</v>
      </c>
      <c r="D12" s="563">
        <v>0.8</v>
      </c>
      <c r="E12" s="563">
        <v>0.8</v>
      </c>
      <c r="F12" s="229" t="s">
        <v>1656</v>
      </c>
      <c r="G12" s="564">
        <v>46146.0</v>
      </c>
      <c r="H12" s="564"/>
      <c r="I12" s="564"/>
      <c r="O12" s="558" t="s">
        <v>1744</v>
      </c>
      <c r="P12" s="558">
        <v>986.0</v>
      </c>
      <c r="Q12" s="36"/>
      <c r="R12" s="36" t="e">
        <v>#N/A</v>
      </c>
    </row>
    <row r="13" hidden="1">
      <c r="A13" s="562" t="s">
        <v>1746</v>
      </c>
      <c r="B13" s="565">
        <v>5458.0</v>
      </c>
      <c r="C13" s="195" t="s">
        <v>15396</v>
      </c>
      <c r="D13" s="563">
        <v>0.8</v>
      </c>
      <c r="E13" s="563">
        <v>0.8</v>
      </c>
      <c r="F13" s="229" t="s">
        <v>1656</v>
      </c>
      <c r="G13" s="564">
        <v>46146.0</v>
      </c>
      <c r="H13" s="564"/>
      <c r="I13" s="564"/>
      <c r="O13" s="558" t="s">
        <v>1746</v>
      </c>
      <c r="P13" s="558">
        <v>986.0</v>
      </c>
      <c r="Q13" s="36"/>
      <c r="R13" s="36" t="e">
        <v>#N/A</v>
      </c>
    </row>
    <row r="14" hidden="1">
      <c r="A14" s="562" t="s">
        <v>1748</v>
      </c>
      <c r="B14" s="565">
        <v>5566.0</v>
      </c>
      <c r="C14" s="195" t="s">
        <v>15396</v>
      </c>
      <c r="D14" s="563">
        <v>0.8</v>
      </c>
      <c r="E14" s="563">
        <v>0.8</v>
      </c>
      <c r="F14" s="229" t="s">
        <v>1656</v>
      </c>
      <c r="G14" s="564">
        <v>46146.0</v>
      </c>
      <c r="H14" s="564"/>
      <c r="I14" s="564"/>
      <c r="O14" s="558" t="s">
        <v>1748</v>
      </c>
      <c r="P14" s="558">
        <v>986.0</v>
      </c>
      <c r="Q14" s="36"/>
      <c r="R14" s="36" t="e">
        <v>#N/A</v>
      </c>
    </row>
    <row r="15" hidden="1">
      <c r="A15" s="562" t="s">
        <v>1750</v>
      </c>
      <c r="B15" s="565">
        <v>6658.0</v>
      </c>
      <c r="C15" s="195" t="s">
        <v>15396</v>
      </c>
      <c r="D15" s="563">
        <v>0.8</v>
      </c>
      <c r="E15" s="563">
        <v>0.8</v>
      </c>
      <c r="F15" s="229" t="s">
        <v>1656</v>
      </c>
      <c r="G15" s="564">
        <v>46146.0</v>
      </c>
      <c r="H15" s="564"/>
      <c r="I15" s="564"/>
      <c r="O15" s="558" t="s">
        <v>1750</v>
      </c>
      <c r="P15" s="558">
        <v>986.0</v>
      </c>
      <c r="Q15" s="36"/>
      <c r="R15" s="36" t="e">
        <v>#N/A</v>
      </c>
    </row>
    <row r="16" hidden="1">
      <c r="A16" s="562" t="s">
        <v>1751</v>
      </c>
      <c r="B16" s="565">
        <v>3404.0</v>
      </c>
      <c r="C16" s="195" t="s">
        <v>15396</v>
      </c>
      <c r="D16" s="563">
        <v>0.8</v>
      </c>
      <c r="E16" s="563">
        <v>0.8</v>
      </c>
      <c r="F16" s="229" t="s">
        <v>1656</v>
      </c>
      <c r="G16" s="564">
        <v>46146.0</v>
      </c>
      <c r="H16" s="564"/>
      <c r="I16" s="564"/>
      <c r="O16" s="558" t="s">
        <v>1751</v>
      </c>
      <c r="P16" s="558">
        <v>986.0</v>
      </c>
      <c r="Q16" s="36"/>
      <c r="R16" s="36" t="e">
        <v>#N/A</v>
      </c>
    </row>
    <row r="17" hidden="1">
      <c r="A17" s="562" t="s">
        <v>1752</v>
      </c>
      <c r="B17" s="129">
        <v>3381.0</v>
      </c>
      <c r="C17" s="195" t="s">
        <v>15396</v>
      </c>
      <c r="D17" s="563">
        <v>0.8</v>
      </c>
      <c r="E17" s="563">
        <v>0.8</v>
      </c>
      <c r="F17" s="229" t="s">
        <v>1656</v>
      </c>
      <c r="G17" s="564">
        <v>46146.0</v>
      </c>
      <c r="H17" s="564"/>
      <c r="I17" s="564"/>
      <c r="O17" s="558" t="s">
        <v>1752</v>
      </c>
      <c r="P17" s="558">
        <v>986.0</v>
      </c>
      <c r="Q17" s="36"/>
      <c r="R17" s="36" t="e">
        <v>#N/A</v>
      </c>
    </row>
    <row r="18" hidden="1">
      <c r="A18" s="562" t="s">
        <v>1758</v>
      </c>
      <c r="B18" s="129">
        <v>13945.0</v>
      </c>
      <c r="C18" s="195" t="s">
        <v>15396</v>
      </c>
      <c r="D18" s="563">
        <v>0.8</v>
      </c>
      <c r="E18" s="563">
        <v>0.8</v>
      </c>
      <c r="F18" s="229" t="s">
        <v>1656</v>
      </c>
      <c r="G18" s="564">
        <v>46146.0</v>
      </c>
      <c r="H18" s="564"/>
      <c r="I18" s="564"/>
      <c r="O18" s="558" t="s">
        <v>1758</v>
      </c>
      <c r="P18" s="558">
        <v>7158.0</v>
      </c>
      <c r="Q18" s="36"/>
      <c r="R18" s="36" t="e">
        <v>#N/A</v>
      </c>
    </row>
    <row r="19" hidden="1">
      <c r="A19" s="562" t="s">
        <v>1753</v>
      </c>
      <c r="B19" s="129">
        <v>3307.0</v>
      </c>
      <c r="C19" s="195" t="s">
        <v>15396</v>
      </c>
      <c r="D19" s="563">
        <v>0.8</v>
      </c>
      <c r="E19" s="563">
        <v>0.8</v>
      </c>
      <c r="F19" s="229" t="s">
        <v>1656</v>
      </c>
      <c r="G19" s="564">
        <v>46146.0</v>
      </c>
      <c r="H19" s="564"/>
      <c r="I19" s="564"/>
      <c r="O19" s="558" t="s">
        <v>1753</v>
      </c>
      <c r="P19" s="558">
        <v>6827.0</v>
      </c>
      <c r="Q19" s="36"/>
      <c r="R19" s="36" t="e">
        <v>#N/A</v>
      </c>
    </row>
    <row r="20" hidden="1">
      <c r="A20" s="562" t="s">
        <v>1754</v>
      </c>
      <c r="B20" s="129">
        <v>6947.0</v>
      </c>
      <c r="C20" s="195" t="s">
        <v>15396</v>
      </c>
      <c r="D20" s="563">
        <v>0.8</v>
      </c>
      <c r="E20" s="563">
        <v>0.8</v>
      </c>
      <c r="F20" s="229" t="s">
        <v>1656</v>
      </c>
      <c r="G20" s="564">
        <v>46146.0</v>
      </c>
      <c r="H20" s="564"/>
      <c r="I20" s="564"/>
      <c r="O20" s="558" t="s">
        <v>1754</v>
      </c>
      <c r="P20" s="558">
        <v>6736.0</v>
      </c>
      <c r="Q20" s="558">
        <v>6770.0</v>
      </c>
      <c r="R20" s="36" t="e">
        <v>#N/A</v>
      </c>
    </row>
    <row r="21" hidden="1">
      <c r="A21" s="562" t="s">
        <v>1755</v>
      </c>
      <c r="B21" s="129">
        <v>12936.0</v>
      </c>
      <c r="C21" s="195" t="s">
        <v>15396</v>
      </c>
      <c r="D21" s="563">
        <v>0.8</v>
      </c>
      <c r="E21" s="563">
        <v>0.8</v>
      </c>
      <c r="F21" s="229" t="s">
        <v>1656</v>
      </c>
      <c r="G21" s="564">
        <v>46146.0</v>
      </c>
      <c r="H21" s="564"/>
      <c r="I21" s="564"/>
      <c r="O21" s="558" t="s">
        <v>1755</v>
      </c>
      <c r="P21" s="558">
        <v>6772.0</v>
      </c>
      <c r="Q21" s="36"/>
      <c r="R21" s="36" t="e">
        <v>#N/A</v>
      </c>
    </row>
    <row r="22" hidden="1">
      <c r="A22" s="562" t="s">
        <v>1756</v>
      </c>
      <c r="B22" s="129">
        <v>7031.0</v>
      </c>
      <c r="C22" s="195" t="s">
        <v>15396</v>
      </c>
      <c r="D22" s="563">
        <v>0.8</v>
      </c>
      <c r="E22" s="563">
        <v>0.8</v>
      </c>
      <c r="F22" s="229" t="s">
        <v>1656</v>
      </c>
      <c r="G22" s="564">
        <v>46146.0</v>
      </c>
      <c r="H22" s="564"/>
      <c r="I22" s="564"/>
      <c r="O22" s="558" t="s">
        <v>1756</v>
      </c>
      <c r="P22" s="558">
        <v>3307.0</v>
      </c>
      <c r="Q22" s="36"/>
      <c r="R22" s="36" t="e">
        <v>#N/A</v>
      </c>
    </row>
    <row r="23" hidden="1">
      <c r="A23" s="562" t="s">
        <v>1757</v>
      </c>
      <c r="B23" s="129">
        <v>14076.0</v>
      </c>
      <c r="C23" s="195" t="s">
        <v>15396</v>
      </c>
      <c r="D23" s="563">
        <v>0.8</v>
      </c>
      <c r="E23" s="563">
        <v>0.8</v>
      </c>
      <c r="F23" s="229" t="s">
        <v>1656</v>
      </c>
      <c r="G23" s="564">
        <v>46146.0</v>
      </c>
      <c r="H23" s="564"/>
      <c r="I23" s="564"/>
      <c r="O23" s="558" t="s">
        <v>1757</v>
      </c>
      <c r="P23" s="558">
        <v>7104.0</v>
      </c>
      <c r="Q23" s="36"/>
      <c r="R23" s="36" t="e">
        <v>#N/A</v>
      </c>
    </row>
    <row r="24" hidden="1">
      <c r="A24" s="562" t="s">
        <v>1759</v>
      </c>
      <c r="B24" s="129">
        <v>663.0</v>
      </c>
      <c r="C24" s="195" t="s">
        <v>15396</v>
      </c>
      <c r="D24" s="74">
        <v>0.85</v>
      </c>
      <c r="E24" s="74">
        <v>0.85</v>
      </c>
      <c r="F24" s="229" t="s">
        <v>1656</v>
      </c>
      <c r="G24" s="564">
        <v>46146.0</v>
      </c>
      <c r="H24" s="564"/>
      <c r="I24" s="564"/>
      <c r="O24" s="558" t="s">
        <v>1759</v>
      </c>
      <c r="P24" s="558">
        <v>6272.0</v>
      </c>
      <c r="Q24" s="36"/>
      <c r="R24" s="36" t="e">
        <v>#N/A</v>
      </c>
    </row>
    <row r="25" hidden="1">
      <c r="A25" s="562" t="s">
        <v>1760</v>
      </c>
      <c r="B25" s="129">
        <v>663.0</v>
      </c>
      <c r="C25" s="195" t="s">
        <v>15396</v>
      </c>
      <c r="D25" s="74">
        <v>0.85</v>
      </c>
      <c r="E25" s="74">
        <v>0.85</v>
      </c>
      <c r="F25" s="229" t="s">
        <v>1656</v>
      </c>
      <c r="G25" s="564">
        <v>46146.0</v>
      </c>
      <c r="H25" s="564"/>
      <c r="I25" s="564"/>
      <c r="O25" s="558" t="s">
        <v>1760</v>
      </c>
      <c r="P25" s="558">
        <v>195.0</v>
      </c>
      <c r="Q25" s="36"/>
      <c r="R25" s="36" t="e">
        <v>#N/A</v>
      </c>
    </row>
    <row r="26" hidden="1">
      <c r="A26" s="562" t="s">
        <v>1761</v>
      </c>
      <c r="B26" s="129">
        <v>6728.0</v>
      </c>
      <c r="C26" s="195" t="s">
        <v>15396</v>
      </c>
      <c r="D26" s="563">
        <v>0.8</v>
      </c>
      <c r="E26" s="563">
        <v>0.8</v>
      </c>
      <c r="F26" s="229" t="s">
        <v>1656</v>
      </c>
      <c r="G26" s="564">
        <v>46146.0</v>
      </c>
      <c r="H26" s="564"/>
      <c r="I26" s="564"/>
      <c r="O26" s="558" t="s">
        <v>1761</v>
      </c>
      <c r="P26" s="558">
        <v>7033.0</v>
      </c>
      <c r="Q26" s="36"/>
      <c r="R26" s="36" t="e">
        <v>#N/A</v>
      </c>
    </row>
    <row r="27" hidden="1">
      <c r="A27" s="562" t="s">
        <v>1762</v>
      </c>
      <c r="B27" s="129">
        <v>3607.0</v>
      </c>
      <c r="C27" s="195" t="s">
        <v>15396</v>
      </c>
      <c r="D27" s="563">
        <v>0.8</v>
      </c>
      <c r="E27" s="563">
        <v>0.8</v>
      </c>
      <c r="F27" s="229" t="s">
        <v>1656</v>
      </c>
      <c r="G27" s="564">
        <v>46146.0</v>
      </c>
      <c r="H27" s="564"/>
      <c r="I27" s="564"/>
      <c r="O27" s="558" t="s">
        <v>1762</v>
      </c>
      <c r="P27" s="558">
        <v>6132.0</v>
      </c>
      <c r="Q27" s="36"/>
      <c r="R27" s="36" t="e">
        <v>#N/A</v>
      </c>
    </row>
    <row r="28" hidden="1">
      <c r="A28" s="562" t="s">
        <v>1763</v>
      </c>
      <c r="B28" s="129">
        <v>3607.0</v>
      </c>
      <c r="C28" s="195" t="s">
        <v>15396</v>
      </c>
      <c r="D28" s="563">
        <v>0.8</v>
      </c>
      <c r="E28" s="563">
        <v>0.8</v>
      </c>
      <c r="F28" s="229" t="s">
        <v>1656</v>
      </c>
      <c r="G28" s="564">
        <v>46146.0</v>
      </c>
      <c r="H28" s="564"/>
      <c r="I28" s="564"/>
      <c r="O28" s="558" t="s">
        <v>1763</v>
      </c>
      <c r="P28" s="558">
        <v>136.0</v>
      </c>
      <c r="Q28" s="36"/>
      <c r="R28" s="36" t="e">
        <v>#N/A</v>
      </c>
    </row>
    <row r="29" hidden="1">
      <c r="A29" s="562" t="s">
        <v>1764</v>
      </c>
      <c r="B29" s="129">
        <v>3607.0</v>
      </c>
      <c r="C29" s="195" t="s">
        <v>15396</v>
      </c>
      <c r="D29" s="563">
        <v>0.8</v>
      </c>
      <c r="E29" s="563">
        <v>0.8</v>
      </c>
      <c r="F29" s="229" t="s">
        <v>1656</v>
      </c>
      <c r="G29" s="564">
        <v>46146.0</v>
      </c>
      <c r="H29" s="564"/>
      <c r="I29" s="564"/>
      <c r="O29" s="558" t="s">
        <v>1764</v>
      </c>
      <c r="P29" s="558">
        <v>7168.0</v>
      </c>
      <c r="Q29" s="36"/>
      <c r="R29" s="36" t="e">
        <v>#N/A</v>
      </c>
    </row>
    <row r="30" hidden="1">
      <c r="A30" s="562" t="s">
        <v>1765</v>
      </c>
      <c r="B30" s="129">
        <v>3607.0</v>
      </c>
      <c r="C30" s="195" t="s">
        <v>15396</v>
      </c>
      <c r="D30" s="563">
        <v>0.8</v>
      </c>
      <c r="E30" s="563">
        <v>0.8</v>
      </c>
      <c r="F30" s="229" t="s">
        <v>1656</v>
      </c>
      <c r="G30" s="564">
        <v>46146.0</v>
      </c>
      <c r="H30" s="564"/>
      <c r="I30" s="564"/>
      <c r="O30" s="558" t="s">
        <v>1765</v>
      </c>
      <c r="P30" s="558">
        <v>7186.0</v>
      </c>
      <c r="Q30" s="36"/>
      <c r="R30" s="36" t="e">
        <v>#N/A</v>
      </c>
    </row>
    <row r="31" hidden="1">
      <c r="A31" s="562" t="s">
        <v>1766</v>
      </c>
      <c r="B31" s="129">
        <v>189.0</v>
      </c>
      <c r="C31" s="195" t="s">
        <v>15396</v>
      </c>
      <c r="D31" s="563">
        <v>0.8</v>
      </c>
      <c r="E31" s="563">
        <v>0.8</v>
      </c>
      <c r="F31" s="229" t="s">
        <v>1656</v>
      </c>
      <c r="G31" s="564">
        <v>46146.0</v>
      </c>
      <c r="H31" s="564"/>
      <c r="I31" s="564"/>
      <c r="O31" s="558" t="s">
        <v>1766</v>
      </c>
      <c r="P31" s="558">
        <v>7132.0</v>
      </c>
      <c r="Q31" s="558">
        <v>7010.0</v>
      </c>
      <c r="R31" s="36" t="e">
        <v>#N/A</v>
      </c>
    </row>
    <row r="32" hidden="1">
      <c r="A32" s="562" t="s">
        <v>1767</v>
      </c>
      <c r="B32" s="129">
        <v>14638.0</v>
      </c>
      <c r="C32" s="195" t="s">
        <v>15396</v>
      </c>
      <c r="D32" s="563">
        <v>0.8</v>
      </c>
      <c r="E32" s="563">
        <v>0.8</v>
      </c>
      <c r="F32" s="229" t="s">
        <v>1656</v>
      </c>
      <c r="G32" s="564">
        <v>46146.0</v>
      </c>
      <c r="H32" s="564"/>
      <c r="I32" s="564"/>
      <c r="O32" s="558" t="s">
        <v>1767</v>
      </c>
      <c r="P32" s="558">
        <v>6133.0</v>
      </c>
      <c r="Q32" s="36"/>
      <c r="R32" s="36" t="e">
        <v>#N/A</v>
      </c>
    </row>
    <row r="33" hidden="1">
      <c r="A33" s="562" t="s">
        <v>1768</v>
      </c>
      <c r="B33" s="129">
        <v>6875.0</v>
      </c>
      <c r="C33" s="195" t="s">
        <v>15396</v>
      </c>
      <c r="D33" s="563">
        <v>0.8</v>
      </c>
      <c r="E33" s="563">
        <v>0.8</v>
      </c>
      <c r="F33" s="229" t="s">
        <v>1656</v>
      </c>
      <c r="G33" s="564">
        <v>46146.0</v>
      </c>
      <c r="H33" s="564"/>
      <c r="I33" s="564"/>
      <c r="O33" s="558" t="s">
        <v>1768</v>
      </c>
      <c r="P33" s="558">
        <v>6133.0</v>
      </c>
      <c r="Q33" s="36"/>
      <c r="R33" s="36" t="e">
        <v>#N/A</v>
      </c>
    </row>
    <row r="34" hidden="1">
      <c r="A34" s="562" t="s">
        <v>1769</v>
      </c>
      <c r="B34" s="129">
        <v>14482.0</v>
      </c>
      <c r="C34" s="195" t="s">
        <v>15396</v>
      </c>
      <c r="D34" s="563">
        <v>0.8</v>
      </c>
      <c r="E34" s="563">
        <v>0.8</v>
      </c>
      <c r="F34" s="229" t="s">
        <v>1656</v>
      </c>
      <c r="G34" s="564">
        <v>46146.0</v>
      </c>
      <c r="H34" s="564"/>
      <c r="I34" s="564"/>
      <c r="O34" s="558" t="s">
        <v>1769</v>
      </c>
      <c r="P34" s="558">
        <v>6133.0</v>
      </c>
      <c r="Q34" s="36"/>
      <c r="R34" s="36" t="e">
        <v>#N/A</v>
      </c>
    </row>
    <row r="35" hidden="1">
      <c r="A35" s="562" t="s">
        <v>1770</v>
      </c>
      <c r="B35" s="129">
        <v>6924.0</v>
      </c>
      <c r="C35" s="195" t="s">
        <v>15396</v>
      </c>
      <c r="D35" s="563">
        <v>0.8</v>
      </c>
      <c r="E35" s="563">
        <v>0.8</v>
      </c>
      <c r="F35" s="229" t="s">
        <v>1656</v>
      </c>
      <c r="G35" s="564">
        <v>46146.0</v>
      </c>
      <c r="H35" s="564"/>
      <c r="I35" s="564"/>
      <c r="O35" s="558" t="s">
        <v>1770</v>
      </c>
      <c r="P35" s="558">
        <v>6133.0</v>
      </c>
      <c r="Q35" s="36"/>
      <c r="R35" s="36" t="e">
        <v>#N/A</v>
      </c>
    </row>
    <row r="36" hidden="1">
      <c r="A36" s="562" t="s">
        <v>1771</v>
      </c>
      <c r="B36" s="129">
        <v>12932.0</v>
      </c>
      <c r="C36" s="195" t="s">
        <v>15396</v>
      </c>
      <c r="D36" s="563">
        <v>0.8</v>
      </c>
      <c r="E36" s="563">
        <v>0.8</v>
      </c>
      <c r="F36" s="229" t="s">
        <v>1656</v>
      </c>
      <c r="G36" s="564">
        <v>46146.0</v>
      </c>
      <c r="H36" s="564"/>
      <c r="I36" s="564"/>
      <c r="O36" s="353" t="s">
        <v>1771</v>
      </c>
      <c r="P36" s="353">
        <v>6706.0</v>
      </c>
      <c r="R36" s="18">
        <v>1.0</v>
      </c>
    </row>
    <row r="37" hidden="1">
      <c r="A37" s="562" t="s">
        <v>1772</v>
      </c>
      <c r="B37" s="129">
        <v>14646.0</v>
      </c>
      <c r="C37" s="195" t="s">
        <v>15396</v>
      </c>
      <c r="D37" s="563">
        <v>0.8</v>
      </c>
      <c r="E37" s="563">
        <v>0.8</v>
      </c>
      <c r="F37" s="229" t="s">
        <v>1656</v>
      </c>
      <c r="G37" s="564">
        <v>46146.0</v>
      </c>
      <c r="H37" s="564"/>
      <c r="I37" s="564"/>
      <c r="O37" s="558" t="s">
        <v>1772</v>
      </c>
      <c r="P37" s="558">
        <v>7137.0</v>
      </c>
      <c r="Q37" s="36"/>
      <c r="R37" s="36" t="e">
        <v>#N/A</v>
      </c>
    </row>
    <row r="38" hidden="1">
      <c r="A38" s="562" t="s">
        <v>1773</v>
      </c>
      <c r="B38" s="129">
        <v>12553.0</v>
      </c>
      <c r="C38" s="195" t="s">
        <v>15396</v>
      </c>
      <c r="D38" s="563">
        <v>0.8</v>
      </c>
      <c r="E38" s="563">
        <v>0.8</v>
      </c>
      <c r="F38" s="229" t="s">
        <v>1656</v>
      </c>
      <c r="G38" s="564">
        <v>46146.0</v>
      </c>
      <c r="H38" s="564"/>
      <c r="I38" s="564"/>
      <c r="O38" s="558" t="s">
        <v>1773</v>
      </c>
      <c r="P38" s="558">
        <v>7246.0</v>
      </c>
      <c r="Q38" s="36"/>
      <c r="R38" s="36" t="e">
        <v>#N/A</v>
      </c>
    </row>
    <row r="39" hidden="1">
      <c r="A39" s="562" t="s">
        <v>1774</v>
      </c>
      <c r="B39" s="129">
        <v>7847.0</v>
      </c>
      <c r="C39" s="195" t="s">
        <v>15396</v>
      </c>
      <c r="D39" s="563">
        <v>0.8</v>
      </c>
      <c r="E39" s="563">
        <v>0.8</v>
      </c>
      <c r="F39" s="229" t="s">
        <v>1656</v>
      </c>
      <c r="G39" s="564">
        <v>46146.0</v>
      </c>
      <c r="H39" s="564"/>
      <c r="I39" s="564"/>
      <c r="O39" s="558" t="s">
        <v>1774</v>
      </c>
      <c r="P39" s="558">
        <v>7036.0</v>
      </c>
      <c r="Q39" s="36"/>
      <c r="R39" s="36" t="e">
        <v>#N/A</v>
      </c>
    </row>
    <row r="40" hidden="1">
      <c r="A40" s="562" t="s">
        <v>1775</v>
      </c>
      <c r="B40" s="129">
        <v>7033.0</v>
      </c>
      <c r="C40" s="195" t="s">
        <v>15396</v>
      </c>
      <c r="D40" s="563">
        <v>0.8</v>
      </c>
      <c r="E40" s="563">
        <v>0.8</v>
      </c>
      <c r="F40" s="229" t="s">
        <v>1656</v>
      </c>
      <c r="G40" s="564">
        <v>46146.0</v>
      </c>
      <c r="H40" s="564"/>
      <c r="I40" s="564"/>
      <c r="O40" s="558" t="s">
        <v>1775</v>
      </c>
      <c r="P40" s="558">
        <v>7036.0</v>
      </c>
      <c r="Q40" s="36"/>
      <c r="R40" s="36" t="e">
        <v>#N/A</v>
      </c>
    </row>
    <row r="41" hidden="1">
      <c r="A41" s="562" t="s">
        <v>1776</v>
      </c>
      <c r="B41" s="129">
        <v>10856.0</v>
      </c>
      <c r="C41" s="195" t="s">
        <v>15396</v>
      </c>
      <c r="D41" s="563">
        <v>0.8</v>
      </c>
      <c r="E41" s="563">
        <v>0.8</v>
      </c>
      <c r="F41" s="229" t="s">
        <v>1656</v>
      </c>
      <c r="G41" s="564">
        <v>46146.0</v>
      </c>
      <c r="H41" s="564"/>
      <c r="I41" s="564"/>
      <c r="O41" s="353" t="s">
        <v>1776</v>
      </c>
      <c r="P41" s="353">
        <v>7010.0</v>
      </c>
      <c r="Q41" s="11">
        <v>6779.0</v>
      </c>
      <c r="R41" s="18">
        <v>1.0</v>
      </c>
    </row>
    <row r="42" hidden="1">
      <c r="A42" s="562" t="s">
        <v>1783</v>
      </c>
      <c r="B42" s="129">
        <v>3607.0</v>
      </c>
      <c r="C42" s="195" t="s">
        <v>15396</v>
      </c>
      <c r="D42" s="563">
        <v>0.8</v>
      </c>
      <c r="E42" s="563">
        <v>0.8</v>
      </c>
      <c r="F42" s="229" t="s">
        <v>1656</v>
      </c>
      <c r="G42" s="564">
        <v>46146.0</v>
      </c>
      <c r="H42" s="564"/>
      <c r="I42" s="564"/>
      <c r="O42" s="353" t="s">
        <v>1783</v>
      </c>
      <c r="P42" s="353">
        <v>7036.0</v>
      </c>
      <c r="R42" s="18">
        <v>1.0</v>
      </c>
    </row>
    <row r="43" hidden="1">
      <c r="A43" s="562" t="s">
        <v>1777</v>
      </c>
      <c r="B43" s="129">
        <v>3607.0</v>
      </c>
      <c r="C43" s="195" t="s">
        <v>15396</v>
      </c>
      <c r="D43" s="563">
        <v>0.8</v>
      </c>
      <c r="E43" s="563">
        <v>0.8</v>
      </c>
      <c r="F43" s="229" t="s">
        <v>1656</v>
      </c>
      <c r="G43" s="564">
        <v>46146.0</v>
      </c>
      <c r="H43" s="564"/>
      <c r="I43" s="564"/>
      <c r="O43" s="558" t="s">
        <v>1777</v>
      </c>
      <c r="P43" s="558">
        <v>6779.0</v>
      </c>
      <c r="Q43" s="36"/>
      <c r="R43" s="36" t="e">
        <v>#N/A</v>
      </c>
    </row>
    <row r="44" hidden="1">
      <c r="A44" s="562" t="s">
        <v>1778</v>
      </c>
      <c r="B44" s="129">
        <v>3607.0</v>
      </c>
      <c r="C44" s="195" t="s">
        <v>15396</v>
      </c>
      <c r="D44" s="563">
        <v>0.8</v>
      </c>
      <c r="E44" s="563">
        <v>0.8</v>
      </c>
      <c r="F44" s="229" t="s">
        <v>1656</v>
      </c>
      <c r="G44" s="564">
        <v>46146.0</v>
      </c>
      <c r="H44" s="564"/>
      <c r="I44" s="564"/>
      <c r="O44" s="558" t="s">
        <v>1778</v>
      </c>
      <c r="P44" s="558">
        <v>7031.0</v>
      </c>
      <c r="Q44" s="36"/>
      <c r="R44" s="36" t="e">
        <v>#N/A</v>
      </c>
    </row>
    <row r="45" hidden="1">
      <c r="A45" s="562" t="s">
        <v>1787</v>
      </c>
      <c r="B45" s="129">
        <v>6924.0</v>
      </c>
      <c r="C45" s="195" t="s">
        <v>15396</v>
      </c>
      <c r="D45" s="563">
        <v>0.8</v>
      </c>
      <c r="E45" s="563">
        <v>0.8</v>
      </c>
      <c r="F45" s="229" t="s">
        <v>1656</v>
      </c>
      <c r="G45" s="564">
        <v>46146.0</v>
      </c>
      <c r="H45" s="564"/>
      <c r="I45" s="564"/>
      <c r="O45" s="558" t="s">
        <v>1787</v>
      </c>
      <c r="P45" s="558">
        <v>6728.0</v>
      </c>
      <c r="Q45" s="36"/>
      <c r="R45" s="36" t="e">
        <v>#N/A</v>
      </c>
    </row>
    <row r="46" hidden="1">
      <c r="A46" s="562" t="s">
        <v>1779</v>
      </c>
      <c r="B46" s="129">
        <v>6132.0</v>
      </c>
      <c r="C46" s="195" t="s">
        <v>15396</v>
      </c>
      <c r="D46" s="563">
        <v>0.8</v>
      </c>
      <c r="E46" s="563">
        <v>0.8</v>
      </c>
      <c r="F46" s="229" t="s">
        <v>1656</v>
      </c>
      <c r="G46" s="564">
        <v>46146.0</v>
      </c>
      <c r="H46" s="564"/>
      <c r="I46" s="564"/>
      <c r="O46" s="353" t="s">
        <v>1779</v>
      </c>
      <c r="P46" s="353">
        <v>6706.0</v>
      </c>
      <c r="R46" s="18">
        <v>1.0</v>
      </c>
    </row>
    <row r="47" hidden="1">
      <c r="A47" s="562" t="s">
        <v>1780</v>
      </c>
      <c r="B47" s="129">
        <v>3607.0</v>
      </c>
      <c r="C47" s="195" t="s">
        <v>15396</v>
      </c>
      <c r="D47" s="563">
        <v>0.8</v>
      </c>
      <c r="E47" s="563">
        <v>0.8</v>
      </c>
      <c r="F47" s="229" t="s">
        <v>1656</v>
      </c>
      <c r="G47" s="564">
        <v>46146.0</v>
      </c>
      <c r="H47" s="564"/>
      <c r="I47" s="564"/>
      <c r="O47" s="558" t="s">
        <v>1780</v>
      </c>
      <c r="P47" s="558">
        <v>7036.0</v>
      </c>
      <c r="Q47" s="36"/>
      <c r="R47" s="36" t="e">
        <v>#N/A</v>
      </c>
    </row>
    <row r="48" hidden="1">
      <c r="A48" s="562" t="s">
        <v>1781</v>
      </c>
      <c r="B48" s="129">
        <v>3607.0</v>
      </c>
      <c r="C48" s="195" t="s">
        <v>15396</v>
      </c>
      <c r="D48" s="563">
        <v>0.8</v>
      </c>
      <c r="E48" s="563">
        <v>0.8</v>
      </c>
      <c r="F48" s="229" t="s">
        <v>1656</v>
      </c>
      <c r="G48" s="564">
        <v>46146.0</v>
      </c>
      <c r="H48" s="564"/>
      <c r="I48" s="564"/>
      <c r="O48" s="558" t="s">
        <v>1781</v>
      </c>
      <c r="P48" s="558">
        <v>7036.0</v>
      </c>
      <c r="Q48" s="36"/>
      <c r="R48" s="36" t="e">
        <v>#N/A</v>
      </c>
    </row>
    <row r="49" hidden="1">
      <c r="A49" s="562" t="s">
        <v>1782</v>
      </c>
      <c r="B49" s="129">
        <v>499.0</v>
      </c>
      <c r="C49" s="195" t="s">
        <v>15396</v>
      </c>
      <c r="D49" s="563">
        <v>0.8</v>
      </c>
      <c r="E49" s="563">
        <v>0.8</v>
      </c>
      <c r="F49" s="229" t="s">
        <v>1656</v>
      </c>
      <c r="G49" s="564">
        <v>46146.0</v>
      </c>
      <c r="H49" s="564"/>
      <c r="I49" s="564"/>
      <c r="O49" s="558" t="s">
        <v>1782</v>
      </c>
      <c r="P49" s="558">
        <v>7036.0</v>
      </c>
      <c r="Q49" s="36"/>
      <c r="R49" s="36" t="e">
        <v>#N/A</v>
      </c>
    </row>
    <row r="50" hidden="1">
      <c r="A50" s="562" t="s">
        <v>1784</v>
      </c>
      <c r="B50" s="129">
        <v>7142.0</v>
      </c>
      <c r="C50" s="195" t="s">
        <v>15396</v>
      </c>
      <c r="D50" s="563">
        <v>0.8</v>
      </c>
      <c r="E50" s="563">
        <v>0.8</v>
      </c>
      <c r="F50" s="229" t="s">
        <v>1656</v>
      </c>
      <c r="G50" s="564">
        <v>46146.0</v>
      </c>
      <c r="H50" s="564"/>
      <c r="I50" s="564"/>
      <c r="O50" s="558" t="s">
        <v>1784</v>
      </c>
      <c r="P50" s="558">
        <v>7036.0</v>
      </c>
      <c r="Q50" s="36"/>
      <c r="R50" s="36" t="e">
        <v>#N/A</v>
      </c>
    </row>
    <row r="51" hidden="1">
      <c r="A51" s="562" t="s">
        <v>1785</v>
      </c>
      <c r="B51" s="129">
        <v>2345.0</v>
      </c>
      <c r="C51" s="195" t="s">
        <v>15396</v>
      </c>
      <c r="D51" s="74">
        <v>0.9</v>
      </c>
      <c r="E51" s="74">
        <v>0.9</v>
      </c>
      <c r="F51" s="229" t="s">
        <v>1656</v>
      </c>
      <c r="G51" s="564">
        <v>46146.0</v>
      </c>
      <c r="H51" s="564"/>
      <c r="I51" s="564"/>
      <c r="O51" s="558" t="s">
        <v>1785</v>
      </c>
      <c r="P51" s="558">
        <v>7036.0</v>
      </c>
      <c r="Q51" s="36"/>
      <c r="R51" s="36" t="e">
        <v>#N/A</v>
      </c>
    </row>
    <row r="52" hidden="1">
      <c r="A52" s="566" t="s">
        <v>5544</v>
      </c>
      <c r="B52" s="131">
        <v>189.0</v>
      </c>
      <c r="C52" s="195" t="s">
        <v>15396</v>
      </c>
      <c r="D52" s="563">
        <v>0.8</v>
      </c>
      <c r="E52" s="563">
        <v>0.8</v>
      </c>
      <c r="F52" s="45"/>
      <c r="O52" s="558" t="s">
        <v>1790</v>
      </c>
      <c r="P52" s="558">
        <v>6718.0</v>
      </c>
      <c r="Q52" s="36"/>
      <c r="R52" s="36" t="e">
        <v>#N/A</v>
      </c>
    </row>
    <row r="53" hidden="1">
      <c r="A53" s="566" t="s">
        <v>5545</v>
      </c>
      <c r="B53" s="131">
        <v>189.0</v>
      </c>
      <c r="C53" s="195" t="s">
        <v>15396</v>
      </c>
      <c r="D53" s="563">
        <v>0.8</v>
      </c>
      <c r="E53" s="563">
        <v>0.8</v>
      </c>
      <c r="F53" s="45"/>
      <c r="O53" s="558" t="s">
        <v>1791</v>
      </c>
      <c r="P53" s="558">
        <v>7157.0</v>
      </c>
      <c r="Q53" s="36"/>
      <c r="R53" s="36" t="e">
        <v>#N/A</v>
      </c>
    </row>
    <row r="54" hidden="1">
      <c r="A54" s="566" t="s">
        <v>5546</v>
      </c>
      <c r="B54" s="131">
        <v>189.0</v>
      </c>
      <c r="C54" s="195" t="s">
        <v>15396</v>
      </c>
      <c r="D54" s="563">
        <v>0.8</v>
      </c>
      <c r="E54" s="563">
        <v>0.8</v>
      </c>
      <c r="F54" s="45"/>
      <c r="O54" s="558" t="s">
        <v>1792</v>
      </c>
      <c r="P54" s="558">
        <v>7134.0</v>
      </c>
      <c r="Q54" s="36"/>
      <c r="R54" s="36" t="e">
        <v>#N/A</v>
      </c>
    </row>
    <row r="55" hidden="1">
      <c r="A55" s="566" t="s">
        <v>5547</v>
      </c>
      <c r="B55" s="131">
        <v>189.0</v>
      </c>
      <c r="C55" s="195" t="s">
        <v>15396</v>
      </c>
      <c r="D55" s="563">
        <v>0.8</v>
      </c>
      <c r="E55" s="563">
        <v>0.8</v>
      </c>
      <c r="F55" s="45"/>
      <c r="O55" s="558" t="s">
        <v>1811</v>
      </c>
      <c r="P55" s="558">
        <v>6829.0</v>
      </c>
      <c r="Q55" s="36"/>
      <c r="R55" s="36" t="e">
        <v>#N/A</v>
      </c>
    </row>
    <row r="56" hidden="1">
      <c r="A56" s="566" t="s">
        <v>5548</v>
      </c>
      <c r="B56" s="131">
        <v>14727.0</v>
      </c>
      <c r="C56" s="195" t="s">
        <v>15396</v>
      </c>
      <c r="D56" s="563">
        <v>0.8</v>
      </c>
      <c r="E56" s="563">
        <v>0.8</v>
      </c>
      <c r="F56" s="45"/>
      <c r="O56" s="558" t="s">
        <v>1793</v>
      </c>
      <c r="P56" s="558">
        <v>7416.0</v>
      </c>
      <c r="Q56" s="36"/>
      <c r="R56" s="36" t="e">
        <v>#N/A</v>
      </c>
    </row>
    <row r="57" hidden="1">
      <c r="A57" s="566" t="s">
        <v>5549</v>
      </c>
      <c r="B57" s="131"/>
      <c r="C57" s="195" t="s">
        <v>15396</v>
      </c>
      <c r="D57" s="563">
        <v>0.8</v>
      </c>
      <c r="E57" s="563">
        <v>0.8</v>
      </c>
      <c r="F57" s="45"/>
      <c r="O57" s="558" t="s">
        <v>1794</v>
      </c>
      <c r="P57" s="558">
        <v>7876.0</v>
      </c>
      <c r="Q57" s="36"/>
      <c r="R57" s="36" t="e">
        <v>#N/A</v>
      </c>
    </row>
    <row r="58" hidden="1">
      <c r="A58" s="566" t="s">
        <v>5550</v>
      </c>
      <c r="B58" s="131">
        <v>14734.0</v>
      </c>
      <c r="C58" s="195" t="s">
        <v>15396</v>
      </c>
      <c r="D58" s="563">
        <v>0.8</v>
      </c>
      <c r="E58" s="563">
        <v>0.8</v>
      </c>
      <c r="F58" s="45"/>
      <c r="O58" s="353" t="s">
        <v>1795</v>
      </c>
      <c r="P58" s="353">
        <v>7847.0</v>
      </c>
      <c r="R58" s="18">
        <v>1.0</v>
      </c>
    </row>
    <row r="59" hidden="1">
      <c r="A59" s="566" t="s">
        <v>5551</v>
      </c>
      <c r="B59" s="131"/>
      <c r="C59" s="195" t="s">
        <v>15396</v>
      </c>
      <c r="D59" s="563">
        <v>0.8</v>
      </c>
      <c r="E59" s="563">
        <v>0.8</v>
      </c>
      <c r="F59" s="45"/>
      <c r="O59" s="558" t="s">
        <v>1797</v>
      </c>
      <c r="P59" s="558">
        <v>6893.0</v>
      </c>
      <c r="Q59" s="36"/>
      <c r="R59" s="36" t="e">
        <v>#N/A</v>
      </c>
    </row>
    <row r="60" hidden="1">
      <c r="A60" s="566" t="s">
        <v>5552</v>
      </c>
      <c r="B60" s="131"/>
      <c r="C60" s="195" t="s">
        <v>15396</v>
      </c>
      <c r="D60" s="563">
        <v>0.8</v>
      </c>
      <c r="E60" s="563">
        <v>0.8</v>
      </c>
      <c r="F60" s="45"/>
      <c r="O60" s="558" t="s">
        <v>1799</v>
      </c>
      <c r="P60" s="558">
        <v>7415.0</v>
      </c>
      <c r="Q60" s="36"/>
      <c r="R60" s="36" t="e">
        <v>#N/A</v>
      </c>
    </row>
    <row r="61" hidden="1">
      <c r="A61" s="566" t="s">
        <v>5553</v>
      </c>
      <c r="B61" s="131">
        <v>6675.0</v>
      </c>
      <c r="C61" s="195" t="s">
        <v>15396</v>
      </c>
      <c r="D61" s="563">
        <v>0.8</v>
      </c>
      <c r="E61" s="563">
        <v>0.8</v>
      </c>
      <c r="F61" s="45"/>
      <c r="O61" s="558" t="s">
        <v>1801</v>
      </c>
      <c r="P61" s="558">
        <v>6669.0</v>
      </c>
      <c r="Q61" s="36"/>
      <c r="R61" s="36" t="e">
        <v>#N/A</v>
      </c>
    </row>
    <row r="62" hidden="1">
      <c r="A62" s="566" t="s">
        <v>5554</v>
      </c>
      <c r="B62" s="131"/>
      <c r="C62" s="195" t="s">
        <v>15396</v>
      </c>
      <c r="D62" s="563">
        <v>0.8</v>
      </c>
      <c r="E62" s="563">
        <v>0.8</v>
      </c>
      <c r="F62" s="45"/>
      <c r="O62" s="558" t="s">
        <v>1802</v>
      </c>
      <c r="P62" s="558">
        <v>6669.0</v>
      </c>
      <c r="Q62" s="36"/>
      <c r="R62" s="36" t="e">
        <v>#N/A</v>
      </c>
    </row>
    <row r="63" hidden="1">
      <c r="A63" s="566" t="s">
        <v>5555</v>
      </c>
      <c r="B63" s="131"/>
      <c r="C63" s="195" t="s">
        <v>15396</v>
      </c>
      <c r="D63" s="563">
        <v>0.8</v>
      </c>
      <c r="E63" s="563">
        <v>0.8</v>
      </c>
      <c r="F63" s="45"/>
      <c r="O63" s="558" t="s">
        <v>1804</v>
      </c>
      <c r="P63" s="558">
        <v>6669.0</v>
      </c>
      <c r="Q63" s="36"/>
      <c r="R63" s="36" t="e">
        <v>#N/A</v>
      </c>
    </row>
    <row r="64" hidden="1">
      <c r="A64" s="566" t="s">
        <v>5556</v>
      </c>
      <c r="B64" s="131">
        <v>4514.0</v>
      </c>
      <c r="C64" s="195" t="s">
        <v>15396</v>
      </c>
      <c r="D64" s="563">
        <v>0.8</v>
      </c>
      <c r="E64" s="563">
        <v>0.8</v>
      </c>
      <c r="F64" s="45"/>
      <c r="O64" s="558" t="s">
        <v>1806</v>
      </c>
      <c r="P64" s="558">
        <v>489.0</v>
      </c>
      <c r="Q64" s="36"/>
      <c r="R64" s="36" t="e">
        <v>#N/A</v>
      </c>
    </row>
    <row r="65" hidden="1">
      <c r="A65" s="566" t="s">
        <v>5557</v>
      </c>
      <c r="B65" s="131"/>
      <c r="C65" s="195" t="s">
        <v>15396</v>
      </c>
      <c r="D65" s="563">
        <v>0.8</v>
      </c>
      <c r="E65" s="563">
        <v>0.8</v>
      </c>
      <c r="F65" s="45"/>
      <c r="O65" s="558" t="s">
        <v>1807</v>
      </c>
      <c r="P65" s="558">
        <v>7183.0</v>
      </c>
      <c r="Q65" s="36"/>
      <c r="R65" s="36" t="e">
        <v>#N/A</v>
      </c>
    </row>
    <row r="66" hidden="1">
      <c r="A66" s="566" t="s">
        <v>5558</v>
      </c>
      <c r="B66" s="131">
        <v>6675.0</v>
      </c>
      <c r="C66" s="195" t="s">
        <v>15396</v>
      </c>
      <c r="D66" s="563">
        <v>0.8</v>
      </c>
      <c r="E66" s="563">
        <v>0.8</v>
      </c>
      <c r="F66" s="45"/>
      <c r="O66" s="558" t="s">
        <v>4621</v>
      </c>
      <c r="P66" s="558">
        <v>7186.0</v>
      </c>
      <c r="Q66" s="36"/>
      <c r="R66" s="36" t="e">
        <v>#N/A</v>
      </c>
    </row>
    <row r="67" hidden="1">
      <c r="A67" s="566" t="s">
        <v>5559</v>
      </c>
      <c r="B67" s="131">
        <v>6675.0</v>
      </c>
      <c r="C67" s="195" t="s">
        <v>15396</v>
      </c>
      <c r="D67" s="563">
        <v>0.8</v>
      </c>
      <c r="E67" s="563">
        <v>0.8</v>
      </c>
      <c r="F67" s="45"/>
      <c r="O67" s="558" t="s">
        <v>4622</v>
      </c>
      <c r="P67" s="558">
        <v>6671.0</v>
      </c>
      <c r="Q67" s="35"/>
      <c r="R67" s="36" t="e">
        <v>#N/A</v>
      </c>
    </row>
    <row r="68" hidden="1">
      <c r="A68" s="566" t="s">
        <v>5560</v>
      </c>
      <c r="B68" s="131">
        <v>7137.0</v>
      </c>
      <c r="C68" s="195" t="s">
        <v>15396</v>
      </c>
      <c r="D68" s="563">
        <v>0.8</v>
      </c>
      <c r="E68" s="563">
        <v>0.8</v>
      </c>
      <c r="F68" s="45"/>
      <c r="O68" s="558" t="s">
        <v>4623</v>
      </c>
      <c r="P68" s="558">
        <v>9742.0</v>
      </c>
      <c r="Q68" s="36"/>
      <c r="R68" s="36" t="e">
        <v>#N/A</v>
      </c>
    </row>
    <row r="69" hidden="1">
      <c r="A69" s="566" t="s">
        <v>5561</v>
      </c>
      <c r="B69" s="131"/>
      <c r="C69" s="195" t="s">
        <v>15396</v>
      </c>
      <c r="D69" s="563">
        <v>0.8</v>
      </c>
      <c r="E69" s="563">
        <v>0.8</v>
      </c>
      <c r="F69" s="45"/>
      <c r="O69" s="558" t="s">
        <v>4624</v>
      </c>
      <c r="P69" s="558">
        <v>9742.0</v>
      </c>
      <c r="Q69" s="36"/>
      <c r="R69" s="36" t="e">
        <v>#N/A</v>
      </c>
    </row>
    <row r="70" hidden="1">
      <c r="A70" s="566" t="s">
        <v>5562</v>
      </c>
      <c r="B70" s="131">
        <v>12609.0</v>
      </c>
      <c r="C70" s="195" t="s">
        <v>15396</v>
      </c>
      <c r="D70" s="563">
        <v>0.8</v>
      </c>
      <c r="E70" s="563">
        <v>0.8</v>
      </c>
      <c r="F70" s="45"/>
      <c r="O70" s="558" t="s">
        <v>4625</v>
      </c>
      <c r="P70" s="558">
        <v>6936.0</v>
      </c>
      <c r="Q70" s="36"/>
      <c r="R70" s="36" t="e">
        <v>#N/A</v>
      </c>
    </row>
    <row r="71" hidden="1">
      <c r="A71" s="566" t="s">
        <v>5563</v>
      </c>
      <c r="B71" s="131">
        <v>6772.0</v>
      </c>
      <c r="C71" s="195" t="s">
        <v>15396</v>
      </c>
      <c r="D71" s="563">
        <v>0.8</v>
      </c>
      <c r="E71" s="563">
        <v>0.8</v>
      </c>
      <c r="F71" s="45"/>
      <c r="O71" s="558" t="s">
        <v>15335</v>
      </c>
      <c r="P71" s="558">
        <v>11104.0</v>
      </c>
      <c r="Q71" s="36"/>
      <c r="R71" s="36" t="e">
        <v>#N/A</v>
      </c>
    </row>
    <row r="72" hidden="1">
      <c r="A72" s="566" t="s">
        <v>5564</v>
      </c>
      <c r="B72" s="131"/>
      <c r="C72" s="195" t="s">
        <v>15396</v>
      </c>
      <c r="D72" s="563">
        <v>0.8</v>
      </c>
      <c r="E72" s="563">
        <v>0.8</v>
      </c>
      <c r="F72" s="45"/>
      <c r="O72" s="558" t="s">
        <v>15336</v>
      </c>
      <c r="P72" s="558">
        <v>930.0</v>
      </c>
      <c r="Q72" s="36"/>
      <c r="R72" s="36" t="e">
        <v>#N/A</v>
      </c>
    </row>
    <row r="73" hidden="1">
      <c r="A73" s="566" t="s">
        <v>5565</v>
      </c>
      <c r="B73" s="131">
        <v>5365.0</v>
      </c>
      <c r="C73" s="195" t="s">
        <v>15396</v>
      </c>
      <c r="D73" s="563">
        <v>0.8</v>
      </c>
      <c r="E73" s="563">
        <v>0.8</v>
      </c>
      <c r="F73" s="45"/>
      <c r="O73" s="558" t="s">
        <v>15337</v>
      </c>
      <c r="P73" s="558">
        <v>10141.0</v>
      </c>
      <c r="Q73" s="36"/>
      <c r="R73" s="36" t="e">
        <v>#N/A</v>
      </c>
    </row>
    <row r="74" hidden="1">
      <c r="A74" s="566" t="s">
        <v>5566</v>
      </c>
      <c r="B74" s="131"/>
      <c r="C74" s="195" t="s">
        <v>15396</v>
      </c>
      <c r="D74" s="563">
        <v>0.8</v>
      </c>
      <c r="E74" s="563">
        <v>0.8</v>
      </c>
      <c r="F74" s="45"/>
      <c r="O74" s="558" t="s">
        <v>15338</v>
      </c>
      <c r="P74" s="35">
        <v>13829.0</v>
      </c>
      <c r="Q74" s="36"/>
      <c r="R74" s="36" t="e">
        <v>#N/A</v>
      </c>
    </row>
    <row r="75" hidden="1">
      <c r="A75" s="566" t="s">
        <v>5567</v>
      </c>
      <c r="B75" s="131">
        <v>189.0</v>
      </c>
      <c r="C75" s="195" t="s">
        <v>15396</v>
      </c>
      <c r="D75" s="563">
        <v>0.8</v>
      </c>
      <c r="E75" s="563">
        <v>0.8</v>
      </c>
      <c r="F75" s="45"/>
      <c r="O75" s="558" t="s">
        <v>15339</v>
      </c>
      <c r="P75" s="558">
        <v>4193.0</v>
      </c>
      <c r="Q75" s="36"/>
      <c r="R75" s="36" t="e">
        <v>#N/A</v>
      </c>
    </row>
    <row r="76" hidden="1">
      <c r="A76" s="566" t="s">
        <v>5568</v>
      </c>
      <c r="B76" s="131">
        <v>189.0</v>
      </c>
      <c r="C76" s="195" t="s">
        <v>15396</v>
      </c>
      <c r="D76" s="563">
        <v>0.8</v>
      </c>
      <c r="E76" s="563">
        <v>0.8</v>
      </c>
      <c r="F76" s="45"/>
      <c r="O76" s="558" t="s">
        <v>15340</v>
      </c>
      <c r="P76" s="558">
        <v>9746.0</v>
      </c>
      <c r="Q76" s="36"/>
      <c r="R76" s="36" t="e">
        <v>#N/A</v>
      </c>
    </row>
    <row r="77" hidden="1">
      <c r="A77" s="566" t="s">
        <v>5569</v>
      </c>
      <c r="B77" s="131">
        <v>14575.0</v>
      </c>
      <c r="C77" s="195" t="s">
        <v>15396</v>
      </c>
      <c r="D77" s="74">
        <v>0.85</v>
      </c>
      <c r="E77" s="74">
        <v>0.85</v>
      </c>
      <c r="F77" s="45"/>
      <c r="O77" s="558" t="s">
        <v>15341</v>
      </c>
      <c r="P77" s="558">
        <v>6802.0</v>
      </c>
      <c r="Q77" s="36"/>
      <c r="R77" s="36" t="e">
        <v>#N/A</v>
      </c>
    </row>
    <row r="78" hidden="1">
      <c r="A78" s="566" t="s">
        <v>5570</v>
      </c>
      <c r="B78" s="131">
        <v>7023.0</v>
      </c>
      <c r="C78" s="195" t="s">
        <v>15396</v>
      </c>
      <c r="D78" s="563">
        <v>0.8</v>
      </c>
      <c r="E78" s="563">
        <v>0.8</v>
      </c>
      <c r="F78" s="45"/>
      <c r="O78" s="558" t="s">
        <v>15342</v>
      </c>
      <c r="P78" s="558">
        <v>6875.0</v>
      </c>
      <c r="Q78" s="36"/>
      <c r="R78" s="36" t="e">
        <v>#N/A</v>
      </c>
    </row>
    <row r="79" hidden="1">
      <c r="A79" s="566" t="s">
        <v>5571</v>
      </c>
      <c r="B79" s="131">
        <v>889.0</v>
      </c>
      <c r="C79" s="195" t="s">
        <v>15396</v>
      </c>
      <c r="D79" s="563">
        <v>0.8</v>
      </c>
      <c r="E79" s="563">
        <v>0.8</v>
      </c>
      <c r="F79" s="45"/>
      <c r="O79" s="558" t="s">
        <v>15343</v>
      </c>
      <c r="P79" s="558">
        <v>13952.0</v>
      </c>
      <c r="Q79" s="36"/>
      <c r="R79" s="36" t="e">
        <v>#N/A</v>
      </c>
    </row>
    <row r="80" hidden="1">
      <c r="A80" s="566" t="s">
        <v>5572</v>
      </c>
      <c r="B80" s="131"/>
      <c r="C80" s="195" t="s">
        <v>15396</v>
      </c>
      <c r="D80" s="563">
        <v>0.8</v>
      </c>
      <c r="E80" s="563">
        <v>0.8</v>
      </c>
      <c r="F80" s="45"/>
      <c r="O80" s="558" t="s">
        <v>15344</v>
      </c>
      <c r="P80" s="558">
        <v>7083.0</v>
      </c>
      <c r="Q80" s="36"/>
      <c r="R80" s="36" t="e">
        <v>#N/A</v>
      </c>
    </row>
    <row r="81" hidden="1">
      <c r="A81" s="566" t="s">
        <v>5573</v>
      </c>
      <c r="B81" s="131">
        <v>6829.0</v>
      </c>
      <c r="C81" s="195" t="s">
        <v>15396</v>
      </c>
      <c r="D81" s="563">
        <v>0.8</v>
      </c>
      <c r="E81" s="563">
        <v>0.8</v>
      </c>
      <c r="F81" s="45"/>
      <c r="O81" s="558" t="s">
        <v>15345</v>
      </c>
      <c r="P81" s="558">
        <v>7415.0</v>
      </c>
      <c r="Q81" s="36"/>
      <c r="R81" s="36" t="e">
        <v>#N/A</v>
      </c>
    </row>
    <row r="82" hidden="1">
      <c r="A82" s="566" t="s">
        <v>5574</v>
      </c>
      <c r="B82" s="131"/>
      <c r="C82" s="195" t="s">
        <v>15396</v>
      </c>
      <c r="D82" s="563">
        <v>0.8</v>
      </c>
      <c r="E82" s="563">
        <v>0.8</v>
      </c>
      <c r="F82" s="45"/>
      <c r="O82" s="558" t="s">
        <v>15346</v>
      </c>
      <c r="P82" s="558">
        <v>8524.0</v>
      </c>
      <c r="Q82" s="36"/>
      <c r="R82" s="36" t="e">
        <v>#N/A</v>
      </c>
    </row>
    <row r="83" hidden="1">
      <c r="A83" s="566" t="s">
        <v>5575</v>
      </c>
      <c r="B83" s="131"/>
      <c r="C83" s="195" t="s">
        <v>15396</v>
      </c>
      <c r="D83" s="563">
        <v>0.8</v>
      </c>
      <c r="E83" s="563">
        <v>0.8</v>
      </c>
      <c r="F83" s="45"/>
      <c r="O83" s="558" t="s">
        <v>15347</v>
      </c>
      <c r="P83" s="109">
        <v>14055.0</v>
      </c>
      <c r="Q83" s="36"/>
      <c r="R83" s="36" t="e">
        <v>#N/A</v>
      </c>
    </row>
    <row r="84" hidden="1">
      <c r="A84" s="566" t="s">
        <v>5576</v>
      </c>
      <c r="B84" s="163">
        <v>6767.0</v>
      </c>
      <c r="C84" s="195" t="s">
        <v>15396</v>
      </c>
      <c r="D84" s="563">
        <v>0.8</v>
      </c>
      <c r="E84" s="563">
        <v>0.8</v>
      </c>
      <c r="F84" s="45"/>
      <c r="O84" s="558" t="s">
        <v>15348</v>
      </c>
      <c r="P84" s="43">
        <v>12553.0</v>
      </c>
      <c r="Q84" s="36"/>
      <c r="R84" s="36" t="e">
        <v>#N/A</v>
      </c>
    </row>
    <row r="85" hidden="1">
      <c r="A85" s="566" t="s">
        <v>5577</v>
      </c>
      <c r="B85" s="131">
        <v>10923.0</v>
      </c>
      <c r="C85" s="195" t="s">
        <v>15396</v>
      </c>
      <c r="D85" s="563">
        <v>0.8</v>
      </c>
      <c r="E85" s="563">
        <v>0.8</v>
      </c>
      <c r="F85" s="45"/>
      <c r="O85" s="558" t="s">
        <v>15349</v>
      </c>
      <c r="P85" s="558">
        <v>7023.0</v>
      </c>
      <c r="Q85" s="36"/>
      <c r="R85" s="36" t="e">
        <v>#N/A</v>
      </c>
    </row>
    <row r="86" hidden="1">
      <c r="A86" s="566" t="s">
        <v>5578</v>
      </c>
      <c r="B86" s="131">
        <v>7033.0</v>
      </c>
      <c r="C86" s="195" t="s">
        <v>15396</v>
      </c>
      <c r="D86" s="563">
        <v>0.8</v>
      </c>
      <c r="E86" s="563">
        <v>0.8</v>
      </c>
      <c r="F86" s="45"/>
      <c r="O86" s="558" t="s">
        <v>15350</v>
      </c>
      <c r="P86" s="35">
        <v>14337.0</v>
      </c>
      <c r="Q86" s="36"/>
      <c r="R86" s="36" t="e">
        <v>#N/A</v>
      </c>
    </row>
    <row r="87" hidden="1">
      <c r="A87" s="566" t="s">
        <v>5579</v>
      </c>
      <c r="B87" s="131">
        <v>283.0</v>
      </c>
      <c r="C87" s="195" t="s">
        <v>15396</v>
      </c>
      <c r="D87" s="563">
        <v>0.8</v>
      </c>
      <c r="E87" s="563">
        <v>0.8</v>
      </c>
      <c r="F87" s="45"/>
      <c r="O87" s="558" t="s">
        <v>5067</v>
      </c>
      <c r="P87" s="35">
        <v>12388.0</v>
      </c>
      <c r="Q87" s="36"/>
      <c r="R87" s="36" t="e">
        <v>#N/A</v>
      </c>
    </row>
    <row r="88" hidden="1">
      <c r="A88" s="566" t="s">
        <v>5580</v>
      </c>
      <c r="B88" s="131">
        <v>283.0</v>
      </c>
      <c r="C88" s="195" t="s">
        <v>15396</v>
      </c>
      <c r="D88" s="563">
        <v>0.8</v>
      </c>
      <c r="E88" s="563">
        <v>0.8</v>
      </c>
      <c r="F88" s="45"/>
      <c r="O88" s="558" t="s">
        <v>15351</v>
      </c>
      <c r="P88" s="35">
        <v>6729.0</v>
      </c>
      <c r="Q88" s="36"/>
      <c r="R88" s="36" t="e">
        <v>#N/A</v>
      </c>
    </row>
    <row r="89" hidden="1">
      <c r="A89" s="566" t="s">
        <v>5581</v>
      </c>
      <c r="B89" s="131">
        <v>2345.0</v>
      </c>
      <c r="C89" s="195" t="s">
        <v>15396</v>
      </c>
      <c r="D89" s="74">
        <v>0.9</v>
      </c>
      <c r="E89" s="74">
        <v>0.9</v>
      </c>
      <c r="F89" s="45"/>
      <c r="O89" s="558" t="s">
        <v>15352</v>
      </c>
      <c r="P89" s="35">
        <v>6780.0</v>
      </c>
      <c r="Q89" s="36"/>
      <c r="R89" s="36" t="e">
        <v>#N/A</v>
      </c>
    </row>
    <row r="90" hidden="1">
      <c r="A90" s="566" t="s">
        <v>5582</v>
      </c>
      <c r="B90" s="131">
        <v>2345.0</v>
      </c>
      <c r="C90" s="195" t="s">
        <v>15396</v>
      </c>
      <c r="D90" s="74">
        <v>0.9</v>
      </c>
      <c r="E90" s="74">
        <v>0.9</v>
      </c>
      <c r="F90" s="45"/>
      <c r="O90" s="558" t="s">
        <v>15353</v>
      </c>
      <c r="P90" s="36"/>
      <c r="Q90" s="36"/>
      <c r="R90" s="36" t="e">
        <v>#N/A</v>
      </c>
    </row>
    <row r="91" hidden="1">
      <c r="A91" s="566" t="s">
        <v>5583</v>
      </c>
      <c r="B91" s="131">
        <v>2345.0</v>
      </c>
      <c r="C91" s="195" t="s">
        <v>15396</v>
      </c>
      <c r="D91" s="74">
        <v>0.9</v>
      </c>
      <c r="E91" s="74">
        <v>0.9</v>
      </c>
      <c r="F91" s="45"/>
      <c r="O91" s="558" t="s">
        <v>15354</v>
      </c>
      <c r="P91" s="36"/>
      <c r="Q91" s="36"/>
      <c r="R91" s="36" t="e">
        <v>#N/A</v>
      </c>
    </row>
    <row r="92" hidden="1">
      <c r="A92" s="566" t="s">
        <v>5584</v>
      </c>
      <c r="B92" s="131">
        <v>2345.0</v>
      </c>
      <c r="C92" s="195" t="s">
        <v>15396</v>
      </c>
      <c r="D92" s="74">
        <v>0.9</v>
      </c>
      <c r="E92" s="74">
        <v>0.9</v>
      </c>
      <c r="F92" s="45"/>
      <c r="O92" s="558" t="s">
        <v>15355</v>
      </c>
      <c r="P92" s="36"/>
      <c r="Q92" s="36"/>
      <c r="R92" s="36" t="e">
        <v>#N/A</v>
      </c>
    </row>
    <row r="93" hidden="1">
      <c r="A93" s="566" t="s">
        <v>5585</v>
      </c>
      <c r="B93" s="131">
        <v>2345.0</v>
      </c>
      <c r="C93" s="195" t="s">
        <v>15396</v>
      </c>
      <c r="D93" s="74">
        <v>0.9</v>
      </c>
      <c r="E93" s="74">
        <v>0.9</v>
      </c>
      <c r="F93" s="45"/>
      <c r="O93" s="558" t="s">
        <v>15356</v>
      </c>
      <c r="P93" s="35">
        <v>13858.0</v>
      </c>
      <c r="Q93" s="36"/>
      <c r="R93" s="36" t="e">
        <v>#N/A</v>
      </c>
    </row>
    <row r="94" hidden="1">
      <c r="A94" s="566" t="s">
        <v>5586</v>
      </c>
      <c r="B94" s="131">
        <v>2345.0</v>
      </c>
      <c r="C94" s="195" t="s">
        <v>15396</v>
      </c>
      <c r="D94" s="74">
        <v>0.9</v>
      </c>
      <c r="E94" s="74">
        <v>0.9</v>
      </c>
      <c r="F94" s="45"/>
      <c r="O94" s="558" t="s">
        <v>15357</v>
      </c>
      <c r="P94" s="36"/>
      <c r="Q94" s="36"/>
      <c r="R94" s="36" t="e">
        <v>#N/A</v>
      </c>
    </row>
    <row r="95" hidden="1">
      <c r="A95" s="566" t="s">
        <v>5587</v>
      </c>
      <c r="B95" s="131">
        <v>6811.0</v>
      </c>
      <c r="C95" s="195" t="s">
        <v>15396</v>
      </c>
      <c r="D95" s="563">
        <v>0.8</v>
      </c>
      <c r="E95" s="563">
        <v>0.8</v>
      </c>
      <c r="F95" s="45"/>
      <c r="O95" s="558" t="s">
        <v>15358</v>
      </c>
      <c r="P95" s="36"/>
      <c r="Q95" s="36"/>
      <c r="R95" s="36" t="e">
        <v>#N/A</v>
      </c>
    </row>
    <row r="96" hidden="1">
      <c r="A96" s="566" t="s">
        <v>5588</v>
      </c>
      <c r="B96" s="131">
        <v>14525.0</v>
      </c>
      <c r="C96" s="195" t="s">
        <v>15396</v>
      </c>
      <c r="D96" s="563">
        <v>0.8</v>
      </c>
      <c r="E96" s="563">
        <v>0.8</v>
      </c>
      <c r="F96" s="45"/>
      <c r="O96" s="558" t="s">
        <v>15359</v>
      </c>
      <c r="P96" s="36"/>
      <c r="Q96" s="36"/>
      <c r="R96" s="36" t="e">
        <v>#N/A</v>
      </c>
    </row>
    <row r="97" hidden="1">
      <c r="A97" s="566" t="s">
        <v>5589</v>
      </c>
      <c r="B97" s="131">
        <v>6669.0</v>
      </c>
      <c r="C97" s="195" t="s">
        <v>15396</v>
      </c>
      <c r="D97" s="563">
        <v>0.8</v>
      </c>
      <c r="E97" s="563">
        <v>0.8</v>
      </c>
      <c r="F97" s="45"/>
      <c r="O97" s="558" t="s">
        <v>15360</v>
      </c>
      <c r="P97" s="36"/>
      <c r="Q97" s="36"/>
      <c r="R97" s="36" t="e">
        <v>#N/A</v>
      </c>
    </row>
    <row r="98" hidden="1">
      <c r="A98" s="566" t="s">
        <v>5590</v>
      </c>
      <c r="B98" s="131">
        <v>6669.0</v>
      </c>
      <c r="C98" s="195" t="s">
        <v>15396</v>
      </c>
      <c r="D98" s="563">
        <v>0.8</v>
      </c>
      <c r="E98" s="563">
        <v>0.8</v>
      </c>
      <c r="F98" s="45"/>
      <c r="O98" s="558" t="s">
        <v>15361</v>
      </c>
      <c r="P98" s="35">
        <v>9742.0</v>
      </c>
      <c r="Q98" s="36"/>
      <c r="R98" s="36" t="e">
        <v>#N/A</v>
      </c>
    </row>
    <row r="99" hidden="1">
      <c r="A99" s="566" t="s">
        <v>5591</v>
      </c>
      <c r="B99" s="131">
        <v>6669.0</v>
      </c>
      <c r="C99" s="195" t="s">
        <v>15396</v>
      </c>
      <c r="D99" s="563">
        <v>0.8</v>
      </c>
      <c r="E99" s="563">
        <v>0.8</v>
      </c>
      <c r="F99" s="45"/>
      <c r="O99" s="558" t="s">
        <v>15362</v>
      </c>
      <c r="P99" s="36"/>
      <c r="Q99" s="36"/>
      <c r="R99" s="36" t="e">
        <v>#N/A</v>
      </c>
    </row>
    <row r="100" hidden="1">
      <c r="A100" s="566" t="s">
        <v>5592</v>
      </c>
      <c r="B100" s="131">
        <v>663.0</v>
      </c>
      <c r="C100" s="195" t="s">
        <v>15396</v>
      </c>
      <c r="D100" s="74">
        <v>0.85</v>
      </c>
      <c r="E100" s="74">
        <v>0.85</v>
      </c>
      <c r="F100" s="45"/>
      <c r="O100" s="558" t="s">
        <v>15363</v>
      </c>
      <c r="P100" s="36"/>
      <c r="Q100" s="36"/>
      <c r="R100" s="36" t="e">
        <v>#N/A</v>
      </c>
    </row>
    <row r="101" hidden="1">
      <c r="A101" s="566" t="s">
        <v>5593</v>
      </c>
      <c r="B101" s="131">
        <v>663.0</v>
      </c>
      <c r="C101" s="195" t="s">
        <v>15396</v>
      </c>
      <c r="D101" s="74">
        <v>0.85</v>
      </c>
      <c r="E101" s="74">
        <v>0.85</v>
      </c>
      <c r="F101" s="45"/>
      <c r="O101" s="558" t="s">
        <v>15364</v>
      </c>
      <c r="P101" s="36"/>
      <c r="Q101" s="36"/>
      <c r="R101" s="36" t="e">
        <v>#N/A</v>
      </c>
    </row>
    <row r="102" hidden="1">
      <c r="A102" s="567" t="s">
        <v>14014</v>
      </c>
      <c r="B102" s="131">
        <v>14663.0</v>
      </c>
      <c r="C102" s="195" t="s">
        <v>15396</v>
      </c>
      <c r="D102" s="563">
        <v>0.8</v>
      </c>
      <c r="E102" s="563">
        <v>0.8</v>
      </c>
      <c r="F102" s="45"/>
      <c r="O102" s="558" t="s">
        <v>15365</v>
      </c>
      <c r="P102" s="35">
        <v>13951.0</v>
      </c>
      <c r="Q102" s="36"/>
      <c r="R102" s="36" t="e">
        <v>#N/A</v>
      </c>
    </row>
    <row r="103" hidden="1">
      <c r="A103" s="25" t="s">
        <v>10440</v>
      </c>
      <c r="B103" s="131">
        <v>14727.0</v>
      </c>
      <c r="C103" s="195" t="s">
        <v>15396</v>
      </c>
      <c r="D103" s="563">
        <v>0.8</v>
      </c>
      <c r="E103" s="563">
        <v>0.8</v>
      </c>
      <c r="F103" s="45"/>
      <c r="O103" s="558" t="s">
        <v>15366</v>
      </c>
      <c r="P103" s="35">
        <v>12609.0</v>
      </c>
      <c r="Q103" s="36"/>
      <c r="R103" s="36" t="e">
        <v>#N/A</v>
      </c>
    </row>
    <row r="104" hidden="1">
      <c r="A104" s="25" t="s">
        <v>15397</v>
      </c>
      <c r="B104" s="131">
        <v>14727.0</v>
      </c>
      <c r="C104" s="195" t="s">
        <v>15396</v>
      </c>
      <c r="D104" s="563">
        <v>0.8</v>
      </c>
      <c r="E104" s="563">
        <v>0.8</v>
      </c>
      <c r="F104" s="45"/>
      <c r="O104" s="558" t="s">
        <v>15367</v>
      </c>
      <c r="P104" s="36"/>
      <c r="Q104" s="36"/>
      <c r="R104" s="36" t="e">
        <v>#N/A</v>
      </c>
    </row>
    <row r="105" hidden="1">
      <c r="A105" s="25" t="s">
        <v>15398</v>
      </c>
      <c r="B105" s="9">
        <v>6675.0</v>
      </c>
      <c r="C105" s="195" t="s">
        <v>15396</v>
      </c>
      <c r="D105" s="563">
        <v>0.8</v>
      </c>
      <c r="E105" s="563">
        <v>0.8</v>
      </c>
      <c r="F105" s="45"/>
      <c r="O105" s="335"/>
      <c r="P105" s="36"/>
      <c r="Q105" s="36"/>
      <c r="R105" s="36"/>
    </row>
    <row r="106" hidden="1">
      <c r="A106" s="25" t="s">
        <v>15399</v>
      </c>
      <c r="B106" s="9">
        <v>6675.0</v>
      </c>
      <c r="C106" s="195" t="s">
        <v>15396</v>
      </c>
      <c r="D106" s="563">
        <v>0.8</v>
      </c>
      <c r="E106" s="563">
        <v>0.8</v>
      </c>
      <c r="F106" s="45"/>
      <c r="O106" s="335"/>
      <c r="P106" s="36"/>
      <c r="Q106" s="36"/>
      <c r="R106" s="36"/>
    </row>
    <row r="107" hidden="1">
      <c r="A107" s="25" t="s">
        <v>15400</v>
      </c>
      <c r="B107" s="9">
        <v>6675.0</v>
      </c>
      <c r="C107" s="195" t="s">
        <v>15396</v>
      </c>
      <c r="D107" s="563">
        <v>0.8</v>
      </c>
      <c r="E107" s="563">
        <v>0.8</v>
      </c>
      <c r="F107" s="45"/>
      <c r="O107" s="335"/>
      <c r="P107" s="36"/>
      <c r="Q107" s="36"/>
      <c r="R107" s="36"/>
    </row>
    <row r="108" hidden="1">
      <c r="A108" s="25" t="s">
        <v>15401</v>
      </c>
      <c r="B108" s="9">
        <v>6675.0</v>
      </c>
      <c r="C108" s="195" t="s">
        <v>15396</v>
      </c>
      <c r="D108" s="563">
        <v>0.8</v>
      </c>
      <c r="E108" s="563">
        <v>0.8</v>
      </c>
      <c r="F108" s="45"/>
      <c r="O108" s="335"/>
      <c r="P108" s="36"/>
      <c r="Q108" s="36"/>
      <c r="R108" s="36"/>
    </row>
    <row r="109">
      <c r="A109" s="25"/>
      <c r="B109" s="131"/>
      <c r="D109" s="11"/>
      <c r="E109" s="45"/>
      <c r="F109" s="45"/>
      <c r="O109" s="335"/>
      <c r="P109" s="36"/>
      <c r="Q109" s="36"/>
      <c r="R109" s="36"/>
    </row>
    <row r="110">
      <c r="A110" s="25"/>
      <c r="B110" s="131"/>
      <c r="D110" s="11"/>
      <c r="E110" s="45"/>
      <c r="F110" s="45"/>
      <c r="O110" s="335"/>
      <c r="P110" s="36"/>
      <c r="Q110" s="36"/>
      <c r="R110" s="36"/>
    </row>
    <row r="111">
      <c r="A111" s="25"/>
      <c r="B111" s="131"/>
      <c r="D111" s="11"/>
      <c r="E111" s="45"/>
      <c r="F111" s="45"/>
      <c r="O111" s="335"/>
      <c r="P111" s="36"/>
      <c r="Q111" s="36"/>
      <c r="R111" s="36"/>
    </row>
    <row r="112">
      <c r="A112" s="25"/>
      <c r="B112" s="131"/>
      <c r="D112" s="11"/>
      <c r="E112" s="45"/>
      <c r="F112" s="45"/>
      <c r="O112" s="335"/>
      <c r="P112" s="36"/>
      <c r="Q112" s="36"/>
      <c r="R112" s="36"/>
    </row>
    <row r="113">
      <c r="A113" s="25"/>
      <c r="B113" s="131"/>
      <c r="D113" s="11"/>
      <c r="E113" s="45"/>
      <c r="F113" s="45"/>
      <c r="O113" s="335"/>
      <c r="P113" s="36"/>
      <c r="Q113" s="36"/>
      <c r="R113" s="36"/>
    </row>
    <row r="114">
      <c r="A114" s="25"/>
      <c r="B114" s="131"/>
      <c r="D114" s="11"/>
      <c r="E114" s="45"/>
      <c r="F114" s="45"/>
      <c r="O114" s="335"/>
      <c r="P114" s="36"/>
      <c r="Q114" s="36"/>
      <c r="R114" s="36"/>
    </row>
    <row r="115">
      <c r="A115" s="25"/>
      <c r="B115" s="131"/>
      <c r="D115" s="11"/>
      <c r="E115" s="45"/>
      <c r="F115" s="45"/>
      <c r="O115" s="335"/>
      <c r="P115" s="36"/>
      <c r="Q115" s="36"/>
      <c r="R115" s="36"/>
    </row>
    <row r="116">
      <c r="A116" s="25"/>
      <c r="B116" s="131"/>
      <c r="D116" s="11"/>
      <c r="E116" s="45"/>
      <c r="F116" s="45"/>
      <c r="O116" s="335"/>
      <c r="P116" s="36"/>
      <c r="Q116" s="36"/>
      <c r="R116" s="36"/>
    </row>
    <row r="117">
      <c r="A117" s="25"/>
      <c r="B117" s="131"/>
      <c r="D117" s="11"/>
      <c r="E117" s="45"/>
      <c r="F117" s="45"/>
      <c r="O117" s="335"/>
      <c r="P117" s="36"/>
      <c r="Q117" s="36"/>
      <c r="R117" s="36"/>
    </row>
    <row r="118">
      <c r="A118" s="25"/>
      <c r="B118" s="131"/>
      <c r="D118" s="11"/>
      <c r="E118" s="45"/>
      <c r="F118" s="45"/>
      <c r="O118" s="335"/>
      <c r="P118" s="36"/>
      <c r="Q118" s="36"/>
      <c r="R118" s="36"/>
    </row>
    <row r="119">
      <c r="A119" s="25"/>
      <c r="B119" s="131"/>
      <c r="D119" s="11"/>
      <c r="E119" s="45"/>
      <c r="F119" s="45"/>
      <c r="O119" s="335"/>
      <c r="P119" s="36"/>
      <c r="Q119" s="36"/>
      <c r="R119" s="36"/>
    </row>
    <row r="120">
      <c r="A120" s="25"/>
      <c r="B120" s="131"/>
      <c r="D120" s="11"/>
      <c r="E120" s="45"/>
      <c r="F120" s="45"/>
      <c r="O120" s="335"/>
      <c r="P120" s="36"/>
      <c r="Q120" s="36"/>
      <c r="R120" s="36"/>
    </row>
    <row r="121">
      <c r="A121" s="25"/>
      <c r="B121" s="131"/>
      <c r="D121" s="11"/>
      <c r="E121" s="45"/>
      <c r="F121" s="45"/>
      <c r="O121" s="335"/>
      <c r="P121" s="36"/>
      <c r="Q121" s="36"/>
      <c r="R121" s="36"/>
    </row>
    <row r="122">
      <c r="A122" s="25"/>
      <c r="B122" s="131"/>
      <c r="D122" s="11"/>
      <c r="E122" s="45"/>
      <c r="F122" s="45"/>
      <c r="O122" s="335"/>
      <c r="P122" s="36"/>
      <c r="Q122" s="36"/>
      <c r="R122" s="36"/>
    </row>
    <row r="123">
      <c r="A123" s="25"/>
      <c r="B123" s="131"/>
      <c r="D123" s="11"/>
      <c r="E123" s="45"/>
      <c r="F123" s="45"/>
      <c r="O123" s="335"/>
      <c r="P123" s="36"/>
      <c r="Q123" s="36"/>
      <c r="R123" s="36"/>
    </row>
    <row r="124">
      <c r="A124" s="25"/>
      <c r="B124" s="131"/>
      <c r="D124" s="11"/>
      <c r="E124" s="45"/>
      <c r="F124" s="45"/>
      <c r="O124" s="335"/>
      <c r="P124" s="36"/>
      <c r="Q124" s="36"/>
      <c r="R124" s="36"/>
    </row>
    <row r="125">
      <c r="A125" s="25"/>
      <c r="B125" s="131"/>
      <c r="D125" s="11"/>
      <c r="E125" s="45"/>
      <c r="F125" s="45"/>
      <c r="O125" s="335"/>
      <c r="P125" s="36"/>
      <c r="Q125" s="36"/>
      <c r="R125" s="36"/>
    </row>
    <row r="126">
      <c r="A126" s="25"/>
      <c r="B126" s="131"/>
      <c r="D126" s="11"/>
      <c r="E126" s="45"/>
      <c r="F126" s="45"/>
      <c r="O126" s="335"/>
      <c r="P126" s="36"/>
      <c r="Q126" s="36"/>
      <c r="R126" s="36"/>
    </row>
    <row r="127">
      <c r="A127" s="25"/>
      <c r="B127" s="131"/>
      <c r="D127" s="11"/>
      <c r="E127" s="45"/>
      <c r="F127" s="45"/>
      <c r="O127" s="335"/>
      <c r="P127" s="36"/>
      <c r="Q127" s="36"/>
      <c r="R127" s="36"/>
    </row>
    <row r="128">
      <c r="A128" s="25"/>
      <c r="B128" s="131"/>
      <c r="D128" s="11"/>
      <c r="E128" s="45"/>
      <c r="F128" s="45"/>
      <c r="O128" s="335"/>
      <c r="P128" s="36"/>
      <c r="Q128" s="36"/>
      <c r="R128" s="36"/>
    </row>
    <row r="129">
      <c r="A129" s="25"/>
      <c r="B129" s="131"/>
      <c r="D129" s="11"/>
      <c r="E129" s="45"/>
      <c r="F129" s="45"/>
      <c r="O129" s="335"/>
      <c r="P129" s="36"/>
      <c r="Q129" s="36"/>
      <c r="R129" s="36"/>
    </row>
    <row r="130">
      <c r="A130" s="25"/>
      <c r="B130" s="131"/>
      <c r="D130" s="11"/>
      <c r="E130" s="45"/>
      <c r="F130" s="45"/>
      <c r="O130" s="335"/>
      <c r="P130" s="36"/>
      <c r="Q130" s="36"/>
      <c r="R130" s="36"/>
    </row>
    <row r="131">
      <c r="A131" s="25"/>
      <c r="B131" s="131"/>
      <c r="D131" s="11"/>
      <c r="E131" s="45"/>
      <c r="F131" s="45"/>
      <c r="O131" s="335"/>
      <c r="P131" s="36"/>
      <c r="Q131" s="36"/>
      <c r="R131" s="36"/>
    </row>
    <row r="132">
      <c r="A132" s="25"/>
      <c r="B132" s="131"/>
      <c r="D132" s="11"/>
      <c r="E132" s="45"/>
      <c r="F132" s="45"/>
      <c r="O132" s="335"/>
      <c r="P132" s="36"/>
      <c r="Q132" s="36"/>
      <c r="R132" s="36"/>
    </row>
    <row r="133">
      <c r="A133" s="25"/>
      <c r="B133" s="131"/>
      <c r="D133" s="11"/>
      <c r="E133" s="45"/>
      <c r="F133" s="45"/>
      <c r="O133" s="335"/>
      <c r="P133" s="36"/>
      <c r="Q133" s="36"/>
      <c r="R133" s="36"/>
    </row>
    <row r="134">
      <c r="A134" s="25"/>
      <c r="B134" s="131"/>
      <c r="D134" s="11"/>
      <c r="E134" s="45"/>
      <c r="F134" s="45"/>
      <c r="O134" s="335"/>
      <c r="P134" s="36"/>
      <c r="Q134" s="36"/>
      <c r="R134" s="36"/>
    </row>
    <row r="135">
      <c r="A135" s="25"/>
      <c r="B135" s="131"/>
      <c r="D135" s="11"/>
      <c r="E135" s="45"/>
      <c r="F135" s="45"/>
      <c r="O135" s="335"/>
      <c r="P135" s="36"/>
      <c r="Q135" s="36"/>
      <c r="R135" s="36"/>
    </row>
    <row r="136">
      <c r="A136" s="25"/>
      <c r="B136" s="131"/>
      <c r="D136" s="11"/>
      <c r="E136" s="45"/>
      <c r="F136" s="45"/>
      <c r="O136" s="335"/>
      <c r="P136" s="36"/>
      <c r="Q136" s="36"/>
      <c r="R136" s="36"/>
    </row>
    <row r="137">
      <c r="A137" s="25"/>
      <c r="B137" s="131"/>
      <c r="D137" s="11"/>
      <c r="E137" s="45"/>
      <c r="F137" s="45"/>
      <c r="O137" s="335"/>
      <c r="P137" s="36"/>
      <c r="Q137" s="36"/>
      <c r="R137" s="36"/>
    </row>
    <row r="138">
      <c r="A138" s="25"/>
      <c r="B138" s="131"/>
      <c r="D138" s="11"/>
      <c r="E138" s="45"/>
      <c r="F138" s="45"/>
      <c r="O138" s="335"/>
      <c r="P138" s="36"/>
      <c r="Q138" s="36"/>
      <c r="R138" s="36"/>
    </row>
    <row r="139">
      <c r="A139" s="25"/>
      <c r="B139" s="131"/>
      <c r="D139" s="11"/>
      <c r="E139" s="45"/>
      <c r="F139" s="45"/>
      <c r="O139" s="335"/>
      <c r="P139" s="36"/>
      <c r="Q139" s="36"/>
      <c r="R139" s="36"/>
    </row>
    <row r="140">
      <c r="A140" s="25"/>
      <c r="B140" s="131"/>
      <c r="D140" s="11"/>
      <c r="E140" s="45"/>
      <c r="F140" s="45"/>
      <c r="O140" s="335"/>
      <c r="P140" s="36"/>
      <c r="Q140" s="36"/>
      <c r="R140" s="36"/>
    </row>
    <row r="141">
      <c r="A141" s="25"/>
      <c r="B141" s="131"/>
      <c r="D141" s="11"/>
      <c r="E141" s="45"/>
      <c r="F141" s="45"/>
      <c r="O141" s="335"/>
      <c r="P141" s="36"/>
      <c r="Q141" s="36"/>
      <c r="R141" s="36"/>
    </row>
    <row r="142">
      <c r="A142" s="25"/>
      <c r="B142" s="131"/>
      <c r="D142" s="11"/>
      <c r="E142" s="45"/>
      <c r="F142" s="45"/>
      <c r="O142" s="335"/>
      <c r="P142" s="36"/>
      <c r="Q142" s="36"/>
      <c r="R142" s="36"/>
    </row>
    <row r="143">
      <c r="A143" s="25"/>
      <c r="B143" s="131"/>
      <c r="D143" s="11"/>
      <c r="E143" s="45"/>
      <c r="F143" s="45"/>
      <c r="O143" s="335"/>
      <c r="P143" s="36"/>
      <c r="Q143" s="36"/>
      <c r="R143" s="36"/>
    </row>
    <row r="144">
      <c r="A144" s="25"/>
      <c r="B144" s="131"/>
      <c r="D144" s="11"/>
      <c r="E144" s="45"/>
      <c r="F144" s="45"/>
      <c r="O144" s="335"/>
      <c r="P144" s="36"/>
      <c r="Q144" s="36"/>
      <c r="R144" s="36"/>
    </row>
    <row r="145">
      <c r="A145" s="25"/>
      <c r="B145" s="131"/>
      <c r="D145" s="11"/>
      <c r="E145" s="45"/>
      <c r="F145" s="45"/>
      <c r="O145" s="335"/>
      <c r="P145" s="36"/>
      <c r="Q145" s="36"/>
      <c r="R145" s="36"/>
    </row>
    <row r="146">
      <c r="A146" s="25"/>
      <c r="B146" s="131"/>
      <c r="D146" s="11"/>
      <c r="E146" s="45"/>
      <c r="F146" s="45"/>
      <c r="O146" s="335"/>
      <c r="P146" s="36"/>
      <c r="Q146" s="36"/>
      <c r="R146" s="36"/>
    </row>
    <row r="147">
      <c r="A147" s="25"/>
      <c r="B147" s="131"/>
      <c r="D147" s="11"/>
      <c r="E147" s="45"/>
      <c r="F147" s="45"/>
      <c r="O147" s="335"/>
      <c r="P147" s="36"/>
      <c r="Q147" s="36"/>
      <c r="R147" s="36"/>
    </row>
    <row r="148">
      <c r="A148" s="25"/>
      <c r="B148" s="131"/>
      <c r="D148" s="11"/>
      <c r="E148" s="45"/>
      <c r="F148" s="45"/>
      <c r="O148" s="335"/>
      <c r="P148" s="36"/>
      <c r="Q148" s="36"/>
      <c r="R148" s="36"/>
    </row>
    <row r="149">
      <c r="A149" s="25"/>
      <c r="B149" s="131"/>
      <c r="D149" s="11"/>
      <c r="E149" s="45"/>
      <c r="F149" s="45"/>
      <c r="O149" s="335"/>
      <c r="P149" s="36"/>
      <c r="Q149" s="36"/>
      <c r="R149" s="36"/>
    </row>
    <row r="150">
      <c r="A150" s="25"/>
      <c r="B150" s="131"/>
      <c r="D150" s="11"/>
      <c r="E150" s="45"/>
      <c r="F150" s="45"/>
      <c r="O150" s="335"/>
      <c r="P150" s="36"/>
      <c r="Q150" s="36"/>
      <c r="R150" s="36"/>
    </row>
    <row r="151">
      <c r="A151" s="25"/>
      <c r="B151" s="131"/>
      <c r="D151" s="11"/>
      <c r="E151" s="45"/>
      <c r="F151" s="45"/>
      <c r="O151" s="335"/>
      <c r="P151" s="36"/>
      <c r="Q151" s="36"/>
      <c r="R151" s="36"/>
    </row>
    <row r="152">
      <c r="A152" s="25"/>
      <c r="B152" s="131"/>
      <c r="D152" s="11"/>
      <c r="E152" s="45"/>
      <c r="F152" s="45"/>
      <c r="O152" s="335"/>
      <c r="P152" s="36"/>
      <c r="Q152" s="36"/>
      <c r="R152" s="36"/>
    </row>
    <row r="153">
      <c r="A153" s="25"/>
      <c r="B153" s="131"/>
      <c r="D153" s="11"/>
      <c r="E153" s="45"/>
      <c r="F153" s="45"/>
      <c r="O153" s="335"/>
      <c r="P153" s="36"/>
      <c r="Q153" s="36"/>
      <c r="R153" s="36"/>
    </row>
    <row r="154">
      <c r="A154" s="25"/>
      <c r="B154" s="131"/>
      <c r="D154" s="11"/>
      <c r="E154" s="45"/>
      <c r="F154" s="45"/>
      <c r="O154" s="335"/>
      <c r="P154" s="36"/>
      <c r="Q154" s="36"/>
      <c r="R154" s="36"/>
    </row>
    <row r="155">
      <c r="A155" s="25"/>
      <c r="B155" s="131"/>
      <c r="D155" s="11"/>
      <c r="E155" s="45"/>
      <c r="F155" s="45"/>
      <c r="O155" s="335"/>
      <c r="P155" s="36"/>
      <c r="Q155" s="36"/>
      <c r="R155" s="36"/>
    </row>
    <row r="156">
      <c r="A156" s="25"/>
      <c r="B156" s="131"/>
      <c r="D156" s="11"/>
      <c r="E156" s="45"/>
      <c r="F156" s="45"/>
      <c r="O156" s="335"/>
      <c r="P156" s="36"/>
      <c r="Q156" s="36"/>
      <c r="R156" s="36"/>
    </row>
    <row r="157">
      <c r="A157" s="25"/>
      <c r="B157" s="131"/>
      <c r="D157" s="11"/>
      <c r="E157" s="45"/>
      <c r="F157" s="45"/>
      <c r="O157" s="335"/>
      <c r="P157" s="36"/>
      <c r="Q157" s="36"/>
      <c r="R157" s="36"/>
    </row>
    <row r="158">
      <c r="A158" s="25"/>
      <c r="B158" s="131"/>
      <c r="D158" s="11"/>
      <c r="E158" s="45"/>
      <c r="F158" s="45"/>
      <c r="O158" s="335"/>
      <c r="P158" s="36"/>
      <c r="Q158" s="36"/>
      <c r="R158" s="36"/>
    </row>
    <row r="159">
      <c r="A159" s="25"/>
      <c r="B159" s="131"/>
      <c r="D159" s="11"/>
      <c r="E159" s="45"/>
      <c r="F159" s="45"/>
      <c r="O159" s="335"/>
      <c r="P159" s="36"/>
      <c r="Q159" s="36"/>
      <c r="R159" s="36"/>
    </row>
    <row r="160">
      <c r="A160" s="25"/>
      <c r="B160" s="131"/>
      <c r="D160" s="11"/>
      <c r="E160" s="45"/>
      <c r="F160" s="45"/>
      <c r="O160" s="335"/>
      <c r="P160" s="36"/>
      <c r="Q160" s="36"/>
      <c r="R160" s="36"/>
    </row>
    <row r="161">
      <c r="A161" s="25"/>
      <c r="B161" s="131"/>
      <c r="D161" s="11"/>
      <c r="E161" s="45"/>
      <c r="F161" s="45"/>
      <c r="O161" s="335"/>
      <c r="P161" s="36"/>
      <c r="Q161" s="36"/>
      <c r="R161" s="36"/>
    </row>
    <row r="162">
      <c r="A162" s="25"/>
      <c r="B162" s="131"/>
      <c r="D162" s="11"/>
      <c r="E162" s="45"/>
      <c r="F162" s="45"/>
      <c r="O162" s="335"/>
      <c r="P162" s="36"/>
      <c r="Q162" s="36"/>
      <c r="R162" s="36"/>
    </row>
    <row r="163">
      <c r="A163" s="25"/>
      <c r="B163" s="131"/>
      <c r="D163" s="11"/>
      <c r="E163" s="45"/>
      <c r="F163" s="45"/>
      <c r="O163" s="335"/>
      <c r="P163" s="36"/>
      <c r="Q163" s="36"/>
      <c r="R163" s="36"/>
    </row>
    <row r="164">
      <c r="A164" s="25"/>
      <c r="B164" s="131"/>
      <c r="D164" s="11"/>
      <c r="E164" s="45"/>
      <c r="F164" s="45"/>
      <c r="O164" s="335"/>
      <c r="P164" s="36"/>
      <c r="Q164" s="36"/>
      <c r="R164" s="36"/>
    </row>
    <row r="165">
      <c r="A165" s="25"/>
      <c r="B165" s="131"/>
      <c r="D165" s="11"/>
      <c r="E165" s="45"/>
      <c r="F165" s="45"/>
      <c r="O165" s="335"/>
      <c r="P165" s="36"/>
      <c r="Q165" s="36"/>
      <c r="R165" s="36"/>
    </row>
    <row r="166">
      <c r="A166" s="25"/>
      <c r="B166" s="131"/>
      <c r="D166" s="11"/>
      <c r="E166" s="45"/>
      <c r="F166" s="45"/>
      <c r="O166" s="335"/>
      <c r="P166" s="36"/>
      <c r="Q166" s="36"/>
      <c r="R166" s="36"/>
    </row>
    <row r="167">
      <c r="A167" s="25"/>
      <c r="B167" s="131"/>
      <c r="D167" s="11"/>
      <c r="E167" s="45"/>
      <c r="F167" s="45"/>
      <c r="O167" s="335"/>
      <c r="P167" s="36"/>
      <c r="Q167" s="36"/>
      <c r="R167" s="36"/>
    </row>
    <row r="168">
      <c r="A168" s="25"/>
      <c r="B168" s="131"/>
      <c r="D168" s="11"/>
      <c r="E168" s="45"/>
      <c r="F168" s="45"/>
      <c r="O168" s="335"/>
      <c r="P168" s="36"/>
      <c r="Q168" s="36"/>
      <c r="R168" s="36"/>
    </row>
    <row r="169">
      <c r="A169" s="25"/>
      <c r="B169" s="131"/>
      <c r="D169" s="11"/>
      <c r="E169" s="45"/>
      <c r="F169" s="45"/>
      <c r="O169" s="335"/>
      <c r="P169" s="36"/>
      <c r="Q169" s="36"/>
      <c r="R169" s="36"/>
    </row>
    <row r="170">
      <c r="A170" s="25"/>
      <c r="B170" s="131"/>
      <c r="D170" s="11"/>
      <c r="E170" s="45"/>
      <c r="F170" s="45"/>
      <c r="O170" s="335"/>
      <c r="P170" s="36"/>
      <c r="Q170" s="36"/>
      <c r="R170" s="36"/>
    </row>
    <row r="171">
      <c r="A171" s="25"/>
      <c r="B171" s="131"/>
      <c r="D171" s="11"/>
      <c r="E171" s="45"/>
      <c r="F171" s="45"/>
      <c r="O171" s="335"/>
      <c r="P171" s="36"/>
      <c r="Q171" s="36"/>
      <c r="R171" s="36"/>
    </row>
    <row r="172">
      <c r="A172" s="25"/>
      <c r="B172" s="131"/>
      <c r="D172" s="11"/>
      <c r="E172" s="45"/>
      <c r="F172" s="45"/>
      <c r="O172" s="335"/>
      <c r="P172" s="36"/>
      <c r="Q172" s="36"/>
      <c r="R172" s="36"/>
    </row>
    <row r="173">
      <c r="A173" s="25"/>
      <c r="B173" s="131"/>
      <c r="D173" s="11"/>
      <c r="E173" s="45"/>
      <c r="F173" s="45"/>
      <c r="O173" s="335"/>
      <c r="P173" s="36"/>
      <c r="Q173" s="36"/>
      <c r="R173" s="36"/>
    </row>
    <row r="174">
      <c r="A174" s="25"/>
      <c r="B174" s="131"/>
      <c r="D174" s="11"/>
      <c r="E174" s="45"/>
      <c r="F174" s="45"/>
      <c r="O174" s="335"/>
      <c r="P174" s="36"/>
      <c r="Q174" s="36"/>
      <c r="R174" s="36"/>
    </row>
    <row r="175">
      <c r="A175" s="25"/>
      <c r="B175" s="131"/>
      <c r="D175" s="11"/>
      <c r="E175" s="45"/>
      <c r="F175" s="45"/>
      <c r="O175" s="335"/>
      <c r="P175" s="36"/>
      <c r="Q175" s="36"/>
      <c r="R175" s="36"/>
    </row>
    <row r="176">
      <c r="A176" s="25"/>
      <c r="B176" s="131"/>
      <c r="D176" s="11"/>
      <c r="E176" s="45"/>
      <c r="F176" s="45"/>
      <c r="O176" s="335"/>
      <c r="P176" s="36"/>
      <c r="Q176" s="36"/>
      <c r="R176" s="36"/>
    </row>
    <row r="177">
      <c r="A177" s="25"/>
      <c r="B177" s="131"/>
      <c r="D177" s="11"/>
      <c r="E177" s="45"/>
      <c r="F177" s="45"/>
      <c r="O177" s="335"/>
      <c r="P177" s="36"/>
      <c r="Q177" s="36"/>
      <c r="R177" s="36"/>
    </row>
    <row r="178">
      <c r="A178" s="25"/>
      <c r="B178" s="131"/>
      <c r="D178" s="11"/>
      <c r="E178" s="45"/>
      <c r="F178" s="45"/>
      <c r="O178" s="335"/>
      <c r="P178" s="36"/>
      <c r="Q178" s="36"/>
      <c r="R178" s="36"/>
    </row>
    <row r="179">
      <c r="A179" s="25"/>
      <c r="B179" s="131"/>
      <c r="D179" s="11"/>
      <c r="E179" s="45"/>
      <c r="F179" s="45"/>
      <c r="O179" s="335"/>
      <c r="P179" s="36"/>
      <c r="Q179" s="36"/>
      <c r="R179" s="36"/>
    </row>
    <row r="180">
      <c r="A180" s="25"/>
      <c r="B180" s="131"/>
      <c r="D180" s="11"/>
      <c r="E180" s="45"/>
      <c r="F180" s="45"/>
      <c r="O180" s="335"/>
      <c r="P180" s="36"/>
      <c r="Q180" s="36"/>
      <c r="R180" s="36"/>
    </row>
    <row r="181">
      <c r="A181" s="25"/>
      <c r="B181" s="131"/>
      <c r="D181" s="11"/>
      <c r="E181" s="45"/>
      <c r="F181" s="45"/>
      <c r="O181" s="335"/>
      <c r="P181" s="36"/>
      <c r="Q181" s="36"/>
      <c r="R181" s="36"/>
    </row>
    <row r="182">
      <c r="A182" s="25"/>
      <c r="B182" s="131"/>
      <c r="D182" s="11"/>
      <c r="E182" s="45"/>
      <c r="F182" s="45"/>
      <c r="O182" s="335"/>
      <c r="P182" s="36"/>
      <c r="Q182" s="36"/>
      <c r="R182" s="36"/>
    </row>
    <row r="183">
      <c r="A183" s="25"/>
      <c r="B183" s="131"/>
      <c r="D183" s="11"/>
      <c r="E183" s="45"/>
      <c r="F183" s="45"/>
      <c r="O183" s="335"/>
      <c r="P183" s="36"/>
      <c r="Q183" s="36"/>
      <c r="R183" s="36"/>
    </row>
    <row r="184">
      <c r="A184" s="25"/>
      <c r="B184" s="131"/>
      <c r="D184" s="11"/>
      <c r="E184" s="45"/>
      <c r="F184" s="45"/>
      <c r="O184" s="335"/>
      <c r="P184" s="36"/>
      <c r="Q184" s="36"/>
      <c r="R184" s="36"/>
    </row>
    <row r="185">
      <c r="A185" s="25"/>
      <c r="B185" s="131"/>
      <c r="D185" s="11"/>
      <c r="E185" s="45"/>
      <c r="F185" s="45"/>
      <c r="O185" s="335"/>
      <c r="P185" s="36"/>
      <c r="Q185" s="36"/>
      <c r="R185" s="36"/>
    </row>
    <row r="186">
      <c r="A186" s="25"/>
      <c r="B186" s="131"/>
      <c r="D186" s="11"/>
      <c r="E186" s="45"/>
      <c r="F186" s="45"/>
      <c r="O186" s="335"/>
      <c r="P186" s="36"/>
      <c r="Q186" s="36"/>
      <c r="R186" s="36"/>
    </row>
    <row r="187">
      <c r="A187" s="25"/>
      <c r="B187" s="131"/>
      <c r="D187" s="11"/>
      <c r="E187" s="45"/>
      <c r="F187" s="45"/>
      <c r="O187" s="335"/>
      <c r="P187" s="36"/>
      <c r="Q187" s="36"/>
      <c r="R187" s="36"/>
    </row>
    <row r="188">
      <c r="A188" s="25"/>
      <c r="B188" s="131"/>
      <c r="D188" s="11"/>
      <c r="E188" s="45"/>
      <c r="F188" s="45"/>
      <c r="O188" s="335"/>
      <c r="P188" s="36"/>
      <c r="Q188" s="36"/>
      <c r="R188" s="36"/>
    </row>
    <row r="189">
      <c r="A189" s="25"/>
      <c r="B189" s="131"/>
      <c r="D189" s="11"/>
      <c r="E189" s="45"/>
      <c r="F189" s="45"/>
      <c r="O189" s="335"/>
      <c r="P189" s="36"/>
      <c r="Q189" s="36"/>
      <c r="R189" s="36"/>
    </row>
    <row r="190">
      <c r="A190" s="25"/>
      <c r="B190" s="131"/>
      <c r="D190" s="11"/>
      <c r="E190" s="45"/>
      <c r="F190" s="45"/>
      <c r="O190" s="335"/>
      <c r="P190" s="36"/>
      <c r="Q190" s="36"/>
      <c r="R190" s="36"/>
    </row>
    <row r="191">
      <c r="A191" s="25"/>
      <c r="B191" s="131"/>
      <c r="D191" s="11"/>
      <c r="E191" s="45"/>
      <c r="F191" s="45"/>
      <c r="O191" s="335"/>
      <c r="P191" s="36"/>
      <c r="Q191" s="36"/>
      <c r="R191" s="36"/>
    </row>
    <row r="192">
      <c r="A192" s="25"/>
      <c r="B192" s="131"/>
      <c r="D192" s="11"/>
      <c r="E192" s="45"/>
      <c r="F192" s="45"/>
      <c r="O192" s="335"/>
      <c r="P192" s="36"/>
      <c r="Q192" s="36"/>
      <c r="R192" s="36"/>
    </row>
    <row r="193">
      <c r="A193" s="25"/>
      <c r="B193" s="131"/>
      <c r="D193" s="11"/>
      <c r="E193" s="45"/>
      <c r="F193" s="45"/>
      <c r="O193" s="335"/>
      <c r="P193" s="36"/>
      <c r="Q193" s="36"/>
      <c r="R193" s="36"/>
    </row>
    <row r="194">
      <c r="A194" s="25"/>
      <c r="B194" s="131"/>
      <c r="D194" s="11"/>
      <c r="E194" s="45"/>
      <c r="F194" s="45"/>
      <c r="O194" s="335"/>
      <c r="P194" s="36"/>
      <c r="Q194" s="36"/>
      <c r="R194" s="36"/>
    </row>
    <row r="195">
      <c r="A195" s="25"/>
      <c r="B195" s="131"/>
      <c r="D195" s="11"/>
      <c r="E195" s="45"/>
      <c r="F195" s="45"/>
      <c r="O195" s="335"/>
      <c r="P195" s="36"/>
      <c r="Q195" s="36"/>
      <c r="R195" s="36"/>
    </row>
    <row r="196">
      <c r="A196" s="25"/>
      <c r="B196" s="131"/>
      <c r="D196" s="11"/>
      <c r="E196" s="45"/>
      <c r="F196" s="45"/>
      <c r="O196" s="335"/>
      <c r="P196" s="36"/>
      <c r="Q196" s="36"/>
      <c r="R196" s="36"/>
    </row>
    <row r="197">
      <c r="A197" s="25"/>
      <c r="B197" s="131"/>
      <c r="D197" s="11"/>
      <c r="E197" s="45"/>
      <c r="F197" s="45"/>
      <c r="O197" s="335"/>
      <c r="P197" s="36"/>
      <c r="Q197" s="36"/>
      <c r="R197" s="36"/>
    </row>
    <row r="198">
      <c r="A198" s="25"/>
      <c r="B198" s="131"/>
      <c r="D198" s="11"/>
      <c r="E198" s="45"/>
      <c r="F198" s="45"/>
      <c r="O198" s="335"/>
      <c r="P198" s="36"/>
      <c r="Q198" s="36"/>
      <c r="R198" s="36"/>
    </row>
    <row r="199">
      <c r="A199" s="25"/>
      <c r="B199" s="131"/>
      <c r="D199" s="11"/>
      <c r="E199" s="45"/>
      <c r="F199" s="45"/>
      <c r="O199" s="335"/>
      <c r="P199" s="36"/>
      <c r="Q199" s="36"/>
      <c r="R199" s="36"/>
    </row>
    <row r="200">
      <c r="A200" s="25"/>
      <c r="B200" s="131"/>
      <c r="D200" s="11"/>
      <c r="E200" s="45"/>
      <c r="F200" s="45"/>
      <c r="O200" s="335"/>
      <c r="P200" s="36"/>
      <c r="Q200" s="36"/>
      <c r="R200" s="36"/>
    </row>
    <row r="201">
      <c r="A201" s="25"/>
      <c r="B201" s="131"/>
      <c r="D201" s="11"/>
      <c r="E201" s="45"/>
      <c r="F201" s="45"/>
      <c r="O201" s="335"/>
      <c r="P201" s="36"/>
      <c r="Q201" s="36"/>
      <c r="R201" s="36"/>
    </row>
    <row r="202">
      <c r="A202" s="25"/>
      <c r="B202" s="131"/>
      <c r="D202" s="11"/>
      <c r="E202" s="45"/>
      <c r="F202" s="45"/>
      <c r="O202" s="335"/>
      <c r="P202" s="36"/>
      <c r="Q202" s="36"/>
      <c r="R202" s="36"/>
    </row>
    <row r="203">
      <c r="A203" s="25"/>
      <c r="B203" s="131"/>
      <c r="D203" s="11"/>
      <c r="E203" s="45"/>
      <c r="F203" s="45"/>
      <c r="O203" s="335"/>
      <c r="P203" s="36"/>
      <c r="Q203" s="36"/>
      <c r="R203" s="36"/>
    </row>
    <row r="204">
      <c r="A204" s="25"/>
      <c r="B204" s="131"/>
      <c r="D204" s="11"/>
      <c r="E204" s="45"/>
      <c r="F204" s="45"/>
      <c r="O204" s="335"/>
      <c r="P204" s="36"/>
      <c r="Q204" s="36"/>
      <c r="R204" s="36"/>
    </row>
    <row r="205">
      <c r="A205" s="25"/>
      <c r="B205" s="131"/>
      <c r="D205" s="11"/>
      <c r="E205" s="45"/>
      <c r="F205" s="45"/>
      <c r="O205" s="335"/>
      <c r="P205" s="36"/>
      <c r="Q205" s="36"/>
      <c r="R205" s="36"/>
    </row>
    <row r="206">
      <c r="A206" s="25"/>
      <c r="B206" s="131"/>
      <c r="D206" s="11"/>
      <c r="E206" s="45"/>
      <c r="F206" s="45"/>
      <c r="O206" s="335"/>
      <c r="P206" s="36"/>
      <c r="Q206" s="36"/>
      <c r="R206" s="36"/>
    </row>
    <row r="207">
      <c r="A207" s="25"/>
      <c r="B207" s="131"/>
      <c r="D207" s="11"/>
      <c r="E207" s="45"/>
      <c r="F207" s="45"/>
      <c r="O207" s="335"/>
      <c r="P207" s="36"/>
      <c r="Q207" s="36"/>
      <c r="R207" s="36"/>
    </row>
    <row r="208">
      <c r="A208" s="25"/>
      <c r="B208" s="131"/>
      <c r="D208" s="11"/>
      <c r="E208" s="45"/>
      <c r="F208" s="45"/>
      <c r="O208" s="335"/>
      <c r="P208" s="36"/>
      <c r="Q208" s="36"/>
      <c r="R208" s="36"/>
    </row>
    <row r="209">
      <c r="A209" s="25"/>
      <c r="B209" s="131"/>
      <c r="D209" s="11"/>
      <c r="E209" s="45"/>
      <c r="F209" s="45"/>
      <c r="O209" s="335"/>
      <c r="P209" s="36"/>
      <c r="Q209" s="36"/>
      <c r="R209" s="36"/>
    </row>
    <row r="210">
      <c r="A210" s="25"/>
      <c r="B210" s="131"/>
      <c r="D210" s="11"/>
      <c r="E210" s="45"/>
      <c r="F210" s="45"/>
      <c r="O210" s="335"/>
      <c r="P210" s="36"/>
      <c r="Q210" s="36"/>
      <c r="R210" s="36"/>
    </row>
    <row r="211">
      <c r="A211" s="25"/>
      <c r="B211" s="131"/>
      <c r="D211" s="11"/>
      <c r="E211" s="45"/>
      <c r="F211" s="45"/>
      <c r="O211" s="335"/>
      <c r="P211" s="36"/>
      <c r="Q211" s="36"/>
      <c r="R211" s="36"/>
    </row>
    <row r="212">
      <c r="A212" s="25"/>
      <c r="B212" s="131"/>
      <c r="D212" s="11"/>
      <c r="E212" s="45"/>
      <c r="F212" s="45"/>
      <c r="O212" s="335"/>
      <c r="P212" s="36"/>
      <c r="Q212" s="36"/>
      <c r="R212" s="36"/>
    </row>
    <row r="213">
      <c r="A213" s="25"/>
      <c r="B213" s="131"/>
      <c r="D213" s="11"/>
      <c r="E213" s="45"/>
      <c r="F213" s="45"/>
      <c r="O213" s="335"/>
      <c r="P213" s="36"/>
      <c r="Q213" s="36"/>
      <c r="R213" s="36"/>
    </row>
    <row r="214">
      <c r="A214" s="25"/>
      <c r="B214" s="131"/>
      <c r="D214" s="11"/>
      <c r="E214" s="45"/>
      <c r="F214" s="45"/>
      <c r="O214" s="335"/>
      <c r="P214" s="36"/>
      <c r="Q214" s="36"/>
      <c r="R214" s="36"/>
    </row>
    <row r="215">
      <c r="A215" s="25"/>
      <c r="B215" s="131"/>
      <c r="D215" s="11"/>
      <c r="E215" s="45"/>
      <c r="F215" s="45"/>
      <c r="O215" s="335"/>
      <c r="P215" s="36"/>
      <c r="Q215" s="36"/>
      <c r="R215" s="36"/>
    </row>
    <row r="216">
      <c r="A216" s="25"/>
      <c r="B216" s="131"/>
      <c r="D216" s="11"/>
      <c r="E216" s="45"/>
      <c r="F216" s="45"/>
      <c r="O216" s="335"/>
      <c r="P216" s="36"/>
      <c r="Q216" s="36"/>
      <c r="R216" s="36"/>
    </row>
    <row r="217">
      <c r="A217" s="25"/>
      <c r="B217" s="131"/>
      <c r="D217" s="11"/>
      <c r="E217" s="45"/>
      <c r="F217" s="45"/>
      <c r="O217" s="335"/>
      <c r="P217" s="36"/>
      <c r="Q217" s="36"/>
      <c r="R217" s="36"/>
    </row>
    <row r="218">
      <c r="A218" s="25"/>
      <c r="B218" s="131"/>
      <c r="D218" s="11"/>
      <c r="E218" s="45"/>
      <c r="F218" s="45"/>
      <c r="O218" s="335"/>
      <c r="P218" s="36"/>
      <c r="Q218" s="36"/>
      <c r="R218" s="36"/>
    </row>
    <row r="219">
      <c r="A219" s="25"/>
      <c r="B219" s="131"/>
      <c r="D219" s="11"/>
      <c r="E219" s="45"/>
      <c r="F219" s="45"/>
      <c r="O219" s="335"/>
      <c r="P219" s="36"/>
      <c r="Q219" s="36"/>
      <c r="R219" s="36"/>
    </row>
    <row r="220">
      <c r="A220" s="25"/>
      <c r="B220" s="131"/>
      <c r="D220" s="11"/>
      <c r="E220" s="45"/>
      <c r="F220" s="45"/>
      <c r="O220" s="335"/>
      <c r="P220" s="36"/>
      <c r="Q220" s="36"/>
      <c r="R220" s="36"/>
    </row>
    <row r="221">
      <c r="A221" s="25"/>
      <c r="B221" s="131"/>
      <c r="D221" s="11"/>
      <c r="E221" s="45"/>
      <c r="F221" s="45"/>
      <c r="O221" s="335"/>
      <c r="P221" s="36"/>
      <c r="Q221" s="36"/>
      <c r="R221" s="36"/>
    </row>
    <row r="222">
      <c r="A222" s="25"/>
      <c r="B222" s="131"/>
      <c r="D222" s="11"/>
      <c r="E222" s="45"/>
      <c r="F222" s="45"/>
      <c r="O222" s="335"/>
      <c r="P222" s="36"/>
      <c r="Q222" s="36"/>
      <c r="R222" s="36"/>
    </row>
    <row r="223">
      <c r="A223" s="25"/>
      <c r="B223" s="131"/>
      <c r="D223" s="11"/>
      <c r="E223" s="45"/>
      <c r="F223" s="45"/>
      <c r="O223" s="335"/>
      <c r="P223" s="36"/>
      <c r="Q223" s="36"/>
      <c r="R223" s="36"/>
    </row>
    <row r="224">
      <c r="A224" s="25"/>
      <c r="B224" s="131"/>
      <c r="D224" s="11"/>
      <c r="E224" s="45"/>
      <c r="F224" s="45"/>
      <c r="O224" s="335"/>
      <c r="P224" s="36"/>
      <c r="Q224" s="36"/>
      <c r="R224" s="36"/>
    </row>
    <row r="225">
      <c r="A225" s="25"/>
      <c r="B225" s="131"/>
      <c r="D225" s="11"/>
      <c r="E225" s="45"/>
      <c r="F225" s="45"/>
      <c r="O225" s="335"/>
      <c r="P225" s="36"/>
      <c r="Q225" s="36"/>
      <c r="R225" s="36"/>
    </row>
    <row r="226">
      <c r="A226" s="25"/>
      <c r="B226" s="131"/>
      <c r="D226" s="11"/>
      <c r="E226" s="45"/>
      <c r="F226" s="45"/>
      <c r="O226" s="335"/>
      <c r="P226" s="36"/>
      <c r="Q226" s="36"/>
      <c r="R226" s="36"/>
    </row>
    <row r="227">
      <c r="A227" s="25"/>
      <c r="B227" s="131"/>
      <c r="D227" s="11"/>
      <c r="E227" s="45"/>
      <c r="F227" s="45"/>
      <c r="O227" s="335"/>
      <c r="P227" s="36"/>
      <c r="Q227" s="36"/>
      <c r="R227" s="36"/>
    </row>
    <row r="228">
      <c r="A228" s="25"/>
      <c r="B228" s="131"/>
      <c r="D228" s="11"/>
      <c r="E228" s="45"/>
      <c r="F228" s="45"/>
      <c r="O228" s="335"/>
      <c r="P228" s="36"/>
      <c r="Q228" s="36"/>
      <c r="R228" s="36"/>
    </row>
    <row r="229">
      <c r="A229" s="25"/>
      <c r="B229" s="131"/>
      <c r="D229" s="11"/>
      <c r="E229" s="45"/>
      <c r="F229" s="45"/>
      <c r="O229" s="335"/>
      <c r="P229" s="36"/>
      <c r="Q229" s="36"/>
      <c r="R229" s="36"/>
    </row>
    <row r="230">
      <c r="A230" s="25"/>
      <c r="B230" s="131"/>
      <c r="D230" s="11"/>
      <c r="E230" s="45"/>
      <c r="F230" s="45"/>
      <c r="O230" s="335"/>
      <c r="P230" s="36"/>
      <c r="Q230" s="36"/>
      <c r="R230" s="36"/>
    </row>
    <row r="231">
      <c r="A231" s="25"/>
      <c r="B231" s="131"/>
      <c r="D231" s="11"/>
      <c r="E231" s="45"/>
      <c r="F231" s="45"/>
      <c r="O231" s="335"/>
      <c r="P231" s="36"/>
      <c r="Q231" s="36"/>
      <c r="R231" s="36"/>
    </row>
    <row r="232">
      <c r="A232" s="25"/>
      <c r="B232" s="131"/>
      <c r="D232" s="11"/>
      <c r="E232" s="45"/>
      <c r="F232" s="45"/>
      <c r="O232" s="335"/>
      <c r="P232" s="36"/>
      <c r="Q232" s="36"/>
      <c r="R232" s="36"/>
    </row>
    <row r="233">
      <c r="A233" s="25"/>
      <c r="B233" s="131"/>
      <c r="D233" s="11"/>
      <c r="E233" s="45"/>
      <c r="F233" s="45"/>
      <c r="O233" s="335"/>
      <c r="P233" s="36"/>
      <c r="Q233" s="36"/>
      <c r="R233" s="36"/>
    </row>
    <row r="234">
      <c r="A234" s="25"/>
      <c r="B234" s="131"/>
      <c r="D234" s="11"/>
      <c r="E234" s="45"/>
      <c r="F234" s="45"/>
      <c r="O234" s="335"/>
      <c r="P234" s="36"/>
      <c r="Q234" s="36"/>
      <c r="R234" s="36"/>
    </row>
    <row r="235">
      <c r="A235" s="25"/>
      <c r="B235" s="131"/>
      <c r="D235" s="11"/>
      <c r="E235" s="45"/>
      <c r="F235" s="45"/>
      <c r="O235" s="335"/>
      <c r="P235" s="36"/>
      <c r="Q235" s="36"/>
      <c r="R235" s="36"/>
    </row>
    <row r="236">
      <c r="A236" s="25"/>
      <c r="B236" s="131"/>
      <c r="D236" s="11"/>
      <c r="E236" s="45"/>
      <c r="F236" s="45"/>
      <c r="O236" s="335"/>
      <c r="P236" s="36"/>
      <c r="Q236" s="36"/>
      <c r="R236" s="36"/>
    </row>
    <row r="237">
      <c r="A237" s="25"/>
      <c r="B237" s="131"/>
      <c r="D237" s="11"/>
      <c r="E237" s="45"/>
      <c r="F237" s="45"/>
      <c r="O237" s="335"/>
      <c r="P237" s="36"/>
      <c r="Q237" s="36"/>
      <c r="R237" s="36"/>
    </row>
    <row r="238">
      <c r="A238" s="25"/>
      <c r="B238" s="131"/>
      <c r="D238" s="11"/>
      <c r="E238" s="45"/>
      <c r="F238" s="45"/>
      <c r="O238" s="335"/>
      <c r="P238" s="36"/>
      <c r="Q238" s="36"/>
      <c r="R238" s="36"/>
    </row>
    <row r="239">
      <c r="A239" s="25"/>
      <c r="B239" s="131"/>
      <c r="D239" s="11"/>
      <c r="E239" s="45"/>
      <c r="F239" s="45"/>
      <c r="O239" s="335"/>
      <c r="P239" s="36"/>
      <c r="Q239" s="36"/>
      <c r="R239" s="36"/>
    </row>
    <row r="240">
      <c r="A240" s="25"/>
      <c r="B240" s="131"/>
      <c r="D240" s="11"/>
      <c r="E240" s="45"/>
      <c r="F240" s="45"/>
      <c r="O240" s="335"/>
      <c r="P240" s="36"/>
      <c r="Q240" s="36"/>
      <c r="R240" s="36"/>
    </row>
    <row r="241">
      <c r="A241" s="25"/>
      <c r="B241" s="131"/>
      <c r="D241" s="11"/>
      <c r="E241" s="45"/>
      <c r="F241" s="45"/>
      <c r="O241" s="335"/>
      <c r="P241" s="36"/>
      <c r="Q241" s="36"/>
      <c r="R241" s="36"/>
    </row>
    <row r="242">
      <c r="A242" s="25"/>
      <c r="B242" s="131"/>
      <c r="D242" s="11"/>
      <c r="E242" s="45"/>
      <c r="F242" s="45"/>
      <c r="O242" s="335"/>
      <c r="P242" s="36"/>
      <c r="Q242" s="36"/>
      <c r="R242" s="36"/>
    </row>
    <row r="243">
      <c r="A243" s="25"/>
      <c r="B243" s="131"/>
      <c r="D243" s="11"/>
      <c r="E243" s="45"/>
      <c r="F243" s="45"/>
      <c r="O243" s="335"/>
      <c r="P243" s="36"/>
      <c r="Q243" s="36"/>
      <c r="R243" s="36"/>
    </row>
    <row r="244">
      <c r="A244" s="25"/>
      <c r="B244" s="131"/>
      <c r="D244" s="11"/>
      <c r="E244" s="45"/>
      <c r="F244" s="45"/>
      <c r="O244" s="335"/>
      <c r="P244" s="36"/>
      <c r="Q244" s="36"/>
      <c r="R244" s="36"/>
    </row>
    <row r="245">
      <c r="A245" s="25"/>
      <c r="B245" s="131"/>
      <c r="D245" s="11"/>
      <c r="E245" s="45"/>
      <c r="F245" s="45"/>
      <c r="O245" s="335"/>
      <c r="P245" s="36"/>
      <c r="Q245" s="36"/>
      <c r="R245" s="36"/>
    </row>
    <row r="246">
      <c r="A246" s="25"/>
      <c r="B246" s="131"/>
      <c r="D246" s="11"/>
      <c r="E246" s="45"/>
      <c r="F246" s="45"/>
      <c r="O246" s="335"/>
      <c r="P246" s="36"/>
      <c r="Q246" s="36"/>
      <c r="R246" s="36"/>
    </row>
    <row r="247">
      <c r="A247" s="25"/>
      <c r="B247" s="131"/>
      <c r="D247" s="11"/>
      <c r="E247" s="45"/>
      <c r="F247" s="45"/>
      <c r="O247" s="335"/>
      <c r="P247" s="36"/>
      <c r="Q247" s="36"/>
      <c r="R247" s="36"/>
    </row>
    <row r="248">
      <c r="A248" s="25"/>
      <c r="B248" s="131"/>
      <c r="D248" s="11"/>
      <c r="E248" s="45"/>
      <c r="F248" s="45"/>
      <c r="O248" s="335"/>
      <c r="P248" s="36"/>
      <c r="Q248" s="36"/>
      <c r="R248" s="36"/>
    </row>
    <row r="249">
      <c r="A249" s="25"/>
      <c r="B249" s="131"/>
      <c r="D249" s="11"/>
      <c r="E249" s="45"/>
      <c r="F249" s="45"/>
      <c r="O249" s="335"/>
      <c r="P249" s="36"/>
      <c r="Q249" s="36"/>
      <c r="R249" s="36"/>
    </row>
    <row r="250">
      <c r="A250" s="25"/>
      <c r="B250" s="131"/>
      <c r="D250" s="11"/>
      <c r="E250" s="45"/>
      <c r="F250" s="45"/>
      <c r="O250" s="335"/>
      <c r="P250" s="36"/>
      <c r="Q250" s="36"/>
      <c r="R250" s="36"/>
    </row>
    <row r="251">
      <c r="A251" s="25"/>
      <c r="B251" s="131"/>
      <c r="D251" s="11"/>
      <c r="E251" s="45"/>
      <c r="F251" s="45"/>
      <c r="O251" s="335"/>
      <c r="P251" s="36"/>
      <c r="Q251" s="36"/>
      <c r="R251" s="36"/>
    </row>
    <row r="252">
      <c r="A252" s="25"/>
      <c r="B252" s="131"/>
      <c r="D252" s="11"/>
      <c r="E252" s="45"/>
      <c r="F252" s="45"/>
      <c r="O252" s="335"/>
      <c r="P252" s="36"/>
      <c r="Q252" s="36"/>
      <c r="R252" s="36"/>
    </row>
    <row r="253">
      <c r="A253" s="25"/>
      <c r="B253" s="131"/>
      <c r="D253" s="11"/>
      <c r="E253" s="45"/>
      <c r="F253" s="45"/>
      <c r="O253" s="335"/>
      <c r="P253" s="36"/>
      <c r="Q253" s="36"/>
      <c r="R253" s="36"/>
    </row>
    <row r="254">
      <c r="A254" s="25"/>
      <c r="B254" s="131"/>
      <c r="D254" s="11"/>
      <c r="E254" s="45"/>
      <c r="F254" s="45"/>
      <c r="O254" s="335"/>
      <c r="P254" s="36"/>
      <c r="Q254" s="36"/>
      <c r="R254" s="36"/>
    </row>
    <row r="255">
      <c r="A255" s="25"/>
      <c r="B255" s="131"/>
      <c r="D255" s="11"/>
      <c r="E255" s="45"/>
      <c r="F255" s="45"/>
      <c r="O255" s="335"/>
      <c r="P255" s="36"/>
      <c r="Q255" s="36"/>
      <c r="R255" s="36"/>
    </row>
    <row r="256">
      <c r="A256" s="25"/>
      <c r="B256" s="131"/>
      <c r="D256" s="11"/>
      <c r="E256" s="45"/>
      <c r="F256" s="45"/>
      <c r="O256" s="335"/>
      <c r="P256" s="36"/>
      <c r="Q256" s="36"/>
      <c r="R256" s="36"/>
    </row>
    <row r="257">
      <c r="A257" s="25"/>
      <c r="B257" s="131"/>
      <c r="D257" s="11"/>
      <c r="E257" s="45"/>
      <c r="F257" s="45"/>
      <c r="O257" s="335"/>
      <c r="P257" s="36"/>
      <c r="Q257" s="36"/>
      <c r="R257" s="36"/>
    </row>
    <row r="258">
      <c r="A258" s="25"/>
      <c r="B258" s="131"/>
      <c r="D258" s="11"/>
      <c r="E258" s="45"/>
      <c r="F258" s="45"/>
      <c r="O258" s="335"/>
      <c r="P258" s="36"/>
      <c r="Q258" s="36"/>
      <c r="R258" s="36"/>
    </row>
    <row r="259">
      <c r="A259" s="25"/>
      <c r="B259" s="131"/>
      <c r="D259" s="11"/>
      <c r="E259" s="45"/>
      <c r="F259" s="45"/>
      <c r="O259" s="335"/>
      <c r="P259" s="36"/>
      <c r="Q259" s="36"/>
      <c r="R259" s="36"/>
    </row>
    <row r="260">
      <c r="A260" s="25"/>
      <c r="B260" s="131"/>
      <c r="D260" s="11"/>
      <c r="E260" s="45"/>
      <c r="F260" s="45"/>
      <c r="O260" s="335"/>
      <c r="P260" s="36"/>
      <c r="Q260" s="36"/>
      <c r="R260" s="36"/>
    </row>
    <row r="261">
      <c r="A261" s="25"/>
      <c r="B261" s="131"/>
      <c r="D261" s="11"/>
      <c r="E261" s="45"/>
      <c r="F261" s="45"/>
      <c r="O261" s="335"/>
      <c r="P261" s="36"/>
      <c r="Q261" s="36"/>
      <c r="R261" s="36"/>
    </row>
    <row r="262">
      <c r="A262" s="25"/>
      <c r="B262" s="131"/>
      <c r="D262" s="11"/>
      <c r="E262" s="45"/>
      <c r="F262" s="45"/>
      <c r="O262" s="335"/>
      <c r="P262" s="36"/>
      <c r="Q262" s="36"/>
      <c r="R262" s="36"/>
    </row>
    <row r="263">
      <c r="A263" s="25"/>
      <c r="B263" s="131"/>
      <c r="D263" s="11"/>
      <c r="E263" s="45"/>
      <c r="F263" s="45"/>
      <c r="O263" s="335"/>
      <c r="P263" s="36"/>
      <c r="Q263" s="36"/>
      <c r="R263" s="36"/>
    </row>
    <row r="264">
      <c r="A264" s="25"/>
      <c r="B264" s="131"/>
      <c r="D264" s="11"/>
      <c r="E264" s="45"/>
      <c r="F264" s="45"/>
      <c r="O264" s="335"/>
      <c r="P264" s="36"/>
      <c r="Q264" s="36"/>
      <c r="R264" s="36"/>
    </row>
    <row r="265">
      <c r="A265" s="25"/>
      <c r="B265" s="131"/>
      <c r="D265" s="11"/>
      <c r="E265" s="45"/>
      <c r="F265" s="45"/>
      <c r="O265" s="335"/>
      <c r="P265" s="36"/>
      <c r="Q265" s="36"/>
      <c r="R265" s="36"/>
    </row>
    <row r="266">
      <c r="A266" s="25"/>
      <c r="B266" s="131"/>
      <c r="D266" s="11"/>
      <c r="E266" s="45"/>
      <c r="F266" s="45"/>
      <c r="O266" s="335"/>
      <c r="P266" s="36"/>
      <c r="Q266" s="36"/>
      <c r="R266" s="36"/>
    </row>
    <row r="267">
      <c r="A267" s="25"/>
      <c r="B267" s="131"/>
      <c r="D267" s="11"/>
      <c r="E267" s="45"/>
      <c r="F267" s="45"/>
      <c r="O267" s="335"/>
      <c r="P267" s="36"/>
      <c r="Q267" s="36"/>
      <c r="R267" s="36"/>
    </row>
    <row r="268">
      <c r="A268" s="25"/>
      <c r="B268" s="131"/>
      <c r="D268" s="11"/>
      <c r="E268" s="45"/>
      <c r="F268" s="45"/>
      <c r="O268" s="335"/>
      <c r="P268" s="36"/>
      <c r="Q268" s="36"/>
      <c r="R268" s="36"/>
    </row>
    <row r="269">
      <c r="A269" s="25"/>
      <c r="B269" s="131"/>
      <c r="D269" s="11"/>
      <c r="E269" s="45"/>
      <c r="F269" s="45"/>
      <c r="O269" s="335"/>
      <c r="P269" s="36"/>
      <c r="Q269" s="36"/>
      <c r="R269" s="36"/>
    </row>
    <row r="270">
      <c r="A270" s="25"/>
      <c r="B270" s="131"/>
      <c r="D270" s="11"/>
      <c r="E270" s="45"/>
      <c r="F270" s="45"/>
      <c r="O270" s="335"/>
      <c r="P270" s="36"/>
      <c r="Q270" s="36"/>
      <c r="R270" s="36"/>
    </row>
    <row r="271">
      <c r="A271" s="25"/>
      <c r="B271" s="131"/>
      <c r="D271" s="11"/>
      <c r="E271" s="45"/>
      <c r="F271" s="45"/>
      <c r="O271" s="335"/>
      <c r="P271" s="36"/>
      <c r="Q271" s="36"/>
      <c r="R271" s="36"/>
    </row>
    <row r="272">
      <c r="A272" s="25"/>
      <c r="B272" s="131"/>
      <c r="D272" s="11"/>
      <c r="E272" s="45"/>
      <c r="F272" s="45"/>
      <c r="O272" s="335"/>
      <c r="P272" s="36"/>
      <c r="Q272" s="36"/>
      <c r="R272" s="36"/>
    </row>
    <row r="273">
      <c r="A273" s="25"/>
      <c r="B273" s="131"/>
      <c r="D273" s="11"/>
      <c r="E273" s="45"/>
      <c r="F273" s="45"/>
      <c r="O273" s="335"/>
      <c r="P273" s="36"/>
      <c r="Q273" s="36"/>
      <c r="R273" s="36"/>
    </row>
    <row r="274">
      <c r="A274" s="25"/>
      <c r="B274" s="131"/>
      <c r="D274" s="11"/>
      <c r="E274" s="45"/>
      <c r="F274" s="45"/>
      <c r="O274" s="335"/>
      <c r="P274" s="36"/>
      <c r="Q274" s="36"/>
      <c r="R274" s="36"/>
    </row>
    <row r="275">
      <c r="A275" s="25"/>
      <c r="B275" s="131"/>
      <c r="D275" s="11"/>
      <c r="E275" s="45"/>
      <c r="F275" s="45"/>
      <c r="O275" s="335"/>
      <c r="P275" s="36"/>
      <c r="Q275" s="36"/>
      <c r="R275" s="36"/>
    </row>
    <row r="276">
      <c r="A276" s="25"/>
      <c r="B276" s="131"/>
      <c r="D276" s="11"/>
      <c r="E276" s="45"/>
      <c r="F276" s="45"/>
      <c r="O276" s="335"/>
      <c r="P276" s="36"/>
      <c r="Q276" s="36"/>
      <c r="R276" s="36"/>
    </row>
    <row r="277">
      <c r="A277" s="25"/>
      <c r="B277" s="131"/>
      <c r="D277" s="11"/>
      <c r="E277" s="45"/>
      <c r="F277" s="45"/>
      <c r="O277" s="335"/>
      <c r="P277" s="36"/>
      <c r="Q277" s="36"/>
      <c r="R277" s="36"/>
    </row>
    <row r="278">
      <c r="A278" s="25"/>
      <c r="B278" s="131"/>
      <c r="D278" s="11"/>
      <c r="E278" s="45"/>
      <c r="F278" s="45"/>
      <c r="O278" s="335"/>
      <c r="P278" s="36"/>
      <c r="Q278" s="36"/>
      <c r="R278" s="36"/>
    </row>
    <row r="279">
      <c r="A279" s="25"/>
      <c r="B279" s="131"/>
      <c r="D279" s="11"/>
      <c r="E279" s="45"/>
      <c r="F279" s="45"/>
      <c r="O279" s="335"/>
      <c r="P279" s="36"/>
      <c r="Q279" s="36"/>
      <c r="R279" s="36"/>
    </row>
    <row r="280">
      <c r="A280" s="25"/>
      <c r="B280" s="131"/>
      <c r="D280" s="11"/>
      <c r="E280" s="45"/>
      <c r="F280" s="45"/>
      <c r="O280" s="335"/>
      <c r="P280" s="36"/>
      <c r="Q280" s="36"/>
      <c r="R280" s="36"/>
    </row>
    <row r="281">
      <c r="A281" s="25"/>
      <c r="B281" s="131"/>
      <c r="D281" s="11"/>
      <c r="E281" s="45"/>
      <c r="F281" s="45"/>
      <c r="O281" s="335"/>
      <c r="P281" s="36"/>
      <c r="Q281" s="36"/>
      <c r="R281" s="36"/>
    </row>
    <row r="282">
      <c r="A282" s="25"/>
      <c r="B282" s="131"/>
      <c r="D282" s="11"/>
      <c r="E282" s="45"/>
      <c r="F282" s="45"/>
      <c r="O282" s="335"/>
      <c r="P282" s="36"/>
      <c r="Q282" s="36"/>
      <c r="R282" s="36"/>
    </row>
    <row r="283">
      <c r="A283" s="25"/>
      <c r="B283" s="131"/>
      <c r="D283" s="11"/>
      <c r="E283" s="45"/>
      <c r="F283" s="45"/>
      <c r="O283" s="335"/>
      <c r="P283" s="36"/>
      <c r="Q283" s="36"/>
      <c r="R283" s="36"/>
    </row>
    <row r="284">
      <c r="A284" s="25"/>
      <c r="B284" s="131"/>
      <c r="D284" s="11"/>
      <c r="E284" s="45"/>
      <c r="F284" s="45"/>
      <c r="O284" s="335"/>
      <c r="P284" s="36"/>
      <c r="Q284" s="36"/>
      <c r="R284" s="36"/>
    </row>
    <row r="285">
      <c r="A285" s="25"/>
      <c r="B285" s="131"/>
      <c r="D285" s="11"/>
      <c r="E285" s="45"/>
      <c r="F285" s="45"/>
      <c r="O285" s="335"/>
      <c r="P285" s="36"/>
      <c r="Q285" s="36"/>
      <c r="R285" s="36"/>
    </row>
    <row r="286">
      <c r="A286" s="25"/>
      <c r="B286" s="131"/>
      <c r="D286" s="11"/>
      <c r="E286" s="45"/>
      <c r="F286" s="45"/>
      <c r="O286" s="335"/>
      <c r="P286" s="36"/>
      <c r="Q286" s="36"/>
      <c r="R286" s="36"/>
    </row>
    <row r="287">
      <c r="A287" s="25"/>
      <c r="B287" s="131"/>
      <c r="D287" s="11"/>
      <c r="E287" s="45"/>
      <c r="F287" s="45"/>
      <c r="O287" s="335"/>
      <c r="P287" s="36"/>
      <c r="Q287" s="36"/>
      <c r="R287" s="36"/>
    </row>
    <row r="288">
      <c r="A288" s="25"/>
      <c r="B288" s="131"/>
      <c r="D288" s="11"/>
      <c r="E288" s="45"/>
      <c r="F288" s="45"/>
      <c r="O288" s="335"/>
      <c r="P288" s="36"/>
      <c r="Q288" s="36"/>
      <c r="R288" s="36"/>
    </row>
    <row r="289">
      <c r="A289" s="25"/>
      <c r="B289" s="131"/>
      <c r="D289" s="11"/>
      <c r="E289" s="45"/>
      <c r="F289" s="45"/>
      <c r="O289" s="335"/>
      <c r="P289" s="36"/>
      <c r="Q289" s="36"/>
      <c r="R289" s="36"/>
    </row>
    <row r="290">
      <c r="A290" s="25"/>
      <c r="B290" s="131"/>
      <c r="D290" s="11"/>
      <c r="E290" s="45"/>
      <c r="F290" s="45"/>
      <c r="O290" s="335"/>
      <c r="P290" s="36"/>
      <c r="Q290" s="36"/>
      <c r="R290" s="36"/>
    </row>
    <row r="291">
      <c r="A291" s="25"/>
      <c r="B291" s="131"/>
      <c r="D291" s="11"/>
      <c r="E291" s="45"/>
      <c r="F291" s="45"/>
      <c r="O291" s="335"/>
      <c r="P291" s="36"/>
      <c r="Q291" s="36"/>
      <c r="R291" s="36"/>
    </row>
    <row r="292">
      <c r="A292" s="25"/>
      <c r="B292" s="131"/>
      <c r="D292" s="11"/>
      <c r="E292" s="45"/>
      <c r="F292" s="45"/>
      <c r="O292" s="335"/>
      <c r="P292" s="36"/>
      <c r="Q292" s="36"/>
      <c r="R292" s="36"/>
    </row>
    <row r="293">
      <c r="A293" s="25"/>
      <c r="B293" s="131"/>
      <c r="D293" s="11"/>
      <c r="E293" s="45"/>
      <c r="F293" s="45"/>
      <c r="O293" s="335"/>
      <c r="P293" s="36"/>
      <c r="Q293" s="36"/>
      <c r="R293" s="36"/>
    </row>
    <row r="294">
      <c r="A294" s="25"/>
      <c r="B294" s="131"/>
      <c r="D294" s="11"/>
      <c r="E294" s="45"/>
      <c r="F294" s="45"/>
      <c r="O294" s="335"/>
      <c r="P294" s="36"/>
      <c r="Q294" s="36"/>
      <c r="R294" s="36"/>
    </row>
    <row r="295">
      <c r="A295" s="25"/>
      <c r="B295" s="131"/>
      <c r="D295" s="11"/>
      <c r="E295" s="45"/>
      <c r="F295" s="45"/>
      <c r="O295" s="335"/>
      <c r="P295" s="36"/>
      <c r="Q295" s="36"/>
      <c r="R295" s="36"/>
    </row>
    <row r="296">
      <c r="A296" s="25"/>
      <c r="B296" s="131"/>
      <c r="D296" s="11"/>
      <c r="E296" s="45"/>
      <c r="F296" s="45"/>
      <c r="O296" s="335"/>
      <c r="P296" s="36"/>
      <c r="Q296" s="36"/>
      <c r="R296" s="36"/>
    </row>
    <row r="297">
      <c r="A297" s="25"/>
      <c r="B297" s="131"/>
      <c r="D297" s="11"/>
      <c r="E297" s="45"/>
      <c r="F297" s="45"/>
      <c r="O297" s="335"/>
      <c r="P297" s="36"/>
      <c r="Q297" s="36"/>
      <c r="R297" s="36"/>
    </row>
    <row r="298">
      <c r="A298" s="25"/>
      <c r="B298" s="131"/>
      <c r="D298" s="11"/>
      <c r="E298" s="45"/>
      <c r="F298" s="45"/>
      <c r="O298" s="335"/>
      <c r="P298" s="36"/>
      <c r="Q298" s="36"/>
      <c r="R298" s="36"/>
    </row>
    <row r="299">
      <c r="A299" s="25"/>
      <c r="B299" s="131"/>
      <c r="D299" s="11"/>
      <c r="E299" s="45"/>
      <c r="F299" s="45"/>
      <c r="O299" s="335"/>
      <c r="P299" s="36"/>
      <c r="Q299" s="36"/>
      <c r="R299" s="36"/>
    </row>
    <row r="300">
      <c r="A300" s="25"/>
      <c r="B300" s="131"/>
      <c r="D300" s="11"/>
      <c r="E300" s="45"/>
      <c r="F300" s="45"/>
      <c r="O300" s="335"/>
      <c r="P300" s="36"/>
      <c r="Q300" s="36"/>
      <c r="R300" s="36"/>
    </row>
    <row r="301">
      <c r="A301" s="25"/>
      <c r="B301" s="131"/>
      <c r="D301" s="11"/>
      <c r="E301" s="45"/>
      <c r="F301" s="45"/>
      <c r="O301" s="335"/>
      <c r="P301" s="36"/>
      <c r="Q301" s="36"/>
      <c r="R301" s="36"/>
    </row>
    <row r="302">
      <c r="A302" s="25"/>
      <c r="B302" s="131"/>
      <c r="D302" s="11"/>
      <c r="E302" s="45"/>
      <c r="F302" s="45"/>
      <c r="O302" s="335"/>
      <c r="P302" s="36"/>
      <c r="Q302" s="36"/>
      <c r="R302" s="36"/>
    </row>
    <row r="303">
      <c r="A303" s="25"/>
      <c r="B303" s="131"/>
      <c r="D303" s="11"/>
      <c r="E303" s="45"/>
      <c r="F303" s="45"/>
      <c r="O303" s="335"/>
      <c r="P303" s="36"/>
      <c r="Q303" s="36"/>
      <c r="R303" s="36"/>
    </row>
    <row r="304">
      <c r="A304" s="25"/>
      <c r="B304" s="131"/>
      <c r="D304" s="11"/>
      <c r="E304" s="45"/>
      <c r="F304" s="45"/>
      <c r="O304" s="335"/>
      <c r="P304" s="36"/>
      <c r="Q304" s="36"/>
      <c r="R304" s="36"/>
    </row>
    <row r="305">
      <c r="A305" s="25"/>
      <c r="B305" s="131"/>
      <c r="D305" s="11"/>
      <c r="E305" s="45"/>
      <c r="F305" s="45"/>
      <c r="O305" s="335"/>
      <c r="P305" s="36"/>
      <c r="Q305" s="36"/>
      <c r="R305" s="36"/>
    </row>
    <row r="306">
      <c r="A306" s="25"/>
      <c r="B306" s="131"/>
      <c r="D306" s="11"/>
      <c r="E306" s="45"/>
      <c r="F306" s="45"/>
      <c r="O306" s="335"/>
      <c r="P306" s="36"/>
      <c r="Q306" s="36"/>
      <c r="R306" s="36"/>
    </row>
    <row r="307">
      <c r="A307" s="25"/>
      <c r="B307" s="131"/>
      <c r="D307" s="11"/>
      <c r="E307" s="45"/>
      <c r="F307" s="45"/>
      <c r="O307" s="335"/>
      <c r="P307" s="36"/>
      <c r="Q307" s="36"/>
      <c r="R307" s="36"/>
    </row>
    <row r="308">
      <c r="A308" s="25"/>
      <c r="B308" s="131"/>
      <c r="D308" s="11"/>
      <c r="E308" s="45"/>
      <c r="F308" s="45"/>
      <c r="O308" s="335"/>
      <c r="P308" s="36"/>
      <c r="Q308" s="36"/>
      <c r="R308" s="36"/>
    </row>
    <row r="309">
      <c r="A309" s="25"/>
      <c r="B309" s="131"/>
      <c r="D309" s="11"/>
      <c r="E309" s="45"/>
      <c r="F309" s="45"/>
      <c r="O309" s="335"/>
      <c r="P309" s="36"/>
      <c r="Q309" s="36"/>
      <c r="R309" s="36"/>
    </row>
    <row r="310">
      <c r="A310" s="25"/>
      <c r="B310" s="131"/>
      <c r="D310" s="11"/>
      <c r="E310" s="45"/>
      <c r="F310" s="45"/>
      <c r="O310" s="335"/>
      <c r="P310" s="36"/>
      <c r="Q310" s="36"/>
      <c r="R310" s="36"/>
    </row>
    <row r="311">
      <c r="A311" s="25"/>
      <c r="B311" s="131"/>
      <c r="D311" s="11"/>
      <c r="E311" s="45"/>
      <c r="F311" s="45"/>
      <c r="O311" s="335"/>
      <c r="P311" s="36"/>
      <c r="Q311" s="36"/>
      <c r="R311" s="36"/>
    </row>
    <row r="312">
      <c r="A312" s="25"/>
      <c r="B312" s="131"/>
      <c r="D312" s="11"/>
      <c r="E312" s="45"/>
      <c r="F312" s="45"/>
      <c r="O312" s="335"/>
      <c r="P312" s="36"/>
      <c r="Q312" s="36"/>
      <c r="R312" s="36"/>
    </row>
    <row r="313">
      <c r="A313" s="25"/>
      <c r="B313" s="131"/>
      <c r="D313" s="11"/>
      <c r="E313" s="45"/>
      <c r="F313" s="45"/>
      <c r="O313" s="335"/>
      <c r="P313" s="36"/>
      <c r="Q313" s="36"/>
      <c r="R313" s="36"/>
    </row>
    <row r="314">
      <c r="A314" s="25"/>
      <c r="B314" s="131"/>
      <c r="D314" s="11"/>
      <c r="E314" s="45"/>
      <c r="F314" s="45"/>
      <c r="O314" s="335"/>
      <c r="P314" s="36"/>
      <c r="Q314" s="36"/>
      <c r="R314" s="36"/>
    </row>
    <row r="315">
      <c r="A315" s="25"/>
      <c r="B315" s="131"/>
      <c r="D315" s="11"/>
      <c r="E315" s="45"/>
      <c r="F315" s="45"/>
      <c r="O315" s="335"/>
      <c r="P315" s="36"/>
      <c r="Q315" s="36"/>
      <c r="R315" s="36"/>
    </row>
    <row r="316">
      <c r="A316" s="25"/>
      <c r="B316" s="131"/>
      <c r="D316" s="11"/>
      <c r="E316" s="45"/>
      <c r="F316" s="45"/>
      <c r="O316" s="335"/>
      <c r="P316" s="36"/>
      <c r="Q316" s="36"/>
      <c r="R316" s="36"/>
    </row>
    <row r="317">
      <c r="A317" s="25"/>
      <c r="B317" s="131"/>
      <c r="D317" s="11"/>
      <c r="E317" s="45"/>
      <c r="F317" s="45"/>
      <c r="O317" s="335"/>
      <c r="P317" s="36"/>
      <c r="Q317" s="36"/>
      <c r="R317" s="36"/>
    </row>
    <row r="318">
      <c r="A318" s="25"/>
      <c r="B318" s="131"/>
      <c r="D318" s="11"/>
      <c r="E318" s="45"/>
      <c r="F318" s="45"/>
      <c r="O318" s="335"/>
      <c r="P318" s="36"/>
      <c r="Q318" s="36"/>
      <c r="R318" s="36"/>
    </row>
    <row r="319">
      <c r="A319" s="25"/>
      <c r="B319" s="131"/>
      <c r="D319" s="11"/>
      <c r="E319" s="45"/>
      <c r="F319" s="45"/>
      <c r="O319" s="335"/>
      <c r="P319" s="36"/>
      <c r="Q319" s="36"/>
      <c r="R319" s="36"/>
    </row>
    <row r="320">
      <c r="A320" s="25"/>
      <c r="B320" s="131"/>
      <c r="D320" s="11"/>
      <c r="E320" s="45"/>
      <c r="F320" s="45"/>
      <c r="O320" s="335"/>
      <c r="P320" s="36"/>
      <c r="Q320" s="36"/>
      <c r="R320" s="36"/>
    </row>
    <row r="321">
      <c r="A321" s="25"/>
      <c r="B321" s="131"/>
      <c r="D321" s="11"/>
      <c r="E321" s="45"/>
      <c r="F321" s="45"/>
      <c r="O321" s="335"/>
      <c r="P321" s="36"/>
      <c r="Q321" s="36"/>
      <c r="R321" s="36"/>
    </row>
    <row r="322">
      <c r="A322" s="25"/>
      <c r="B322" s="131"/>
      <c r="D322" s="11"/>
      <c r="E322" s="45"/>
      <c r="F322" s="45"/>
      <c r="O322" s="335"/>
      <c r="P322" s="36"/>
      <c r="Q322" s="36"/>
      <c r="R322" s="36"/>
    </row>
    <row r="323">
      <c r="A323" s="25"/>
      <c r="B323" s="131"/>
      <c r="D323" s="11"/>
      <c r="E323" s="45"/>
      <c r="F323" s="45"/>
      <c r="O323" s="335"/>
      <c r="P323" s="36"/>
      <c r="Q323" s="36"/>
      <c r="R323" s="36"/>
    </row>
    <row r="324">
      <c r="A324" s="25"/>
      <c r="B324" s="131"/>
      <c r="D324" s="11"/>
      <c r="E324" s="45"/>
      <c r="F324" s="45"/>
      <c r="O324" s="335"/>
      <c r="P324" s="36"/>
      <c r="Q324" s="36"/>
      <c r="R324" s="36"/>
    </row>
    <row r="325">
      <c r="A325" s="25"/>
      <c r="B325" s="131"/>
      <c r="D325" s="11"/>
      <c r="E325" s="45"/>
      <c r="F325" s="45"/>
      <c r="O325" s="335"/>
      <c r="P325" s="36"/>
      <c r="Q325" s="36"/>
      <c r="R325" s="36"/>
    </row>
    <row r="326">
      <c r="A326" s="25"/>
      <c r="B326" s="131"/>
      <c r="D326" s="11"/>
      <c r="E326" s="45"/>
      <c r="F326" s="45"/>
      <c r="O326" s="335"/>
      <c r="P326" s="36"/>
      <c r="Q326" s="36"/>
      <c r="R326" s="36"/>
    </row>
    <row r="327">
      <c r="A327" s="25"/>
      <c r="B327" s="131"/>
      <c r="D327" s="11"/>
      <c r="E327" s="45"/>
      <c r="F327" s="45"/>
      <c r="O327" s="335"/>
      <c r="P327" s="36"/>
      <c r="Q327" s="36"/>
      <c r="R327" s="36"/>
    </row>
    <row r="328">
      <c r="A328" s="25"/>
      <c r="B328" s="131"/>
      <c r="D328" s="11"/>
      <c r="E328" s="45"/>
      <c r="F328" s="45"/>
      <c r="O328" s="335"/>
      <c r="P328" s="36"/>
      <c r="Q328" s="36"/>
      <c r="R328" s="36"/>
    </row>
    <row r="329">
      <c r="A329" s="25"/>
      <c r="B329" s="131"/>
      <c r="D329" s="11"/>
      <c r="E329" s="45"/>
      <c r="F329" s="45"/>
      <c r="O329" s="335"/>
      <c r="P329" s="36"/>
      <c r="Q329" s="36"/>
      <c r="R329" s="36"/>
    </row>
    <row r="330">
      <c r="A330" s="25"/>
      <c r="B330" s="131"/>
      <c r="D330" s="11"/>
      <c r="E330" s="45"/>
      <c r="F330" s="45"/>
      <c r="O330" s="335"/>
      <c r="P330" s="36"/>
      <c r="Q330" s="36"/>
      <c r="R330" s="36"/>
    </row>
    <row r="331">
      <c r="A331" s="25"/>
      <c r="B331" s="131"/>
      <c r="D331" s="11"/>
      <c r="E331" s="45"/>
      <c r="F331" s="45"/>
      <c r="O331" s="335"/>
      <c r="P331" s="36"/>
      <c r="Q331" s="36"/>
      <c r="R331" s="36"/>
    </row>
    <row r="332">
      <c r="A332" s="25"/>
      <c r="B332" s="131"/>
      <c r="D332" s="11"/>
      <c r="E332" s="45"/>
      <c r="F332" s="45"/>
      <c r="O332" s="335"/>
      <c r="P332" s="36"/>
      <c r="Q332" s="36"/>
      <c r="R332" s="36"/>
    </row>
    <row r="333">
      <c r="A333" s="25"/>
      <c r="B333" s="131"/>
      <c r="D333" s="11"/>
      <c r="E333" s="45"/>
      <c r="F333" s="45"/>
      <c r="O333" s="335"/>
      <c r="P333" s="36"/>
      <c r="Q333" s="36"/>
      <c r="R333" s="36"/>
    </row>
    <row r="334">
      <c r="A334" s="25"/>
      <c r="B334" s="131"/>
      <c r="D334" s="11"/>
      <c r="E334" s="45"/>
      <c r="F334" s="45"/>
      <c r="O334" s="335"/>
      <c r="P334" s="36"/>
      <c r="Q334" s="36"/>
      <c r="R334" s="36"/>
    </row>
    <row r="335">
      <c r="A335" s="25"/>
      <c r="B335" s="131"/>
      <c r="D335" s="11"/>
      <c r="E335" s="45"/>
      <c r="F335" s="45"/>
      <c r="O335" s="335"/>
      <c r="P335" s="36"/>
      <c r="Q335" s="36"/>
      <c r="R335" s="36"/>
    </row>
    <row r="336">
      <c r="A336" s="25"/>
      <c r="B336" s="131"/>
      <c r="D336" s="11"/>
      <c r="E336" s="45"/>
      <c r="F336" s="45"/>
      <c r="O336" s="335"/>
      <c r="P336" s="36"/>
      <c r="Q336" s="36"/>
      <c r="R336" s="36"/>
    </row>
    <row r="337">
      <c r="A337" s="25"/>
      <c r="B337" s="131"/>
      <c r="D337" s="11"/>
      <c r="E337" s="45"/>
      <c r="F337" s="45"/>
      <c r="O337" s="335"/>
      <c r="P337" s="36"/>
      <c r="Q337" s="36"/>
      <c r="R337" s="36"/>
    </row>
    <row r="338">
      <c r="A338" s="25"/>
      <c r="B338" s="131"/>
      <c r="D338" s="11"/>
      <c r="E338" s="45"/>
      <c r="F338" s="45"/>
      <c r="O338" s="335"/>
      <c r="P338" s="36"/>
      <c r="Q338" s="36"/>
      <c r="R338" s="36"/>
    </row>
    <row r="339">
      <c r="A339" s="25"/>
      <c r="B339" s="131"/>
      <c r="D339" s="11"/>
      <c r="E339" s="45"/>
      <c r="F339" s="45"/>
      <c r="O339" s="335"/>
      <c r="P339" s="36"/>
      <c r="Q339" s="36"/>
      <c r="R339" s="36"/>
    </row>
    <row r="340">
      <c r="A340" s="25"/>
      <c r="B340" s="131"/>
      <c r="D340" s="11"/>
      <c r="E340" s="45"/>
      <c r="F340" s="45"/>
      <c r="O340" s="335"/>
      <c r="P340" s="36"/>
      <c r="Q340" s="36"/>
      <c r="R340" s="36"/>
    </row>
    <row r="341">
      <c r="A341" s="25"/>
      <c r="B341" s="131"/>
      <c r="D341" s="11"/>
      <c r="E341" s="45"/>
      <c r="F341" s="45"/>
      <c r="O341" s="335"/>
      <c r="P341" s="36"/>
      <c r="Q341" s="36"/>
      <c r="R341" s="36"/>
    </row>
    <row r="342">
      <c r="A342" s="25"/>
      <c r="B342" s="131"/>
      <c r="D342" s="11"/>
      <c r="E342" s="45"/>
      <c r="F342" s="45"/>
      <c r="O342" s="335"/>
      <c r="P342" s="36"/>
      <c r="Q342" s="36"/>
      <c r="R342" s="36"/>
    </row>
    <row r="343">
      <c r="A343" s="25"/>
      <c r="B343" s="131"/>
      <c r="D343" s="11"/>
      <c r="E343" s="45"/>
      <c r="F343" s="45"/>
      <c r="O343" s="335"/>
      <c r="P343" s="36"/>
      <c r="Q343" s="36"/>
      <c r="R343" s="36"/>
    </row>
    <row r="344">
      <c r="A344" s="25"/>
      <c r="B344" s="131"/>
      <c r="D344" s="11"/>
      <c r="E344" s="45"/>
      <c r="F344" s="45"/>
      <c r="O344" s="335"/>
      <c r="P344" s="36"/>
      <c r="Q344" s="36"/>
      <c r="R344" s="36"/>
    </row>
    <row r="345">
      <c r="A345" s="25"/>
      <c r="B345" s="131"/>
      <c r="D345" s="11"/>
      <c r="E345" s="45"/>
      <c r="F345" s="45"/>
      <c r="O345" s="335"/>
      <c r="P345" s="36"/>
      <c r="Q345" s="36"/>
      <c r="R345" s="36"/>
    </row>
    <row r="346">
      <c r="A346" s="25"/>
      <c r="B346" s="131"/>
      <c r="D346" s="11"/>
      <c r="E346" s="45"/>
      <c r="F346" s="45"/>
      <c r="O346" s="335"/>
      <c r="P346" s="36"/>
      <c r="Q346" s="36"/>
      <c r="R346" s="36"/>
    </row>
    <row r="347">
      <c r="A347" s="25"/>
      <c r="B347" s="131"/>
      <c r="D347" s="11"/>
      <c r="E347" s="45"/>
      <c r="F347" s="45"/>
      <c r="O347" s="335"/>
      <c r="P347" s="36"/>
      <c r="Q347" s="36"/>
      <c r="R347" s="36"/>
    </row>
    <row r="348">
      <c r="A348" s="25"/>
      <c r="B348" s="131"/>
      <c r="D348" s="11"/>
      <c r="E348" s="45"/>
      <c r="F348" s="45"/>
      <c r="O348" s="335"/>
      <c r="P348" s="36"/>
      <c r="Q348" s="36"/>
      <c r="R348" s="36"/>
    </row>
    <row r="349">
      <c r="A349" s="25"/>
      <c r="B349" s="131"/>
      <c r="D349" s="11"/>
      <c r="E349" s="45"/>
      <c r="F349" s="45"/>
      <c r="O349" s="335"/>
      <c r="P349" s="36"/>
      <c r="Q349" s="36"/>
      <c r="R349" s="36"/>
    </row>
    <row r="350">
      <c r="A350" s="25"/>
      <c r="B350" s="131"/>
      <c r="D350" s="11"/>
      <c r="E350" s="45"/>
      <c r="F350" s="45"/>
      <c r="O350" s="335"/>
      <c r="P350" s="36"/>
      <c r="Q350" s="36"/>
      <c r="R350" s="36"/>
    </row>
    <row r="351">
      <c r="A351" s="25"/>
      <c r="B351" s="131"/>
      <c r="D351" s="11"/>
      <c r="E351" s="45"/>
      <c r="F351" s="45"/>
      <c r="O351" s="335"/>
      <c r="P351" s="36"/>
      <c r="Q351" s="36"/>
      <c r="R351" s="36"/>
    </row>
    <row r="352">
      <c r="A352" s="25"/>
      <c r="B352" s="131"/>
      <c r="D352" s="11"/>
      <c r="E352" s="45"/>
      <c r="F352" s="45"/>
      <c r="O352" s="335"/>
      <c r="P352" s="36"/>
      <c r="Q352" s="36"/>
      <c r="R352" s="36"/>
    </row>
    <row r="353">
      <c r="A353" s="25"/>
      <c r="B353" s="131"/>
      <c r="D353" s="11"/>
      <c r="E353" s="45"/>
      <c r="F353" s="45"/>
      <c r="O353" s="335"/>
      <c r="P353" s="36"/>
      <c r="Q353" s="36"/>
      <c r="R353" s="36"/>
    </row>
    <row r="354">
      <c r="A354" s="25"/>
      <c r="B354" s="131"/>
      <c r="D354" s="11"/>
      <c r="E354" s="45"/>
      <c r="F354" s="45"/>
      <c r="O354" s="335"/>
      <c r="P354" s="36"/>
      <c r="Q354" s="36"/>
      <c r="R354" s="36"/>
    </row>
    <row r="355">
      <c r="A355" s="25"/>
      <c r="B355" s="131"/>
      <c r="D355" s="11"/>
      <c r="E355" s="45"/>
      <c r="F355" s="45"/>
      <c r="O355" s="335"/>
      <c r="P355" s="36"/>
      <c r="Q355" s="36"/>
      <c r="R355" s="36"/>
    </row>
    <row r="356">
      <c r="A356" s="25"/>
      <c r="B356" s="131"/>
      <c r="D356" s="11"/>
      <c r="E356" s="45"/>
      <c r="F356" s="45"/>
      <c r="O356" s="335"/>
      <c r="P356" s="36"/>
      <c r="Q356" s="36"/>
      <c r="R356" s="36"/>
    </row>
    <row r="357">
      <c r="A357" s="25"/>
      <c r="B357" s="131"/>
      <c r="D357" s="11"/>
      <c r="E357" s="45"/>
      <c r="F357" s="45"/>
      <c r="O357" s="335"/>
      <c r="P357" s="36"/>
      <c r="Q357" s="36"/>
      <c r="R357" s="36"/>
    </row>
    <row r="358">
      <c r="A358" s="25"/>
      <c r="B358" s="131"/>
      <c r="D358" s="11"/>
      <c r="E358" s="45"/>
      <c r="F358" s="45"/>
      <c r="O358" s="335"/>
      <c r="P358" s="36"/>
      <c r="Q358" s="36"/>
      <c r="R358" s="36"/>
    </row>
    <row r="359">
      <c r="A359" s="25"/>
      <c r="B359" s="131"/>
      <c r="D359" s="11"/>
      <c r="E359" s="45"/>
      <c r="F359" s="45"/>
      <c r="O359" s="335"/>
      <c r="P359" s="36"/>
      <c r="Q359" s="36"/>
      <c r="R359" s="36"/>
    </row>
    <row r="360">
      <c r="A360" s="25"/>
      <c r="B360" s="131"/>
      <c r="D360" s="11"/>
      <c r="E360" s="45"/>
      <c r="F360" s="45"/>
      <c r="O360" s="335"/>
      <c r="P360" s="36"/>
      <c r="Q360" s="36"/>
      <c r="R360" s="36"/>
    </row>
    <row r="361">
      <c r="A361" s="25"/>
      <c r="B361" s="131"/>
      <c r="D361" s="11"/>
      <c r="E361" s="45"/>
      <c r="F361" s="45"/>
      <c r="O361" s="335"/>
      <c r="P361" s="36"/>
      <c r="Q361" s="36"/>
      <c r="R361" s="36"/>
    </row>
    <row r="362">
      <c r="A362" s="25"/>
      <c r="B362" s="131"/>
      <c r="D362" s="11"/>
      <c r="E362" s="45"/>
      <c r="F362" s="45"/>
      <c r="O362" s="335"/>
      <c r="P362" s="36"/>
      <c r="Q362" s="36"/>
      <c r="R362" s="36"/>
    </row>
    <row r="363">
      <c r="A363" s="25"/>
      <c r="B363" s="131"/>
      <c r="D363" s="11"/>
      <c r="E363" s="45"/>
      <c r="F363" s="45"/>
      <c r="O363" s="335"/>
      <c r="P363" s="36"/>
      <c r="Q363" s="36"/>
      <c r="R363" s="36"/>
    </row>
    <row r="364">
      <c r="A364" s="25"/>
      <c r="B364" s="131"/>
      <c r="D364" s="11"/>
      <c r="E364" s="45"/>
      <c r="F364" s="45"/>
      <c r="O364" s="335"/>
      <c r="P364" s="36"/>
      <c r="Q364" s="36"/>
      <c r="R364" s="36"/>
    </row>
    <row r="365">
      <c r="A365" s="25"/>
      <c r="B365" s="131"/>
      <c r="D365" s="11"/>
      <c r="E365" s="45"/>
      <c r="F365" s="45"/>
      <c r="O365" s="335"/>
      <c r="P365" s="36"/>
      <c r="Q365" s="36"/>
      <c r="R365" s="36"/>
    </row>
    <row r="366">
      <c r="A366" s="25"/>
      <c r="B366" s="131"/>
      <c r="D366" s="11"/>
      <c r="E366" s="45"/>
      <c r="F366" s="45"/>
      <c r="O366" s="335"/>
      <c r="P366" s="36"/>
      <c r="Q366" s="36"/>
      <c r="R366" s="36"/>
    </row>
    <row r="367">
      <c r="A367" s="25"/>
      <c r="B367" s="131"/>
      <c r="D367" s="11"/>
      <c r="E367" s="45"/>
      <c r="F367" s="45"/>
      <c r="O367" s="335"/>
      <c r="P367" s="36"/>
      <c r="Q367" s="36"/>
      <c r="R367" s="36"/>
    </row>
    <row r="368">
      <c r="A368" s="25"/>
      <c r="B368" s="131"/>
      <c r="D368" s="11"/>
      <c r="E368" s="45"/>
      <c r="F368" s="45"/>
      <c r="O368" s="335"/>
      <c r="P368" s="36"/>
      <c r="Q368" s="36"/>
      <c r="R368" s="36"/>
    </row>
    <row r="369">
      <c r="A369" s="25"/>
      <c r="B369" s="131"/>
      <c r="D369" s="11"/>
      <c r="E369" s="45"/>
      <c r="F369" s="45"/>
      <c r="O369" s="335"/>
      <c r="P369" s="36"/>
      <c r="Q369" s="36"/>
      <c r="R369" s="36"/>
    </row>
    <row r="370">
      <c r="A370" s="25"/>
      <c r="B370" s="131"/>
      <c r="D370" s="11"/>
      <c r="E370" s="45"/>
      <c r="F370" s="45"/>
      <c r="O370" s="335"/>
      <c r="P370" s="36"/>
      <c r="Q370" s="36"/>
      <c r="R370" s="36"/>
    </row>
    <row r="371">
      <c r="A371" s="25"/>
      <c r="B371" s="131"/>
      <c r="D371" s="11"/>
      <c r="E371" s="45"/>
      <c r="F371" s="45"/>
      <c r="O371" s="335"/>
      <c r="P371" s="36"/>
      <c r="Q371" s="36"/>
      <c r="R371" s="36"/>
    </row>
    <row r="372">
      <c r="A372" s="25"/>
      <c r="B372" s="131"/>
      <c r="D372" s="11"/>
      <c r="E372" s="45"/>
      <c r="F372" s="45"/>
      <c r="O372" s="335"/>
      <c r="P372" s="36"/>
      <c r="Q372" s="36"/>
      <c r="R372" s="36"/>
    </row>
    <row r="373">
      <c r="A373" s="25"/>
      <c r="B373" s="131"/>
      <c r="D373" s="11"/>
      <c r="E373" s="45"/>
      <c r="F373" s="45"/>
      <c r="O373" s="335"/>
      <c r="P373" s="36"/>
      <c r="Q373" s="36"/>
      <c r="R373" s="36"/>
    </row>
    <row r="374">
      <c r="A374" s="25"/>
      <c r="B374" s="131"/>
      <c r="D374" s="11"/>
      <c r="E374" s="45"/>
      <c r="F374" s="45"/>
      <c r="O374" s="335"/>
      <c r="P374" s="36"/>
      <c r="Q374" s="36"/>
      <c r="R374" s="36"/>
    </row>
    <row r="375">
      <c r="A375" s="25"/>
      <c r="B375" s="131"/>
      <c r="D375" s="11"/>
      <c r="E375" s="45"/>
      <c r="F375" s="45"/>
      <c r="O375" s="335"/>
      <c r="P375" s="36"/>
      <c r="Q375" s="36"/>
      <c r="R375" s="36"/>
    </row>
    <row r="376">
      <c r="A376" s="25"/>
      <c r="B376" s="131"/>
      <c r="D376" s="11"/>
      <c r="E376" s="45"/>
      <c r="F376" s="45"/>
      <c r="O376" s="335"/>
      <c r="P376" s="36"/>
      <c r="Q376" s="36"/>
      <c r="R376" s="36"/>
    </row>
    <row r="377">
      <c r="A377" s="25"/>
      <c r="B377" s="131"/>
      <c r="D377" s="11"/>
      <c r="E377" s="45"/>
      <c r="F377" s="45"/>
      <c r="O377" s="335"/>
      <c r="P377" s="36"/>
      <c r="Q377" s="36"/>
      <c r="R377" s="36"/>
    </row>
    <row r="378">
      <c r="A378" s="25"/>
      <c r="B378" s="131"/>
      <c r="D378" s="11"/>
      <c r="E378" s="45"/>
      <c r="F378" s="45"/>
      <c r="O378" s="335"/>
      <c r="P378" s="36"/>
      <c r="Q378" s="36"/>
      <c r="R378" s="36"/>
    </row>
    <row r="379">
      <c r="A379" s="25"/>
      <c r="B379" s="131"/>
      <c r="D379" s="11"/>
      <c r="E379" s="45"/>
      <c r="F379" s="45"/>
      <c r="O379" s="335"/>
      <c r="P379" s="36"/>
      <c r="Q379" s="36"/>
      <c r="R379" s="36"/>
    </row>
    <row r="380">
      <c r="A380" s="25"/>
      <c r="B380" s="131"/>
      <c r="D380" s="11"/>
      <c r="E380" s="45"/>
      <c r="F380" s="45"/>
      <c r="O380" s="335"/>
      <c r="P380" s="36"/>
      <c r="Q380" s="36"/>
      <c r="R380" s="36"/>
    </row>
    <row r="381">
      <c r="A381" s="25"/>
      <c r="B381" s="131"/>
      <c r="D381" s="11"/>
      <c r="E381" s="45"/>
      <c r="F381" s="45"/>
      <c r="O381" s="335"/>
      <c r="P381" s="36"/>
      <c r="Q381" s="36"/>
      <c r="R381" s="36"/>
    </row>
    <row r="382">
      <c r="A382" s="25"/>
      <c r="B382" s="131"/>
      <c r="D382" s="11"/>
      <c r="E382" s="45"/>
      <c r="F382" s="45"/>
      <c r="O382" s="335"/>
      <c r="P382" s="36"/>
      <c r="Q382" s="36"/>
      <c r="R382" s="36"/>
    </row>
    <row r="383">
      <c r="A383" s="25"/>
      <c r="B383" s="131"/>
      <c r="D383" s="11"/>
      <c r="E383" s="45"/>
      <c r="F383" s="45"/>
      <c r="O383" s="335"/>
      <c r="P383" s="36"/>
      <c r="Q383" s="36"/>
      <c r="R383" s="36"/>
    </row>
    <row r="384">
      <c r="A384" s="25"/>
      <c r="B384" s="131"/>
      <c r="D384" s="11"/>
      <c r="E384" s="45"/>
      <c r="F384" s="45"/>
      <c r="O384" s="335"/>
      <c r="P384" s="36"/>
      <c r="Q384" s="36"/>
      <c r="R384" s="36"/>
    </row>
    <row r="385">
      <c r="A385" s="25"/>
      <c r="B385" s="131"/>
      <c r="D385" s="11"/>
      <c r="E385" s="45"/>
      <c r="F385" s="45"/>
      <c r="O385" s="335"/>
      <c r="P385" s="36"/>
      <c r="Q385" s="36"/>
      <c r="R385" s="36"/>
    </row>
    <row r="386">
      <c r="A386" s="25"/>
      <c r="B386" s="131"/>
      <c r="D386" s="11"/>
      <c r="E386" s="45"/>
      <c r="F386" s="45"/>
      <c r="O386" s="335"/>
      <c r="P386" s="36"/>
      <c r="Q386" s="36"/>
      <c r="R386" s="36"/>
    </row>
    <row r="387">
      <c r="A387" s="25"/>
      <c r="B387" s="131"/>
      <c r="D387" s="11"/>
      <c r="E387" s="45"/>
      <c r="F387" s="45"/>
      <c r="O387" s="335"/>
      <c r="P387" s="36"/>
      <c r="Q387" s="36"/>
      <c r="R387" s="36"/>
    </row>
    <row r="388">
      <c r="A388" s="25"/>
      <c r="B388" s="131"/>
      <c r="D388" s="11"/>
      <c r="E388" s="45"/>
      <c r="F388" s="45"/>
      <c r="O388" s="335"/>
      <c r="P388" s="36"/>
      <c r="Q388" s="36"/>
      <c r="R388" s="36"/>
    </row>
    <row r="389">
      <c r="A389" s="25"/>
      <c r="B389" s="131"/>
      <c r="D389" s="11"/>
      <c r="E389" s="45"/>
      <c r="F389" s="45"/>
      <c r="O389" s="335"/>
      <c r="P389" s="36"/>
      <c r="Q389" s="36"/>
      <c r="R389" s="36"/>
    </row>
    <row r="390">
      <c r="A390" s="25"/>
      <c r="B390" s="131"/>
      <c r="D390" s="11"/>
      <c r="E390" s="45"/>
      <c r="F390" s="45"/>
      <c r="O390" s="335"/>
      <c r="P390" s="36"/>
      <c r="Q390" s="36"/>
      <c r="R390" s="36"/>
    </row>
    <row r="391">
      <c r="A391" s="25"/>
      <c r="B391" s="131"/>
      <c r="D391" s="11"/>
      <c r="E391" s="45"/>
      <c r="F391" s="45"/>
      <c r="O391" s="335"/>
      <c r="P391" s="36"/>
      <c r="Q391" s="36"/>
      <c r="R391" s="36"/>
    </row>
    <row r="392">
      <c r="A392" s="25"/>
      <c r="B392" s="131"/>
      <c r="D392" s="11"/>
      <c r="E392" s="45"/>
      <c r="F392" s="45"/>
      <c r="O392" s="335"/>
      <c r="P392" s="36"/>
      <c r="Q392" s="36"/>
      <c r="R392" s="36"/>
    </row>
    <row r="393">
      <c r="A393" s="25"/>
      <c r="B393" s="131"/>
      <c r="D393" s="11"/>
      <c r="E393" s="45"/>
      <c r="F393" s="45"/>
      <c r="O393" s="335"/>
      <c r="P393" s="36"/>
      <c r="Q393" s="36"/>
      <c r="R393" s="36"/>
    </row>
    <row r="394">
      <c r="A394" s="25"/>
      <c r="B394" s="131"/>
      <c r="D394" s="11"/>
      <c r="E394" s="45"/>
      <c r="F394" s="45"/>
      <c r="O394" s="335"/>
      <c r="P394" s="36"/>
      <c r="Q394" s="36"/>
      <c r="R394" s="36"/>
    </row>
    <row r="395">
      <c r="A395" s="25"/>
      <c r="B395" s="131"/>
      <c r="D395" s="11"/>
      <c r="E395" s="45"/>
      <c r="F395" s="45"/>
      <c r="O395" s="335"/>
      <c r="P395" s="36"/>
      <c r="Q395" s="36"/>
      <c r="R395" s="36"/>
    </row>
    <row r="396">
      <c r="A396" s="25"/>
      <c r="B396" s="131"/>
      <c r="D396" s="11"/>
      <c r="E396" s="45"/>
      <c r="F396" s="45"/>
      <c r="O396" s="335"/>
      <c r="P396" s="36"/>
      <c r="Q396" s="36"/>
      <c r="R396" s="36"/>
    </row>
    <row r="397">
      <c r="A397" s="25"/>
      <c r="B397" s="131"/>
      <c r="D397" s="11"/>
      <c r="E397" s="45"/>
      <c r="F397" s="45"/>
      <c r="O397" s="335"/>
      <c r="P397" s="36"/>
      <c r="Q397" s="36"/>
      <c r="R397" s="36"/>
    </row>
    <row r="398">
      <c r="A398" s="25"/>
      <c r="B398" s="131"/>
      <c r="D398" s="11"/>
      <c r="E398" s="45"/>
      <c r="F398" s="45"/>
      <c r="O398" s="335"/>
      <c r="P398" s="36"/>
      <c r="Q398" s="36"/>
      <c r="R398" s="36"/>
    </row>
    <row r="399">
      <c r="A399" s="25"/>
      <c r="B399" s="131"/>
      <c r="D399" s="11"/>
      <c r="E399" s="45"/>
      <c r="F399" s="45"/>
      <c r="O399" s="335"/>
      <c r="P399" s="36"/>
      <c r="Q399" s="36"/>
      <c r="R399" s="36"/>
    </row>
    <row r="400">
      <c r="A400" s="25"/>
      <c r="B400" s="131"/>
      <c r="D400" s="11"/>
      <c r="E400" s="45"/>
      <c r="F400" s="45"/>
      <c r="O400" s="335"/>
      <c r="P400" s="36"/>
      <c r="Q400" s="36"/>
      <c r="R400" s="36"/>
    </row>
    <row r="401">
      <c r="A401" s="25"/>
      <c r="B401" s="131"/>
      <c r="D401" s="11"/>
      <c r="E401" s="45"/>
      <c r="F401" s="45"/>
      <c r="O401" s="335"/>
      <c r="P401" s="36"/>
      <c r="Q401" s="36"/>
      <c r="R401" s="36"/>
    </row>
    <row r="402">
      <c r="A402" s="25"/>
      <c r="B402" s="131"/>
      <c r="D402" s="11"/>
      <c r="E402" s="45"/>
      <c r="F402" s="45"/>
      <c r="O402" s="335"/>
      <c r="P402" s="36"/>
      <c r="Q402" s="36"/>
      <c r="R402" s="36"/>
    </row>
    <row r="403">
      <c r="A403" s="25"/>
      <c r="B403" s="131"/>
      <c r="D403" s="11"/>
      <c r="E403" s="45"/>
      <c r="F403" s="45"/>
      <c r="O403" s="335"/>
      <c r="P403" s="36"/>
      <c r="Q403" s="36"/>
      <c r="R403" s="36"/>
    </row>
    <row r="404">
      <c r="A404" s="25"/>
      <c r="B404" s="131"/>
      <c r="D404" s="11"/>
      <c r="E404" s="45"/>
      <c r="F404" s="45"/>
      <c r="O404" s="335"/>
      <c r="P404" s="36"/>
      <c r="Q404" s="36"/>
      <c r="R404" s="36"/>
    </row>
    <row r="405">
      <c r="A405" s="25"/>
      <c r="B405" s="131"/>
      <c r="D405" s="11"/>
      <c r="E405" s="45"/>
      <c r="F405" s="45"/>
      <c r="O405" s="335"/>
      <c r="P405" s="36"/>
      <c r="Q405" s="36"/>
      <c r="R405" s="36"/>
    </row>
    <row r="406">
      <c r="A406" s="25"/>
      <c r="B406" s="131"/>
      <c r="D406" s="11"/>
      <c r="E406" s="45"/>
      <c r="F406" s="45"/>
      <c r="O406" s="335"/>
      <c r="P406" s="36"/>
      <c r="Q406" s="36"/>
      <c r="R406" s="36"/>
    </row>
    <row r="407">
      <c r="A407" s="25"/>
      <c r="B407" s="131"/>
      <c r="D407" s="11"/>
      <c r="E407" s="45"/>
      <c r="F407" s="45"/>
      <c r="O407" s="335"/>
      <c r="P407" s="36"/>
      <c r="Q407" s="36"/>
      <c r="R407" s="36"/>
    </row>
    <row r="408">
      <c r="A408" s="25"/>
      <c r="B408" s="131"/>
      <c r="D408" s="11"/>
      <c r="E408" s="45"/>
      <c r="F408" s="45"/>
      <c r="O408" s="335"/>
      <c r="P408" s="36"/>
      <c r="Q408" s="36"/>
      <c r="R408" s="36"/>
    </row>
    <row r="409">
      <c r="A409" s="25"/>
      <c r="B409" s="131"/>
      <c r="D409" s="11"/>
      <c r="E409" s="45"/>
      <c r="F409" s="45"/>
      <c r="O409" s="335"/>
      <c r="P409" s="36"/>
      <c r="Q409" s="36"/>
      <c r="R409" s="36"/>
    </row>
    <row r="410">
      <c r="A410" s="25"/>
      <c r="B410" s="131"/>
      <c r="D410" s="11"/>
      <c r="E410" s="45"/>
      <c r="F410" s="45"/>
      <c r="O410" s="335"/>
      <c r="P410" s="36"/>
      <c r="Q410" s="36"/>
      <c r="R410" s="36"/>
    </row>
    <row r="411">
      <c r="A411" s="25"/>
      <c r="B411" s="131"/>
      <c r="D411" s="11"/>
      <c r="E411" s="45"/>
      <c r="F411" s="45"/>
      <c r="O411" s="335"/>
      <c r="P411" s="36"/>
      <c r="Q411" s="36"/>
      <c r="R411" s="36"/>
    </row>
    <row r="412">
      <c r="A412" s="25"/>
      <c r="B412" s="131"/>
      <c r="D412" s="11"/>
      <c r="E412" s="45"/>
      <c r="F412" s="45"/>
      <c r="O412" s="335"/>
      <c r="P412" s="36"/>
      <c r="Q412" s="36"/>
      <c r="R412" s="36"/>
    </row>
    <row r="413">
      <c r="A413" s="25"/>
      <c r="B413" s="131"/>
      <c r="D413" s="11"/>
      <c r="E413" s="45"/>
      <c r="F413" s="45"/>
      <c r="O413" s="335"/>
      <c r="P413" s="36"/>
      <c r="Q413" s="36"/>
      <c r="R413" s="36"/>
    </row>
    <row r="414">
      <c r="A414" s="25"/>
      <c r="B414" s="131"/>
      <c r="D414" s="11"/>
      <c r="E414" s="45"/>
      <c r="F414" s="45"/>
      <c r="O414" s="335"/>
      <c r="P414" s="36"/>
      <c r="Q414" s="36"/>
      <c r="R414" s="36"/>
    </row>
    <row r="415">
      <c r="A415" s="25"/>
      <c r="B415" s="131"/>
      <c r="D415" s="11"/>
      <c r="E415" s="45"/>
      <c r="F415" s="45"/>
      <c r="O415" s="335"/>
      <c r="P415" s="36"/>
      <c r="Q415" s="36"/>
      <c r="R415" s="36"/>
    </row>
    <row r="416">
      <c r="A416" s="25"/>
      <c r="B416" s="131"/>
      <c r="D416" s="11"/>
      <c r="E416" s="45"/>
      <c r="F416" s="45"/>
      <c r="O416" s="335"/>
      <c r="P416" s="36"/>
      <c r="Q416" s="36"/>
      <c r="R416" s="36"/>
    </row>
    <row r="417">
      <c r="A417" s="25"/>
      <c r="B417" s="131"/>
      <c r="D417" s="11"/>
      <c r="E417" s="45"/>
      <c r="F417" s="45"/>
      <c r="O417" s="335"/>
      <c r="P417" s="36"/>
      <c r="Q417" s="36"/>
      <c r="R417" s="36"/>
    </row>
    <row r="418">
      <c r="A418" s="25"/>
      <c r="B418" s="131"/>
      <c r="D418" s="11"/>
      <c r="E418" s="45"/>
      <c r="F418" s="45"/>
      <c r="O418" s="335"/>
      <c r="P418" s="36"/>
      <c r="Q418" s="36"/>
      <c r="R418" s="36"/>
    </row>
    <row r="419">
      <c r="A419" s="25"/>
      <c r="B419" s="131"/>
      <c r="D419" s="11"/>
      <c r="E419" s="45"/>
      <c r="F419" s="45"/>
      <c r="O419" s="335"/>
      <c r="P419" s="36"/>
      <c r="Q419" s="36"/>
      <c r="R419" s="36"/>
    </row>
    <row r="420">
      <c r="A420" s="25"/>
      <c r="B420" s="131"/>
      <c r="D420" s="11"/>
      <c r="E420" s="45"/>
      <c r="F420" s="45"/>
      <c r="O420" s="335"/>
      <c r="P420" s="36"/>
      <c r="Q420" s="36"/>
      <c r="R420" s="36"/>
    </row>
    <row r="421">
      <c r="A421" s="25"/>
      <c r="B421" s="131"/>
      <c r="D421" s="11"/>
      <c r="E421" s="45"/>
      <c r="F421" s="45"/>
      <c r="O421" s="335"/>
      <c r="P421" s="36"/>
      <c r="Q421" s="36"/>
      <c r="R421" s="36"/>
    </row>
    <row r="422">
      <c r="A422" s="25"/>
      <c r="B422" s="131"/>
      <c r="D422" s="11"/>
      <c r="E422" s="45"/>
      <c r="F422" s="45"/>
      <c r="O422" s="335"/>
      <c r="P422" s="36"/>
      <c r="Q422" s="36"/>
      <c r="R422" s="36"/>
    </row>
    <row r="423">
      <c r="A423" s="25"/>
      <c r="B423" s="131"/>
      <c r="D423" s="11"/>
      <c r="E423" s="45"/>
      <c r="F423" s="45"/>
      <c r="O423" s="335"/>
      <c r="P423" s="36"/>
      <c r="Q423" s="36"/>
      <c r="R423" s="36"/>
    </row>
    <row r="424">
      <c r="A424" s="25"/>
      <c r="B424" s="131"/>
      <c r="D424" s="11"/>
      <c r="E424" s="45"/>
      <c r="F424" s="45"/>
      <c r="O424" s="335"/>
      <c r="P424" s="36"/>
      <c r="Q424" s="36"/>
      <c r="R424" s="36"/>
    </row>
    <row r="425">
      <c r="A425" s="25"/>
      <c r="B425" s="131"/>
      <c r="D425" s="11"/>
      <c r="E425" s="45"/>
      <c r="F425" s="45"/>
      <c r="O425" s="335"/>
      <c r="P425" s="36"/>
      <c r="Q425" s="36"/>
      <c r="R425" s="36"/>
    </row>
    <row r="426">
      <c r="A426" s="25"/>
      <c r="B426" s="131"/>
      <c r="D426" s="11"/>
      <c r="E426" s="45"/>
      <c r="F426" s="45"/>
      <c r="O426" s="335"/>
      <c r="P426" s="36"/>
      <c r="Q426" s="36"/>
      <c r="R426" s="36"/>
    </row>
    <row r="427">
      <c r="A427" s="25"/>
      <c r="B427" s="131"/>
      <c r="D427" s="11"/>
      <c r="E427" s="45"/>
      <c r="F427" s="45"/>
      <c r="O427" s="335"/>
      <c r="P427" s="36"/>
      <c r="Q427" s="36"/>
      <c r="R427" s="36"/>
    </row>
    <row r="428">
      <c r="A428" s="25"/>
      <c r="B428" s="131"/>
      <c r="D428" s="11"/>
      <c r="E428" s="45"/>
      <c r="F428" s="45"/>
      <c r="O428" s="335"/>
      <c r="P428" s="36"/>
      <c r="Q428" s="36"/>
      <c r="R428" s="36"/>
    </row>
    <row r="429">
      <c r="A429" s="25"/>
      <c r="B429" s="131"/>
      <c r="D429" s="11"/>
      <c r="E429" s="45"/>
      <c r="F429" s="45"/>
      <c r="O429" s="335"/>
      <c r="P429" s="36"/>
      <c r="Q429" s="36"/>
      <c r="R429" s="36"/>
    </row>
    <row r="430">
      <c r="A430" s="25"/>
      <c r="B430" s="131"/>
      <c r="D430" s="11"/>
      <c r="E430" s="45"/>
      <c r="F430" s="45"/>
      <c r="O430" s="335"/>
      <c r="P430" s="36"/>
      <c r="Q430" s="36"/>
      <c r="R430" s="36"/>
    </row>
    <row r="431">
      <c r="A431" s="25"/>
      <c r="B431" s="131"/>
      <c r="D431" s="11"/>
      <c r="E431" s="45"/>
      <c r="F431" s="45"/>
      <c r="O431" s="335"/>
      <c r="P431" s="36"/>
      <c r="Q431" s="36"/>
      <c r="R431" s="36"/>
    </row>
    <row r="432">
      <c r="A432" s="25"/>
      <c r="B432" s="131"/>
      <c r="D432" s="11"/>
      <c r="E432" s="45"/>
      <c r="F432" s="45"/>
      <c r="O432" s="335"/>
      <c r="P432" s="36"/>
      <c r="Q432" s="36"/>
      <c r="R432" s="36"/>
    </row>
    <row r="433">
      <c r="A433" s="25"/>
      <c r="B433" s="131"/>
      <c r="D433" s="11"/>
      <c r="E433" s="45"/>
      <c r="F433" s="45"/>
      <c r="O433" s="335"/>
      <c r="P433" s="36"/>
      <c r="Q433" s="36"/>
      <c r="R433" s="36"/>
    </row>
    <row r="434">
      <c r="A434" s="25"/>
      <c r="B434" s="131"/>
      <c r="D434" s="11"/>
      <c r="E434" s="45"/>
      <c r="F434" s="45"/>
      <c r="O434" s="335"/>
      <c r="P434" s="36"/>
      <c r="Q434" s="36"/>
      <c r="R434" s="36"/>
    </row>
    <row r="435">
      <c r="A435" s="25"/>
      <c r="B435" s="131"/>
      <c r="D435" s="11"/>
      <c r="E435" s="45"/>
      <c r="F435" s="45"/>
      <c r="O435" s="335"/>
      <c r="P435" s="36"/>
      <c r="Q435" s="36"/>
      <c r="R435" s="36"/>
    </row>
    <row r="436">
      <c r="A436" s="25"/>
      <c r="B436" s="131"/>
      <c r="D436" s="11"/>
      <c r="E436" s="45"/>
      <c r="F436" s="45"/>
      <c r="O436" s="335"/>
      <c r="P436" s="36"/>
      <c r="Q436" s="36"/>
      <c r="R436" s="36"/>
    </row>
    <row r="437">
      <c r="A437" s="25"/>
      <c r="B437" s="131"/>
      <c r="D437" s="11"/>
      <c r="E437" s="45"/>
      <c r="F437" s="45"/>
      <c r="O437" s="335"/>
      <c r="P437" s="36"/>
      <c r="Q437" s="36"/>
      <c r="R437" s="36"/>
    </row>
    <row r="438">
      <c r="A438" s="25"/>
      <c r="B438" s="131"/>
      <c r="D438" s="11"/>
      <c r="E438" s="45"/>
      <c r="F438" s="45"/>
      <c r="O438" s="335"/>
      <c r="P438" s="36"/>
      <c r="Q438" s="36"/>
      <c r="R438" s="36"/>
    </row>
    <row r="439">
      <c r="A439" s="25"/>
      <c r="B439" s="131"/>
      <c r="D439" s="11"/>
      <c r="E439" s="45"/>
      <c r="F439" s="45"/>
      <c r="O439" s="335"/>
      <c r="P439" s="36"/>
      <c r="Q439" s="36"/>
      <c r="R439" s="36"/>
    </row>
    <row r="440">
      <c r="A440" s="25"/>
      <c r="B440" s="131"/>
      <c r="D440" s="11"/>
      <c r="E440" s="45"/>
      <c r="F440" s="45"/>
      <c r="O440" s="335"/>
      <c r="P440" s="36"/>
      <c r="Q440" s="36"/>
      <c r="R440" s="36"/>
    </row>
    <row r="441">
      <c r="A441" s="25"/>
      <c r="B441" s="131"/>
      <c r="D441" s="11"/>
      <c r="E441" s="45"/>
      <c r="F441" s="45"/>
      <c r="O441" s="335"/>
      <c r="P441" s="36"/>
      <c r="Q441" s="36"/>
      <c r="R441" s="36"/>
    </row>
    <row r="442">
      <c r="A442" s="25"/>
      <c r="B442" s="131"/>
      <c r="D442" s="11"/>
      <c r="E442" s="45"/>
      <c r="F442" s="45"/>
      <c r="O442" s="335"/>
      <c r="P442" s="36"/>
      <c r="Q442" s="36"/>
      <c r="R442" s="36"/>
    </row>
    <row r="443">
      <c r="A443" s="25"/>
      <c r="B443" s="131"/>
      <c r="D443" s="11"/>
      <c r="E443" s="45"/>
      <c r="F443" s="45"/>
      <c r="O443" s="335"/>
      <c r="P443" s="36"/>
      <c r="Q443" s="36"/>
      <c r="R443" s="36"/>
    </row>
    <row r="444">
      <c r="A444" s="25"/>
      <c r="B444" s="131"/>
      <c r="D444" s="11"/>
      <c r="E444" s="45"/>
      <c r="F444" s="45"/>
      <c r="O444" s="335"/>
      <c r="P444" s="36"/>
      <c r="Q444" s="36"/>
      <c r="R444" s="36"/>
    </row>
    <row r="445">
      <c r="A445" s="25"/>
      <c r="B445" s="131"/>
      <c r="D445" s="11"/>
      <c r="E445" s="45"/>
      <c r="F445" s="45"/>
      <c r="O445" s="335"/>
      <c r="P445" s="36"/>
      <c r="Q445" s="36"/>
      <c r="R445" s="36"/>
    </row>
    <row r="446">
      <c r="A446" s="25"/>
      <c r="B446" s="131"/>
      <c r="D446" s="11"/>
      <c r="E446" s="45"/>
      <c r="F446" s="45"/>
      <c r="O446" s="335"/>
      <c r="P446" s="36"/>
      <c r="Q446" s="36"/>
      <c r="R446" s="36"/>
    </row>
    <row r="447">
      <c r="A447" s="25"/>
      <c r="B447" s="131"/>
      <c r="D447" s="11"/>
      <c r="E447" s="45"/>
      <c r="F447" s="45"/>
      <c r="O447" s="335"/>
      <c r="P447" s="36"/>
      <c r="Q447" s="36"/>
      <c r="R447" s="36"/>
    </row>
    <row r="448">
      <c r="A448" s="25"/>
      <c r="B448" s="131"/>
      <c r="D448" s="11"/>
      <c r="E448" s="45"/>
      <c r="F448" s="45"/>
      <c r="O448" s="335"/>
      <c r="P448" s="36"/>
      <c r="Q448" s="36"/>
      <c r="R448" s="36"/>
    </row>
    <row r="449">
      <c r="A449" s="25"/>
      <c r="B449" s="131"/>
      <c r="D449" s="11"/>
      <c r="E449" s="45"/>
      <c r="F449" s="45"/>
      <c r="O449" s="335"/>
      <c r="P449" s="36"/>
      <c r="Q449" s="36"/>
      <c r="R449" s="36"/>
    </row>
    <row r="450">
      <c r="A450" s="25"/>
      <c r="B450" s="131"/>
      <c r="D450" s="11"/>
      <c r="E450" s="45"/>
      <c r="F450" s="45"/>
      <c r="O450" s="335"/>
      <c r="P450" s="36"/>
      <c r="Q450" s="36"/>
      <c r="R450" s="36"/>
    </row>
    <row r="451">
      <c r="A451" s="25"/>
      <c r="B451" s="131"/>
      <c r="D451" s="11"/>
      <c r="E451" s="45"/>
      <c r="F451" s="45"/>
      <c r="O451" s="335"/>
      <c r="P451" s="36"/>
      <c r="Q451" s="36"/>
      <c r="R451" s="36"/>
    </row>
    <row r="452">
      <c r="A452" s="25"/>
      <c r="B452" s="131"/>
      <c r="D452" s="11"/>
      <c r="E452" s="45"/>
      <c r="F452" s="45"/>
      <c r="O452" s="335"/>
      <c r="P452" s="36"/>
      <c r="Q452" s="36"/>
      <c r="R452" s="36"/>
    </row>
    <row r="453">
      <c r="A453" s="25"/>
      <c r="B453" s="131"/>
      <c r="D453" s="11"/>
      <c r="E453" s="45"/>
      <c r="F453" s="45"/>
      <c r="O453" s="335"/>
      <c r="P453" s="36"/>
      <c r="Q453" s="36"/>
      <c r="R453" s="36"/>
    </row>
    <row r="454">
      <c r="A454" s="25"/>
      <c r="B454" s="131"/>
      <c r="D454" s="11"/>
      <c r="E454" s="45"/>
      <c r="F454" s="45"/>
      <c r="O454" s="335"/>
      <c r="P454" s="36"/>
      <c r="Q454" s="36"/>
      <c r="R454" s="36"/>
    </row>
    <row r="455">
      <c r="A455" s="25"/>
      <c r="B455" s="131"/>
      <c r="D455" s="11"/>
      <c r="E455" s="45"/>
      <c r="F455" s="45"/>
      <c r="O455" s="335"/>
      <c r="P455" s="36"/>
      <c r="Q455" s="36"/>
      <c r="R455" s="36"/>
    </row>
    <row r="456">
      <c r="A456" s="25"/>
      <c r="B456" s="131"/>
      <c r="D456" s="11"/>
      <c r="E456" s="45"/>
      <c r="F456" s="45"/>
      <c r="O456" s="335"/>
      <c r="P456" s="36"/>
      <c r="Q456" s="36"/>
      <c r="R456" s="36"/>
    </row>
    <row r="457">
      <c r="A457" s="25"/>
      <c r="B457" s="131"/>
      <c r="D457" s="11"/>
      <c r="E457" s="45"/>
      <c r="F457" s="45"/>
      <c r="O457" s="335"/>
      <c r="P457" s="36"/>
      <c r="Q457" s="36"/>
      <c r="R457" s="36"/>
    </row>
    <row r="458">
      <c r="A458" s="25"/>
      <c r="B458" s="131"/>
      <c r="D458" s="11"/>
      <c r="E458" s="45"/>
      <c r="F458" s="45"/>
      <c r="O458" s="335"/>
      <c r="P458" s="36"/>
      <c r="Q458" s="36"/>
      <c r="R458" s="36"/>
    </row>
    <row r="459">
      <c r="A459" s="25"/>
      <c r="B459" s="131"/>
      <c r="D459" s="11"/>
      <c r="E459" s="45"/>
      <c r="F459" s="45"/>
      <c r="O459" s="335"/>
      <c r="P459" s="36"/>
      <c r="Q459" s="36"/>
      <c r="R459" s="36"/>
    </row>
    <row r="460">
      <c r="A460" s="25"/>
      <c r="B460" s="131"/>
      <c r="D460" s="11"/>
      <c r="E460" s="45"/>
      <c r="F460" s="45"/>
      <c r="O460" s="335"/>
      <c r="P460" s="36"/>
      <c r="Q460" s="36"/>
      <c r="R460" s="36"/>
    </row>
    <row r="461">
      <c r="A461" s="25"/>
      <c r="B461" s="131"/>
      <c r="D461" s="11"/>
      <c r="E461" s="45"/>
      <c r="F461" s="45"/>
      <c r="O461" s="335"/>
      <c r="P461" s="36"/>
      <c r="Q461" s="36"/>
      <c r="R461" s="36"/>
    </row>
    <row r="462">
      <c r="A462" s="25"/>
      <c r="B462" s="131"/>
      <c r="D462" s="11"/>
      <c r="E462" s="45"/>
      <c r="F462" s="45"/>
      <c r="O462" s="335"/>
      <c r="P462" s="36"/>
      <c r="Q462" s="36"/>
      <c r="R462" s="36"/>
    </row>
    <row r="463">
      <c r="A463" s="25"/>
      <c r="B463" s="131"/>
      <c r="D463" s="11"/>
      <c r="E463" s="45"/>
      <c r="F463" s="45"/>
      <c r="O463" s="335"/>
      <c r="P463" s="36"/>
      <c r="Q463" s="36"/>
      <c r="R463" s="36"/>
    </row>
    <row r="464">
      <c r="A464" s="25"/>
      <c r="B464" s="131"/>
      <c r="D464" s="11"/>
      <c r="E464" s="45"/>
      <c r="F464" s="45"/>
      <c r="O464" s="335"/>
      <c r="P464" s="36"/>
      <c r="Q464" s="36"/>
      <c r="R464" s="36"/>
    </row>
    <row r="465">
      <c r="A465" s="25"/>
      <c r="B465" s="131"/>
      <c r="D465" s="11"/>
      <c r="E465" s="45"/>
      <c r="F465" s="45"/>
      <c r="O465" s="335"/>
      <c r="P465" s="36"/>
      <c r="Q465" s="36"/>
      <c r="R465" s="36"/>
    </row>
    <row r="466">
      <c r="A466" s="25"/>
      <c r="B466" s="131"/>
      <c r="D466" s="11"/>
      <c r="E466" s="45"/>
      <c r="F466" s="45"/>
      <c r="O466" s="335"/>
      <c r="P466" s="36"/>
      <c r="Q466" s="36"/>
      <c r="R466" s="36"/>
    </row>
    <row r="467">
      <c r="A467" s="25"/>
      <c r="B467" s="131"/>
      <c r="D467" s="11"/>
      <c r="E467" s="45"/>
      <c r="F467" s="45"/>
      <c r="O467" s="335"/>
      <c r="P467" s="36"/>
      <c r="Q467" s="36"/>
      <c r="R467" s="36"/>
    </row>
    <row r="468">
      <c r="A468" s="25"/>
      <c r="B468" s="131"/>
      <c r="D468" s="11"/>
      <c r="E468" s="45"/>
      <c r="F468" s="45"/>
      <c r="O468" s="335"/>
      <c r="P468" s="36"/>
      <c r="Q468" s="36"/>
      <c r="R468" s="36"/>
    </row>
    <row r="469">
      <c r="A469" s="25"/>
      <c r="B469" s="131"/>
      <c r="D469" s="11"/>
      <c r="E469" s="45"/>
      <c r="F469" s="45"/>
      <c r="O469" s="335"/>
      <c r="P469" s="36"/>
      <c r="Q469" s="36"/>
      <c r="R469" s="36"/>
    </row>
    <row r="470">
      <c r="A470" s="25"/>
      <c r="B470" s="131"/>
      <c r="D470" s="11"/>
      <c r="E470" s="45"/>
      <c r="F470" s="45"/>
      <c r="O470" s="335"/>
      <c r="P470" s="36"/>
      <c r="Q470" s="36"/>
      <c r="R470" s="36"/>
    </row>
    <row r="471">
      <c r="A471" s="25"/>
      <c r="B471" s="131"/>
      <c r="D471" s="11"/>
      <c r="E471" s="45"/>
      <c r="F471" s="45"/>
      <c r="O471" s="335"/>
      <c r="P471" s="36"/>
      <c r="Q471" s="36"/>
      <c r="R471" s="36"/>
    </row>
    <row r="472">
      <c r="A472" s="25"/>
      <c r="B472" s="131"/>
      <c r="D472" s="11"/>
      <c r="E472" s="45"/>
      <c r="F472" s="45"/>
      <c r="O472" s="335"/>
      <c r="P472" s="36"/>
      <c r="Q472" s="36"/>
      <c r="R472" s="36"/>
    </row>
    <row r="473">
      <c r="A473" s="25"/>
      <c r="B473" s="131"/>
      <c r="D473" s="11"/>
      <c r="E473" s="45"/>
      <c r="F473" s="45"/>
      <c r="O473" s="335"/>
      <c r="P473" s="36"/>
      <c r="Q473" s="36"/>
      <c r="R473" s="36"/>
    </row>
    <row r="474">
      <c r="A474" s="25"/>
      <c r="B474" s="131"/>
      <c r="D474" s="11"/>
      <c r="E474" s="45"/>
      <c r="F474" s="45"/>
      <c r="O474" s="335"/>
      <c r="P474" s="36"/>
      <c r="Q474" s="36"/>
      <c r="R474" s="36"/>
    </row>
    <row r="475">
      <c r="A475" s="25"/>
      <c r="B475" s="131"/>
      <c r="D475" s="11"/>
      <c r="E475" s="45"/>
      <c r="F475" s="45"/>
      <c r="O475" s="335"/>
      <c r="P475" s="36"/>
      <c r="Q475" s="36"/>
      <c r="R475" s="36"/>
    </row>
    <row r="476">
      <c r="A476" s="25"/>
      <c r="B476" s="131"/>
      <c r="D476" s="11"/>
      <c r="E476" s="45"/>
      <c r="F476" s="45"/>
      <c r="O476" s="335"/>
      <c r="P476" s="36"/>
      <c r="Q476" s="36"/>
      <c r="R476" s="36"/>
    </row>
    <row r="477">
      <c r="A477" s="25"/>
      <c r="B477" s="131"/>
      <c r="D477" s="11"/>
      <c r="E477" s="45"/>
      <c r="F477" s="45"/>
      <c r="O477" s="335"/>
      <c r="P477" s="36"/>
      <c r="Q477" s="36"/>
      <c r="R477" s="36"/>
    </row>
    <row r="478">
      <c r="A478" s="25"/>
      <c r="B478" s="131"/>
      <c r="D478" s="11"/>
      <c r="E478" s="45"/>
      <c r="F478" s="45"/>
      <c r="O478" s="335"/>
      <c r="P478" s="36"/>
      <c r="Q478" s="36"/>
      <c r="R478" s="36"/>
    </row>
    <row r="479">
      <c r="A479" s="25"/>
      <c r="B479" s="131"/>
      <c r="D479" s="11"/>
      <c r="E479" s="45"/>
      <c r="F479" s="45"/>
      <c r="O479" s="335"/>
      <c r="P479" s="36"/>
      <c r="Q479" s="36"/>
      <c r="R479" s="36"/>
    </row>
    <row r="480">
      <c r="A480" s="25"/>
      <c r="B480" s="131"/>
      <c r="D480" s="11"/>
      <c r="E480" s="45"/>
      <c r="F480" s="45"/>
      <c r="O480" s="335"/>
      <c r="P480" s="36"/>
      <c r="Q480" s="36"/>
      <c r="R480" s="36"/>
    </row>
    <row r="481">
      <c r="A481" s="25"/>
      <c r="B481" s="131"/>
      <c r="D481" s="11"/>
      <c r="E481" s="45"/>
      <c r="F481" s="45"/>
      <c r="O481" s="335"/>
      <c r="P481" s="36"/>
      <c r="Q481" s="36"/>
      <c r="R481" s="36"/>
    </row>
    <row r="482">
      <c r="A482" s="25"/>
      <c r="B482" s="131"/>
      <c r="D482" s="11"/>
      <c r="E482" s="45"/>
      <c r="F482" s="45"/>
      <c r="O482" s="335"/>
      <c r="P482" s="36"/>
      <c r="Q482" s="36"/>
      <c r="R482" s="36"/>
    </row>
    <row r="483">
      <c r="A483" s="25"/>
      <c r="B483" s="131"/>
      <c r="D483" s="11"/>
      <c r="E483" s="45"/>
      <c r="F483" s="45"/>
      <c r="O483" s="335"/>
      <c r="P483" s="36"/>
      <c r="Q483" s="36"/>
      <c r="R483" s="36"/>
    </row>
    <row r="484">
      <c r="A484" s="25"/>
      <c r="B484" s="131"/>
      <c r="D484" s="11"/>
      <c r="E484" s="45"/>
      <c r="F484" s="45"/>
      <c r="O484" s="335"/>
      <c r="P484" s="36"/>
      <c r="Q484" s="36"/>
      <c r="R484" s="36"/>
    </row>
    <row r="485">
      <c r="A485" s="25"/>
      <c r="B485" s="131"/>
      <c r="D485" s="11"/>
      <c r="E485" s="45"/>
      <c r="F485" s="45"/>
      <c r="O485" s="335"/>
      <c r="P485" s="36"/>
      <c r="Q485" s="36"/>
      <c r="R485" s="36"/>
    </row>
    <row r="486">
      <c r="A486" s="25"/>
      <c r="B486" s="131"/>
      <c r="D486" s="11"/>
      <c r="E486" s="45"/>
      <c r="F486" s="45"/>
      <c r="O486" s="335"/>
      <c r="P486" s="36"/>
      <c r="Q486" s="36"/>
      <c r="R486" s="36"/>
    </row>
    <row r="487">
      <c r="A487" s="25"/>
      <c r="B487" s="131"/>
      <c r="D487" s="11"/>
      <c r="E487" s="45"/>
      <c r="F487" s="45"/>
      <c r="O487" s="335"/>
      <c r="P487" s="36"/>
      <c r="Q487" s="36"/>
      <c r="R487" s="36"/>
    </row>
    <row r="488">
      <c r="A488" s="25"/>
      <c r="B488" s="131"/>
      <c r="D488" s="11"/>
      <c r="E488" s="45"/>
      <c r="F488" s="45"/>
      <c r="O488" s="335"/>
      <c r="P488" s="36"/>
      <c r="Q488" s="36"/>
      <c r="R488" s="36"/>
    </row>
    <row r="489">
      <c r="A489" s="25"/>
      <c r="B489" s="131"/>
      <c r="D489" s="11"/>
      <c r="E489" s="45"/>
      <c r="F489" s="45"/>
      <c r="O489" s="335"/>
      <c r="P489" s="36"/>
      <c r="Q489" s="36"/>
      <c r="R489" s="36"/>
    </row>
    <row r="490">
      <c r="A490" s="25"/>
      <c r="B490" s="131"/>
      <c r="D490" s="11"/>
      <c r="E490" s="45"/>
      <c r="F490" s="45"/>
      <c r="O490" s="335"/>
      <c r="P490" s="36"/>
      <c r="Q490" s="36"/>
      <c r="R490" s="36"/>
    </row>
    <row r="491">
      <c r="A491" s="25"/>
      <c r="B491" s="131"/>
      <c r="D491" s="11"/>
      <c r="E491" s="45"/>
      <c r="F491" s="45"/>
      <c r="O491" s="335"/>
      <c r="P491" s="36"/>
      <c r="Q491" s="36"/>
      <c r="R491" s="36"/>
    </row>
    <row r="492">
      <c r="A492" s="25"/>
      <c r="B492" s="131"/>
      <c r="D492" s="11"/>
      <c r="E492" s="45"/>
      <c r="F492" s="45"/>
      <c r="O492" s="335"/>
      <c r="P492" s="36"/>
      <c r="Q492" s="36"/>
      <c r="R492" s="36"/>
    </row>
    <row r="493">
      <c r="A493" s="25"/>
      <c r="B493" s="131"/>
      <c r="D493" s="11"/>
      <c r="E493" s="45"/>
      <c r="F493" s="45"/>
      <c r="O493" s="335"/>
      <c r="P493" s="36"/>
      <c r="Q493" s="36"/>
      <c r="R493" s="36"/>
    </row>
    <row r="494">
      <c r="A494" s="25"/>
      <c r="B494" s="131"/>
      <c r="D494" s="11"/>
      <c r="E494" s="45"/>
      <c r="F494" s="45"/>
      <c r="O494" s="335"/>
      <c r="P494" s="36"/>
      <c r="Q494" s="36"/>
      <c r="R494" s="36"/>
    </row>
    <row r="495">
      <c r="A495" s="25"/>
      <c r="B495" s="131"/>
      <c r="D495" s="11"/>
      <c r="E495" s="45"/>
      <c r="F495" s="45"/>
      <c r="O495" s="335"/>
      <c r="P495" s="36"/>
      <c r="Q495" s="36"/>
      <c r="R495" s="36"/>
    </row>
    <row r="496">
      <c r="A496" s="25"/>
      <c r="B496" s="131"/>
      <c r="D496" s="11"/>
      <c r="E496" s="45"/>
      <c r="F496" s="45"/>
      <c r="O496" s="335"/>
      <c r="P496" s="36"/>
      <c r="Q496" s="36"/>
      <c r="R496" s="36"/>
    </row>
    <row r="497">
      <c r="A497" s="25"/>
      <c r="B497" s="131"/>
      <c r="D497" s="11"/>
      <c r="E497" s="45"/>
      <c r="F497" s="45"/>
      <c r="O497" s="335"/>
      <c r="P497" s="36"/>
      <c r="Q497" s="36"/>
      <c r="R497" s="36"/>
    </row>
    <row r="498">
      <c r="A498" s="25"/>
      <c r="B498" s="131"/>
      <c r="D498" s="11"/>
      <c r="E498" s="45"/>
      <c r="F498" s="45"/>
      <c r="O498" s="335"/>
      <c r="P498" s="36"/>
      <c r="Q498" s="36"/>
      <c r="R498" s="36"/>
    </row>
    <row r="499">
      <c r="A499" s="25"/>
      <c r="B499" s="131"/>
      <c r="D499" s="11"/>
      <c r="E499" s="45"/>
      <c r="F499" s="45"/>
      <c r="O499" s="335"/>
      <c r="P499" s="36"/>
      <c r="Q499" s="36"/>
      <c r="R499" s="36"/>
    </row>
    <row r="500">
      <c r="A500" s="25"/>
      <c r="B500" s="131"/>
      <c r="D500" s="11"/>
      <c r="E500" s="45"/>
      <c r="F500" s="45"/>
      <c r="O500" s="335"/>
      <c r="P500" s="36"/>
      <c r="Q500" s="36"/>
      <c r="R500" s="36"/>
    </row>
    <row r="501">
      <c r="A501" s="25"/>
      <c r="B501" s="131"/>
      <c r="D501" s="11"/>
      <c r="E501" s="45"/>
      <c r="F501" s="45"/>
      <c r="O501" s="335"/>
      <c r="P501" s="36"/>
      <c r="Q501" s="36"/>
      <c r="R501" s="36"/>
    </row>
    <row r="502">
      <c r="A502" s="25"/>
      <c r="B502" s="131"/>
      <c r="D502" s="11"/>
      <c r="E502" s="45"/>
      <c r="F502" s="45"/>
      <c r="O502" s="335"/>
      <c r="P502" s="36"/>
      <c r="Q502" s="36"/>
      <c r="R502" s="36"/>
    </row>
    <row r="503">
      <c r="A503" s="25"/>
      <c r="B503" s="131"/>
      <c r="D503" s="11"/>
      <c r="E503" s="45"/>
      <c r="F503" s="45"/>
      <c r="O503" s="335"/>
      <c r="P503" s="36"/>
      <c r="Q503" s="36"/>
      <c r="R503" s="36"/>
    </row>
    <row r="504">
      <c r="A504" s="25"/>
      <c r="B504" s="131"/>
      <c r="D504" s="11"/>
      <c r="E504" s="45"/>
      <c r="F504" s="45"/>
      <c r="O504" s="335"/>
      <c r="P504" s="36"/>
      <c r="Q504" s="36"/>
      <c r="R504" s="36"/>
    </row>
    <row r="505">
      <c r="A505" s="25"/>
      <c r="B505" s="131"/>
      <c r="D505" s="11"/>
      <c r="E505" s="45"/>
      <c r="F505" s="45"/>
      <c r="O505" s="335"/>
      <c r="P505" s="36"/>
      <c r="Q505" s="36"/>
      <c r="R505" s="36"/>
    </row>
    <row r="506">
      <c r="A506" s="25"/>
      <c r="B506" s="131"/>
      <c r="D506" s="11"/>
      <c r="E506" s="45"/>
      <c r="F506" s="45"/>
      <c r="O506" s="335"/>
      <c r="P506" s="36"/>
      <c r="Q506" s="36"/>
      <c r="R506" s="36"/>
    </row>
    <row r="507">
      <c r="A507" s="25"/>
      <c r="B507" s="131"/>
      <c r="D507" s="11"/>
      <c r="E507" s="45"/>
      <c r="F507" s="45"/>
      <c r="O507" s="335"/>
      <c r="P507" s="36"/>
      <c r="Q507" s="36"/>
      <c r="R507" s="36"/>
    </row>
    <row r="508">
      <c r="A508" s="25"/>
      <c r="B508" s="131"/>
      <c r="D508" s="11"/>
      <c r="E508" s="45"/>
      <c r="F508" s="45"/>
      <c r="O508" s="335"/>
      <c r="P508" s="36"/>
      <c r="Q508" s="36"/>
      <c r="R508" s="36"/>
    </row>
    <row r="509">
      <c r="A509" s="25"/>
      <c r="B509" s="131"/>
      <c r="D509" s="11"/>
      <c r="E509" s="45"/>
      <c r="F509" s="45"/>
      <c r="O509" s="335"/>
      <c r="P509" s="36"/>
      <c r="Q509" s="36"/>
      <c r="R509" s="36"/>
    </row>
    <row r="510">
      <c r="A510" s="25"/>
      <c r="B510" s="131"/>
      <c r="D510" s="11"/>
      <c r="E510" s="45"/>
      <c r="F510" s="45"/>
      <c r="O510" s="335"/>
      <c r="P510" s="36"/>
      <c r="Q510" s="36"/>
      <c r="R510" s="36"/>
    </row>
    <row r="511">
      <c r="A511" s="25"/>
      <c r="B511" s="131"/>
      <c r="D511" s="11"/>
      <c r="E511" s="45"/>
      <c r="F511" s="45"/>
      <c r="O511" s="335"/>
      <c r="P511" s="36"/>
      <c r="Q511" s="36"/>
      <c r="R511" s="36"/>
    </row>
    <row r="512">
      <c r="A512" s="25"/>
      <c r="B512" s="131"/>
      <c r="D512" s="11"/>
      <c r="E512" s="45"/>
      <c r="F512" s="45"/>
      <c r="O512" s="335"/>
      <c r="P512" s="36"/>
      <c r="Q512" s="36"/>
      <c r="R512" s="36"/>
    </row>
    <row r="513">
      <c r="A513" s="25"/>
      <c r="B513" s="131"/>
      <c r="D513" s="11"/>
      <c r="E513" s="45"/>
      <c r="F513" s="45"/>
      <c r="O513" s="335"/>
      <c r="P513" s="36"/>
      <c r="Q513" s="36"/>
      <c r="R513" s="36"/>
    </row>
    <row r="514">
      <c r="A514" s="25"/>
      <c r="B514" s="131"/>
      <c r="D514" s="11"/>
      <c r="E514" s="45"/>
      <c r="F514" s="45"/>
      <c r="O514" s="335"/>
      <c r="P514" s="36"/>
      <c r="Q514" s="36"/>
      <c r="R514" s="36"/>
    </row>
    <row r="515">
      <c r="A515" s="25"/>
      <c r="B515" s="131"/>
      <c r="D515" s="11"/>
      <c r="E515" s="45"/>
      <c r="F515" s="45"/>
      <c r="O515" s="335"/>
      <c r="P515" s="36"/>
      <c r="Q515" s="36"/>
      <c r="R515" s="36"/>
    </row>
    <row r="516">
      <c r="A516" s="25"/>
      <c r="B516" s="131"/>
      <c r="D516" s="11"/>
      <c r="E516" s="45"/>
      <c r="F516" s="45"/>
      <c r="O516" s="335"/>
      <c r="P516" s="36"/>
      <c r="Q516" s="36"/>
      <c r="R516" s="36"/>
    </row>
    <row r="517">
      <c r="A517" s="25"/>
      <c r="B517" s="131"/>
      <c r="D517" s="11"/>
      <c r="E517" s="45"/>
      <c r="F517" s="45"/>
      <c r="O517" s="335"/>
      <c r="P517" s="36"/>
      <c r="Q517" s="36"/>
      <c r="R517" s="36"/>
    </row>
    <row r="518">
      <c r="A518" s="25"/>
      <c r="B518" s="131"/>
      <c r="D518" s="11"/>
      <c r="E518" s="45"/>
      <c r="F518" s="45"/>
      <c r="O518" s="335"/>
      <c r="P518" s="36"/>
      <c r="Q518" s="36"/>
      <c r="R518" s="36"/>
    </row>
    <row r="519">
      <c r="A519" s="25"/>
      <c r="B519" s="131"/>
      <c r="D519" s="11"/>
      <c r="E519" s="45"/>
      <c r="F519" s="45"/>
      <c r="O519" s="335"/>
      <c r="P519" s="36"/>
      <c r="Q519" s="36"/>
      <c r="R519" s="36"/>
    </row>
    <row r="520">
      <c r="A520" s="25"/>
      <c r="B520" s="131"/>
      <c r="D520" s="11"/>
      <c r="E520" s="45"/>
      <c r="F520" s="45"/>
      <c r="O520" s="335"/>
      <c r="P520" s="36"/>
      <c r="Q520" s="36"/>
      <c r="R520" s="36"/>
    </row>
    <row r="521">
      <c r="A521" s="25"/>
      <c r="B521" s="131"/>
      <c r="D521" s="11"/>
      <c r="E521" s="45"/>
      <c r="F521" s="45"/>
      <c r="O521" s="335"/>
      <c r="P521" s="36"/>
      <c r="Q521" s="36"/>
      <c r="R521" s="36"/>
    </row>
    <row r="522">
      <c r="A522" s="25"/>
      <c r="B522" s="131"/>
      <c r="D522" s="11"/>
      <c r="E522" s="45"/>
      <c r="F522" s="45"/>
      <c r="O522" s="335"/>
      <c r="P522" s="36"/>
      <c r="Q522" s="36"/>
      <c r="R522" s="36"/>
    </row>
    <row r="523">
      <c r="A523" s="25"/>
      <c r="B523" s="131"/>
      <c r="D523" s="11"/>
      <c r="E523" s="45"/>
      <c r="F523" s="45"/>
      <c r="O523" s="335"/>
      <c r="P523" s="36"/>
      <c r="Q523" s="36"/>
      <c r="R523" s="36"/>
    </row>
    <row r="524">
      <c r="A524" s="25"/>
      <c r="B524" s="131"/>
      <c r="D524" s="11"/>
      <c r="E524" s="45"/>
      <c r="F524" s="45"/>
      <c r="O524" s="335"/>
      <c r="P524" s="36"/>
      <c r="Q524" s="36"/>
      <c r="R524" s="36"/>
    </row>
    <row r="525">
      <c r="A525" s="25"/>
      <c r="B525" s="131"/>
      <c r="D525" s="11"/>
      <c r="E525" s="45"/>
      <c r="F525" s="45"/>
      <c r="O525" s="335"/>
      <c r="P525" s="36"/>
      <c r="Q525" s="36"/>
      <c r="R525" s="36"/>
    </row>
    <row r="526">
      <c r="A526" s="25"/>
      <c r="B526" s="131"/>
      <c r="D526" s="11"/>
      <c r="E526" s="45"/>
      <c r="F526" s="45"/>
      <c r="O526" s="335"/>
      <c r="P526" s="36"/>
      <c r="Q526" s="36"/>
      <c r="R526" s="36"/>
    </row>
    <row r="527">
      <c r="A527" s="25"/>
      <c r="B527" s="131"/>
      <c r="D527" s="11"/>
      <c r="E527" s="45"/>
      <c r="F527" s="45"/>
      <c r="O527" s="335"/>
      <c r="P527" s="36"/>
      <c r="Q527" s="36"/>
      <c r="R527" s="36"/>
    </row>
    <row r="528">
      <c r="A528" s="25"/>
      <c r="B528" s="131"/>
      <c r="D528" s="11"/>
      <c r="E528" s="45"/>
      <c r="F528" s="45"/>
      <c r="O528" s="335"/>
      <c r="P528" s="36"/>
      <c r="Q528" s="36"/>
      <c r="R528" s="36"/>
    </row>
    <row r="529">
      <c r="A529" s="25"/>
      <c r="B529" s="131"/>
      <c r="D529" s="11"/>
      <c r="E529" s="45"/>
      <c r="F529" s="45"/>
      <c r="O529" s="335"/>
      <c r="P529" s="36"/>
      <c r="Q529" s="36"/>
      <c r="R529" s="36"/>
    </row>
    <row r="530">
      <c r="A530" s="25"/>
      <c r="B530" s="131"/>
      <c r="D530" s="11"/>
      <c r="E530" s="45"/>
      <c r="F530" s="45"/>
      <c r="O530" s="335"/>
      <c r="P530" s="36"/>
      <c r="Q530" s="36"/>
      <c r="R530" s="36"/>
    </row>
    <row r="531">
      <c r="A531" s="25"/>
      <c r="B531" s="131"/>
      <c r="D531" s="11"/>
      <c r="E531" s="45"/>
      <c r="F531" s="45"/>
      <c r="O531" s="335"/>
      <c r="P531" s="36"/>
      <c r="Q531" s="36"/>
      <c r="R531" s="36"/>
    </row>
    <row r="532">
      <c r="A532" s="25"/>
      <c r="B532" s="131"/>
      <c r="D532" s="11"/>
      <c r="E532" s="45"/>
      <c r="F532" s="45"/>
      <c r="O532" s="335"/>
      <c r="P532" s="36"/>
      <c r="Q532" s="36"/>
      <c r="R532" s="36"/>
    </row>
    <row r="533">
      <c r="A533" s="25"/>
      <c r="B533" s="131"/>
      <c r="D533" s="11"/>
      <c r="E533" s="45"/>
      <c r="F533" s="45"/>
      <c r="O533" s="335"/>
      <c r="P533" s="36"/>
      <c r="Q533" s="36"/>
      <c r="R533" s="36"/>
    </row>
    <row r="534">
      <c r="A534" s="25"/>
      <c r="B534" s="131"/>
      <c r="D534" s="11"/>
      <c r="E534" s="45"/>
      <c r="F534" s="45"/>
      <c r="O534" s="335"/>
      <c r="P534" s="36"/>
      <c r="Q534" s="36"/>
      <c r="R534" s="36"/>
    </row>
    <row r="535">
      <c r="A535" s="25"/>
      <c r="B535" s="131"/>
      <c r="D535" s="11"/>
      <c r="E535" s="45"/>
      <c r="F535" s="45"/>
      <c r="O535" s="335"/>
      <c r="P535" s="36"/>
      <c r="Q535" s="36"/>
      <c r="R535" s="36"/>
    </row>
    <row r="536">
      <c r="A536" s="25"/>
      <c r="B536" s="131"/>
      <c r="D536" s="11"/>
      <c r="E536" s="45"/>
      <c r="F536" s="45"/>
      <c r="O536" s="335"/>
      <c r="P536" s="36"/>
      <c r="Q536" s="36"/>
      <c r="R536" s="36"/>
    </row>
    <row r="537">
      <c r="A537" s="25"/>
      <c r="B537" s="131"/>
      <c r="D537" s="11"/>
      <c r="E537" s="45"/>
      <c r="F537" s="45"/>
      <c r="O537" s="335"/>
      <c r="P537" s="36"/>
      <c r="Q537" s="36"/>
      <c r="R537" s="36"/>
    </row>
    <row r="538">
      <c r="A538" s="25"/>
      <c r="B538" s="131"/>
      <c r="D538" s="11"/>
      <c r="E538" s="45"/>
      <c r="F538" s="45"/>
      <c r="O538" s="335"/>
      <c r="P538" s="36"/>
      <c r="Q538" s="36"/>
      <c r="R538" s="36"/>
    </row>
    <row r="539">
      <c r="A539" s="25"/>
      <c r="B539" s="131"/>
      <c r="D539" s="11"/>
      <c r="E539" s="45"/>
      <c r="F539" s="45"/>
      <c r="O539" s="335"/>
      <c r="P539" s="36"/>
      <c r="Q539" s="36"/>
      <c r="R539" s="36"/>
    </row>
    <row r="540">
      <c r="A540" s="25"/>
      <c r="B540" s="131"/>
      <c r="D540" s="11"/>
      <c r="E540" s="45"/>
      <c r="F540" s="45"/>
      <c r="O540" s="335"/>
      <c r="P540" s="36"/>
      <c r="Q540" s="36"/>
      <c r="R540" s="36"/>
    </row>
    <row r="541">
      <c r="A541" s="25"/>
      <c r="B541" s="131"/>
      <c r="D541" s="11"/>
      <c r="E541" s="45"/>
      <c r="F541" s="45"/>
      <c r="O541" s="335"/>
      <c r="P541" s="36"/>
      <c r="Q541" s="36"/>
      <c r="R541" s="36"/>
    </row>
    <row r="542">
      <c r="A542" s="25"/>
      <c r="B542" s="131"/>
      <c r="D542" s="11"/>
      <c r="E542" s="45"/>
      <c r="F542" s="45"/>
      <c r="O542" s="335"/>
      <c r="P542" s="36"/>
      <c r="Q542" s="36"/>
      <c r="R542" s="36"/>
    </row>
    <row r="543">
      <c r="A543" s="25"/>
      <c r="B543" s="131"/>
      <c r="D543" s="11"/>
      <c r="E543" s="45"/>
      <c r="F543" s="45"/>
      <c r="O543" s="335"/>
      <c r="P543" s="36"/>
      <c r="Q543" s="36"/>
      <c r="R543" s="36"/>
    </row>
    <row r="544">
      <c r="A544" s="25"/>
      <c r="B544" s="131"/>
      <c r="D544" s="11"/>
      <c r="E544" s="45"/>
      <c r="F544" s="45"/>
      <c r="O544" s="335"/>
      <c r="P544" s="36"/>
      <c r="Q544" s="36"/>
      <c r="R544" s="36"/>
    </row>
    <row r="545">
      <c r="A545" s="25"/>
      <c r="B545" s="131"/>
      <c r="D545" s="11"/>
      <c r="E545" s="45"/>
      <c r="F545" s="45"/>
      <c r="O545" s="335"/>
      <c r="P545" s="36"/>
      <c r="Q545" s="36"/>
      <c r="R545" s="36"/>
    </row>
    <row r="546">
      <c r="A546" s="25"/>
      <c r="B546" s="131"/>
      <c r="D546" s="11"/>
      <c r="E546" s="45"/>
      <c r="F546" s="45"/>
      <c r="O546" s="335"/>
      <c r="P546" s="36"/>
      <c r="Q546" s="36"/>
      <c r="R546" s="36"/>
    </row>
    <row r="547">
      <c r="A547" s="25"/>
      <c r="B547" s="131"/>
      <c r="D547" s="11"/>
      <c r="E547" s="45"/>
      <c r="F547" s="45"/>
      <c r="O547" s="335"/>
      <c r="P547" s="36"/>
      <c r="Q547" s="36"/>
      <c r="R547" s="36"/>
    </row>
    <row r="548">
      <c r="A548" s="25"/>
      <c r="B548" s="131"/>
      <c r="D548" s="11"/>
      <c r="E548" s="45"/>
      <c r="F548" s="45"/>
      <c r="O548" s="335"/>
      <c r="P548" s="36"/>
      <c r="Q548" s="36"/>
      <c r="R548" s="36"/>
    </row>
    <row r="549">
      <c r="A549" s="25"/>
      <c r="B549" s="131"/>
      <c r="D549" s="11"/>
      <c r="E549" s="45"/>
      <c r="F549" s="45"/>
      <c r="O549" s="335"/>
      <c r="P549" s="36"/>
      <c r="Q549" s="36"/>
      <c r="R549" s="36"/>
    </row>
    <row r="550">
      <c r="A550" s="25"/>
      <c r="B550" s="131"/>
      <c r="D550" s="11"/>
      <c r="E550" s="45"/>
      <c r="F550" s="45"/>
      <c r="O550" s="335"/>
      <c r="P550" s="36"/>
      <c r="Q550" s="36"/>
      <c r="R550" s="36"/>
    </row>
    <row r="551">
      <c r="A551" s="25"/>
      <c r="B551" s="131"/>
      <c r="D551" s="11"/>
      <c r="E551" s="45"/>
      <c r="F551" s="45"/>
      <c r="O551" s="335"/>
      <c r="P551" s="36"/>
      <c r="Q551" s="36"/>
      <c r="R551" s="36"/>
    </row>
    <row r="552">
      <c r="A552" s="25"/>
      <c r="B552" s="131"/>
      <c r="D552" s="11"/>
      <c r="E552" s="45"/>
      <c r="F552" s="45"/>
      <c r="O552" s="335"/>
      <c r="P552" s="36"/>
      <c r="Q552" s="36"/>
      <c r="R552" s="36"/>
    </row>
    <row r="553">
      <c r="A553" s="25"/>
      <c r="B553" s="131"/>
      <c r="D553" s="11"/>
      <c r="E553" s="45"/>
      <c r="F553" s="45"/>
      <c r="O553" s="335"/>
      <c r="P553" s="36"/>
      <c r="Q553" s="36"/>
      <c r="R553" s="36"/>
    </row>
    <row r="554">
      <c r="A554" s="25"/>
      <c r="B554" s="131"/>
      <c r="D554" s="11"/>
      <c r="E554" s="45"/>
      <c r="F554" s="45"/>
      <c r="O554" s="335"/>
      <c r="P554" s="36"/>
      <c r="Q554" s="36"/>
      <c r="R554" s="36"/>
    </row>
    <row r="555">
      <c r="A555" s="25"/>
      <c r="B555" s="131"/>
      <c r="D555" s="11"/>
      <c r="E555" s="45"/>
      <c r="F555" s="45"/>
      <c r="O555" s="335"/>
      <c r="P555" s="36"/>
      <c r="Q555" s="36"/>
      <c r="R555" s="36"/>
    </row>
    <row r="556">
      <c r="A556" s="25"/>
      <c r="B556" s="131"/>
      <c r="D556" s="11"/>
      <c r="E556" s="45"/>
      <c r="F556" s="45"/>
      <c r="O556" s="335"/>
      <c r="P556" s="36"/>
      <c r="Q556" s="36"/>
      <c r="R556" s="36"/>
    </row>
    <row r="557">
      <c r="A557" s="25"/>
      <c r="B557" s="131"/>
      <c r="D557" s="11"/>
      <c r="E557" s="45"/>
      <c r="F557" s="45"/>
      <c r="O557" s="335"/>
      <c r="P557" s="36"/>
      <c r="Q557" s="36"/>
      <c r="R557" s="36"/>
    </row>
    <row r="558">
      <c r="A558" s="25"/>
      <c r="B558" s="131"/>
      <c r="D558" s="11"/>
      <c r="E558" s="45"/>
      <c r="F558" s="45"/>
      <c r="O558" s="335"/>
      <c r="P558" s="36"/>
      <c r="Q558" s="36"/>
      <c r="R558" s="36"/>
    </row>
    <row r="559">
      <c r="A559" s="25"/>
      <c r="B559" s="131"/>
      <c r="D559" s="11"/>
      <c r="E559" s="45"/>
      <c r="F559" s="45"/>
      <c r="O559" s="335"/>
      <c r="P559" s="36"/>
      <c r="Q559" s="36"/>
      <c r="R559" s="36"/>
    </row>
    <row r="560">
      <c r="A560" s="25"/>
      <c r="B560" s="131"/>
      <c r="D560" s="11"/>
      <c r="E560" s="45"/>
      <c r="F560" s="45"/>
      <c r="O560" s="335"/>
      <c r="P560" s="36"/>
      <c r="Q560" s="36"/>
      <c r="R560" s="36"/>
    </row>
    <row r="561">
      <c r="A561" s="25"/>
      <c r="B561" s="131"/>
      <c r="D561" s="11"/>
      <c r="E561" s="45"/>
      <c r="F561" s="45"/>
      <c r="O561" s="335"/>
      <c r="P561" s="36"/>
      <c r="Q561" s="36"/>
      <c r="R561" s="36"/>
    </row>
    <row r="562">
      <c r="A562" s="25"/>
      <c r="B562" s="131"/>
      <c r="D562" s="11"/>
      <c r="E562" s="45"/>
      <c r="F562" s="45"/>
      <c r="O562" s="335"/>
      <c r="P562" s="36"/>
      <c r="Q562" s="36"/>
      <c r="R562" s="36"/>
    </row>
    <row r="563">
      <c r="A563" s="25"/>
      <c r="B563" s="131"/>
      <c r="D563" s="11"/>
      <c r="E563" s="45"/>
      <c r="F563" s="45"/>
      <c r="O563" s="335"/>
      <c r="P563" s="36"/>
      <c r="Q563" s="36"/>
      <c r="R563" s="36"/>
    </row>
    <row r="564">
      <c r="A564" s="25"/>
      <c r="B564" s="131"/>
      <c r="D564" s="11"/>
      <c r="E564" s="45"/>
      <c r="F564" s="45"/>
      <c r="O564" s="335"/>
      <c r="P564" s="36"/>
      <c r="Q564" s="36"/>
      <c r="R564" s="36"/>
    </row>
    <row r="565">
      <c r="A565" s="25"/>
      <c r="B565" s="131"/>
      <c r="D565" s="11"/>
      <c r="E565" s="45"/>
      <c r="F565" s="45"/>
      <c r="O565" s="335"/>
      <c r="P565" s="36"/>
      <c r="Q565" s="36"/>
      <c r="R565" s="36"/>
    </row>
    <row r="566">
      <c r="A566" s="25"/>
      <c r="B566" s="131"/>
      <c r="D566" s="11"/>
      <c r="E566" s="45"/>
      <c r="F566" s="45"/>
      <c r="O566" s="335"/>
      <c r="P566" s="36"/>
      <c r="Q566" s="36"/>
      <c r="R566" s="36"/>
    </row>
    <row r="567">
      <c r="A567" s="25"/>
      <c r="B567" s="131"/>
      <c r="D567" s="11"/>
      <c r="E567" s="45"/>
      <c r="F567" s="45"/>
      <c r="O567" s="335"/>
      <c r="P567" s="36"/>
      <c r="Q567" s="36"/>
      <c r="R567" s="36"/>
    </row>
    <row r="568">
      <c r="A568" s="25"/>
      <c r="B568" s="131"/>
      <c r="D568" s="11"/>
      <c r="E568" s="45"/>
      <c r="F568" s="45"/>
      <c r="O568" s="335"/>
      <c r="P568" s="36"/>
      <c r="Q568" s="36"/>
      <c r="R568" s="36"/>
    </row>
    <row r="569">
      <c r="A569" s="25"/>
      <c r="B569" s="131"/>
      <c r="D569" s="11"/>
      <c r="E569" s="45"/>
      <c r="F569" s="45"/>
      <c r="O569" s="335"/>
      <c r="P569" s="36"/>
      <c r="Q569" s="36"/>
      <c r="R569" s="36"/>
    </row>
    <row r="570">
      <c r="A570" s="25"/>
      <c r="B570" s="131"/>
      <c r="D570" s="11"/>
      <c r="E570" s="45"/>
      <c r="F570" s="45"/>
      <c r="O570" s="335"/>
      <c r="P570" s="36"/>
      <c r="Q570" s="36"/>
      <c r="R570" s="36"/>
    </row>
    <row r="571">
      <c r="A571" s="25"/>
      <c r="B571" s="131"/>
      <c r="D571" s="11"/>
      <c r="E571" s="45"/>
      <c r="F571" s="45"/>
      <c r="O571" s="335"/>
      <c r="P571" s="36"/>
      <c r="Q571" s="36"/>
      <c r="R571" s="36"/>
    </row>
    <row r="572">
      <c r="A572" s="25"/>
      <c r="B572" s="131"/>
      <c r="D572" s="11"/>
      <c r="E572" s="45"/>
      <c r="F572" s="45"/>
      <c r="O572" s="335"/>
      <c r="P572" s="36"/>
      <c r="Q572" s="36"/>
      <c r="R572" s="36"/>
    </row>
    <row r="573">
      <c r="A573" s="25"/>
      <c r="B573" s="131"/>
      <c r="D573" s="11"/>
      <c r="E573" s="45"/>
      <c r="F573" s="45"/>
      <c r="O573" s="335"/>
      <c r="P573" s="36"/>
      <c r="Q573" s="36"/>
      <c r="R573" s="36"/>
    </row>
    <row r="574">
      <c r="A574" s="25"/>
      <c r="B574" s="131"/>
      <c r="D574" s="11"/>
      <c r="E574" s="45"/>
      <c r="F574" s="45"/>
      <c r="O574" s="335"/>
      <c r="P574" s="36"/>
      <c r="Q574" s="36"/>
      <c r="R574" s="36"/>
    </row>
    <row r="575">
      <c r="A575" s="25"/>
      <c r="B575" s="131"/>
      <c r="D575" s="11"/>
      <c r="E575" s="45"/>
      <c r="F575" s="45"/>
      <c r="O575" s="335"/>
      <c r="P575" s="36"/>
      <c r="Q575" s="36"/>
      <c r="R575" s="36"/>
    </row>
    <row r="576">
      <c r="A576" s="25"/>
      <c r="B576" s="131"/>
      <c r="D576" s="11"/>
      <c r="E576" s="45"/>
      <c r="F576" s="45"/>
      <c r="O576" s="335"/>
      <c r="P576" s="36"/>
      <c r="Q576" s="36"/>
      <c r="R576" s="36"/>
    </row>
    <row r="577">
      <c r="A577" s="25"/>
      <c r="B577" s="131"/>
      <c r="D577" s="11"/>
      <c r="E577" s="45"/>
      <c r="F577" s="45"/>
      <c r="O577" s="335"/>
      <c r="P577" s="36"/>
      <c r="Q577" s="36"/>
      <c r="R577" s="36"/>
    </row>
    <row r="578">
      <c r="A578" s="25"/>
      <c r="B578" s="131"/>
      <c r="D578" s="11"/>
      <c r="E578" s="45"/>
      <c r="F578" s="45"/>
      <c r="O578" s="335"/>
      <c r="P578" s="36"/>
      <c r="Q578" s="36"/>
      <c r="R578" s="36"/>
    </row>
    <row r="579">
      <c r="A579" s="25"/>
      <c r="B579" s="131"/>
      <c r="D579" s="11"/>
      <c r="E579" s="45"/>
      <c r="F579" s="45"/>
      <c r="O579" s="335"/>
      <c r="P579" s="36"/>
      <c r="Q579" s="36"/>
      <c r="R579" s="36"/>
    </row>
    <row r="580">
      <c r="A580" s="25"/>
      <c r="B580" s="131"/>
      <c r="D580" s="11"/>
      <c r="E580" s="45"/>
      <c r="F580" s="45"/>
      <c r="O580" s="335"/>
      <c r="P580" s="36"/>
      <c r="Q580" s="36"/>
      <c r="R580" s="36"/>
    </row>
    <row r="581">
      <c r="A581" s="25"/>
      <c r="B581" s="131"/>
      <c r="D581" s="11"/>
      <c r="E581" s="45"/>
      <c r="F581" s="45"/>
      <c r="O581" s="335"/>
      <c r="P581" s="36"/>
      <c r="Q581" s="36"/>
      <c r="R581" s="36"/>
    </row>
    <row r="582">
      <c r="A582" s="25"/>
      <c r="B582" s="131"/>
      <c r="D582" s="11"/>
      <c r="E582" s="45"/>
      <c r="F582" s="45"/>
      <c r="O582" s="335"/>
      <c r="P582" s="36"/>
      <c r="Q582" s="36"/>
      <c r="R582" s="36"/>
    </row>
    <row r="583">
      <c r="A583" s="25"/>
      <c r="B583" s="131"/>
      <c r="D583" s="11"/>
      <c r="E583" s="45"/>
      <c r="F583" s="45"/>
      <c r="O583" s="335"/>
      <c r="P583" s="36"/>
      <c r="Q583" s="36"/>
      <c r="R583" s="36"/>
    </row>
    <row r="584">
      <c r="A584" s="25"/>
      <c r="B584" s="131"/>
      <c r="D584" s="11"/>
      <c r="E584" s="45"/>
      <c r="F584" s="45"/>
      <c r="O584" s="335"/>
      <c r="P584" s="36"/>
      <c r="Q584" s="36"/>
      <c r="R584" s="36"/>
    </row>
    <row r="585">
      <c r="A585" s="25"/>
      <c r="B585" s="131"/>
      <c r="D585" s="11"/>
      <c r="E585" s="45"/>
      <c r="F585" s="45"/>
      <c r="O585" s="335"/>
      <c r="P585" s="36"/>
      <c r="Q585" s="36"/>
      <c r="R585" s="36"/>
    </row>
    <row r="586">
      <c r="A586" s="25"/>
      <c r="B586" s="131"/>
      <c r="D586" s="11"/>
      <c r="E586" s="45"/>
      <c r="F586" s="45"/>
      <c r="O586" s="335"/>
      <c r="P586" s="36"/>
      <c r="Q586" s="36"/>
      <c r="R586" s="36"/>
    </row>
    <row r="587">
      <c r="A587" s="25"/>
      <c r="B587" s="131"/>
      <c r="D587" s="11"/>
      <c r="E587" s="45"/>
      <c r="F587" s="45"/>
      <c r="O587" s="335"/>
      <c r="P587" s="36"/>
      <c r="Q587" s="36"/>
      <c r="R587" s="36"/>
    </row>
    <row r="588">
      <c r="A588" s="25"/>
      <c r="B588" s="131"/>
      <c r="D588" s="11"/>
      <c r="E588" s="45"/>
      <c r="F588" s="45"/>
      <c r="O588" s="335"/>
      <c r="P588" s="36"/>
      <c r="Q588" s="36"/>
      <c r="R588" s="36"/>
    </row>
    <row r="589">
      <c r="A589" s="25"/>
      <c r="B589" s="131"/>
      <c r="D589" s="11"/>
      <c r="E589" s="45"/>
      <c r="F589" s="45"/>
      <c r="O589" s="335"/>
      <c r="P589" s="36"/>
      <c r="Q589" s="36"/>
      <c r="R589" s="36"/>
    </row>
    <row r="590">
      <c r="A590" s="25"/>
      <c r="B590" s="131"/>
      <c r="D590" s="11"/>
      <c r="E590" s="45"/>
      <c r="F590" s="45"/>
      <c r="O590" s="335"/>
      <c r="P590" s="36"/>
      <c r="Q590" s="36"/>
      <c r="R590" s="36"/>
    </row>
    <row r="591">
      <c r="A591" s="25"/>
      <c r="B591" s="131"/>
      <c r="D591" s="11"/>
      <c r="E591" s="45"/>
      <c r="F591" s="45"/>
      <c r="O591" s="335"/>
      <c r="P591" s="36"/>
      <c r="Q591" s="36"/>
      <c r="R591" s="36"/>
    </row>
    <row r="592">
      <c r="A592" s="25"/>
      <c r="B592" s="131"/>
      <c r="D592" s="11"/>
      <c r="E592" s="45"/>
      <c r="F592" s="45"/>
      <c r="O592" s="335"/>
      <c r="P592" s="36"/>
      <c r="Q592" s="36"/>
      <c r="R592" s="36"/>
    </row>
    <row r="593">
      <c r="A593" s="25"/>
      <c r="B593" s="131"/>
      <c r="D593" s="11"/>
      <c r="E593" s="45"/>
      <c r="F593" s="45"/>
      <c r="O593" s="335"/>
      <c r="P593" s="36"/>
      <c r="Q593" s="36"/>
      <c r="R593" s="36"/>
    </row>
    <row r="594">
      <c r="A594" s="25"/>
      <c r="B594" s="131"/>
      <c r="D594" s="11"/>
      <c r="E594" s="45"/>
      <c r="F594" s="45"/>
      <c r="O594" s="335"/>
      <c r="P594" s="36"/>
      <c r="Q594" s="36"/>
      <c r="R594" s="36"/>
    </row>
    <row r="595">
      <c r="A595" s="25"/>
      <c r="B595" s="131"/>
      <c r="D595" s="11"/>
      <c r="E595" s="45"/>
      <c r="F595" s="45"/>
      <c r="O595" s="335"/>
      <c r="P595" s="36"/>
      <c r="Q595" s="36"/>
      <c r="R595" s="36"/>
    </row>
    <row r="596">
      <c r="A596" s="25"/>
      <c r="B596" s="131"/>
      <c r="D596" s="11"/>
      <c r="E596" s="45"/>
      <c r="F596" s="45"/>
      <c r="O596" s="335"/>
      <c r="P596" s="36"/>
      <c r="Q596" s="36"/>
      <c r="R596" s="36"/>
    </row>
    <row r="597">
      <c r="A597" s="25"/>
      <c r="B597" s="131"/>
      <c r="D597" s="11"/>
      <c r="E597" s="45"/>
      <c r="F597" s="45"/>
      <c r="O597" s="335"/>
      <c r="P597" s="36"/>
      <c r="Q597" s="36"/>
      <c r="R597" s="36"/>
    </row>
    <row r="598">
      <c r="A598" s="25"/>
      <c r="B598" s="131"/>
      <c r="D598" s="11"/>
      <c r="E598" s="45"/>
      <c r="F598" s="45"/>
      <c r="O598" s="335"/>
      <c r="P598" s="36"/>
      <c r="Q598" s="36"/>
      <c r="R598" s="36"/>
    </row>
    <row r="599">
      <c r="A599" s="25"/>
      <c r="B599" s="131"/>
      <c r="D599" s="11"/>
      <c r="E599" s="45"/>
      <c r="F599" s="45"/>
      <c r="O599" s="335"/>
      <c r="P599" s="36"/>
      <c r="Q599" s="36"/>
      <c r="R599" s="36"/>
    </row>
    <row r="600">
      <c r="A600" s="25"/>
      <c r="B600" s="131"/>
      <c r="D600" s="11"/>
      <c r="E600" s="45"/>
      <c r="F600" s="45"/>
      <c r="O600" s="335"/>
      <c r="P600" s="36"/>
      <c r="Q600" s="36"/>
      <c r="R600" s="36"/>
    </row>
    <row r="601">
      <c r="A601" s="25"/>
      <c r="B601" s="131"/>
      <c r="D601" s="11"/>
      <c r="E601" s="45"/>
      <c r="F601" s="45"/>
      <c r="O601" s="335"/>
      <c r="P601" s="36"/>
      <c r="Q601" s="36"/>
      <c r="R601" s="36"/>
    </row>
    <row r="602">
      <c r="A602" s="25"/>
      <c r="B602" s="131"/>
      <c r="D602" s="11"/>
      <c r="E602" s="45"/>
      <c r="F602" s="45"/>
      <c r="O602" s="335"/>
      <c r="P602" s="36"/>
      <c r="Q602" s="36"/>
      <c r="R602" s="36"/>
    </row>
    <row r="603">
      <c r="A603" s="25"/>
      <c r="B603" s="131"/>
      <c r="D603" s="11"/>
      <c r="E603" s="45"/>
      <c r="F603" s="45"/>
      <c r="O603" s="335"/>
      <c r="P603" s="36"/>
      <c r="Q603" s="36"/>
      <c r="R603" s="36"/>
    </row>
    <row r="604">
      <c r="A604" s="25"/>
      <c r="B604" s="131"/>
      <c r="D604" s="11"/>
      <c r="E604" s="45"/>
      <c r="F604" s="45"/>
      <c r="O604" s="335"/>
      <c r="P604" s="36"/>
      <c r="Q604" s="36"/>
      <c r="R604" s="36"/>
    </row>
    <row r="605">
      <c r="A605" s="25"/>
      <c r="B605" s="131"/>
      <c r="D605" s="11"/>
      <c r="E605" s="45"/>
      <c r="F605" s="45"/>
      <c r="O605" s="335"/>
      <c r="P605" s="36"/>
      <c r="Q605" s="36"/>
      <c r="R605" s="36"/>
    </row>
    <row r="606">
      <c r="A606" s="25"/>
      <c r="B606" s="131"/>
      <c r="D606" s="11"/>
      <c r="E606" s="45"/>
      <c r="F606" s="45"/>
      <c r="O606" s="335"/>
      <c r="P606" s="36"/>
      <c r="Q606" s="36"/>
      <c r="R606" s="36"/>
    </row>
    <row r="607">
      <c r="A607" s="25"/>
      <c r="B607" s="131"/>
      <c r="D607" s="11"/>
      <c r="E607" s="45"/>
      <c r="F607" s="45"/>
      <c r="O607" s="335"/>
      <c r="P607" s="36"/>
      <c r="Q607" s="36"/>
      <c r="R607" s="36"/>
    </row>
    <row r="608">
      <c r="A608" s="25"/>
      <c r="B608" s="131"/>
      <c r="D608" s="11"/>
      <c r="E608" s="45"/>
      <c r="F608" s="45"/>
      <c r="O608" s="335"/>
      <c r="P608" s="36"/>
      <c r="Q608" s="36"/>
      <c r="R608" s="36"/>
    </row>
    <row r="609">
      <c r="A609" s="25"/>
      <c r="B609" s="131"/>
      <c r="D609" s="11"/>
      <c r="E609" s="45"/>
      <c r="F609" s="45"/>
      <c r="O609" s="335"/>
      <c r="P609" s="36"/>
      <c r="Q609" s="36"/>
      <c r="R609" s="36"/>
    </row>
    <row r="610">
      <c r="A610" s="25"/>
      <c r="B610" s="131"/>
      <c r="D610" s="11"/>
      <c r="E610" s="45"/>
      <c r="F610" s="45"/>
      <c r="O610" s="335"/>
      <c r="P610" s="36"/>
      <c r="Q610" s="36"/>
      <c r="R610" s="36"/>
    </row>
    <row r="611">
      <c r="A611" s="25"/>
      <c r="B611" s="131"/>
      <c r="D611" s="11"/>
      <c r="E611" s="45"/>
      <c r="F611" s="45"/>
      <c r="O611" s="335"/>
      <c r="P611" s="36"/>
      <c r="Q611" s="36"/>
      <c r="R611" s="36"/>
    </row>
    <row r="612">
      <c r="A612" s="25"/>
      <c r="B612" s="131"/>
      <c r="D612" s="11"/>
      <c r="E612" s="45"/>
      <c r="F612" s="45"/>
      <c r="O612" s="335"/>
      <c r="P612" s="36"/>
      <c r="Q612" s="36"/>
      <c r="R612" s="36"/>
    </row>
    <row r="613">
      <c r="A613" s="25"/>
      <c r="B613" s="131"/>
      <c r="D613" s="11"/>
      <c r="E613" s="45"/>
      <c r="F613" s="45"/>
      <c r="O613" s="335"/>
      <c r="P613" s="36"/>
      <c r="Q613" s="36"/>
      <c r="R613" s="36"/>
    </row>
    <row r="614">
      <c r="A614" s="25"/>
      <c r="B614" s="131"/>
      <c r="D614" s="11"/>
      <c r="E614" s="45"/>
      <c r="F614" s="45"/>
      <c r="O614" s="335"/>
      <c r="P614" s="36"/>
      <c r="Q614" s="36"/>
      <c r="R614" s="36"/>
    </row>
    <row r="615">
      <c r="A615" s="25"/>
      <c r="B615" s="131"/>
      <c r="D615" s="11"/>
      <c r="E615" s="45"/>
      <c r="F615" s="45"/>
      <c r="O615" s="335"/>
      <c r="P615" s="36"/>
      <c r="Q615" s="36"/>
      <c r="R615" s="36"/>
    </row>
    <row r="616">
      <c r="A616" s="25"/>
      <c r="B616" s="131"/>
      <c r="D616" s="11"/>
      <c r="E616" s="45"/>
      <c r="F616" s="45"/>
      <c r="O616" s="335"/>
      <c r="P616" s="36"/>
      <c r="Q616" s="36"/>
      <c r="R616" s="36"/>
    </row>
    <row r="617">
      <c r="A617" s="25"/>
      <c r="B617" s="131"/>
      <c r="D617" s="11"/>
      <c r="E617" s="45"/>
      <c r="F617" s="45"/>
      <c r="O617" s="335"/>
      <c r="P617" s="36"/>
      <c r="Q617" s="36"/>
      <c r="R617" s="36"/>
    </row>
    <row r="618">
      <c r="A618" s="25"/>
      <c r="B618" s="131"/>
      <c r="D618" s="11"/>
      <c r="E618" s="45"/>
      <c r="F618" s="45"/>
      <c r="O618" s="335"/>
      <c r="P618" s="36"/>
      <c r="Q618" s="36"/>
      <c r="R618" s="36"/>
    </row>
    <row r="619">
      <c r="A619" s="25"/>
      <c r="B619" s="131"/>
      <c r="D619" s="11"/>
      <c r="E619" s="45"/>
      <c r="F619" s="45"/>
      <c r="O619" s="335"/>
      <c r="P619" s="36"/>
      <c r="Q619" s="36"/>
      <c r="R619" s="36"/>
    </row>
    <row r="620">
      <c r="A620" s="25"/>
      <c r="B620" s="131"/>
      <c r="D620" s="11"/>
      <c r="E620" s="45"/>
      <c r="F620" s="45"/>
      <c r="O620" s="335"/>
      <c r="P620" s="36"/>
      <c r="Q620" s="36"/>
      <c r="R620" s="36"/>
    </row>
    <row r="621">
      <c r="A621" s="25"/>
      <c r="B621" s="131"/>
      <c r="D621" s="11"/>
      <c r="E621" s="45"/>
      <c r="F621" s="45"/>
      <c r="O621" s="335"/>
      <c r="P621" s="36"/>
      <c r="Q621" s="36"/>
      <c r="R621" s="36"/>
    </row>
    <row r="622">
      <c r="A622" s="25"/>
      <c r="B622" s="131"/>
      <c r="D622" s="11"/>
      <c r="E622" s="45"/>
      <c r="F622" s="45"/>
      <c r="O622" s="335"/>
      <c r="P622" s="36"/>
      <c r="Q622" s="36"/>
      <c r="R622" s="36"/>
    </row>
    <row r="623">
      <c r="A623" s="25"/>
      <c r="B623" s="131"/>
      <c r="D623" s="11"/>
      <c r="E623" s="45"/>
      <c r="F623" s="45"/>
      <c r="O623" s="335"/>
      <c r="P623" s="36"/>
      <c r="Q623" s="36"/>
      <c r="R623" s="36"/>
    </row>
    <row r="624">
      <c r="A624" s="25"/>
      <c r="B624" s="131"/>
      <c r="D624" s="11"/>
      <c r="E624" s="45"/>
      <c r="F624" s="45"/>
      <c r="O624" s="335"/>
      <c r="P624" s="36"/>
      <c r="Q624" s="36"/>
      <c r="R624" s="36"/>
    </row>
    <row r="625">
      <c r="A625" s="25"/>
      <c r="B625" s="131"/>
      <c r="D625" s="11"/>
      <c r="E625" s="45"/>
      <c r="F625" s="45"/>
      <c r="O625" s="335"/>
      <c r="P625" s="36"/>
      <c r="Q625" s="36"/>
      <c r="R625" s="36"/>
    </row>
    <row r="626">
      <c r="A626" s="25"/>
      <c r="B626" s="131"/>
      <c r="D626" s="11"/>
      <c r="E626" s="45"/>
      <c r="F626" s="45"/>
      <c r="O626" s="335"/>
      <c r="P626" s="36"/>
      <c r="Q626" s="36"/>
      <c r="R626" s="36"/>
    </row>
    <row r="627">
      <c r="A627" s="25"/>
      <c r="B627" s="131"/>
      <c r="D627" s="11"/>
      <c r="E627" s="45"/>
      <c r="F627" s="45"/>
      <c r="O627" s="335"/>
      <c r="P627" s="36"/>
      <c r="Q627" s="36"/>
      <c r="R627" s="36"/>
    </row>
    <row r="628">
      <c r="A628" s="25"/>
      <c r="B628" s="131"/>
      <c r="D628" s="11"/>
      <c r="E628" s="45"/>
      <c r="F628" s="45"/>
      <c r="O628" s="335"/>
      <c r="P628" s="36"/>
      <c r="Q628" s="36"/>
      <c r="R628" s="36"/>
    </row>
    <row r="629">
      <c r="A629" s="25"/>
      <c r="B629" s="131"/>
      <c r="D629" s="11"/>
      <c r="E629" s="45"/>
      <c r="F629" s="45"/>
      <c r="O629" s="335"/>
      <c r="P629" s="36"/>
      <c r="Q629" s="36"/>
      <c r="R629" s="36"/>
    </row>
    <row r="630">
      <c r="A630" s="25"/>
      <c r="B630" s="131"/>
      <c r="D630" s="11"/>
      <c r="E630" s="45"/>
      <c r="F630" s="45"/>
      <c r="O630" s="335"/>
      <c r="P630" s="36"/>
      <c r="Q630" s="36"/>
      <c r="R630" s="36"/>
    </row>
    <row r="631">
      <c r="A631" s="25"/>
      <c r="B631" s="131"/>
      <c r="D631" s="11"/>
      <c r="E631" s="45"/>
      <c r="F631" s="45"/>
      <c r="O631" s="335"/>
      <c r="P631" s="36"/>
      <c r="Q631" s="36"/>
      <c r="R631" s="36"/>
    </row>
    <row r="632">
      <c r="A632" s="25"/>
      <c r="B632" s="131"/>
      <c r="D632" s="11"/>
      <c r="E632" s="45"/>
      <c r="F632" s="45"/>
      <c r="O632" s="335"/>
      <c r="P632" s="36"/>
      <c r="Q632" s="36"/>
      <c r="R632" s="36"/>
    </row>
    <row r="633">
      <c r="A633" s="25"/>
      <c r="B633" s="131"/>
      <c r="D633" s="11"/>
      <c r="E633" s="45"/>
      <c r="F633" s="45"/>
      <c r="O633" s="335"/>
      <c r="P633" s="36"/>
      <c r="Q633" s="36"/>
      <c r="R633" s="36"/>
    </row>
    <row r="634">
      <c r="A634" s="25"/>
      <c r="B634" s="131"/>
      <c r="D634" s="11"/>
      <c r="E634" s="45"/>
      <c r="F634" s="45"/>
      <c r="O634" s="335"/>
      <c r="P634" s="36"/>
      <c r="Q634" s="36"/>
      <c r="R634" s="36"/>
    </row>
    <row r="635">
      <c r="A635" s="25"/>
      <c r="B635" s="131"/>
      <c r="D635" s="11"/>
      <c r="E635" s="45"/>
      <c r="F635" s="45"/>
      <c r="O635" s="335"/>
      <c r="P635" s="36"/>
      <c r="Q635" s="36"/>
      <c r="R635" s="36"/>
    </row>
    <row r="636">
      <c r="A636" s="25"/>
      <c r="B636" s="131"/>
      <c r="D636" s="11"/>
      <c r="E636" s="45"/>
      <c r="F636" s="45"/>
      <c r="O636" s="335"/>
      <c r="P636" s="36"/>
      <c r="Q636" s="36"/>
      <c r="R636" s="36"/>
    </row>
    <row r="637">
      <c r="A637" s="25"/>
      <c r="B637" s="131"/>
      <c r="D637" s="11"/>
      <c r="E637" s="45"/>
      <c r="F637" s="45"/>
      <c r="O637" s="335"/>
      <c r="P637" s="36"/>
      <c r="Q637" s="36"/>
      <c r="R637" s="36"/>
    </row>
    <row r="638">
      <c r="A638" s="25"/>
      <c r="B638" s="131"/>
      <c r="D638" s="11"/>
      <c r="E638" s="45"/>
      <c r="F638" s="45"/>
      <c r="O638" s="335"/>
      <c r="P638" s="36"/>
      <c r="Q638" s="36"/>
      <c r="R638" s="36"/>
    </row>
    <row r="639">
      <c r="A639" s="25"/>
      <c r="B639" s="131"/>
      <c r="D639" s="11"/>
      <c r="E639" s="45"/>
      <c r="F639" s="45"/>
      <c r="O639" s="335"/>
      <c r="P639" s="36"/>
      <c r="Q639" s="36"/>
      <c r="R639" s="36"/>
    </row>
    <row r="640">
      <c r="A640" s="25"/>
      <c r="B640" s="131"/>
      <c r="D640" s="11"/>
      <c r="E640" s="45"/>
      <c r="F640" s="45"/>
      <c r="O640" s="335"/>
      <c r="P640" s="36"/>
      <c r="Q640" s="36"/>
      <c r="R640" s="36"/>
    </row>
    <row r="641">
      <c r="A641" s="25"/>
      <c r="B641" s="131"/>
      <c r="D641" s="11"/>
      <c r="E641" s="45"/>
      <c r="F641" s="45"/>
      <c r="O641" s="335"/>
      <c r="P641" s="36"/>
      <c r="Q641" s="36"/>
      <c r="R641" s="36"/>
    </row>
    <row r="642">
      <c r="A642" s="25"/>
      <c r="B642" s="131"/>
      <c r="D642" s="11"/>
      <c r="E642" s="45"/>
      <c r="F642" s="45"/>
      <c r="O642" s="335"/>
      <c r="P642" s="36"/>
      <c r="Q642" s="36"/>
      <c r="R642" s="36"/>
    </row>
    <row r="643">
      <c r="A643" s="25"/>
      <c r="B643" s="131"/>
      <c r="D643" s="11"/>
      <c r="E643" s="45"/>
      <c r="F643" s="45"/>
      <c r="O643" s="335"/>
      <c r="P643" s="36"/>
      <c r="Q643" s="36"/>
      <c r="R643" s="36"/>
    </row>
    <row r="644">
      <c r="A644" s="25"/>
      <c r="B644" s="131"/>
      <c r="D644" s="11"/>
      <c r="E644" s="45"/>
      <c r="F644" s="45"/>
      <c r="O644" s="335"/>
      <c r="P644" s="36"/>
      <c r="Q644" s="36"/>
      <c r="R644" s="36"/>
    </row>
    <row r="645">
      <c r="A645" s="25"/>
      <c r="B645" s="131"/>
      <c r="D645" s="11"/>
      <c r="E645" s="45"/>
      <c r="F645" s="45"/>
      <c r="O645" s="335"/>
      <c r="P645" s="36"/>
      <c r="Q645" s="36"/>
      <c r="R645" s="36"/>
    </row>
    <row r="646">
      <c r="A646" s="25"/>
      <c r="B646" s="131"/>
      <c r="D646" s="11"/>
      <c r="E646" s="45"/>
      <c r="F646" s="45"/>
      <c r="O646" s="335"/>
      <c r="P646" s="36"/>
      <c r="Q646" s="36"/>
      <c r="R646" s="36"/>
    </row>
    <row r="647">
      <c r="A647" s="25"/>
      <c r="B647" s="131"/>
      <c r="D647" s="11"/>
      <c r="E647" s="45"/>
      <c r="F647" s="45"/>
      <c r="O647" s="335"/>
      <c r="P647" s="36"/>
      <c r="Q647" s="36"/>
      <c r="R647" s="36"/>
    </row>
    <row r="648">
      <c r="A648" s="25"/>
      <c r="B648" s="131"/>
      <c r="D648" s="11"/>
      <c r="E648" s="45"/>
      <c r="F648" s="45"/>
      <c r="O648" s="335"/>
      <c r="P648" s="36"/>
      <c r="Q648" s="36"/>
      <c r="R648" s="36"/>
    </row>
    <row r="649">
      <c r="A649" s="25"/>
      <c r="B649" s="131"/>
      <c r="D649" s="11"/>
      <c r="E649" s="45"/>
      <c r="F649" s="45"/>
      <c r="O649" s="335"/>
      <c r="P649" s="36"/>
      <c r="Q649" s="36"/>
      <c r="R649" s="36"/>
    </row>
    <row r="650">
      <c r="A650" s="25"/>
      <c r="B650" s="131"/>
      <c r="D650" s="11"/>
      <c r="E650" s="45"/>
      <c r="F650" s="45"/>
      <c r="O650" s="335"/>
      <c r="P650" s="36"/>
      <c r="Q650" s="36"/>
      <c r="R650" s="36"/>
    </row>
    <row r="651">
      <c r="A651" s="25"/>
      <c r="B651" s="131"/>
      <c r="D651" s="11"/>
      <c r="E651" s="45"/>
      <c r="F651" s="45"/>
      <c r="O651" s="335"/>
      <c r="P651" s="36"/>
      <c r="Q651" s="36"/>
      <c r="R651" s="36"/>
    </row>
    <row r="652">
      <c r="A652" s="25"/>
      <c r="B652" s="131"/>
      <c r="D652" s="11"/>
      <c r="E652" s="45"/>
      <c r="F652" s="45"/>
      <c r="O652" s="335"/>
      <c r="P652" s="36"/>
      <c r="Q652" s="36"/>
      <c r="R652" s="36"/>
    </row>
    <row r="653">
      <c r="A653" s="25"/>
      <c r="B653" s="131"/>
      <c r="D653" s="11"/>
      <c r="E653" s="45"/>
      <c r="F653" s="45"/>
      <c r="O653" s="335"/>
      <c r="P653" s="36"/>
      <c r="Q653" s="36"/>
      <c r="R653" s="36"/>
    </row>
    <row r="654">
      <c r="A654" s="25"/>
      <c r="B654" s="131"/>
      <c r="D654" s="11"/>
      <c r="E654" s="45"/>
      <c r="F654" s="45"/>
      <c r="O654" s="335"/>
      <c r="P654" s="36"/>
      <c r="Q654" s="36"/>
      <c r="R654" s="36"/>
    </row>
    <row r="655">
      <c r="A655" s="25"/>
      <c r="B655" s="131"/>
      <c r="D655" s="11"/>
      <c r="E655" s="45"/>
      <c r="F655" s="45"/>
      <c r="O655" s="335"/>
      <c r="P655" s="36"/>
      <c r="Q655" s="36"/>
      <c r="R655" s="36"/>
    </row>
    <row r="656">
      <c r="A656" s="25"/>
      <c r="B656" s="131"/>
      <c r="D656" s="11"/>
      <c r="E656" s="45"/>
      <c r="F656" s="45"/>
      <c r="O656" s="335"/>
      <c r="P656" s="36"/>
      <c r="Q656" s="36"/>
      <c r="R656" s="36"/>
    </row>
    <row r="657">
      <c r="A657" s="25"/>
      <c r="B657" s="131"/>
      <c r="D657" s="11"/>
      <c r="E657" s="45"/>
      <c r="F657" s="45"/>
      <c r="O657" s="335"/>
      <c r="P657" s="36"/>
      <c r="Q657" s="36"/>
      <c r="R657" s="36"/>
    </row>
    <row r="658">
      <c r="A658" s="25"/>
      <c r="B658" s="131"/>
      <c r="D658" s="11"/>
      <c r="E658" s="45"/>
      <c r="F658" s="45"/>
      <c r="O658" s="335"/>
      <c r="P658" s="36"/>
      <c r="Q658" s="36"/>
      <c r="R658" s="36"/>
    </row>
    <row r="659">
      <c r="A659" s="25"/>
      <c r="B659" s="131"/>
      <c r="D659" s="11"/>
      <c r="E659" s="45"/>
      <c r="F659" s="45"/>
      <c r="O659" s="335"/>
      <c r="P659" s="36"/>
      <c r="Q659" s="36"/>
      <c r="R659" s="36"/>
    </row>
    <row r="660">
      <c r="A660" s="25"/>
      <c r="B660" s="131"/>
      <c r="D660" s="11"/>
      <c r="E660" s="45"/>
      <c r="F660" s="45"/>
      <c r="O660" s="335"/>
      <c r="P660" s="36"/>
      <c r="Q660" s="36"/>
      <c r="R660" s="36"/>
    </row>
    <row r="661">
      <c r="A661" s="25"/>
      <c r="B661" s="131"/>
      <c r="D661" s="11"/>
      <c r="E661" s="45"/>
      <c r="F661" s="45"/>
      <c r="O661" s="335"/>
      <c r="P661" s="36"/>
      <c r="Q661" s="36"/>
      <c r="R661" s="36"/>
    </row>
    <row r="662">
      <c r="A662" s="25"/>
      <c r="B662" s="131"/>
      <c r="D662" s="11"/>
      <c r="E662" s="45"/>
      <c r="F662" s="45"/>
      <c r="O662" s="335"/>
      <c r="P662" s="36"/>
      <c r="Q662" s="36"/>
      <c r="R662" s="36"/>
    </row>
    <row r="663">
      <c r="A663" s="25"/>
      <c r="B663" s="131"/>
      <c r="D663" s="11"/>
      <c r="E663" s="45"/>
      <c r="F663" s="45"/>
      <c r="O663" s="335"/>
      <c r="P663" s="36"/>
      <c r="Q663" s="36"/>
      <c r="R663" s="36"/>
    </row>
    <row r="664">
      <c r="A664" s="25"/>
      <c r="B664" s="131"/>
      <c r="D664" s="11"/>
      <c r="E664" s="45"/>
      <c r="F664" s="45"/>
      <c r="O664" s="335"/>
      <c r="P664" s="36"/>
      <c r="Q664" s="36"/>
      <c r="R664" s="36"/>
    </row>
    <row r="665">
      <c r="A665" s="25"/>
      <c r="B665" s="131"/>
      <c r="D665" s="11"/>
      <c r="E665" s="45"/>
      <c r="F665" s="45"/>
      <c r="O665" s="335"/>
      <c r="P665" s="36"/>
      <c r="Q665" s="36"/>
      <c r="R665" s="36"/>
    </row>
    <row r="666">
      <c r="A666" s="25"/>
      <c r="B666" s="131"/>
      <c r="D666" s="11"/>
      <c r="E666" s="45"/>
      <c r="F666" s="45"/>
      <c r="O666" s="335"/>
      <c r="P666" s="36"/>
      <c r="Q666" s="36"/>
      <c r="R666" s="36"/>
    </row>
    <row r="667">
      <c r="A667" s="25"/>
      <c r="B667" s="131"/>
      <c r="D667" s="11"/>
      <c r="E667" s="45"/>
      <c r="F667" s="45"/>
      <c r="O667" s="335"/>
      <c r="P667" s="36"/>
      <c r="Q667" s="36"/>
      <c r="R667" s="36"/>
    </row>
    <row r="668">
      <c r="A668" s="25"/>
      <c r="B668" s="131"/>
      <c r="D668" s="11"/>
      <c r="E668" s="45"/>
      <c r="F668" s="45"/>
      <c r="O668" s="335"/>
      <c r="P668" s="36"/>
      <c r="Q668" s="36"/>
      <c r="R668" s="36"/>
    </row>
    <row r="669">
      <c r="A669" s="25"/>
      <c r="B669" s="131"/>
      <c r="D669" s="11"/>
      <c r="E669" s="45"/>
      <c r="F669" s="45"/>
      <c r="O669" s="335"/>
      <c r="P669" s="36"/>
      <c r="Q669" s="36"/>
      <c r="R669" s="36"/>
    </row>
    <row r="670">
      <c r="A670" s="25"/>
      <c r="B670" s="131"/>
      <c r="D670" s="11"/>
      <c r="E670" s="45"/>
      <c r="F670" s="45"/>
      <c r="O670" s="335"/>
      <c r="P670" s="36"/>
      <c r="Q670" s="36"/>
      <c r="R670" s="36"/>
    </row>
    <row r="671">
      <c r="A671" s="25"/>
      <c r="B671" s="131"/>
      <c r="D671" s="11"/>
      <c r="E671" s="45"/>
      <c r="F671" s="45"/>
      <c r="O671" s="335"/>
      <c r="P671" s="36"/>
      <c r="Q671" s="36"/>
      <c r="R671" s="36"/>
    </row>
    <row r="672">
      <c r="A672" s="25"/>
      <c r="B672" s="131"/>
      <c r="D672" s="11"/>
      <c r="E672" s="45"/>
      <c r="F672" s="45"/>
      <c r="O672" s="335"/>
      <c r="P672" s="36"/>
      <c r="Q672" s="36"/>
      <c r="R672" s="36"/>
    </row>
    <row r="673">
      <c r="A673" s="25"/>
      <c r="B673" s="131"/>
      <c r="D673" s="11"/>
      <c r="E673" s="45"/>
      <c r="F673" s="45"/>
      <c r="O673" s="335"/>
      <c r="P673" s="36"/>
      <c r="Q673" s="36"/>
      <c r="R673" s="36"/>
    </row>
    <row r="674">
      <c r="A674" s="25"/>
      <c r="B674" s="131"/>
      <c r="D674" s="11"/>
      <c r="E674" s="45"/>
      <c r="F674" s="45"/>
      <c r="O674" s="335"/>
      <c r="P674" s="36"/>
      <c r="Q674" s="36"/>
      <c r="R674" s="36"/>
    </row>
    <row r="675">
      <c r="A675" s="25"/>
      <c r="B675" s="131"/>
      <c r="D675" s="11"/>
      <c r="E675" s="45"/>
      <c r="F675" s="45"/>
      <c r="O675" s="335"/>
      <c r="P675" s="36"/>
      <c r="Q675" s="36"/>
      <c r="R675" s="36"/>
    </row>
    <row r="676">
      <c r="A676" s="25"/>
      <c r="B676" s="131"/>
      <c r="D676" s="11"/>
      <c r="E676" s="45"/>
      <c r="F676" s="45"/>
      <c r="O676" s="335"/>
      <c r="P676" s="36"/>
      <c r="Q676" s="36"/>
      <c r="R676" s="36"/>
    </row>
    <row r="677">
      <c r="A677" s="25"/>
      <c r="B677" s="131"/>
      <c r="D677" s="11"/>
      <c r="E677" s="45"/>
      <c r="F677" s="45"/>
      <c r="O677" s="335"/>
      <c r="P677" s="36"/>
      <c r="Q677" s="36"/>
      <c r="R677" s="36"/>
    </row>
    <row r="678">
      <c r="A678" s="25"/>
      <c r="B678" s="131"/>
      <c r="D678" s="11"/>
      <c r="E678" s="45"/>
      <c r="F678" s="45"/>
      <c r="O678" s="335"/>
      <c r="P678" s="36"/>
      <c r="Q678" s="36"/>
      <c r="R678" s="36"/>
    </row>
    <row r="679">
      <c r="A679" s="25"/>
      <c r="B679" s="131"/>
      <c r="D679" s="11"/>
      <c r="E679" s="45"/>
      <c r="F679" s="45"/>
      <c r="O679" s="335"/>
      <c r="P679" s="36"/>
      <c r="Q679" s="36"/>
      <c r="R679" s="36"/>
    </row>
    <row r="680">
      <c r="A680" s="25"/>
      <c r="B680" s="131"/>
      <c r="D680" s="11"/>
      <c r="E680" s="45"/>
      <c r="F680" s="45"/>
      <c r="O680" s="335"/>
      <c r="P680" s="36"/>
      <c r="Q680" s="36"/>
      <c r="R680" s="36"/>
    </row>
    <row r="681">
      <c r="A681" s="25"/>
      <c r="B681" s="131"/>
      <c r="D681" s="11"/>
      <c r="E681" s="45"/>
      <c r="F681" s="45"/>
      <c r="O681" s="335"/>
      <c r="P681" s="36"/>
      <c r="Q681" s="36"/>
      <c r="R681" s="36"/>
    </row>
    <row r="682">
      <c r="A682" s="25"/>
      <c r="B682" s="131"/>
      <c r="D682" s="11"/>
      <c r="E682" s="45"/>
      <c r="F682" s="45"/>
      <c r="O682" s="335"/>
      <c r="P682" s="36"/>
      <c r="Q682" s="36"/>
      <c r="R682" s="36"/>
    </row>
    <row r="683">
      <c r="A683" s="25"/>
      <c r="B683" s="131"/>
      <c r="D683" s="11"/>
      <c r="E683" s="45"/>
      <c r="F683" s="45"/>
      <c r="O683" s="335"/>
      <c r="P683" s="36"/>
      <c r="Q683" s="36"/>
      <c r="R683" s="36"/>
    </row>
    <row r="684">
      <c r="A684" s="25"/>
      <c r="B684" s="131"/>
      <c r="D684" s="11"/>
      <c r="E684" s="45"/>
      <c r="F684" s="45"/>
      <c r="O684" s="335"/>
      <c r="P684" s="36"/>
      <c r="Q684" s="36"/>
      <c r="R684" s="36"/>
    </row>
    <row r="685">
      <c r="A685" s="25"/>
      <c r="B685" s="131"/>
      <c r="D685" s="11"/>
      <c r="E685" s="45"/>
      <c r="F685" s="45"/>
      <c r="O685" s="335"/>
      <c r="P685" s="36"/>
      <c r="Q685" s="36"/>
      <c r="R685" s="36"/>
    </row>
    <row r="686">
      <c r="A686" s="25"/>
      <c r="B686" s="131"/>
      <c r="D686" s="11"/>
      <c r="E686" s="45"/>
      <c r="F686" s="45"/>
      <c r="O686" s="335"/>
      <c r="P686" s="36"/>
      <c r="Q686" s="36"/>
      <c r="R686" s="36"/>
    </row>
    <row r="687">
      <c r="A687" s="25"/>
      <c r="B687" s="131"/>
      <c r="D687" s="11"/>
      <c r="E687" s="45"/>
      <c r="F687" s="45"/>
      <c r="O687" s="335"/>
      <c r="P687" s="36"/>
      <c r="Q687" s="36"/>
      <c r="R687" s="36"/>
    </row>
    <row r="688">
      <c r="A688" s="25"/>
      <c r="B688" s="131"/>
      <c r="D688" s="11"/>
      <c r="E688" s="45"/>
      <c r="F688" s="45"/>
      <c r="O688" s="335"/>
      <c r="P688" s="36"/>
      <c r="Q688" s="36"/>
      <c r="R688" s="36"/>
    </row>
    <row r="689">
      <c r="A689" s="25"/>
      <c r="B689" s="131"/>
      <c r="D689" s="11"/>
      <c r="E689" s="45"/>
      <c r="F689" s="45"/>
      <c r="O689" s="335"/>
      <c r="P689" s="36"/>
      <c r="Q689" s="36"/>
      <c r="R689" s="36"/>
    </row>
    <row r="690">
      <c r="A690" s="25"/>
      <c r="B690" s="131"/>
      <c r="D690" s="11"/>
      <c r="E690" s="45"/>
      <c r="F690" s="45"/>
      <c r="O690" s="335"/>
      <c r="P690" s="36"/>
      <c r="Q690" s="36"/>
      <c r="R690" s="36"/>
    </row>
    <row r="691">
      <c r="A691" s="25"/>
      <c r="B691" s="131"/>
      <c r="D691" s="11"/>
      <c r="E691" s="45"/>
      <c r="F691" s="45"/>
      <c r="O691" s="335"/>
      <c r="P691" s="36"/>
      <c r="Q691" s="36"/>
      <c r="R691" s="36"/>
    </row>
    <row r="692">
      <c r="A692" s="25"/>
      <c r="B692" s="131"/>
      <c r="D692" s="11"/>
      <c r="E692" s="45"/>
      <c r="F692" s="45"/>
      <c r="O692" s="335"/>
      <c r="P692" s="36"/>
      <c r="Q692" s="36"/>
      <c r="R692" s="36"/>
    </row>
    <row r="693">
      <c r="A693" s="25"/>
      <c r="B693" s="131"/>
      <c r="D693" s="11"/>
      <c r="E693" s="45"/>
      <c r="F693" s="45"/>
      <c r="O693" s="335"/>
      <c r="P693" s="36"/>
      <c r="Q693" s="36"/>
      <c r="R693" s="36"/>
    </row>
    <row r="694">
      <c r="A694" s="25"/>
      <c r="B694" s="131"/>
      <c r="D694" s="11"/>
      <c r="E694" s="45"/>
      <c r="F694" s="45"/>
      <c r="O694" s="335"/>
      <c r="P694" s="36"/>
      <c r="Q694" s="36"/>
      <c r="R694" s="36"/>
    </row>
    <row r="695">
      <c r="A695" s="25"/>
      <c r="B695" s="131"/>
      <c r="D695" s="11"/>
      <c r="E695" s="45"/>
      <c r="F695" s="45"/>
      <c r="O695" s="335"/>
      <c r="P695" s="36"/>
      <c r="Q695" s="36"/>
      <c r="R695" s="36"/>
    </row>
    <row r="696">
      <c r="A696" s="25"/>
      <c r="B696" s="131"/>
      <c r="D696" s="11"/>
      <c r="E696" s="45"/>
      <c r="F696" s="45"/>
      <c r="O696" s="335"/>
      <c r="P696" s="36"/>
      <c r="Q696" s="36"/>
      <c r="R696" s="36"/>
    </row>
    <row r="697">
      <c r="A697" s="25"/>
      <c r="B697" s="131"/>
      <c r="D697" s="11"/>
      <c r="E697" s="45"/>
      <c r="F697" s="45"/>
      <c r="O697" s="335"/>
      <c r="P697" s="36"/>
      <c r="Q697" s="36"/>
      <c r="R697" s="36"/>
    </row>
    <row r="698">
      <c r="A698" s="25"/>
      <c r="B698" s="131"/>
      <c r="D698" s="11"/>
      <c r="E698" s="45"/>
      <c r="F698" s="45"/>
      <c r="O698" s="335"/>
      <c r="P698" s="36"/>
      <c r="Q698" s="36"/>
      <c r="R698" s="36"/>
    </row>
    <row r="699">
      <c r="A699" s="25"/>
      <c r="B699" s="131"/>
      <c r="D699" s="11"/>
      <c r="E699" s="45"/>
      <c r="F699" s="45"/>
      <c r="O699" s="335"/>
      <c r="P699" s="36"/>
      <c r="Q699" s="36"/>
      <c r="R699" s="36"/>
    </row>
    <row r="700">
      <c r="A700" s="25"/>
      <c r="B700" s="131"/>
      <c r="D700" s="11"/>
      <c r="E700" s="45"/>
      <c r="F700" s="45"/>
      <c r="O700" s="335"/>
      <c r="P700" s="36"/>
      <c r="Q700" s="36"/>
      <c r="R700" s="36"/>
    </row>
    <row r="701">
      <c r="A701" s="25"/>
      <c r="B701" s="131"/>
      <c r="D701" s="11"/>
      <c r="E701" s="45"/>
      <c r="F701" s="45"/>
      <c r="O701" s="335"/>
      <c r="P701" s="36"/>
      <c r="Q701" s="36"/>
      <c r="R701" s="36"/>
    </row>
    <row r="702">
      <c r="A702" s="25"/>
      <c r="B702" s="131"/>
      <c r="D702" s="11"/>
      <c r="E702" s="45"/>
      <c r="F702" s="45"/>
      <c r="O702" s="335"/>
      <c r="P702" s="36"/>
      <c r="Q702" s="36"/>
      <c r="R702" s="36"/>
    </row>
    <row r="703">
      <c r="A703" s="25"/>
      <c r="B703" s="131"/>
      <c r="D703" s="11"/>
      <c r="E703" s="45"/>
      <c r="F703" s="45"/>
      <c r="O703" s="335"/>
      <c r="P703" s="36"/>
      <c r="Q703" s="36"/>
      <c r="R703" s="36"/>
    </row>
    <row r="704">
      <c r="A704" s="25"/>
      <c r="B704" s="131"/>
      <c r="D704" s="11"/>
      <c r="E704" s="45"/>
      <c r="F704" s="45"/>
      <c r="O704" s="335"/>
      <c r="P704" s="36"/>
      <c r="Q704" s="36"/>
      <c r="R704" s="36"/>
    </row>
    <row r="705">
      <c r="A705" s="25"/>
      <c r="B705" s="131"/>
      <c r="D705" s="11"/>
      <c r="E705" s="45"/>
      <c r="F705" s="45"/>
      <c r="O705" s="335"/>
      <c r="P705" s="36"/>
      <c r="Q705" s="36"/>
      <c r="R705" s="36"/>
    </row>
    <row r="706">
      <c r="A706" s="25"/>
      <c r="B706" s="131"/>
      <c r="D706" s="11"/>
      <c r="E706" s="45"/>
      <c r="F706" s="45"/>
      <c r="O706" s="335"/>
      <c r="P706" s="36"/>
      <c r="Q706" s="36"/>
      <c r="R706" s="36"/>
    </row>
    <row r="707">
      <c r="A707" s="25"/>
      <c r="B707" s="131"/>
      <c r="D707" s="11"/>
      <c r="E707" s="45"/>
      <c r="F707" s="45"/>
      <c r="O707" s="335"/>
      <c r="P707" s="36"/>
      <c r="Q707" s="36"/>
      <c r="R707" s="36"/>
    </row>
    <row r="708">
      <c r="A708" s="25"/>
      <c r="B708" s="131"/>
      <c r="D708" s="11"/>
      <c r="E708" s="45"/>
      <c r="F708" s="45"/>
      <c r="O708" s="335"/>
      <c r="P708" s="36"/>
      <c r="Q708" s="36"/>
      <c r="R708" s="36"/>
    </row>
    <row r="709">
      <c r="A709" s="25"/>
      <c r="B709" s="131"/>
      <c r="D709" s="11"/>
      <c r="E709" s="45"/>
      <c r="F709" s="45"/>
      <c r="O709" s="335"/>
      <c r="P709" s="36"/>
      <c r="Q709" s="36"/>
      <c r="R709" s="36"/>
    </row>
    <row r="710">
      <c r="A710" s="25"/>
      <c r="B710" s="131"/>
      <c r="D710" s="11"/>
      <c r="E710" s="45"/>
      <c r="F710" s="45"/>
      <c r="O710" s="335"/>
      <c r="P710" s="36"/>
      <c r="Q710" s="36"/>
      <c r="R710" s="36"/>
    </row>
    <row r="711">
      <c r="A711" s="25"/>
      <c r="B711" s="131"/>
      <c r="D711" s="11"/>
      <c r="E711" s="45"/>
      <c r="F711" s="45"/>
      <c r="O711" s="335"/>
      <c r="P711" s="36"/>
      <c r="Q711" s="36"/>
      <c r="R711" s="36"/>
    </row>
    <row r="712">
      <c r="A712" s="25"/>
      <c r="B712" s="131"/>
      <c r="D712" s="11"/>
      <c r="E712" s="45"/>
      <c r="F712" s="45"/>
      <c r="O712" s="335"/>
      <c r="P712" s="36"/>
      <c r="Q712" s="36"/>
      <c r="R712" s="36"/>
    </row>
    <row r="713">
      <c r="A713" s="25"/>
      <c r="B713" s="131"/>
      <c r="D713" s="11"/>
      <c r="E713" s="45"/>
      <c r="F713" s="45"/>
      <c r="O713" s="335"/>
      <c r="P713" s="36"/>
      <c r="Q713" s="36"/>
      <c r="R713" s="36"/>
    </row>
    <row r="714">
      <c r="A714" s="25"/>
      <c r="B714" s="131"/>
      <c r="D714" s="11"/>
      <c r="E714" s="45"/>
      <c r="F714" s="45"/>
      <c r="O714" s="335"/>
      <c r="P714" s="36"/>
      <c r="Q714" s="36"/>
      <c r="R714" s="36"/>
    </row>
    <row r="715">
      <c r="A715" s="25"/>
      <c r="B715" s="131"/>
      <c r="D715" s="11"/>
      <c r="E715" s="45"/>
      <c r="F715" s="45"/>
      <c r="O715" s="335"/>
      <c r="P715" s="36"/>
      <c r="Q715" s="36"/>
      <c r="R715" s="36"/>
    </row>
    <row r="716">
      <c r="A716" s="25"/>
      <c r="B716" s="131"/>
      <c r="D716" s="11"/>
      <c r="E716" s="45"/>
      <c r="F716" s="45"/>
      <c r="O716" s="335"/>
      <c r="P716" s="36"/>
      <c r="Q716" s="36"/>
      <c r="R716" s="36"/>
    </row>
    <row r="717">
      <c r="A717" s="25"/>
      <c r="B717" s="131"/>
      <c r="D717" s="11"/>
      <c r="E717" s="45"/>
      <c r="F717" s="45"/>
      <c r="O717" s="335"/>
      <c r="P717" s="36"/>
      <c r="Q717" s="36"/>
      <c r="R717" s="36"/>
    </row>
    <row r="718">
      <c r="A718" s="25"/>
      <c r="B718" s="131"/>
      <c r="D718" s="11"/>
      <c r="E718" s="45"/>
      <c r="F718" s="45"/>
      <c r="O718" s="335"/>
      <c r="P718" s="36"/>
      <c r="Q718" s="36"/>
      <c r="R718" s="36"/>
    </row>
    <row r="719">
      <c r="A719" s="25"/>
      <c r="B719" s="131"/>
      <c r="D719" s="11"/>
      <c r="E719" s="45"/>
      <c r="F719" s="45"/>
      <c r="O719" s="335"/>
      <c r="P719" s="36"/>
      <c r="Q719" s="36"/>
      <c r="R719" s="36"/>
    </row>
    <row r="720">
      <c r="A720" s="25"/>
      <c r="B720" s="131"/>
      <c r="D720" s="11"/>
      <c r="E720" s="45"/>
      <c r="F720" s="45"/>
      <c r="O720" s="335"/>
      <c r="P720" s="36"/>
      <c r="Q720" s="36"/>
      <c r="R720" s="36"/>
    </row>
    <row r="721">
      <c r="A721" s="25"/>
      <c r="B721" s="131"/>
      <c r="D721" s="11"/>
      <c r="E721" s="45"/>
      <c r="F721" s="45"/>
      <c r="O721" s="335"/>
      <c r="P721" s="36"/>
      <c r="Q721" s="36"/>
      <c r="R721" s="36"/>
    </row>
    <row r="722">
      <c r="A722" s="25"/>
      <c r="B722" s="131"/>
      <c r="D722" s="11"/>
      <c r="E722" s="45"/>
      <c r="F722" s="45"/>
      <c r="O722" s="335"/>
      <c r="P722" s="36"/>
      <c r="Q722" s="36"/>
      <c r="R722" s="36"/>
    </row>
    <row r="723">
      <c r="A723" s="25"/>
      <c r="B723" s="131"/>
      <c r="D723" s="11"/>
      <c r="E723" s="45"/>
      <c r="F723" s="45"/>
      <c r="O723" s="335"/>
      <c r="P723" s="36"/>
      <c r="Q723" s="36"/>
      <c r="R723" s="36"/>
    </row>
    <row r="724">
      <c r="A724" s="25"/>
      <c r="B724" s="131"/>
      <c r="D724" s="11"/>
      <c r="E724" s="45"/>
      <c r="F724" s="45"/>
      <c r="O724" s="335"/>
      <c r="P724" s="36"/>
      <c r="Q724" s="36"/>
      <c r="R724" s="36"/>
    </row>
    <row r="725">
      <c r="A725" s="25"/>
      <c r="B725" s="131"/>
      <c r="D725" s="11"/>
      <c r="E725" s="45"/>
      <c r="F725" s="45"/>
      <c r="O725" s="335"/>
      <c r="P725" s="36"/>
      <c r="Q725" s="36"/>
      <c r="R725" s="36"/>
    </row>
    <row r="726">
      <c r="A726" s="25"/>
      <c r="B726" s="131"/>
      <c r="D726" s="11"/>
      <c r="E726" s="45"/>
      <c r="F726" s="45"/>
      <c r="O726" s="335"/>
      <c r="P726" s="36"/>
      <c r="Q726" s="36"/>
      <c r="R726" s="36"/>
    </row>
    <row r="727">
      <c r="A727" s="25"/>
      <c r="B727" s="131"/>
      <c r="D727" s="11"/>
      <c r="E727" s="45"/>
      <c r="F727" s="45"/>
      <c r="O727" s="335"/>
      <c r="P727" s="36"/>
      <c r="Q727" s="36"/>
      <c r="R727" s="36"/>
    </row>
    <row r="728">
      <c r="A728" s="25"/>
      <c r="B728" s="131"/>
      <c r="D728" s="11"/>
      <c r="E728" s="45"/>
      <c r="F728" s="45"/>
      <c r="O728" s="335"/>
      <c r="P728" s="36"/>
      <c r="Q728" s="36"/>
      <c r="R728" s="36"/>
    </row>
    <row r="729">
      <c r="A729" s="25"/>
      <c r="B729" s="131"/>
      <c r="D729" s="11"/>
      <c r="E729" s="45"/>
      <c r="F729" s="45"/>
      <c r="O729" s="335"/>
      <c r="P729" s="36"/>
      <c r="Q729" s="36"/>
      <c r="R729" s="36"/>
    </row>
    <row r="730">
      <c r="A730" s="25"/>
      <c r="B730" s="131"/>
      <c r="D730" s="11"/>
      <c r="E730" s="45"/>
      <c r="F730" s="45"/>
      <c r="O730" s="335"/>
      <c r="P730" s="36"/>
      <c r="Q730" s="36"/>
      <c r="R730" s="36"/>
    </row>
    <row r="731">
      <c r="A731" s="25"/>
      <c r="B731" s="131"/>
      <c r="D731" s="11"/>
      <c r="E731" s="45"/>
      <c r="F731" s="45"/>
      <c r="O731" s="335"/>
      <c r="P731" s="36"/>
      <c r="Q731" s="36"/>
      <c r="R731" s="36"/>
    </row>
    <row r="732">
      <c r="A732" s="25"/>
      <c r="B732" s="131"/>
      <c r="D732" s="11"/>
      <c r="E732" s="45"/>
      <c r="F732" s="45"/>
      <c r="O732" s="335"/>
      <c r="P732" s="36"/>
      <c r="Q732" s="36"/>
      <c r="R732" s="36"/>
    </row>
    <row r="733">
      <c r="A733" s="25"/>
      <c r="B733" s="131"/>
      <c r="D733" s="11"/>
      <c r="E733" s="45"/>
      <c r="F733" s="45"/>
      <c r="O733" s="335"/>
      <c r="P733" s="36"/>
      <c r="Q733" s="36"/>
      <c r="R733" s="36"/>
    </row>
    <row r="734">
      <c r="A734" s="25"/>
      <c r="B734" s="131"/>
      <c r="D734" s="11"/>
      <c r="E734" s="45"/>
      <c r="F734" s="45"/>
      <c r="O734" s="335"/>
      <c r="P734" s="36"/>
      <c r="Q734" s="36"/>
      <c r="R734" s="36"/>
    </row>
    <row r="735">
      <c r="A735" s="25"/>
      <c r="B735" s="131"/>
      <c r="D735" s="11"/>
      <c r="E735" s="45"/>
      <c r="F735" s="45"/>
      <c r="O735" s="335"/>
      <c r="P735" s="36"/>
      <c r="Q735" s="36"/>
      <c r="R735" s="36"/>
    </row>
    <row r="736">
      <c r="A736" s="25"/>
      <c r="B736" s="131"/>
      <c r="D736" s="11"/>
      <c r="E736" s="45"/>
      <c r="F736" s="45"/>
      <c r="O736" s="335"/>
      <c r="P736" s="36"/>
      <c r="Q736" s="36"/>
      <c r="R736" s="36"/>
    </row>
    <row r="737">
      <c r="A737" s="25"/>
      <c r="B737" s="131"/>
      <c r="D737" s="11"/>
      <c r="E737" s="45"/>
      <c r="F737" s="45"/>
      <c r="O737" s="335"/>
      <c r="P737" s="36"/>
      <c r="Q737" s="36"/>
      <c r="R737" s="36"/>
    </row>
    <row r="738">
      <c r="A738" s="25"/>
      <c r="B738" s="131"/>
      <c r="D738" s="11"/>
      <c r="E738" s="45"/>
      <c r="F738" s="45"/>
      <c r="O738" s="335"/>
      <c r="P738" s="36"/>
      <c r="Q738" s="36"/>
      <c r="R738" s="36"/>
    </row>
    <row r="739">
      <c r="A739" s="25"/>
      <c r="B739" s="131"/>
      <c r="D739" s="11"/>
      <c r="E739" s="45"/>
      <c r="F739" s="45"/>
      <c r="O739" s="335"/>
      <c r="P739" s="36"/>
      <c r="Q739" s="36"/>
      <c r="R739" s="36"/>
    </row>
    <row r="740">
      <c r="A740" s="25"/>
      <c r="B740" s="131"/>
      <c r="D740" s="11"/>
      <c r="E740" s="45"/>
      <c r="F740" s="45"/>
      <c r="O740" s="335"/>
      <c r="P740" s="36"/>
      <c r="Q740" s="36"/>
      <c r="R740" s="36"/>
    </row>
    <row r="741">
      <c r="A741" s="25"/>
      <c r="B741" s="131"/>
      <c r="D741" s="11"/>
      <c r="E741" s="45"/>
      <c r="F741" s="45"/>
      <c r="O741" s="335"/>
      <c r="P741" s="36"/>
      <c r="Q741" s="36"/>
      <c r="R741" s="36"/>
    </row>
    <row r="742">
      <c r="A742" s="25"/>
      <c r="B742" s="131"/>
      <c r="D742" s="11"/>
      <c r="E742" s="45"/>
      <c r="F742" s="45"/>
      <c r="O742" s="335"/>
      <c r="P742" s="36"/>
      <c r="Q742" s="36"/>
      <c r="R742" s="36"/>
    </row>
    <row r="743">
      <c r="A743" s="25"/>
      <c r="B743" s="131"/>
      <c r="D743" s="11"/>
      <c r="E743" s="45"/>
      <c r="F743" s="45"/>
      <c r="O743" s="335"/>
      <c r="P743" s="36"/>
      <c r="Q743" s="36"/>
      <c r="R743" s="36"/>
    </row>
    <row r="744">
      <c r="A744" s="25"/>
      <c r="B744" s="131"/>
      <c r="D744" s="11"/>
      <c r="E744" s="45"/>
      <c r="F744" s="45"/>
      <c r="O744" s="335"/>
      <c r="P744" s="36"/>
      <c r="Q744" s="36"/>
      <c r="R744" s="36"/>
    </row>
    <row r="745">
      <c r="A745" s="25"/>
      <c r="B745" s="131"/>
      <c r="D745" s="11"/>
      <c r="E745" s="45"/>
      <c r="F745" s="45"/>
      <c r="O745" s="335"/>
      <c r="P745" s="36"/>
      <c r="Q745" s="36"/>
      <c r="R745" s="36"/>
    </row>
    <row r="746">
      <c r="A746" s="25"/>
      <c r="B746" s="131"/>
      <c r="D746" s="11"/>
      <c r="E746" s="45"/>
      <c r="F746" s="45"/>
      <c r="O746" s="335"/>
      <c r="P746" s="36"/>
      <c r="Q746" s="36"/>
      <c r="R746" s="36"/>
    </row>
    <row r="747">
      <c r="A747" s="25"/>
      <c r="B747" s="131"/>
      <c r="D747" s="11"/>
      <c r="E747" s="45"/>
      <c r="F747" s="45"/>
      <c r="O747" s="335"/>
      <c r="P747" s="36"/>
      <c r="Q747" s="36"/>
      <c r="R747" s="36"/>
    </row>
    <row r="748">
      <c r="A748" s="25"/>
      <c r="B748" s="131"/>
      <c r="D748" s="11"/>
      <c r="E748" s="45"/>
      <c r="F748" s="45"/>
      <c r="O748" s="335"/>
      <c r="P748" s="36"/>
      <c r="Q748" s="36"/>
      <c r="R748" s="36"/>
    </row>
    <row r="749">
      <c r="A749" s="25"/>
      <c r="B749" s="131"/>
      <c r="D749" s="11"/>
      <c r="E749" s="45"/>
      <c r="F749" s="45"/>
      <c r="O749" s="335"/>
      <c r="P749" s="36"/>
      <c r="Q749" s="36"/>
      <c r="R749" s="36"/>
    </row>
    <row r="750">
      <c r="A750" s="25"/>
      <c r="B750" s="131"/>
      <c r="D750" s="11"/>
      <c r="E750" s="45"/>
      <c r="F750" s="45"/>
      <c r="O750" s="335"/>
      <c r="P750" s="36"/>
      <c r="Q750" s="36"/>
      <c r="R750" s="36"/>
    </row>
    <row r="751">
      <c r="A751" s="25"/>
      <c r="B751" s="131"/>
      <c r="D751" s="11"/>
      <c r="E751" s="45"/>
      <c r="F751" s="45"/>
      <c r="O751" s="335"/>
      <c r="P751" s="36"/>
      <c r="Q751" s="36"/>
      <c r="R751" s="36"/>
    </row>
    <row r="752">
      <c r="A752" s="25"/>
      <c r="B752" s="131"/>
      <c r="D752" s="11"/>
      <c r="E752" s="45"/>
      <c r="F752" s="45"/>
      <c r="O752" s="335"/>
      <c r="P752" s="36"/>
      <c r="Q752" s="36"/>
      <c r="R752" s="36"/>
    </row>
    <row r="753">
      <c r="A753" s="25"/>
      <c r="B753" s="131"/>
      <c r="D753" s="11"/>
      <c r="E753" s="45"/>
      <c r="F753" s="45"/>
      <c r="O753" s="335"/>
      <c r="P753" s="36"/>
      <c r="Q753" s="36"/>
      <c r="R753" s="36"/>
    </row>
    <row r="754">
      <c r="A754" s="25"/>
      <c r="B754" s="131"/>
      <c r="D754" s="11"/>
      <c r="E754" s="45"/>
      <c r="F754" s="45"/>
      <c r="O754" s="335"/>
      <c r="P754" s="36"/>
      <c r="Q754" s="36"/>
      <c r="R754" s="36"/>
    </row>
    <row r="755">
      <c r="A755" s="25"/>
      <c r="B755" s="131"/>
      <c r="D755" s="11"/>
      <c r="E755" s="45"/>
      <c r="F755" s="45"/>
      <c r="O755" s="335"/>
      <c r="P755" s="36"/>
      <c r="Q755" s="36"/>
      <c r="R755" s="36"/>
    </row>
    <row r="756">
      <c r="A756" s="25"/>
      <c r="B756" s="131"/>
      <c r="D756" s="11"/>
      <c r="E756" s="45"/>
      <c r="F756" s="45"/>
      <c r="O756" s="335"/>
      <c r="P756" s="36"/>
      <c r="Q756" s="36"/>
      <c r="R756" s="36"/>
    </row>
    <row r="757">
      <c r="A757" s="25"/>
      <c r="B757" s="131"/>
      <c r="D757" s="11"/>
      <c r="E757" s="45"/>
      <c r="F757" s="45"/>
      <c r="O757" s="335"/>
      <c r="P757" s="36"/>
      <c r="Q757" s="36"/>
      <c r="R757" s="36"/>
    </row>
    <row r="758">
      <c r="A758" s="25"/>
      <c r="B758" s="131"/>
      <c r="D758" s="11"/>
      <c r="E758" s="45"/>
      <c r="F758" s="45"/>
      <c r="O758" s="335"/>
      <c r="P758" s="36"/>
      <c r="Q758" s="36"/>
      <c r="R758" s="36"/>
    </row>
    <row r="759">
      <c r="A759" s="25"/>
      <c r="B759" s="131"/>
      <c r="D759" s="11"/>
      <c r="E759" s="45"/>
      <c r="F759" s="45"/>
      <c r="O759" s="335"/>
      <c r="P759" s="36"/>
      <c r="Q759" s="36"/>
      <c r="R759" s="36"/>
    </row>
    <row r="760">
      <c r="A760" s="25"/>
      <c r="B760" s="131"/>
      <c r="D760" s="11"/>
      <c r="E760" s="45"/>
      <c r="F760" s="45"/>
      <c r="O760" s="335"/>
      <c r="P760" s="36"/>
      <c r="Q760" s="36"/>
      <c r="R760" s="36"/>
    </row>
    <row r="761">
      <c r="A761" s="25"/>
      <c r="B761" s="131"/>
      <c r="D761" s="11"/>
      <c r="E761" s="45"/>
      <c r="F761" s="45"/>
      <c r="O761" s="335"/>
      <c r="P761" s="36"/>
      <c r="Q761" s="36"/>
      <c r="R761" s="36"/>
    </row>
    <row r="762">
      <c r="A762" s="25"/>
      <c r="B762" s="131"/>
      <c r="D762" s="11"/>
      <c r="E762" s="45"/>
      <c r="F762" s="45"/>
      <c r="O762" s="335"/>
      <c r="P762" s="36"/>
      <c r="Q762" s="36"/>
      <c r="R762" s="36"/>
    </row>
    <row r="763">
      <c r="A763" s="25"/>
      <c r="B763" s="131"/>
      <c r="D763" s="11"/>
      <c r="E763" s="45"/>
      <c r="F763" s="45"/>
      <c r="O763" s="335"/>
      <c r="P763" s="36"/>
      <c r="Q763" s="36"/>
      <c r="R763" s="36"/>
    </row>
    <row r="764">
      <c r="A764" s="25"/>
      <c r="B764" s="131"/>
      <c r="D764" s="11"/>
      <c r="E764" s="45"/>
      <c r="F764" s="45"/>
      <c r="O764" s="335"/>
      <c r="P764" s="36"/>
      <c r="Q764" s="36"/>
      <c r="R764" s="36"/>
    </row>
    <row r="765">
      <c r="A765" s="25"/>
      <c r="B765" s="131"/>
      <c r="D765" s="11"/>
      <c r="E765" s="45"/>
      <c r="F765" s="45"/>
      <c r="O765" s="335"/>
      <c r="P765" s="36"/>
      <c r="Q765" s="36"/>
      <c r="R765" s="36"/>
    </row>
    <row r="766">
      <c r="A766" s="25"/>
      <c r="B766" s="131"/>
      <c r="D766" s="11"/>
      <c r="E766" s="45"/>
      <c r="F766" s="45"/>
      <c r="O766" s="335"/>
      <c r="P766" s="36"/>
      <c r="Q766" s="36"/>
      <c r="R766" s="36"/>
    </row>
    <row r="767">
      <c r="A767" s="25"/>
      <c r="B767" s="131"/>
      <c r="D767" s="11"/>
      <c r="E767" s="45"/>
      <c r="F767" s="45"/>
      <c r="O767" s="335"/>
      <c r="P767" s="36"/>
      <c r="Q767" s="36"/>
      <c r="R767" s="36"/>
    </row>
    <row r="768">
      <c r="A768" s="25"/>
      <c r="B768" s="131"/>
      <c r="D768" s="11"/>
      <c r="E768" s="45"/>
      <c r="F768" s="45"/>
      <c r="O768" s="335"/>
      <c r="P768" s="36"/>
      <c r="Q768" s="36"/>
      <c r="R768" s="36"/>
    </row>
    <row r="769">
      <c r="A769" s="25"/>
      <c r="B769" s="131"/>
      <c r="D769" s="11"/>
      <c r="E769" s="45"/>
      <c r="F769" s="45"/>
      <c r="O769" s="335"/>
      <c r="P769" s="36"/>
      <c r="Q769" s="36"/>
      <c r="R769" s="36"/>
    </row>
    <row r="770">
      <c r="A770" s="25"/>
      <c r="B770" s="131"/>
      <c r="D770" s="11"/>
      <c r="E770" s="45"/>
      <c r="F770" s="45"/>
      <c r="O770" s="335"/>
      <c r="P770" s="36"/>
      <c r="Q770" s="36"/>
      <c r="R770" s="36"/>
    </row>
    <row r="771">
      <c r="A771" s="25"/>
      <c r="B771" s="131"/>
      <c r="D771" s="11"/>
      <c r="E771" s="45"/>
      <c r="F771" s="45"/>
      <c r="O771" s="335"/>
      <c r="P771" s="36"/>
      <c r="Q771" s="36"/>
      <c r="R771" s="36"/>
    </row>
    <row r="772">
      <c r="A772" s="25"/>
      <c r="B772" s="131"/>
      <c r="D772" s="11"/>
      <c r="E772" s="45"/>
      <c r="F772" s="45"/>
      <c r="O772" s="335"/>
      <c r="P772" s="36"/>
      <c r="Q772" s="36"/>
      <c r="R772" s="36"/>
    </row>
    <row r="773">
      <c r="A773" s="25"/>
      <c r="B773" s="131"/>
      <c r="D773" s="11"/>
      <c r="E773" s="45"/>
      <c r="F773" s="45"/>
      <c r="O773" s="335"/>
      <c r="P773" s="36"/>
      <c r="Q773" s="36"/>
      <c r="R773" s="36"/>
    </row>
    <row r="774">
      <c r="A774" s="25"/>
      <c r="B774" s="131"/>
      <c r="D774" s="11"/>
      <c r="E774" s="45"/>
      <c r="F774" s="45"/>
      <c r="O774" s="335"/>
      <c r="P774" s="36"/>
      <c r="Q774" s="36"/>
      <c r="R774" s="36"/>
    </row>
    <row r="775">
      <c r="A775" s="25"/>
      <c r="B775" s="131"/>
      <c r="D775" s="11"/>
      <c r="E775" s="45"/>
      <c r="F775" s="45"/>
      <c r="O775" s="335"/>
      <c r="P775" s="36"/>
      <c r="Q775" s="36"/>
      <c r="R775" s="36"/>
    </row>
    <row r="776">
      <c r="A776" s="25"/>
      <c r="B776" s="131"/>
      <c r="D776" s="11"/>
      <c r="E776" s="45"/>
      <c r="F776" s="45"/>
      <c r="O776" s="335"/>
      <c r="P776" s="36"/>
      <c r="Q776" s="36"/>
      <c r="R776" s="36"/>
    </row>
    <row r="777">
      <c r="A777" s="25"/>
      <c r="B777" s="131"/>
      <c r="D777" s="11"/>
      <c r="E777" s="45"/>
      <c r="F777" s="45"/>
      <c r="O777" s="335"/>
      <c r="P777" s="36"/>
      <c r="Q777" s="36"/>
      <c r="R777" s="36"/>
    </row>
    <row r="778">
      <c r="A778" s="25"/>
      <c r="B778" s="131"/>
      <c r="D778" s="11"/>
      <c r="E778" s="45"/>
      <c r="F778" s="45"/>
      <c r="O778" s="335"/>
      <c r="P778" s="36"/>
      <c r="Q778" s="36"/>
      <c r="R778" s="36"/>
    </row>
    <row r="779">
      <c r="A779" s="25"/>
      <c r="B779" s="131"/>
      <c r="D779" s="11"/>
      <c r="E779" s="45"/>
      <c r="F779" s="45"/>
      <c r="O779" s="335"/>
      <c r="P779" s="36"/>
      <c r="Q779" s="36"/>
      <c r="R779" s="36"/>
    </row>
    <row r="780">
      <c r="A780" s="25"/>
      <c r="B780" s="131"/>
      <c r="D780" s="11"/>
      <c r="E780" s="45"/>
      <c r="F780" s="45"/>
      <c r="O780" s="335"/>
      <c r="P780" s="36"/>
      <c r="Q780" s="36"/>
      <c r="R780" s="36"/>
    </row>
    <row r="781">
      <c r="A781" s="25"/>
      <c r="B781" s="131"/>
      <c r="D781" s="11"/>
      <c r="E781" s="45"/>
      <c r="F781" s="45"/>
      <c r="O781" s="335"/>
      <c r="P781" s="36"/>
      <c r="Q781" s="36"/>
      <c r="R781" s="36"/>
    </row>
    <row r="782">
      <c r="A782" s="25"/>
      <c r="B782" s="131"/>
      <c r="D782" s="11"/>
      <c r="E782" s="45"/>
      <c r="F782" s="45"/>
      <c r="O782" s="335"/>
      <c r="P782" s="36"/>
      <c r="Q782" s="36"/>
      <c r="R782" s="36"/>
    </row>
    <row r="783">
      <c r="A783" s="25"/>
      <c r="B783" s="131"/>
      <c r="D783" s="11"/>
      <c r="E783" s="45"/>
      <c r="F783" s="45"/>
      <c r="O783" s="335"/>
      <c r="P783" s="36"/>
      <c r="Q783" s="36"/>
      <c r="R783" s="36"/>
    </row>
    <row r="784">
      <c r="A784" s="25"/>
      <c r="B784" s="131"/>
      <c r="D784" s="11"/>
      <c r="E784" s="45"/>
      <c r="F784" s="45"/>
      <c r="O784" s="335"/>
      <c r="P784" s="36"/>
      <c r="Q784" s="36"/>
      <c r="R784" s="36"/>
    </row>
    <row r="785">
      <c r="A785" s="25"/>
      <c r="B785" s="131"/>
      <c r="D785" s="11"/>
      <c r="E785" s="45"/>
      <c r="F785" s="45"/>
      <c r="O785" s="335"/>
      <c r="P785" s="36"/>
      <c r="Q785" s="36"/>
      <c r="R785" s="36"/>
    </row>
    <row r="786">
      <c r="A786" s="25"/>
      <c r="B786" s="131"/>
      <c r="D786" s="11"/>
      <c r="E786" s="45"/>
      <c r="F786" s="45"/>
      <c r="O786" s="335"/>
      <c r="P786" s="36"/>
      <c r="Q786" s="36"/>
      <c r="R786" s="36"/>
    </row>
    <row r="787">
      <c r="A787" s="25"/>
      <c r="B787" s="131"/>
      <c r="D787" s="11"/>
      <c r="E787" s="45"/>
      <c r="F787" s="45"/>
      <c r="O787" s="335"/>
      <c r="P787" s="36"/>
      <c r="Q787" s="36"/>
      <c r="R787" s="36"/>
    </row>
    <row r="788">
      <c r="A788" s="25"/>
      <c r="B788" s="131"/>
      <c r="D788" s="11"/>
      <c r="E788" s="45"/>
      <c r="F788" s="45"/>
      <c r="O788" s="335"/>
      <c r="P788" s="36"/>
      <c r="Q788" s="36"/>
      <c r="R788" s="36"/>
    </row>
    <row r="789">
      <c r="A789" s="25"/>
      <c r="B789" s="131"/>
      <c r="D789" s="11"/>
      <c r="E789" s="45"/>
      <c r="F789" s="45"/>
      <c r="O789" s="335"/>
      <c r="P789" s="36"/>
      <c r="Q789" s="36"/>
      <c r="R789" s="36"/>
    </row>
    <row r="790">
      <c r="A790" s="25"/>
      <c r="B790" s="131"/>
      <c r="D790" s="11"/>
      <c r="E790" s="45"/>
      <c r="F790" s="45"/>
      <c r="O790" s="335"/>
      <c r="P790" s="36"/>
      <c r="Q790" s="36"/>
      <c r="R790" s="36"/>
    </row>
    <row r="791">
      <c r="A791" s="25"/>
      <c r="B791" s="131"/>
      <c r="D791" s="11"/>
      <c r="E791" s="45"/>
      <c r="F791" s="45"/>
      <c r="O791" s="335"/>
      <c r="P791" s="36"/>
      <c r="Q791" s="36"/>
      <c r="R791" s="36"/>
    </row>
    <row r="792">
      <c r="A792" s="25"/>
      <c r="B792" s="131"/>
      <c r="D792" s="11"/>
      <c r="E792" s="45"/>
      <c r="F792" s="45"/>
      <c r="O792" s="335"/>
      <c r="P792" s="36"/>
      <c r="Q792" s="36"/>
      <c r="R792" s="36"/>
    </row>
    <row r="793">
      <c r="A793" s="25"/>
      <c r="B793" s="131"/>
      <c r="D793" s="11"/>
      <c r="E793" s="45"/>
      <c r="F793" s="45"/>
      <c r="O793" s="335"/>
      <c r="P793" s="36"/>
      <c r="Q793" s="36"/>
      <c r="R793" s="36"/>
    </row>
    <row r="794">
      <c r="A794" s="25"/>
      <c r="B794" s="131"/>
      <c r="D794" s="11"/>
      <c r="E794" s="45"/>
      <c r="F794" s="45"/>
      <c r="O794" s="335"/>
      <c r="P794" s="36"/>
      <c r="Q794" s="36"/>
      <c r="R794" s="36"/>
    </row>
    <row r="795">
      <c r="A795" s="25"/>
      <c r="B795" s="131"/>
      <c r="D795" s="11"/>
      <c r="E795" s="45"/>
      <c r="F795" s="45"/>
      <c r="O795" s="335"/>
      <c r="P795" s="36"/>
      <c r="Q795" s="36"/>
      <c r="R795" s="36"/>
    </row>
    <row r="796">
      <c r="A796" s="25"/>
      <c r="B796" s="131"/>
      <c r="D796" s="11"/>
      <c r="E796" s="45"/>
      <c r="F796" s="45"/>
      <c r="O796" s="335"/>
      <c r="P796" s="36"/>
      <c r="Q796" s="36"/>
      <c r="R796" s="36"/>
    </row>
    <row r="797">
      <c r="A797" s="25"/>
      <c r="B797" s="131"/>
      <c r="D797" s="11"/>
      <c r="E797" s="45"/>
      <c r="F797" s="45"/>
      <c r="O797" s="335"/>
      <c r="P797" s="36"/>
      <c r="Q797" s="36"/>
      <c r="R797" s="36"/>
    </row>
    <row r="798">
      <c r="A798" s="25"/>
      <c r="B798" s="131"/>
      <c r="D798" s="11"/>
      <c r="E798" s="45"/>
      <c r="F798" s="45"/>
      <c r="O798" s="335"/>
      <c r="P798" s="36"/>
      <c r="Q798" s="36"/>
      <c r="R798" s="36"/>
    </row>
    <row r="799">
      <c r="A799" s="25"/>
      <c r="B799" s="131"/>
      <c r="D799" s="11"/>
      <c r="E799" s="45"/>
      <c r="F799" s="45"/>
      <c r="O799" s="335"/>
      <c r="P799" s="36"/>
      <c r="Q799" s="36"/>
      <c r="R799" s="36"/>
    </row>
    <row r="800">
      <c r="A800" s="25"/>
      <c r="B800" s="131"/>
      <c r="D800" s="11"/>
      <c r="E800" s="45"/>
      <c r="F800" s="45"/>
      <c r="O800" s="335"/>
      <c r="P800" s="36"/>
      <c r="Q800" s="36"/>
      <c r="R800" s="36"/>
    </row>
    <row r="801">
      <c r="A801" s="25"/>
      <c r="B801" s="131"/>
      <c r="D801" s="11"/>
      <c r="E801" s="45"/>
      <c r="F801" s="45"/>
      <c r="O801" s="335"/>
      <c r="P801" s="36"/>
      <c r="Q801" s="36"/>
      <c r="R801" s="36"/>
    </row>
    <row r="802">
      <c r="A802" s="25"/>
      <c r="B802" s="131"/>
      <c r="D802" s="11"/>
      <c r="E802" s="45"/>
      <c r="F802" s="45"/>
      <c r="O802" s="335"/>
      <c r="P802" s="36"/>
      <c r="Q802" s="36"/>
      <c r="R802" s="36"/>
    </row>
    <row r="803">
      <c r="A803" s="25"/>
      <c r="B803" s="131"/>
      <c r="D803" s="11"/>
      <c r="E803" s="45"/>
      <c r="F803" s="45"/>
      <c r="O803" s="335"/>
      <c r="P803" s="36"/>
      <c r="Q803" s="36"/>
      <c r="R803" s="36"/>
    </row>
    <row r="804">
      <c r="A804" s="25"/>
      <c r="B804" s="131"/>
      <c r="D804" s="11"/>
      <c r="E804" s="45"/>
      <c r="F804" s="45"/>
      <c r="O804" s="335"/>
      <c r="P804" s="36"/>
      <c r="Q804" s="36"/>
      <c r="R804" s="36"/>
    </row>
    <row r="805">
      <c r="A805" s="25"/>
      <c r="B805" s="131"/>
      <c r="D805" s="11"/>
      <c r="E805" s="45"/>
      <c r="F805" s="45"/>
      <c r="O805" s="335"/>
      <c r="P805" s="36"/>
      <c r="Q805" s="36"/>
      <c r="R805" s="36"/>
    </row>
    <row r="806">
      <c r="A806" s="25"/>
      <c r="B806" s="131"/>
      <c r="D806" s="11"/>
      <c r="E806" s="45"/>
      <c r="F806" s="45"/>
      <c r="O806" s="335"/>
      <c r="P806" s="36"/>
      <c r="Q806" s="36"/>
      <c r="R806" s="36"/>
    </row>
    <row r="807">
      <c r="A807" s="25"/>
      <c r="B807" s="131"/>
      <c r="D807" s="11"/>
      <c r="E807" s="45"/>
      <c r="F807" s="45"/>
      <c r="O807" s="335"/>
      <c r="P807" s="36"/>
      <c r="Q807" s="36"/>
      <c r="R807" s="36"/>
    </row>
    <row r="808">
      <c r="A808" s="25"/>
      <c r="B808" s="131"/>
      <c r="D808" s="11"/>
      <c r="E808" s="45"/>
      <c r="F808" s="45"/>
      <c r="O808" s="335"/>
      <c r="P808" s="36"/>
      <c r="Q808" s="36"/>
      <c r="R808" s="36"/>
    </row>
    <row r="809">
      <c r="A809" s="25"/>
      <c r="B809" s="131"/>
      <c r="D809" s="11"/>
      <c r="E809" s="45"/>
      <c r="F809" s="45"/>
      <c r="O809" s="335"/>
      <c r="P809" s="36"/>
      <c r="Q809" s="36"/>
      <c r="R809" s="36"/>
    </row>
    <row r="810">
      <c r="A810" s="25"/>
      <c r="B810" s="131"/>
      <c r="D810" s="11"/>
      <c r="E810" s="45"/>
      <c r="F810" s="45"/>
      <c r="O810" s="335"/>
      <c r="P810" s="36"/>
      <c r="Q810" s="36"/>
      <c r="R810" s="36"/>
    </row>
    <row r="811">
      <c r="A811" s="25"/>
      <c r="B811" s="131"/>
      <c r="D811" s="11"/>
      <c r="E811" s="45"/>
      <c r="F811" s="45"/>
      <c r="O811" s="335"/>
      <c r="P811" s="36"/>
      <c r="Q811" s="36"/>
      <c r="R811" s="36"/>
    </row>
    <row r="812">
      <c r="A812" s="25"/>
      <c r="B812" s="131"/>
      <c r="D812" s="11"/>
      <c r="E812" s="45"/>
      <c r="F812" s="45"/>
      <c r="O812" s="335"/>
      <c r="P812" s="36"/>
      <c r="Q812" s="36"/>
      <c r="R812" s="36"/>
    </row>
    <row r="813">
      <c r="A813" s="25"/>
      <c r="B813" s="131"/>
      <c r="D813" s="11"/>
      <c r="E813" s="45"/>
      <c r="F813" s="45"/>
      <c r="O813" s="335"/>
      <c r="P813" s="36"/>
      <c r="Q813" s="36"/>
      <c r="R813" s="36"/>
    </row>
    <row r="814">
      <c r="A814" s="25"/>
      <c r="B814" s="131"/>
      <c r="D814" s="11"/>
      <c r="E814" s="45"/>
      <c r="F814" s="45"/>
      <c r="O814" s="335"/>
      <c r="P814" s="36"/>
      <c r="Q814" s="36"/>
      <c r="R814" s="36"/>
    </row>
    <row r="815">
      <c r="A815" s="25"/>
      <c r="B815" s="131"/>
      <c r="D815" s="11"/>
      <c r="E815" s="45"/>
      <c r="F815" s="45"/>
      <c r="O815" s="335"/>
      <c r="P815" s="36"/>
      <c r="Q815" s="36"/>
      <c r="R815" s="36"/>
    </row>
    <row r="816">
      <c r="A816" s="25"/>
      <c r="B816" s="131"/>
      <c r="D816" s="11"/>
      <c r="E816" s="45"/>
      <c r="F816" s="45"/>
      <c r="O816" s="335"/>
      <c r="P816" s="36"/>
      <c r="Q816" s="36"/>
      <c r="R816" s="36"/>
    </row>
    <row r="817">
      <c r="A817" s="25"/>
      <c r="B817" s="131"/>
      <c r="D817" s="11"/>
      <c r="E817" s="45"/>
      <c r="F817" s="45"/>
      <c r="O817" s="335"/>
      <c r="P817" s="36"/>
      <c r="Q817" s="36"/>
      <c r="R817" s="36"/>
    </row>
    <row r="818">
      <c r="A818" s="25"/>
      <c r="B818" s="131"/>
      <c r="D818" s="11"/>
      <c r="E818" s="45"/>
      <c r="F818" s="45"/>
      <c r="O818" s="335"/>
      <c r="P818" s="36"/>
      <c r="Q818" s="36"/>
      <c r="R818" s="36"/>
    </row>
    <row r="819">
      <c r="A819" s="25"/>
      <c r="B819" s="131"/>
      <c r="D819" s="11"/>
      <c r="E819" s="45"/>
      <c r="F819" s="45"/>
      <c r="O819" s="335"/>
      <c r="P819" s="36"/>
      <c r="Q819" s="36"/>
      <c r="R819" s="36"/>
    </row>
    <row r="820">
      <c r="A820" s="25"/>
      <c r="B820" s="131"/>
      <c r="D820" s="11"/>
      <c r="E820" s="45"/>
      <c r="F820" s="45"/>
      <c r="O820" s="335"/>
      <c r="P820" s="36"/>
      <c r="Q820" s="36"/>
      <c r="R820" s="36"/>
    </row>
    <row r="821">
      <c r="A821" s="25"/>
      <c r="B821" s="131"/>
      <c r="D821" s="11"/>
      <c r="E821" s="45"/>
      <c r="F821" s="45"/>
      <c r="O821" s="335"/>
      <c r="P821" s="36"/>
      <c r="Q821" s="36"/>
      <c r="R821" s="36"/>
    </row>
    <row r="822">
      <c r="A822" s="25"/>
      <c r="B822" s="131"/>
      <c r="D822" s="11"/>
      <c r="E822" s="45"/>
      <c r="F822" s="45"/>
      <c r="O822" s="335"/>
      <c r="P822" s="36"/>
      <c r="Q822" s="36"/>
      <c r="R822" s="36"/>
    </row>
    <row r="823">
      <c r="A823" s="25"/>
      <c r="B823" s="131"/>
      <c r="D823" s="11"/>
      <c r="E823" s="45"/>
      <c r="F823" s="45"/>
      <c r="O823" s="335"/>
      <c r="P823" s="36"/>
      <c r="Q823" s="36"/>
      <c r="R823" s="36"/>
    </row>
    <row r="824">
      <c r="A824" s="25"/>
      <c r="B824" s="131"/>
      <c r="D824" s="11"/>
      <c r="E824" s="45"/>
      <c r="F824" s="45"/>
      <c r="O824" s="335"/>
      <c r="P824" s="36"/>
      <c r="Q824" s="36"/>
      <c r="R824" s="36"/>
    </row>
    <row r="825">
      <c r="A825" s="25"/>
      <c r="B825" s="131"/>
      <c r="D825" s="11"/>
      <c r="E825" s="45"/>
      <c r="F825" s="45"/>
      <c r="O825" s="335"/>
      <c r="P825" s="36"/>
      <c r="Q825" s="36"/>
      <c r="R825" s="36"/>
    </row>
    <row r="826">
      <c r="A826" s="25"/>
      <c r="B826" s="131"/>
      <c r="D826" s="11"/>
      <c r="E826" s="45"/>
      <c r="F826" s="45"/>
      <c r="O826" s="335"/>
      <c r="P826" s="36"/>
      <c r="Q826" s="36"/>
      <c r="R826" s="36"/>
    </row>
    <row r="827">
      <c r="A827" s="25"/>
      <c r="B827" s="131"/>
      <c r="D827" s="11"/>
      <c r="E827" s="45"/>
      <c r="F827" s="45"/>
      <c r="O827" s="335"/>
      <c r="P827" s="36"/>
      <c r="Q827" s="36"/>
      <c r="R827" s="36"/>
    </row>
    <row r="828">
      <c r="A828" s="25"/>
      <c r="B828" s="131"/>
      <c r="D828" s="11"/>
      <c r="E828" s="45"/>
      <c r="F828" s="45"/>
      <c r="O828" s="335"/>
      <c r="P828" s="36"/>
      <c r="Q828" s="36"/>
      <c r="R828" s="36"/>
    </row>
    <row r="829">
      <c r="A829" s="25"/>
      <c r="B829" s="131"/>
      <c r="D829" s="11"/>
      <c r="E829" s="45"/>
      <c r="F829" s="45"/>
      <c r="O829" s="335"/>
      <c r="P829" s="36"/>
      <c r="Q829" s="36"/>
      <c r="R829" s="36"/>
    </row>
    <row r="830">
      <c r="A830" s="25"/>
      <c r="B830" s="131"/>
      <c r="D830" s="11"/>
      <c r="E830" s="45"/>
      <c r="F830" s="45"/>
      <c r="O830" s="335"/>
      <c r="P830" s="36"/>
      <c r="Q830" s="36"/>
      <c r="R830" s="36"/>
    </row>
    <row r="831">
      <c r="A831" s="25"/>
      <c r="B831" s="131"/>
      <c r="D831" s="11"/>
      <c r="E831" s="45"/>
      <c r="F831" s="45"/>
      <c r="O831" s="335"/>
      <c r="P831" s="36"/>
      <c r="Q831" s="36"/>
      <c r="R831" s="36"/>
    </row>
    <row r="832">
      <c r="A832" s="25"/>
      <c r="B832" s="131"/>
      <c r="D832" s="11"/>
      <c r="E832" s="45"/>
      <c r="F832" s="45"/>
      <c r="O832" s="335"/>
      <c r="P832" s="36"/>
      <c r="Q832" s="36"/>
      <c r="R832" s="36"/>
    </row>
    <row r="833">
      <c r="A833" s="25"/>
      <c r="B833" s="131"/>
      <c r="D833" s="11"/>
      <c r="E833" s="45"/>
      <c r="F833" s="45"/>
      <c r="O833" s="335"/>
      <c r="P833" s="36"/>
      <c r="Q833" s="36"/>
      <c r="R833" s="36"/>
    </row>
    <row r="834">
      <c r="A834" s="25"/>
      <c r="B834" s="131"/>
      <c r="D834" s="11"/>
      <c r="E834" s="45"/>
      <c r="F834" s="45"/>
      <c r="O834" s="335"/>
      <c r="P834" s="36"/>
      <c r="Q834" s="36"/>
      <c r="R834" s="36"/>
    </row>
    <row r="835">
      <c r="A835" s="25"/>
      <c r="B835" s="131"/>
      <c r="D835" s="11"/>
      <c r="E835" s="45"/>
      <c r="F835" s="45"/>
      <c r="O835" s="335"/>
      <c r="P835" s="36"/>
      <c r="Q835" s="36"/>
      <c r="R835" s="36"/>
    </row>
    <row r="836">
      <c r="A836" s="25"/>
      <c r="B836" s="131"/>
      <c r="D836" s="11"/>
      <c r="E836" s="45"/>
      <c r="F836" s="45"/>
      <c r="O836" s="335"/>
      <c r="P836" s="36"/>
      <c r="Q836" s="36"/>
      <c r="R836" s="36"/>
    </row>
    <row r="837">
      <c r="A837" s="25"/>
      <c r="B837" s="131"/>
      <c r="D837" s="11"/>
      <c r="E837" s="45"/>
      <c r="F837" s="45"/>
      <c r="O837" s="335"/>
      <c r="P837" s="36"/>
      <c r="Q837" s="36"/>
      <c r="R837" s="36"/>
    </row>
    <row r="838">
      <c r="A838" s="25"/>
      <c r="B838" s="131"/>
      <c r="D838" s="11"/>
      <c r="E838" s="45"/>
      <c r="F838" s="45"/>
      <c r="O838" s="335"/>
      <c r="P838" s="36"/>
      <c r="Q838" s="36"/>
      <c r="R838" s="36"/>
    </row>
    <row r="839">
      <c r="A839" s="25"/>
      <c r="B839" s="131"/>
      <c r="D839" s="11"/>
      <c r="E839" s="45"/>
      <c r="F839" s="45"/>
      <c r="O839" s="335"/>
      <c r="P839" s="36"/>
      <c r="Q839" s="36"/>
      <c r="R839" s="36"/>
    </row>
    <row r="840">
      <c r="A840" s="25"/>
      <c r="B840" s="131"/>
      <c r="D840" s="11"/>
      <c r="E840" s="45"/>
      <c r="F840" s="45"/>
      <c r="O840" s="335"/>
      <c r="P840" s="36"/>
      <c r="Q840" s="36"/>
      <c r="R840" s="36"/>
    </row>
    <row r="841">
      <c r="A841" s="25"/>
      <c r="B841" s="131"/>
      <c r="D841" s="11"/>
      <c r="E841" s="45"/>
      <c r="F841" s="45"/>
      <c r="O841" s="335"/>
      <c r="P841" s="36"/>
      <c r="Q841" s="36"/>
      <c r="R841" s="36"/>
    </row>
    <row r="842">
      <c r="A842" s="25"/>
      <c r="B842" s="131"/>
      <c r="D842" s="11"/>
      <c r="E842" s="45"/>
      <c r="F842" s="45"/>
      <c r="O842" s="335"/>
      <c r="P842" s="36"/>
      <c r="Q842" s="36"/>
      <c r="R842" s="36"/>
    </row>
    <row r="843">
      <c r="A843" s="25"/>
      <c r="B843" s="131"/>
      <c r="D843" s="11"/>
      <c r="E843" s="45"/>
      <c r="F843" s="45"/>
      <c r="O843" s="335"/>
      <c r="P843" s="36"/>
      <c r="Q843" s="36"/>
      <c r="R843" s="36"/>
    </row>
    <row r="844">
      <c r="A844" s="25"/>
      <c r="B844" s="131"/>
      <c r="D844" s="11"/>
      <c r="E844" s="45"/>
      <c r="F844" s="45"/>
      <c r="O844" s="335"/>
      <c r="P844" s="36"/>
      <c r="Q844" s="36"/>
      <c r="R844" s="36"/>
    </row>
    <row r="845">
      <c r="A845" s="25"/>
      <c r="B845" s="131"/>
      <c r="D845" s="11"/>
      <c r="E845" s="45"/>
      <c r="F845" s="45"/>
      <c r="O845" s="335"/>
      <c r="P845" s="36"/>
      <c r="Q845" s="36"/>
      <c r="R845" s="36"/>
    </row>
    <row r="846">
      <c r="A846" s="25"/>
      <c r="B846" s="131"/>
      <c r="D846" s="11"/>
      <c r="E846" s="45"/>
      <c r="F846" s="45"/>
      <c r="O846" s="335"/>
      <c r="P846" s="36"/>
      <c r="Q846" s="36"/>
      <c r="R846" s="36"/>
    </row>
    <row r="847">
      <c r="A847" s="25"/>
      <c r="B847" s="131"/>
      <c r="D847" s="11"/>
      <c r="E847" s="45"/>
      <c r="F847" s="45"/>
      <c r="O847" s="335"/>
      <c r="P847" s="36"/>
      <c r="Q847" s="36"/>
      <c r="R847" s="36"/>
    </row>
    <row r="848">
      <c r="A848" s="25"/>
      <c r="B848" s="131"/>
      <c r="D848" s="11"/>
      <c r="E848" s="45"/>
      <c r="F848" s="45"/>
      <c r="O848" s="335"/>
      <c r="P848" s="36"/>
      <c r="Q848" s="36"/>
      <c r="R848" s="36"/>
    </row>
    <row r="849">
      <c r="A849" s="25"/>
      <c r="B849" s="131"/>
      <c r="D849" s="11"/>
      <c r="E849" s="45"/>
      <c r="F849" s="45"/>
      <c r="O849" s="335"/>
      <c r="P849" s="36"/>
      <c r="Q849" s="36"/>
      <c r="R849" s="36"/>
    </row>
    <row r="850">
      <c r="A850" s="25"/>
      <c r="B850" s="131"/>
      <c r="D850" s="11"/>
      <c r="E850" s="45"/>
      <c r="F850" s="45"/>
      <c r="O850" s="335"/>
      <c r="P850" s="36"/>
      <c r="Q850" s="36"/>
      <c r="R850" s="36"/>
    </row>
    <row r="851">
      <c r="A851" s="25"/>
      <c r="B851" s="131"/>
      <c r="D851" s="11"/>
      <c r="E851" s="45"/>
      <c r="F851" s="45"/>
      <c r="O851" s="335"/>
      <c r="P851" s="36"/>
      <c r="Q851" s="36"/>
      <c r="R851" s="36"/>
    </row>
    <row r="852">
      <c r="A852" s="25"/>
      <c r="B852" s="131"/>
      <c r="D852" s="11"/>
      <c r="E852" s="45"/>
      <c r="F852" s="45"/>
      <c r="O852" s="335"/>
      <c r="P852" s="36"/>
      <c r="Q852" s="36"/>
      <c r="R852" s="36"/>
    </row>
    <row r="853">
      <c r="A853" s="25"/>
      <c r="B853" s="131"/>
      <c r="D853" s="11"/>
      <c r="E853" s="45"/>
      <c r="F853" s="45"/>
      <c r="O853" s="335"/>
      <c r="P853" s="36"/>
      <c r="Q853" s="36"/>
      <c r="R853" s="36"/>
    </row>
    <row r="854">
      <c r="A854" s="25"/>
      <c r="B854" s="131"/>
      <c r="D854" s="11"/>
      <c r="E854" s="45"/>
      <c r="F854" s="45"/>
      <c r="O854" s="335"/>
      <c r="P854" s="36"/>
      <c r="Q854" s="36"/>
      <c r="R854" s="36"/>
    </row>
    <row r="855">
      <c r="A855" s="25"/>
      <c r="B855" s="131"/>
      <c r="D855" s="11"/>
      <c r="E855" s="45"/>
      <c r="F855" s="45"/>
      <c r="O855" s="335"/>
      <c r="P855" s="36"/>
      <c r="Q855" s="36"/>
      <c r="R855" s="36"/>
    </row>
    <row r="856">
      <c r="A856" s="25"/>
      <c r="B856" s="131"/>
      <c r="D856" s="11"/>
      <c r="E856" s="45"/>
      <c r="F856" s="45"/>
      <c r="O856" s="335"/>
      <c r="P856" s="36"/>
      <c r="Q856" s="36"/>
      <c r="R856" s="36"/>
    </row>
    <row r="857">
      <c r="A857" s="25"/>
      <c r="B857" s="131"/>
      <c r="D857" s="11"/>
      <c r="E857" s="45"/>
      <c r="F857" s="45"/>
      <c r="O857" s="335"/>
      <c r="P857" s="36"/>
      <c r="Q857" s="36"/>
      <c r="R857" s="36"/>
    </row>
    <row r="858">
      <c r="A858" s="25"/>
      <c r="B858" s="131"/>
      <c r="D858" s="11"/>
      <c r="E858" s="45"/>
      <c r="F858" s="45"/>
      <c r="O858" s="335"/>
      <c r="P858" s="36"/>
      <c r="Q858" s="36"/>
      <c r="R858" s="36"/>
    </row>
    <row r="859">
      <c r="A859" s="25"/>
      <c r="B859" s="131"/>
      <c r="D859" s="11"/>
      <c r="E859" s="45"/>
      <c r="F859" s="45"/>
      <c r="O859" s="335"/>
      <c r="P859" s="36"/>
      <c r="Q859" s="36"/>
      <c r="R859" s="36"/>
    </row>
    <row r="860">
      <c r="A860" s="25"/>
      <c r="B860" s="131"/>
      <c r="D860" s="11"/>
      <c r="E860" s="45"/>
      <c r="F860" s="45"/>
      <c r="O860" s="335"/>
      <c r="P860" s="36"/>
      <c r="Q860" s="36"/>
      <c r="R860" s="36"/>
    </row>
    <row r="861">
      <c r="A861" s="25"/>
      <c r="B861" s="131"/>
      <c r="D861" s="11"/>
      <c r="E861" s="45"/>
      <c r="F861" s="45"/>
      <c r="O861" s="335"/>
      <c r="P861" s="36"/>
      <c r="Q861" s="36"/>
      <c r="R861" s="36"/>
    </row>
    <row r="862">
      <c r="A862" s="25"/>
      <c r="B862" s="131"/>
      <c r="D862" s="11"/>
      <c r="E862" s="45"/>
      <c r="F862" s="45"/>
      <c r="O862" s="335"/>
      <c r="P862" s="36"/>
      <c r="Q862" s="36"/>
      <c r="R862" s="36"/>
    </row>
    <row r="863">
      <c r="A863" s="25"/>
      <c r="B863" s="131"/>
      <c r="D863" s="11"/>
      <c r="E863" s="45"/>
      <c r="F863" s="45"/>
      <c r="O863" s="335"/>
      <c r="P863" s="36"/>
      <c r="Q863" s="36"/>
      <c r="R863" s="36"/>
    </row>
    <row r="864">
      <c r="A864" s="25"/>
      <c r="B864" s="131"/>
      <c r="D864" s="11"/>
      <c r="E864" s="45"/>
      <c r="F864" s="45"/>
      <c r="O864" s="335"/>
      <c r="P864" s="36"/>
      <c r="Q864" s="36"/>
      <c r="R864" s="36"/>
    </row>
    <row r="865">
      <c r="A865" s="25"/>
      <c r="B865" s="131"/>
      <c r="D865" s="11"/>
      <c r="E865" s="45"/>
      <c r="F865" s="45"/>
      <c r="O865" s="335"/>
      <c r="P865" s="36"/>
      <c r="Q865" s="36"/>
      <c r="R865" s="36"/>
    </row>
    <row r="866">
      <c r="A866" s="25"/>
      <c r="B866" s="131"/>
      <c r="D866" s="11"/>
      <c r="E866" s="45"/>
      <c r="F866" s="45"/>
      <c r="O866" s="335"/>
      <c r="P866" s="36"/>
      <c r="Q866" s="36"/>
      <c r="R866" s="36"/>
    </row>
    <row r="867">
      <c r="A867" s="25"/>
      <c r="B867" s="131"/>
      <c r="D867" s="11"/>
      <c r="E867" s="45"/>
      <c r="F867" s="45"/>
      <c r="O867" s="335"/>
      <c r="P867" s="36"/>
      <c r="Q867" s="36"/>
      <c r="R867" s="36"/>
    </row>
    <row r="868">
      <c r="A868" s="25"/>
      <c r="B868" s="131"/>
      <c r="D868" s="11"/>
      <c r="E868" s="45"/>
      <c r="F868" s="45"/>
      <c r="O868" s="335"/>
      <c r="P868" s="36"/>
      <c r="Q868" s="36"/>
      <c r="R868" s="36"/>
    </row>
    <row r="869">
      <c r="A869" s="25"/>
      <c r="B869" s="131"/>
      <c r="D869" s="11"/>
      <c r="E869" s="45"/>
      <c r="F869" s="45"/>
      <c r="O869" s="335"/>
      <c r="P869" s="36"/>
      <c r="Q869" s="36"/>
      <c r="R869" s="36"/>
    </row>
    <row r="870">
      <c r="A870" s="25"/>
      <c r="B870" s="131"/>
      <c r="D870" s="11"/>
      <c r="E870" s="45"/>
      <c r="F870" s="45"/>
      <c r="O870" s="335"/>
      <c r="P870" s="36"/>
      <c r="Q870" s="36"/>
      <c r="R870" s="36"/>
    </row>
    <row r="871">
      <c r="A871" s="25"/>
      <c r="B871" s="131"/>
      <c r="D871" s="11"/>
      <c r="E871" s="45"/>
      <c r="F871" s="45"/>
      <c r="O871" s="335"/>
      <c r="P871" s="36"/>
      <c r="Q871" s="36"/>
      <c r="R871" s="36"/>
    </row>
    <row r="872">
      <c r="A872" s="25"/>
      <c r="B872" s="131"/>
      <c r="D872" s="11"/>
      <c r="E872" s="45"/>
      <c r="F872" s="45"/>
      <c r="O872" s="335"/>
      <c r="P872" s="36"/>
      <c r="Q872" s="36"/>
      <c r="R872" s="36"/>
    </row>
    <row r="873">
      <c r="A873" s="25"/>
      <c r="B873" s="131"/>
      <c r="D873" s="11"/>
      <c r="E873" s="45"/>
      <c r="F873" s="45"/>
      <c r="O873" s="335"/>
      <c r="P873" s="36"/>
      <c r="Q873" s="36"/>
      <c r="R873" s="36"/>
    </row>
    <row r="874">
      <c r="A874" s="25"/>
      <c r="B874" s="131"/>
      <c r="D874" s="11"/>
      <c r="E874" s="45"/>
      <c r="F874" s="45"/>
      <c r="O874" s="335"/>
      <c r="P874" s="36"/>
      <c r="Q874" s="36"/>
      <c r="R874" s="36"/>
    </row>
    <row r="875">
      <c r="A875" s="25"/>
      <c r="B875" s="131"/>
      <c r="D875" s="11"/>
      <c r="E875" s="45"/>
      <c r="F875" s="45"/>
      <c r="O875" s="335"/>
      <c r="P875" s="36"/>
      <c r="Q875" s="36"/>
      <c r="R875" s="36"/>
    </row>
    <row r="876">
      <c r="A876" s="25"/>
      <c r="B876" s="131"/>
      <c r="D876" s="11"/>
      <c r="E876" s="45"/>
      <c r="F876" s="45"/>
      <c r="O876" s="335"/>
      <c r="P876" s="36"/>
      <c r="Q876" s="36"/>
      <c r="R876" s="36"/>
    </row>
    <row r="877">
      <c r="A877" s="25"/>
      <c r="B877" s="131"/>
      <c r="D877" s="11"/>
      <c r="E877" s="45"/>
      <c r="F877" s="45"/>
      <c r="O877" s="335"/>
      <c r="P877" s="36"/>
      <c r="Q877" s="36"/>
      <c r="R877" s="36"/>
    </row>
    <row r="878">
      <c r="A878" s="25"/>
      <c r="B878" s="131"/>
      <c r="D878" s="11"/>
      <c r="E878" s="45"/>
      <c r="F878" s="45"/>
      <c r="O878" s="335"/>
      <c r="P878" s="36"/>
      <c r="Q878" s="36"/>
      <c r="R878" s="36"/>
    </row>
    <row r="879">
      <c r="A879" s="25"/>
      <c r="B879" s="131"/>
      <c r="D879" s="11"/>
      <c r="E879" s="45"/>
      <c r="F879" s="45"/>
      <c r="O879" s="335"/>
      <c r="P879" s="36"/>
      <c r="Q879" s="36"/>
      <c r="R879" s="36"/>
    </row>
    <row r="880">
      <c r="A880" s="25"/>
      <c r="B880" s="131"/>
      <c r="D880" s="11"/>
      <c r="E880" s="45"/>
      <c r="F880" s="45"/>
      <c r="O880" s="335"/>
      <c r="P880" s="36"/>
      <c r="Q880" s="36"/>
      <c r="R880" s="36"/>
    </row>
    <row r="881">
      <c r="A881" s="25"/>
      <c r="B881" s="131"/>
      <c r="D881" s="11"/>
      <c r="E881" s="45"/>
      <c r="F881" s="45"/>
      <c r="O881" s="335"/>
      <c r="P881" s="36"/>
      <c r="Q881" s="36"/>
      <c r="R881" s="36"/>
    </row>
    <row r="882">
      <c r="A882" s="25"/>
      <c r="B882" s="131"/>
      <c r="D882" s="11"/>
      <c r="E882" s="45"/>
      <c r="F882" s="45"/>
      <c r="O882" s="335"/>
      <c r="P882" s="36"/>
      <c r="Q882" s="36"/>
      <c r="R882" s="36"/>
    </row>
    <row r="883">
      <c r="A883" s="25"/>
      <c r="B883" s="131"/>
      <c r="D883" s="11"/>
      <c r="E883" s="45"/>
      <c r="F883" s="45"/>
      <c r="O883" s="335"/>
      <c r="P883" s="36"/>
      <c r="Q883" s="36"/>
      <c r="R883" s="36"/>
    </row>
    <row r="884">
      <c r="A884" s="25"/>
      <c r="B884" s="131"/>
      <c r="D884" s="11"/>
      <c r="E884" s="45"/>
      <c r="F884" s="45"/>
      <c r="O884" s="335"/>
      <c r="P884" s="36"/>
      <c r="Q884" s="36"/>
      <c r="R884" s="36"/>
    </row>
    <row r="885">
      <c r="A885" s="25"/>
      <c r="B885" s="131"/>
      <c r="D885" s="11"/>
      <c r="E885" s="45"/>
      <c r="F885" s="45"/>
      <c r="O885" s="335"/>
      <c r="P885" s="36"/>
      <c r="Q885" s="36"/>
      <c r="R885" s="36"/>
    </row>
    <row r="886">
      <c r="A886" s="25"/>
      <c r="B886" s="131"/>
      <c r="D886" s="11"/>
      <c r="E886" s="45"/>
      <c r="F886" s="45"/>
      <c r="O886" s="335"/>
      <c r="P886" s="36"/>
      <c r="Q886" s="36"/>
      <c r="R886" s="36"/>
    </row>
    <row r="887">
      <c r="A887" s="25"/>
      <c r="B887" s="131"/>
      <c r="D887" s="11"/>
      <c r="E887" s="45"/>
      <c r="F887" s="45"/>
      <c r="O887" s="335"/>
      <c r="P887" s="36"/>
      <c r="Q887" s="36"/>
      <c r="R887" s="36"/>
    </row>
    <row r="888">
      <c r="A888" s="25"/>
      <c r="B888" s="131"/>
      <c r="D888" s="11"/>
      <c r="E888" s="45"/>
      <c r="F888" s="45"/>
      <c r="O888" s="335"/>
      <c r="P888" s="36"/>
      <c r="Q888" s="36"/>
      <c r="R888" s="36"/>
    </row>
    <row r="889">
      <c r="A889" s="25"/>
      <c r="B889" s="131"/>
      <c r="D889" s="11"/>
      <c r="E889" s="45"/>
      <c r="F889" s="45"/>
      <c r="O889" s="335"/>
      <c r="P889" s="36"/>
      <c r="Q889" s="36"/>
      <c r="R889" s="36"/>
    </row>
    <row r="890">
      <c r="A890" s="25"/>
      <c r="B890" s="131"/>
      <c r="D890" s="11"/>
      <c r="E890" s="45"/>
      <c r="F890" s="45"/>
      <c r="O890" s="335"/>
      <c r="P890" s="36"/>
      <c r="Q890" s="36"/>
      <c r="R890" s="36"/>
    </row>
    <row r="891">
      <c r="A891" s="25"/>
      <c r="B891" s="131"/>
      <c r="D891" s="11"/>
      <c r="E891" s="45"/>
      <c r="F891" s="45"/>
      <c r="O891" s="335"/>
      <c r="P891" s="36"/>
      <c r="Q891" s="36"/>
      <c r="R891" s="36"/>
    </row>
    <row r="892">
      <c r="A892" s="25"/>
      <c r="B892" s="131"/>
      <c r="D892" s="11"/>
      <c r="E892" s="45"/>
      <c r="F892" s="45"/>
      <c r="O892" s="335"/>
      <c r="P892" s="36"/>
      <c r="Q892" s="36"/>
      <c r="R892" s="36"/>
    </row>
    <row r="893">
      <c r="A893" s="25"/>
      <c r="B893" s="131"/>
      <c r="D893" s="11"/>
      <c r="E893" s="45"/>
      <c r="F893" s="45"/>
      <c r="O893" s="335"/>
      <c r="P893" s="36"/>
      <c r="Q893" s="36"/>
      <c r="R893" s="36"/>
    </row>
    <row r="894">
      <c r="A894" s="25"/>
      <c r="B894" s="131"/>
      <c r="D894" s="11"/>
      <c r="E894" s="45"/>
      <c r="F894" s="45"/>
      <c r="O894" s="335"/>
      <c r="P894" s="36"/>
      <c r="Q894" s="36"/>
      <c r="R894" s="36"/>
    </row>
    <row r="895">
      <c r="A895" s="25"/>
      <c r="B895" s="131"/>
      <c r="D895" s="11"/>
      <c r="E895" s="45"/>
      <c r="F895" s="45"/>
      <c r="O895" s="335"/>
      <c r="P895" s="36"/>
      <c r="Q895" s="36"/>
      <c r="R895" s="36"/>
    </row>
    <row r="896">
      <c r="A896" s="25"/>
      <c r="B896" s="131"/>
      <c r="D896" s="11"/>
      <c r="E896" s="45"/>
      <c r="F896" s="45"/>
      <c r="O896" s="335"/>
      <c r="P896" s="36"/>
      <c r="Q896" s="36"/>
      <c r="R896" s="36"/>
    </row>
    <row r="897">
      <c r="A897" s="25"/>
      <c r="B897" s="131"/>
      <c r="D897" s="11"/>
      <c r="E897" s="45"/>
      <c r="F897" s="45"/>
      <c r="O897" s="335"/>
      <c r="P897" s="36"/>
      <c r="Q897" s="36"/>
      <c r="R897" s="36"/>
    </row>
    <row r="898">
      <c r="A898" s="25"/>
      <c r="B898" s="131"/>
      <c r="D898" s="11"/>
      <c r="E898" s="45"/>
      <c r="F898" s="45"/>
      <c r="O898" s="335"/>
      <c r="P898" s="36"/>
      <c r="Q898" s="36"/>
      <c r="R898" s="36"/>
    </row>
    <row r="899">
      <c r="A899" s="25"/>
      <c r="B899" s="131"/>
      <c r="D899" s="11"/>
      <c r="E899" s="45"/>
      <c r="F899" s="45"/>
      <c r="O899" s="335"/>
      <c r="P899" s="36"/>
      <c r="Q899" s="36"/>
      <c r="R899" s="36"/>
    </row>
    <row r="900">
      <c r="A900" s="25"/>
      <c r="B900" s="131"/>
      <c r="D900" s="11"/>
      <c r="E900" s="45"/>
      <c r="F900" s="45"/>
      <c r="O900" s="335"/>
      <c r="P900" s="36"/>
      <c r="Q900" s="36"/>
      <c r="R900" s="36"/>
    </row>
    <row r="901">
      <c r="A901" s="25"/>
      <c r="B901" s="131"/>
      <c r="D901" s="11"/>
      <c r="E901" s="45"/>
      <c r="F901" s="45"/>
      <c r="O901" s="335"/>
      <c r="P901" s="36"/>
      <c r="Q901" s="36"/>
      <c r="R901" s="36"/>
    </row>
    <row r="902">
      <c r="A902" s="25"/>
      <c r="B902" s="131"/>
      <c r="D902" s="11"/>
      <c r="E902" s="45"/>
      <c r="F902" s="45"/>
      <c r="O902" s="335"/>
      <c r="P902" s="36"/>
      <c r="Q902" s="36"/>
      <c r="R902" s="36"/>
    </row>
    <row r="903">
      <c r="A903" s="25"/>
      <c r="B903" s="131"/>
      <c r="D903" s="11"/>
      <c r="E903" s="45"/>
      <c r="F903" s="45"/>
      <c r="O903" s="335"/>
      <c r="P903" s="36"/>
      <c r="Q903" s="36"/>
      <c r="R903" s="36"/>
    </row>
    <row r="904">
      <c r="A904" s="25"/>
      <c r="B904" s="131"/>
      <c r="D904" s="11"/>
      <c r="E904" s="45"/>
      <c r="F904" s="45"/>
      <c r="O904" s="335"/>
      <c r="P904" s="36"/>
      <c r="Q904" s="36"/>
      <c r="R904" s="36"/>
    </row>
    <row r="905">
      <c r="A905" s="25"/>
      <c r="B905" s="131"/>
      <c r="D905" s="11"/>
      <c r="E905" s="45"/>
      <c r="F905" s="45"/>
      <c r="O905" s="335"/>
      <c r="P905" s="36"/>
      <c r="Q905" s="36"/>
      <c r="R905" s="36"/>
    </row>
    <row r="906">
      <c r="A906" s="25"/>
      <c r="B906" s="131"/>
      <c r="D906" s="11"/>
      <c r="E906" s="45"/>
      <c r="F906" s="45"/>
      <c r="O906" s="335"/>
      <c r="P906" s="36"/>
      <c r="Q906" s="36"/>
      <c r="R906" s="36"/>
    </row>
    <row r="907">
      <c r="A907" s="25"/>
      <c r="B907" s="131"/>
      <c r="D907" s="11"/>
      <c r="E907" s="45"/>
      <c r="F907" s="45"/>
      <c r="O907" s="335"/>
      <c r="P907" s="36"/>
      <c r="Q907" s="36"/>
      <c r="R907" s="36"/>
    </row>
    <row r="908">
      <c r="A908" s="25"/>
      <c r="B908" s="131"/>
      <c r="D908" s="11"/>
      <c r="E908" s="45"/>
      <c r="F908" s="45"/>
      <c r="O908" s="335"/>
      <c r="P908" s="36"/>
      <c r="Q908" s="36"/>
      <c r="R908" s="36"/>
    </row>
    <row r="909">
      <c r="A909" s="25"/>
      <c r="B909" s="131"/>
      <c r="D909" s="11"/>
      <c r="E909" s="45"/>
      <c r="F909" s="45"/>
      <c r="O909" s="335"/>
      <c r="P909" s="36"/>
      <c r="Q909" s="36"/>
      <c r="R909" s="36"/>
    </row>
    <row r="910">
      <c r="A910" s="25"/>
      <c r="B910" s="131"/>
      <c r="D910" s="11"/>
      <c r="E910" s="45"/>
      <c r="F910" s="45"/>
      <c r="O910" s="335"/>
      <c r="P910" s="36"/>
      <c r="Q910" s="36"/>
      <c r="R910" s="36"/>
    </row>
    <row r="911">
      <c r="A911" s="25"/>
      <c r="B911" s="131"/>
      <c r="D911" s="11"/>
      <c r="E911" s="45"/>
      <c r="F911" s="45"/>
      <c r="O911" s="335"/>
      <c r="P911" s="36"/>
      <c r="Q911" s="36"/>
      <c r="R911" s="36"/>
    </row>
    <row r="912">
      <c r="A912" s="25"/>
      <c r="B912" s="131"/>
      <c r="D912" s="11"/>
      <c r="E912" s="45"/>
      <c r="F912" s="45"/>
      <c r="O912" s="335"/>
      <c r="P912" s="36"/>
      <c r="Q912" s="36"/>
      <c r="R912" s="36"/>
    </row>
    <row r="913">
      <c r="A913" s="25"/>
      <c r="B913" s="131"/>
      <c r="D913" s="11"/>
      <c r="E913" s="45"/>
      <c r="F913" s="45"/>
      <c r="O913" s="335"/>
      <c r="P913" s="36"/>
      <c r="Q913" s="36"/>
      <c r="R913" s="36"/>
    </row>
    <row r="914">
      <c r="A914" s="25"/>
      <c r="B914" s="131"/>
      <c r="D914" s="11"/>
      <c r="E914" s="45"/>
      <c r="F914" s="45"/>
      <c r="O914" s="335"/>
      <c r="P914" s="36"/>
      <c r="Q914" s="36"/>
      <c r="R914" s="36"/>
    </row>
    <row r="915">
      <c r="A915" s="25"/>
      <c r="B915" s="131"/>
      <c r="D915" s="11"/>
      <c r="E915" s="45"/>
      <c r="F915" s="45"/>
      <c r="O915" s="335"/>
      <c r="P915" s="36"/>
      <c r="Q915" s="36"/>
      <c r="R915" s="36"/>
    </row>
    <row r="916">
      <c r="A916" s="25"/>
      <c r="B916" s="131"/>
      <c r="D916" s="11"/>
      <c r="E916" s="45"/>
      <c r="F916" s="45"/>
      <c r="O916" s="335"/>
      <c r="P916" s="36"/>
      <c r="Q916" s="36"/>
      <c r="R916" s="36"/>
    </row>
    <row r="917">
      <c r="A917" s="25"/>
      <c r="B917" s="131"/>
      <c r="D917" s="11"/>
      <c r="E917" s="45"/>
      <c r="F917" s="45"/>
      <c r="O917" s="335"/>
      <c r="P917" s="36"/>
      <c r="Q917" s="36"/>
      <c r="R917" s="36"/>
    </row>
    <row r="918">
      <c r="A918" s="25"/>
      <c r="B918" s="131"/>
      <c r="D918" s="11"/>
      <c r="E918" s="45"/>
      <c r="F918" s="45"/>
      <c r="O918" s="335"/>
      <c r="P918" s="36"/>
      <c r="Q918" s="36"/>
      <c r="R918" s="36"/>
    </row>
    <row r="919">
      <c r="A919" s="25"/>
      <c r="B919" s="131"/>
      <c r="D919" s="11"/>
      <c r="E919" s="45"/>
      <c r="F919" s="45"/>
      <c r="O919" s="335"/>
      <c r="P919" s="36"/>
      <c r="Q919" s="36"/>
      <c r="R919" s="36"/>
    </row>
    <row r="920">
      <c r="A920" s="25"/>
      <c r="B920" s="131"/>
      <c r="D920" s="11"/>
      <c r="E920" s="45"/>
      <c r="F920" s="45"/>
      <c r="O920" s="335"/>
      <c r="P920" s="36"/>
      <c r="Q920" s="36"/>
      <c r="R920" s="36"/>
    </row>
    <row r="921">
      <c r="A921" s="25"/>
      <c r="B921" s="131"/>
      <c r="D921" s="11"/>
      <c r="E921" s="45"/>
      <c r="F921" s="45"/>
      <c r="O921" s="335"/>
      <c r="P921" s="36"/>
      <c r="Q921" s="36"/>
      <c r="R921" s="36"/>
    </row>
    <row r="922">
      <c r="A922" s="25"/>
      <c r="B922" s="131"/>
      <c r="D922" s="11"/>
      <c r="E922" s="45"/>
      <c r="F922" s="45"/>
      <c r="O922" s="335"/>
      <c r="P922" s="36"/>
      <c r="Q922" s="36"/>
      <c r="R922" s="36"/>
    </row>
    <row r="923">
      <c r="A923" s="25"/>
      <c r="B923" s="131"/>
      <c r="D923" s="11"/>
      <c r="E923" s="45"/>
      <c r="F923" s="45"/>
      <c r="O923" s="335"/>
      <c r="P923" s="36"/>
      <c r="Q923" s="36"/>
      <c r="R923" s="36"/>
    </row>
    <row r="924">
      <c r="A924" s="25"/>
      <c r="B924" s="131"/>
      <c r="D924" s="11"/>
      <c r="E924" s="45"/>
      <c r="F924" s="45"/>
      <c r="O924" s="335"/>
      <c r="P924" s="36"/>
      <c r="Q924" s="36"/>
      <c r="R924" s="36"/>
    </row>
    <row r="925">
      <c r="A925" s="25"/>
      <c r="B925" s="131"/>
      <c r="D925" s="11"/>
      <c r="E925" s="45"/>
      <c r="F925" s="45"/>
      <c r="O925" s="335"/>
      <c r="P925" s="36"/>
      <c r="Q925" s="36"/>
      <c r="R925" s="36"/>
    </row>
    <row r="926">
      <c r="A926" s="25"/>
      <c r="B926" s="131"/>
      <c r="D926" s="11"/>
      <c r="E926" s="45"/>
      <c r="F926" s="45"/>
      <c r="O926" s="335"/>
      <c r="P926" s="36"/>
      <c r="Q926" s="36"/>
      <c r="R926" s="36"/>
    </row>
    <row r="927">
      <c r="A927" s="25"/>
      <c r="B927" s="131"/>
      <c r="D927" s="11"/>
      <c r="E927" s="45"/>
      <c r="F927" s="45"/>
      <c r="O927" s="335"/>
      <c r="P927" s="36"/>
      <c r="Q927" s="36"/>
      <c r="R927" s="36"/>
    </row>
    <row r="928">
      <c r="A928" s="25"/>
      <c r="B928" s="131"/>
      <c r="D928" s="11"/>
      <c r="E928" s="45"/>
      <c r="F928" s="45"/>
      <c r="O928" s="335"/>
      <c r="P928" s="36"/>
      <c r="Q928" s="36"/>
      <c r="R928" s="36"/>
    </row>
    <row r="929">
      <c r="A929" s="25"/>
      <c r="B929" s="131"/>
      <c r="D929" s="11"/>
      <c r="E929" s="45"/>
      <c r="F929" s="45"/>
      <c r="O929" s="335"/>
      <c r="P929" s="36"/>
      <c r="Q929" s="36"/>
      <c r="R929" s="36"/>
    </row>
    <row r="930">
      <c r="A930" s="25"/>
      <c r="B930" s="131"/>
      <c r="D930" s="11"/>
      <c r="E930" s="45"/>
      <c r="F930" s="45"/>
      <c r="O930" s="335"/>
      <c r="P930" s="36"/>
      <c r="Q930" s="36"/>
      <c r="R930" s="36"/>
    </row>
    <row r="931">
      <c r="A931" s="25"/>
      <c r="B931" s="131"/>
      <c r="D931" s="11"/>
      <c r="E931" s="45"/>
      <c r="F931" s="45"/>
      <c r="O931" s="335"/>
      <c r="P931" s="36"/>
      <c r="Q931" s="36"/>
      <c r="R931" s="36"/>
    </row>
    <row r="932">
      <c r="A932" s="25"/>
      <c r="B932" s="131"/>
      <c r="D932" s="11"/>
      <c r="E932" s="45"/>
      <c r="F932" s="45"/>
      <c r="O932" s="335"/>
      <c r="P932" s="36"/>
      <c r="Q932" s="36"/>
      <c r="R932" s="36"/>
    </row>
    <row r="933">
      <c r="A933" s="25"/>
      <c r="B933" s="131"/>
      <c r="D933" s="11"/>
      <c r="E933" s="45"/>
      <c r="F933" s="45"/>
      <c r="O933" s="335"/>
      <c r="P933" s="36"/>
      <c r="Q933" s="36"/>
      <c r="R933" s="36"/>
    </row>
    <row r="934">
      <c r="A934" s="25"/>
      <c r="B934" s="131"/>
      <c r="D934" s="11"/>
      <c r="E934" s="45"/>
      <c r="F934" s="45"/>
      <c r="O934" s="335"/>
      <c r="P934" s="36"/>
      <c r="Q934" s="36"/>
      <c r="R934" s="36"/>
    </row>
    <row r="935">
      <c r="A935" s="25"/>
      <c r="B935" s="131"/>
      <c r="D935" s="11"/>
      <c r="E935" s="45"/>
      <c r="F935" s="45"/>
      <c r="O935" s="335"/>
      <c r="P935" s="36"/>
      <c r="Q935" s="36"/>
      <c r="R935" s="36"/>
    </row>
    <row r="936">
      <c r="A936" s="25"/>
      <c r="B936" s="131"/>
      <c r="D936" s="11"/>
      <c r="E936" s="45"/>
      <c r="F936" s="45"/>
      <c r="O936" s="335"/>
      <c r="P936" s="36"/>
      <c r="Q936" s="36"/>
      <c r="R936" s="36"/>
    </row>
    <row r="937">
      <c r="A937" s="25"/>
      <c r="B937" s="131"/>
      <c r="D937" s="11"/>
      <c r="E937" s="45"/>
      <c r="F937" s="45"/>
      <c r="O937" s="335"/>
      <c r="P937" s="36"/>
      <c r="Q937" s="36"/>
      <c r="R937" s="36"/>
    </row>
    <row r="938">
      <c r="A938" s="25"/>
      <c r="B938" s="131"/>
      <c r="D938" s="11"/>
      <c r="E938" s="45"/>
      <c r="F938" s="45"/>
      <c r="O938" s="335"/>
      <c r="P938" s="36"/>
      <c r="Q938" s="36"/>
      <c r="R938" s="36"/>
    </row>
    <row r="939">
      <c r="A939" s="25"/>
      <c r="B939" s="131"/>
      <c r="D939" s="11"/>
      <c r="E939" s="45"/>
      <c r="F939" s="45"/>
      <c r="O939" s="335"/>
      <c r="P939" s="36"/>
      <c r="Q939" s="36"/>
      <c r="R939" s="36"/>
    </row>
    <row r="940">
      <c r="A940" s="25"/>
      <c r="B940" s="131"/>
      <c r="D940" s="11"/>
      <c r="E940" s="45"/>
      <c r="F940" s="45"/>
      <c r="O940" s="335"/>
      <c r="P940" s="36"/>
      <c r="Q940" s="36"/>
      <c r="R940" s="36"/>
    </row>
    <row r="941">
      <c r="A941" s="25"/>
      <c r="B941" s="131"/>
      <c r="D941" s="11"/>
      <c r="E941" s="45"/>
      <c r="F941" s="45"/>
      <c r="O941" s="335"/>
      <c r="P941" s="36"/>
      <c r="Q941" s="36"/>
      <c r="R941" s="36"/>
    </row>
    <row r="942">
      <c r="A942" s="25"/>
      <c r="B942" s="131"/>
      <c r="D942" s="11"/>
      <c r="E942" s="45"/>
      <c r="F942" s="45"/>
      <c r="O942" s="335"/>
      <c r="P942" s="36"/>
      <c r="Q942" s="36"/>
      <c r="R942" s="36"/>
    </row>
    <row r="943">
      <c r="A943" s="25"/>
      <c r="B943" s="131"/>
      <c r="D943" s="11"/>
      <c r="E943" s="45"/>
      <c r="F943" s="45"/>
      <c r="O943" s="335"/>
      <c r="P943" s="36"/>
      <c r="Q943" s="36"/>
      <c r="R943" s="36"/>
    </row>
    <row r="944">
      <c r="A944" s="25"/>
      <c r="B944" s="131"/>
      <c r="D944" s="11"/>
      <c r="E944" s="45"/>
      <c r="F944" s="45"/>
      <c r="O944" s="335"/>
      <c r="P944" s="36"/>
      <c r="Q944" s="36"/>
      <c r="R944" s="36"/>
    </row>
    <row r="945">
      <c r="A945" s="25"/>
      <c r="B945" s="131"/>
      <c r="D945" s="11"/>
      <c r="E945" s="45"/>
      <c r="F945" s="45"/>
      <c r="O945" s="335"/>
      <c r="P945" s="36"/>
      <c r="Q945" s="36"/>
      <c r="R945" s="36"/>
    </row>
    <row r="946">
      <c r="A946" s="25"/>
      <c r="B946" s="131"/>
      <c r="D946" s="11"/>
      <c r="E946" s="45"/>
      <c r="F946" s="45"/>
      <c r="O946" s="335"/>
      <c r="P946" s="36"/>
      <c r="Q946" s="36"/>
      <c r="R946" s="36"/>
    </row>
    <row r="947">
      <c r="A947" s="25"/>
      <c r="B947" s="131"/>
      <c r="D947" s="11"/>
      <c r="E947" s="45"/>
      <c r="F947" s="45"/>
      <c r="O947" s="335"/>
      <c r="P947" s="36"/>
      <c r="Q947" s="36"/>
      <c r="R947" s="36"/>
    </row>
    <row r="948">
      <c r="A948" s="25"/>
      <c r="B948" s="131"/>
      <c r="D948" s="11"/>
      <c r="E948" s="45"/>
      <c r="F948" s="45"/>
      <c r="O948" s="335"/>
      <c r="P948" s="36"/>
      <c r="Q948" s="36"/>
      <c r="R948" s="36"/>
    </row>
    <row r="949">
      <c r="A949" s="25"/>
      <c r="B949" s="131"/>
      <c r="D949" s="11"/>
      <c r="E949" s="45"/>
      <c r="F949" s="45"/>
      <c r="O949" s="335"/>
      <c r="P949" s="36"/>
      <c r="Q949" s="36"/>
      <c r="R949" s="36"/>
    </row>
    <row r="950">
      <c r="A950" s="25"/>
      <c r="B950" s="131"/>
      <c r="D950" s="11"/>
      <c r="E950" s="45"/>
      <c r="F950" s="45"/>
      <c r="O950" s="335"/>
      <c r="P950" s="36"/>
      <c r="Q950" s="36"/>
      <c r="R950" s="36"/>
    </row>
    <row r="951">
      <c r="A951" s="25"/>
      <c r="B951" s="131"/>
      <c r="D951" s="11"/>
      <c r="E951" s="45"/>
      <c r="F951" s="45"/>
      <c r="O951" s="335"/>
      <c r="P951" s="36"/>
      <c r="Q951" s="36"/>
      <c r="R951" s="36"/>
    </row>
    <row r="952">
      <c r="A952" s="25"/>
      <c r="B952" s="131"/>
      <c r="D952" s="11"/>
      <c r="E952" s="45"/>
      <c r="F952" s="45"/>
      <c r="O952" s="335"/>
      <c r="P952" s="36"/>
      <c r="Q952" s="36"/>
      <c r="R952" s="36"/>
    </row>
    <row r="953">
      <c r="A953" s="25"/>
      <c r="B953" s="131"/>
      <c r="D953" s="11"/>
      <c r="E953" s="45"/>
      <c r="F953" s="45"/>
      <c r="O953" s="335"/>
      <c r="P953" s="36"/>
      <c r="Q953" s="36"/>
      <c r="R953" s="36"/>
    </row>
    <row r="954">
      <c r="A954" s="25"/>
      <c r="B954" s="131"/>
      <c r="D954" s="11"/>
      <c r="E954" s="45"/>
      <c r="F954" s="45"/>
      <c r="O954" s="335"/>
      <c r="P954" s="36"/>
      <c r="Q954" s="36"/>
      <c r="R954" s="36"/>
    </row>
    <row r="955">
      <c r="A955" s="25"/>
      <c r="B955" s="131"/>
      <c r="D955" s="11"/>
      <c r="E955" s="45"/>
      <c r="F955" s="45"/>
      <c r="O955" s="335"/>
      <c r="P955" s="36"/>
      <c r="Q955" s="36"/>
      <c r="R955" s="36"/>
    </row>
    <row r="956">
      <c r="A956" s="25"/>
      <c r="B956" s="131"/>
      <c r="D956" s="11"/>
      <c r="E956" s="45"/>
      <c r="F956" s="45"/>
      <c r="O956" s="335"/>
      <c r="P956" s="36"/>
      <c r="Q956" s="36"/>
      <c r="R956" s="36"/>
    </row>
    <row r="957">
      <c r="A957" s="25"/>
      <c r="B957" s="131"/>
      <c r="D957" s="11"/>
      <c r="E957" s="45"/>
      <c r="F957" s="45"/>
      <c r="O957" s="335"/>
      <c r="P957" s="36"/>
      <c r="Q957" s="36"/>
      <c r="R957" s="36"/>
    </row>
    <row r="958">
      <c r="A958" s="25"/>
      <c r="B958" s="131"/>
      <c r="D958" s="11"/>
      <c r="E958" s="45"/>
      <c r="F958" s="45"/>
      <c r="O958" s="335"/>
      <c r="P958" s="36"/>
      <c r="Q958" s="36"/>
      <c r="R958" s="36"/>
    </row>
    <row r="959">
      <c r="A959" s="25"/>
      <c r="B959" s="131"/>
      <c r="D959" s="11"/>
      <c r="E959" s="45"/>
      <c r="F959" s="45"/>
      <c r="O959" s="335"/>
      <c r="P959" s="36"/>
      <c r="Q959" s="36"/>
      <c r="R959" s="36"/>
    </row>
    <row r="960">
      <c r="A960" s="25"/>
      <c r="B960" s="131"/>
      <c r="D960" s="11"/>
      <c r="E960" s="45"/>
      <c r="F960" s="45"/>
      <c r="O960" s="335"/>
      <c r="P960" s="36"/>
      <c r="Q960" s="36"/>
      <c r="R960" s="36"/>
    </row>
    <row r="961">
      <c r="A961" s="25"/>
      <c r="B961" s="131"/>
      <c r="D961" s="11"/>
      <c r="E961" s="45"/>
      <c r="F961" s="45"/>
      <c r="O961" s="335"/>
      <c r="P961" s="36"/>
      <c r="Q961" s="36"/>
      <c r="R961" s="36"/>
    </row>
    <row r="962">
      <c r="A962" s="25"/>
      <c r="B962" s="131"/>
      <c r="D962" s="11"/>
      <c r="E962" s="45"/>
      <c r="F962" s="45"/>
      <c r="O962" s="335"/>
      <c r="P962" s="36"/>
      <c r="Q962" s="36"/>
      <c r="R962" s="36"/>
    </row>
    <row r="963">
      <c r="A963" s="25"/>
      <c r="B963" s="131"/>
      <c r="D963" s="11"/>
      <c r="E963" s="45"/>
      <c r="F963" s="45"/>
      <c r="O963" s="335"/>
      <c r="P963" s="36"/>
      <c r="Q963" s="36"/>
      <c r="R963" s="36"/>
    </row>
    <row r="964">
      <c r="A964" s="25"/>
      <c r="B964" s="131"/>
      <c r="D964" s="11"/>
      <c r="E964" s="45"/>
      <c r="F964" s="45"/>
      <c r="O964" s="335"/>
      <c r="P964" s="36"/>
      <c r="Q964" s="36"/>
      <c r="R964" s="36"/>
    </row>
    <row r="965">
      <c r="A965" s="25"/>
      <c r="B965" s="131"/>
      <c r="D965" s="11"/>
      <c r="E965" s="45"/>
      <c r="F965" s="45"/>
      <c r="O965" s="335"/>
      <c r="P965" s="36"/>
      <c r="Q965" s="36"/>
      <c r="R965" s="36"/>
    </row>
    <row r="966">
      <c r="A966" s="25"/>
      <c r="B966" s="131"/>
      <c r="D966" s="11"/>
      <c r="E966" s="45"/>
      <c r="F966" s="45"/>
      <c r="O966" s="335"/>
      <c r="P966" s="36"/>
      <c r="Q966" s="36"/>
      <c r="R966" s="36"/>
    </row>
    <row r="967">
      <c r="A967" s="25"/>
      <c r="B967" s="131"/>
      <c r="D967" s="11"/>
      <c r="E967" s="45"/>
      <c r="F967" s="45"/>
      <c r="O967" s="335"/>
      <c r="P967" s="36"/>
      <c r="Q967" s="36"/>
      <c r="R967" s="36"/>
    </row>
    <row r="968">
      <c r="A968" s="25"/>
      <c r="B968" s="131"/>
      <c r="D968" s="11"/>
      <c r="E968" s="45"/>
      <c r="F968" s="45"/>
      <c r="O968" s="335"/>
      <c r="P968" s="36"/>
      <c r="Q968" s="36"/>
      <c r="R968" s="36"/>
    </row>
    <row r="969">
      <c r="A969" s="25"/>
      <c r="B969" s="131"/>
      <c r="D969" s="11"/>
      <c r="E969" s="45"/>
      <c r="F969" s="45"/>
      <c r="O969" s="335"/>
      <c r="P969" s="36"/>
      <c r="Q969" s="36"/>
      <c r="R969" s="36"/>
    </row>
    <row r="970">
      <c r="A970" s="25"/>
      <c r="B970" s="131"/>
      <c r="D970" s="11"/>
      <c r="E970" s="45"/>
      <c r="F970" s="45"/>
      <c r="O970" s="335"/>
      <c r="P970" s="36"/>
      <c r="Q970" s="36"/>
      <c r="R970" s="36"/>
    </row>
    <row r="971">
      <c r="A971" s="25"/>
      <c r="B971" s="131"/>
      <c r="D971" s="11"/>
      <c r="E971" s="45"/>
      <c r="F971" s="45"/>
      <c r="O971" s="335"/>
      <c r="P971" s="36"/>
      <c r="Q971" s="36"/>
      <c r="R971" s="36"/>
    </row>
    <row r="972">
      <c r="A972" s="25"/>
      <c r="B972" s="131"/>
      <c r="D972" s="11"/>
      <c r="E972" s="45"/>
      <c r="F972" s="45"/>
      <c r="O972" s="335"/>
      <c r="P972" s="36"/>
      <c r="Q972" s="36"/>
      <c r="R972" s="36"/>
    </row>
    <row r="973">
      <c r="A973" s="25"/>
      <c r="B973" s="131"/>
      <c r="D973" s="11"/>
      <c r="E973" s="45"/>
      <c r="F973" s="45"/>
      <c r="O973" s="335"/>
      <c r="P973" s="36"/>
      <c r="Q973" s="36"/>
      <c r="R973" s="36"/>
    </row>
    <row r="974">
      <c r="A974" s="25"/>
      <c r="B974" s="131"/>
      <c r="D974" s="11"/>
      <c r="E974" s="45"/>
      <c r="F974" s="45"/>
      <c r="O974" s="335"/>
      <c r="P974" s="36"/>
      <c r="Q974" s="36"/>
      <c r="R974" s="36"/>
    </row>
    <row r="975">
      <c r="A975" s="25"/>
      <c r="B975" s="131"/>
      <c r="D975" s="11"/>
      <c r="E975" s="45"/>
      <c r="F975" s="45"/>
      <c r="O975" s="335"/>
      <c r="P975" s="36"/>
      <c r="Q975" s="36"/>
      <c r="R975" s="36"/>
    </row>
    <row r="976">
      <c r="A976" s="25"/>
      <c r="B976" s="131"/>
      <c r="D976" s="11"/>
      <c r="E976" s="45"/>
      <c r="F976" s="45"/>
      <c r="O976" s="335"/>
      <c r="P976" s="36"/>
      <c r="Q976" s="36"/>
      <c r="R976" s="36"/>
    </row>
    <row r="977">
      <c r="A977" s="25"/>
      <c r="B977" s="131"/>
      <c r="D977" s="11"/>
      <c r="E977" s="45"/>
      <c r="F977" s="45"/>
      <c r="O977" s="335"/>
      <c r="P977" s="36"/>
      <c r="Q977" s="36"/>
      <c r="R977" s="36"/>
    </row>
    <row r="978">
      <c r="A978" s="25"/>
      <c r="B978" s="131"/>
      <c r="D978" s="11"/>
      <c r="E978" s="45"/>
      <c r="F978" s="45"/>
      <c r="O978" s="335"/>
      <c r="P978" s="36"/>
      <c r="Q978" s="36"/>
      <c r="R978" s="36"/>
    </row>
    <row r="979">
      <c r="A979" s="25"/>
      <c r="B979" s="131"/>
      <c r="D979" s="11"/>
      <c r="E979" s="45"/>
      <c r="F979" s="45"/>
      <c r="O979" s="335"/>
      <c r="P979" s="36"/>
      <c r="Q979" s="36"/>
      <c r="R979" s="36"/>
    </row>
    <row r="980">
      <c r="A980" s="25"/>
      <c r="B980" s="131"/>
      <c r="D980" s="11"/>
      <c r="E980" s="45"/>
      <c r="F980" s="45"/>
      <c r="O980" s="335"/>
      <c r="P980" s="36"/>
      <c r="Q980" s="36"/>
      <c r="R980" s="36"/>
    </row>
    <row r="981">
      <c r="A981" s="25"/>
      <c r="B981" s="131"/>
      <c r="D981" s="11"/>
      <c r="E981" s="45"/>
      <c r="F981" s="45"/>
      <c r="O981" s="335"/>
      <c r="P981" s="36"/>
      <c r="Q981" s="36"/>
      <c r="R981" s="36"/>
    </row>
    <row r="982">
      <c r="A982" s="25"/>
      <c r="B982" s="131"/>
      <c r="D982" s="11"/>
      <c r="E982" s="45"/>
      <c r="F982" s="45"/>
      <c r="O982" s="335"/>
      <c r="P982" s="36"/>
      <c r="Q982" s="36"/>
      <c r="R982" s="36"/>
    </row>
    <row r="983">
      <c r="A983" s="25"/>
      <c r="B983" s="131"/>
      <c r="D983" s="11"/>
      <c r="E983" s="45"/>
      <c r="F983" s="45"/>
      <c r="O983" s="335"/>
      <c r="P983" s="36"/>
      <c r="Q983" s="36"/>
      <c r="R983" s="36"/>
    </row>
    <row r="984">
      <c r="A984" s="25"/>
      <c r="B984" s="131"/>
      <c r="D984" s="11"/>
      <c r="E984" s="45"/>
      <c r="F984" s="45"/>
      <c r="O984" s="335"/>
      <c r="P984" s="36"/>
      <c r="Q984" s="36"/>
      <c r="R984" s="36"/>
    </row>
    <row r="985">
      <c r="A985" s="25"/>
      <c r="B985" s="131"/>
      <c r="D985" s="11"/>
      <c r="E985" s="45"/>
      <c r="F985" s="45"/>
      <c r="O985" s="335"/>
      <c r="P985" s="36"/>
      <c r="Q985" s="36"/>
      <c r="R985" s="36"/>
    </row>
    <row r="986">
      <c r="A986" s="25"/>
      <c r="B986" s="131"/>
      <c r="D986" s="11"/>
      <c r="E986" s="45"/>
      <c r="F986" s="45"/>
      <c r="O986" s="335"/>
      <c r="P986" s="36"/>
      <c r="Q986" s="36"/>
      <c r="R986" s="36"/>
    </row>
    <row r="987">
      <c r="A987" s="25"/>
      <c r="B987" s="131"/>
      <c r="D987" s="11"/>
      <c r="E987" s="45"/>
      <c r="F987" s="45"/>
      <c r="O987" s="335"/>
      <c r="P987" s="36"/>
      <c r="Q987" s="36"/>
      <c r="R987" s="36"/>
    </row>
    <row r="988">
      <c r="A988" s="25"/>
      <c r="B988" s="131"/>
      <c r="D988" s="11"/>
      <c r="E988" s="45"/>
      <c r="F988" s="45"/>
      <c r="O988" s="335"/>
      <c r="P988" s="36"/>
      <c r="Q988" s="36"/>
      <c r="R988" s="36"/>
    </row>
    <row r="989">
      <c r="A989" s="25"/>
      <c r="B989" s="131"/>
      <c r="D989" s="11"/>
      <c r="E989" s="45"/>
      <c r="F989" s="45"/>
      <c r="O989" s="335"/>
      <c r="P989" s="36"/>
      <c r="Q989" s="36"/>
      <c r="R989" s="36"/>
    </row>
    <row r="990">
      <c r="A990" s="25"/>
      <c r="B990" s="131"/>
      <c r="D990" s="11"/>
      <c r="E990" s="45"/>
      <c r="F990" s="45"/>
      <c r="O990" s="335"/>
      <c r="P990" s="36"/>
      <c r="Q990" s="36"/>
      <c r="R990" s="36"/>
    </row>
    <row r="991">
      <c r="A991" s="25"/>
      <c r="B991" s="131"/>
      <c r="D991" s="11"/>
      <c r="E991" s="45"/>
      <c r="F991" s="45"/>
      <c r="O991" s="335"/>
      <c r="P991" s="36"/>
      <c r="Q991" s="36"/>
      <c r="R991" s="36"/>
    </row>
    <row r="992">
      <c r="A992" s="25"/>
      <c r="B992" s="131"/>
      <c r="D992" s="11"/>
      <c r="E992" s="45"/>
      <c r="F992" s="45"/>
      <c r="O992" s="335"/>
      <c r="P992" s="36"/>
      <c r="Q992" s="36"/>
      <c r="R992" s="36"/>
    </row>
    <row r="993">
      <c r="A993" s="25"/>
      <c r="B993" s="131"/>
      <c r="D993" s="11"/>
      <c r="E993" s="45"/>
      <c r="F993" s="45"/>
      <c r="O993" s="335"/>
      <c r="P993" s="36"/>
      <c r="Q993" s="36"/>
      <c r="R993" s="36"/>
    </row>
    <row r="994">
      <c r="A994" s="25"/>
      <c r="B994" s="131"/>
      <c r="D994" s="11"/>
      <c r="E994" s="45"/>
      <c r="F994" s="45"/>
      <c r="O994" s="335"/>
      <c r="P994" s="36"/>
      <c r="Q994" s="36"/>
      <c r="R994" s="36"/>
    </row>
    <row r="995">
      <c r="A995" s="25"/>
      <c r="B995" s="131"/>
      <c r="D995" s="11"/>
      <c r="E995" s="45"/>
      <c r="F995" s="45"/>
      <c r="O995" s="335"/>
      <c r="P995" s="36"/>
      <c r="Q995" s="36"/>
      <c r="R995" s="36"/>
    </row>
    <row r="996">
      <c r="A996" s="25"/>
      <c r="B996" s="131"/>
      <c r="D996" s="11"/>
      <c r="E996" s="45"/>
      <c r="F996" s="45"/>
      <c r="O996" s="335"/>
      <c r="P996" s="36"/>
      <c r="Q996" s="36"/>
      <c r="R996" s="36"/>
    </row>
    <row r="997">
      <c r="A997" s="25"/>
      <c r="B997" s="131"/>
      <c r="D997" s="11"/>
      <c r="E997" s="45"/>
      <c r="F997" s="45"/>
      <c r="O997" s="335"/>
      <c r="P997" s="36"/>
      <c r="Q997" s="36"/>
      <c r="R997" s="36"/>
    </row>
    <row r="998">
      <c r="A998" s="25"/>
      <c r="B998" s="131"/>
      <c r="D998" s="11"/>
      <c r="E998" s="45"/>
      <c r="F998" s="45"/>
      <c r="O998" s="335"/>
      <c r="P998" s="36"/>
      <c r="Q998" s="36"/>
      <c r="R998" s="36"/>
    </row>
    <row r="999">
      <c r="A999" s="25"/>
      <c r="B999" s="131"/>
      <c r="D999" s="11"/>
      <c r="E999" s="45"/>
      <c r="F999" s="45"/>
      <c r="O999" s="335"/>
      <c r="P999" s="36"/>
      <c r="Q999" s="36"/>
      <c r="R999" s="36"/>
    </row>
    <row r="1000">
      <c r="A1000" s="25"/>
      <c r="B1000" s="131"/>
      <c r="D1000" s="11"/>
      <c r="E1000" s="45"/>
      <c r="F1000" s="45"/>
      <c r="O1000" s="335"/>
      <c r="P1000" s="36"/>
      <c r="Q1000" s="36"/>
      <c r="R1000" s="36"/>
    </row>
    <row r="1001">
      <c r="A1001" s="25"/>
      <c r="B1001" s="131"/>
      <c r="D1001" s="11"/>
      <c r="E1001" s="45"/>
      <c r="F1001" s="45"/>
      <c r="O1001" s="335"/>
      <c r="P1001" s="36"/>
      <c r="Q1001" s="36"/>
      <c r="R1001" s="36"/>
    </row>
    <row r="1002">
      <c r="A1002" s="25"/>
      <c r="B1002" s="131"/>
      <c r="D1002" s="11"/>
      <c r="E1002" s="45"/>
      <c r="F1002" s="45"/>
      <c r="O1002" s="335"/>
      <c r="P1002" s="36"/>
      <c r="Q1002" s="36"/>
      <c r="R1002" s="36"/>
    </row>
    <row r="1003">
      <c r="A1003" s="25"/>
      <c r="B1003" s="131"/>
      <c r="D1003" s="11"/>
      <c r="E1003" s="45"/>
      <c r="F1003" s="45"/>
      <c r="O1003" s="335"/>
      <c r="P1003" s="36"/>
      <c r="Q1003" s="36"/>
      <c r="R1003" s="36"/>
    </row>
    <row r="1004">
      <c r="A1004" s="25"/>
      <c r="B1004" s="131"/>
      <c r="D1004" s="11"/>
      <c r="E1004" s="45"/>
      <c r="F1004" s="45"/>
      <c r="O1004" s="335"/>
      <c r="P1004" s="36"/>
      <c r="Q1004" s="36"/>
      <c r="R1004" s="36"/>
    </row>
    <row r="1005">
      <c r="A1005" s="25"/>
      <c r="B1005" s="131"/>
      <c r="D1005" s="11"/>
      <c r="E1005" s="45"/>
      <c r="F1005" s="45"/>
      <c r="O1005" s="335"/>
      <c r="P1005" s="36"/>
      <c r="Q1005" s="36"/>
      <c r="R1005" s="36"/>
    </row>
    <row r="1006">
      <c r="A1006" s="25"/>
      <c r="B1006" s="131"/>
      <c r="D1006" s="11"/>
      <c r="E1006" s="45"/>
      <c r="F1006" s="45"/>
      <c r="O1006" s="335"/>
      <c r="P1006" s="36"/>
      <c r="Q1006" s="36"/>
      <c r="R1006" s="36"/>
    </row>
    <row r="1007">
      <c r="A1007" s="25"/>
      <c r="B1007" s="131"/>
      <c r="D1007" s="11"/>
      <c r="E1007" s="45"/>
      <c r="F1007" s="45"/>
      <c r="O1007" s="335"/>
      <c r="P1007" s="36"/>
      <c r="Q1007" s="36"/>
      <c r="R1007" s="36"/>
    </row>
    <row r="1008">
      <c r="A1008" s="25"/>
      <c r="B1008" s="131"/>
      <c r="D1008" s="11"/>
      <c r="E1008" s="45"/>
      <c r="F1008" s="45"/>
      <c r="O1008" s="335"/>
      <c r="P1008" s="36"/>
      <c r="Q1008" s="36"/>
      <c r="R1008" s="36"/>
    </row>
    <row r="1009">
      <c r="A1009" s="25"/>
      <c r="B1009" s="131"/>
      <c r="D1009" s="11"/>
      <c r="E1009" s="45"/>
      <c r="F1009" s="45"/>
      <c r="O1009" s="335"/>
      <c r="P1009" s="36"/>
      <c r="Q1009" s="36"/>
      <c r="R1009" s="36"/>
    </row>
    <row r="1010">
      <c r="A1010" s="25"/>
      <c r="B1010" s="131"/>
      <c r="D1010" s="11"/>
      <c r="E1010" s="45"/>
      <c r="F1010" s="45"/>
      <c r="O1010" s="335"/>
      <c r="P1010" s="36"/>
      <c r="Q1010" s="36"/>
      <c r="R1010" s="36"/>
    </row>
    <row r="1011">
      <c r="A1011" s="25"/>
      <c r="B1011" s="131"/>
      <c r="D1011" s="11"/>
      <c r="E1011" s="45"/>
      <c r="F1011" s="45"/>
      <c r="O1011" s="335"/>
      <c r="P1011" s="36"/>
      <c r="Q1011" s="36"/>
      <c r="R1011" s="36"/>
    </row>
    <row r="1012">
      <c r="A1012" s="25"/>
      <c r="B1012" s="131"/>
      <c r="D1012" s="11"/>
      <c r="E1012" s="45"/>
      <c r="F1012" s="45"/>
      <c r="O1012" s="335"/>
      <c r="P1012" s="36"/>
      <c r="Q1012" s="36"/>
      <c r="R1012" s="36"/>
    </row>
    <row r="1013">
      <c r="A1013" s="25"/>
      <c r="B1013" s="131"/>
      <c r="D1013" s="11"/>
      <c r="E1013" s="45"/>
      <c r="F1013" s="45"/>
      <c r="O1013" s="335"/>
      <c r="P1013" s="36"/>
      <c r="Q1013" s="36"/>
      <c r="R1013" s="36"/>
    </row>
    <row r="1014">
      <c r="A1014" s="25"/>
      <c r="B1014" s="131"/>
      <c r="D1014" s="11"/>
      <c r="E1014" s="45"/>
      <c r="F1014" s="45"/>
      <c r="O1014" s="335"/>
      <c r="P1014" s="36"/>
      <c r="Q1014" s="36"/>
      <c r="R1014" s="36"/>
    </row>
    <row r="1015">
      <c r="A1015" s="25"/>
      <c r="B1015" s="131"/>
      <c r="D1015" s="11"/>
      <c r="E1015" s="45"/>
      <c r="F1015" s="45"/>
      <c r="O1015" s="335"/>
      <c r="P1015" s="36"/>
      <c r="Q1015" s="36"/>
      <c r="R1015" s="36"/>
    </row>
    <row r="1016">
      <c r="A1016" s="25"/>
      <c r="B1016" s="131"/>
      <c r="D1016" s="11"/>
      <c r="E1016" s="45"/>
      <c r="F1016" s="45"/>
      <c r="O1016" s="335"/>
      <c r="P1016" s="36"/>
      <c r="Q1016" s="36"/>
      <c r="R1016" s="36"/>
    </row>
    <row r="1017">
      <c r="A1017" s="25"/>
      <c r="B1017" s="131"/>
      <c r="D1017" s="11"/>
      <c r="E1017" s="45"/>
      <c r="F1017" s="45"/>
      <c r="O1017" s="335"/>
      <c r="P1017" s="36"/>
      <c r="Q1017" s="36"/>
      <c r="R1017" s="36"/>
    </row>
    <row r="1018">
      <c r="A1018" s="25"/>
      <c r="B1018" s="131"/>
      <c r="D1018" s="11"/>
      <c r="E1018" s="45"/>
      <c r="F1018" s="45"/>
      <c r="O1018" s="335"/>
      <c r="P1018" s="36"/>
      <c r="Q1018" s="36"/>
      <c r="R1018" s="36"/>
    </row>
    <row r="1019">
      <c r="A1019" s="25"/>
      <c r="B1019" s="131"/>
      <c r="D1019" s="11"/>
      <c r="E1019" s="45"/>
      <c r="F1019" s="45"/>
      <c r="O1019" s="335"/>
      <c r="P1019" s="36"/>
      <c r="Q1019" s="36"/>
      <c r="R1019" s="36"/>
    </row>
    <row r="1020">
      <c r="A1020" s="25"/>
      <c r="B1020" s="131"/>
      <c r="D1020" s="11"/>
      <c r="E1020" s="45"/>
      <c r="F1020" s="45"/>
      <c r="O1020" s="335"/>
      <c r="P1020" s="36"/>
      <c r="Q1020" s="36"/>
      <c r="R1020" s="36"/>
    </row>
    <row r="1021">
      <c r="A1021" s="25"/>
      <c r="B1021" s="131"/>
      <c r="D1021" s="11"/>
      <c r="E1021" s="45"/>
      <c r="F1021" s="45"/>
      <c r="O1021" s="335"/>
      <c r="P1021" s="36"/>
      <c r="Q1021" s="36"/>
      <c r="R1021" s="36"/>
    </row>
    <row r="1022">
      <c r="A1022" s="25"/>
      <c r="B1022" s="131"/>
      <c r="D1022" s="11"/>
      <c r="E1022" s="45"/>
      <c r="F1022" s="45"/>
      <c r="O1022" s="335"/>
      <c r="P1022" s="36"/>
      <c r="Q1022" s="36"/>
      <c r="R1022" s="36"/>
    </row>
    <row r="1023">
      <c r="A1023" s="25"/>
      <c r="B1023" s="131"/>
      <c r="D1023" s="11"/>
      <c r="E1023" s="45"/>
      <c r="F1023" s="45"/>
      <c r="O1023" s="335"/>
      <c r="P1023" s="36"/>
      <c r="Q1023" s="36"/>
      <c r="R1023" s="36"/>
    </row>
    <row r="1024">
      <c r="A1024" s="25"/>
      <c r="B1024" s="131"/>
      <c r="D1024" s="11"/>
      <c r="E1024" s="45"/>
      <c r="F1024" s="45"/>
      <c r="O1024" s="335"/>
      <c r="P1024" s="36"/>
      <c r="Q1024" s="36"/>
      <c r="R1024" s="36"/>
    </row>
    <row r="1025">
      <c r="A1025" s="25"/>
      <c r="B1025" s="131"/>
      <c r="D1025" s="11"/>
      <c r="E1025" s="45"/>
      <c r="F1025" s="45"/>
      <c r="O1025" s="335"/>
      <c r="P1025" s="36"/>
      <c r="Q1025" s="36"/>
      <c r="R1025" s="36"/>
    </row>
    <row r="1026">
      <c r="A1026" s="25"/>
      <c r="B1026" s="131"/>
      <c r="D1026" s="11"/>
      <c r="E1026" s="45"/>
      <c r="F1026" s="45"/>
      <c r="O1026" s="335"/>
      <c r="P1026" s="36"/>
      <c r="Q1026" s="36"/>
      <c r="R1026" s="36"/>
    </row>
    <row r="1027">
      <c r="A1027" s="25"/>
      <c r="B1027" s="131"/>
      <c r="D1027" s="11"/>
      <c r="E1027" s="45"/>
      <c r="F1027" s="45"/>
      <c r="O1027" s="335"/>
      <c r="P1027" s="36"/>
      <c r="Q1027" s="36"/>
      <c r="R1027" s="36"/>
    </row>
    <row r="1028">
      <c r="A1028" s="25"/>
      <c r="B1028" s="131"/>
      <c r="D1028" s="11"/>
      <c r="E1028" s="45"/>
      <c r="F1028" s="45"/>
      <c r="O1028" s="335"/>
      <c r="P1028" s="36"/>
      <c r="Q1028" s="36"/>
      <c r="R1028" s="36"/>
    </row>
    <row r="1029">
      <c r="A1029" s="25"/>
      <c r="B1029" s="131"/>
      <c r="D1029" s="11"/>
      <c r="E1029" s="45"/>
      <c r="F1029" s="45"/>
      <c r="O1029" s="335"/>
      <c r="P1029" s="36"/>
      <c r="Q1029" s="36"/>
      <c r="R1029" s="36"/>
    </row>
    <row r="1030">
      <c r="A1030" s="25"/>
      <c r="B1030" s="131"/>
      <c r="D1030" s="11"/>
      <c r="E1030" s="45"/>
      <c r="F1030" s="45"/>
      <c r="O1030" s="335"/>
      <c r="P1030" s="36"/>
      <c r="Q1030" s="36"/>
      <c r="R1030" s="36"/>
    </row>
    <row r="1031">
      <c r="A1031" s="25"/>
      <c r="B1031" s="131"/>
      <c r="D1031" s="11"/>
      <c r="E1031" s="45"/>
      <c r="F1031" s="45"/>
      <c r="O1031" s="335"/>
      <c r="P1031" s="36"/>
      <c r="Q1031" s="36"/>
      <c r="R1031" s="36"/>
    </row>
    <row r="1032">
      <c r="A1032" s="25"/>
      <c r="B1032" s="131"/>
      <c r="D1032" s="11"/>
      <c r="E1032" s="45"/>
      <c r="F1032" s="45"/>
      <c r="O1032" s="335"/>
      <c r="P1032" s="36"/>
      <c r="Q1032" s="36"/>
      <c r="R1032" s="36"/>
    </row>
    <row r="1033">
      <c r="A1033" s="25"/>
      <c r="B1033" s="131"/>
      <c r="D1033" s="11"/>
      <c r="E1033" s="45"/>
      <c r="F1033" s="45"/>
      <c r="O1033" s="335"/>
      <c r="P1033" s="36"/>
      <c r="Q1033" s="36"/>
      <c r="R1033" s="36"/>
    </row>
    <row r="1034">
      <c r="A1034" s="25"/>
      <c r="B1034" s="131"/>
      <c r="D1034" s="11"/>
      <c r="E1034" s="45"/>
      <c r="F1034" s="45"/>
      <c r="O1034" s="335"/>
      <c r="P1034" s="36"/>
      <c r="Q1034" s="36"/>
      <c r="R1034" s="36"/>
    </row>
    <row r="1035">
      <c r="A1035" s="25"/>
      <c r="B1035" s="131"/>
      <c r="D1035" s="11"/>
      <c r="E1035" s="45"/>
      <c r="F1035" s="45"/>
      <c r="O1035" s="335"/>
      <c r="P1035" s="36"/>
      <c r="Q1035" s="36"/>
      <c r="R1035" s="36"/>
    </row>
    <row r="1036">
      <c r="A1036" s="25"/>
      <c r="B1036" s="131"/>
      <c r="D1036" s="11"/>
      <c r="E1036" s="45"/>
      <c r="F1036" s="45"/>
      <c r="O1036" s="335"/>
      <c r="P1036" s="36"/>
      <c r="Q1036" s="36"/>
      <c r="R1036" s="36"/>
    </row>
    <row r="1037">
      <c r="A1037" s="25"/>
      <c r="B1037" s="131"/>
      <c r="D1037" s="11"/>
      <c r="E1037" s="45"/>
      <c r="F1037" s="45"/>
      <c r="O1037" s="335"/>
      <c r="P1037" s="36"/>
      <c r="Q1037" s="36"/>
      <c r="R1037" s="36"/>
    </row>
    <row r="1038">
      <c r="A1038" s="25"/>
      <c r="B1038" s="131"/>
      <c r="D1038" s="11"/>
      <c r="E1038" s="45"/>
      <c r="F1038" s="45"/>
      <c r="O1038" s="335"/>
      <c r="P1038" s="36"/>
      <c r="Q1038" s="36"/>
      <c r="R1038" s="36"/>
    </row>
    <row r="1039">
      <c r="A1039" s="25"/>
      <c r="B1039" s="131"/>
      <c r="D1039" s="11"/>
      <c r="E1039" s="45"/>
      <c r="F1039" s="45"/>
      <c r="O1039" s="335"/>
      <c r="P1039" s="36"/>
      <c r="Q1039" s="36"/>
      <c r="R1039" s="36"/>
    </row>
    <row r="1040">
      <c r="A1040" s="25"/>
      <c r="B1040" s="131"/>
      <c r="D1040" s="11"/>
      <c r="E1040" s="45"/>
      <c r="F1040" s="45"/>
      <c r="O1040" s="335"/>
      <c r="P1040" s="36"/>
      <c r="Q1040" s="36"/>
      <c r="R1040" s="36"/>
    </row>
    <row r="1041">
      <c r="A1041" s="25"/>
      <c r="B1041" s="131"/>
      <c r="D1041" s="11"/>
      <c r="E1041" s="45"/>
      <c r="F1041" s="45"/>
      <c r="O1041" s="335"/>
      <c r="P1041" s="36"/>
      <c r="Q1041" s="36"/>
      <c r="R1041" s="36"/>
    </row>
    <row r="1042">
      <c r="A1042" s="25"/>
      <c r="B1042" s="131"/>
      <c r="D1042" s="11"/>
      <c r="E1042" s="45"/>
      <c r="F1042" s="45"/>
      <c r="O1042" s="335"/>
      <c r="P1042" s="36"/>
      <c r="Q1042" s="36"/>
      <c r="R1042" s="36"/>
    </row>
    <row r="1043">
      <c r="A1043" s="25"/>
      <c r="B1043" s="131"/>
      <c r="D1043" s="11"/>
      <c r="E1043" s="45"/>
      <c r="F1043" s="45"/>
      <c r="O1043" s="335"/>
      <c r="P1043" s="36"/>
      <c r="Q1043" s="36"/>
      <c r="R1043" s="36"/>
    </row>
    <row r="1044">
      <c r="A1044" s="25"/>
      <c r="B1044" s="131"/>
      <c r="D1044" s="11"/>
      <c r="E1044" s="45"/>
      <c r="F1044" s="45"/>
      <c r="O1044" s="335"/>
      <c r="P1044" s="36"/>
      <c r="Q1044" s="36"/>
      <c r="R1044" s="36"/>
    </row>
    <row r="1045">
      <c r="A1045" s="25"/>
      <c r="B1045" s="131"/>
      <c r="D1045" s="11"/>
      <c r="E1045" s="45"/>
      <c r="F1045" s="45"/>
      <c r="O1045" s="335"/>
      <c r="P1045" s="36"/>
      <c r="Q1045" s="36"/>
      <c r="R1045" s="36"/>
    </row>
    <row r="1046">
      <c r="A1046" s="25"/>
      <c r="B1046" s="131"/>
      <c r="D1046" s="11"/>
      <c r="E1046" s="45"/>
      <c r="F1046" s="45"/>
      <c r="O1046" s="335"/>
      <c r="P1046" s="36"/>
      <c r="Q1046" s="36"/>
      <c r="R1046" s="36"/>
    </row>
    <row r="1047">
      <c r="A1047" s="25"/>
      <c r="B1047" s="131"/>
      <c r="D1047" s="11"/>
      <c r="E1047" s="45"/>
      <c r="F1047" s="45"/>
      <c r="O1047" s="335"/>
      <c r="P1047" s="36"/>
      <c r="Q1047" s="36"/>
      <c r="R1047" s="36"/>
    </row>
    <row r="1048">
      <c r="A1048" s="25"/>
      <c r="B1048" s="131"/>
      <c r="D1048" s="11"/>
      <c r="E1048" s="45"/>
      <c r="F1048" s="45"/>
      <c r="O1048" s="335"/>
      <c r="P1048" s="36"/>
      <c r="Q1048" s="36"/>
      <c r="R1048" s="36"/>
    </row>
    <row r="1049">
      <c r="A1049" s="25"/>
      <c r="B1049" s="131"/>
      <c r="D1049" s="11"/>
      <c r="E1049" s="45"/>
      <c r="F1049" s="45"/>
      <c r="O1049" s="335"/>
      <c r="P1049" s="36"/>
      <c r="Q1049" s="36"/>
      <c r="R1049" s="36"/>
    </row>
    <row r="1050">
      <c r="A1050" s="25"/>
      <c r="B1050" s="131"/>
      <c r="D1050" s="11"/>
      <c r="E1050" s="45"/>
      <c r="F1050" s="45"/>
      <c r="O1050" s="335"/>
      <c r="P1050" s="36"/>
      <c r="Q1050" s="36"/>
      <c r="R1050" s="36"/>
    </row>
    <row r="1051">
      <c r="A1051" s="25"/>
      <c r="B1051" s="131"/>
      <c r="D1051" s="11"/>
      <c r="E1051" s="45"/>
      <c r="F1051" s="45"/>
      <c r="O1051" s="335"/>
      <c r="P1051" s="36"/>
      <c r="Q1051" s="36"/>
      <c r="R1051" s="36"/>
    </row>
    <row r="1052">
      <c r="A1052" s="25"/>
      <c r="B1052" s="131"/>
      <c r="D1052" s="11"/>
      <c r="E1052" s="45"/>
      <c r="F1052" s="45"/>
      <c r="O1052" s="335"/>
      <c r="P1052" s="36"/>
      <c r="Q1052" s="36"/>
      <c r="R1052" s="36"/>
    </row>
    <row r="1053">
      <c r="A1053" s="25"/>
      <c r="B1053" s="131"/>
      <c r="D1053" s="11"/>
      <c r="E1053" s="45"/>
      <c r="F1053" s="45"/>
      <c r="O1053" s="335"/>
      <c r="P1053" s="36"/>
      <c r="Q1053" s="36"/>
      <c r="R1053" s="36"/>
    </row>
    <row r="1054">
      <c r="A1054" s="25"/>
      <c r="B1054" s="131"/>
      <c r="D1054" s="11"/>
      <c r="E1054" s="45"/>
      <c r="F1054" s="45"/>
      <c r="O1054" s="335"/>
      <c r="P1054" s="36"/>
      <c r="Q1054" s="36"/>
      <c r="R1054" s="36"/>
    </row>
    <row r="1055">
      <c r="A1055" s="25"/>
      <c r="B1055" s="131"/>
      <c r="D1055" s="11"/>
      <c r="E1055" s="45"/>
      <c r="F1055" s="45"/>
      <c r="O1055" s="335"/>
      <c r="P1055" s="36"/>
      <c r="Q1055" s="36"/>
      <c r="R1055" s="36"/>
    </row>
    <row r="1056">
      <c r="A1056" s="25"/>
      <c r="B1056" s="131"/>
      <c r="D1056" s="11"/>
      <c r="E1056" s="45"/>
      <c r="F1056" s="45"/>
      <c r="O1056" s="335"/>
      <c r="P1056" s="36"/>
      <c r="Q1056" s="36"/>
      <c r="R1056" s="36"/>
    </row>
    <row r="1057">
      <c r="A1057" s="25"/>
      <c r="B1057" s="131"/>
      <c r="D1057" s="11"/>
      <c r="E1057" s="45"/>
      <c r="F1057" s="45"/>
      <c r="O1057" s="335"/>
      <c r="P1057" s="36"/>
      <c r="Q1057" s="36"/>
      <c r="R1057" s="36"/>
    </row>
    <row r="1058">
      <c r="A1058" s="25"/>
      <c r="B1058" s="131"/>
      <c r="D1058" s="11"/>
      <c r="E1058" s="45"/>
      <c r="F1058" s="45"/>
      <c r="O1058" s="335"/>
      <c r="P1058" s="36"/>
      <c r="Q1058" s="36"/>
      <c r="R1058" s="36"/>
    </row>
    <row r="1059">
      <c r="A1059" s="25"/>
      <c r="B1059" s="131"/>
      <c r="D1059" s="11"/>
      <c r="E1059" s="45"/>
      <c r="F1059" s="45"/>
      <c r="O1059" s="335"/>
      <c r="P1059" s="36"/>
      <c r="Q1059" s="36"/>
      <c r="R1059" s="36"/>
    </row>
    <row r="1060">
      <c r="A1060" s="25"/>
      <c r="B1060" s="131"/>
      <c r="D1060" s="11"/>
      <c r="E1060" s="45"/>
      <c r="F1060" s="45"/>
      <c r="O1060" s="335"/>
      <c r="P1060" s="36"/>
      <c r="Q1060" s="36"/>
      <c r="R1060" s="36"/>
    </row>
    <row r="1061">
      <c r="A1061" s="25"/>
      <c r="B1061" s="131"/>
      <c r="D1061" s="11"/>
      <c r="E1061" s="45"/>
      <c r="F1061" s="45"/>
      <c r="O1061" s="335"/>
      <c r="P1061" s="36"/>
      <c r="Q1061" s="36"/>
      <c r="R1061" s="36"/>
    </row>
    <row r="1062">
      <c r="A1062" s="25"/>
      <c r="B1062" s="131"/>
      <c r="D1062" s="11"/>
      <c r="E1062" s="45"/>
      <c r="F1062" s="45"/>
      <c r="O1062" s="335"/>
      <c r="P1062" s="36"/>
      <c r="Q1062" s="36"/>
      <c r="R1062" s="36"/>
    </row>
    <row r="1063">
      <c r="A1063" s="25"/>
      <c r="B1063" s="131"/>
      <c r="D1063" s="11"/>
      <c r="E1063" s="45"/>
      <c r="F1063" s="45"/>
      <c r="O1063" s="335"/>
      <c r="P1063" s="36"/>
      <c r="Q1063" s="36"/>
      <c r="R1063" s="36"/>
    </row>
    <row r="1064">
      <c r="A1064" s="25"/>
      <c r="B1064" s="131"/>
      <c r="D1064" s="11"/>
      <c r="E1064" s="45"/>
      <c r="F1064" s="45"/>
      <c r="O1064" s="335"/>
      <c r="P1064" s="36"/>
      <c r="Q1064" s="36"/>
      <c r="R1064" s="36"/>
    </row>
    <row r="1065">
      <c r="A1065" s="25"/>
      <c r="B1065" s="131"/>
      <c r="D1065" s="11"/>
      <c r="E1065" s="45"/>
      <c r="F1065" s="45"/>
      <c r="O1065" s="335"/>
      <c r="P1065" s="36"/>
      <c r="Q1065" s="36"/>
      <c r="R1065" s="36"/>
    </row>
    <row r="1066">
      <c r="A1066" s="25"/>
      <c r="B1066" s="131"/>
      <c r="D1066" s="11"/>
      <c r="E1066" s="45"/>
      <c r="F1066" s="45"/>
      <c r="O1066" s="335"/>
      <c r="P1066" s="36"/>
      <c r="Q1066" s="36"/>
      <c r="R1066" s="36"/>
    </row>
    <row r="1067">
      <c r="A1067" s="25"/>
      <c r="B1067" s="131"/>
      <c r="D1067" s="11"/>
      <c r="E1067" s="45"/>
      <c r="F1067" s="45"/>
      <c r="O1067" s="335"/>
      <c r="P1067" s="36"/>
      <c r="Q1067" s="36"/>
      <c r="R1067" s="36"/>
    </row>
    <row r="1068">
      <c r="A1068" s="25"/>
      <c r="B1068" s="131"/>
      <c r="D1068" s="11"/>
      <c r="E1068" s="45"/>
      <c r="F1068" s="45"/>
      <c r="O1068" s="335"/>
      <c r="P1068" s="36"/>
      <c r="Q1068" s="36"/>
      <c r="R1068" s="36"/>
    </row>
    <row r="1069">
      <c r="A1069" s="25"/>
      <c r="B1069" s="131"/>
      <c r="D1069" s="11"/>
      <c r="E1069" s="45"/>
      <c r="F1069" s="45"/>
      <c r="O1069" s="335"/>
      <c r="P1069" s="36"/>
      <c r="Q1069" s="36"/>
      <c r="R1069" s="36"/>
    </row>
    <row r="1070">
      <c r="A1070" s="25"/>
      <c r="B1070" s="131"/>
      <c r="D1070" s="11"/>
      <c r="E1070" s="45"/>
      <c r="F1070" s="45"/>
      <c r="O1070" s="335"/>
      <c r="P1070" s="36"/>
      <c r="Q1070" s="36"/>
      <c r="R1070" s="36"/>
    </row>
    <row r="1071">
      <c r="A1071" s="25"/>
      <c r="B1071" s="131"/>
      <c r="D1071" s="11"/>
      <c r="E1071" s="45"/>
      <c r="F1071" s="45"/>
      <c r="O1071" s="335"/>
      <c r="P1071" s="36"/>
      <c r="Q1071" s="36"/>
      <c r="R1071" s="36"/>
    </row>
    <row r="1072">
      <c r="A1072" s="25"/>
      <c r="B1072" s="131"/>
      <c r="D1072" s="11"/>
      <c r="E1072" s="45"/>
      <c r="F1072" s="45"/>
      <c r="O1072" s="335"/>
      <c r="P1072" s="36"/>
      <c r="Q1072" s="36"/>
      <c r="R1072" s="36"/>
    </row>
    <row r="1073">
      <c r="A1073" s="25"/>
      <c r="B1073" s="131"/>
      <c r="D1073" s="11"/>
      <c r="E1073" s="45"/>
      <c r="F1073" s="45"/>
      <c r="O1073" s="335"/>
      <c r="P1073" s="36"/>
      <c r="Q1073" s="36"/>
      <c r="R1073" s="36"/>
    </row>
    <row r="1074">
      <c r="A1074" s="25"/>
      <c r="B1074" s="131"/>
      <c r="D1074" s="11"/>
      <c r="E1074" s="45"/>
      <c r="F1074" s="45"/>
      <c r="O1074" s="335"/>
      <c r="P1074" s="36"/>
      <c r="Q1074" s="36"/>
      <c r="R1074" s="36"/>
    </row>
    <row r="1075">
      <c r="A1075" s="25"/>
      <c r="B1075" s="131"/>
      <c r="D1075" s="11"/>
      <c r="E1075" s="45"/>
      <c r="F1075" s="45"/>
      <c r="O1075" s="335"/>
      <c r="P1075" s="36"/>
      <c r="Q1075" s="36"/>
      <c r="R1075" s="36"/>
    </row>
    <row r="1076">
      <c r="A1076" s="25"/>
      <c r="B1076" s="131"/>
      <c r="D1076" s="11"/>
      <c r="E1076" s="45"/>
      <c r="F1076" s="45"/>
      <c r="O1076" s="335"/>
      <c r="P1076" s="36"/>
      <c r="Q1076" s="36"/>
      <c r="R1076" s="36"/>
    </row>
    <row r="1077">
      <c r="A1077" s="25"/>
      <c r="B1077" s="131"/>
      <c r="D1077" s="11"/>
      <c r="E1077" s="45"/>
      <c r="F1077" s="45"/>
      <c r="O1077" s="335"/>
      <c r="P1077" s="36"/>
      <c r="Q1077" s="36"/>
      <c r="R1077" s="36"/>
    </row>
    <row r="1078">
      <c r="A1078" s="25"/>
      <c r="B1078" s="131"/>
      <c r="D1078" s="11"/>
      <c r="E1078" s="45"/>
      <c r="F1078" s="45"/>
      <c r="O1078" s="335"/>
      <c r="P1078" s="36"/>
      <c r="Q1078" s="36"/>
      <c r="R1078" s="36"/>
    </row>
    <row r="1079">
      <c r="A1079" s="25"/>
      <c r="B1079" s="131"/>
      <c r="D1079" s="11"/>
      <c r="E1079" s="45"/>
      <c r="F1079" s="45"/>
      <c r="O1079" s="335"/>
      <c r="P1079" s="36"/>
      <c r="Q1079" s="36"/>
      <c r="R1079" s="36"/>
    </row>
    <row r="1080">
      <c r="A1080" s="25"/>
      <c r="B1080" s="131"/>
      <c r="D1080" s="11"/>
      <c r="E1080" s="45"/>
      <c r="F1080" s="45"/>
      <c r="O1080" s="335"/>
      <c r="P1080" s="36"/>
      <c r="Q1080" s="36"/>
      <c r="R1080" s="36"/>
    </row>
    <row r="1081">
      <c r="A1081" s="25"/>
      <c r="B1081" s="131"/>
      <c r="D1081" s="11"/>
      <c r="E1081" s="45"/>
      <c r="F1081" s="45"/>
      <c r="O1081" s="335"/>
      <c r="P1081" s="36"/>
      <c r="Q1081" s="36"/>
      <c r="R1081" s="36"/>
    </row>
    <row r="1082">
      <c r="A1082" s="25"/>
      <c r="B1082" s="131"/>
      <c r="D1082" s="11"/>
      <c r="E1082" s="45"/>
      <c r="F1082" s="45"/>
      <c r="O1082" s="335"/>
      <c r="P1082" s="36"/>
      <c r="Q1082" s="36"/>
      <c r="R1082" s="36"/>
    </row>
    <row r="1083">
      <c r="A1083" s="25"/>
      <c r="B1083" s="131"/>
      <c r="D1083" s="11"/>
      <c r="E1083" s="45"/>
      <c r="F1083" s="45"/>
      <c r="O1083" s="335"/>
      <c r="P1083" s="36"/>
      <c r="Q1083" s="36"/>
      <c r="R1083" s="36"/>
    </row>
    <row r="1084">
      <c r="A1084" s="25"/>
      <c r="B1084" s="131"/>
      <c r="D1084" s="11"/>
      <c r="E1084" s="45"/>
      <c r="F1084" s="45"/>
      <c r="O1084" s="335"/>
      <c r="P1084" s="36"/>
      <c r="Q1084" s="36"/>
      <c r="R1084" s="36"/>
    </row>
    <row r="1085">
      <c r="A1085" s="25"/>
      <c r="B1085" s="131"/>
      <c r="D1085" s="11"/>
      <c r="E1085" s="45"/>
      <c r="F1085" s="45"/>
      <c r="O1085" s="335"/>
      <c r="P1085" s="36"/>
      <c r="Q1085" s="36"/>
      <c r="R1085" s="36"/>
    </row>
    <row r="1086">
      <c r="A1086" s="25"/>
      <c r="B1086" s="131"/>
      <c r="D1086" s="11"/>
      <c r="E1086" s="45"/>
      <c r="F1086" s="45"/>
      <c r="O1086" s="335"/>
      <c r="P1086" s="36"/>
      <c r="Q1086" s="36"/>
      <c r="R1086" s="36"/>
    </row>
    <row r="1087">
      <c r="A1087" s="25"/>
      <c r="B1087" s="131"/>
      <c r="D1087" s="11"/>
      <c r="E1087" s="45"/>
      <c r="F1087" s="45"/>
      <c r="O1087" s="335"/>
      <c r="P1087" s="36"/>
      <c r="Q1087" s="36"/>
      <c r="R1087" s="36"/>
    </row>
    <row r="1088">
      <c r="A1088" s="25"/>
      <c r="B1088" s="131"/>
      <c r="D1088" s="11"/>
      <c r="E1088" s="45"/>
      <c r="F1088" s="45"/>
      <c r="O1088" s="335"/>
      <c r="P1088" s="36"/>
      <c r="Q1088" s="36"/>
      <c r="R1088" s="36"/>
    </row>
    <row r="1089">
      <c r="A1089" s="25"/>
      <c r="B1089" s="131"/>
      <c r="D1089" s="11"/>
      <c r="E1089" s="45"/>
      <c r="F1089" s="45"/>
      <c r="O1089" s="335"/>
      <c r="P1089" s="36"/>
      <c r="Q1089" s="36"/>
      <c r="R1089" s="36"/>
    </row>
    <row r="1090">
      <c r="A1090" s="25"/>
      <c r="B1090" s="131"/>
      <c r="D1090" s="11"/>
      <c r="E1090" s="45"/>
      <c r="F1090" s="45"/>
      <c r="O1090" s="335"/>
      <c r="P1090" s="36"/>
      <c r="Q1090" s="36"/>
      <c r="R1090" s="36"/>
    </row>
    <row r="1091">
      <c r="A1091" s="25"/>
      <c r="B1091" s="131"/>
      <c r="D1091" s="11"/>
      <c r="E1091" s="45"/>
      <c r="F1091" s="45"/>
      <c r="O1091" s="335"/>
      <c r="P1091" s="36"/>
      <c r="Q1091" s="36"/>
      <c r="R1091" s="36"/>
    </row>
    <row r="1092">
      <c r="A1092" s="25"/>
      <c r="B1092" s="131"/>
      <c r="D1092" s="11"/>
      <c r="E1092" s="45"/>
      <c r="F1092" s="45"/>
      <c r="O1092" s="335"/>
      <c r="P1092" s="36"/>
      <c r="Q1092" s="36"/>
      <c r="R1092" s="36"/>
    </row>
    <row r="1093">
      <c r="A1093" s="25"/>
      <c r="B1093" s="131"/>
      <c r="D1093" s="11"/>
      <c r="E1093" s="45"/>
      <c r="F1093" s="45"/>
      <c r="O1093" s="335"/>
      <c r="P1093" s="36"/>
      <c r="Q1093" s="36"/>
      <c r="R1093" s="36"/>
    </row>
    <row r="1094">
      <c r="A1094" s="25"/>
      <c r="B1094" s="131"/>
      <c r="D1094" s="11"/>
      <c r="E1094" s="45"/>
      <c r="F1094" s="45"/>
      <c r="O1094" s="335"/>
      <c r="P1094" s="36"/>
      <c r="Q1094" s="36"/>
      <c r="R1094" s="36"/>
    </row>
    <row r="1095">
      <c r="A1095" s="25"/>
      <c r="B1095" s="131"/>
      <c r="D1095" s="11"/>
      <c r="E1095" s="45"/>
      <c r="F1095" s="45"/>
      <c r="O1095" s="335"/>
      <c r="P1095" s="36"/>
      <c r="Q1095" s="36"/>
      <c r="R1095" s="36"/>
    </row>
    <row r="1096">
      <c r="A1096" s="25"/>
      <c r="B1096" s="131"/>
      <c r="D1096" s="11"/>
      <c r="E1096" s="45"/>
      <c r="F1096" s="45"/>
      <c r="O1096" s="335"/>
      <c r="P1096" s="36"/>
      <c r="Q1096" s="36"/>
      <c r="R1096" s="36"/>
    </row>
    <row r="1097">
      <c r="A1097" s="25"/>
      <c r="B1097" s="131"/>
      <c r="D1097" s="11"/>
      <c r="E1097" s="45"/>
      <c r="F1097" s="45"/>
      <c r="O1097" s="335"/>
      <c r="P1097" s="36"/>
      <c r="Q1097" s="36"/>
      <c r="R1097" s="36"/>
    </row>
    <row r="1098">
      <c r="A1098" s="25"/>
      <c r="B1098" s="131"/>
      <c r="D1098" s="11"/>
      <c r="E1098" s="45"/>
      <c r="F1098" s="45"/>
      <c r="O1098" s="335"/>
      <c r="P1098" s="36"/>
      <c r="Q1098" s="36"/>
      <c r="R1098" s="36"/>
    </row>
    <row r="1099">
      <c r="A1099" s="25"/>
      <c r="B1099" s="131"/>
      <c r="D1099" s="11"/>
      <c r="E1099" s="45"/>
      <c r="F1099" s="45"/>
      <c r="O1099" s="335"/>
      <c r="P1099" s="36"/>
      <c r="Q1099" s="36"/>
      <c r="R1099" s="36"/>
    </row>
    <row r="1100">
      <c r="A1100" s="25"/>
      <c r="B1100" s="131"/>
      <c r="D1100" s="11"/>
      <c r="E1100" s="45"/>
      <c r="F1100" s="45"/>
      <c r="O1100" s="335"/>
      <c r="P1100" s="36"/>
      <c r="Q1100" s="36"/>
      <c r="R1100" s="36"/>
    </row>
    <row r="1101">
      <c r="A1101" s="25"/>
      <c r="B1101" s="131"/>
      <c r="D1101" s="11"/>
      <c r="E1101" s="45"/>
      <c r="F1101" s="45"/>
      <c r="O1101" s="335"/>
      <c r="P1101" s="36"/>
      <c r="Q1101" s="36"/>
      <c r="R1101" s="36"/>
    </row>
    <row r="1102">
      <c r="A1102" s="25"/>
      <c r="B1102" s="131"/>
      <c r="D1102" s="11"/>
      <c r="E1102" s="45"/>
      <c r="F1102" s="45"/>
      <c r="O1102" s="335"/>
      <c r="P1102" s="36"/>
      <c r="Q1102" s="36"/>
      <c r="R1102" s="36"/>
    </row>
    <row r="1103">
      <c r="A1103" s="25"/>
      <c r="B1103" s="131"/>
      <c r="D1103" s="11"/>
      <c r="E1103" s="45"/>
      <c r="F1103" s="45"/>
      <c r="O1103" s="335"/>
      <c r="P1103" s="36"/>
      <c r="Q1103" s="36"/>
      <c r="R1103" s="36"/>
    </row>
    <row r="1104">
      <c r="A1104" s="25"/>
      <c r="B1104" s="131"/>
      <c r="D1104" s="11"/>
      <c r="E1104" s="45"/>
      <c r="F1104" s="45"/>
      <c r="O1104" s="335"/>
      <c r="P1104" s="36"/>
      <c r="Q1104" s="36"/>
      <c r="R1104" s="36"/>
    </row>
  </sheetData>
  <autoFilter ref="$A$1:$G$108">
    <filterColumn colId="4">
      <filters>
        <filter val="80%"/>
      </filters>
    </filterColumn>
    <filterColumn colId="1">
      <filters>
        <filter val="14298"/>
        <filter val="2345"/>
        <filter val="14575"/>
        <filter val="663"/>
      </filters>
    </filterColumn>
  </autoFilter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1" t="s">
        <v>15402</v>
      </c>
    </row>
    <row r="2">
      <c r="A2" s="11">
        <v>2345.0</v>
      </c>
      <c r="B2" s="74">
        <v>0.9</v>
      </c>
      <c r="C2" s="11" t="s">
        <v>15403</v>
      </c>
    </row>
  </sheetData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41.63"/>
    <col customWidth="1" min="5" max="5" width="30.0"/>
    <col hidden="1" min="8" max="19" width="12.63"/>
  </cols>
  <sheetData>
    <row r="1">
      <c r="A1" s="358" t="s">
        <v>44</v>
      </c>
      <c r="B1" s="568" t="s">
        <v>1</v>
      </c>
      <c r="C1" s="57" t="s">
        <v>294</v>
      </c>
      <c r="D1" s="55" t="s">
        <v>248</v>
      </c>
      <c r="E1" s="348" t="s">
        <v>249</v>
      </c>
      <c r="F1" s="349" t="s">
        <v>250</v>
      </c>
      <c r="G1" s="352"/>
      <c r="H1" s="18" t="s">
        <v>1654</v>
      </c>
      <c r="I1" s="18" t="s">
        <v>1</v>
      </c>
      <c r="N1" s="18" t="s">
        <v>1654</v>
      </c>
      <c r="O1" s="18" t="s">
        <v>1</v>
      </c>
    </row>
    <row r="2">
      <c r="A2" s="176" t="s">
        <v>15404</v>
      </c>
      <c r="B2" s="25">
        <v>12609.0</v>
      </c>
      <c r="C2" s="136" t="s">
        <v>15405</v>
      </c>
      <c r="D2" s="179">
        <v>0.75</v>
      </c>
      <c r="E2" s="179">
        <v>0.75</v>
      </c>
      <c r="F2" s="229" t="s">
        <v>1656</v>
      </c>
      <c r="G2" s="355"/>
      <c r="H2" s="553" t="s">
        <v>15404</v>
      </c>
      <c r="I2" s="11">
        <v>12609.0</v>
      </c>
      <c r="N2" s="569" t="s">
        <v>15406</v>
      </c>
    </row>
    <row r="3">
      <c r="A3" s="176" t="s">
        <v>3344</v>
      </c>
      <c r="B3" s="25">
        <v>6109.0</v>
      </c>
      <c r="C3" s="136" t="s">
        <v>15405</v>
      </c>
      <c r="D3" s="179">
        <v>0.75</v>
      </c>
      <c r="E3" s="179">
        <v>0.75</v>
      </c>
      <c r="F3" s="229" t="s">
        <v>1656</v>
      </c>
      <c r="G3" s="355"/>
      <c r="H3" s="553" t="s">
        <v>3344</v>
      </c>
      <c r="I3" s="11">
        <v>6109.0</v>
      </c>
      <c r="N3" s="18" t="s">
        <v>15407</v>
      </c>
      <c r="O3" s="11">
        <v>986.0</v>
      </c>
    </row>
    <row r="4">
      <c r="A4" s="176" t="s">
        <v>15408</v>
      </c>
      <c r="B4" s="78"/>
      <c r="C4" s="136" t="s">
        <v>15405</v>
      </c>
      <c r="D4" s="179">
        <v>0.75</v>
      </c>
      <c r="E4" s="179">
        <v>0.75</v>
      </c>
      <c r="F4" s="229" t="s">
        <v>1656</v>
      </c>
      <c r="G4" s="357"/>
      <c r="H4" s="553" t="s">
        <v>15408</v>
      </c>
      <c r="N4" s="18" t="s">
        <v>15409</v>
      </c>
      <c r="O4" s="11">
        <v>6132.0</v>
      </c>
    </row>
    <row r="5">
      <c r="A5" s="176" t="s">
        <v>15410</v>
      </c>
      <c r="B5" s="25">
        <v>13858.0</v>
      </c>
      <c r="C5" s="136" t="s">
        <v>15405</v>
      </c>
      <c r="D5" s="179">
        <v>0.75</v>
      </c>
      <c r="E5" s="179">
        <v>0.75</v>
      </c>
      <c r="F5" s="229" t="s">
        <v>1656</v>
      </c>
      <c r="G5" s="357"/>
      <c r="H5" s="553" t="s">
        <v>15410</v>
      </c>
      <c r="I5" s="11">
        <v>13858.0</v>
      </c>
      <c r="N5" s="18" t="s">
        <v>15411</v>
      </c>
      <c r="O5" s="11">
        <v>2345.0</v>
      </c>
    </row>
    <row r="6">
      <c r="A6" s="176" t="s">
        <v>15412</v>
      </c>
      <c r="B6" s="25">
        <v>11601.0</v>
      </c>
      <c r="C6" s="136" t="s">
        <v>15405</v>
      </c>
      <c r="D6" s="179">
        <v>0.75</v>
      </c>
      <c r="E6" s="179">
        <v>0.75</v>
      </c>
      <c r="F6" s="229" t="s">
        <v>1656</v>
      </c>
      <c r="G6" s="359"/>
      <c r="H6" s="553" t="s">
        <v>15412</v>
      </c>
      <c r="I6" s="11">
        <v>11601.0</v>
      </c>
      <c r="N6" s="18" t="s">
        <v>15413</v>
      </c>
      <c r="O6" s="11">
        <v>2345.0</v>
      </c>
    </row>
    <row r="7">
      <c r="A7" s="176" t="s">
        <v>3389</v>
      </c>
      <c r="B7" s="25">
        <v>7747.0</v>
      </c>
      <c r="C7" s="136" t="s">
        <v>15405</v>
      </c>
      <c r="D7" s="179">
        <v>0.75</v>
      </c>
      <c r="E7" s="179">
        <v>0.75</v>
      </c>
      <c r="F7" s="229" t="s">
        <v>1656</v>
      </c>
      <c r="H7" s="553" t="s">
        <v>3389</v>
      </c>
      <c r="N7" s="18" t="s">
        <v>15414</v>
      </c>
      <c r="O7" s="11">
        <v>6728.0</v>
      </c>
    </row>
    <row r="8">
      <c r="A8" s="176" t="s">
        <v>15415</v>
      </c>
      <c r="B8" s="25">
        <v>7033.0</v>
      </c>
      <c r="C8" s="136" t="s">
        <v>15405</v>
      </c>
      <c r="D8" s="179">
        <v>0.75</v>
      </c>
      <c r="E8" s="179">
        <v>0.75</v>
      </c>
      <c r="F8" s="229" t="s">
        <v>1656</v>
      </c>
      <c r="H8" s="553" t="s">
        <v>15415</v>
      </c>
      <c r="I8" s="11">
        <v>7033.0</v>
      </c>
      <c r="N8" s="18" t="s">
        <v>15416</v>
      </c>
      <c r="O8" s="11">
        <v>6728.0</v>
      </c>
    </row>
    <row r="9">
      <c r="A9" s="176" t="s">
        <v>15417</v>
      </c>
      <c r="B9" s="25">
        <v>6947.0</v>
      </c>
      <c r="C9" s="136" t="s">
        <v>15405</v>
      </c>
      <c r="D9" s="179">
        <v>0.75</v>
      </c>
      <c r="E9" s="179">
        <v>0.75</v>
      </c>
      <c r="F9" s="229" t="s">
        <v>1656</v>
      </c>
      <c r="H9" s="553" t="s">
        <v>15417</v>
      </c>
      <c r="I9" s="11">
        <v>6947.0</v>
      </c>
      <c r="N9" s="18" t="s">
        <v>15418</v>
      </c>
      <c r="O9" s="11">
        <v>3142.0</v>
      </c>
    </row>
    <row r="10">
      <c r="A10" s="176" t="s">
        <v>15419</v>
      </c>
      <c r="B10" s="25">
        <v>6728.0</v>
      </c>
      <c r="C10" s="136" t="s">
        <v>15405</v>
      </c>
      <c r="D10" s="179">
        <v>0.75</v>
      </c>
      <c r="E10" s="179">
        <v>0.75</v>
      </c>
      <c r="F10" s="229" t="s">
        <v>1656</v>
      </c>
      <c r="H10" s="553" t="s">
        <v>15419</v>
      </c>
      <c r="I10" s="11">
        <v>6728.0</v>
      </c>
      <c r="N10" s="18" t="s">
        <v>15420</v>
      </c>
      <c r="O10" s="11">
        <v>6736.0</v>
      </c>
    </row>
    <row r="11">
      <c r="A11" s="176" t="s">
        <v>15421</v>
      </c>
      <c r="B11" s="25">
        <v>6779.0</v>
      </c>
      <c r="C11" s="136" t="s">
        <v>15405</v>
      </c>
      <c r="D11" s="179">
        <v>0.75</v>
      </c>
      <c r="E11" s="179">
        <v>0.75</v>
      </c>
      <c r="F11" s="229" t="s">
        <v>1656</v>
      </c>
      <c r="H11" s="553" t="s">
        <v>15421</v>
      </c>
      <c r="N11" s="18" t="s">
        <v>15422</v>
      </c>
      <c r="O11" s="122">
        <v>5421.0</v>
      </c>
    </row>
    <row r="12">
      <c r="A12" s="176" t="s">
        <v>15423</v>
      </c>
      <c r="B12" s="25">
        <v>6772.0</v>
      </c>
      <c r="C12" s="136" t="s">
        <v>15405</v>
      </c>
      <c r="D12" s="179">
        <v>0.75</v>
      </c>
      <c r="E12" s="179">
        <v>0.75</v>
      </c>
      <c r="F12" s="229" t="s">
        <v>1656</v>
      </c>
      <c r="H12" s="553" t="s">
        <v>15423</v>
      </c>
      <c r="I12" s="11">
        <v>6772.0</v>
      </c>
      <c r="N12" s="18" t="s">
        <v>15424</v>
      </c>
      <c r="O12" s="122">
        <v>5421.0</v>
      </c>
    </row>
    <row r="13">
      <c r="A13" s="176" t="s">
        <v>15425</v>
      </c>
      <c r="B13" s="25">
        <v>6924.0</v>
      </c>
      <c r="C13" s="136" t="s">
        <v>15405</v>
      </c>
      <c r="D13" s="179">
        <v>0.75</v>
      </c>
      <c r="E13" s="179">
        <v>0.75</v>
      </c>
      <c r="F13" s="229" t="s">
        <v>1656</v>
      </c>
      <c r="H13" s="553" t="s">
        <v>15425</v>
      </c>
      <c r="I13" s="11">
        <v>6924.0</v>
      </c>
      <c r="N13" s="86" t="s">
        <v>15426</v>
      </c>
      <c r="O13" s="570">
        <v>5421.0</v>
      </c>
    </row>
    <row r="14">
      <c r="A14" s="176" t="s">
        <v>15427</v>
      </c>
      <c r="B14" s="25">
        <v>10923.0</v>
      </c>
      <c r="C14" s="136" t="s">
        <v>15405</v>
      </c>
      <c r="D14" s="179">
        <v>0.75</v>
      </c>
      <c r="E14" s="179">
        <v>0.75</v>
      </c>
      <c r="F14" s="229" t="s">
        <v>1656</v>
      </c>
      <c r="H14" s="553" t="s">
        <v>15427</v>
      </c>
      <c r="I14" s="11">
        <v>10923.0</v>
      </c>
      <c r="N14" s="18" t="s">
        <v>15428</v>
      </c>
      <c r="O14" s="122">
        <v>6947.0</v>
      </c>
    </row>
    <row r="15">
      <c r="A15" s="176" t="s">
        <v>15429</v>
      </c>
      <c r="B15" s="25">
        <v>6802.0</v>
      </c>
      <c r="C15" s="136" t="s">
        <v>15405</v>
      </c>
      <c r="D15" s="179">
        <v>0.75</v>
      </c>
      <c r="E15" s="179">
        <v>0.75</v>
      </c>
      <c r="F15" s="229" t="s">
        <v>1656</v>
      </c>
      <c r="H15" s="553" t="s">
        <v>15429</v>
      </c>
      <c r="I15" s="11">
        <v>6802.0</v>
      </c>
      <c r="N15" s="18" t="s">
        <v>15430</v>
      </c>
      <c r="O15" s="122">
        <v>5421.0</v>
      </c>
    </row>
    <row r="16">
      <c r="A16" s="176" t="s">
        <v>10847</v>
      </c>
      <c r="B16" s="25">
        <v>3307.0</v>
      </c>
      <c r="C16" s="136" t="s">
        <v>15405</v>
      </c>
      <c r="D16" s="179">
        <v>0.75</v>
      </c>
      <c r="E16" s="179">
        <v>0.75</v>
      </c>
      <c r="F16" s="229" t="s">
        <v>1656</v>
      </c>
      <c r="H16" s="553" t="s">
        <v>10847</v>
      </c>
      <c r="N16" s="18" t="s">
        <v>15431</v>
      </c>
      <c r="O16" s="11">
        <v>6924.0</v>
      </c>
    </row>
    <row r="17">
      <c r="A17" s="176" t="s">
        <v>15432</v>
      </c>
      <c r="B17" s="25">
        <v>6722.0</v>
      </c>
      <c r="C17" s="136" t="s">
        <v>15405</v>
      </c>
      <c r="D17" s="179">
        <v>0.75</v>
      </c>
      <c r="E17" s="179">
        <v>0.75</v>
      </c>
      <c r="F17" s="229" t="s">
        <v>1656</v>
      </c>
      <c r="H17" s="553" t="s">
        <v>15432</v>
      </c>
      <c r="N17" s="18" t="s">
        <v>15433</v>
      </c>
      <c r="O17" s="11">
        <v>930.0</v>
      </c>
    </row>
    <row r="18">
      <c r="A18" s="176" t="s">
        <v>15434</v>
      </c>
      <c r="B18" s="25">
        <v>14440.0</v>
      </c>
      <c r="C18" s="136" t="s">
        <v>15405</v>
      </c>
      <c r="D18" s="179">
        <v>0.75</v>
      </c>
      <c r="E18" s="179">
        <v>0.75</v>
      </c>
      <c r="F18" s="229" t="s">
        <v>1656</v>
      </c>
      <c r="H18" s="553" t="s">
        <v>15434</v>
      </c>
      <c r="N18" s="18" t="s">
        <v>15435</v>
      </c>
      <c r="O18" s="122">
        <v>5421.0</v>
      </c>
    </row>
    <row r="19">
      <c r="A19" s="176" t="s">
        <v>15436</v>
      </c>
      <c r="B19" s="25">
        <v>7157.0</v>
      </c>
      <c r="C19" s="136" t="s">
        <v>15405</v>
      </c>
      <c r="D19" s="179">
        <v>0.75</v>
      </c>
      <c r="E19" s="179">
        <v>0.75</v>
      </c>
      <c r="F19" s="229" t="s">
        <v>1656</v>
      </c>
      <c r="H19" s="553" t="s">
        <v>15436</v>
      </c>
      <c r="I19" s="11">
        <v>7157.0</v>
      </c>
      <c r="N19" s="18" t="s">
        <v>15437</v>
      </c>
      <c r="O19" s="11">
        <v>3920.0</v>
      </c>
    </row>
    <row r="20">
      <c r="A20" s="176" t="s">
        <v>15438</v>
      </c>
      <c r="B20" s="25">
        <v>14516.0</v>
      </c>
      <c r="C20" s="136" t="s">
        <v>15405</v>
      </c>
      <c r="D20" s="179">
        <v>0.75</v>
      </c>
      <c r="E20" s="179">
        <v>0.75</v>
      </c>
      <c r="F20" s="229" t="s">
        <v>1656</v>
      </c>
      <c r="H20" s="553" t="s">
        <v>15438</v>
      </c>
      <c r="N20" s="18" t="s">
        <v>15439</v>
      </c>
      <c r="O20" s="11">
        <v>6671.0</v>
      </c>
    </row>
    <row r="21">
      <c r="A21" s="176" t="s">
        <v>15440</v>
      </c>
      <c r="B21" s="25">
        <v>6722.0</v>
      </c>
      <c r="C21" s="136" t="s">
        <v>15405</v>
      </c>
      <c r="D21" s="179">
        <v>0.75</v>
      </c>
      <c r="E21" s="179">
        <v>0.75</v>
      </c>
      <c r="F21" s="229" t="s">
        <v>1656</v>
      </c>
      <c r="H21" s="553" t="s">
        <v>15440</v>
      </c>
      <c r="N21" s="18" t="s">
        <v>15441</v>
      </c>
      <c r="O21" s="11">
        <v>6887.0</v>
      </c>
    </row>
    <row r="22">
      <c r="A22" s="176" t="s">
        <v>15442</v>
      </c>
      <c r="B22" s="25">
        <v>12932.0</v>
      </c>
      <c r="C22" s="136" t="s">
        <v>15405</v>
      </c>
      <c r="D22" s="179">
        <v>0.75</v>
      </c>
      <c r="E22" s="179">
        <v>0.75</v>
      </c>
      <c r="F22" s="229" t="s">
        <v>1656</v>
      </c>
      <c r="H22" s="553" t="s">
        <v>15442</v>
      </c>
      <c r="I22" s="11">
        <v>12932.0</v>
      </c>
      <c r="N22" s="18" t="s">
        <v>15443</v>
      </c>
      <c r="O22" s="11">
        <v>2345.0</v>
      </c>
    </row>
    <row r="23">
      <c r="A23" s="176" t="s">
        <v>2764</v>
      </c>
      <c r="B23" s="25">
        <v>6875.0</v>
      </c>
      <c r="C23" s="136" t="s">
        <v>15405</v>
      </c>
      <c r="D23" s="179">
        <v>0.75</v>
      </c>
      <c r="E23" s="179">
        <v>0.75</v>
      </c>
      <c r="F23" s="229" t="s">
        <v>1656</v>
      </c>
      <c r="H23" s="553" t="s">
        <v>2764</v>
      </c>
      <c r="I23" s="11">
        <v>6875.0</v>
      </c>
      <c r="N23" s="18" t="s">
        <v>15444</v>
      </c>
      <c r="O23" s="11">
        <v>3309.0</v>
      </c>
    </row>
    <row r="24">
      <c r="A24" s="176" t="s">
        <v>2463</v>
      </c>
      <c r="B24" s="25">
        <v>14646.0</v>
      </c>
      <c r="C24" s="136" t="s">
        <v>15405</v>
      </c>
      <c r="D24" s="179">
        <v>0.75</v>
      </c>
      <c r="E24" s="179">
        <v>0.75</v>
      </c>
      <c r="F24" s="229" t="s">
        <v>1656</v>
      </c>
      <c r="H24" s="553" t="s">
        <v>2463</v>
      </c>
      <c r="N24" s="18" t="s">
        <v>10558</v>
      </c>
      <c r="O24" s="11">
        <v>2345.0</v>
      </c>
    </row>
    <row r="25">
      <c r="A25" s="176" t="s">
        <v>10635</v>
      </c>
      <c r="B25" s="25">
        <v>14594.0</v>
      </c>
      <c r="C25" s="136" t="s">
        <v>15405</v>
      </c>
      <c r="D25" s="179">
        <v>0.75</v>
      </c>
      <c r="E25" s="179">
        <v>0.75</v>
      </c>
      <c r="F25" s="229" t="s">
        <v>1656</v>
      </c>
      <c r="H25" s="553" t="s">
        <v>10635</v>
      </c>
      <c r="N25" s="18" t="s">
        <v>15445</v>
      </c>
      <c r="O25" s="11">
        <v>2345.0</v>
      </c>
    </row>
    <row r="26">
      <c r="A26" s="176" t="s">
        <v>15446</v>
      </c>
      <c r="B26" s="78"/>
      <c r="C26" s="136" t="s">
        <v>15405</v>
      </c>
      <c r="D26" s="179">
        <v>0.75</v>
      </c>
      <c r="E26" s="179">
        <v>0.75</v>
      </c>
      <c r="F26" s="229" t="s">
        <v>1656</v>
      </c>
      <c r="H26" s="553" t="s">
        <v>15446</v>
      </c>
      <c r="N26" s="18" t="s">
        <v>15447</v>
      </c>
      <c r="O26" s="11">
        <v>7031.0</v>
      </c>
    </row>
    <row r="27">
      <c r="A27" s="176" t="s">
        <v>15448</v>
      </c>
      <c r="B27" s="25">
        <v>7100.0</v>
      </c>
      <c r="C27" s="136" t="s">
        <v>15405</v>
      </c>
      <c r="D27" s="179">
        <v>0.75</v>
      </c>
      <c r="E27" s="179">
        <v>0.75</v>
      </c>
      <c r="F27" s="229" t="s">
        <v>1656</v>
      </c>
      <c r="H27" s="553" t="s">
        <v>15448</v>
      </c>
      <c r="I27" s="11">
        <v>7100.0</v>
      </c>
      <c r="N27" s="18" t="s">
        <v>15449</v>
      </c>
      <c r="O27" s="11">
        <v>2345.0</v>
      </c>
    </row>
    <row r="28">
      <c r="A28" s="176" t="s">
        <v>15450</v>
      </c>
      <c r="B28" s="78"/>
      <c r="C28" s="136" t="s">
        <v>15405</v>
      </c>
      <c r="D28" s="179">
        <v>0.75</v>
      </c>
      <c r="E28" s="179">
        <v>0.75</v>
      </c>
      <c r="F28" s="229" t="s">
        <v>1656</v>
      </c>
      <c r="H28" s="553" t="s">
        <v>15450</v>
      </c>
      <c r="N28" s="18" t="s">
        <v>15451</v>
      </c>
      <c r="O28" s="11">
        <v>6109.0</v>
      </c>
    </row>
    <row r="29">
      <c r="A29" s="176" t="s">
        <v>15452</v>
      </c>
      <c r="B29" s="37">
        <v>14480.0</v>
      </c>
      <c r="C29" s="136" t="s">
        <v>15405</v>
      </c>
      <c r="D29" s="179">
        <v>0.75</v>
      </c>
      <c r="E29" s="179">
        <v>0.75</v>
      </c>
      <c r="F29" s="229" t="s">
        <v>1656</v>
      </c>
      <c r="H29" s="553" t="s">
        <v>15452</v>
      </c>
      <c r="N29" s="18" t="s">
        <v>15453</v>
      </c>
      <c r="O29" s="433">
        <v>7023.0</v>
      </c>
    </row>
    <row r="30">
      <c r="A30" s="176" t="s">
        <v>15454</v>
      </c>
      <c r="B30" s="25">
        <v>14580.0</v>
      </c>
      <c r="C30" s="136" t="s">
        <v>15405</v>
      </c>
      <c r="D30" s="179">
        <v>0.75</v>
      </c>
      <c r="E30" s="179">
        <v>0.75</v>
      </c>
      <c r="F30" s="229" t="s">
        <v>1656</v>
      </c>
      <c r="H30" s="553" t="s">
        <v>15454</v>
      </c>
      <c r="N30" s="18" t="s">
        <v>15455</v>
      </c>
      <c r="O30" s="11">
        <v>14065.0</v>
      </c>
    </row>
    <row r="31">
      <c r="A31" s="176" t="s">
        <v>15456</v>
      </c>
      <c r="B31" s="78"/>
      <c r="C31" s="136" t="s">
        <v>15405</v>
      </c>
      <c r="D31" s="179">
        <v>0.75</v>
      </c>
      <c r="E31" s="179">
        <v>0.75</v>
      </c>
      <c r="F31" s="229" t="s">
        <v>1656</v>
      </c>
      <c r="H31" s="553" t="s">
        <v>15456</v>
      </c>
      <c r="N31" s="18" t="s">
        <v>15457</v>
      </c>
    </row>
    <row r="32">
      <c r="A32" s="176" t="s">
        <v>15458</v>
      </c>
      <c r="B32" s="25">
        <v>6132.0</v>
      </c>
      <c r="C32" s="136" t="s">
        <v>15405</v>
      </c>
      <c r="D32" s="179">
        <v>0.75</v>
      </c>
      <c r="E32" s="179">
        <v>0.75</v>
      </c>
      <c r="F32" s="229" t="s">
        <v>1656</v>
      </c>
      <c r="H32" s="553" t="s">
        <v>15458</v>
      </c>
      <c r="N32" s="18" t="s">
        <v>15459</v>
      </c>
      <c r="O32" s="11">
        <v>7098.0</v>
      </c>
    </row>
    <row r="33">
      <c r="A33" s="176" t="s">
        <v>15460</v>
      </c>
      <c r="B33" s="78"/>
      <c r="C33" s="136" t="s">
        <v>15405</v>
      </c>
      <c r="D33" s="179">
        <v>0.75</v>
      </c>
      <c r="E33" s="179">
        <v>0.75</v>
      </c>
      <c r="F33" s="229" t="s">
        <v>1656</v>
      </c>
      <c r="H33" s="553" t="s">
        <v>15460</v>
      </c>
      <c r="N33" s="18" t="s">
        <v>15461</v>
      </c>
      <c r="O33" s="11">
        <v>7098.0</v>
      </c>
    </row>
    <row r="34">
      <c r="A34" s="176" t="s">
        <v>15462</v>
      </c>
      <c r="B34" s="78"/>
      <c r="C34" s="136" t="s">
        <v>15405</v>
      </c>
      <c r="D34" s="179">
        <v>0.75</v>
      </c>
      <c r="E34" s="179">
        <v>0.75</v>
      </c>
      <c r="F34" s="229" t="s">
        <v>1656</v>
      </c>
      <c r="H34" s="553" t="s">
        <v>15462</v>
      </c>
      <c r="N34" s="18" t="s">
        <v>964</v>
      </c>
    </row>
    <row r="35">
      <c r="A35" s="176" t="s">
        <v>15463</v>
      </c>
      <c r="B35" s="78"/>
      <c r="C35" s="136" t="s">
        <v>15405</v>
      </c>
      <c r="D35" s="179">
        <v>0.75</v>
      </c>
      <c r="E35" s="179">
        <v>0.75</v>
      </c>
      <c r="F35" s="229" t="s">
        <v>1656</v>
      </c>
      <c r="H35" s="553" t="s">
        <v>15463</v>
      </c>
      <c r="N35" s="18" t="s">
        <v>15464</v>
      </c>
      <c r="O35" s="11">
        <v>6732.0</v>
      </c>
    </row>
    <row r="36">
      <c r="A36" s="176" t="s">
        <v>15465</v>
      </c>
      <c r="B36" s="25">
        <v>6669.0</v>
      </c>
      <c r="C36" s="136" t="s">
        <v>15405</v>
      </c>
      <c r="D36" s="179">
        <v>0.75</v>
      </c>
      <c r="E36" s="179">
        <v>0.75</v>
      </c>
      <c r="F36" s="229" t="s">
        <v>1656</v>
      </c>
      <c r="H36" s="553" t="s">
        <v>15465</v>
      </c>
      <c r="N36" s="18" t="s">
        <v>15466</v>
      </c>
      <c r="O36" s="11">
        <v>6732.0</v>
      </c>
    </row>
    <row r="37">
      <c r="A37" s="176" t="s">
        <v>15467</v>
      </c>
      <c r="B37" s="78"/>
      <c r="C37" s="136" t="s">
        <v>15405</v>
      </c>
      <c r="D37" s="179">
        <v>0.75</v>
      </c>
      <c r="E37" s="179">
        <v>0.75</v>
      </c>
      <c r="F37" s="229" t="s">
        <v>1656</v>
      </c>
      <c r="H37" s="553" t="s">
        <v>15467</v>
      </c>
      <c r="N37" s="18" t="s">
        <v>15468</v>
      </c>
      <c r="O37" s="11">
        <v>6732.0</v>
      </c>
    </row>
    <row r="38">
      <c r="A38" s="176" t="s">
        <v>15469</v>
      </c>
      <c r="B38" s="25">
        <v>6675.0</v>
      </c>
      <c r="C38" s="136" t="s">
        <v>15405</v>
      </c>
      <c r="D38" s="74">
        <v>0.85</v>
      </c>
      <c r="E38" s="74">
        <v>0.85</v>
      </c>
      <c r="F38" s="229" t="s">
        <v>1656</v>
      </c>
      <c r="H38" s="553" t="s">
        <v>15469</v>
      </c>
      <c r="I38" s="11">
        <v>6675.0</v>
      </c>
      <c r="N38" s="18" t="s">
        <v>15470</v>
      </c>
      <c r="O38" s="11">
        <v>6732.0</v>
      </c>
    </row>
    <row r="39">
      <c r="A39" s="176" t="s">
        <v>15471</v>
      </c>
      <c r="B39" s="25">
        <v>6829.0</v>
      </c>
      <c r="C39" s="136" t="s">
        <v>15405</v>
      </c>
      <c r="D39" s="179">
        <v>0.75</v>
      </c>
      <c r="E39" s="179">
        <v>0.75</v>
      </c>
      <c r="F39" s="229" t="s">
        <v>1656</v>
      </c>
      <c r="H39" s="553" t="s">
        <v>15471</v>
      </c>
      <c r="I39" s="11">
        <v>6829.0</v>
      </c>
      <c r="N39" s="18" t="s">
        <v>15472</v>
      </c>
      <c r="O39" s="11">
        <v>6732.0</v>
      </c>
    </row>
    <row r="40">
      <c r="A40" s="176" t="s">
        <v>15473</v>
      </c>
      <c r="B40" s="78"/>
      <c r="C40" s="136" t="s">
        <v>15405</v>
      </c>
      <c r="D40" s="179">
        <v>0.75</v>
      </c>
      <c r="E40" s="179">
        <v>0.75</v>
      </c>
      <c r="F40" s="229" t="s">
        <v>1656</v>
      </c>
      <c r="H40" s="553" t="s">
        <v>15473</v>
      </c>
      <c r="N40" s="18" t="s">
        <v>15474</v>
      </c>
      <c r="O40" s="11">
        <v>6732.0</v>
      </c>
    </row>
    <row r="41">
      <c r="A41" s="176" t="s">
        <v>15475</v>
      </c>
      <c r="B41" s="78"/>
      <c r="C41" s="136" t="s">
        <v>15405</v>
      </c>
      <c r="D41" s="179">
        <v>0.75</v>
      </c>
      <c r="E41" s="179">
        <v>0.75</v>
      </c>
      <c r="F41" s="229" t="s">
        <v>1656</v>
      </c>
      <c r="H41" s="553" t="s">
        <v>15475</v>
      </c>
      <c r="N41" s="18" t="s">
        <v>753</v>
      </c>
      <c r="O41" s="11">
        <v>7033.0</v>
      </c>
    </row>
    <row r="42">
      <c r="A42" s="176" t="s">
        <v>5156</v>
      </c>
      <c r="B42" s="78"/>
      <c r="C42" s="136" t="s">
        <v>15405</v>
      </c>
      <c r="D42" s="179">
        <v>0.75</v>
      </c>
      <c r="E42" s="179">
        <v>0.75</v>
      </c>
      <c r="F42" s="229" t="s">
        <v>1656</v>
      </c>
      <c r="H42" s="553" t="s">
        <v>5156</v>
      </c>
      <c r="N42" s="18" t="s">
        <v>15476</v>
      </c>
      <c r="O42" s="11">
        <v>7113.0</v>
      </c>
    </row>
    <row r="43">
      <c r="A43" s="176" t="s">
        <v>15477</v>
      </c>
      <c r="B43" s="25">
        <v>6774.0</v>
      </c>
      <c r="C43" s="136" t="s">
        <v>15405</v>
      </c>
      <c r="D43" s="179">
        <v>0.75</v>
      </c>
      <c r="E43" s="179">
        <v>0.75</v>
      </c>
      <c r="F43" s="229" t="s">
        <v>1656</v>
      </c>
      <c r="H43" s="553" t="s">
        <v>15477</v>
      </c>
      <c r="I43" s="11">
        <v>6774.0</v>
      </c>
      <c r="N43" s="18" t="s">
        <v>15478</v>
      </c>
      <c r="O43" s="11">
        <v>7040.0</v>
      </c>
    </row>
    <row r="44">
      <c r="A44" s="176" t="s">
        <v>15479</v>
      </c>
      <c r="B44" s="78"/>
      <c r="C44" s="136" t="s">
        <v>15405</v>
      </c>
      <c r="D44" s="179">
        <v>0.75</v>
      </c>
      <c r="E44" s="179">
        <v>0.75</v>
      </c>
      <c r="F44" s="229" t="s">
        <v>1656</v>
      </c>
      <c r="H44" s="553" t="s">
        <v>15479</v>
      </c>
      <c r="N44" s="18" t="s">
        <v>10959</v>
      </c>
    </row>
    <row r="45">
      <c r="A45" s="176" t="s">
        <v>15480</v>
      </c>
      <c r="B45" s="25">
        <v>663.0</v>
      </c>
      <c r="C45" s="136" t="s">
        <v>15405</v>
      </c>
      <c r="D45" s="179">
        <v>0.75</v>
      </c>
      <c r="E45" s="179">
        <v>0.75</v>
      </c>
      <c r="F45" s="229" t="s">
        <v>1656</v>
      </c>
      <c r="H45" s="553" t="s">
        <v>15480</v>
      </c>
      <c r="I45" s="11">
        <v>663.0</v>
      </c>
      <c r="N45" s="18" t="s">
        <v>15481</v>
      </c>
      <c r="O45" s="11">
        <v>6732.0</v>
      </c>
    </row>
    <row r="46">
      <c r="A46" s="176" t="s">
        <v>15482</v>
      </c>
      <c r="B46" s="25">
        <v>189.0</v>
      </c>
      <c r="C46" s="136" t="s">
        <v>15405</v>
      </c>
      <c r="D46" s="74">
        <v>0.8</v>
      </c>
      <c r="E46" s="74">
        <v>0.8</v>
      </c>
      <c r="F46" s="229" t="s">
        <v>1656</v>
      </c>
      <c r="H46" s="553" t="s">
        <v>15482</v>
      </c>
      <c r="I46" s="11">
        <v>189.0</v>
      </c>
      <c r="N46" s="18" t="s">
        <v>15483</v>
      </c>
    </row>
    <row r="47">
      <c r="A47" s="176" t="s">
        <v>10822</v>
      </c>
      <c r="B47" s="78"/>
      <c r="C47" s="136" t="s">
        <v>15405</v>
      </c>
      <c r="D47" s="179">
        <v>0.75</v>
      </c>
      <c r="E47" s="179">
        <v>0.75</v>
      </c>
      <c r="F47" s="229" t="s">
        <v>1656</v>
      </c>
      <c r="H47" s="553" t="s">
        <v>10822</v>
      </c>
      <c r="N47" s="18" t="s">
        <v>15484</v>
      </c>
      <c r="O47" s="11">
        <v>6903.0</v>
      </c>
    </row>
    <row r="48">
      <c r="A48" s="176" t="s">
        <v>15485</v>
      </c>
      <c r="B48" s="25">
        <v>6675.0</v>
      </c>
      <c r="C48" s="136" t="s">
        <v>15405</v>
      </c>
      <c r="D48" s="74">
        <v>0.85</v>
      </c>
      <c r="E48" s="74">
        <v>0.85</v>
      </c>
      <c r="F48" s="229" t="s">
        <v>1656</v>
      </c>
      <c r="H48" s="553" t="s">
        <v>15485</v>
      </c>
      <c r="I48" s="11">
        <v>6675.0</v>
      </c>
      <c r="N48" s="18" t="s">
        <v>15486</v>
      </c>
      <c r="O48" s="11">
        <v>6772.0</v>
      </c>
    </row>
    <row r="49">
      <c r="A49" s="176" t="s">
        <v>15487</v>
      </c>
      <c r="B49" s="25">
        <v>14575.0</v>
      </c>
      <c r="C49" s="136" t="s">
        <v>15405</v>
      </c>
      <c r="D49" s="74">
        <v>0.85</v>
      </c>
      <c r="E49" s="74">
        <v>0.85</v>
      </c>
      <c r="F49" s="229" t="s">
        <v>1656</v>
      </c>
      <c r="H49" s="553" t="s">
        <v>15487</v>
      </c>
      <c r="N49" s="18" t="s">
        <v>15488</v>
      </c>
      <c r="O49" s="11">
        <v>6998.0</v>
      </c>
    </row>
    <row r="50">
      <c r="A50" s="176" t="s">
        <v>15489</v>
      </c>
      <c r="B50" s="78"/>
      <c r="C50" s="136" t="s">
        <v>15405</v>
      </c>
      <c r="D50" s="179">
        <v>0.75</v>
      </c>
      <c r="E50" s="179">
        <v>0.75</v>
      </c>
      <c r="F50" s="229" t="s">
        <v>1656</v>
      </c>
      <c r="H50" s="553" t="s">
        <v>15489</v>
      </c>
      <c r="N50" s="18" t="s">
        <v>15490</v>
      </c>
      <c r="O50" s="11">
        <v>1360.0</v>
      </c>
    </row>
    <row r="51">
      <c r="A51" s="176" t="s">
        <v>15491</v>
      </c>
      <c r="B51" s="25">
        <v>6732.0</v>
      </c>
      <c r="C51" s="136" t="s">
        <v>15405</v>
      </c>
      <c r="D51" s="179">
        <v>0.75</v>
      </c>
      <c r="E51" s="179">
        <v>0.75</v>
      </c>
      <c r="F51" s="229" t="s">
        <v>1656</v>
      </c>
      <c r="H51" s="553" t="s">
        <v>15491</v>
      </c>
      <c r="N51" s="18" t="s">
        <v>15492</v>
      </c>
    </row>
    <row r="52">
      <c r="A52" s="176" t="s">
        <v>15493</v>
      </c>
      <c r="B52" s="25">
        <v>189.0</v>
      </c>
      <c r="C52" s="136" t="s">
        <v>15405</v>
      </c>
      <c r="D52" s="74">
        <v>0.8</v>
      </c>
      <c r="E52" s="74">
        <v>0.8</v>
      </c>
      <c r="F52" s="229" t="s">
        <v>1656</v>
      </c>
      <c r="H52" s="553" t="s">
        <v>15493</v>
      </c>
      <c r="I52" s="11">
        <v>189.0</v>
      </c>
      <c r="N52" s="18" t="s">
        <v>15494</v>
      </c>
      <c r="O52" s="11">
        <v>2345.0</v>
      </c>
    </row>
    <row r="53">
      <c r="A53" s="176" t="s">
        <v>15495</v>
      </c>
      <c r="B53" s="78"/>
      <c r="C53" s="136" t="s">
        <v>15405</v>
      </c>
      <c r="D53" s="179">
        <v>0.75</v>
      </c>
      <c r="E53" s="179">
        <v>0.75</v>
      </c>
      <c r="F53" s="229" t="s">
        <v>1656</v>
      </c>
      <c r="H53" s="553" t="s">
        <v>15495</v>
      </c>
      <c r="N53" s="18" t="s">
        <v>15496</v>
      </c>
      <c r="O53" s="11">
        <v>6998.0</v>
      </c>
    </row>
    <row r="54">
      <c r="A54" s="176" t="s">
        <v>15497</v>
      </c>
      <c r="B54" s="25">
        <v>6732.0</v>
      </c>
      <c r="C54" s="136" t="s">
        <v>15405</v>
      </c>
      <c r="D54" s="179">
        <v>0.75</v>
      </c>
      <c r="E54" s="179">
        <v>0.75</v>
      </c>
      <c r="F54" s="229" t="s">
        <v>1656</v>
      </c>
      <c r="H54" s="553" t="s">
        <v>15497</v>
      </c>
      <c r="N54" s="18" t="s">
        <v>15498</v>
      </c>
      <c r="O54" s="11">
        <v>1360.0</v>
      </c>
    </row>
    <row r="55">
      <c r="A55" s="176" t="s">
        <v>15499</v>
      </c>
      <c r="B55" s="25">
        <v>2345.0</v>
      </c>
      <c r="C55" s="136" t="s">
        <v>15405</v>
      </c>
      <c r="D55" s="74">
        <v>0.9</v>
      </c>
      <c r="E55" s="74">
        <v>0.9</v>
      </c>
      <c r="F55" s="229" t="s">
        <v>1656</v>
      </c>
      <c r="H55" s="553" t="s">
        <v>15499</v>
      </c>
      <c r="I55" s="11">
        <v>2345.0</v>
      </c>
      <c r="N55" s="18" t="s">
        <v>15500</v>
      </c>
      <c r="O55" s="11">
        <v>5125.0</v>
      </c>
    </row>
    <row r="56">
      <c r="A56" s="176" t="s">
        <v>15501</v>
      </c>
      <c r="B56" s="25">
        <v>11049.0</v>
      </c>
      <c r="C56" s="136" t="s">
        <v>15405</v>
      </c>
      <c r="D56" s="179">
        <v>0.75</v>
      </c>
      <c r="E56" s="179">
        <v>0.75</v>
      </c>
      <c r="F56" s="229" t="s">
        <v>1656</v>
      </c>
      <c r="H56" s="553" t="s">
        <v>15501</v>
      </c>
      <c r="N56" s="18" t="s">
        <v>15502</v>
      </c>
      <c r="O56" s="11">
        <v>6675.0</v>
      </c>
    </row>
    <row r="57">
      <c r="A57" s="176" t="s">
        <v>15503</v>
      </c>
      <c r="B57" s="25">
        <v>11049.0</v>
      </c>
      <c r="C57" s="136" t="s">
        <v>15405</v>
      </c>
      <c r="D57" s="179">
        <v>0.75</v>
      </c>
      <c r="E57" s="179">
        <v>0.75</v>
      </c>
      <c r="F57" s="229" t="s">
        <v>1656</v>
      </c>
      <c r="H57" s="553" t="s">
        <v>15503</v>
      </c>
      <c r="N57" s="18" t="s">
        <v>15504</v>
      </c>
      <c r="O57" s="11">
        <v>6936.0</v>
      </c>
    </row>
    <row r="58">
      <c r="A58" s="176" t="s">
        <v>15505</v>
      </c>
      <c r="B58" s="25">
        <v>11049.0</v>
      </c>
      <c r="C58" s="136" t="s">
        <v>15405</v>
      </c>
      <c r="D58" s="179">
        <v>0.75</v>
      </c>
      <c r="E58" s="179">
        <v>0.75</v>
      </c>
      <c r="F58" s="229" t="s">
        <v>1656</v>
      </c>
      <c r="H58" s="553" t="s">
        <v>15505</v>
      </c>
      <c r="N58" s="18" t="s">
        <v>15506</v>
      </c>
      <c r="O58" s="11">
        <v>6726.0</v>
      </c>
    </row>
    <row r="59">
      <c r="A59" s="176" t="s">
        <v>15507</v>
      </c>
      <c r="B59" s="25">
        <v>11049.0</v>
      </c>
      <c r="C59" s="136" t="s">
        <v>15405</v>
      </c>
      <c r="D59" s="179">
        <v>0.75</v>
      </c>
      <c r="E59" s="179">
        <v>0.75</v>
      </c>
      <c r="F59" s="229" t="s">
        <v>1656</v>
      </c>
      <c r="H59" s="553" t="s">
        <v>15507</v>
      </c>
      <c r="N59" s="18" t="s">
        <v>15508</v>
      </c>
      <c r="O59" s="11">
        <v>6726.0</v>
      </c>
    </row>
    <row r="60">
      <c r="A60" s="176" t="s">
        <v>15509</v>
      </c>
      <c r="B60" s="25">
        <v>11049.0</v>
      </c>
      <c r="C60" s="136" t="s">
        <v>15405</v>
      </c>
      <c r="D60" s="179">
        <v>0.75</v>
      </c>
      <c r="E60" s="179">
        <v>0.75</v>
      </c>
      <c r="F60" s="229" t="s">
        <v>1656</v>
      </c>
      <c r="H60" s="553" t="s">
        <v>15509</v>
      </c>
      <c r="N60" s="18" t="s">
        <v>15510</v>
      </c>
      <c r="O60" s="11">
        <v>986.0</v>
      </c>
    </row>
    <row r="61">
      <c r="A61" s="176" t="s">
        <v>1591</v>
      </c>
      <c r="B61" s="25">
        <v>11049.0</v>
      </c>
      <c r="C61" s="136" t="s">
        <v>15405</v>
      </c>
      <c r="D61" s="179">
        <v>0.75</v>
      </c>
      <c r="E61" s="179">
        <v>0.75</v>
      </c>
      <c r="F61" s="229" t="s">
        <v>1656</v>
      </c>
      <c r="H61" s="553" t="s">
        <v>1591</v>
      </c>
      <c r="N61" s="18" t="s">
        <v>15511</v>
      </c>
      <c r="O61" s="11">
        <v>136.0</v>
      </c>
    </row>
    <row r="62">
      <c r="A62" s="176" t="s">
        <v>15512</v>
      </c>
      <c r="B62" s="25">
        <v>11049.0</v>
      </c>
      <c r="C62" s="136" t="s">
        <v>15405</v>
      </c>
      <c r="D62" s="179">
        <v>0.75</v>
      </c>
      <c r="E62" s="179">
        <v>0.75</v>
      </c>
      <c r="F62" s="229" t="s">
        <v>1656</v>
      </c>
      <c r="H62" s="553" t="s">
        <v>15512</v>
      </c>
      <c r="N62" s="18" t="s">
        <v>15513</v>
      </c>
      <c r="O62" s="11">
        <v>136.0</v>
      </c>
    </row>
    <row r="63">
      <c r="A63" s="176" t="s">
        <v>15514</v>
      </c>
      <c r="B63" s="25">
        <v>11049.0</v>
      </c>
      <c r="C63" s="136" t="s">
        <v>15405</v>
      </c>
      <c r="D63" s="179">
        <v>0.75</v>
      </c>
      <c r="E63" s="179">
        <v>0.75</v>
      </c>
      <c r="F63" s="229" t="s">
        <v>1656</v>
      </c>
      <c r="H63" s="553" t="s">
        <v>15514</v>
      </c>
      <c r="N63" s="18" t="s">
        <v>15515</v>
      </c>
      <c r="O63" s="11">
        <v>13951.0</v>
      </c>
    </row>
    <row r="64">
      <c r="A64" s="176" t="s">
        <v>15516</v>
      </c>
      <c r="B64" s="25">
        <v>11049.0</v>
      </c>
      <c r="C64" s="136" t="s">
        <v>15405</v>
      </c>
      <c r="D64" s="179">
        <v>0.75</v>
      </c>
      <c r="E64" s="179">
        <v>0.75</v>
      </c>
      <c r="F64" s="229" t="s">
        <v>1656</v>
      </c>
      <c r="H64" s="553" t="s">
        <v>15516</v>
      </c>
      <c r="N64" s="18" t="s">
        <v>15517</v>
      </c>
      <c r="O64" s="11">
        <v>7132.0</v>
      </c>
    </row>
    <row r="65">
      <c r="A65" s="176" t="s">
        <v>15518</v>
      </c>
      <c r="B65" s="25">
        <v>11049.0</v>
      </c>
      <c r="C65" s="136" t="s">
        <v>15405</v>
      </c>
      <c r="D65" s="179">
        <v>0.75</v>
      </c>
      <c r="E65" s="179">
        <v>0.75</v>
      </c>
      <c r="F65" s="229" t="s">
        <v>1656</v>
      </c>
      <c r="H65" s="553" t="s">
        <v>15518</v>
      </c>
      <c r="N65" s="18" t="s">
        <v>15519</v>
      </c>
      <c r="O65" s="195">
        <v>6909.0</v>
      </c>
    </row>
    <row r="66">
      <c r="A66" s="176" t="s">
        <v>15520</v>
      </c>
      <c r="B66" s="25">
        <v>11049.0</v>
      </c>
      <c r="C66" s="136" t="s">
        <v>15405</v>
      </c>
      <c r="D66" s="179">
        <v>0.75</v>
      </c>
      <c r="E66" s="179">
        <v>0.75</v>
      </c>
      <c r="F66" s="229" t="s">
        <v>1656</v>
      </c>
      <c r="H66" s="553" t="s">
        <v>15520</v>
      </c>
      <c r="N66" s="18" t="s">
        <v>15521</v>
      </c>
      <c r="O66" s="11">
        <v>7137.0</v>
      </c>
    </row>
    <row r="67">
      <c r="A67" s="176" t="s">
        <v>6108</v>
      </c>
      <c r="B67" s="25">
        <v>11049.0</v>
      </c>
      <c r="C67" s="136" t="s">
        <v>15405</v>
      </c>
      <c r="D67" s="179">
        <v>0.75</v>
      </c>
      <c r="E67" s="179">
        <v>0.75</v>
      </c>
      <c r="F67" s="229" t="s">
        <v>1656</v>
      </c>
      <c r="H67" s="553" t="s">
        <v>6108</v>
      </c>
      <c r="N67" s="18" t="s">
        <v>15522</v>
      </c>
    </row>
    <row r="68">
      <c r="A68" s="176" t="s">
        <v>15523</v>
      </c>
      <c r="B68" s="25">
        <v>11049.0</v>
      </c>
      <c r="C68" s="136" t="s">
        <v>15405</v>
      </c>
      <c r="D68" s="179">
        <v>0.75</v>
      </c>
      <c r="E68" s="179">
        <v>0.75</v>
      </c>
      <c r="F68" s="229" t="s">
        <v>1656</v>
      </c>
      <c r="H68" s="553" t="s">
        <v>15523</v>
      </c>
      <c r="N68" s="18" t="s">
        <v>15524</v>
      </c>
      <c r="O68" s="11">
        <v>986.0</v>
      </c>
    </row>
    <row r="69">
      <c r="A69" s="176" t="s">
        <v>15525</v>
      </c>
      <c r="B69" s="25">
        <v>11049.0</v>
      </c>
      <c r="C69" s="136" t="s">
        <v>15405</v>
      </c>
      <c r="D69" s="179">
        <v>0.75</v>
      </c>
      <c r="E69" s="179">
        <v>0.75</v>
      </c>
      <c r="F69" s="229" t="s">
        <v>1656</v>
      </c>
      <c r="H69" s="553" t="s">
        <v>15525</v>
      </c>
      <c r="N69" s="18" t="s">
        <v>15526</v>
      </c>
    </row>
    <row r="70">
      <c r="A70" s="176" t="s">
        <v>15527</v>
      </c>
      <c r="B70" s="25">
        <v>11049.0</v>
      </c>
      <c r="C70" s="136" t="s">
        <v>15405</v>
      </c>
      <c r="D70" s="179">
        <v>0.75</v>
      </c>
      <c r="E70" s="179">
        <v>0.75</v>
      </c>
      <c r="F70" s="229" t="s">
        <v>1656</v>
      </c>
      <c r="H70" s="553" t="s">
        <v>15527</v>
      </c>
      <c r="N70" s="18" t="s">
        <v>15528</v>
      </c>
    </row>
    <row r="71">
      <c r="A71" s="176" t="s">
        <v>15529</v>
      </c>
      <c r="B71" s="25">
        <v>11049.0</v>
      </c>
      <c r="C71" s="136" t="s">
        <v>15405</v>
      </c>
      <c r="D71" s="179">
        <v>0.75</v>
      </c>
      <c r="E71" s="179">
        <v>0.75</v>
      </c>
      <c r="F71" s="229" t="s">
        <v>1656</v>
      </c>
      <c r="H71" s="553" t="s">
        <v>15529</v>
      </c>
      <c r="N71" s="18" t="s">
        <v>15530</v>
      </c>
    </row>
    <row r="72">
      <c r="A72" s="176" t="s">
        <v>15531</v>
      </c>
      <c r="B72" s="25">
        <v>11049.0</v>
      </c>
      <c r="C72" s="136" t="s">
        <v>15405</v>
      </c>
      <c r="D72" s="179">
        <v>0.75</v>
      </c>
      <c r="E72" s="179">
        <v>0.75</v>
      </c>
      <c r="F72" s="229" t="s">
        <v>1656</v>
      </c>
      <c r="H72" s="553" t="s">
        <v>15531</v>
      </c>
      <c r="N72" s="18" t="s">
        <v>15532</v>
      </c>
      <c r="O72" s="11">
        <v>6732.0</v>
      </c>
    </row>
    <row r="73">
      <c r="A73" s="176" t="s">
        <v>10737</v>
      </c>
      <c r="B73" s="25">
        <v>189.0</v>
      </c>
      <c r="C73" s="136" t="s">
        <v>15405</v>
      </c>
      <c r="D73" s="74">
        <v>0.8</v>
      </c>
      <c r="E73" s="74">
        <v>0.8</v>
      </c>
      <c r="F73" s="229" t="s">
        <v>1656</v>
      </c>
      <c r="H73" s="553" t="s">
        <v>10737</v>
      </c>
      <c r="I73" s="11">
        <v>189.0</v>
      </c>
      <c r="N73" s="18" t="s">
        <v>15533</v>
      </c>
      <c r="O73" s="11">
        <v>986.0</v>
      </c>
    </row>
    <row r="74">
      <c r="A74" s="176" t="s">
        <v>15534</v>
      </c>
      <c r="B74" s="25">
        <v>11049.0</v>
      </c>
      <c r="C74" s="136" t="s">
        <v>15405</v>
      </c>
      <c r="D74" s="179">
        <v>0.75</v>
      </c>
      <c r="E74" s="179">
        <v>0.75</v>
      </c>
      <c r="F74" s="229" t="s">
        <v>1656</v>
      </c>
      <c r="H74" s="553" t="s">
        <v>15534</v>
      </c>
      <c r="N74" s="18" t="s">
        <v>15535</v>
      </c>
      <c r="O74" s="11">
        <v>986.0</v>
      </c>
    </row>
    <row r="75">
      <c r="A75" s="176" t="s">
        <v>15536</v>
      </c>
      <c r="B75" s="25">
        <v>11049.0</v>
      </c>
      <c r="C75" s="136" t="s">
        <v>15405</v>
      </c>
      <c r="D75" s="179">
        <v>0.75</v>
      </c>
      <c r="E75" s="179">
        <v>0.75</v>
      </c>
      <c r="F75" s="229" t="s">
        <v>1656</v>
      </c>
      <c r="H75" s="553" t="s">
        <v>15536</v>
      </c>
      <c r="J75" s="11">
        <v>663.0</v>
      </c>
      <c r="N75" s="18" t="s">
        <v>15537</v>
      </c>
      <c r="O75" s="11">
        <v>986.0</v>
      </c>
    </row>
    <row r="76">
      <c r="A76" s="176" t="s">
        <v>15538</v>
      </c>
      <c r="B76" s="25">
        <v>11049.0</v>
      </c>
      <c r="C76" s="136" t="s">
        <v>15405</v>
      </c>
      <c r="D76" s="179">
        <v>0.75</v>
      </c>
      <c r="E76" s="179">
        <v>0.75</v>
      </c>
      <c r="F76" s="229" t="s">
        <v>1656</v>
      </c>
      <c r="H76" s="553" t="s">
        <v>15538</v>
      </c>
      <c r="N76" s="18" t="s">
        <v>15539</v>
      </c>
      <c r="O76" s="11">
        <v>663.0</v>
      </c>
    </row>
    <row r="77">
      <c r="A77" s="176" t="s">
        <v>15540</v>
      </c>
      <c r="B77" s="25">
        <v>11049.0</v>
      </c>
      <c r="C77" s="136" t="s">
        <v>15405</v>
      </c>
      <c r="D77" s="179">
        <v>0.75</v>
      </c>
      <c r="E77" s="179">
        <v>0.75</v>
      </c>
      <c r="F77" s="229" t="s">
        <v>1656</v>
      </c>
      <c r="H77" s="553" t="s">
        <v>15540</v>
      </c>
      <c r="J77" s="11">
        <v>663.0</v>
      </c>
      <c r="N77" s="18" t="s">
        <v>15541</v>
      </c>
      <c r="O77" s="11">
        <v>633.0</v>
      </c>
    </row>
    <row r="78">
      <c r="A78" s="176" t="s">
        <v>15542</v>
      </c>
      <c r="B78" s="25">
        <v>11049.0</v>
      </c>
      <c r="C78" s="136" t="s">
        <v>15405</v>
      </c>
      <c r="D78" s="179">
        <v>0.75</v>
      </c>
      <c r="E78" s="179">
        <v>0.75</v>
      </c>
      <c r="F78" s="229" t="s">
        <v>1656</v>
      </c>
      <c r="H78" s="553" t="s">
        <v>15542</v>
      </c>
      <c r="N78" s="18" t="s">
        <v>15543</v>
      </c>
      <c r="O78" s="11">
        <v>663.0</v>
      </c>
    </row>
    <row r="79">
      <c r="A79" s="176" t="s">
        <v>15544</v>
      </c>
      <c r="B79" s="25">
        <v>11049.0</v>
      </c>
      <c r="C79" s="136" t="s">
        <v>15405</v>
      </c>
      <c r="D79" s="179">
        <v>0.75</v>
      </c>
      <c r="E79" s="179">
        <v>0.75</v>
      </c>
      <c r="F79" s="229" t="s">
        <v>1656</v>
      </c>
      <c r="H79" s="553" t="s">
        <v>15544</v>
      </c>
      <c r="N79" s="18" t="s">
        <v>2125</v>
      </c>
      <c r="O79" s="11">
        <v>6133.0</v>
      </c>
    </row>
    <row r="80">
      <c r="A80" s="176" t="s">
        <v>15545</v>
      </c>
      <c r="B80" s="25">
        <v>11049.0</v>
      </c>
      <c r="C80" s="136" t="s">
        <v>15405</v>
      </c>
      <c r="D80" s="179">
        <v>0.75</v>
      </c>
      <c r="E80" s="179">
        <v>0.75</v>
      </c>
      <c r="F80" s="229" t="s">
        <v>1656</v>
      </c>
      <c r="H80" s="553" t="s">
        <v>15545</v>
      </c>
      <c r="N80" s="18" t="s">
        <v>15546</v>
      </c>
      <c r="O80" s="11">
        <v>6133.0</v>
      </c>
    </row>
    <row r="81">
      <c r="A81" s="176" t="s">
        <v>3455</v>
      </c>
      <c r="B81" s="25">
        <v>11049.0</v>
      </c>
      <c r="C81" s="136" t="s">
        <v>15405</v>
      </c>
      <c r="D81" s="179">
        <v>0.75</v>
      </c>
      <c r="E81" s="179">
        <v>0.75</v>
      </c>
      <c r="F81" s="229" t="s">
        <v>1656</v>
      </c>
      <c r="H81" s="553" t="s">
        <v>3455</v>
      </c>
      <c r="J81" s="11">
        <v>7414.0</v>
      </c>
      <c r="N81" s="18" t="s">
        <v>15547</v>
      </c>
      <c r="O81" s="11">
        <v>6928.0</v>
      </c>
    </row>
    <row r="82">
      <c r="A82" s="176" t="s">
        <v>15548</v>
      </c>
      <c r="B82" s="25">
        <v>11049.0</v>
      </c>
      <c r="C82" s="136" t="s">
        <v>15405</v>
      </c>
      <c r="D82" s="179">
        <v>0.75</v>
      </c>
      <c r="E82" s="179">
        <v>0.75</v>
      </c>
      <c r="F82" s="229" t="s">
        <v>1656</v>
      </c>
      <c r="H82" s="553" t="s">
        <v>15548</v>
      </c>
      <c r="N82" s="18" t="s">
        <v>5356</v>
      </c>
      <c r="O82" s="11">
        <v>7414.0</v>
      </c>
    </row>
    <row r="83">
      <c r="A83" s="176" t="s">
        <v>15549</v>
      </c>
      <c r="B83" s="25">
        <v>11049.0</v>
      </c>
      <c r="C83" s="136" t="s">
        <v>15405</v>
      </c>
      <c r="D83" s="179">
        <v>0.75</v>
      </c>
      <c r="E83" s="179">
        <v>0.75</v>
      </c>
      <c r="F83" s="229" t="s">
        <v>1656</v>
      </c>
      <c r="H83" s="553" t="s">
        <v>15549</v>
      </c>
      <c r="N83" s="18" t="s">
        <v>15550</v>
      </c>
    </row>
    <row r="84">
      <c r="A84" s="176" t="s">
        <v>15551</v>
      </c>
      <c r="B84" s="25">
        <v>11049.0</v>
      </c>
      <c r="C84" s="136" t="s">
        <v>15405</v>
      </c>
      <c r="D84" s="179">
        <v>0.75</v>
      </c>
      <c r="E84" s="179">
        <v>0.75</v>
      </c>
      <c r="F84" s="229" t="s">
        <v>1656</v>
      </c>
      <c r="H84" s="553" t="s">
        <v>15551</v>
      </c>
      <c r="N84" s="18" t="s">
        <v>15552</v>
      </c>
      <c r="O84" s="11">
        <v>2095.0</v>
      </c>
    </row>
    <row r="85">
      <c r="A85" s="176" t="s">
        <v>15553</v>
      </c>
      <c r="B85" s="25">
        <v>11049.0</v>
      </c>
      <c r="C85" s="136" t="s">
        <v>15405</v>
      </c>
      <c r="D85" s="179">
        <v>0.75</v>
      </c>
      <c r="E85" s="179">
        <v>0.75</v>
      </c>
      <c r="F85" s="229" t="s">
        <v>1656</v>
      </c>
      <c r="H85" s="553" t="s">
        <v>15553</v>
      </c>
      <c r="N85" s="18" t="s">
        <v>15554</v>
      </c>
    </row>
    <row r="86">
      <c r="A86" s="176" t="s">
        <v>15555</v>
      </c>
      <c r="B86" s="25">
        <v>11049.0</v>
      </c>
      <c r="C86" s="136" t="s">
        <v>15405</v>
      </c>
      <c r="D86" s="179">
        <v>0.75</v>
      </c>
      <c r="E86" s="179">
        <v>0.75</v>
      </c>
      <c r="F86" s="229" t="s">
        <v>1656</v>
      </c>
      <c r="H86" s="553" t="s">
        <v>15555</v>
      </c>
      <c r="N86" s="18" t="s">
        <v>15556</v>
      </c>
      <c r="O86" s="11">
        <v>2095.0</v>
      </c>
    </row>
    <row r="87">
      <c r="A87" s="176" t="s">
        <v>15557</v>
      </c>
      <c r="B87" s="25"/>
      <c r="C87" s="136" t="s">
        <v>15405</v>
      </c>
      <c r="D87" s="179">
        <v>0.75</v>
      </c>
      <c r="E87" s="179">
        <v>0.75</v>
      </c>
      <c r="F87" s="229" t="s">
        <v>1656</v>
      </c>
      <c r="H87" s="553" t="s">
        <v>15557</v>
      </c>
      <c r="N87" s="18" t="s">
        <v>15558</v>
      </c>
      <c r="O87" s="11">
        <v>4193.0</v>
      </c>
    </row>
    <row r="88">
      <c r="A88" s="176" t="s">
        <v>15559</v>
      </c>
      <c r="B88" s="25"/>
      <c r="C88" s="136" t="s">
        <v>15405</v>
      </c>
      <c r="D88" s="179">
        <v>0.75</v>
      </c>
      <c r="E88" s="179">
        <v>0.75</v>
      </c>
      <c r="F88" s="229" t="s">
        <v>1656</v>
      </c>
      <c r="H88" s="553" t="s">
        <v>15559</v>
      </c>
      <c r="N88" s="18" t="s">
        <v>15560</v>
      </c>
    </row>
    <row r="89">
      <c r="A89" s="176" t="s">
        <v>15561</v>
      </c>
      <c r="B89" s="25">
        <v>6675.0</v>
      </c>
      <c r="C89" s="136" t="s">
        <v>15405</v>
      </c>
      <c r="D89" s="74">
        <v>0.85</v>
      </c>
      <c r="E89" s="74">
        <v>0.85</v>
      </c>
      <c r="F89" s="229" t="s">
        <v>1656</v>
      </c>
      <c r="H89" s="553" t="s">
        <v>15561</v>
      </c>
      <c r="I89" s="11">
        <v>6675.0</v>
      </c>
      <c r="N89" s="18" t="s">
        <v>15562</v>
      </c>
      <c r="O89" s="11">
        <v>6728.0</v>
      </c>
    </row>
    <row r="90">
      <c r="A90" s="176" t="s">
        <v>1316</v>
      </c>
      <c r="B90" s="25">
        <v>14663.0</v>
      </c>
      <c r="C90" s="136" t="s">
        <v>15405</v>
      </c>
      <c r="D90" s="179">
        <v>0.75</v>
      </c>
      <c r="E90" s="179">
        <v>0.75</v>
      </c>
      <c r="F90" s="229" t="s">
        <v>1656</v>
      </c>
      <c r="H90" s="553" t="s">
        <v>1316</v>
      </c>
      <c r="N90" s="18" t="s">
        <v>15563</v>
      </c>
      <c r="O90" s="11">
        <v>6732.0</v>
      </c>
    </row>
    <row r="91">
      <c r="A91" s="176" t="s">
        <v>15564</v>
      </c>
      <c r="B91" s="78"/>
      <c r="C91" s="136" t="s">
        <v>15405</v>
      </c>
      <c r="D91" s="179">
        <v>0.75</v>
      </c>
      <c r="E91" s="179">
        <v>0.75</v>
      </c>
      <c r="F91" s="229" t="s">
        <v>1656</v>
      </c>
      <c r="H91" s="553" t="s">
        <v>15564</v>
      </c>
      <c r="N91" s="18" t="s">
        <v>15565</v>
      </c>
    </row>
    <row r="92">
      <c r="A92" s="176" t="s">
        <v>15566</v>
      </c>
      <c r="B92" s="78"/>
      <c r="C92" s="136" t="s">
        <v>15405</v>
      </c>
      <c r="D92" s="179">
        <v>0.75</v>
      </c>
      <c r="E92" s="179">
        <v>0.75</v>
      </c>
      <c r="F92" s="229" t="s">
        <v>1656</v>
      </c>
      <c r="H92" s="553" t="s">
        <v>15566</v>
      </c>
      <c r="N92" s="18" t="s">
        <v>15567</v>
      </c>
    </row>
    <row r="93">
      <c r="A93" s="176" t="s">
        <v>15568</v>
      </c>
      <c r="B93" s="78"/>
      <c r="C93" s="136" t="s">
        <v>15405</v>
      </c>
      <c r="D93" s="179">
        <v>0.75</v>
      </c>
      <c r="E93" s="179">
        <v>0.75</v>
      </c>
      <c r="F93" s="229" t="s">
        <v>1656</v>
      </c>
      <c r="H93" s="553" t="s">
        <v>15568</v>
      </c>
      <c r="N93" s="18" t="s">
        <v>15569</v>
      </c>
    </row>
    <row r="94">
      <c r="A94" s="176" t="s">
        <v>15570</v>
      </c>
      <c r="B94" s="78"/>
      <c r="C94" s="136" t="s">
        <v>15405</v>
      </c>
      <c r="D94" s="179">
        <v>0.75</v>
      </c>
      <c r="E94" s="179">
        <v>0.75</v>
      </c>
      <c r="F94" s="229" t="s">
        <v>1656</v>
      </c>
      <c r="H94" s="553" t="s">
        <v>15570</v>
      </c>
      <c r="N94" s="86" t="s">
        <v>15571</v>
      </c>
      <c r="O94" s="548">
        <v>2345.0</v>
      </c>
    </row>
    <row r="95">
      <c r="A95" s="176" t="s">
        <v>15572</v>
      </c>
      <c r="B95" s="78"/>
      <c r="C95" s="136" t="s">
        <v>15405</v>
      </c>
      <c r="D95" s="179">
        <v>0.75</v>
      </c>
      <c r="E95" s="179">
        <v>0.75</v>
      </c>
      <c r="F95" s="229" t="s">
        <v>1656</v>
      </c>
      <c r="H95" s="553" t="s">
        <v>15572</v>
      </c>
      <c r="N95" s="18" t="s">
        <v>15573</v>
      </c>
    </row>
    <row r="96">
      <c r="A96" s="176" t="s">
        <v>15574</v>
      </c>
      <c r="B96" s="78"/>
      <c r="C96" s="136" t="s">
        <v>15405</v>
      </c>
      <c r="D96" s="179">
        <v>0.75</v>
      </c>
      <c r="E96" s="179">
        <v>0.75</v>
      </c>
      <c r="F96" s="229" t="s">
        <v>1656</v>
      </c>
      <c r="H96" s="553" t="s">
        <v>15574</v>
      </c>
      <c r="N96" s="18" t="s">
        <v>15575</v>
      </c>
    </row>
    <row r="97">
      <c r="A97" s="176" t="s">
        <v>15576</v>
      </c>
      <c r="B97" s="78"/>
      <c r="C97" s="136" t="s">
        <v>15405</v>
      </c>
      <c r="D97" s="179">
        <v>0.75</v>
      </c>
      <c r="E97" s="179">
        <v>0.75</v>
      </c>
      <c r="F97" s="229" t="s">
        <v>1656</v>
      </c>
      <c r="H97" s="553" t="s">
        <v>15576</v>
      </c>
      <c r="N97" s="18" t="s">
        <v>15577</v>
      </c>
      <c r="O97" s="11">
        <v>2345.0</v>
      </c>
    </row>
    <row r="98">
      <c r="A98" s="176" t="s">
        <v>15578</v>
      </c>
      <c r="B98" s="25">
        <v>7033.0</v>
      </c>
      <c r="C98" s="136" t="s">
        <v>15405</v>
      </c>
      <c r="D98" s="179">
        <v>0.75</v>
      </c>
      <c r="E98" s="179">
        <v>0.75</v>
      </c>
      <c r="F98" s="229" t="s">
        <v>1656</v>
      </c>
      <c r="H98" s="553" t="s">
        <v>15578</v>
      </c>
      <c r="I98" s="11">
        <v>7033.0</v>
      </c>
      <c r="N98" s="18" t="s">
        <v>15579</v>
      </c>
    </row>
    <row r="99">
      <c r="A99" s="176" t="s">
        <v>15580</v>
      </c>
      <c r="B99" s="25">
        <v>6772.0</v>
      </c>
      <c r="C99" s="136" t="s">
        <v>15405</v>
      </c>
      <c r="D99" s="179">
        <v>0.75</v>
      </c>
      <c r="E99" s="179">
        <v>0.75</v>
      </c>
      <c r="F99" s="229" t="s">
        <v>1656</v>
      </c>
      <c r="H99" s="553" t="s">
        <v>15580</v>
      </c>
      <c r="I99" s="11">
        <v>6772.0</v>
      </c>
      <c r="N99" s="18" t="s">
        <v>15581</v>
      </c>
    </row>
    <row r="100">
      <c r="A100" s="176" t="s">
        <v>15582</v>
      </c>
      <c r="B100" s="25">
        <v>6675.0</v>
      </c>
      <c r="C100" s="136" t="s">
        <v>15405</v>
      </c>
      <c r="D100" s="74">
        <v>0.85</v>
      </c>
      <c r="E100" s="74">
        <v>0.85</v>
      </c>
      <c r="F100" s="229" t="s">
        <v>1656</v>
      </c>
      <c r="H100" s="553" t="s">
        <v>15582</v>
      </c>
      <c r="I100" s="11">
        <v>6675.0</v>
      </c>
      <c r="N100" s="18" t="s">
        <v>15583</v>
      </c>
      <c r="O100" s="11">
        <v>2345.0</v>
      </c>
    </row>
    <row r="101">
      <c r="A101" s="176" t="s">
        <v>15584</v>
      </c>
      <c r="B101" s="78"/>
      <c r="C101" s="136" t="s">
        <v>15405</v>
      </c>
      <c r="D101" s="179">
        <v>0.75</v>
      </c>
      <c r="E101" s="179">
        <v>0.75</v>
      </c>
      <c r="F101" s="229" t="s">
        <v>1656</v>
      </c>
      <c r="H101" s="553" t="s">
        <v>15584</v>
      </c>
      <c r="N101" s="18" t="s">
        <v>15585</v>
      </c>
      <c r="O101" s="11">
        <v>7416.0</v>
      </c>
    </row>
    <row r="102">
      <c r="A102" s="176" t="s">
        <v>5173</v>
      </c>
      <c r="B102" s="78"/>
      <c r="C102" s="136" t="s">
        <v>15405</v>
      </c>
      <c r="D102" s="179">
        <v>0.75</v>
      </c>
      <c r="E102" s="179">
        <v>0.75</v>
      </c>
      <c r="F102" s="229" t="s">
        <v>1656</v>
      </c>
      <c r="H102" s="553" t="s">
        <v>5173</v>
      </c>
      <c r="J102" s="11">
        <v>7297.0</v>
      </c>
      <c r="N102" s="18" t="s">
        <v>15586</v>
      </c>
    </row>
    <row r="103">
      <c r="A103" s="176" t="s">
        <v>15587</v>
      </c>
      <c r="B103" s="78"/>
      <c r="C103" s="136" t="s">
        <v>15405</v>
      </c>
      <c r="D103" s="179">
        <v>0.75</v>
      </c>
      <c r="E103" s="179">
        <v>0.75</v>
      </c>
      <c r="F103" s="229" t="s">
        <v>1656</v>
      </c>
      <c r="H103" s="553" t="s">
        <v>15587</v>
      </c>
      <c r="N103" s="18" t="s">
        <v>15588</v>
      </c>
      <c r="O103" s="11">
        <v>7297.0</v>
      </c>
    </row>
    <row r="104">
      <c r="A104" s="176" t="s">
        <v>15589</v>
      </c>
      <c r="B104" s="25">
        <v>7031.0</v>
      </c>
      <c r="C104" s="136" t="s">
        <v>15405</v>
      </c>
      <c r="D104" s="179">
        <v>0.75</v>
      </c>
      <c r="E104" s="179">
        <v>0.75</v>
      </c>
      <c r="F104" s="229" t="s">
        <v>1656</v>
      </c>
      <c r="H104" s="553" t="s">
        <v>15589</v>
      </c>
      <c r="I104" s="11">
        <v>7031.0</v>
      </c>
      <c r="N104" s="18" t="s">
        <v>15590</v>
      </c>
    </row>
    <row r="105">
      <c r="A105" s="176" t="s">
        <v>15591</v>
      </c>
      <c r="B105" s="25">
        <v>6928.0</v>
      </c>
      <c r="C105" s="136" t="s">
        <v>15405</v>
      </c>
      <c r="D105" s="179">
        <v>0.75</v>
      </c>
      <c r="E105" s="179">
        <v>0.75</v>
      </c>
      <c r="F105" s="229" t="s">
        <v>1656</v>
      </c>
      <c r="H105" s="553" t="s">
        <v>15591</v>
      </c>
      <c r="I105" s="11">
        <v>6928.0</v>
      </c>
      <c r="N105" s="18" t="s">
        <v>15592</v>
      </c>
      <c r="O105" s="11">
        <v>2345.0</v>
      </c>
    </row>
    <row r="106">
      <c r="A106" s="176" t="s">
        <v>15593</v>
      </c>
      <c r="B106" s="78"/>
      <c r="C106" s="136" t="s">
        <v>15405</v>
      </c>
      <c r="D106" s="179">
        <v>0.75</v>
      </c>
      <c r="E106" s="179">
        <v>0.75</v>
      </c>
      <c r="F106" s="229" t="s">
        <v>1656</v>
      </c>
      <c r="H106" s="553" t="s">
        <v>15593</v>
      </c>
      <c r="N106" s="18" t="s">
        <v>15594</v>
      </c>
      <c r="O106" s="11">
        <v>6732.0</v>
      </c>
    </row>
    <row r="107">
      <c r="A107" s="176" t="s">
        <v>15595</v>
      </c>
      <c r="B107" s="78"/>
      <c r="C107" s="136" t="s">
        <v>15405</v>
      </c>
      <c r="D107" s="179">
        <v>0.75</v>
      </c>
      <c r="E107" s="179">
        <v>0.75</v>
      </c>
      <c r="F107" s="229" t="s">
        <v>1656</v>
      </c>
      <c r="H107" s="553" t="s">
        <v>15595</v>
      </c>
      <c r="N107" s="18" t="s">
        <v>15596</v>
      </c>
    </row>
    <row r="108">
      <c r="A108" s="176" t="s">
        <v>15597</v>
      </c>
      <c r="B108" s="78"/>
      <c r="C108" s="136" t="s">
        <v>15405</v>
      </c>
      <c r="D108" s="179">
        <v>0.75</v>
      </c>
      <c r="E108" s="179">
        <v>0.75</v>
      </c>
      <c r="F108" s="229" t="s">
        <v>1656</v>
      </c>
      <c r="H108" s="553" t="s">
        <v>15597</v>
      </c>
      <c r="N108" s="18" t="s">
        <v>15598</v>
      </c>
    </row>
    <row r="109">
      <c r="A109" s="176" t="s">
        <v>15599</v>
      </c>
      <c r="B109" s="78"/>
      <c r="C109" s="136" t="s">
        <v>15405</v>
      </c>
      <c r="D109" s="179">
        <v>0.75</v>
      </c>
      <c r="E109" s="179">
        <v>0.75</v>
      </c>
      <c r="F109" s="229" t="s">
        <v>1656</v>
      </c>
      <c r="H109" s="553" t="s">
        <v>15599</v>
      </c>
      <c r="N109" s="18" t="s">
        <v>2206</v>
      </c>
      <c r="O109" s="11">
        <v>7124.0</v>
      </c>
    </row>
    <row r="110">
      <c r="A110" s="176" t="s">
        <v>15600</v>
      </c>
      <c r="B110" s="78"/>
      <c r="C110" s="136" t="s">
        <v>15405</v>
      </c>
      <c r="D110" s="179">
        <v>0.75</v>
      </c>
      <c r="E110" s="179">
        <v>0.75</v>
      </c>
      <c r="F110" s="229" t="s">
        <v>1656</v>
      </c>
      <c r="H110" s="553" t="s">
        <v>15600</v>
      </c>
      <c r="N110" s="18" t="s">
        <v>15601</v>
      </c>
    </row>
    <row r="111">
      <c r="A111" s="176" t="s">
        <v>15602</v>
      </c>
      <c r="B111" s="78"/>
      <c r="C111" s="136" t="s">
        <v>15405</v>
      </c>
      <c r="D111" s="179">
        <v>0.75</v>
      </c>
      <c r="E111" s="179">
        <v>0.75</v>
      </c>
      <c r="F111" s="229" t="s">
        <v>1656</v>
      </c>
      <c r="H111" s="553" t="s">
        <v>15602</v>
      </c>
      <c r="N111" s="18" t="s">
        <v>15603</v>
      </c>
      <c r="O111" s="11">
        <v>6732.0</v>
      </c>
    </row>
    <row r="112">
      <c r="A112" s="176" t="s">
        <v>15604</v>
      </c>
      <c r="B112" s="78"/>
      <c r="C112" s="136" t="s">
        <v>15405</v>
      </c>
      <c r="D112" s="179">
        <v>0.75</v>
      </c>
      <c r="E112" s="179">
        <v>0.75</v>
      </c>
      <c r="F112" s="229" t="s">
        <v>1656</v>
      </c>
      <c r="H112" s="553" t="s">
        <v>15604</v>
      </c>
      <c r="N112" s="18" t="s">
        <v>15605</v>
      </c>
    </row>
    <row r="113">
      <c r="A113" s="176" t="s">
        <v>15606</v>
      </c>
      <c r="B113" s="25">
        <v>5458.0</v>
      </c>
      <c r="C113" s="136" t="s">
        <v>15405</v>
      </c>
      <c r="D113" s="179">
        <v>0.75</v>
      </c>
      <c r="E113" s="179">
        <v>0.75</v>
      </c>
      <c r="F113" s="229" t="s">
        <v>1656</v>
      </c>
      <c r="H113" s="553" t="s">
        <v>15606</v>
      </c>
      <c r="I113" s="11">
        <v>5458.0</v>
      </c>
      <c r="N113" s="18" t="s">
        <v>15607</v>
      </c>
      <c r="O113" s="11">
        <v>6779.0</v>
      </c>
    </row>
    <row r="114">
      <c r="A114" s="176" t="s">
        <v>15608</v>
      </c>
      <c r="B114" s="78"/>
      <c r="C114" s="136" t="s">
        <v>15405</v>
      </c>
      <c r="D114" s="179">
        <v>0.75</v>
      </c>
      <c r="E114" s="179">
        <v>0.75</v>
      </c>
      <c r="F114" s="229" t="s">
        <v>1656</v>
      </c>
      <c r="H114" s="553" t="s">
        <v>15608</v>
      </c>
      <c r="N114" s="18" t="s">
        <v>15609</v>
      </c>
    </row>
    <row r="115">
      <c r="A115" s="176" t="s">
        <v>15610</v>
      </c>
      <c r="B115" s="78"/>
      <c r="C115" s="136" t="s">
        <v>15405</v>
      </c>
      <c r="D115" s="179">
        <v>0.75</v>
      </c>
      <c r="E115" s="179">
        <v>0.75</v>
      </c>
      <c r="F115" s="229" t="s">
        <v>1656</v>
      </c>
      <c r="H115" s="553" t="s">
        <v>15610</v>
      </c>
      <c r="N115" s="18" t="s">
        <v>15611</v>
      </c>
    </row>
    <row r="116">
      <c r="A116" s="176" t="s">
        <v>15612</v>
      </c>
      <c r="B116" s="25">
        <v>14440.0</v>
      </c>
      <c r="C116" s="136" t="s">
        <v>15405</v>
      </c>
      <c r="D116" s="179">
        <v>0.75</v>
      </c>
      <c r="E116" s="179">
        <v>0.75</v>
      </c>
      <c r="F116" s="229" t="s">
        <v>1656</v>
      </c>
      <c r="H116" s="553" t="s">
        <v>15612</v>
      </c>
      <c r="I116" s="11">
        <v>14440.0</v>
      </c>
      <c r="N116" s="18" t="s">
        <v>15613</v>
      </c>
    </row>
    <row r="117">
      <c r="A117" s="176" t="s">
        <v>15614</v>
      </c>
      <c r="B117" s="78"/>
      <c r="C117" s="136" t="s">
        <v>15405</v>
      </c>
      <c r="D117" s="179">
        <v>0.75</v>
      </c>
      <c r="E117" s="179">
        <v>0.75</v>
      </c>
      <c r="F117" s="229" t="s">
        <v>1656</v>
      </c>
      <c r="H117" s="553" t="s">
        <v>15614</v>
      </c>
      <c r="N117" s="18" t="s">
        <v>15615</v>
      </c>
    </row>
    <row r="118">
      <c r="A118" s="176" t="s">
        <v>15616</v>
      </c>
      <c r="B118" s="78"/>
      <c r="C118" s="136" t="s">
        <v>15405</v>
      </c>
      <c r="D118" s="179">
        <v>0.75</v>
      </c>
      <c r="E118" s="179">
        <v>0.75</v>
      </c>
      <c r="F118" s="229" t="s">
        <v>1656</v>
      </c>
      <c r="H118" s="553" t="s">
        <v>15616</v>
      </c>
      <c r="N118" s="18" t="s">
        <v>15617</v>
      </c>
    </row>
    <row r="119">
      <c r="A119" s="176" t="s">
        <v>15618</v>
      </c>
      <c r="B119" s="25">
        <v>7142.0</v>
      </c>
      <c r="C119" s="136" t="s">
        <v>15405</v>
      </c>
      <c r="D119" s="179">
        <v>0.75</v>
      </c>
      <c r="E119" s="179">
        <v>0.75</v>
      </c>
      <c r="F119" s="229" t="s">
        <v>1656</v>
      </c>
      <c r="H119" s="553" t="s">
        <v>15618</v>
      </c>
      <c r="I119" s="11">
        <v>7142.0</v>
      </c>
      <c r="N119" s="18" t="s">
        <v>15619</v>
      </c>
      <c r="O119" s="11">
        <v>11601.0</v>
      </c>
    </row>
    <row r="120">
      <c r="A120" s="176" t="s">
        <v>15620</v>
      </c>
      <c r="B120" s="25">
        <v>6729.0</v>
      </c>
      <c r="C120" s="136" t="s">
        <v>15405</v>
      </c>
      <c r="D120" s="179">
        <v>0.75</v>
      </c>
      <c r="E120" s="179">
        <v>0.75</v>
      </c>
      <c r="F120" s="229" t="s">
        <v>1656</v>
      </c>
      <c r="H120" s="553" t="s">
        <v>15620</v>
      </c>
      <c r="I120" s="11">
        <v>6729.0</v>
      </c>
      <c r="N120" s="18" t="s">
        <v>15621</v>
      </c>
    </row>
    <row r="121">
      <c r="A121" s="176" t="s">
        <v>5265</v>
      </c>
      <c r="B121" s="78"/>
      <c r="C121" s="136" t="s">
        <v>15405</v>
      </c>
      <c r="D121" s="179">
        <v>0.75</v>
      </c>
      <c r="E121" s="179">
        <v>0.75</v>
      </c>
      <c r="F121" s="229" t="s">
        <v>1656</v>
      </c>
      <c r="H121" s="553" t="s">
        <v>5265</v>
      </c>
      <c r="N121" s="18" t="s">
        <v>15622</v>
      </c>
    </row>
    <row r="122">
      <c r="A122" s="176" t="s">
        <v>15623</v>
      </c>
      <c r="B122" s="78"/>
      <c r="C122" s="136" t="s">
        <v>15405</v>
      </c>
      <c r="D122" s="179">
        <v>0.75</v>
      </c>
      <c r="E122" s="179">
        <v>0.75</v>
      </c>
      <c r="F122" s="229" t="s">
        <v>1656</v>
      </c>
      <c r="H122" s="553" t="s">
        <v>15623</v>
      </c>
      <c r="N122" s="18" t="s">
        <v>15624</v>
      </c>
    </row>
    <row r="123">
      <c r="A123" s="176" t="s">
        <v>15625</v>
      </c>
      <c r="B123" s="78"/>
      <c r="C123" s="136" t="s">
        <v>15405</v>
      </c>
      <c r="D123" s="179">
        <v>0.75</v>
      </c>
      <c r="E123" s="179">
        <v>0.75</v>
      </c>
      <c r="F123" s="229" t="s">
        <v>1656</v>
      </c>
      <c r="H123" s="553" t="s">
        <v>15625</v>
      </c>
      <c r="N123" s="18" t="s">
        <v>15626</v>
      </c>
    </row>
    <row r="124">
      <c r="A124" s="176" t="s">
        <v>15627</v>
      </c>
      <c r="B124" s="78"/>
      <c r="C124" s="136" t="s">
        <v>15405</v>
      </c>
      <c r="D124" s="179">
        <v>0.75</v>
      </c>
      <c r="E124" s="179">
        <v>0.75</v>
      </c>
      <c r="F124" s="229" t="s">
        <v>1656</v>
      </c>
      <c r="H124" s="553" t="s">
        <v>15627</v>
      </c>
      <c r="N124" s="18" t="s">
        <v>15628</v>
      </c>
    </row>
    <row r="125">
      <c r="A125" s="176" t="s">
        <v>15629</v>
      </c>
      <c r="B125" s="78"/>
      <c r="C125" s="136" t="s">
        <v>15405</v>
      </c>
      <c r="D125" s="179">
        <v>0.75</v>
      </c>
      <c r="E125" s="179">
        <v>0.75</v>
      </c>
      <c r="F125" s="229" t="s">
        <v>1656</v>
      </c>
      <c r="H125" s="553" t="s">
        <v>15629</v>
      </c>
      <c r="N125" s="18" t="s">
        <v>15630</v>
      </c>
    </row>
    <row r="126">
      <c r="A126" s="176" t="s">
        <v>15631</v>
      </c>
      <c r="B126" s="78"/>
      <c r="C126" s="136" t="s">
        <v>15405</v>
      </c>
      <c r="D126" s="179">
        <v>0.75</v>
      </c>
      <c r="E126" s="179">
        <v>0.75</v>
      </c>
      <c r="F126" s="229" t="s">
        <v>1656</v>
      </c>
      <c r="H126" s="553" t="s">
        <v>15631</v>
      </c>
      <c r="N126" s="18" t="s">
        <v>15632</v>
      </c>
    </row>
    <row r="127">
      <c r="A127" s="176" t="s">
        <v>15633</v>
      </c>
      <c r="B127" s="78"/>
      <c r="C127" s="136" t="s">
        <v>15405</v>
      </c>
      <c r="D127" s="179">
        <v>0.75</v>
      </c>
      <c r="E127" s="179">
        <v>0.75</v>
      </c>
      <c r="F127" s="229" t="s">
        <v>1656</v>
      </c>
      <c r="H127" s="553" t="s">
        <v>15633</v>
      </c>
      <c r="N127" s="18" t="s">
        <v>15634</v>
      </c>
    </row>
    <row r="128">
      <c r="A128" s="176" t="s">
        <v>15635</v>
      </c>
      <c r="B128" s="25">
        <v>14727.0</v>
      </c>
      <c r="C128" s="136" t="s">
        <v>15405</v>
      </c>
      <c r="D128" s="179">
        <v>0.75</v>
      </c>
      <c r="E128" s="179">
        <v>0.75</v>
      </c>
      <c r="F128" s="229" t="s">
        <v>1656</v>
      </c>
      <c r="H128" s="553" t="s">
        <v>15635</v>
      </c>
      <c r="N128" s="18" t="s">
        <v>15636</v>
      </c>
    </row>
    <row r="129">
      <c r="A129" s="176" t="s">
        <v>15637</v>
      </c>
      <c r="B129" s="78"/>
      <c r="C129" s="136" t="s">
        <v>15405</v>
      </c>
      <c r="D129" s="179">
        <v>0.75</v>
      </c>
      <c r="E129" s="179">
        <v>0.75</v>
      </c>
      <c r="F129" s="229" t="s">
        <v>1656</v>
      </c>
      <c r="H129" s="553" t="s">
        <v>15637</v>
      </c>
      <c r="N129" s="18" t="s">
        <v>15638</v>
      </c>
    </row>
    <row r="130">
      <c r="A130" s="176" t="s">
        <v>15639</v>
      </c>
      <c r="B130" s="78"/>
      <c r="C130" s="136" t="s">
        <v>15405</v>
      </c>
      <c r="D130" s="179">
        <v>0.75</v>
      </c>
      <c r="E130" s="179">
        <v>0.75</v>
      </c>
      <c r="F130" s="229" t="s">
        <v>1656</v>
      </c>
      <c r="H130" s="553" t="s">
        <v>15639</v>
      </c>
      <c r="N130" s="18" t="s">
        <v>15640</v>
      </c>
      <c r="O130" s="11">
        <v>7157.0</v>
      </c>
    </row>
    <row r="131">
      <c r="A131" s="176" t="s">
        <v>15641</v>
      </c>
      <c r="B131" s="78"/>
      <c r="C131" s="136" t="s">
        <v>15405</v>
      </c>
      <c r="D131" s="179">
        <v>0.75</v>
      </c>
      <c r="E131" s="179">
        <v>0.75</v>
      </c>
      <c r="F131" s="229" t="s">
        <v>1656</v>
      </c>
      <c r="H131" s="553" t="s">
        <v>15641</v>
      </c>
      <c r="N131" s="18" t="s">
        <v>15642</v>
      </c>
    </row>
    <row r="132">
      <c r="A132" s="176" t="s">
        <v>15643</v>
      </c>
      <c r="B132" s="78"/>
      <c r="C132" s="136" t="s">
        <v>15405</v>
      </c>
      <c r="D132" s="179">
        <v>0.75</v>
      </c>
      <c r="E132" s="179">
        <v>0.75</v>
      </c>
      <c r="F132" s="229" t="s">
        <v>1656</v>
      </c>
      <c r="H132" s="553" t="s">
        <v>15643</v>
      </c>
      <c r="N132" s="18" t="s">
        <v>2099</v>
      </c>
    </row>
    <row r="133">
      <c r="A133" s="176" t="s">
        <v>15644</v>
      </c>
      <c r="B133" s="78"/>
      <c r="C133" s="136" t="s">
        <v>15405</v>
      </c>
      <c r="D133" s="179">
        <v>0.75</v>
      </c>
      <c r="E133" s="179">
        <v>0.75</v>
      </c>
      <c r="F133" s="229" t="s">
        <v>1656</v>
      </c>
      <c r="H133" s="553" t="s">
        <v>15644</v>
      </c>
      <c r="J133" s="11">
        <v>6789.0</v>
      </c>
      <c r="N133" s="18" t="s">
        <v>15645</v>
      </c>
    </row>
    <row r="134">
      <c r="A134" s="176" t="s">
        <v>15646</v>
      </c>
      <c r="B134" s="78"/>
      <c r="C134" s="136" t="s">
        <v>15405</v>
      </c>
      <c r="D134" s="179">
        <v>0.75</v>
      </c>
      <c r="E134" s="179">
        <v>0.75</v>
      </c>
      <c r="F134" s="229" t="s">
        <v>1656</v>
      </c>
      <c r="H134" s="553" t="s">
        <v>15646</v>
      </c>
      <c r="N134" s="18" t="s">
        <v>15647</v>
      </c>
      <c r="O134" s="11">
        <v>6789.0</v>
      </c>
    </row>
    <row r="135">
      <c r="A135" s="176" t="s">
        <v>15648</v>
      </c>
      <c r="B135" s="78"/>
      <c r="C135" s="136" t="s">
        <v>15405</v>
      </c>
      <c r="D135" s="179">
        <v>0.75</v>
      </c>
      <c r="E135" s="179">
        <v>0.75</v>
      </c>
      <c r="F135" s="229" t="s">
        <v>1656</v>
      </c>
      <c r="H135" s="553" t="s">
        <v>15648</v>
      </c>
      <c r="N135" s="18" t="s">
        <v>15649</v>
      </c>
    </row>
    <row r="136">
      <c r="A136" s="176" t="s">
        <v>15650</v>
      </c>
      <c r="B136" s="78"/>
      <c r="C136" s="136" t="s">
        <v>15405</v>
      </c>
      <c r="D136" s="179">
        <v>0.75</v>
      </c>
      <c r="E136" s="179">
        <v>0.75</v>
      </c>
      <c r="F136" s="229" t="s">
        <v>1656</v>
      </c>
      <c r="H136" s="553" t="s">
        <v>15650</v>
      </c>
      <c r="N136" s="18" t="s">
        <v>15651</v>
      </c>
    </row>
    <row r="137">
      <c r="A137" s="176" t="s">
        <v>15652</v>
      </c>
      <c r="B137" s="78"/>
      <c r="C137" s="136" t="s">
        <v>15405</v>
      </c>
      <c r="D137" s="179">
        <v>0.75</v>
      </c>
      <c r="E137" s="179">
        <v>0.75</v>
      </c>
      <c r="F137" s="229" t="s">
        <v>1656</v>
      </c>
      <c r="H137" s="553" t="s">
        <v>15652</v>
      </c>
      <c r="N137" s="18" t="s">
        <v>15653</v>
      </c>
    </row>
    <row r="138">
      <c r="A138" s="176" t="s">
        <v>15654</v>
      </c>
      <c r="B138" s="78"/>
      <c r="C138" s="136" t="s">
        <v>15405</v>
      </c>
      <c r="D138" s="179">
        <v>0.75</v>
      </c>
      <c r="E138" s="179">
        <v>0.75</v>
      </c>
      <c r="F138" s="229" t="s">
        <v>1656</v>
      </c>
      <c r="H138" s="553" t="s">
        <v>15654</v>
      </c>
      <c r="N138" s="18" t="s">
        <v>15655</v>
      </c>
    </row>
    <row r="139">
      <c r="A139" s="176" t="s">
        <v>15656</v>
      </c>
      <c r="B139" s="78"/>
      <c r="C139" s="136" t="s">
        <v>15405</v>
      </c>
      <c r="D139" s="179">
        <v>0.75</v>
      </c>
      <c r="E139" s="179">
        <v>0.75</v>
      </c>
      <c r="F139" s="229" t="s">
        <v>1656</v>
      </c>
      <c r="H139" s="553" t="s">
        <v>15656</v>
      </c>
      <c r="N139" s="18" t="s">
        <v>15657</v>
      </c>
    </row>
    <row r="140">
      <c r="A140" s="176" t="s">
        <v>15658</v>
      </c>
      <c r="B140" s="78"/>
      <c r="C140" s="136" t="s">
        <v>15405</v>
      </c>
      <c r="D140" s="179">
        <v>0.75</v>
      </c>
      <c r="E140" s="179">
        <v>0.75</v>
      </c>
      <c r="F140" s="229" t="s">
        <v>1656</v>
      </c>
      <c r="H140" s="553" t="s">
        <v>15658</v>
      </c>
      <c r="N140" s="18" t="s">
        <v>15659</v>
      </c>
    </row>
    <row r="141">
      <c r="A141" s="176" t="s">
        <v>15660</v>
      </c>
      <c r="B141" s="78"/>
      <c r="C141" s="136" t="s">
        <v>15405</v>
      </c>
      <c r="D141" s="179">
        <v>0.75</v>
      </c>
      <c r="E141" s="179">
        <v>0.75</v>
      </c>
      <c r="F141" s="229" t="s">
        <v>1656</v>
      </c>
      <c r="H141" s="553" t="s">
        <v>15660</v>
      </c>
      <c r="N141" s="18" t="s">
        <v>15661</v>
      </c>
      <c r="O141" s="11">
        <v>11875.0</v>
      </c>
    </row>
    <row r="142">
      <c r="A142" s="176" t="s">
        <v>15662</v>
      </c>
      <c r="B142" s="78"/>
      <c r="C142" s="136" t="s">
        <v>15405</v>
      </c>
      <c r="D142" s="179">
        <v>0.75</v>
      </c>
      <c r="E142" s="179">
        <v>0.75</v>
      </c>
      <c r="F142" s="229" t="s">
        <v>1656</v>
      </c>
      <c r="H142" s="553" t="s">
        <v>15662</v>
      </c>
      <c r="N142" s="18" t="s">
        <v>15663</v>
      </c>
    </row>
    <row r="143">
      <c r="A143" s="176" t="s">
        <v>15664</v>
      </c>
      <c r="B143" s="78"/>
      <c r="C143" s="136" t="s">
        <v>15405</v>
      </c>
      <c r="D143" s="179">
        <v>0.75</v>
      </c>
      <c r="E143" s="179">
        <v>0.75</v>
      </c>
      <c r="F143" s="229" t="s">
        <v>1656</v>
      </c>
      <c r="H143" s="553" t="s">
        <v>15664</v>
      </c>
      <c r="N143" s="18" t="s">
        <v>15665</v>
      </c>
    </row>
    <row r="144">
      <c r="A144" s="176" t="s">
        <v>15666</v>
      </c>
      <c r="B144" s="78"/>
      <c r="C144" s="136" t="s">
        <v>15405</v>
      </c>
      <c r="D144" s="179">
        <v>0.75</v>
      </c>
      <c r="E144" s="179">
        <v>0.75</v>
      </c>
      <c r="F144" s="229" t="s">
        <v>1656</v>
      </c>
      <c r="H144" s="553" t="s">
        <v>15666</v>
      </c>
      <c r="N144" s="18" t="s">
        <v>15667</v>
      </c>
    </row>
    <row r="145">
      <c r="A145" s="176" t="s">
        <v>15668</v>
      </c>
      <c r="B145" s="78"/>
      <c r="C145" s="136" t="s">
        <v>15405</v>
      </c>
      <c r="D145" s="179">
        <v>0.75</v>
      </c>
      <c r="E145" s="179">
        <v>0.75</v>
      </c>
      <c r="F145" s="229" t="s">
        <v>1656</v>
      </c>
      <c r="H145" s="553" t="s">
        <v>15668</v>
      </c>
      <c r="N145" s="18" t="s">
        <v>15669</v>
      </c>
    </row>
    <row r="146">
      <c r="A146" s="176" t="s">
        <v>15670</v>
      </c>
      <c r="B146" s="78"/>
      <c r="C146" s="136" t="s">
        <v>15405</v>
      </c>
      <c r="D146" s="179">
        <v>0.75</v>
      </c>
      <c r="E146" s="179">
        <v>0.75</v>
      </c>
      <c r="F146" s="229" t="s">
        <v>1656</v>
      </c>
      <c r="H146" s="553" t="s">
        <v>15670</v>
      </c>
      <c r="J146" s="11">
        <v>6924.0</v>
      </c>
      <c r="N146" s="18" t="s">
        <v>15671</v>
      </c>
    </row>
    <row r="147">
      <c r="A147" s="176" t="s">
        <v>15672</v>
      </c>
      <c r="B147" s="78"/>
      <c r="C147" s="136" t="s">
        <v>15405</v>
      </c>
      <c r="D147" s="179">
        <v>0.75</v>
      </c>
      <c r="E147" s="179">
        <v>0.75</v>
      </c>
      <c r="F147" s="229" t="s">
        <v>1656</v>
      </c>
      <c r="H147" s="553" t="s">
        <v>15672</v>
      </c>
      <c r="N147" s="18" t="s">
        <v>15673</v>
      </c>
      <c r="O147" s="11">
        <v>6924.0</v>
      </c>
    </row>
    <row r="148">
      <c r="A148" s="176" t="s">
        <v>15674</v>
      </c>
      <c r="B148" s="78"/>
      <c r="C148" s="136" t="s">
        <v>15405</v>
      </c>
      <c r="D148" s="179">
        <v>0.75</v>
      </c>
      <c r="E148" s="179">
        <v>0.75</v>
      </c>
      <c r="F148" s="229" t="s">
        <v>1656</v>
      </c>
      <c r="H148" s="553" t="s">
        <v>15674</v>
      </c>
      <c r="N148" s="18" t="s">
        <v>15675</v>
      </c>
    </row>
    <row r="149">
      <c r="A149" s="176" t="s">
        <v>15676</v>
      </c>
      <c r="B149" s="78"/>
      <c r="C149" s="136" t="s">
        <v>15405</v>
      </c>
      <c r="D149" s="179">
        <v>0.75</v>
      </c>
      <c r="E149" s="179">
        <v>0.75</v>
      </c>
      <c r="F149" s="229" t="s">
        <v>1656</v>
      </c>
      <c r="H149" s="553" t="s">
        <v>15676</v>
      </c>
      <c r="J149" s="11">
        <v>7083.0</v>
      </c>
      <c r="N149" s="18" t="s">
        <v>15677</v>
      </c>
    </row>
    <row r="150">
      <c r="A150" s="176" t="s">
        <v>15678</v>
      </c>
      <c r="B150" s="25">
        <v>6706.0</v>
      </c>
      <c r="C150" s="136" t="s">
        <v>15405</v>
      </c>
      <c r="D150" s="179">
        <v>0.75</v>
      </c>
      <c r="E150" s="179">
        <v>0.75</v>
      </c>
      <c r="F150" s="229" t="s">
        <v>1656</v>
      </c>
      <c r="H150" s="553" t="s">
        <v>15678</v>
      </c>
      <c r="N150" s="18" t="s">
        <v>15679</v>
      </c>
      <c r="O150" s="11">
        <v>7083.0</v>
      </c>
    </row>
    <row r="151">
      <c r="A151" s="176" t="s">
        <v>15680</v>
      </c>
      <c r="B151" s="78"/>
      <c r="C151" s="136" t="s">
        <v>15405</v>
      </c>
      <c r="D151" s="179">
        <v>0.75</v>
      </c>
      <c r="E151" s="179">
        <v>0.75</v>
      </c>
      <c r="F151" s="229" t="s">
        <v>1656</v>
      </c>
      <c r="H151" s="553" t="s">
        <v>15680</v>
      </c>
      <c r="N151" s="18" t="s">
        <v>15681</v>
      </c>
    </row>
    <row r="152">
      <c r="A152" s="176" t="s">
        <v>15682</v>
      </c>
      <c r="B152" s="78"/>
      <c r="C152" s="136" t="s">
        <v>15405</v>
      </c>
      <c r="D152" s="179">
        <v>0.75</v>
      </c>
      <c r="E152" s="179">
        <v>0.75</v>
      </c>
      <c r="F152" s="229" t="s">
        <v>1656</v>
      </c>
      <c r="H152" s="553" t="s">
        <v>15682</v>
      </c>
      <c r="N152" s="18" t="s">
        <v>15683</v>
      </c>
    </row>
    <row r="153">
      <c r="A153" s="176" t="s">
        <v>15684</v>
      </c>
      <c r="B153" s="78"/>
      <c r="C153" s="136" t="s">
        <v>15405</v>
      </c>
      <c r="D153" s="179">
        <v>0.75</v>
      </c>
      <c r="E153" s="179">
        <v>0.75</v>
      </c>
      <c r="F153" s="229" t="s">
        <v>1656</v>
      </c>
      <c r="H153" s="553" t="s">
        <v>15684</v>
      </c>
      <c r="N153" s="18" t="s">
        <v>15685</v>
      </c>
    </row>
    <row r="154">
      <c r="A154" s="176" t="s">
        <v>15426</v>
      </c>
      <c r="B154" s="25">
        <v>5421.0</v>
      </c>
      <c r="C154" s="136" t="s">
        <v>15405</v>
      </c>
      <c r="D154" s="179">
        <v>0.75</v>
      </c>
      <c r="E154" s="179">
        <v>0.75</v>
      </c>
      <c r="F154" s="229" t="s">
        <v>1656</v>
      </c>
      <c r="H154" s="553" t="s">
        <v>15426</v>
      </c>
      <c r="I154" s="11">
        <v>5421.0</v>
      </c>
      <c r="N154" s="18" t="s">
        <v>15686</v>
      </c>
    </row>
    <row r="155">
      <c r="A155" s="176" t="s">
        <v>15687</v>
      </c>
      <c r="B155" s="78"/>
      <c r="C155" s="136" t="s">
        <v>15405</v>
      </c>
      <c r="D155" s="179">
        <v>0.75</v>
      </c>
      <c r="E155" s="179">
        <v>0.75</v>
      </c>
      <c r="F155" s="229" t="s">
        <v>1656</v>
      </c>
      <c r="H155" s="553" t="s">
        <v>15687</v>
      </c>
      <c r="N155" s="18" t="s">
        <v>15688</v>
      </c>
      <c r="O155" s="11">
        <v>7100.0</v>
      </c>
    </row>
    <row r="156">
      <c r="A156" s="176" t="s">
        <v>15689</v>
      </c>
      <c r="B156" s="78"/>
      <c r="C156" s="136" t="s">
        <v>15405</v>
      </c>
      <c r="D156" s="179">
        <v>0.75</v>
      </c>
      <c r="E156" s="179">
        <v>0.75</v>
      </c>
      <c r="F156" s="229" t="s">
        <v>1656</v>
      </c>
      <c r="H156" s="553" t="s">
        <v>15689</v>
      </c>
      <c r="N156" s="18" t="s">
        <v>15690</v>
      </c>
      <c r="O156" s="11">
        <v>8199.0</v>
      </c>
    </row>
    <row r="157">
      <c r="A157" s="176" t="s">
        <v>15691</v>
      </c>
      <c r="B157" s="78"/>
      <c r="C157" s="136" t="s">
        <v>15405</v>
      </c>
      <c r="D157" s="179">
        <v>0.75</v>
      </c>
      <c r="E157" s="179">
        <v>0.75</v>
      </c>
      <c r="F157" s="229" t="s">
        <v>1656</v>
      </c>
      <c r="H157" s="553" t="s">
        <v>15691</v>
      </c>
      <c r="N157" s="18" t="s">
        <v>15692</v>
      </c>
    </row>
    <row r="158">
      <c r="A158" s="176" t="s">
        <v>15693</v>
      </c>
      <c r="B158" s="78"/>
      <c r="C158" s="136" t="s">
        <v>15405</v>
      </c>
      <c r="D158" s="179">
        <v>0.75</v>
      </c>
      <c r="E158" s="179">
        <v>0.75</v>
      </c>
      <c r="F158" s="229" t="s">
        <v>1656</v>
      </c>
      <c r="H158" s="553" t="s">
        <v>15693</v>
      </c>
      <c r="N158" s="18" t="s">
        <v>15694</v>
      </c>
    </row>
    <row r="159">
      <c r="A159" s="176" t="s">
        <v>15695</v>
      </c>
      <c r="B159" s="78"/>
      <c r="C159" s="136" t="s">
        <v>15405</v>
      </c>
      <c r="D159" s="179">
        <v>0.75</v>
      </c>
      <c r="E159" s="179">
        <v>0.75</v>
      </c>
      <c r="F159" s="229" t="s">
        <v>1656</v>
      </c>
      <c r="H159" s="553" t="s">
        <v>15695</v>
      </c>
      <c r="J159" s="158">
        <v>7186.0</v>
      </c>
      <c r="N159" s="18" t="s">
        <v>15696</v>
      </c>
    </row>
    <row r="160">
      <c r="A160" s="176" t="s">
        <v>15697</v>
      </c>
      <c r="B160" s="78"/>
      <c r="C160" s="136" t="s">
        <v>15405</v>
      </c>
      <c r="D160" s="179">
        <v>0.75</v>
      </c>
      <c r="E160" s="179">
        <v>0.75</v>
      </c>
      <c r="F160" s="229" t="s">
        <v>1656</v>
      </c>
      <c r="H160" s="553" t="s">
        <v>15697</v>
      </c>
      <c r="N160" s="18" t="s">
        <v>15698</v>
      </c>
      <c r="O160" s="158">
        <v>7186.0</v>
      </c>
    </row>
    <row r="161">
      <c r="A161" s="176" t="s">
        <v>15699</v>
      </c>
      <c r="B161" s="78"/>
      <c r="C161" s="136" t="s">
        <v>15405</v>
      </c>
      <c r="D161" s="179">
        <v>0.75</v>
      </c>
      <c r="E161" s="179">
        <v>0.75</v>
      </c>
      <c r="F161" s="229" t="s">
        <v>1656</v>
      </c>
      <c r="H161" s="553" t="s">
        <v>15699</v>
      </c>
      <c r="N161" s="18" t="s">
        <v>15700</v>
      </c>
    </row>
    <row r="162">
      <c r="A162" s="176" t="s">
        <v>15701</v>
      </c>
      <c r="B162" s="78"/>
      <c r="C162" s="136" t="s">
        <v>15405</v>
      </c>
      <c r="D162" s="179">
        <v>0.75</v>
      </c>
      <c r="E162" s="179">
        <v>0.75</v>
      </c>
      <c r="F162" s="229" t="s">
        <v>1656</v>
      </c>
      <c r="H162" s="553" t="s">
        <v>15701</v>
      </c>
      <c r="N162" s="18" t="s">
        <v>15702</v>
      </c>
    </row>
    <row r="163">
      <c r="A163" s="176" t="s">
        <v>1378</v>
      </c>
      <c r="B163" s="78"/>
      <c r="C163" s="136" t="s">
        <v>15405</v>
      </c>
      <c r="D163" s="179">
        <v>0.75</v>
      </c>
      <c r="E163" s="179">
        <v>0.75</v>
      </c>
      <c r="F163" s="229" t="s">
        <v>1656</v>
      </c>
      <c r="H163" s="553" t="s">
        <v>1378</v>
      </c>
      <c r="N163" s="18" t="s">
        <v>15703</v>
      </c>
      <c r="O163" s="11">
        <v>9307.0</v>
      </c>
    </row>
    <row r="164">
      <c r="A164" s="176" t="s">
        <v>15704</v>
      </c>
      <c r="B164" s="25">
        <v>14377.0</v>
      </c>
      <c r="C164" s="136" t="s">
        <v>15405</v>
      </c>
      <c r="D164" s="179">
        <v>0.75</v>
      </c>
      <c r="E164" s="179">
        <v>0.75</v>
      </c>
      <c r="F164" s="229" t="s">
        <v>1656</v>
      </c>
      <c r="H164" s="553" t="s">
        <v>15704</v>
      </c>
      <c r="I164" s="11">
        <v>14377.0</v>
      </c>
      <c r="N164" s="18" t="s">
        <v>15705</v>
      </c>
    </row>
    <row r="165">
      <c r="A165" s="176" t="s">
        <v>15706</v>
      </c>
      <c r="B165" s="78"/>
      <c r="C165" s="136" t="s">
        <v>15405</v>
      </c>
      <c r="D165" s="179">
        <v>0.75</v>
      </c>
      <c r="E165" s="179">
        <v>0.75</v>
      </c>
      <c r="F165" s="229" t="s">
        <v>1656</v>
      </c>
      <c r="H165" s="553" t="s">
        <v>15706</v>
      </c>
      <c r="N165" s="18" t="s">
        <v>15707</v>
      </c>
    </row>
    <row r="166">
      <c r="A166" s="176" t="s">
        <v>15708</v>
      </c>
      <c r="B166" s="78"/>
      <c r="C166" s="136" t="s">
        <v>15405</v>
      </c>
      <c r="D166" s="179">
        <v>0.75</v>
      </c>
      <c r="E166" s="179">
        <v>0.75</v>
      </c>
      <c r="F166" s="229" t="s">
        <v>1656</v>
      </c>
      <c r="H166" s="553" t="s">
        <v>15708</v>
      </c>
      <c r="N166" s="18" t="s">
        <v>15709</v>
      </c>
      <c r="O166" s="11">
        <v>11708.0</v>
      </c>
    </row>
    <row r="167">
      <c r="A167" s="176" t="s">
        <v>15710</v>
      </c>
      <c r="B167" s="78"/>
      <c r="C167" s="136" t="s">
        <v>15405</v>
      </c>
      <c r="D167" s="179">
        <v>0.75</v>
      </c>
      <c r="E167" s="179">
        <v>0.75</v>
      </c>
      <c r="F167" s="229" t="s">
        <v>1656</v>
      </c>
      <c r="H167" s="553" t="s">
        <v>15710</v>
      </c>
      <c r="N167" s="18" t="s">
        <v>3369</v>
      </c>
    </row>
    <row r="168">
      <c r="A168" s="176" t="s">
        <v>15711</v>
      </c>
      <c r="B168" s="78"/>
      <c r="C168" s="136" t="s">
        <v>15405</v>
      </c>
      <c r="D168" s="179">
        <v>0.75</v>
      </c>
      <c r="E168" s="179">
        <v>0.75</v>
      </c>
      <c r="F168" s="229" t="s">
        <v>1656</v>
      </c>
      <c r="H168" s="553" t="s">
        <v>15711</v>
      </c>
      <c r="N168" s="18" t="s">
        <v>15712</v>
      </c>
      <c r="O168" s="11">
        <v>2345.0</v>
      </c>
    </row>
    <row r="169">
      <c r="A169" s="176" t="s">
        <v>15713</v>
      </c>
      <c r="B169" s="78"/>
      <c r="C169" s="136" t="s">
        <v>15405</v>
      </c>
      <c r="D169" s="179">
        <v>0.75</v>
      </c>
      <c r="E169" s="179">
        <v>0.75</v>
      </c>
      <c r="F169" s="229" t="s">
        <v>1656</v>
      </c>
      <c r="H169" s="553" t="s">
        <v>15713</v>
      </c>
      <c r="N169" s="18" t="s">
        <v>15714</v>
      </c>
      <c r="O169" s="11">
        <v>2345.0</v>
      </c>
    </row>
    <row r="170">
      <c r="A170" s="176" t="s">
        <v>15715</v>
      </c>
      <c r="B170" s="78"/>
      <c r="C170" s="136" t="s">
        <v>15405</v>
      </c>
      <c r="D170" s="179">
        <v>0.75</v>
      </c>
      <c r="E170" s="179">
        <v>0.75</v>
      </c>
      <c r="F170" s="229" t="s">
        <v>1656</v>
      </c>
      <c r="H170" s="553" t="s">
        <v>15715</v>
      </c>
      <c r="N170" s="18" t="s">
        <v>15716</v>
      </c>
      <c r="O170" s="11">
        <v>2345.0</v>
      </c>
    </row>
    <row r="171">
      <c r="A171" s="176" t="s">
        <v>15717</v>
      </c>
      <c r="B171" s="78"/>
      <c r="C171" s="136" t="s">
        <v>15405</v>
      </c>
      <c r="D171" s="179">
        <v>0.75</v>
      </c>
      <c r="E171" s="179">
        <v>0.75</v>
      </c>
      <c r="F171" s="229" t="s">
        <v>1656</v>
      </c>
      <c r="H171" s="553" t="s">
        <v>15717</v>
      </c>
      <c r="N171" s="18" t="s">
        <v>15718</v>
      </c>
      <c r="O171" s="11">
        <v>2345.0</v>
      </c>
    </row>
    <row r="172">
      <c r="A172" s="176" t="s">
        <v>15719</v>
      </c>
      <c r="B172" s="78"/>
      <c r="C172" s="136" t="s">
        <v>15405</v>
      </c>
      <c r="D172" s="179">
        <v>0.75</v>
      </c>
      <c r="E172" s="179">
        <v>0.75</v>
      </c>
      <c r="F172" s="229" t="s">
        <v>1656</v>
      </c>
      <c r="H172" s="553" t="s">
        <v>15719</v>
      </c>
      <c r="N172" s="18" t="s">
        <v>15720</v>
      </c>
      <c r="O172" s="11">
        <v>2345.0</v>
      </c>
    </row>
    <row r="173">
      <c r="A173" s="176" t="s">
        <v>15721</v>
      </c>
      <c r="B173" s="78"/>
      <c r="C173" s="136" t="s">
        <v>15405</v>
      </c>
      <c r="D173" s="179">
        <v>0.75</v>
      </c>
      <c r="E173" s="179">
        <v>0.75</v>
      </c>
      <c r="F173" s="229" t="s">
        <v>1656</v>
      </c>
      <c r="H173" s="553" t="s">
        <v>15721</v>
      </c>
      <c r="N173" s="18" t="s">
        <v>15722</v>
      </c>
      <c r="O173" s="11">
        <v>2345.0</v>
      </c>
    </row>
    <row r="174">
      <c r="A174" s="176" t="s">
        <v>15723</v>
      </c>
      <c r="B174" s="78"/>
      <c r="C174" s="136" t="s">
        <v>15405</v>
      </c>
      <c r="D174" s="179">
        <v>0.75</v>
      </c>
      <c r="E174" s="179">
        <v>0.75</v>
      </c>
      <c r="F174" s="229" t="s">
        <v>1656</v>
      </c>
      <c r="H174" s="553" t="s">
        <v>15723</v>
      </c>
      <c r="N174" s="18" t="s">
        <v>15724</v>
      </c>
      <c r="O174" s="11">
        <v>2345.0</v>
      </c>
    </row>
    <row r="175">
      <c r="A175" s="176" t="s">
        <v>15725</v>
      </c>
      <c r="B175" s="78"/>
      <c r="C175" s="136" t="s">
        <v>15405</v>
      </c>
      <c r="D175" s="179">
        <v>0.75</v>
      </c>
      <c r="E175" s="179">
        <v>0.75</v>
      </c>
      <c r="F175" s="229" t="s">
        <v>1656</v>
      </c>
      <c r="H175" s="553" t="s">
        <v>15725</v>
      </c>
      <c r="N175" s="18" t="s">
        <v>15726</v>
      </c>
      <c r="O175" s="11">
        <v>2345.0</v>
      </c>
    </row>
    <row r="176">
      <c r="A176" s="176" t="s">
        <v>15727</v>
      </c>
      <c r="B176" s="78"/>
      <c r="C176" s="136" t="s">
        <v>15405</v>
      </c>
      <c r="D176" s="179">
        <v>0.75</v>
      </c>
      <c r="E176" s="179">
        <v>0.75</v>
      </c>
      <c r="F176" s="229" t="s">
        <v>1656</v>
      </c>
      <c r="H176" s="553" t="s">
        <v>15727</v>
      </c>
      <c r="N176" s="18" t="s">
        <v>15728</v>
      </c>
      <c r="O176" s="11">
        <v>2345.0</v>
      </c>
    </row>
    <row r="177">
      <c r="A177" s="176" t="s">
        <v>15729</v>
      </c>
      <c r="B177" s="78"/>
      <c r="C177" s="136" t="s">
        <v>15405</v>
      </c>
      <c r="D177" s="179">
        <v>0.75</v>
      </c>
      <c r="E177" s="179">
        <v>0.75</v>
      </c>
      <c r="F177" s="229" t="s">
        <v>1656</v>
      </c>
      <c r="H177" s="553" t="s">
        <v>15729</v>
      </c>
      <c r="N177" s="18" t="s">
        <v>15730</v>
      </c>
      <c r="O177" s="11">
        <v>2345.0</v>
      </c>
    </row>
    <row r="178">
      <c r="A178" s="176" t="s">
        <v>15731</v>
      </c>
      <c r="B178" s="78"/>
      <c r="C178" s="136" t="s">
        <v>15405</v>
      </c>
      <c r="D178" s="179">
        <v>0.75</v>
      </c>
      <c r="E178" s="179">
        <v>0.75</v>
      </c>
      <c r="F178" s="229" t="s">
        <v>1656</v>
      </c>
      <c r="H178" s="553" t="s">
        <v>15731</v>
      </c>
      <c r="N178" s="18" t="s">
        <v>15732</v>
      </c>
      <c r="O178" s="11">
        <v>2345.0</v>
      </c>
    </row>
    <row r="179">
      <c r="A179" s="176" t="s">
        <v>15733</v>
      </c>
      <c r="B179" s="78"/>
      <c r="C179" s="136" t="s">
        <v>15405</v>
      </c>
      <c r="D179" s="179">
        <v>0.75</v>
      </c>
      <c r="E179" s="179">
        <v>0.75</v>
      </c>
      <c r="F179" s="229" t="s">
        <v>1656</v>
      </c>
      <c r="H179" s="553" t="s">
        <v>15733</v>
      </c>
      <c r="N179" s="18" t="s">
        <v>15734</v>
      </c>
      <c r="O179" s="11">
        <v>2345.0</v>
      </c>
    </row>
    <row r="180">
      <c r="A180" s="176" t="s">
        <v>15735</v>
      </c>
      <c r="B180" s="78"/>
      <c r="C180" s="136" t="s">
        <v>15405</v>
      </c>
      <c r="D180" s="179">
        <v>0.75</v>
      </c>
      <c r="E180" s="179">
        <v>0.75</v>
      </c>
      <c r="F180" s="229" t="s">
        <v>1656</v>
      </c>
      <c r="H180" s="553" t="s">
        <v>15735</v>
      </c>
      <c r="N180" s="18" t="s">
        <v>15736</v>
      </c>
    </row>
    <row r="181">
      <c r="A181" s="176" t="s">
        <v>15737</v>
      </c>
      <c r="B181" s="78"/>
      <c r="C181" s="136" t="s">
        <v>15405</v>
      </c>
      <c r="D181" s="179">
        <v>0.75</v>
      </c>
      <c r="E181" s="179">
        <v>0.75</v>
      </c>
      <c r="F181" s="229" t="s">
        <v>1656</v>
      </c>
      <c r="H181" s="553" t="s">
        <v>15737</v>
      </c>
      <c r="N181" s="18" t="s">
        <v>15738</v>
      </c>
    </row>
    <row r="182">
      <c r="A182" s="176" t="s">
        <v>15739</v>
      </c>
      <c r="B182" s="78"/>
      <c r="C182" s="136" t="s">
        <v>15405</v>
      </c>
      <c r="D182" s="179">
        <v>0.75</v>
      </c>
      <c r="E182" s="179">
        <v>0.75</v>
      </c>
      <c r="F182" s="229" t="s">
        <v>1656</v>
      </c>
      <c r="H182" s="553" t="s">
        <v>15739</v>
      </c>
      <c r="N182" s="18" t="s">
        <v>15740</v>
      </c>
    </row>
    <row r="183">
      <c r="A183" s="176" t="s">
        <v>15741</v>
      </c>
      <c r="B183" s="78"/>
      <c r="C183" s="136" t="s">
        <v>15405</v>
      </c>
      <c r="D183" s="179">
        <v>0.75</v>
      </c>
      <c r="E183" s="179">
        <v>0.75</v>
      </c>
      <c r="F183" s="229" t="s">
        <v>1656</v>
      </c>
      <c r="H183" s="553" t="s">
        <v>15741</v>
      </c>
      <c r="N183" s="18" t="s">
        <v>15742</v>
      </c>
    </row>
    <row r="184">
      <c r="A184" s="176" t="s">
        <v>15743</v>
      </c>
      <c r="B184" s="78"/>
      <c r="C184" s="136" t="s">
        <v>15405</v>
      </c>
      <c r="D184" s="179">
        <v>0.75</v>
      </c>
      <c r="E184" s="179">
        <v>0.75</v>
      </c>
      <c r="F184" s="229" t="s">
        <v>1656</v>
      </c>
      <c r="H184" s="553" t="s">
        <v>15743</v>
      </c>
      <c r="N184" s="18" t="s">
        <v>15744</v>
      </c>
    </row>
    <row r="185">
      <c r="A185" s="176" t="s">
        <v>1464</v>
      </c>
      <c r="B185" s="78"/>
      <c r="C185" s="136" t="s">
        <v>15405</v>
      </c>
      <c r="D185" s="179">
        <v>0.75</v>
      </c>
      <c r="E185" s="179">
        <v>0.75</v>
      </c>
      <c r="F185" s="229" t="s">
        <v>1656</v>
      </c>
      <c r="H185" s="553" t="s">
        <v>1464</v>
      </c>
      <c r="N185" s="18" t="s">
        <v>15745</v>
      </c>
    </row>
    <row r="186">
      <c r="A186" s="176" t="s">
        <v>15746</v>
      </c>
      <c r="B186" s="78"/>
      <c r="C186" s="136" t="s">
        <v>15405</v>
      </c>
      <c r="D186" s="179">
        <v>0.75</v>
      </c>
      <c r="E186" s="179">
        <v>0.75</v>
      </c>
      <c r="F186" s="229" t="s">
        <v>1656</v>
      </c>
      <c r="H186" s="553" t="s">
        <v>15746</v>
      </c>
      <c r="N186" s="18" t="s">
        <v>15747</v>
      </c>
    </row>
    <row r="187">
      <c r="A187" s="176" t="s">
        <v>15748</v>
      </c>
      <c r="B187" s="78"/>
      <c r="C187" s="136" t="s">
        <v>15405</v>
      </c>
      <c r="D187" s="179">
        <v>0.75</v>
      </c>
      <c r="E187" s="179">
        <v>0.75</v>
      </c>
      <c r="F187" s="229" t="s">
        <v>1656</v>
      </c>
      <c r="H187" s="553" t="s">
        <v>15748</v>
      </c>
      <c r="N187" s="18" t="s">
        <v>3077</v>
      </c>
    </row>
    <row r="188">
      <c r="A188" s="176" t="s">
        <v>15749</v>
      </c>
      <c r="B188" s="78"/>
      <c r="C188" s="136" t="s">
        <v>15405</v>
      </c>
      <c r="D188" s="179">
        <v>0.75</v>
      </c>
      <c r="E188" s="179">
        <v>0.75</v>
      </c>
      <c r="F188" s="229" t="s">
        <v>1656</v>
      </c>
      <c r="H188" s="553" t="s">
        <v>15749</v>
      </c>
      <c r="N188" s="18" t="s">
        <v>15750</v>
      </c>
    </row>
    <row r="189">
      <c r="A189" s="176" t="s">
        <v>15751</v>
      </c>
      <c r="B189" s="78"/>
      <c r="C189" s="136" t="s">
        <v>15405</v>
      </c>
      <c r="D189" s="179">
        <v>0.75</v>
      </c>
      <c r="E189" s="179">
        <v>0.75</v>
      </c>
      <c r="F189" s="229" t="s">
        <v>1656</v>
      </c>
      <c r="H189" s="553" t="s">
        <v>15751</v>
      </c>
      <c r="N189" s="18" t="s">
        <v>15752</v>
      </c>
    </row>
    <row r="190">
      <c r="A190" s="176" t="s">
        <v>15753</v>
      </c>
      <c r="B190" s="78"/>
      <c r="C190" s="136" t="s">
        <v>15405</v>
      </c>
      <c r="D190" s="179">
        <v>0.75</v>
      </c>
      <c r="E190" s="179">
        <v>0.75</v>
      </c>
      <c r="F190" s="229" t="s">
        <v>1656</v>
      </c>
      <c r="H190" s="553" t="s">
        <v>15753</v>
      </c>
      <c r="N190" s="18" t="s">
        <v>15754</v>
      </c>
    </row>
    <row r="191">
      <c r="A191" s="176" t="s">
        <v>15755</v>
      </c>
      <c r="B191" s="78"/>
      <c r="C191" s="136" t="s">
        <v>15405</v>
      </c>
      <c r="D191" s="179">
        <v>0.75</v>
      </c>
      <c r="E191" s="179">
        <v>0.75</v>
      </c>
      <c r="F191" s="229" t="s">
        <v>1656</v>
      </c>
      <c r="H191" s="553" t="s">
        <v>15755</v>
      </c>
      <c r="N191" s="18" t="s">
        <v>15756</v>
      </c>
    </row>
    <row r="192">
      <c r="A192" s="176" t="s">
        <v>15757</v>
      </c>
      <c r="B192" s="78"/>
      <c r="C192" s="136" t="s">
        <v>15405</v>
      </c>
      <c r="D192" s="179">
        <v>0.75</v>
      </c>
      <c r="E192" s="179">
        <v>0.75</v>
      </c>
      <c r="F192" s="229" t="s">
        <v>1656</v>
      </c>
      <c r="H192" s="553" t="s">
        <v>15757</v>
      </c>
      <c r="N192" s="18" t="s">
        <v>15758</v>
      </c>
    </row>
    <row r="193">
      <c r="A193" s="176" t="s">
        <v>15759</v>
      </c>
      <c r="B193" s="78"/>
      <c r="C193" s="136" t="s">
        <v>15405</v>
      </c>
      <c r="D193" s="179">
        <v>0.75</v>
      </c>
      <c r="E193" s="179">
        <v>0.75</v>
      </c>
      <c r="F193" s="229" t="s">
        <v>1656</v>
      </c>
      <c r="H193" s="553" t="s">
        <v>15759</v>
      </c>
      <c r="N193" s="18" t="s">
        <v>15760</v>
      </c>
    </row>
    <row r="194">
      <c r="A194" s="176" t="s">
        <v>15761</v>
      </c>
      <c r="B194" s="78"/>
      <c r="C194" s="136" t="s">
        <v>15405</v>
      </c>
      <c r="D194" s="179">
        <v>0.75</v>
      </c>
      <c r="E194" s="179">
        <v>0.75</v>
      </c>
      <c r="F194" s="229" t="s">
        <v>1656</v>
      </c>
      <c r="H194" s="553" t="s">
        <v>15761</v>
      </c>
      <c r="N194" s="18" t="s">
        <v>15762</v>
      </c>
    </row>
    <row r="195">
      <c r="A195" s="176" t="s">
        <v>15763</v>
      </c>
      <c r="B195" s="78"/>
      <c r="C195" s="136" t="s">
        <v>15405</v>
      </c>
      <c r="D195" s="179">
        <v>0.75</v>
      </c>
      <c r="E195" s="179">
        <v>0.75</v>
      </c>
      <c r="F195" s="229" t="s">
        <v>1656</v>
      </c>
      <c r="H195" s="553" t="s">
        <v>15763</v>
      </c>
      <c r="N195" s="18" t="s">
        <v>15764</v>
      </c>
    </row>
    <row r="196">
      <c r="A196" s="176" t="s">
        <v>15765</v>
      </c>
      <c r="B196" s="78"/>
      <c r="C196" s="136" t="s">
        <v>15405</v>
      </c>
      <c r="D196" s="179">
        <v>0.75</v>
      </c>
      <c r="E196" s="179">
        <v>0.75</v>
      </c>
      <c r="F196" s="229" t="s">
        <v>1656</v>
      </c>
      <c r="H196" s="553" t="s">
        <v>15765</v>
      </c>
      <c r="N196" s="18" t="s">
        <v>15766</v>
      </c>
    </row>
    <row r="197">
      <c r="A197" s="176" t="s">
        <v>15767</v>
      </c>
      <c r="B197" s="78"/>
      <c r="C197" s="136" t="s">
        <v>15405</v>
      </c>
      <c r="D197" s="179">
        <v>0.75</v>
      </c>
      <c r="E197" s="179">
        <v>0.75</v>
      </c>
      <c r="F197" s="229" t="s">
        <v>1656</v>
      </c>
      <c r="H197" s="553" t="s">
        <v>15767</v>
      </c>
      <c r="N197" s="18" t="s">
        <v>15768</v>
      </c>
    </row>
    <row r="198">
      <c r="A198" s="176" t="s">
        <v>15769</v>
      </c>
      <c r="B198" s="78"/>
      <c r="C198" s="136" t="s">
        <v>15405</v>
      </c>
      <c r="D198" s="179">
        <v>0.75</v>
      </c>
      <c r="E198" s="179">
        <v>0.75</v>
      </c>
      <c r="F198" s="229" t="s">
        <v>1656</v>
      </c>
      <c r="H198" s="553" t="s">
        <v>15769</v>
      </c>
      <c r="N198" s="18" t="s">
        <v>15770</v>
      </c>
    </row>
    <row r="199">
      <c r="A199" s="176" t="s">
        <v>15771</v>
      </c>
      <c r="B199" s="78"/>
      <c r="C199" s="136" t="s">
        <v>15405</v>
      </c>
      <c r="D199" s="179">
        <v>0.75</v>
      </c>
      <c r="E199" s="179">
        <v>0.75</v>
      </c>
      <c r="F199" s="229" t="s">
        <v>1656</v>
      </c>
      <c r="H199" s="553" t="s">
        <v>15771</v>
      </c>
      <c r="N199" s="18" t="s">
        <v>15772</v>
      </c>
    </row>
    <row r="200">
      <c r="A200" s="176" t="s">
        <v>15773</v>
      </c>
      <c r="B200" s="78"/>
      <c r="C200" s="136" t="s">
        <v>15405</v>
      </c>
      <c r="D200" s="179">
        <v>0.75</v>
      </c>
      <c r="E200" s="179">
        <v>0.75</v>
      </c>
      <c r="F200" s="229" t="s">
        <v>1656</v>
      </c>
      <c r="H200" s="553" t="s">
        <v>15773</v>
      </c>
      <c r="N200" s="18" t="s">
        <v>15774</v>
      </c>
    </row>
    <row r="201">
      <c r="A201" s="176" t="s">
        <v>15775</v>
      </c>
      <c r="B201" s="78"/>
      <c r="C201" s="136" t="s">
        <v>15405</v>
      </c>
      <c r="D201" s="179">
        <v>0.75</v>
      </c>
      <c r="E201" s="179">
        <v>0.75</v>
      </c>
      <c r="F201" s="229" t="s">
        <v>1656</v>
      </c>
      <c r="H201" s="553" t="s">
        <v>15775</v>
      </c>
      <c r="N201" s="18" t="s">
        <v>15776</v>
      </c>
    </row>
    <row r="202">
      <c r="A202" s="176" t="s">
        <v>15777</v>
      </c>
      <c r="B202" s="78"/>
      <c r="C202" s="136" t="s">
        <v>15405</v>
      </c>
      <c r="D202" s="179">
        <v>0.75</v>
      </c>
      <c r="E202" s="179">
        <v>0.75</v>
      </c>
      <c r="F202" s="229" t="s">
        <v>1656</v>
      </c>
      <c r="H202" s="553" t="s">
        <v>15777</v>
      </c>
      <c r="N202" s="18" t="s">
        <v>15778</v>
      </c>
    </row>
    <row r="203">
      <c r="A203" s="176" t="s">
        <v>15779</v>
      </c>
      <c r="B203" s="78"/>
      <c r="C203" s="136" t="s">
        <v>15405</v>
      </c>
      <c r="D203" s="179">
        <v>0.75</v>
      </c>
      <c r="E203" s="179">
        <v>0.75</v>
      </c>
      <c r="F203" s="229" t="s">
        <v>1656</v>
      </c>
      <c r="H203" s="553" t="s">
        <v>15779</v>
      </c>
      <c r="N203" s="18" t="s">
        <v>15780</v>
      </c>
    </row>
    <row r="204">
      <c r="A204" s="176" t="s">
        <v>15781</v>
      </c>
      <c r="B204" s="78"/>
      <c r="C204" s="136" t="s">
        <v>15405</v>
      </c>
      <c r="D204" s="179">
        <v>0.75</v>
      </c>
      <c r="E204" s="179">
        <v>0.75</v>
      </c>
      <c r="F204" s="229" t="s">
        <v>1656</v>
      </c>
      <c r="H204" s="553" t="s">
        <v>15781</v>
      </c>
      <c r="N204" s="18" t="s">
        <v>15782</v>
      </c>
    </row>
    <row r="205">
      <c r="A205" s="176" t="s">
        <v>15783</v>
      </c>
      <c r="B205" s="78"/>
      <c r="C205" s="136" t="s">
        <v>15405</v>
      </c>
      <c r="D205" s="179">
        <v>0.75</v>
      </c>
      <c r="E205" s="179">
        <v>0.75</v>
      </c>
      <c r="F205" s="229" t="s">
        <v>1656</v>
      </c>
      <c r="H205" s="553" t="s">
        <v>15783</v>
      </c>
      <c r="N205" s="18" t="s">
        <v>15784</v>
      </c>
    </row>
    <row r="206">
      <c r="A206" s="176" t="s">
        <v>15785</v>
      </c>
      <c r="B206" s="78"/>
      <c r="C206" s="136" t="s">
        <v>15405</v>
      </c>
      <c r="D206" s="179">
        <v>0.75</v>
      </c>
      <c r="E206" s="179">
        <v>0.75</v>
      </c>
      <c r="F206" s="229" t="s">
        <v>1656</v>
      </c>
      <c r="H206" s="553" t="s">
        <v>15785</v>
      </c>
      <c r="N206" s="18" t="s">
        <v>15786</v>
      </c>
    </row>
    <row r="207">
      <c r="A207" s="176" t="s">
        <v>15787</v>
      </c>
      <c r="B207" s="78"/>
      <c r="C207" s="136" t="s">
        <v>15405</v>
      </c>
      <c r="D207" s="179">
        <v>0.75</v>
      </c>
      <c r="E207" s="179">
        <v>0.75</v>
      </c>
      <c r="F207" s="229" t="s">
        <v>1656</v>
      </c>
      <c r="H207" s="553" t="s">
        <v>15787</v>
      </c>
      <c r="N207" s="18" t="s">
        <v>15788</v>
      </c>
    </row>
    <row r="208">
      <c r="A208" s="176" t="s">
        <v>15789</v>
      </c>
      <c r="B208" s="78"/>
      <c r="C208" s="136" t="s">
        <v>15405</v>
      </c>
      <c r="D208" s="179">
        <v>0.75</v>
      </c>
      <c r="E208" s="179">
        <v>0.75</v>
      </c>
      <c r="F208" s="229" t="s">
        <v>1656</v>
      </c>
      <c r="H208" s="553" t="s">
        <v>15789</v>
      </c>
      <c r="N208" s="18" t="s">
        <v>15790</v>
      </c>
    </row>
    <row r="209">
      <c r="A209" s="176" t="s">
        <v>3315</v>
      </c>
      <c r="B209" s="78"/>
      <c r="C209" s="136" t="s">
        <v>15405</v>
      </c>
      <c r="D209" s="179">
        <v>0.75</v>
      </c>
      <c r="E209" s="179">
        <v>0.75</v>
      </c>
      <c r="F209" s="229" t="s">
        <v>1656</v>
      </c>
      <c r="H209" s="553" t="s">
        <v>3315</v>
      </c>
      <c r="N209" s="18" t="s">
        <v>15791</v>
      </c>
    </row>
    <row r="210">
      <c r="A210" s="176" t="s">
        <v>15792</v>
      </c>
      <c r="B210" s="78"/>
      <c r="C210" s="136" t="s">
        <v>15405</v>
      </c>
      <c r="D210" s="179">
        <v>0.75</v>
      </c>
      <c r="E210" s="179">
        <v>0.75</v>
      </c>
      <c r="F210" s="229" t="s">
        <v>1656</v>
      </c>
      <c r="H210" s="553" t="s">
        <v>15792</v>
      </c>
      <c r="N210" s="18" t="s">
        <v>15793</v>
      </c>
    </row>
    <row r="211">
      <c r="A211" s="176" t="s">
        <v>15794</v>
      </c>
      <c r="B211" s="78"/>
      <c r="C211" s="136" t="s">
        <v>15405</v>
      </c>
      <c r="D211" s="179">
        <v>0.75</v>
      </c>
      <c r="E211" s="179">
        <v>0.75</v>
      </c>
      <c r="F211" s="229" t="s">
        <v>1656</v>
      </c>
      <c r="H211" s="553" t="s">
        <v>15794</v>
      </c>
      <c r="N211" s="18" t="s">
        <v>15795</v>
      </c>
    </row>
    <row r="212">
      <c r="A212" s="176" t="s">
        <v>15796</v>
      </c>
      <c r="B212" s="78"/>
      <c r="C212" s="136" t="s">
        <v>15405</v>
      </c>
      <c r="D212" s="179">
        <v>0.75</v>
      </c>
      <c r="E212" s="179">
        <v>0.75</v>
      </c>
      <c r="F212" s="229" t="s">
        <v>1656</v>
      </c>
      <c r="H212" s="553" t="s">
        <v>15796</v>
      </c>
      <c r="N212" s="18" t="s">
        <v>15797</v>
      </c>
    </row>
    <row r="213">
      <c r="A213" s="176" t="s">
        <v>15798</v>
      </c>
      <c r="B213" s="78"/>
      <c r="C213" s="136" t="s">
        <v>15405</v>
      </c>
      <c r="D213" s="179">
        <v>0.75</v>
      </c>
      <c r="E213" s="179">
        <v>0.75</v>
      </c>
      <c r="F213" s="229" t="s">
        <v>1656</v>
      </c>
      <c r="H213" s="553" t="s">
        <v>15798</v>
      </c>
      <c r="N213" s="18" t="s">
        <v>15799</v>
      </c>
    </row>
    <row r="214">
      <c r="A214" s="176" t="s">
        <v>15800</v>
      </c>
      <c r="B214" s="78"/>
      <c r="C214" s="136" t="s">
        <v>15405</v>
      </c>
      <c r="D214" s="179">
        <v>0.75</v>
      </c>
      <c r="E214" s="179">
        <v>0.75</v>
      </c>
      <c r="F214" s="229" t="s">
        <v>1656</v>
      </c>
      <c r="H214" s="553" t="s">
        <v>15800</v>
      </c>
      <c r="N214" s="18" t="s">
        <v>15801</v>
      </c>
      <c r="O214" s="11">
        <v>6924.0</v>
      </c>
    </row>
    <row r="215">
      <c r="A215" s="176" t="s">
        <v>3400</v>
      </c>
      <c r="B215" s="78"/>
      <c r="C215" s="136" t="s">
        <v>15405</v>
      </c>
      <c r="D215" s="179">
        <v>0.75</v>
      </c>
      <c r="E215" s="179">
        <v>0.75</v>
      </c>
      <c r="F215" s="229" t="s">
        <v>1656</v>
      </c>
      <c r="H215" s="553" t="s">
        <v>3400</v>
      </c>
      <c r="N215" s="18" t="s">
        <v>15802</v>
      </c>
    </row>
    <row r="216">
      <c r="A216" s="176" t="s">
        <v>15803</v>
      </c>
      <c r="B216" s="78"/>
      <c r="C216" s="136" t="s">
        <v>15405</v>
      </c>
      <c r="D216" s="179">
        <v>0.75</v>
      </c>
      <c r="E216" s="179">
        <v>0.75</v>
      </c>
      <c r="F216" s="229" t="s">
        <v>1656</v>
      </c>
      <c r="H216" s="553" t="s">
        <v>15803</v>
      </c>
      <c r="N216" s="18" t="s">
        <v>15804</v>
      </c>
    </row>
    <row r="217">
      <c r="A217" s="176" t="s">
        <v>15805</v>
      </c>
      <c r="B217" s="78"/>
      <c r="C217" s="136" t="s">
        <v>15405</v>
      </c>
      <c r="D217" s="179">
        <v>0.75</v>
      </c>
      <c r="E217" s="179">
        <v>0.75</v>
      </c>
      <c r="F217" s="229" t="s">
        <v>1656</v>
      </c>
      <c r="H217" s="553" t="s">
        <v>15805</v>
      </c>
      <c r="N217" s="18" t="s">
        <v>2735</v>
      </c>
    </row>
    <row r="218">
      <c r="A218" s="176" t="s">
        <v>15806</v>
      </c>
      <c r="B218" s="78"/>
      <c r="C218" s="136" t="s">
        <v>15405</v>
      </c>
      <c r="D218" s="179">
        <v>0.75</v>
      </c>
      <c r="E218" s="179">
        <v>0.75</v>
      </c>
      <c r="F218" s="229" t="s">
        <v>1656</v>
      </c>
      <c r="H218" s="553" t="s">
        <v>15806</v>
      </c>
      <c r="N218" s="18" t="s">
        <v>15807</v>
      </c>
      <c r="O218" s="11">
        <v>7123.0</v>
      </c>
    </row>
    <row r="219">
      <c r="A219" s="176" t="s">
        <v>15808</v>
      </c>
      <c r="B219" s="78"/>
      <c r="C219" s="136" t="s">
        <v>15405</v>
      </c>
      <c r="D219" s="179">
        <v>0.75</v>
      </c>
      <c r="E219" s="179">
        <v>0.75</v>
      </c>
      <c r="F219" s="229" t="s">
        <v>1656</v>
      </c>
      <c r="H219" s="553" t="s">
        <v>15808</v>
      </c>
      <c r="N219" s="86" t="s">
        <v>15809</v>
      </c>
      <c r="O219" s="548">
        <v>7123.0</v>
      </c>
    </row>
    <row r="220">
      <c r="A220" s="176" t="s">
        <v>15810</v>
      </c>
      <c r="B220" s="78"/>
      <c r="C220" s="136" t="s">
        <v>15405</v>
      </c>
      <c r="D220" s="179">
        <v>0.75</v>
      </c>
      <c r="E220" s="179">
        <v>0.75</v>
      </c>
      <c r="F220" s="229" t="s">
        <v>1656</v>
      </c>
      <c r="H220" s="553" t="s">
        <v>15810</v>
      </c>
      <c r="N220" s="18" t="s">
        <v>15811</v>
      </c>
    </row>
    <row r="221">
      <c r="A221" s="176" t="s">
        <v>15812</v>
      </c>
      <c r="B221" s="78"/>
      <c r="C221" s="136" t="s">
        <v>15405</v>
      </c>
      <c r="D221" s="179">
        <v>0.75</v>
      </c>
      <c r="E221" s="179">
        <v>0.75</v>
      </c>
      <c r="F221" s="229" t="s">
        <v>1656</v>
      </c>
      <c r="H221" s="553" t="s">
        <v>15812</v>
      </c>
      <c r="N221" s="18" t="s">
        <v>15813</v>
      </c>
      <c r="O221" s="11">
        <v>7129.0</v>
      </c>
    </row>
    <row r="222">
      <c r="A222" s="176" t="s">
        <v>15814</v>
      </c>
      <c r="B222" s="78"/>
      <c r="C222" s="136" t="s">
        <v>15405</v>
      </c>
      <c r="D222" s="179">
        <v>0.75</v>
      </c>
      <c r="E222" s="179">
        <v>0.75</v>
      </c>
      <c r="F222" s="229" t="s">
        <v>1656</v>
      </c>
      <c r="H222" s="553" t="s">
        <v>15814</v>
      </c>
      <c r="N222" s="18" t="s">
        <v>15815</v>
      </c>
      <c r="O222" s="11">
        <v>7055.0</v>
      </c>
    </row>
    <row r="223">
      <c r="A223" s="176" t="s">
        <v>15816</v>
      </c>
      <c r="B223" s="25">
        <v>6706.0</v>
      </c>
      <c r="C223" s="136" t="s">
        <v>15405</v>
      </c>
      <c r="D223" s="179">
        <v>0.75</v>
      </c>
      <c r="E223" s="179">
        <v>0.75</v>
      </c>
      <c r="F223" s="229" t="s">
        <v>1656</v>
      </c>
      <c r="H223" s="553" t="s">
        <v>15816</v>
      </c>
      <c r="N223" s="18" t="s">
        <v>15817</v>
      </c>
      <c r="O223" s="11">
        <v>6530.0</v>
      </c>
    </row>
    <row r="224">
      <c r="A224" s="176" t="s">
        <v>15818</v>
      </c>
      <c r="B224" s="78"/>
      <c r="C224" s="136" t="s">
        <v>15405</v>
      </c>
      <c r="D224" s="179">
        <v>0.75</v>
      </c>
      <c r="E224" s="179">
        <v>0.75</v>
      </c>
      <c r="F224" s="229" t="s">
        <v>1656</v>
      </c>
      <c r="H224" s="553" t="s">
        <v>15818</v>
      </c>
      <c r="N224" s="18" t="s">
        <v>15819</v>
      </c>
      <c r="O224" s="11">
        <v>6530.0</v>
      </c>
    </row>
    <row r="225">
      <c r="A225" s="176" t="s">
        <v>15820</v>
      </c>
      <c r="B225" s="78"/>
      <c r="C225" s="136" t="s">
        <v>15405</v>
      </c>
      <c r="D225" s="179">
        <v>0.75</v>
      </c>
      <c r="E225" s="179">
        <v>0.75</v>
      </c>
      <c r="F225" s="229" t="s">
        <v>1656</v>
      </c>
      <c r="H225" s="553" t="s">
        <v>15820</v>
      </c>
      <c r="N225" s="18" t="s">
        <v>6118</v>
      </c>
      <c r="O225" s="122">
        <v>6697.0</v>
      </c>
    </row>
    <row r="226">
      <c r="A226" s="176" t="s">
        <v>15821</v>
      </c>
      <c r="B226" s="78"/>
      <c r="C226" s="136" t="s">
        <v>15405</v>
      </c>
      <c r="D226" s="179">
        <v>0.75</v>
      </c>
      <c r="E226" s="179">
        <v>0.75</v>
      </c>
      <c r="F226" s="229" t="s">
        <v>1656</v>
      </c>
      <c r="H226" s="553" t="s">
        <v>15821</v>
      </c>
      <c r="N226" s="18" t="s">
        <v>15822</v>
      </c>
    </row>
    <row r="227">
      <c r="A227" s="176" t="s">
        <v>15823</v>
      </c>
      <c r="B227" s="78"/>
      <c r="C227" s="136" t="s">
        <v>15405</v>
      </c>
      <c r="D227" s="179">
        <v>0.75</v>
      </c>
      <c r="E227" s="179">
        <v>0.75</v>
      </c>
      <c r="F227" s="229" t="s">
        <v>1656</v>
      </c>
      <c r="H227" s="553" t="s">
        <v>15823</v>
      </c>
      <c r="N227" s="18" t="s">
        <v>15824</v>
      </c>
    </row>
    <row r="228">
      <c r="A228" s="176" t="s">
        <v>15825</v>
      </c>
      <c r="B228" s="78"/>
      <c r="C228" s="136" t="s">
        <v>15405</v>
      </c>
      <c r="D228" s="179">
        <v>0.75</v>
      </c>
      <c r="E228" s="179">
        <v>0.75</v>
      </c>
      <c r="F228" s="229" t="s">
        <v>1656</v>
      </c>
      <c r="H228" s="553" t="s">
        <v>15825</v>
      </c>
      <c r="N228" s="18" t="s">
        <v>15826</v>
      </c>
      <c r="O228" s="122">
        <v>6697.0</v>
      </c>
    </row>
    <row r="229">
      <c r="A229" s="176" t="s">
        <v>10849</v>
      </c>
      <c r="B229" s="78"/>
      <c r="C229" s="136" t="s">
        <v>15405</v>
      </c>
      <c r="D229" s="179">
        <v>0.75</v>
      </c>
      <c r="E229" s="179">
        <v>0.75</v>
      </c>
      <c r="F229" s="229" t="s">
        <v>1656</v>
      </c>
      <c r="H229" s="553" t="s">
        <v>10849</v>
      </c>
      <c r="N229" s="18" t="s">
        <v>15827</v>
      </c>
      <c r="O229" s="11">
        <v>14033.0</v>
      </c>
    </row>
    <row r="230">
      <c r="A230" s="176" t="s">
        <v>10657</v>
      </c>
      <c r="B230" s="78"/>
      <c r="C230" s="136" t="s">
        <v>15405</v>
      </c>
      <c r="D230" s="179">
        <v>0.75</v>
      </c>
      <c r="E230" s="179">
        <v>0.75</v>
      </c>
      <c r="F230" s="229" t="s">
        <v>1656</v>
      </c>
      <c r="H230" s="553" t="s">
        <v>10657</v>
      </c>
      <c r="N230" s="18" t="s">
        <v>15828</v>
      </c>
    </row>
    <row r="231">
      <c r="A231" s="176" t="s">
        <v>15829</v>
      </c>
      <c r="B231" s="78"/>
      <c r="C231" s="136" t="s">
        <v>15405</v>
      </c>
      <c r="D231" s="179">
        <v>0.75</v>
      </c>
      <c r="E231" s="179">
        <v>0.75</v>
      </c>
      <c r="F231" s="229" t="s">
        <v>1656</v>
      </c>
      <c r="H231" s="553" t="s">
        <v>15829</v>
      </c>
      <c r="N231" s="18" t="s">
        <v>15830</v>
      </c>
      <c r="O231" s="122">
        <v>6780.0</v>
      </c>
    </row>
    <row r="232">
      <c r="A232" s="176" t="s">
        <v>15831</v>
      </c>
      <c r="B232" s="78"/>
      <c r="C232" s="136" t="s">
        <v>15405</v>
      </c>
      <c r="D232" s="179">
        <v>0.75</v>
      </c>
      <c r="E232" s="179">
        <v>0.75</v>
      </c>
      <c r="F232" s="229" t="s">
        <v>1656</v>
      </c>
      <c r="H232" s="553" t="s">
        <v>15831</v>
      </c>
      <c r="N232" s="18" t="s">
        <v>15832</v>
      </c>
    </row>
    <row r="233">
      <c r="A233" s="176" t="s">
        <v>15833</v>
      </c>
      <c r="B233" s="78"/>
      <c r="C233" s="136" t="s">
        <v>15405</v>
      </c>
      <c r="D233" s="179">
        <v>0.75</v>
      </c>
      <c r="E233" s="179">
        <v>0.75</v>
      </c>
      <c r="F233" s="229" t="s">
        <v>1656</v>
      </c>
      <c r="H233" s="553" t="s">
        <v>15833</v>
      </c>
      <c r="N233" s="18" t="s">
        <v>15834</v>
      </c>
    </row>
    <row r="234">
      <c r="A234" s="176" t="s">
        <v>15835</v>
      </c>
      <c r="B234" s="78"/>
      <c r="C234" s="136" t="s">
        <v>15405</v>
      </c>
      <c r="D234" s="179">
        <v>0.75</v>
      </c>
      <c r="E234" s="179">
        <v>0.75</v>
      </c>
      <c r="F234" s="229" t="s">
        <v>1656</v>
      </c>
      <c r="H234" s="553" t="s">
        <v>15835</v>
      </c>
      <c r="N234" s="18" t="s">
        <v>15836</v>
      </c>
      <c r="O234" s="11">
        <v>4933.0</v>
      </c>
    </row>
    <row r="235">
      <c r="A235" s="176" t="s">
        <v>15837</v>
      </c>
      <c r="B235" s="78"/>
      <c r="C235" s="136" t="s">
        <v>15405</v>
      </c>
      <c r="D235" s="179">
        <v>0.75</v>
      </c>
      <c r="E235" s="179">
        <v>0.75</v>
      </c>
      <c r="F235" s="229" t="s">
        <v>1656</v>
      </c>
      <c r="H235" s="553" t="s">
        <v>15837</v>
      </c>
      <c r="N235" s="18" t="s">
        <v>10639</v>
      </c>
      <c r="O235" s="11">
        <v>4933.0</v>
      </c>
    </row>
    <row r="236">
      <c r="A236" s="176" t="s">
        <v>15838</v>
      </c>
      <c r="B236" s="78"/>
      <c r="C236" s="136" t="s">
        <v>15405</v>
      </c>
      <c r="D236" s="179">
        <v>0.75</v>
      </c>
      <c r="E236" s="179">
        <v>0.75</v>
      </c>
      <c r="F236" s="229" t="s">
        <v>1656</v>
      </c>
      <c r="H236" s="553" t="s">
        <v>15838</v>
      </c>
      <c r="N236" s="18" t="s">
        <v>15839</v>
      </c>
      <c r="O236" s="11">
        <v>4933.0</v>
      </c>
    </row>
    <row r="237">
      <c r="A237" s="176" t="s">
        <v>15840</v>
      </c>
      <c r="B237" s="78"/>
      <c r="C237" s="136" t="s">
        <v>15405</v>
      </c>
      <c r="D237" s="179">
        <v>0.75</v>
      </c>
      <c r="E237" s="179">
        <v>0.75</v>
      </c>
      <c r="F237" s="229" t="s">
        <v>1656</v>
      </c>
      <c r="H237" s="553" t="s">
        <v>15840</v>
      </c>
      <c r="N237" s="18" t="s">
        <v>15841</v>
      </c>
      <c r="O237" s="122">
        <v>6802.0</v>
      </c>
    </row>
    <row r="238">
      <c r="A238" s="176" t="s">
        <v>15842</v>
      </c>
      <c r="B238" s="78"/>
      <c r="C238" s="136" t="s">
        <v>15405</v>
      </c>
      <c r="D238" s="179">
        <v>0.75</v>
      </c>
      <c r="E238" s="179">
        <v>0.75</v>
      </c>
      <c r="F238" s="229" t="s">
        <v>1656</v>
      </c>
      <c r="H238" s="553" t="s">
        <v>15842</v>
      </c>
      <c r="N238" s="18" t="s">
        <v>2303</v>
      </c>
      <c r="O238" s="11">
        <v>7051.0</v>
      </c>
    </row>
    <row r="239">
      <c r="A239" s="176" t="s">
        <v>15843</v>
      </c>
      <c r="B239" s="78"/>
      <c r="C239" s="136" t="s">
        <v>15405</v>
      </c>
      <c r="D239" s="179">
        <v>0.75</v>
      </c>
      <c r="E239" s="179">
        <v>0.75</v>
      </c>
      <c r="F239" s="229" t="s">
        <v>1656</v>
      </c>
      <c r="H239" s="553" t="s">
        <v>15843</v>
      </c>
      <c r="N239" s="18" t="s">
        <v>15844</v>
      </c>
      <c r="O239" s="11">
        <v>6530.0</v>
      </c>
    </row>
    <row r="240">
      <c r="A240" s="176" t="s">
        <v>15845</v>
      </c>
      <c r="B240" s="78"/>
      <c r="C240" s="136" t="s">
        <v>15405</v>
      </c>
      <c r="D240" s="179">
        <v>0.75</v>
      </c>
      <c r="E240" s="179">
        <v>0.75</v>
      </c>
      <c r="F240" s="229" t="s">
        <v>1656</v>
      </c>
      <c r="H240" s="553" t="s">
        <v>15845</v>
      </c>
      <c r="N240" s="18" t="s">
        <v>15846</v>
      </c>
      <c r="O240" s="11">
        <v>2345.0</v>
      </c>
    </row>
    <row r="241">
      <c r="A241" s="176" t="s">
        <v>15847</v>
      </c>
      <c r="B241" s="78"/>
      <c r="C241" s="136" t="s">
        <v>15405</v>
      </c>
      <c r="D241" s="179">
        <v>0.75</v>
      </c>
      <c r="E241" s="179">
        <v>0.75</v>
      </c>
      <c r="F241" s="229" t="s">
        <v>1656</v>
      </c>
      <c r="H241" s="553" t="s">
        <v>15847</v>
      </c>
      <c r="N241" s="18" t="s">
        <v>15848</v>
      </c>
      <c r="O241" s="11">
        <v>6727.0</v>
      </c>
    </row>
    <row r="242">
      <c r="A242" s="176" t="s">
        <v>15849</v>
      </c>
      <c r="B242" s="78"/>
      <c r="C242" s="136" t="s">
        <v>15405</v>
      </c>
      <c r="D242" s="179">
        <v>0.75</v>
      </c>
      <c r="E242" s="179">
        <v>0.75</v>
      </c>
      <c r="F242" s="229" t="s">
        <v>1656</v>
      </c>
      <c r="H242" s="553" t="s">
        <v>15849</v>
      </c>
      <c r="N242" s="18" t="s">
        <v>15850</v>
      </c>
      <c r="O242" s="11">
        <v>6727.0</v>
      </c>
    </row>
    <row r="243">
      <c r="A243" s="176" t="s">
        <v>15851</v>
      </c>
      <c r="B243" s="78"/>
      <c r="C243" s="136" t="s">
        <v>15405</v>
      </c>
      <c r="D243" s="179">
        <v>0.75</v>
      </c>
      <c r="E243" s="179">
        <v>0.75</v>
      </c>
      <c r="F243" s="229" t="s">
        <v>1656</v>
      </c>
      <c r="H243" s="553" t="s">
        <v>15851</v>
      </c>
      <c r="N243" s="18" t="s">
        <v>15852</v>
      </c>
      <c r="O243" s="11">
        <v>6727.0</v>
      </c>
    </row>
    <row r="244">
      <c r="A244" s="176" t="s">
        <v>15853</v>
      </c>
      <c r="B244" s="78"/>
      <c r="C244" s="136" t="s">
        <v>15405</v>
      </c>
      <c r="D244" s="179">
        <v>0.75</v>
      </c>
      <c r="E244" s="179">
        <v>0.75</v>
      </c>
      <c r="F244" s="229" t="s">
        <v>1656</v>
      </c>
      <c r="H244" s="553" t="s">
        <v>15853</v>
      </c>
      <c r="N244" s="18" t="s">
        <v>15854</v>
      </c>
      <c r="O244" s="11">
        <v>6727.0</v>
      </c>
    </row>
    <row r="245">
      <c r="A245" s="176" t="s">
        <v>5715</v>
      </c>
      <c r="B245" s="78"/>
      <c r="C245" s="136" t="s">
        <v>15405</v>
      </c>
      <c r="D245" s="179">
        <v>0.75</v>
      </c>
      <c r="E245" s="179">
        <v>0.75</v>
      </c>
      <c r="F245" s="229" t="s">
        <v>1656</v>
      </c>
      <c r="H245" s="553" t="s">
        <v>5715</v>
      </c>
      <c r="N245" s="18" t="s">
        <v>15855</v>
      </c>
      <c r="O245" s="11">
        <v>2345.0</v>
      </c>
    </row>
    <row r="246">
      <c r="A246" s="176" t="s">
        <v>15856</v>
      </c>
      <c r="B246" s="78"/>
      <c r="C246" s="136" t="s">
        <v>15405</v>
      </c>
      <c r="D246" s="179">
        <v>0.75</v>
      </c>
      <c r="E246" s="179">
        <v>0.75</v>
      </c>
      <c r="F246" s="229" t="s">
        <v>1656</v>
      </c>
      <c r="H246" s="553" t="s">
        <v>15856</v>
      </c>
      <c r="N246" s="18" t="s">
        <v>15857</v>
      </c>
      <c r="O246" s="11">
        <v>6727.0</v>
      </c>
    </row>
    <row r="247">
      <c r="A247" s="176" t="s">
        <v>15858</v>
      </c>
      <c r="B247" s="78"/>
      <c r="C247" s="136" t="s">
        <v>15405</v>
      </c>
      <c r="D247" s="179">
        <v>0.75</v>
      </c>
      <c r="E247" s="179">
        <v>0.75</v>
      </c>
      <c r="F247" s="229" t="s">
        <v>1656</v>
      </c>
      <c r="H247" s="553" t="s">
        <v>15858</v>
      </c>
      <c r="N247" s="18" t="s">
        <v>15859</v>
      </c>
      <c r="O247" s="11">
        <v>986.0</v>
      </c>
    </row>
    <row r="248">
      <c r="A248" s="176" t="s">
        <v>15860</v>
      </c>
      <c r="B248" s="78"/>
      <c r="C248" s="136" t="s">
        <v>15405</v>
      </c>
      <c r="D248" s="179">
        <v>0.75</v>
      </c>
      <c r="E248" s="179">
        <v>0.75</v>
      </c>
      <c r="F248" s="229" t="s">
        <v>1656</v>
      </c>
      <c r="H248" s="553" t="s">
        <v>15860</v>
      </c>
      <c r="N248" s="18" t="s">
        <v>15861</v>
      </c>
      <c r="O248" s="11">
        <v>986.0</v>
      </c>
    </row>
    <row r="249">
      <c r="A249" s="176" t="s">
        <v>15862</v>
      </c>
      <c r="B249" s="78"/>
      <c r="C249" s="136" t="s">
        <v>15405</v>
      </c>
      <c r="D249" s="179">
        <v>0.75</v>
      </c>
      <c r="E249" s="179">
        <v>0.75</v>
      </c>
      <c r="F249" s="229" t="s">
        <v>1656</v>
      </c>
      <c r="H249" s="553" t="s">
        <v>15862</v>
      </c>
      <c r="N249" s="18" t="s">
        <v>15863</v>
      </c>
      <c r="O249" s="11">
        <v>986.0</v>
      </c>
    </row>
    <row r="250">
      <c r="A250" s="176" t="s">
        <v>15864</v>
      </c>
      <c r="B250" s="78"/>
      <c r="C250" s="136" t="s">
        <v>15405</v>
      </c>
      <c r="D250" s="179">
        <v>0.75</v>
      </c>
      <c r="E250" s="179">
        <v>0.75</v>
      </c>
      <c r="F250" s="229" t="s">
        <v>1656</v>
      </c>
      <c r="H250" s="553" t="s">
        <v>15864</v>
      </c>
      <c r="N250" s="18" t="s">
        <v>15865</v>
      </c>
      <c r="O250" s="11">
        <v>986.0</v>
      </c>
    </row>
    <row r="251">
      <c r="A251" s="176" t="s">
        <v>15866</v>
      </c>
      <c r="B251" s="25">
        <v>2345.0</v>
      </c>
      <c r="C251" s="136" t="s">
        <v>15405</v>
      </c>
      <c r="D251" s="74">
        <v>0.9</v>
      </c>
      <c r="E251" s="74">
        <v>0.9</v>
      </c>
      <c r="F251" s="229" t="s">
        <v>1656</v>
      </c>
      <c r="H251" s="553" t="s">
        <v>15866</v>
      </c>
      <c r="N251" s="18" t="s">
        <v>15867</v>
      </c>
      <c r="O251" s="11">
        <v>986.0</v>
      </c>
    </row>
    <row r="252">
      <c r="A252" s="176" t="s">
        <v>15868</v>
      </c>
      <c r="B252" s="25">
        <v>2345.0</v>
      </c>
      <c r="C252" s="136" t="s">
        <v>15405</v>
      </c>
      <c r="D252" s="74">
        <v>0.9</v>
      </c>
      <c r="E252" s="74">
        <v>0.9</v>
      </c>
      <c r="F252" s="229" t="s">
        <v>1656</v>
      </c>
      <c r="H252" s="553" t="s">
        <v>15868</v>
      </c>
      <c r="O252" s="11">
        <v>986.0</v>
      </c>
    </row>
    <row r="253">
      <c r="A253" s="176" t="s">
        <v>15869</v>
      </c>
      <c r="B253" s="25">
        <v>2345.0</v>
      </c>
      <c r="C253" s="136" t="s">
        <v>15405</v>
      </c>
      <c r="D253" s="74">
        <v>0.9</v>
      </c>
      <c r="E253" s="74">
        <v>0.9</v>
      </c>
      <c r="F253" s="229" t="s">
        <v>1656</v>
      </c>
      <c r="H253" s="553" t="s">
        <v>15869</v>
      </c>
    </row>
    <row r="254">
      <c r="A254" s="176" t="s">
        <v>15870</v>
      </c>
      <c r="B254" s="25">
        <v>2345.0</v>
      </c>
      <c r="C254" s="136" t="s">
        <v>15405</v>
      </c>
      <c r="D254" s="74">
        <v>0.9</v>
      </c>
      <c r="E254" s="74">
        <v>0.9</v>
      </c>
      <c r="F254" s="229" t="s">
        <v>1656</v>
      </c>
      <c r="H254" s="553" t="s">
        <v>15870</v>
      </c>
    </row>
    <row r="255">
      <c r="A255" s="176" t="s">
        <v>15571</v>
      </c>
      <c r="B255" s="25">
        <v>2345.0</v>
      </c>
      <c r="C255" s="136" t="s">
        <v>15405</v>
      </c>
      <c r="D255" s="74">
        <v>0.9</v>
      </c>
      <c r="E255" s="74">
        <v>0.9</v>
      </c>
      <c r="F255" s="229" t="s">
        <v>1656</v>
      </c>
      <c r="H255" s="553" t="s">
        <v>15571</v>
      </c>
      <c r="I255" s="548">
        <v>2345.0</v>
      </c>
    </row>
    <row r="256">
      <c r="A256" s="176" t="s">
        <v>15871</v>
      </c>
      <c r="B256" s="25">
        <v>2345.0</v>
      </c>
      <c r="C256" s="136" t="s">
        <v>15405</v>
      </c>
      <c r="D256" s="74">
        <v>0.9</v>
      </c>
      <c r="E256" s="74">
        <v>0.9</v>
      </c>
      <c r="F256" s="229" t="s">
        <v>1656</v>
      </c>
      <c r="H256" s="553" t="s">
        <v>15871</v>
      </c>
    </row>
    <row r="257">
      <c r="A257" s="176" t="s">
        <v>15872</v>
      </c>
      <c r="B257" s="78"/>
      <c r="C257" s="136" t="s">
        <v>15405</v>
      </c>
      <c r="D257" s="179">
        <v>0.75</v>
      </c>
      <c r="E257" s="179">
        <v>0.75</v>
      </c>
      <c r="F257" s="229" t="s">
        <v>1656</v>
      </c>
      <c r="H257" s="553" t="s">
        <v>15872</v>
      </c>
    </row>
    <row r="258">
      <c r="A258" s="176" t="s">
        <v>15873</v>
      </c>
      <c r="B258" s="78"/>
      <c r="C258" s="136" t="s">
        <v>15405</v>
      </c>
      <c r="D258" s="179">
        <v>0.75</v>
      </c>
      <c r="E258" s="179">
        <v>0.75</v>
      </c>
      <c r="F258" s="229" t="s">
        <v>1656</v>
      </c>
      <c r="H258" s="553" t="s">
        <v>15873</v>
      </c>
    </row>
    <row r="259">
      <c r="A259" s="176" t="s">
        <v>15874</v>
      </c>
      <c r="B259" s="78"/>
      <c r="C259" s="136" t="s">
        <v>15405</v>
      </c>
      <c r="D259" s="179">
        <v>0.75</v>
      </c>
      <c r="E259" s="179">
        <v>0.75</v>
      </c>
      <c r="F259" s="229" t="s">
        <v>1656</v>
      </c>
      <c r="H259" s="553" t="s">
        <v>15874</v>
      </c>
    </row>
    <row r="260">
      <c r="A260" s="176" t="s">
        <v>15875</v>
      </c>
      <c r="B260" s="78"/>
      <c r="C260" s="136" t="s">
        <v>15405</v>
      </c>
      <c r="D260" s="179">
        <v>0.75</v>
      </c>
      <c r="E260" s="179">
        <v>0.75</v>
      </c>
      <c r="F260" s="229" t="s">
        <v>1656</v>
      </c>
      <c r="H260" s="553" t="s">
        <v>15875</v>
      </c>
    </row>
    <row r="261">
      <c r="A261" s="176" t="s">
        <v>15876</v>
      </c>
      <c r="B261" s="78"/>
      <c r="C261" s="136" t="s">
        <v>15405</v>
      </c>
      <c r="D261" s="179">
        <v>0.75</v>
      </c>
      <c r="E261" s="179">
        <v>0.75</v>
      </c>
      <c r="F261" s="229" t="s">
        <v>1656</v>
      </c>
      <c r="H261" s="553" t="s">
        <v>15876</v>
      </c>
    </row>
    <row r="262">
      <c r="A262" s="176" t="s">
        <v>15877</v>
      </c>
      <c r="B262" s="78"/>
      <c r="C262" s="136" t="s">
        <v>15405</v>
      </c>
      <c r="D262" s="179">
        <v>0.75</v>
      </c>
      <c r="E262" s="179">
        <v>0.75</v>
      </c>
      <c r="F262" s="229" t="s">
        <v>1656</v>
      </c>
      <c r="H262" s="553" t="s">
        <v>15877</v>
      </c>
    </row>
    <row r="263">
      <c r="A263" s="176" t="s">
        <v>15878</v>
      </c>
      <c r="B263" s="78"/>
      <c r="C263" s="136" t="s">
        <v>15405</v>
      </c>
      <c r="D263" s="179">
        <v>0.75</v>
      </c>
      <c r="E263" s="179">
        <v>0.75</v>
      </c>
      <c r="F263" s="229" t="s">
        <v>1656</v>
      </c>
      <c r="H263" s="553" t="s">
        <v>15878</v>
      </c>
    </row>
    <row r="264">
      <c r="A264" s="176" t="s">
        <v>15879</v>
      </c>
      <c r="B264" s="78"/>
      <c r="C264" s="136" t="s">
        <v>15405</v>
      </c>
      <c r="D264" s="179">
        <v>0.75</v>
      </c>
      <c r="E264" s="179">
        <v>0.75</v>
      </c>
      <c r="F264" s="229" t="s">
        <v>1656</v>
      </c>
      <c r="H264" s="553" t="s">
        <v>15879</v>
      </c>
    </row>
    <row r="265">
      <c r="A265" s="176" t="s">
        <v>2270</v>
      </c>
      <c r="B265" s="78"/>
      <c r="C265" s="136" t="s">
        <v>15405</v>
      </c>
      <c r="D265" s="179">
        <v>0.75</v>
      </c>
      <c r="E265" s="179">
        <v>0.75</v>
      </c>
      <c r="F265" s="229" t="s">
        <v>1656</v>
      </c>
      <c r="H265" s="553" t="s">
        <v>2270</v>
      </c>
    </row>
    <row r="266">
      <c r="A266" s="176" t="s">
        <v>15880</v>
      </c>
      <c r="B266" s="78"/>
      <c r="C266" s="136" t="s">
        <v>15405</v>
      </c>
      <c r="D266" s="179">
        <v>0.75</v>
      </c>
      <c r="E266" s="179">
        <v>0.75</v>
      </c>
      <c r="F266" s="229" t="s">
        <v>1656</v>
      </c>
      <c r="H266" s="553" t="s">
        <v>15880</v>
      </c>
    </row>
    <row r="267">
      <c r="A267" s="176" t="s">
        <v>15881</v>
      </c>
      <c r="B267" s="78"/>
      <c r="C267" s="136" t="s">
        <v>15405</v>
      </c>
      <c r="D267" s="179">
        <v>0.75</v>
      </c>
      <c r="E267" s="179">
        <v>0.75</v>
      </c>
      <c r="F267" s="229" t="s">
        <v>1656</v>
      </c>
      <c r="H267" s="553" t="s">
        <v>15881</v>
      </c>
    </row>
    <row r="268">
      <c r="A268" s="176" t="s">
        <v>15882</v>
      </c>
      <c r="B268" s="78"/>
      <c r="C268" s="136" t="s">
        <v>15405</v>
      </c>
      <c r="D268" s="179">
        <v>0.75</v>
      </c>
      <c r="E268" s="179">
        <v>0.75</v>
      </c>
      <c r="F268" s="229" t="s">
        <v>1656</v>
      </c>
      <c r="H268" s="553" t="s">
        <v>15882</v>
      </c>
    </row>
    <row r="269">
      <c r="A269" s="176" t="s">
        <v>15883</v>
      </c>
      <c r="B269" s="78"/>
      <c r="C269" s="136" t="s">
        <v>15405</v>
      </c>
      <c r="D269" s="179">
        <v>0.75</v>
      </c>
      <c r="E269" s="179">
        <v>0.75</v>
      </c>
      <c r="F269" s="229" t="s">
        <v>1656</v>
      </c>
      <c r="H269" s="553" t="s">
        <v>15883</v>
      </c>
    </row>
    <row r="270">
      <c r="A270" s="176" t="s">
        <v>15884</v>
      </c>
      <c r="B270" s="78"/>
      <c r="C270" s="136" t="s">
        <v>15405</v>
      </c>
      <c r="D270" s="179">
        <v>0.75</v>
      </c>
      <c r="E270" s="179">
        <v>0.75</v>
      </c>
      <c r="F270" s="229" t="s">
        <v>1656</v>
      </c>
      <c r="H270" s="553" t="s">
        <v>15884</v>
      </c>
    </row>
    <row r="271">
      <c r="A271" s="176" t="s">
        <v>15885</v>
      </c>
      <c r="B271" s="78"/>
      <c r="C271" s="136" t="s">
        <v>15405</v>
      </c>
      <c r="D271" s="179">
        <v>0.75</v>
      </c>
      <c r="E271" s="179">
        <v>0.75</v>
      </c>
      <c r="F271" s="229" t="s">
        <v>1656</v>
      </c>
      <c r="H271" s="553" t="s">
        <v>15885</v>
      </c>
    </row>
    <row r="272">
      <c r="A272" s="176" t="s">
        <v>15886</v>
      </c>
      <c r="B272" s="78"/>
      <c r="C272" s="136" t="s">
        <v>15405</v>
      </c>
      <c r="D272" s="179">
        <v>0.75</v>
      </c>
      <c r="E272" s="179">
        <v>0.75</v>
      </c>
      <c r="F272" s="229" t="s">
        <v>1656</v>
      </c>
      <c r="H272" s="553" t="s">
        <v>15886</v>
      </c>
    </row>
    <row r="273">
      <c r="A273" s="176" t="s">
        <v>15887</v>
      </c>
      <c r="B273" s="78"/>
      <c r="C273" s="136" t="s">
        <v>15405</v>
      </c>
      <c r="D273" s="179">
        <v>0.75</v>
      </c>
      <c r="E273" s="179">
        <v>0.75</v>
      </c>
      <c r="F273" s="229" t="s">
        <v>1656</v>
      </c>
      <c r="H273" s="553" t="s">
        <v>15887</v>
      </c>
    </row>
    <row r="274">
      <c r="A274" s="176" t="s">
        <v>15888</v>
      </c>
      <c r="B274" s="78"/>
      <c r="C274" s="136" t="s">
        <v>15405</v>
      </c>
      <c r="D274" s="179">
        <v>0.75</v>
      </c>
      <c r="E274" s="179">
        <v>0.75</v>
      </c>
      <c r="F274" s="229" t="s">
        <v>1656</v>
      </c>
      <c r="H274" s="553" t="s">
        <v>15888</v>
      </c>
    </row>
    <row r="275">
      <c r="A275" s="176" t="s">
        <v>15889</v>
      </c>
      <c r="B275" s="78"/>
      <c r="C275" s="136" t="s">
        <v>15405</v>
      </c>
      <c r="D275" s="179">
        <v>0.75</v>
      </c>
      <c r="E275" s="179">
        <v>0.75</v>
      </c>
      <c r="F275" s="229" t="s">
        <v>1656</v>
      </c>
      <c r="H275" s="553" t="s">
        <v>15889</v>
      </c>
    </row>
    <row r="276">
      <c r="A276" s="176" t="s">
        <v>3465</v>
      </c>
      <c r="B276" s="78"/>
      <c r="C276" s="136" t="s">
        <v>15405</v>
      </c>
      <c r="D276" s="179">
        <v>0.75</v>
      </c>
      <c r="E276" s="179">
        <v>0.75</v>
      </c>
      <c r="F276" s="229" t="s">
        <v>1656</v>
      </c>
      <c r="H276" s="553" t="s">
        <v>3465</v>
      </c>
    </row>
    <row r="277">
      <c r="A277" s="176" t="s">
        <v>3213</v>
      </c>
      <c r="B277" s="78"/>
      <c r="C277" s="136" t="s">
        <v>15405</v>
      </c>
      <c r="D277" s="179">
        <v>0.75</v>
      </c>
      <c r="E277" s="179">
        <v>0.75</v>
      </c>
      <c r="F277" s="229" t="s">
        <v>1656</v>
      </c>
      <c r="H277" s="553" t="s">
        <v>3213</v>
      </c>
    </row>
    <row r="278">
      <c r="A278" s="176" t="s">
        <v>15890</v>
      </c>
      <c r="B278" s="78"/>
      <c r="C278" s="136" t="s">
        <v>15405</v>
      </c>
      <c r="D278" s="179">
        <v>0.75</v>
      </c>
      <c r="E278" s="179">
        <v>0.75</v>
      </c>
      <c r="F278" s="229" t="s">
        <v>1656</v>
      </c>
      <c r="H278" s="553" t="s">
        <v>15890</v>
      </c>
    </row>
    <row r="279">
      <c r="A279" s="176" t="s">
        <v>15891</v>
      </c>
      <c r="B279" s="78"/>
      <c r="C279" s="136" t="s">
        <v>15405</v>
      </c>
      <c r="D279" s="179">
        <v>0.75</v>
      </c>
      <c r="E279" s="179">
        <v>0.75</v>
      </c>
      <c r="F279" s="229" t="s">
        <v>1656</v>
      </c>
      <c r="H279" s="553" t="s">
        <v>15891</v>
      </c>
    </row>
    <row r="280">
      <c r="A280" s="176" t="s">
        <v>15892</v>
      </c>
      <c r="B280" s="78"/>
      <c r="C280" s="136" t="s">
        <v>15405</v>
      </c>
      <c r="D280" s="179">
        <v>0.75</v>
      </c>
      <c r="E280" s="179">
        <v>0.75</v>
      </c>
      <c r="F280" s="229" t="s">
        <v>1656</v>
      </c>
      <c r="H280" s="553" t="s">
        <v>15892</v>
      </c>
    </row>
    <row r="281">
      <c r="A281" s="176" t="s">
        <v>15893</v>
      </c>
      <c r="B281" s="78"/>
      <c r="C281" s="136" t="s">
        <v>15405</v>
      </c>
      <c r="D281" s="179">
        <v>0.75</v>
      </c>
      <c r="E281" s="179">
        <v>0.75</v>
      </c>
      <c r="F281" s="229" t="s">
        <v>1656</v>
      </c>
      <c r="H281" s="553" t="s">
        <v>15893</v>
      </c>
    </row>
    <row r="282">
      <c r="A282" s="176" t="s">
        <v>15894</v>
      </c>
      <c r="B282" s="78"/>
      <c r="C282" s="136" t="s">
        <v>15405</v>
      </c>
      <c r="D282" s="179">
        <v>0.75</v>
      </c>
      <c r="E282" s="179">
        <v>0.75</v>
      </c>
      <c r="F282" s="229" t="s">
        <v>1656</v>
      </c>
      <c r="H282" s="553" t="s">
        <v>15894</v>
      </c>
    </row>
    <row r="283">
      <c r="A283" s="176" t="s">
        <v>15895</v>
      </c>
      <c r="B283" s="78"/>
      <c r="C283" s="136" t="s">
        <v>15405</v>
      </c>
      <c r="D283" s="179">
        <v>0.75</v>
      </c>
      <c r="E283" s="179">
        <v>0.75</v>
      </c>
      <c r="F283" s="229" t="s">
        <v>1656</v>
      </c>
      <c r="H283" s="553" t="s">
        <v>15895</v>
      </c>
    </row>
    <row r="284">
      <c r="A284" s="176" t="s">
        <v>15896</v>
      </c>
      <c r="B284" s="78"/>
      <c r="C284" s="136" t="s">
        <v>15405</v>
      </c>
      <c r="D284" s="179">
        <v>0.75</v>
      </c>
      <c r="E284" s="179">
        <v>0.75</v>
      </c>
      <c r="F284" s="229" t="s">
        <v>1656</v>
      </c>
      <c r="H284" s="553" t="s">
        <v>15896</v>
      </c>
    </row>
    <row r="285">
      <c r="A285" s="176" t="s">
        <v>15897</v>
      </c>
      <c r="B285" s="78"/>
      <c r="C285" s="136" t="s">
        <v>15405</v>
      </c>
      <c r="D285" s="179">
        <v>0.75</v>
      </c>
      <c r="E285" s="179">
        <v>0.75</v>
      </c>
      <c r="F285" s="229" t="s">
        <v>1656</v>
      </c>
      <c r="H285" s="553" t="s">
        <v>15897</v>
      </c>
    </row>
    <row r="286">
      <c r="A286" s="176" t="s">
        <v>15898</v>
      </c>
      <c r="B286" s="78"/>
      <c r="C286" s="136" t="s">
        <v>15405</v>
      </c>
      <c r="D286" s="179">
        <v>0.75</v>
      </c>
      <c r="E286" s="179">
        <v>0.75</v>
      </c>
      <c r="F286" s="229" t="s">
        <v>1656</v>
      </c>
      <c r="H286" s="553" t="s">
        <v>15898</v>
      </c>
    </row>
    <row r="287">
      <c r="A287" s="176" t="s">
        <v>15899</v>
      </c>
      <c r="B287" s="78"/>
      <c r="C287" s="136" t="s">
        <v>15405</v>
      </c>
      <c r="D287" s="179">
        <v>0.75</v>
      </c>
      <c r="E287" s="179">
        <v>0.75</v>
      </c>
      <c r="F287" s="229" t="s">
        <v>1656</v>
      </c>
      <c r="H287" s="553" t="s">
        <v>15899</v>
      </c>
    </row>
    <row r="288">
      <c r="A288" s="176" t="s">
        <v>15900</v>
      </c>
      <c r="B288" s="78"/>
      <c r="C288" s="136" t="s">
        <v>15405</v>
      </c>
      <c r="D288" s="179">
        <v>0.75</v>
      </c>
      <c r="E288" s="179">
        <v>0.75</v>
      </c>
      <c r="F288" s="229" t="s">
        <v>1656</v>
      </c>
      <c r="H288" s="553" t="s">
        <v>15900</v>
      </c>
    </row>
    <row r="289">
      <c r="A289" s="176" t="s">
        <v>15901</v>
      </c>
      <c r="B289" s="78"/>
      <c r="C289" s="136" t="s">
        <v>15405</v>
      </c>
      <c r="D289" s="179">
        <v>0.75</v>
      </c>
      <c r="E289" s="179">
        <v>0.75</v>
      </c>
      <c r="F289" s="229" t="s">
        <v>1656</v>
      </c>
      <c r="H289" s="553" t="s">
        <v>15901</v>
      </c>
    </row>
    <row r="290">
      <c r="A290" s="176" t="s">
        <v>15902</v>
      </c>
      <c r="B290" s="78"/>
      <c r="C290" s="136" t="s">
        <v>15405</v>
      </c>
      <c r="D290" s="179">
        <v>0.75</v>
      </c>
      <c r="E290" s="179">
        <v>0.75</v>
      </c>
      <c r="F290" s="229" t="s">
        <v>1656</v>
      </c>
      <c r="H290" s="553" t="s">
        <v>15902</v>
      </c>
    </row>
    <row r="291">
      <c r="A291" s="176" t="s">
        <v>15903</v>
      </c>
      <c r="B291" s="78"/>
      <c r="C291" s="136" t="s">
        <v>15405</v>
      </c>
      <c r="D291" s="179">
        <v>0.75</v>
      </c>
      <c r="E291" s="179">
        <v>0.75</v>
      </c>
      <c r="F291" s="229" t="s">
        <v>1656</v>
      </c>
      <c r="H291" s="553" t="s">
        <v>15903</v>
      </c>
    </row>
    <row r="292">
      <c r="A292" s="176" t="s">
        <v>15904</v>
      </c>
      <c r="B292" s="78"/>
      <c r="C292" s="136" t="s">
        <v>15405</v>
      </c>
      <c r="D292" s="179">
        <v>0.75</v>
      </c>
      <c r="E292" s="179">
        <v>0.75</v>
      </c>
      <c r="F292" s="229" t="s">
        <v>1656</v>
      </c>
      <c r="H292" s="553" t="s">
        <v>15904</v>
      </c>
    </row>
    <row r="293">
      <c r="A293" s="176" t="s">
        <v>15905</v>
      </c>
      <c r="B293" s="78"/>
      <c r="C293" s="136" t="s">
        <v>15405</v>
      </c>
      <c r="D293" s="179">
        <v>0.75</v>
      </c>
      <c r="E293" s="179">
        <v>0.75</v>
      </c>
      <c r="F293" s="229" t="s">
        <v>1656</v>
      </c>
      <c r="H293" s="553" t="s">
        <v>15905</v>
      </c>
    </row>
    <row r="294">
      <c r="A294" s="176" t="s">
        <v>15906</v>
      </c>
      <c r="B294" s="78"/>
      <c r="C294" s="136" t="s">
        <v>15405</v>
      </c>
      <c r="D294" s="179">
        <v>0.75</v>
      </c>
      <c r="E294" s="179">
        <v>0.75</v>
      </c>
      <c r="F294" s="229" t="s">
        <v>1656</v>
      </c>
      <c r="H294" s="553" t="s">
        <v>15906</v>
      </c>
    </row>
    <row r="295">
      <c r="A295" s="176" t="s">
        <v>15907</v>
      </c>
      <c r="B295" s="78"/>
      <c r="C295" s="136" t="s">
        <v>15405</v>
      </c>
      <c r="D295" s="179">
        <v>0.75</v>
      </c>
      <c r="E295" s="179">
        <v>0.75</v>
      </c>
      <c r="F295" s="229" t="s">
        <v>1656</v>
      </c>
      <c r="H295" s="553" t="s">
        <v>15907</v>
      </c>
    </row>
    <row r="296">
      <c r="A296" s="176" t="s">
        <v>15908</v>
      </c>
      <c r="B296" s="78"/>
      <c r="C296" s="136" t="s">
        <v>15405</v>
      </c>
      <c r="D296" s="179">
        <v>0.75</v>
      </c>
      <c r="E296" s="179">
        <v>0.75</v>
      </c>
      <c r="F296" s="229" t="s">
        <v>1656</v>
      </c>
      <c r="H296" s="553" t="s">
        <v>15908</v>
      </c>
    </row>
    <row r="297">
      <c r="A297" s="176" t="s">
        <v>15909</v>
      </c>
      <c r="B297" s="78"/>
      <c r="C297" s="136" t="s">
        <v>15405</v>
      </c>
      <c r="D297" s="179">
        <v>0.75</v>
      </c>
      <c r="E297" s="179">
        <v>0.75</v>
      </c>
      <c r="F297" s="229" t="s">
        <v>1656</v>
      </c>
      <c r="H297" s="553" t="s">
        <v>15909</v>
      </c>
    </row>
    <row r="298">
      <c r="A298" s="176" t="s">
        <v>15910</v>
      </c>
      <c r="B298" s="78"/>
      <c r="C298" s="136" t="s">
        <v>15405</v>
      </c>
      <c r="D298" s="179">
        <v>0.75</v>
      </c>
      <c r="E298" s="179">
        <v>0.75</v>
      </c>
      <c r="F298" s="229" t="s">
        <v>1656</v>
      </c>
      <c r="H298" s="553" t="s">
        <v>15910</v>
      </c>
    </row>
    <row r="299">
      <c r="A299" s="176" t="s">
        <v>15911</v>
      </c>
      <c r="B299" s="78"/>
      <c r="C299" s="136" t="s">
        <v>15405</v>
      </c>
      <c r="D299" s="179">
        <v>0.75</v>
      </c>
      <c r="E299" s="179">
        <v>0.75</v>
      </c>
      <c r="F299" s="229" t="s">
        <v>1656</v>
      </c>
      <c r="H299" s="553" t="s">
        <v>15911</v>
      </c>
    </row>
    <row r="300">
      <c r="A300" s="176" t="s">
        <v>2585</v>
      </c>
      <c r="B300" s="78"/>
      <c r="C300" s="136" t="s">
        <v>15405</v>
      </c>
      <c r="D300" s="179">
        <v>0.75</v>
      </c>
      <c r="E300" s="179">
        <v>0.75</v>
      </c>
      <c r="F300" s="229" t="s">
        <v>1656</v>
      </c>
      <c r="H300" s="553" t="s">
        <v>2585</v>
      </c>
    </row>
    <row r="301">
      <c r="A301" s="176" t="s">
        <v>15912</v>
      </c>
      <c r="B301" s="78"/>
      <c r="C301" s="136" t="s">
        <v>15405</v>
      </c>
      <c r="D301" s="179">
        <v>0.75</v>
      </c>
      <c r="E301" s="179">
        <v>0.75</v>
      </c>
      <c r="F301" s="229" t="s">
        <v>1656</v>
      </c>
      <c r="H301" s="553" t="s">
        <v>15912</v>
      </c>
    </row>
    <row r="302">
      <c r="A302" s="176" t="s">
        <v>15913</v>
      </c>
      <c r="B302" s="78"/>
      <c r="C302" s="136" t="s">
        <v>15405</v>
      </c>
      <c r="D302" s="179">
        <v>0.75</v>
      </c>
      <c r="E302" s="179">
        <v>0.75</v>
      </c>
      <c r="F302" s="229" t="s">
        <v>1656</v>
      </c>
      <c r="H302" s="553" t="s">
        <v>15913</v>
      </c>
    </row>
    <row r="303">
      <c r="A303" s="176" t="s">
        <v>15914</v>
      </c>
      <c r="B303" s="78"/>
      <c r="C303" s="136" t="s">
        <v>15405</v>
      </c>
      <c r="D303" s="179">
        <v>0.75</v>
      </c>
      <c r="E303" s="179">
        <v>0.75</v>
      </c>
      <c r="F303" s="229" t="s">
        <v>1656</v>
      </c>
      <c r="H303" s="553" t="s">
        <v>15914</v>
      </c>
    </row>
    <row r="304">
      <c r="A304" s="176" t="s">
        <v>15915</v>
      </c>
      <c r="B304" s="78"/>
      <c r="C304" s="136" t="s">
        <v>15405</v>
      </c>
      <c r="D304" s="179">
        <v>0.75</v>
      </c>
      <c r="E304" s="179">
        <v>0.75</v>
      </c>
      <c r="F304" s="229" t="s">
        <v>1656</v>
      </c>
      <c r="H304" s="553" t="s">
        <v>15915</v>
      </c>
    </row>
    <row r="305">
      <c r="A305" s="176" t="s">
        <v>15916</v>
      </c>
      <c r="B305" s="78"/>
      <c r="C305" s="136" t="s">
        <v>15405</v>
      </c>
      <c r="D305" s="179">
        <v>0.75</v>
      </c>
      <c r="E305" s="179">
        <v>0.75</v>
      </c>
      <c r="F305" s="229" t="s">
        <v>1656</v>
      </c>
      <c r="H305" s="553" t="s">
        <v>15916</v>
      </c>
    </row>
    <row r="306">
      <c r="A306" s="176" t="s">
        <v>15917</v>
      </c>
      <c r="B306" s="78"/>
      <c r="C306" s="136" t="s">
        <v>15405</v>
      </c>
      <c r="D306" s="179">
        <v>0.75</v>
      </c>
      <c r="E306" s="179">
        <v>0.75</v>
      </c>
      <c r="F306" s="229" t="s">
        <v>1656</v>
      </c>
      <c r="H306" s="553" t="s">
        <v>15917</v>
      </c>
    </row>
    <row r="307">
      <c r="A307" s="176" t="s">
        <v>15918</v>
      </c>
      <c r="B307" s="78"/>
      <c r="C307" s="136" t="s">
        <v>15405</v>
      </c>
      <c r="D307" s="179">
        <v>0.75</v>
      </c>
      <c r="E307" s="179">
        <v>0.75</v>
      </c>
      <c r="F307" s="229" t="s">
        <v>1656</v>
      </c>
      <c r="H307" s="553" t="s">
        <v>15918</v>
      </c>
    </row>
    <row r="308">
      <c r="A308" s="176" t="s">
        <v>15919</v>
      </c>
      <c r="B308" s="78"/>
      <c r="C308" s="136" t="s">
        <v>15405</v>
      </c>
      <c r="D308" s="179">
        <v>0.75</v>
      </c>
      <c r="E308" s="179">
        <v>0.75</v>
      </c>
      <c r="F308" s="229" t="s">
        <v>1656</v>
      </c>
      <c r="H308" s="553" t="s">
        <v>15919</v>
      </c>
    </row>
    <row r="309">
      <c r="A309" s="176" t="s">
        <v>15920</v>
      </c>
      <c r="B309" s="78"/>
      <c r="C309" s="136" t="s">
        <v>15405</v>
      </c>
      <c r="D309" s="179">
        <v>0.75</v>
      </c>
      <c r="E309" s="179">
        <v>0.75</v>
      </c>
      <c r="F309" s="229" t="s">
        <v>1656</v>
      </c>
      <c r="H309" s="553" t="s">
        <v>15920</v>
      </c>
    </row>
    <row r="310">
      <c r="A310" s="176" t="s">
        <v>15921</v>
      </c>
      <c r="B310" s="78"/>
      <c r="C310" s="136" t="s">
        <v>15405</v>
      </c>
      <c r="D310" s="179">
        <v>0.75</v>
      </c>
      <c r="E310" s="179">
        <v>0.75</v>
      </c>
      <c r="F310" s="229" t="s">
        <v>1656</v>
      </c>
      <c r="H310" s="553" t="s">
        <v>15921</v>
      </c>
    </row>
    <row r="311">
      <c r="A311" s="176" t="s">
        <v>15922</v>
      </c>
      <c r="B311" s="78"/>
      <c r="C311" s="136" t="s">
        <v>15405</v>
      </c>
      <c r="D311" s="179">
        <v>0.75</v>
      </c>
      <c r="E311" s="179">
        <v>0.75</v>
      </c>
      <c r="F311" s="229" t="s">
        <v>1656</v>
      </c>
      <c r="H311" s="553" t="s">
        <v>15922</v>
      </c>
    </row>
    <row r="312">
      <c r="A312" s="176" t="s">
        <v>15923</v>
      </c>
      <c r="B312" s="78"/>
      <c r="C312" s="136" t="s">
        <v>15405</v>
      </c>
      <c r="D312" s="179">
        <v>0.75</v>
      </c>
      <c r="E312" s="179">
        <v>0.75</v>
      </c>
      <c r="F312" s="229" t="s">
        <v>1656</v>
      </c>
      <c r="H312" s="553" t="s">
        <v>15923</v>
      </c>
    </row>
    <row r="313">
      <c r="A313" s="176" t="s">
        <v>15924</v>
      </c>
      <c r="B313" s="78"/>
      <c r="C313" s="136" t="s">
        <v>15405</v>
      </c>
      <c r="D313" s="179">
        <v>0.75</v>
      </c>
      <c r="E313" s="179">
        <v>0.75</v>
      </c>
      <c r="F313" s="229" t="s">
        <v>1656</v>
      </c>
      <c r="H313" s="553" t="s">
        <v>15924</v>
      </c>
    </row>
    <row r="314">
      <c r="A314" s="176" t="s">
        <v>15925</v>
      </c>
      <c r="B314" s="78"/>
      <c r="C314" s="136" t="s">
        <v>15405</v>
      </c>
      <c r="D314" s="179">
        <v>0.75</v>
      </c>
      <c r="E314" s="179">
        <v>0.75</v>
      </c>
      <c r="F314" s="229" t="s">
        <v>1656</v>
      </c>
      <c r="H314" s="553" t="s">
        <v>15925</v>
      </c>
    </row>
    <row r="315">
      <c r="A315" s="176" t="s">
        <v>15926</v>
      </c>
      <c r="B315" s="78"/>
      <c r="C315" s="136" t="s">
        <v>15405</v>
      </c>
      <c r="D315" s="179">
        <v>0.75</v>
      </c>
      <c r="E315" s="179">
        <v>0.75</v>
      </c>
      <c r="F315" s="229" t="s">
        <v>1656</v>
      </c>
      <c r="H315" s="553" t="s">
        <v>15926</v>
      </c>
    </row>
    <row r="316">
      <c r="A316" s="176" t="s">
        <v>15927</v>
      </c>
      <c r="B316" s="78"/>
      <c r="C316" s="136" t="s">
        <v>15405</v>
      </c>
      <c r="D316" s="179">
        <v>0.75</v>
      </c>
      <c r="E316" s="179">
        <v>0.75</v>
      </c>
      <c r="F316" s="229" t="s">
        <v>1656</v>
      </c>
      <c r="H316" s="553" t="s">
        <v>15927</v>
      </c>
    </row>
    <row r="317">
      <c r="A317" s="176" t="s">
        <v>15928</v>
      </c>
      <c r="B317" s="78"/>
      <c r="C317" s="136" t="s">
        <v>15405</v>
      </c>
      <c r="D317" s="179">
        <v>0.75</v>
      </c>
      <c r="E317" s="179">
        <v>0.75</v>
      </c>
      <c r="F317" s="229" t="s">
        <v>1656</v>
      </c>
      <c r="H317" s="553" t="s">
        <v>15928</v>
      </c>
    </row>
    <row r="318">
      <c r="A318" s="176" t="s">
        <v>15929</v>
      </c>
      <c r="B318" s="78"/>
      <c r="C318" s="136" t="s">
        <v>15405</v>
      </c>
      <c r="D318" s="179">
        <v>0.75</v>
      </c>
      <c r="E318" s="179">
        <v>0.75</v>
      </c>
      <c r="F318" s="229" t="s">
        <v>1656</v>
      </c>
      <c r="H318" s="553" t="s">
        <v>15929</v>
      </c>
    </row>
    <row r="319">
      <c r="A319" s="176" t="s">
        <v>15930</v>
      </c>
      <c r="B319" s="78"/>
      <c r="C319" s="136" t="s">
        <v>15405</v>
      </c>
      <c r="D319" s="179">
        <v>0.75</v>
      </c>
      <c r="E319" s="179">
        <v>0.75</v>
      </c>
      <c r="F319" s="229" t="s">
        <v>1656</v>
      </c>
      <c r="H319" s="553" t="s">
        <v>15930</v>
      </c>
    </row>
    <row r="320">
      <c r="A320" s="176" t="s">
        <v>15931</v>
      </c>
      <c r="B320" s="78"/>
      <c r="C320" s="136" t="s">
        <v>15405</v>
      </c>
      <c r="D320" s="179">
        <v>0.75</v>
      </c>
      <c r="E320" s="179">
        <v>0.75</v>
      </c>
      <c r="F320" s="229" t="s">
        <v>1656</v>
      </c>
      <c r="H320" s="553" t="s">
        <v>15931</v>
      </c>
    </row>
    <row r="321">
      <c r="A321" s="176" t="s">
        <v>2887</v>
      </c>
      <c r="B321" s="78"/>
      <c r="C321" s="136" t="s">
        <v>15405</v>
      </c>
      <c r="D321" s="179">
        <v>0.75</v>
      </c>
      <c r="E321" s="179">
        <v>0.75</v>
      </c>
      <c r="F321" s="229" t="s">
        <v>1656</v>
      </c>
      <c r="H321" s="553" t="s">
        <v>2887</v>
      </c>
    </row>
    <row r="322">
      <c r="A322" s="176" t="s">
        <v>15932</v>
      </c>
      <c r="B322" s="78"/>
      <c r="C322" s="136" t="s">
        <v>15405</v>
      </c>
      <c r="D322" s="179">
        <v>0.75</v>
      </c>
      <c r="E322" s="179">
        <v>0.75</v>
      </c>
      <c r="F322" s="229" t="s">
        <v>1656</v>
      </c>
      <c r="H322" s="553" t="s">
        <v>15932</v>
      </c>
    </row>
    <row r="323">
      <c r="A323" s="176" t="s">
        <v>15933</v>
      </c>
      <c r="B323" s="78"/>
      <c r="C323" s="136" t="s">
        <v>15405</v>
      </c>
      <c r="D323" s="179">
        <v>0.75</v>
      </c>
      <c r="E323" s="179">
        <v>0.75</v>
      </c>
      <c r="F323" s="229" t="s">
        <v>1656</v>
      </c>
      <c r="H323" s="553" t="s">
        <v>15933</v>
      </c>
    </row>
    <row r="324">
      <c r="A324" s="176" t="s">
        <v>15934</v>
      </c>
      <c r="B324" s="78"/>
      <c r="C324" s="136" t="s">
        <v>15405</v>
      </c>
      <c r="D324" s="179">
        <v>0.75</v>
      </c>
      <c r="E324" s="179">
        <v>0.75</v>
      </c>
      <c r="F324" s="229" t="s">
        <v>1656</v>
      </c>
      <c r="H324" s="553" t="s">
        <v>15934</v>
      </c>
    </row>
    <row r="325">
      <c r="A325" s="176" t="s">
        <v>15935</v>
      </c>
      <c r="B325" s="78"/>
      <c r="C325" s="136" t="s">
        <v>15405</v>
      </c>
      <c r="D325" s="179">
        <v>0.75</v>
      </c>
      <c r="E325" s="179">
        <v>0.75</v>
      </c>
      <c r="F325" s="229" t="s">
        <v>1656</v>
      </c>
      <c r="H325" s="553" t="s">
        <v>15935</v>
      </c>
    </row>
    <row r="326">
      <c r="A326" s="176" t="s">
        <v>15936</v>
      </c>
      <c r="B326" s="78"/>
      <c r="C326" s="136" t="s">
        <v>15405</v>
      </c>
      <c r="D326" s="179">
        <v>0.75</v>
      </c>
      <c r="E326" s="179">
        <v>0.75</v>
      </c>
      <c r="F326" s="229" t="s">
        <v>1656</v>
      </c>
      <c r="H326" s="553" t="s">
        <v>15936</v>
      </c>
    </row>
    <row r="327">
      <c r="A327" s="176" t="s">
        <v>15937</v>
      </c>
      <c r="B327" s="78"/>
      <c r="C327" s="136" t="s">
        <v>15405</v>
      </c>
      <c r="D327" s="179">
        <v>0.75</v>
      </c>
      <c r="E327" s="179">
        <v>0.75</v>
      </c>
      <c r="F327" s="229" t="s">
        <v>1656</v>
      </c>
      <c r="H327" s="553" t="s">
        <v>15937</v>
      </c>
    </row>
    <row r="328">
      <c r="A328" s="176" t="s">
        <v>15938</v>
      </c>
      <c r="B328" s="78"/>
      <c r="C328" s="136" t="s">
        <v>15405</v>
      </c>
      <c r="D328" s="179">
        <v>0.75</v>
      </c>
      <c r="E328" s="179">
        <v>0.75</v>
      </c>
      <c r="F328" s="229" t="s">
        <v>1656</v>
      </c>
      <c r="H328" s="553" t="s">
        <v>15938</v>
      </c>
    </row>
    <row r="329">
      <c r="A329" s="176" t="s">
        <v>15939</v>
      </c>
      <c r="B329" s="78"/>
      <c r="C329" s="136" t="s">
        <v>15405</v>
      </c>
      <c r="D329" s="179">
        <v>0.75</v>
      </c>
      <c r="E329" s="179">
        <v>0.75</v>
      </c>
      <c r="F329" s="229" t="s">
        <v>1656</v>
      </c>
      <c r="H329" s="553" t="s">
        <v>15939</v>
      </c>
    </row>
    <row r="330">
      <c r="A330" s="176" t="s">
        <v>15940</v>
      </c>
      <c r="B330" s="78"/>
      <c r="C330" s="136" t="s">
        <v>15405</v>
      </c>
      <c r="D330" s="179">
        <v>0.75</v>
      </c>
      <c r="E330" s="179">
        <v>0.75</v>
      </c>
      <c r="F330" s="229" t="s">
        <v>1656</v>
      </c>
      <c r="H330" s="553" t="s">
        <v>15940</v>
      </c>
    </row>
    <row r="331">
      <c r="A331" s="176" t="s">
        <v>15941</v>
      </c>
      <c r="B331" s="78"/>
      <c r="C331" s="136" t="s">
        <v>15405</v>
      </c>
      <c r="D331" s="179">
        <v>0.75</v>
      </c>
      <c r="E331" s="179">
        <v>0.75</v>
      </c>
      <c r="F331" s="229" t="s">
        <v>1656</v>
      </c>
      <c r="H331" s="553" t="s">
        <v>15941</v>
      </c>
    </row>
    <row r="332">
      <c r="A332" s="176" t="s">
        <v>2247</v>
      </c>
      <c r="B332" s="78"/>
      <c r="C332" s="136" t="s">
        <v>15405</v>
      </c>
      <c r="D332" s="179">
        <v>0.75</v>
      </c>
      <c r="E332" s="179">
        <v>0.75</v>
      </c>
      <c r="F332" s="229" t="s">
        <v>1656</v>
      </c>
      <c r="H332" s="553" t="s">
        <v>2247</v>
      </c>
    </row>
    <row r="333">
      <c r="A333" s="176" t="s">
        <v>10731</v>
      </c>
      <c r="B333" s="78"/>
      <c r="C333" s="136" t="s">
        <v>15405</v>
      </c>
      <c r="D333" s="179">
        <v>0.75</v>
      </c>
      <c r="E333" s="179">
        <v>0.75</v>
      </c>
      <c r="F333" s="229" t="s">
        <v>1656</v>
      </c>
      <c r="H333" s="553" t="s">
        <v>10731</v>
      </c>
    </row>
    <row r="334">
      <c r="A334" s="176" t="s">
        <v>15942</v>
      </c>
      <c r="B334" s="78"/>
      <c r="C334" s="136" t="s">
        <v>15405</v>
      </c>
      <c r="D334" s="179">
        <v>0.75</v>
      </c>
      <c r="E334" s="179">
        <v>0.75</v>
      </c>
      <c r="F334" s="229" t="s">
        <v>1656</v>
      </c>
      <c r="H334" s="553" t="s">
        <v>15942</v>
      </c>
    </row>
    <row r="335">
      <c r="A335" s="176" t="s">
        <v>15943</v>
      </c>
      <c r="B335" s="78"/>
      <c r="C335" s="136" t="s">
        <v>15405</v>
      </c>
      <c r="D335" s="179">
        <v>0.75</v>
      </c>
      <c r="E335" s="179">
        <v>0.75</v>
      </c>
      <c r="F335" s="229" t="s">
        <v>1656</v>
      </c>
      <c r="H335" s="553" t="s">
        <v>15943</v>
      </c>
    </row>
    <row r="336">
      <c r="A336" s="176" t="s">
        <v>15944</v>
      </c>
      <c r="B336" s="78"/>
      <c r="C336" s="136" t="s">
        <v>15405</v>
      </c>
      <c r="D336" s="179">
        <v>0.75</v>
      </c>
      <c r="E336" s="179">
        <v>0.75</v>
      </c>
      <c r="F336" s="229" t="s">
        <v>1656</v>
      </c>
      <c r="H336" s="553" t="s">
        <v>15944</v>
      </c>
    </row>
    <row r="337">
      <c r="A337" s="176" t="s">
        <v>3484</v>
      </c>
      <c r="B337" s="78"/>
      <c r="C337" s="136" t="s">
        <v>15405</v>
      </c>
      <c r="D337" s="179">
        <v>0.75</v>
      </c>
      <c r="E337" s="179">
        <v>0.75</v>
      </c>
      <c r="F337" s="229" t="s">
        <v>1656</v>
      </c>
      <c r="H337" s="553" t="s">
        <v>3484</v>
      </c>
    </row>
    <row r="338">
      <c r="A338" s="176" t="s">
        <v>15945</v>
      </c>
      <c r="B338" s="78"/>
      <c r="C338" s="136" t="s">
        <v>15405</v>
      </c>
      <c r="D338" s="179">
        <v>0.75</v>
      </c>
      <c r="E338" s="179">
        <v>0.75</v>
      </c>
      <c r="F338" s="229" t="s">
        <v>1656</v>
      </c>
      <c r="H338" s="553" t="s">
        <v>15945</v>
      </c>
    </row>
    <row r="339">
      <c r="A339" s="176" t="s">
        <v>15946</v>
      </c>
      <c r="B339" s="78"/>
      <c r="C339" s="136" t="s">
        <v>15405</v>
      </c>
      <c r="D339" s="179">
        <v>0.75</v>
      </c>
      <c r="E339" s="179">
        <v>0.75</v>
      </c>
      <c r="F339" s="229" t="s">
        <v>1656</v>
      </c>
      <c r="H339" s="553" t="s">
        <v>15946</v>
      </c>
    </row>
    <row r="340">
      <c r="A340" s="176" t="s">
        <v>15947</v>
      </c>
      <c r="B340" s="78"/>
      <c r="C340" s="136" t="s">
        <v>15405</v>
      </c>
      <c r="D340" s="179">
        <v>0.75</v>
      </c>
      <c r="E340" s="179">
        <v>0.75</v>
      </c>
      <c r="F340" s="229" t="s">
        <v>1656</v>
      </c>
      <c r="H340" s="553" t="s">
        <v>15947</v>
      </c>
    </row>
    <row r="341">
      <c r="A341" s="176" t="s">
        <v>15809</v>
      </c>
      <c r="B341" s="25">
        <v>7123.0</v>
      </c>
      <c r="C341" s="136" t="s">
        <v>15405</v>
      </c>
      <c r="D341" s="179">
        <v>0.75</v>
      </c>
      <c r="E341" s="179">
        <v>0.75</v>
      </c>
      <c r="F341" s="229" t="s">
        <v>1656</v>
      </c>
      <c r="H341" s="553" t="s">
        <v>15809</v>
      </c>
      <c r="I341" s="11">
        <v>7123.0</v>
      </c>
    </row>
    <row r="342">
      <c r="A342" s="176" t="s">
        <v>15948</v>
      </c>
      <c r="B342" s="78"/>
      <c r="C342" s="136" t="s">
        <v>15405</v>
      </c>
      <c r="D342" s="179">
        <v>0.75</v>
      </c>
      <c r="E342" s="179">
        <v>0.75</v>
      </c>
      <c r="F342" s="229" t="s">
        <v>1656</v>
      </c>
      <c r="H342" s="553" t="s">
        <v>15948</v>
      </c>
    </row>
    <row r="343">
      <c r="A343" s="176" t="s">
        <v>15949</v>
      </c>
      <c r="B343" s="78"/>
      <c r="C343" s="136" t="s">
        <v>15405</v>
      </c>
      <c r="D343" s="179">
        <v>0.75</v>
      </c>
      <c r="E343" s="179">
        <v>0.75</v>
      </c>
      <c r="F343" s="229" t="s">
        <v>1656</v>
      </c>
      <c r="H343" s="553" t="s">
        <v>15949</v>
      </c>
    </row>
    <row r="344">
      <c r="A344" s="176" t="s">
        <v>15950</v>
      </c>
      <c r="B344" s="78"/>
      <c r="C344" s="136" t="s">
        <v>15405</v>
      </c>
      <c r="D344" s="179">
        <v>0.75</v>
      </c>
      <c r="E344" s="179">
        <v>0.75</v>
      </c>
      <c r="F344" s="229" t="s">
        <v>1656</v>
      </c>
      <c r="H344" s="553" t="s">
        <v>15950</v>
      </c>
    </row>
    <row r="345">
      <c r="A345" s="176" t="s">
        <v>15951</v>
      </c>
      <c r="B345" s="78"/>
      <c r="C345" s="136" t="s">
        <v>15405</v>
      </c>
      <c r="D345" s="179">
        <v>0.75</v>
      </c>
      <c r="E345" s="179">
        <v>0.75</v>
      </c>
      <c r="F345" s="229" t="s">
        <v>1656</v>
      </c>
      <c r="H345" s="553" t="s">
        <v>15951</v>
      </c>
    </row>
    <row r="346">
      <c r="A346" s="176" t="s">
        <v>15952</v>
      </c>
      <c r="B346" s="78"/>
      <c r="C346" s="136" t="s">
        <v>15405</v>
      </c>
      <c r="D346" s="179">
        <v>0.75</v>
      </c>
      <c r="E346" s="179">
        <v>0.75</v>
      </c>
      <c r="F346" s="229" t="s">
        <v>1656</v>
      </c>
      <c r="H346" s="553" t="s">
        <v>15952</v>
      </c>
    </row>
    <row r="347">
      <c r="A347" s="176" t="s">
        <v>15953</v>
      </c>
      <c r="B347" s="78"/>
      <c r="C347" s="136" t="s">
        <v>15405</v>
      </c>
      <c r="D347" s="179">
        <v>0.75</v>
      </c>
      <c r="E347" s="179">
        <v>0.75</v>
      </c>
      <c r="F347" s="229" t="s">
        <v>1656</v>
      </c>
      <c r="H347" s="553" t="s">
        <v>15953</v>
      </c>
    </row>
    <row r="348">
      <c r="A348" s="176" t="s">
        <v>15954</v>
      </c>
      <c r="B348" s="78"/>
      <c r="C348" s="136" t="s">
        <v>15405</v>
      </c>
      <c r="D348" s="179">
        <v>0.75</v>
      </c>
      <c r="E348" s="179">
        <v>0.75</v>
      </c>
      <c r="F348" s="229" t="s">
        <v>1656</v>
      </c>
      <c r="H348" s="553" t="s">
        <v>15954</v>
      </c>
    </row>
    <row r="349">
      <c r="A349" s="176" t="s">
        <v>15955</v>
      </c>
      <c r="B349" s="78"/>
      <c r="C349" s="136" t="s">
        <v>15405</v>
      </c>
      <c r="D349" s="179">
        <v>0.75</v>
      </c>
      <c r="E349" s="179">
        <v>0.75</v>
      </c>
      <c r="F349" s="229" t="s">
        <v>1656</v>
      </c>
      <c r="H349" s="553" t="s">
        <v>15955</v>
      </c>
    </row>
    <row r="350">
      <c r="A350" s="176" t="s">
        <v>15956</v>
      </c>
      <c r="B350" s="78"/>
      <c r="C350" s="136" t="s">
        <v>15405</v>
      </c>
      <c r="D350" s="179">
        <v>0.75</v>
      </c>
      <c r="E350" s="179">
        <v>0.75</v>
      </c>
      <c r="F350" s="229" t="s">
        <v>1656</v>
      </c>
      <c r="H350" s="553" t="s">
        <v>15956</v>
      </c>
    </row>
    <row r="351">
      <c r="A351" s="176" t="s">
        <v>15957</v>
      </c>
      <c r="B351" s="78"/>
      <c r="C351" s="136" t="s">
        <v>15405</v>
      </c>
      <c r="D351" s="179">
        <v>0.75</v>
      </c>
      <c r="E351" s="179">
        <v>0.75</v>
      </c>
      <c r="F351" s="229" t="s">
        <v>1656</v>
      </c>
      <c r="H351" s="553" t="s">
        <v>15957</v>
      </c>
    </row>
    <row r="352">
      <c r="A352" s="176" t="s">
        <v>15958</v>
      </c>
      <c r="B352" s="78"/>
      <c r="C352" s="136" t="s">
        <v>15405</v>
      </c>
      <c r="D352" s="179">
        <v>0.75</v>
      </c>
      <c r="E352" s="179">
        <v>0.75</v>
      </c>
      <c r="F352" s="229" t="s">
        <v>1656</v>
      </c>
      <c r="H352" s="553" t="s">
        <v>15958</v>
      </c>
    </row>
    <row r="353">
      <c r="A353" s="176" t="s">
        <v>15959</v>
      </c>
      <c r="B353" s="78"/>
      <c r="C353" s="136" t="s">
        <v>15405</v>
      </c>
      <c r="D353" s="179">
        <v>0.75</v>
      </c>
      <c r="E353" s="179">
        <v>0.75</v>
      </c>
      <c r="F353" s="229" t="s">
        <v>1656</v>
      </c>
      <c r="H353" s="553" t="s">
        <v>15959</v>
      </c>
    </row>
    <row r="354">
      <c r="A354" s="176" t="s">
        <v>15960</v>
      </c>
      <c r="B354" s="78"/>
      <c r="C354" s="136" t="s">
        <v>15405</v>
      </c>
      <c r="D354" s="179">
        <v>0.75</v>
      </c>
      <c r="E354" s="179">
        <v>0.75</v>
      </c>
      <c r="F354" s="229" t="s">
        <v>1656</v>
      </c>
      <c r="H354" s="553" t="s">
        <v>15960</v>
      </c>
    </row>
    <row r="355">
      <c r="A355" s="176" t="s">
        <v>15961</v>
      </c>
      <c r="B355" s="78"/>
      <c r="C355" s="136" t="s">
        <v>15405</v>
      </c>
      <c r="D355" s="179">
        <v>0.75</v>
      </c>
      <c r="E355" s="179">
        <v>0.75</v>
      </c>
      <c r="F355" s="229" t="s">
        <v>1656</v>
      </c>
      <c r="H355" s="553" t="s">
        <v>15961</v>
      </c>
    </row>
    <row r="356">
      <c r="A356" s="176" t="s">
        <v>15962</v>
      </c>
      <c r="B356" s="78"/>
      <c r="C356" s="136" t="s">
        <v>15405</v>
      </c>
      <c r="D356" s="179">
        <v>0.75</v>
      </c>
      <c r="E356" s="179">
        <v>0.75</v>
      </c>
      <c r="F356" s="229" t="s">
        <v>1656</v>
      </c>
      <c r="H356" s="553" t="s">
        <v>15962</v>
      </c>
    </row>
    <row r="357">
      <c r="A357" s="176" t="s">
        <v>2542</v>
      </c>
      <c r="B357" s="78"/>
      <c r="C357" s="136" t="s">
        <v>15405</v>
      </c>
      <c r="D357" s="179">
        <v>0.75</v>
      </c>
      <c r="E357" s="179">
        <v>0.75</v>
      </c>
      <c r="F357" s="229" t="s">
        <v>1656</v>
      </c>
      <c r="H357" s="553" t="s">
        <v>2542</v>
      </c>
    </row>
    <row r="358">
      <c r="A358" s="176" t="s">
        <v>15963</v>
      </c>
      <c r="B358" s="78"/>
      <c r="C358" s="136" t="s">
        <v>15405</v>
      </c>
      <c r="D358" s="179">
        <v>0.75</v>
      </c>
      <c r="E358" s="179">
        <v>0.75</v>
      </c>
      <c r="F358" s="229" t="s">
        <v>1656</v>
      </c>
      <c r="H358" s="553" t="s">
        <v>15963</v>
      </c>
    </row>
    <row r="359">
      <c r="A359" s="176" t="s">
        <v>15964</v>
      </c>
      <c r="B359" s="78"/>
      <c r="C359" s="136" t="s">
        <v>15405</v>
      </c>
      <c r="D359" s="179">
        <v>0.75</v>
      </c>
      <c r="E359" s="179">
        <v>0.75</v>
      </c>
      <c r="F359" s="229" t="s">
        <v>1656</v>
      </c>
      <c r="H359" s="553" t="s">
        <v>15964</v>
      </c>
    </row>
    <row r="360">
      <c r="A360" s="176" t="s">
        <v>15965</v>
      </c>
      <c r="B360" s="78"/>
      <c r="C360" s="136" t="s">
        <v>15405</v>
      </c>
      <c r="D360" s="179">
        <v>0.75</v>
      </c>
      <c r="E360" s="179">
        <v>0.75</v>
      </c>
      <c r="F360" s="229" t="s">
        <v>1656</v>
      </c>
      <c r="H360" s="553" t="s">
        <v>15965</v>
      </c>
    </row>
    <row r="361">
      <c r="A361" s="176" t="s">
        <v>15966</v>
      </c>
      <c r="B361" s="78"/>
      <c r="C361" s="136" t="s">
        <v>15405</v>
      </c>
      <c r="D361" s="179">
        <v>0.75</v>
      </c>
      <c r="E361" s="179">
        <v>0.75</v>
      </c>
      <c r="F361" s="229" t="s">
        <v>1656</v>
      </c>
      <c r="H361" s="553" t="s">
        <v>15966</v>
      </c>
    </row>
    <row r="362">
      <c r="A362" s="176" t="s">
        <v>15967</v>
      </c>
      <c r="B362" s="78"/>
      <c r="C362" s="136" t="s">
        <v>15405</v>
      </c>
      <c r="D362" s="179">
        <v>0.75</v>
      </c>
      <c r="E362" s="179">
        <v>0.75</v>
      </c>
      <c r="F362" s="229" t="s">
        <v>1656</v>
      </c>
      <c r="H362" s="553" t="s">
        <v>15967</v>
      </c>
    </row>
    <row r="363">
      <c r="A363" s="176" t="s">
        <v>15968</v>
      </c>
      <c r="B363" s="78"/>
      <c r="C363" s="136" t="s">
        <v>15405</v>
      </c>
      <c r="D363" s="179">
        <v>0.75</v>
      </c>
      <c r="E363" s="179">
        <v>0.75</v>
      </c>
      <c r="F363" s="229" t="s">
        <v>1656</v>
      </c>
      <c r="H363" s="553" t="s">
        <v>15968</v>
      </c>
    </row>
    <row r="364">
      <c r="A364" s="176" t="s">
        <v>15969</v>
      </c>
      <c r="B364" s="78"/>
      <c r="C364" s="136" t="s">
        <v>15405</v>
      </c>
      <c r="D364" s="179">
        <v>0.75</v>
      </c>
      <c r="E364" s="179">
        <v>0.75</v>
      </c>
      <c r="F364" s="229" t="s">
        <v>1656</v>
      </c>
      <c r="H364" s="553" t="s">
        <v>15969</v>
      </c>
    </row>
    <row r="365">
      <c r="A365" s="176" t="s">
        <v>15970</v>
      </c>
      <c r="B365" s="78"/>
      <c r="C365" s="136" t="s">
        <v>15405</v>
      </c>
      <c r="D365" s="179">
        <v>0.75</v>
      </c>
      <c r="E365" s="179">
        <v>0.75</v>
      </c>
      <c r="F365" s="229" t="s">
        <v>1656</v>
      </c>
      <c r="H365" s="553" t="s">
        <v>15970</v>
      </c>
    </row>
    <row r="366">
      <c r="A366" s="176" t="s">
        <v>15971</v>
      </c>
      <c r="B366" s="78"/>
      <c r="C366" s="136" t="s">
        <v>15405</v>
      </c>
      <c r="D366" s="179">
        <v>0.75</v>
      </c>
      <c r="E366" s="179">
        <v>0.75</v>
      </c>
      <c r="F366" s="229" t="s">
        <v>1656</v>
      </c>
      <c r="H366" s="553" t="s">
        <v>15971</v>
      </c>
    </row>
    <row r="367">
      <c r="A367" s="176" t="s">
        <v>15972</v>
      </c>
      <c r="B367" s="78"/>
      <c r="C367" s="136" t="s">
        <v>15405</v>
      </c>
      <c r="D367" s="179">
        <v>0.75</v>
      </c>
      <c r="E367" s="179">
        <v>0.75</v>
      </c>
      <c r="F367" s="229" t="s">
        <v>1656</v>
      </c>
      <c r="H367" s="553" t="s">
        <v>15972</v>
      </c>
    </row>
    <row r="368">
      <c r="A368" s="176" t="s">
        <v>15973</v>
      </c>
      <c r="B368" s="78"/>
      <c r="C368" s="136" t="s">
        <v>15405</v>
      </c>
      <c r="D368" s="179">
        <v>0.75</v>
      </c>
      <c r="E368" s="179">
        <v>0.75</v>
      </c>
      <c r="F368" s="229" t="s">
        <v>1656</v>
      </c>
      <c r="H368" s="553" t="s">
        <v>15973</v>
      </c>
    </row>
    <row r="369">
      <c r="A369" s="176" t="s">
        <v>15974</v>
      </c>
      <c r="B369" s="78"/>
      <c r="C369" s="136" t="s">
        <v>15405</v>
      </c>
      <c r="D369" s="179">
        <v>0.75</v>
      </c>
      <c r="E369" s="179">
        <v>0.75</v>
      </c>
      <c r="F369" s="229" t="s">
        <v>1656</v>
      </c>
      <c r="H369" s="553" t="s">
        <v>15974</v>
      </c>
    </row>
    <row r="370">
      <c r="A370" s="176" t="s">
        <v>15975</v>
      </c>
      <c r="B370" s="78"/>
      <c r="C370" s="136" t="s">
        <v>15405</v>
      </c>
      <c r="D370" s="179">
        <v>0.75</v>
      </c>
      <c r="E370" s="179">
        <v>0.75</v>
      </c>
      <c r="F370" s="229" t="s">
        <v>1656</v>
      </c>
      <c r="H370" s="553" t="s">
        <v>15975</v>
      </c>
    </row>
    <row r="371">
      <c r="A371" s="176" t="s">
        <v>15976</v>
      </c>
      <c r="B371" s="78"/>
      <c r="C371" s="136" t="s">
        <v>15405</v>
      </c>
      <c r="D371" s="179">
        <v>0.75</v>
      </c>
      <c r="E371" s="179">
        <v>0.75</v>
      </c>
      <c r="F371" s="229" t="s">
        <v>1656</v>
      </c>
      <c r="H371" s="553" t="s">
        <v>15976</v>
      </c>
    </row>
    <row r="372">
      <c r="A372" s="176" t="s">
        <v>1575</v>
      </c>
      <c r="B372" s="78"/>
      <c r="C372" s="136" t="s">
        <v>15405</v>
      </c>
      <c r="D372" s="179">
        <v>0.75</v>
      </c>
      <c r="E372" s="179">
        <v>0.75</v>
      </c>
      <c r="F372" s="229" t="s">
        <v>1656</v>
      </c>
      <c r="H372" s="553" t="s">
        <v>1575</v>
      </c>
    </row>
    <row r="373">
      <c r="A373" s="176" t="s">
        <v>5148</v>
      </c>
      <c r="B373" s="78"/>
      <c r="C373" s="136" t="s">
        <v>15405</v>
      </c>
      <c r="D373" s="179">
        <v>0.75</v>
      </c>
      <c r="E373" s="179">
        <v>0.75</v>
      </c>
      <c r="F373" s="229" t="s">
        <v>1656</v>
      </c>
      <c r="H373" s="553" t="s">
        <v>5148</v>
      </c>
    </row>
    <row r="374">
      <c r="A374" s="176" t="s">
        <v>15977</v>
      </c>
      <c r="B374" s="78"/>
      <c r="C374" s="136" t="s">
        <v>15405</v>
      </c>
      <c r="D374" s="179">
        <v>0.75</v>
      </c>
      <c r="E374" s="179">
        <v>0.75</v>
      </c>
      <c r="F374" s="229" t="s">
        <v>1656</v>
      </c>
      <c r="H374" s="553" t="s">
        <v>15977</v>
      </c>
    </row>
    <row r="375">
      <c r="A375" s="176" t="s">
        <v>15978</v>
      </c>
      <c r="B375" s="78"/>
      <c r="C375" s="136" t="s">
        <v>15405</v>
      </c>
      <c r="D375" s="179">
        <v>0.75</v>
      </c>
      <c r="E375" s="179">
        <v>0.75</v>
      </c>
      <c r="F375" s="229" t="s">
        <v>1656</v>
      </c>
      <c r="H375" s="553" t="s">
        <v>15978</v>
      </c>
    </row>
    <row r="376">
      <c r="A376" s="176" t="s">
        <v>15979</v>
      </c>
      <c r="B376" s="78"/>
      <c r="C376" s="136" t="s">
        <v>15405</v>
      </c>
      <c r="D376" s="179">
        <v>0.75</v>
      </c>
      <c r="E376" s="179">
        <v>0.75</v>
      </c>
      <c r="F376" s="229" t="s">
        <v>1656</v>
      </c>
      <c r="H376" s="553" t="s">
        <v>15979</v>
      </c>
    </row>
    <row r="377">
      <c r="A377" s="176" t="s">
        <v>15980</v>
      </c>
      <c r="B377" s="78"/>
      <c r="C377" s="136" t="s">
        <v>15405</v>
      </c>
      <c r="D377" s="179">
        <v>0.75</v>
      </c>
      <c r="E377" s="179">
        <v>0.75</v>
      </c>
      <c r="F377" s="229" t="s">
        <v>1656</v>
      </c>
      <c r="H377" s="553" t="s">
        <v>15980</v>
      </c>
    </row>
    <row r="378">
      <c r="A378" s="176" t="s">
        <v>15981</v>
      </c>
      <c r="B378" s="78"/>
      <c r="C378" s="136" t="s">
        <v>15405</v>
      </c>
      <c r="D378" s="179">
        <v>0.75</v>
      </c>
      <c r="E378" s="179">
        <v>0.75</v>
      </c>
      <c r="F378" s="229" t="s">
        <v>1656</v>
      </c>
      <c r="H378" s="553" t="s">
        <v>15981</v>
      </c>
    </row>
    <row r="379">
      <c r="A379" s="176" t="s">
        <v>15982</v>
      </c>
      <c r="B379" s="78"/>
      <c r="C379" s="136" t="s">
        <v>15405</v>
      </c>
      <c r="D379" s="179">
        <v>0.75</v>
      </c>
      <c r="E379" s="179">
        <v>0.75</v>
      </c>
      <c r="F379" s="229" t="s">
        <v>1656</v>
      </c>
      <c r="H379" s="553" t="s">
        <v>15982</v>
      </c>
    </row>
    <row r="380">
      <c r="A380" s="176" t="s">
        <v>15983</v>
      </c>
      <c r="B380" s="78"/>
      <c r="C380" s="136" t="s">
        <v>15405</v>
      </c>
      <c r="D380" s="179">
        <v>0.75</v>
      </c>
      <c r="E380" s="179">
        <v>0.75</v>
      </c>
      <c r="F380" s="229" t="s">
        <v>1656</v>
      </c>
      <c r="H380" s="553" t="s">
        <v>15983</v>
      </c>
    </row>
    <row r="381">
      <c r="A381" s="176" t="s">
        <v>15984</v>
      </c>
      <c r="B381" s="78"/>
      <c r="C381" s="136" t="s">
        <v>15405</v>
      </c>
      <c r="D381" s="179">
        <v>0.75</v>
      </c>
      <c r="E381" s="179">
        <v>0.75</v>
      </c>
      <c r="F381" s="229" t="s">
        <v>1656</v>
      </c>
      <c r="H381" s="553" t="s">
        <v>15984</v>
      </c>
    </row>
    <row r="382">
      <c r="A382" s="176" t="s">
        <v>15985</v>
      </c>
      <c r="B382" s="78"/>
      <c r="C382" s="136" t="s">
        <v>15405</v>
      </c>
      <c r="D382" s="179">
        <v>0.75</v>
      </c>
      <c r="E382" s="179">
        <v>0.75</v>
      </c>
      <c r="F382" s="229" t="s">
        <v>1656</v>
      </c>
      <c r="H382" s="553" t="s">
        <v>15985</v>
      </c>
    </row>
    <row r="383">
      <c r="A383" s="176" t="s">
        <v>5289</v>
      </c>
      <c r="B383" s="78"/>
      <c r="C383" s="136" t="s">
        <v>15405</v>
      </c>
      <c r="D383" s="179">
        <v>0.75</v>
      </c>
      <c r="E383" s="179">
        <v>0.75</v>
      </c>
      <c r="F383" s="229" t="s">
        <v>1656</v>
      </c>
      <c r="H383" s="553" t="s">
        <v>5289</v>
      </c>
    </row>
    <row r="384">
      <c r="A384" s="176" t="s">
        <v>15986</v>
      </c>
      <c r="B384" s="78"/>
      <c r="C384" s="136" t="s">
        <v>15405</v>
      </c>
      <c r="D384" s="179">
        <v>0.75</v>
      </c>
      <c r="E384" s="179">
        <v>0.75</v>
      </c>
      <c r="F384" s="229" t="s">
        <v>1656</v>
      </c>
      <c r="H384" s="553" t="s">
        <v>15986</v>
      </c>
    </row>
    <row r="385">
      <c r="A385" s="176" t="s">
        <v>15987</v>
      </c>
      <c r="B385" s="78"/>
      <c r="C385" s="136" t="s">
        <v>15405</v>
      </c>
      <c r="D385" s="179">
        <v>0.75</v>
      </c>
      <c r="E385" s="179">
        <v>0.75</v>
      </c>
      <c r="F385" s="229" t="s">
        <v>1656</v>
      </c>
      <c r="H385" s="553" t="s">
        <v>15987</v>
      </c>
    </row>
    <row r="386">
      <c r="A386" s="176" t="s">
        <v>15988</v>
      </c>
      <c r="B386" s="78"/>
      <c r="C386" s="136" t="s">
        <v>15405</v>
      </c>
      <c r="D386" s="179">
        <v>0.75</v>
      </c>
      <c r="E386" s="179">
        <v>0.75</v>
      </c>
      <c r="F386" s="229" t="s">
        <v>1656</v>
      </c>
      <c r="H386" s="553" t="s">
        <v>15988</v>
      </c>
    </row>
    <row r="387">
      <c r="A387" s="176" t="s">
        <v>15989</v>
      </c>
      <c r="B387" s="78"/>
      <c r="C387" s="136" t="s">
        <v>15405</v>
      </c>
      <c r="D387" s="179">
        <v>0.75</v>
      </c>
      <c r="E387" s="179">
        <v>0.75</v>
      </c>
      <c r="F387" s="229" t="s">
        <v>1656</v>
      </c>
      <c r="H387" s="553" t="s">
        <v>15989</v>
      </c>
    </row>
    <row r="388">
      <c r="A388" s="176" t="s">
        <v>15990</v>
      </c>
      <c r="B388" s="78"/>
      <c r="C388" s="136" t="s">
        <v>15405</v>
      </c>
      <c r="D388" s="179">
        <v>0.75</v>
      </c>
      <c r="E388" s="179">
        <v>0.75</v>
      </c>
      <c r="F388" s="229" t="s">
        <v>1656</v>
      </c>
      <c r="H388" s="553" t="s">
        <v>15990</v>
      </c>
    </row>
    <row r="389">
      <c r="A389" s="176" t="s">
        <v>15991</v>
      </c>
      <c r="B389" s="78"/>
      <c r="C389" s="136" t="s">
        <v>15405</v>
      </c>
      <c r="D389" s="179">
        <v>0.75</v>
      </c>
      <c r="E389" s="179">
        <v>0.75</v>
      </c>
      <c r="F389" s="229" t="s">
        <v>1656</v>
      </c>
      <c r="H389" s="553" t="s">
        <v>15991</v>
      </c>
    </row>
    <row r="390">
      <c r="A390" s="176" t="s">
        <v>15992</v>
      </c>
      <c r="B390" s="78"/>
      <c r="C390" s="136" t="s">
        <v>15405</v>
      </c>
      <c r="D390" s="179">
        <v>0.75</v>
      </c>
      <c r="E390" s="179">
        <v>0.75</v>
      </c>
      <c r="F390" s="229" t="s">
        <v>1656</v>
      </c>
      <c r="H390" s="553" t="s">
        <v>15992</v>
      </c>
    </row>
    <row r="391">
      <c r="A391" s="176" t="s">
        <v>15993</v>
      </c>
      <c r="B391" s="78"/>
      <c r="C391" s="136" t="s">
        <v>15405</v>
      </c>
      <c r="D391" s="179">
        <v>0.75</v>
      </c>
      <c r="E391" s="179">
        <v>0.75</v>
      </c>
      <c r="F391" s="229" t="s">
        <v>1656</v>
      </c>
      <c r="H391" s="553" t="s">
        <v>15993</v>
      </c>
    </row>
    <row r="392">
      <c r="A392" s="176" t="s">
        <v>15994</v>
      </c>
      <c r="B392" s="78"/>
      <c r="C392" s="136" t="s">
        <v>15405</v>
      </c>
      <c r="D392" s="179">
        <v>0.75</v>
      </c>
      <c r="E392" s="179">
        <v>0.75</v>
      </c>
      <c r="F392" s="229" t="s">
        <v>1656</v>
      </c>
      <c r="H392" s="553" t="s">
        <v>15994</v>
      </c>
    </row>
    <row r="393">
      <c r="A393" s="176" t="s">
        <v>15995</v>
      </c>
      <c r="B393" s="78"/>
      <c r="C393" s="136" t="s">
        <v>15405</v>
      </c>
      <c r="D393" s="179">
        <v>0.75</v>
      </c>
      <c r="E393" s="179">
        <v>0.75</v>
      </c>
      <c r="F393" s="229" t="s">
        <v>1656</v>
      </c>
      <c r="H393" s="553" t="s">
        <v>15995</v>
      </c>
    </row>
    <row r="394">
      <c r="A394" s="176" t="s">
        <v>15996</v>
      </c>
      <c r="B394" s="78"/>
      <c r="C394" s="136" t="s">
        <v>15405</v>
      </c>
      <c r="D394" s="179">
        <v>0.75</v>
      </c>
      <c r="E394" s="179">
        <v>0.75</v>
      </c>
      <c r="F394" s="229" t="s">
        <v>1656</v>
      </c>
      <c r="H394" s="553" t="s">
        <v>15996</v>
      </c>
    </row>
    <row r="395">
      <c r="A395" s="176" t="s">
        <v>15997</v>
      </c>
      <c r="B395" s="78"/>
      <c r="C395" s="136" t="s">
        <v>15405</v>
      </c>
      <c r="D395" s="179">
        <v>0.75</v>
      </c>
      <c r="E395" s="179">
        <v>0.75</v>
      </c>
      <c r="F395" s="229" t="s">
        <v>1656</v>
      </c>
      <c r="H395" s="553" t="s">
        <v>15997</v>
      </c>
    </row>
    <row r="396">
      <c r="A396" s="176" t="s">
        <v>733</v>
      </c>
      <c r="B396" s="78"/>
      <c r="C396" s="136" t="s">
        <v>15405</v>
      </c>
      <c r="D396" s="179">
        <v>0.75</v>
      </c>
      <c r="E396" s="179">
        <v>0.75</v>
      </c>
      <c r="F396" s="229" t="s">
        <v>1656</v>
      </c>
      <c r="H396" s="553" t="s">
        <v>733</v>
      </c>
    </row>
    <row r="397">
      <c r="A397" s="176" t="s">
        <v>15998</v>
      </c>
      <c r="B397" s="78"/>
      <c r="C397" s="136" t="s">
        <v>15405</v>
      </c>
      <c r="D397" s="179">
        <v>0.75</v>
      </c>
      <c r="E397" s="179">
        <v>0.75</v>
      </c>
      <c r="F397" s="229" t="s">
        <v>1656</v>
      </c>
      <c r="H397" s="553" t="s">
        <v>15998</v>
      </c>
    </row>
    <row r="398">
      <c r="A398" s="176" t="s">
        <v>15999</v>
      </c>
      <c r="B398" s="78"/>
      <c r="C398" s="136" t="s">
        <v>15405</v>
      </c>
      <c r="D398" s="179">
        <v>0.75</v>
      </c>
      <c r="E398" s="179">
        <v>0.75</v>
      </c>
      <c r="F398" s="229" t="s">
        <v>1656</v>
      </c>
      <c r="H398" s="553" t="s">
        <v>15999</v>
      </c>
    </row>
    <row r="399">
      <c r="A399" s="176" t="s">
        <v>16000</v>
      </c>
      <c r="B399" s="78"/>
      <c r="C399" s="136" t="s">
        <v>15405</v>
      </c>
      <c r="D399" s="179">
        <v>0.75</v>
      </c>
      <c r="E399" s="179">
        <v>0.75</v>
      </c>
      <c r="F399" s="229" t="s">
        <v>1656</v>
      </c>
      <c r="H399" s="553" t="s">
        <v>16000</v>
      </c>
    </row>
    <row r="400">
      <c r="A400" s="176" t="s">
        <v>16001</v>
      </c>
      <c r="B400" s="78"/>
      <c r="C400" s="136" t="s">
        <v>15405</v>
      </c>
      <c r="D400" s="179">
        <v>0.75</v>
      </c>
      <c r="E400" s="179">
        <v>0.75</v>
      </c>
      <c r="F400" s="229" t="s">
        <v>1656</v>
      </c>
      <c r="H400" s="553" t="s">
        <v>16001</v>
      </c>
    </row>
    <row r="401">
      <c r="A401" s="176" t="s">
        <v>16002</v>
      </c>
      <c r="B401" s="78"/>
      <c r="C401" s="136" t="s">
        <v>15405</v>
      </c>
      <c r="D401" s="179">
        <v>0.75</v>
      </c>
      <c r="E401" s="179">
        <v>0.75</v>
      </c>
      <c r="F401" s="229" t="s">
        <v>1656</v>
      </c>
      <c r="H401" s="553" t="s">
        <v>16002</v>
      </c>
    </row>
    <row r="402">
      <c r="A402" s="176" t="s">
        <v>16003</v>
      </c>
      <c r="B402" s="78"/>
      <c r="C402" s="136" t="s">
        <v>15405</v>
      </c>
      <c r="D402" s="179">
        <v>0.75</v>
      </c>
      <c r="E402" s="179">
        <v>0.75</v>
      </c>
      <c r="F402" s="229" t="s">
        <v>1656</v>
      </c>
      <c r="H402" s="553" t="s">
        <v>16003</v>
      </c>
    </row>
    <row r="403">
      <c r="A403" s="176" t="s">
        <v>16004</v>
      </c>
      <c r="B403" s="78"/>
      <c r="C403" s="136" t="s">
        <v>15405</v>
      </c>
      <c r="D403" s="179">
        <v>0.75</v>
      </c>
      <c r="E403" s="179">
        <v>0.75</v>
      </c>
      <c r="F403" s="229" t="s">
        <v>1656</v>
      </c>
      <c r="H403" s="553" t="s">
        <v>16004</v>
      </c>
    </row>
    <row r="404">
      <c r="A404" s="176" t="s">
        <v>16005</v>
      </c>
      <c r="B404" s="78"/>
      <c r="C404" s="136" t="s">
        <v>15405</v>
      </c>
      <c r="D404" s="179">
        <v>0.75</v>
      </c>
      <c r="E404" s="179">
        <v>0.75</v>
      </c>
      <c r="F404" s="229" t="s">
        <v>1656</v>
      </c>
      <c r="H404" s="553" t="s">
        <v>16005</v>
      </c>
    </row>
    <row r="405">
      <c r="A405" s="176" t="s">
        <v>16006</v>
      </c>
      <c r="B405" s="78"/>
      <c r="C405" s="136" t="s">
        <v>15405</v>
      </c>
      <c r="D405" s="179">
        <v>0.75</v>
      </c>
      <c r="E405" s="179">
        <v>0.75</v>
      </c>
      <c r="F405" s="229" t="s">
        <v>1656</v>
      </c>
      <c r="H405" s="553" t="s">
        <v>16006</v>
      </c>
    </row>
    <row r="406">
      <c r="A406" s="176" t="s">
        <v>10909</v>
      </c>
      <c r="B406" s="78"/>
      <c r="C406" s="136" t="s">
        <v>15405</v>
      </c>
      <c r="D406" s="179">
        <v>0.75</v>
      </c>
      <c r="E406" s="179">
        <v>0.75</v>
      </c>
      <c r="F406" s="229" t="s">
        <v>1656</v>
      </c>
      <c r="H406" s="553" t="s">
        <v>10909</v>
      </c>
    </row>
    <row r="407">
      <c r="A407" s="176" t="s">
        <v>10773</v>
      </c>
      <c r="B407" s="78"/>
      <c r="C407" s="136" t="s">
        <v>15405</v>
      </c>
      <c r="D407" s="179">
        <v>0.75</v>
      </c>
      <c r="E407" s="179">
        <v>0.75</v>
      </c>
      <c r="F407" s="229" t="s">
        <v>1656</v>
      </c>
      <c r="H407" s="553" t="s">
        <v>10773</v>
      </c>
    </row>
    <row r="408">
      <c r="A408" s="176" t="s">
        <v>16007</v>
      </c>
      <c r="B408" s="78"/>
      <c r="C408" s="136" t="s">
        <v>15405</v>
      </c>
      <c r="D408" s="179">
        <v>0.75</v>
      </c>
      <c r="E408" s="179">
        <v>0.75</v>
      </c>
      <c r="F408" s="229" t="s">
        <v>1656</v>
      </c>
      <c r="H408" s="553" t="s">
        <v>16007</v>
      </c>
    </row>
    <row r="409">
      <c r="A409" s="176" t="s">
        <v>16008</v>
      </c>
      <c r="B409" s="78"/>
      <c r="C409" s="136" t="s">
        <v>15405</v>
      </c>
      <c r="D409" s="179">
        <v>0.75</v>
      </c>
      <c r="E409" s="179">
        <v>0.75</v>
      </c>
      <c r="F409" s="229" t="s">
        <v>1656</v>
      </c>
      <c r="H409" s="553" t="s">
        <v>16008</v>
      </c>
    </row>
    <row r="410">
      <c r="A410" s="176" t="s">
        <v>16009</v>
      </c>
      <c r="B410" s="78"/>
      <c r="C410" s="136" t="s">
        <v>15405</v>
      </c>
      <c r="D410" s="179">
        <v>0.75</v>
      </c>
      <c r="E410" s="179">
        <v>0.75</v>
      </c>
      <c r="F410" s="229" t="s">
        <v>1656</v>
      </c>
      <c r="H410" s="553" t="s">
        <v>16009</v>
      </c>
    </row>
    <row r="411">
      <c r="A411" s="176" t="s">
        <v>16010</v>
      </c>
      <c r="B411" s="78"/>
      <c r="C411" s="136" t="s">
        <v>15405</v>
      </c>
      <c r="D411" s="179">
        <v>0.75</v>
      </c>
      <c r="E411" s="179">
        <v>0.75</v>
      </c>
      <c r="F411" s="229" t="s">
        <v>1656</v>
      </c>
      <c r="H411" s="553" t="s">
        <v>16010</v>
      </c>
    </row>
    <row r="412">
      <c r="A412" s="176" t="s">
        <v>16011</v>
      </c>
      <c r="B412" s="78"/>
      <c r="C412" s="136" t="s">
        <v>15405</v>
      </c>
      <c r="D412" s="179">
        <v>0.75</v>
      </c>
      <c r="E412" s="179">
        <v>0.75</v>
      </c>
      <c r="F412" s="229" t="s">
        <v>1656</v>
      </c>
      <c r="H412" s="553" t="s">
        <v>16011</v>
      </c>
    </row>
    <row r="413">
      <c r="A413" s="176" t="s">
        <v>16012</v>
      </c>
      <c r="B413" s="78"/>
      <c r="C413" s="136" t="s">
        <v>15405</v>
      </c>
      <c r="D413" s="179">
        <v>0.75</v>
      </c>
      <c r="E413" s="179">
        <v>0.75</v>
      </c>
      <c r="F413" s="229" t="s">
        <v>1656</v>
      </c>
      <c r="H413" s="553" t="s">
        <v>16012</v>
      </c>
    </row>
    <row r="414">
      <c r="A414" s="176" t="s">
        <v>16013</v>
      </c>
      <c r="B414" s="78"/>
      <c r="C414" s="136" t="s">
        <v>15405</v>
      </c>
      <c r="D414" s="179">
        <v>0.75</v>
      </c>
      <c r="E414" s="179">
        <v>0.75</v>
      </c>
      <c r="F414" s="229" t="s">
        <v>1656</v>
      </c>
      <c r="H414" s="553" t="s">
        <v>16013</v>
      </c>
    </row>
    <row r="415">
      <c r="A415" s="176" t="s">
        <v>16014</v>
      </c>
      <c r="B415" s="78"/>
      <c r="C415" s="136" t="s">
        <v>15405</v>
      </c>
      <c r="D415" s="179">
        <v>0.75</v>
      </c>
      <c r="E415" s="179">
        <v>0.75</v>
      </c>
      <c r="F415" s="229" t="s">
        <v>1656</v>
      </c>
      <c r="H415" s="553" t="s">
        <v>16014</v>
      </c>
    </row>
    <row r="416">
      <c r="A416" s="176" t="s">
        <v>16015</v>
      </c>
      <c r="B416" s="78"/>
      <c r="C416" s="136" t="s">
        <v>15405</v>
      </c>
      <c r="D416" s="179">
        <v>0.75</v>
      </c>
      <c r="E416" s="179">
        <v>0.75</v>
      </c>
      <c r="F416" s="229" t="s">
        <v>1656</v>
      </c>
      <c r="H416" s="553" t="s">
        <v>16015</v>
      </c>
    </row>
    <row r="417">
      <c r="A417" s="176" t="s">
        <v>16016</v>
      </c>
      <c r="B417" s="78"/>
      <c r="C417" s="136" t="s">
        <v>15405</v>
      </c>
      <c r="D417" s="179">
        <v>0.75</v>
      </c>
      <c r="E417" s="179">
        <v>0.75</v>
      </c>
      <c r="F417" s="229" t="s">
        <v>1656</v>
      </c>
      <c r="H417" s="553" t="s">
        <v>16016</v>
      </c>
    </row>
    <row r="418">
      <c r="A418" s="176" t="s">
        <v>16017</v>
      </c>
      <c r="B418" s="78"/>
      <c r="C418" s="136" t="s">
        <v>15405</v>
      </c>
      <c r="D418" s="179">
        <v>0.75</v>
      </c>
      <c r="E418" s="179">
        <v>0.75</v>
      </c>
      <c r="F418" s="229" t="s">
        <v>1656</v>
      </c>
      <c r="H418" s="553" t="s">
        <v>16017</v>
      </c>
    </row>
    <row r="419">
      <c r="A419" s="176" t="s">
        <v>16018</v>
      </c>
      <c r="B419" s="78"/>
      <c r="C419" s="136" t="s">
        <v>15405</v>
      </c>
      <c r="D419" s="179">
        <v>0.75</v>
      </c>
      <c r="E419" s="179">
        <v>0.75</v>
      </c>
      <c r="F419" s="229" t="s">
        <v>1656</v>
      </c>
      <c r="H419" s="553" t="s">
        <v>16018</v>
      </c>
    </row>
    <row r="420">
      <c r="A420" s="176" t="s">
        <v>16019</v>
      </c>
      <c r="B420" s="78"/>
      <c r="C420" s="136" t="s">
        <v>15405</v>
      </c>
      <c r="D420" s="179">
        <v>0.75</v>
      </c>
      <c r="E420" s="179">
        <v>0.75</v>
      </c>
      <c r="F420" s="229" t="s">
        <v>1656</v>
      </c>
      <c r="H420" s="553" t="s">
        <v>16019</v>
      </c>
    </row>
    <row r="421">
      <c r="A421" s="176" t="s">
        <v>16020</v>
      </c>
      <c r="B421" s="78"/>
      <c r="C421" s="136" t="s">
        <v>15405</v>
      </c>
      <c r="D421" s="179">
        <v>0.75</v>
      </c>
      <c r="E421" s="179">
        <v>0.75</v>
      </c>
      <c r="F421" s="229" t="s">
        <v>1656</v>
      </c>
      <c r="H421" s="553" t="s">
        <v>16020</v>
      </c>
    </row>
    <row r="422">
      <c r="A422" s="176" t="s">
        <v>16021</v>
      </c>
      <c r="B422" s="78"/>
      <c r="C422" s="136" t="s">
        <v>15405</v>
      </c>
      <c r="D422" s="179">
        <v>0.75</v>
      </c>
      <c r="E422" s="179">
        <v>0.75</v>
      </c>
      <c r="F422" s="229" t="s">
        <v>1656</v>
      </c>
      <c r="H422" s="553" t="s">
        <v>16021</v>
      </c>
    </row>
    <row r="423">
      <c r="A423" s="176" t="s">
        <v>16022</v>
      </c>
      <c r="B423" s="78"/>
      <c r="C423" s="136" t="s">
        <v>15405</v>
      </c>
      <c r="D423" s="179">
        <v>0.75</v>
      </c>
      <c r="E423" s="179">
        <v>0.75</v>
      </c>
      <c r="F423" s="229" t="s">
        <v>1656</v>
      </c>
      <c r="H423" s="553" t="s">
        <v>16022</v>
      </c>
    </row>
    <row r="424">
      <c r="A424" s="176" t="s">
        <v>16023</v>
      </c>
      <c r="B424" s="78"/>
      <c r="C424" s="136" t="s">
        <v>15405</v>
      </c>
      <c r="D424" s="179">
        <v>0.75</v>
      </c>
      <c r="E424" s="179">
        <v>0.75</v>
      </c>
      <c r="F424" s="229" t="s">
        <v>1656</v>
      </c>
      <c r="H424" s="553" t="s">
        <v>16023</v>
      </c>
    </row>
    <row r="425">
      <c r="A425" s="176" t="s">
        <v>16024</v>
      </c>
      <c r="B425" s="78"/>
      <c r="C425" s="136" t="s">
        <v>15405</v>
      </c>
      <c r="D425" s="179">
        <v>0.75</v>
      </c>
      <c r="E425" s="179">
        <v>0.75</v>
      </c>
      <c r="F425" s="229" t="s">
        <v>1656</v>
      </c>
      <c r="H425" s="553" t="s">
        <v>16024</v>
      </c>
    </row>
    <row r="426">
      <c r="A426" s="176" t="s">
        <v>16025</v>
      </c>
      <c r="B426" s="78"/>
      <c r="C426" s="136" t="s">
        <v>15405</v>
      </c>
      <c r="D426" s="179">
        <v>0.75</v>
      </c>
      <c r="E426" s="179">
        <v>0.75</v>
      </c>
      <c r="F426" s="229" t="s">
        <v>1656</v>
      </c>
      <c r="H426" s="553" t="s">
        <v>16025</v>
      </c>
    </row>
    <row r="427">
      <c r="A427" s="176" t="s">
        <v>1332</v>
      </c>
      <c r="B427" s="78"/>
      <c r="C427" s="136" t="s">
        <v>15405</v>
      </c>
      <c r="D427" s="179">
        <v>0.75</v>
      </c>
      <c r="E427" s="179">
        <v>0.75</v>
      </c>
      <c r="F427" s="229" t="s">
        <v>1656</v>
      </c>
      <c r="H427" s="553" t="s">
        <v>1332</v>
      </c>
    </row>
    <row r="428">
      <c r="A428" s="176" t="s">
        <v>16026</v>
      </c>
      <c r="B428" s="78"/>
      <c r="C428" s="136" t="s">
        <v>15405</v>
      </c>
      <c r="D428" s="179">
        <v>0.75</v>
      </c>
      <c r="E428" s="179">
        <v>0.75</v>
      </c>
      <c r="F428" s="229" t="s">
        <v>1656</v>
      </c>
      <c r="H428" s="553" t="s">
        <v>16026</v>
      </c>
    </row>
    <row r="429">
      <c r="A429" s="176" t="s">
        <v>16027</v>
      </c>
      <c r="B429" s="78"/>
      <c r="C429" s="136" t="s">
        <v>15405</v>
      </c>
      <c r="D429" s="179">
        <v>0.75</v>
      </c>
      <c r="E429" s="179">
        <v>0.75</v>
      </c>
      <c r="F429" s="229" t="s">
        <v>1656</v>
      </c>
      <c r="H429" s="553" t="s">
        <v>16027</v>
      </c>
    </row>
    <row r="430">
      <c r="A430" s="176" t="s">
        <v>1006</v>
      </c>
      <c r="B430" s="78"/>
      <c r="C430" s="136" t="s">
        <v>15405</v>
      </c>
      <c r="D430" s="179">
        <v>0.75</v>
      </c>
      <c r="E430" s="179">
        <v>0.75</v>
      </c>
      <c r="F430" s="229" t="s">
        <v>1656</v>
      </c>
      <c r="H430" s="553" t="s">
        <v>1006</v>
      </c>
    </row>
    <row r="431">
      <c r="A431" s="176" t="s">
        <v>16028</v>
      </c>
      <c r="B431" s="78"/>
      <c r="C431" s="136" t="s">
        <v>15405</v>
      </c>
      <c r="D431" s="179">
        <v>0.75</v>
      </c>
      <c r="E431" s="179">
        <v>0.75</v>
      </c>
      <c r="F431" s="229" t="s">
        <v>1656</v>
      </c>
      <c r="H431" s="553" t="s">
        <v>16028</v>
      </c>
    </row>
    <row r="432">
      <c r="A432" s="176" t="s">
        <v>16029</v>
      </c>
      <c r="B432" s="78"/>
      <c r="C432" s="136" t="s">
        <v>15405</v>
      </c>
      <c r="D432" s="179">
        <v>0.75</v>
      </c>
      <c r="E432" s="179">
        <v>0.75</v>
      </c>
      <c r="F432" s="229" t="s">
        <v>1656</v>
      </c>
      <c r="H432" s="553" t="s">
        <v>16029</v>
      </c>
    </row>
    <row r="433">
      <c r="A433" s="176" t="s">
        <v>16030</v>
      </c>
      <c r="B433" s="78"/>
      <c r="C433" s="136" t="s">
        <v>15405</v>
      </c>
      <c r="D433" s="179">
        <v>0.75</v>
      </c>
      <c r="E433" s="179">
        <v>0.75</v>
      </c>
      <c r="F433" s="229" t="s">
        <v>1656</v>
      </c>
      <c r="H433" s="553" t="s">
        <v>16030</v>
      </c>
    </row>
    <row r="434">
      <c r="A434" s="176" t="s">
        <v>16031</v>
      </c>
      <c r="B434" s="78"/>
      <c r="C434" s="136" t="s">
        <v>15405</v>
      </c>
      <c r="D434" s="179">
        <v>0.75</v>
      </c>
      <c r="E434" s="179">
        <v>0.75</v>
      </c>
      <c r="F434" s="229" t="s">
        <v>1656</v>
      </c>
      <c r="H434" s="553" t="s">
        <v>16031</v>
      </c>
    </row>
    <row r="435">
      <c r="A435" s="176" t="s">
        <v>16032</v>
      </c>
      <c r="B435" s="78"/>
      <c r="C435" s="136" t="s">
        <v>15405</v>
      </c>
      <c r="D435" s="179">
        <v>0.75</v>
      </c>
      <c r="E435" s="179">
        <v>0.75</v>
      </c>
      <c r="F435" s="229" t="s">
        <v>1656</v>
      </c>
      <c r="H435" s="553" t="s">
        <v>16032</v>
      </c>
    </row>
    <row r="436">
      <c r="A436" s="176" t="s">
        <v>5198</v>
      </c>
      <c r="B436" s="78"/>
      <c r="C436" s="136" t="s">
        <v>15405</v>
      </c>
      <c r="D436" s="179">
        <v>0.75</v>
      </c>
      <c r="E436" s="179">
        <v>0.75</v>
      </c>
      <c r="F436" s="229" t="s">
        <v>1656</v>
      </c>
      <c r="H436" s="553" t="s">
        <v>5198</v>
      </c>
    </row>
    <row r="437">
      <c r="A437" s="176" t="s">
        <v>16033</v>
      </c>
      <c r="B437" s="78"/>
      <c r="C437" s="136" t="s">
        <v>15405</v>
      </c>
      <c r="D437" s="179">
        <v>0.75</v>
      </c>
      <c r="E437" s="179">
        <v>0.75</v>
      </c>
      <c r="F437" s="229" t="s">
        <v>1656</v>
      </c>
      <c r="H437" s="553" t="s">
        <v>16033</v>
      </c>
    </row>
    <row r="438">
      <c r="A438" s="176" t="s">
        <v>16034</v>
      </c>
      <c r="B438" s="78"/>
      <c r="C438" s="136" t="s">
        <v>15405</v>
      </c>
      <c r="D438" s="179">
        <v>0.75</v>
      </c>
      <c r="E438" s="179">
        <v>0.75</v>
      </c>
      <c r="F438" s="229" t="s">
        <v>1656</v>
      </c>
      <c r="H438" s="553" t="s">
        <v>16034</v>
      </c>
    </row>
    <row r="439">
      <c r="A439" s="176" t="s">
        <v>16035</v>
      </c>
      <c r="B439" s="78"/>
      <c r="C439" s="136" t="s">
        <v>15405</v>
      </c>
      <c r="D439" s="179">
        <v>0.75</v>
      </c>
      <c r="E439" s="179">
        <v>0.75</v>
      </c>
      <c r="F439" s="229" t="s">
        <v>1656</v>
      </c>
      <c r="H439" s="553" t="s">
        <v>16035</v>
      </c>
    </row>
    <row r="440">
      <c r="A440" s="176" t="s">
        <v>3334</v>
      </c>
      <c r="B440" s="78"/>
      <c r="C440" s="136" t="s">
        <v>15405</v>
      </c>
      <c r="D440" s="179">
        <v>0.75</v>
      </c>
      <c r="E440" s="179">
        <v>0.75</v>
      </c>
      <c r="F440" s="229" t="s">
        <v>1656</v>
      </c>
      <c r="H440" s="553" t="s">
        <v>3334</v>
      </c>
    </row>
    <row r="441">
      <c r="A441" s="176" t="s">
        <v>16036</v>
      </c>
      <c r="B441" s="78"/>
      <c r="C441" s="136" t="s">
        <v>15405</v>
      </c>
      <c r="D441" s="179">
        <v>0.75</v>
      </c>
      <c r="E441" s="179">
        <v>0.75</v>
      </c>
      <c r="F441" s="229" t="s">
        <v>1656</v>
      </c>
      <c r="H441" s="553" t="s">
        <v>16036</v>
      </c>
    </row>
    <row r="442">
      <c r="A442" s="176" t="s">
        <v>16037</v>
      </c>
      <c r="B442" s="78"/>
      <c r="C442" s="136" t="s">
        <v>15405</v>
      </c>
      <c r="D442" s="179">
        <v>0.75</v>
      </c>
      <c r="E442" s="179">
        <v>0.75</v>
      </c>
      <c r="F442" s="229" t="s">
        <v>1656</v>
      </c>
      <c r="H442" s="553" t="s">
        <v>16037</v>
      </c>
    </row>
    <row r="443">
      <c r="A443" s="176" t="s">
        <v>16038</v>
      </c>
      <c r="B443" s="78"/>
      <c r="C443" s="136" t="s">
        <v>15405</v>
      </c>
      <c r="D443" s="179">
        <v>0.75</v>
      </c>
      <c r="E443" s="179">
        <v>0.75</v>
      </c>
      <c r="F443" s="229" t="s">
        <v>1656</v>
      </c>
      <c r="H443" s="553" t="s">
        <v>16038</v>
      </c>
    </row>
    <row r="444">
      <c r="A444" s="176" t="s">
        <v>16039</v>
      </c>
      <c r="B444" s="78"/>
      <c r="C444" s="136" t="s">
        <v>15405</v>
      </c>
      <c r="D444" s="179">
        <v>0.75</v>
      </c>
      <c r="E444" s="179">
        <v>0.75</v>
      </c>
      <c r="F444" s="229" t="s">
        <v>1656</v>
      </c>
      <c r="H444" s="553" t="s">
        <v>16039</v>
      </c>
    </row>
    <row r="445">
      <c r="A445" s="176" t="s">
        <v>16040</v>
      </c>
      <c r="B445" s="78"/>
      <c r="C445" s="136" t="s">
        <v>15405</v>
      </c>
      <c r="D445" s="179">
        <v>0.75</v>
      </c>
      <c r="E445" s="179">
        <v>0.75</v>
      </c>
      <c r="F445" s="229" t="s">
        <v>1656</v>
      </c>
      <c r="H445" s="553" t="s">
        <v>16040</v>
      </c>
    </row>
    <row r="446">
      <c r="A446" s="176" t="s">
        <v>16041</v>
      </c>
      <c r="B446" s="78"/>
      <c r="C446" s="136" t="s">
        <v>15405</v>
      </c>
      <c r="D446" s="179">
        <v>0.75</v>
      </c>
      <c r="E446" s="179">
        <v>0.75</v>
      </c>
      <c r="F446" s="229" t="s">
        <v>1656</v>
      </c>
      <c r="H446" s="553" t="s">
        <v>16041</v>
      </c>
    </row>
    <row r="447">
      <c r="A447" s="176" t="s">
        <v>16042</v>
      </c>
      <c r="B447" s="78"/>
      <c r="C447" s="136" t="s">
        <v>15405</v>
      </c>
      <c r="D447" s="179">
        <v>0.75</v>
      </c>
      <c r="E447" s="179">
        <v>0.75</v>
      </c>
      <c r="F447" s="229" t="s">
        <v>1656</v>
      </c>
      <c r="H447" s="553" t="s">
        <v>16042</v>
      </c>
    </row>
    <row r="448">
      <c r="A448" s="176" t="s">
        <v>16043</v>
      </c>
      <c r="B448" s="78"/>
      <c r="C448" s="136" t="s">
        <v>15405</v>
      </c>
      <c r="D448" s="179">
        <v>0.75</v>
      </c>
      <c r="E448" s="179">
        <v>0.75</v>
      </c>
      <c r="F448" s="229" t="s">
        <v>1656</v>
      </c>
      <c r="H448" s="553" t="s">
        <v>16043</v>
      </c>
    </row>
    <row r="449">
      <c r="A449" s="176" t="s">
        <v>16044</v>
      </c>
      <c r="B449" s="78"/>
      <c r="C449" s="136" t="s">
        <v>15405</v>
      </c>
      <c r="D449" s="179">
        <v>0.75</v>
      </c>
      <c r="E449" s="179">
        <v>0.75</v>
      </c>
      <c r="F449" s="229" t="s">
        <v>1656</v>
      </c>
      <c r="H449" s="553" t="s">
        <v>16044</v>
      </c>
    </row>
    <row r="450">
      <c r="A450" s="176" t="s">
        <v>16045</v>
      </c>
      <c r="B450" s="78"/>
      <c r="C450" s="136" t="s">
        <v>15405</v>
      </c>
      <c r="D450" s="179">
        <v>0.75</v>
      </c>
      <c r="E450" s="179">
        <v>0.75</v>
      </c>
      <c r="F450" s="229" t="s">
        <v>1656</v>
      </c>
      <c r="H450" s="553" t="s">
        <v>16045</v>
      </c>
    </row>
    <row r="451">
      <c r="A451" s="176" t="s">
        <v>16046</v>
      </c>
      <c r="B451" s="78"/>
      <c r="C451" s="136" t="s">
        <v>15405</v>
      </c>
      <c r="D451" s="179">
        <v>0.75</v>
      </c>
      <c r="E451" s="179">
        <v>0.75</v>
      </c>
      <c r="F451" s="229" t="s">
        <v>1656</v>
      </c>
      <c r="H451" s="553" t="s">
        <v>16046</v>
      </c>
    </row>
    <row r="452">
      <c r="A452" s="176" t="s">
        <v>16047</v>
      </c>
      <c r="B452" s="78"/>
      <c r="C452" s="136" t="s">
        <v>15405</v>
      </c>
      <c r="D452" s="179">
        <v>0.75</v>
      </c>
      <c r="E452" s="179">
        <v>0.75</v>
      </c>
      <c r="F452" s="229" t="s">
        <v>1656</v>
      </c>
      <c r="H452" s="553" t="s">
        <v>16047</v>
      </c>
    </row>
    <row r="453">
      <c r="A453" s="176" t="s">
        <v>16048</v>
      </c>
      <c r="B453" s="78"/>
      <c r="C453" s="136" t="s">
        <v>15405</v>
      </c>
      <c r="D453" s="179">
        <v>0.75</v>
      </c>
      <c r="E453" s="179">
        <v>0.75</v>
      </c>
      <c r="F453" s="229" t="s">
        <v>1656</v>
      </c>
      <c r="H453" s="553" t="s">
        <v>16048</v>
      </c>
    </row>
    <row r="454">
      <c r="A454" s="176" t="s">
        <v>16049</v>
      </c>
      <c r="B454" s="78"/>
      <c r="C454" s="136" t="s">
        <v>15405</v>
      </c>
      <c r="D454" s="179">
        <v>0.75</v>
      </c>
      <c r="E454" s="179">
        <v>0.75</v>
      </c>
      <c r="F454" s="229" t="s">
        <v>1656</v>
      </c>
      <c r="H454" s="553" t="s">
        <v>16049</v>
      </c>
    </row>
    <row r="455">
      <c r="A455" s="176" t="s">
        <v>16050</v>
      </c>
      <c r="B455" s="78"/>
      <c r="C455" s="136" t="s">
        <v>15405</v>
      </c>
      <c r="D455" s="179">
        <v>0.75</v>
      </c>
      <c r="E455" s="179">
        <v>0.75</v>
      </c>
      <c r="F455" s="229" t="s">
        <v>1656</v>
      </c>
      <c r="H455" s="553" t="s">
        <v>16050</v>
      </c>
    </row>
    <row r="456">
      <c r="A456" s="176" t="s">
        <v>16051</v>
      </c>
      <c r="B456" s="78"/>
      <c r="C456" s="136" t="s">
        <v>15405</v>
      </c>
      <c r="D456" s="179">
        <v>0.75</v>
      </c>
      <c r="E456" s="179">
        <v>0.75</v>
      </c>
      <c r="F456" s="229" t="s">
        <v>1656</v>
      </c>
      <c r="H456" s="553" t="s">
        <v>16051</v>
      </c>
    </row>
    <row r="457">
      <c r="A457" s="176" t="s">
        <v>16052</v>
      </c>
      <c r="B457" s="78"/>
      <c r="C457" s="136" t="s">
        <v>15405</v>
      </c>
      <c r="D457" s="179">
        <v>0.75</v>
      </c>
      <c r="E457" s="179">
        <v>0.75</v>
      </c>
      <c r="F457" s="229" t="s">
        <v>1656</v>
      </c>
      <c r="H457" s="553" t="s">
        <v>16052</v>
      </c>
    </row>
    <row r="458">
      <c r="A458" s="176" t="s">
        <v>16053</v>
      </c>
      <c r="B458" s="78"/>
      <c r="C458" s="136" t="s">
        <v>15405</v>
      </c>
      <c r="D458" s="179">
        <v>0.75</v>
      </c>
      <c r="E458" s="179">
        <v>0.75</v>
      </c>
      <c r="F458" s="229" t="s">
        <v>1656</v>
      </c>
      <c r="H458" s="553" t="s">
        <v>16053</v>
      </c>
    </row>
    <row r="459">
      <c r="A459" s="176" t="s">
        <v>16054</v>
      </c>
      <c r="B459" s="78"/>
      <c r="C459" s="136" t="s">
        <v>15405</v>
      </c>
      <c r="D459" s="179">
        <v>0.75</v>
      </c>
      <c r="E459" s="179">
        <v>0.75</v>
      </c>
      <c r="F459" s="229" t="s">
        <v>1656</v>
      </c>
      <c r="H459" s="553" t="s">
        <v>16054</v>
      </c>
    </row>
    <row r="460">
      <c r="A460" s="176" t="s">
        <v>16055</v>
      </c>
      <c r="B460" s="78"/>
      <c r="C460" s="136" t="s">
        <v>15405</v>
      </c>
      <c r="D460" s="179">
        <v>0.75</v>
      </c>
      <c r="E460" s="179">
        <v>0.75</v>
      </c>
      <c r="F460" s="229" t="s">
        <v>1656</v>
      </c>
      <c r="H460" s="553" t="s">
        <v>16055</v>
      </c>
    </row>
    <row r="461">
      <c r="A461" s="176" t="s">
        <v>16056</v>
      </c>
      <c r="B461" s="78"/>
      <c r="C461" s="136" t="s">
        <v>15405</v>
      </c>
      <c r="D461" s="179">
        <v>0.75</v>
      </c>
      <c r="E461" s="179">
        <v>0.75</v>
      </c>
      <c r="F461" s="229" t="s">
        <v>1656</v>
      </c>
      <c r="H461" s="553" t="s">
        <v>16056</v>
      </c>
    </row>
    <row r="462">
      <c r="A462" s="176" t="s">
        <v>16057</v>
      </c>
      <c r="B462" s="78"/>
      <c r="C462" s="136" t="s">
        <v>15405</v>
      </c>
      <c r="D462" s="179">
        <v>0.75</v>
      </c>
      <c r="E462" s="179">
        <v>0.75</v>
      </c>
      <c r="F462" s="229" t="s">
        <v>1656</v>
      </c>
      <c r="H462" s="553" t="s">
        <v>16057</v>
      </c>
    </row>
    <row r="463">
      <c r="A463" s="176" t="s">
        <v>16058</v>
      </c>
      <c r="B463" s="78"/>
      <c r="C463" s="136" t="s">
        <v>15405</v>
      </c>
      <c r="D463" s="179">
        <v>0.75</v>
      </c>
      <c r="E463" s="179">
        <v>0.75</v>
      </c>
      <c r="F463" s="229" t="s">
        <v>1656</v>
      </c>
      <c r="H463" s="553" t="s">
        <v>16058</v>
      </c>
    </row>
    <row r="464">
      <c r="A464" s="176" t="s">
        <v>16059</v>
      </c>
      <c r="B464" s="78"/>
      <c r="C464" s="136" t="s">
        <v>15405</v>
      </c>
      <c r="D464" s="179">
        <v>0.75</v>
      </c>
      <c r="E464" s="179">
        <v>0.75</v>
      </c>
      <c r="F464" s="229" t="s">
        <v>1656</v>
      </c>
      <c r="H464" s="553" t="s">
        <v>16059</v>
      </c>
    </row>
    <row r="465">
      <c r="A465" s="176" t="s">
        <v>16060</v>
      </c>
      <c r="B465" s="78"/>
      <c r="C465" s="136" t="s">
        <v>15405</v>
      </c>
      <c r="D465" s="179">
        <v>0.75</v>
      </c>
      <c r="E465" s="179">
        <v>0.75</v>
      </c>
      <c r="F465" s="229" t="s">
        <v>1656</v>
      </c>
      <c r="H465" s="553" t="s">
        <v>16060</v>
      </c>
    </row>
    <row r="466">
      <c r="A466" s="176" t="s">
        <v>16061</v>
      </c>
      <c r="B466" s="78"/>
      <c r="C466" s="136" t="s">
        <v>15405</v>
      </c>
      <c r="D466" s="179">
        <v>0.75</v>
      </c>
      <c r="E466" s="179">
        <v>0.75</v>
      </c>
      <c r="F466" s="229" t="s">
        <v>1656</v>
      </c>
      <c r="H466" s="553" t="s">
        <v>16061</v>
      </c>
    </row>
    <row r="467">
      <c r="A467" s="176" t="s">
        <v>16062</v>
      </c>
      <c r="B467" s="78"/>
      <c r="C467" s="136" t="s">
        <v>15405</v>
      </c>
      <c r="D467" s="179">
        <v>0.75</v>
      </c>
      <c r="E467" s="179">
        <v>0.75</v>
      </c>
      <c r="F467" s="229" t="s">
        <v>1656</v>
      </c>
      <c r="H467" s="553" t="s">
        <v>16062</v>
      </c>
    </row>
    <row r="468">
      <c r="A468" s="176" t="s">
        <v>16063</v>
      </c>
      <c r="B468" s="78"/>
      <c r="C468" s="136" t="s">
        <v>15405</v>
      </c>
      <c r="D468" s="179">
        <v>0.75</v>
      </c>
      <c r="E468" s="179">
        <v>0.75</v>
      </c>
      <c r="F468" s="229" t="s">
        <v>1656</v>
      </c>
      <c r="H468" s="553" t="s">
        <v>16063</v>
      </c>
    </row>
    <row r="469">
      <c r="A469" s="176" t="s">
        <v>16064</v>
      </c>
      <c r="B469" s="78"/>
      <c r="C469" s="136" t="s">
        <v>15405</v>
      </c>
      <c r="D469" s="179">
        <v>0.75</v>
      </c>
      <c r="E469" s="179">
        <v>0.75</v>
      </c>
      <c r="F469" s="229" t="s">
        <v>1656</v>
      </c>
      <c r="H469" s="553" t="s">
        <v>16064</v>
      </c>
    </row>
    <row r="470">
      <c r="A470" s="176" t="s">
        <v>16065</v>
      </c>
      <c r="B470" s="78"/>
      <c r="C470" s="136" t="s">
        <v>15405</v>
      </c>
      <c r="D470" s="179">
        <v>0.75</v>
      </c>
      <c r="E470" s="179">
        <v>0.75</v>
      </c>
      <c r="F470" s="229" t="s">
        <v>1656</v>
      </c>
      <c r="H470" s="553" t="s">
        <v>16065</v>
      </c>
    </row>
    <row r="471">
      <c r="A471" s="176" t="s">
        <v>16066</v>
      </c>
      <c r="B471" s="78"/>
      <c r="C471" s="136" t="s">
        <v>15405</v>
      </c>
      <c r="D471" s="179">
        <v>0.75</v>
      </c>
      <c r="E471" s="179">
        <v>0.75</v>
      </c>
      <c r="F471" s="229" t="s">
        <v>1656</v>
      </c>
      <c r="H471" s="553" t="s">
        <v>16066</v>
      </c>
    </row>
    <row r="472">
      <c r="A472" s="176" t="s">
        <v>16067</v>
      </c>
      <c r="B472" s="78"/>
      <c r="C472" s="136" t="s">
        <v>15405</v>
      </c>
      <c r="D472" s="179">
        <v>0.75</v>
      </c>
      <c r="E472" s="179">
        <v>0.75</v>
      </c>
      <c r="F472" s="229" t="s">
        <v>1656</v>
      </c>
      <c r="H472" s="553" t="s">
        <v>16067</v>
      </c>
    </row>
    <row r="473">
      <c r="A473" s="176" t="s">
        <v>16068</v>
      </c>
      <c r="B473" s="78"/>
      <c r="C473" s="136" t="s">
        <v>15405</v>
      </c>
      <c r="D473" s="179">
        <v>0.75</v>
      </c>
      <c r="E473" s="179">
        <v>0.75</v>
      </c>
      <c r="F473" s="229" t="s">
        <v>1656</v>
      </c>
      <c r="H473" s="553" t="s">
        <v>16068</v>
      </c>
    </row>
    <row r="474">
      <c r="A474" s="176" t="s">
        <v>16069</v>
      </c>
      <c r="B474" s="78"/>
      <c r="C474" s="136" t="s">
        <v>15405</v>
      </c>
      <c r="D474" s="179">
        <v>0.75</v>
      </c>
      <c r="E474" s="179">
        <v>0.75</v>
      </c>
      <c r="F474" s="229" t="s">
        <v>1656</v>
      </c>
      <c r="H474" s="553" t="s">
        <v>16069</v>
      </c>
    </row>
    <row r="475">
      <c r="A475" s="176" t="s">
        <v>16070</v>
      </c>
      <c r="B475" s="78"/>
      <c r="C475" s="136" t="s">
        <v>15405</v>
      </c>
      <c r="D475" s="179">
        <v>0.75</v>
      </c>
      <c r="E475" s="179">
        <v>0.75</v>
      </c>
      <c r="F475" s="229" t="s">
        <v>1656</v>
      </c>
      <c r="H475" s="553" t="s">
        <v>16070</v>
      </c>
    </row>
    <row r="476">
      <c r="A476" s="176" t="s">
        <v>16071</v>
      </c>
      <c r="B476" s="78"/>
      <c r="C476" s="136" t="s">
        <v>15405</v>
      </c>
      <c r="D476" s="179">
        <v>0.75</v>
      </c>
      <c r="E476" s="179">
        <v>0.75</v>
      </c>
      <c r="F476" s="229" t="s">
        <v>1656</v>
      </c>
      <c r="H476" s="553" t="s">
        <v>16071</v>
      </c>
    </row>
    <row r="477">
      <c r="A477" s="176" t="s">
        <v>16072</v>
      </c>
      <c r="B477" s="78"/>
      <c r="C477" s="136" t="s">
        <v>15405</v>
      </c>
      <c r="D477" s="179">
        <v>0.75</v>
      </c>
      <c r="E477" s="179">
        <v>0.75</v>
      </c>
      <c r="F477" s="229" t="s">
        <v>1656</v>
      </c>
      <c r="H477" s="553" t="s">
        <v>16072</v>
      </c>
    </row>
    <row r="478">
      <c r="A478" s="176" t="s">
        <v>16073</v>
      </c>
      <c r="B478" s="78"/>
      <c r="C478" s="136" t="s">
        <v>15405</v>
      </c>
      <c r="D478" s="179">
        <v>0.75</v>
      </c>
      <c r="E478" s="179">
        <v>0.75</v>
      </c>
      <c r="F478" s="229" t="s">
        <v>1656</v>
      </c>
      <c r="H478" s="553" t="s">
        <v>16073</v>
      </c>
    </row>
    <row r="479">
      <c r="A479" s="176" t="s">
        <v>15788</v>
      </c>
      <c r="B479" s="78"/>
      <c r="C479" s="136" t="s">
        <v>15405</v>
      </c>
      <c r="D479" s="179">
        <v>0.75</v>
      </c>
      <c r="E479" s="179">
        <v>0.75</v>
      </c>
      <c r="F479" s="229" t="s">
        <v>1656</v>
      </c>
      <c r="H479" s="553" t="s">
        <v>15788</v>
      </c>
    </row>
    <row r="480">
      <c r="A480" s="176" t="s">
        <v>16074</v>
      </c>
      <c r="B480" s="78"/>
      <c r="C480" s="136" t="s">
        <v>15405</v>
      </c>
      <c r="D480" s="179">
        <v>0.75</v>
      </c>
      <c r="E480" s="179">
        <v>0.75</v>
      </c>
      <c r="F480" s="229" t="s">
        <v>1656</v>
      </c>
      <c r="H480" s="553" t="s">
        <v>16074</v>
      </c>
    </row>
    <row r="481">
      <c r="A481" s="176" t="s">
        <v>2688</v>
      </c>
      <c r="B481" s="78"/>
      <c r="C481" s="136" t="s">
        <v>15405</v>
      </c>
      <c r="D481" s="179">
        <v>0.75</v>
      </c>
      <c r="E481" s="179">
        <v>0.75</v>
      </c>
      <c r="F481" s="229" t="s">
        <v>1656</v>
      </c>
      <c r="H481" s="553" t="s">
        <v>2688</v>
      </c>
    </row>
    <row r="482">
      <c r="A482" s="176" t="s">
        <v>16075</v>
      </c>
      <c r="B482" s="78"/>
      <c r="C482" s="136" t="s">
        <v>15405</v>
      </c>
      <c r="D482" s="179">
        <v>0.75</v>
      </c>
      <c r="E482" s="179">
        <v>0.75</v>
      </c>
      <c r="F482" s="229" t="s">
        <v>1656</v>
      </c>
      <c r="H482" s="553" t="s">
        <v>16075</v>
      </c>
    </row>
    <row r="483">
      <c r="A483" s="176" t="s">
        <v>16076</v>
      </c>
      <c r="B483" s="78"/>
      <c r="C483" s="136" t="s">
        <v>15405</v>
      </c>
      <c r="D483" s="179">
        <v>0.75</v>
      </c>
      <c r="E483" s="179">
        <v>0.75</v>
      </c>
      <c r="F483" s="229" t="s">
        <v>1656</v>
      </c>
      <c r="H483" s="553" t="s">
        <v>16076</v>
      </c>
    </row>
    <row r="484">
      <c r="A484" s="176" t="s">
        <v>16077</v>
      </c>
      <c r="B484" s="78"/>
      <c r="C484" s="136" t="s">
        <v>15405</v>
      </c>
      <c r="D484" s="179">
        <v>0.75</v>
      </c>
      <c r="E484" s="179">
        <v>0.75</v>
      </c>
      <c r="F484" s="229" t="s">
        <v>1656</v>
      </c>
      <c r="H484" s="553" t="s">
        <v>16077</v>
      </c>
    </row>
    <row r="485">
      <c r="A485" s="176" t="s">
        <v>16078</v>
      </c>
      <c r="B485" s="78"/>
      <c r="C485" s="136" t="s">
        <v>15405</v>
      </c>
      <c r="D485" s="179">
        <v>0.75</v>
      </c>
      <c r="E485" s="179">
        <v>0.75</v>
      </c>
      <c r="F485" s="229" t="s">
        <v>1656</v>
      </c>
      <c r="H485" s="553" t="s">
        <v>16078</v>
      </c>
    </row>
    <row r="486">
      <c r="A486" s="176" t="s">
        <v>16079</v>
      </c>
      <c r="B486" s="78"/>
      <c r="C486" s="136" t="s">
        <v>15405</v>
      </c>
      <c r="D486" s="179">
        <v>0.75</v>
      </c>
      <c r="E486" s="179">
        <v>0.75</v>
      </c>
      <c r="F486" s="229" t="s">
        <v>1656</v>
      </c>
      <c r="H486" s="553" t="s">
        <v>16079</v>
      </c>
    </row>
    <row r="487">
      <c r="A487" s="176" t="s">
        <v>16080</v>
      </c>
      <c r="B487" s="78"/>
      <c r="C487" s="136" t="s">
        <v>15405</v>
      </c>
      <c r="D487" s="179">
        <v>0.75</v>
      </c>
      <c r="E487" s="179">
        <v>0.75</v>
      </c>
      <c r="F487" s="229" t="s">
        <v>1656</v>
      </c>
      <c r="H487" s="553" t="s">
        <v>16080</v>
      </c>
    </row>
    <row r="488">
      <c r="A488" s="176" t="s">
        <v>16081</v>
      </c>
      <c r="B488" s="16">
        <v>14465.0</v>
      </c>
      <c r="C488" s="136" t="s">
        <v>15405</v>
      </c>
      <c r="D488" s="74">
        <v>0.9</v>
      </c>
      <c r="E488" s="74">
        <v>0.9</v>
      </c>
      <c r="F488" s="229" t="s">
        <v>1656</v>
      </c>
      <c r="H488" s="553" t="s">
        <v>16081</v>
      </c>
    </row>
    <row r="489">
      <c r="A489" s="176" t="s">
        <v>16082</v>
      </c>
      <c r="B489" s="78"/>
      <c r="C489" s="136" t="s">
        <v>15405</v>
      </c>
      <c r="D489" s="179">
        <v>0.75</v>
      </c>
      <c r="E489" s="179">
        <v>0.75</v>
      </c>
      <c r="F489" s="229" t="s">
        <v>1656</v>
      </c>
      <c r="H489" s="553" t="s">
        <v>16082</v>
      </c>
    </row>
    <row r="490">
      <c r="A490" s="176" t="s">
        <v>5943</v>
      </c>
      <c r="B490" s="78"/>
      <c r="C490" s="136" t="s">
        <v>15405</v>
      </c>
      <c r="D490" s="179">
        <v>0.75</v>
      </c>
      <c r="E490" s="179">
        <v>0.75</v>
      </c>
      <c r="F490" s="229" t="s">
        <v>1656</v>
      </c>
      <c r="H490" s="553" t="s">
        <v>5943</v>
      </c>
    </row>
    <row r="491">
      <c r="A491" s="176" t="s">
        <v>16083</v>
      </c>
      <c r="B491" s="78"/>
      <c r="C491" s="136" t="s">
        <v>15405</v>
      </c>
      <c r="D491" s="179">
        <v>0.75</v>
      </c>
      <c r="E491" s="179">
        <v>0.75</v>
      </c>
      <c r="F491" s="229" t="s">
        <v>1656</v>
      </c>
      <c r="H491" s="553" t="s">
        <v>16083</v>
      </c>
    </row>
    <row r="492">
      <c r="A492" s="176" t="s">
        <v>16084</v>
      </c>
      <c r="B492" s="78"/>
      <c r="C492" s="136" t="s">
        <v>15405</v>
      </c>
      <c r="D492" s="179">
        <v>0.75</v>
      </c>
      <c r="E492" s="179">
        <v>0.75</v>
      </c>
      <c r="F492" s="229" t="s">
        <v>1656</v>
      </c>
      <c r="H492" s="553" t="s">
        <v>16084</v>
      </c>
    </row>
    <row r="493">
      <c r="A493" s="176" t="s">
        <v>16085</v>
      </c>
      <c r="B493" s="78"/>
      <c r="C493" s="136" t="s">
        <v>15405</v>
      </c>
      <c r="D493" s="179">
        <v>0.75</v>
      </c>
      <c r="E493" s="179">
        <v>0.75</v>
      </c>
      <c r="F493" s="229" t="s">
        <v>1656</v>
      </c>
      <c r="H493" s="553" t="s">
        <v>16085</v>
      </c>
    </row>
    <row r="494">
      <c r="A494" s="203" t="s">
        <v>16086</v>
      </c>
      <c r="B494" s="112">
        <v>12553.0</v>
      </c>
      <c r="C494" s="136" t="s">
        <v>15405</v>
      </c>
      <c r="D494" s="179">
        <v>0.75</v>
      </c>
      <c r="E494" s="179">
        <v>0.75</v>
      </c>
      <c r="F494" s="229" t="s">
        <v>1656</v>
      </c>
      <c r="G494" s="25" t="s">
        <v>10980</v>
      </c>
      <c r="H494" s="553"/>
    </row>
    <row r="495">
      <c r="A495" s="203" t="s">
        <v>16087</v>
      </c>
      <c r="B495" s="202"/>
      <c r="C495" s="136" t="s">
        <v>15405</v>
      </c>
      <c r="D495" s="179">
        <v>0.75</v>
      </c>
      <c r="E495" s="179">
        <v>0.75</v>
      </c>
      <c r="F495" s="229" t="s">
        <v>1656</v>
      </c>
      <c r="G495" s="25" t="s">
        <v>10980</v>
      </c>
      <c r="H495" s="553"/>
    </row>
    <row r="496">
      <c r="A496" s="203" t="s">
        <v>16088</v>
      </c>
      <c r="B496" s="202"/>
      <c r="C496" s="136" t="s">
        <v>15405</v>
      </c>
      <c r="D496" s="179">
        <v>0.75</v>
      </c>
      <c r="E496" s="179">
        <v>0.75</v>
      </c>
      <c r="F496" s="229" t="s">
        <v>1656</v>
      </c>
      <c r="G496" s="25" t="s">
        <v>10980</v>
      </c>
      <c r="H496" s="553"/>
    </row>
    <row r="497">
      <c r="A497" s="203" t="s">
        <v>16089</v>
      </c>
      <c r="B497" s="202"/>
      <c r="C497" s="136" t="s">
        <v>15405</v>
      </c>
      <c r="D497" s="179">
        <v>0.75</v>
      </c>
      <c r="E497" s="179">
        <v>0.75</v>
      </c>
      <c r="F497" s="229" t="s">
        <v>1656</v>
      </c>
      <c r="G497" s="25" t="s">
        <v>10980</v>
      </c>
      <c r="H497" s="553"/>
    </row>
    <row r="498">
      <c r="A498" s="203" t="s">
        <v>16090</v>
      </c>
      <c r="B498" s="112">
        <v>13867.0</v>
      </c>
      <c r="C498" s="136" t="s">
        <v>15405</v>
      </c>
      <c r="D498" s="179">
        <v>0.75</v>
      </c>
      <c r="E498" s="179">
        <v>0.75</v>
      </c>
      <c r="F498" s="229" t="s">
        <v>1656</v>
      </c>
      <c r="G498" s="25" t="s">
        <v>10980</v>
      </c>
      <c r="H498" s="553"/>
    </row>
    <row r="499">
      <c r="A499" s="203" t="s">
        <v>2135</v>
      </c>
      <c r="B499" s="202"/>
      <c r="C499" s="136" t="s">
        <v>15405</v>
      </c>
      <c r="D499" s="179">
        <v>0.75</v>
      </c>
      <c r="E499" s="179">
        <v>0.75</v>
      </c>
      <c r="F499" s="229" t="s">
        <v>1656</v>
      </c>
      <c r="G499" s="25" t="s">
        <v>10980</v>
      </c>
      <c r="H499" s="553"/>
    </row>
    <row r="500">
      <c r="A500" s="203" t="s">
        <v>16091</v>
      </c>
      <c r="B500" s="188">
        <v>14071.0</v>
      </c>
      <c r="C500" s="136" t="s">
        <v>15405</v>
      </c>
      <c r="D500" s="179">
        <v>0.75</v>
      </c>
      <c r="E500" s="179">
        <v>0.75</v>
      </c>
      <c r="F500" s="229" t="s">
        <v>1656</v>
      </c>
      <c r="G500" s="25" t="s">
        <v>10980</v>
      </c>
      <c r="H500" s="553"/>
    </row>
    <row r="501">
      <c r="A501" s="203" t="s">
        <v>16092</v>
      </c>
      <c r="B501" s="202"/>
      <c r="C501" s="136" t="s">
        <v>15405</v>
      </c>
      <c r="D501" s="179">
        <v>0.75</v>
      </c>
      <c r="E501" s="179">
        <v>0.75</v>
      </c>
      <c r="F501" s="229" t="s">
        <v>1656</v>
      </c>
      <c r="G501" s="25" t="s">
        <v>10980</v>
      </c>
      <c r="H501" s="553"/>
    </row>
    <row r="502">
      <c r="A502" s="231"/>
      <c r="B502" s="231"/>
      <c r="C502" s="231"/>
    </row>
    <row r="503">
      <c r="A503" s="231"/>
      <c r="B503" s="231"/>
      <c r="C503" s="231"/>
    </row>
    <row r="504">
      <c r="A504" s="231"/>
      <c r="B504" s="231"/>
      <c r="C504" s="231"/>
    </row>
    <row r="505">
      <c r="A505" s="231"/>
      <c r="B505" s="231"/>
      <c r="C505" s="231"/>
    </row>
    <row r="506">
      <c r="A506" s="231"/>
      <c r="B506" s="231"/>
      <c r="C506" s="231"/>
    </row>
    <row r="507">
      <c r="A507" s="231"/>
      <c r="B507" s="231"/>
      <c r="C507" s="231"/>
    </row>
    <row r="508">
      <c r="A508" s="231"/>
      <c r="B508" s="231"/>
      <c r="C508" s="231"/>
    </row>
    <row r="509">
      <c r="A509" s="231"/>
      <c r="B509" s="231"/>
      <c r="C509" s="231"/>
    </row>
    <row r="510">
      <c r="A510" s="231"/>
      <c r="B510" s="231"/>
      <c r="C510" s="231"/>
    </row>
    <row r="511">
      <c r="A511" s="231"/>
      <c r="B511" s="231"/>
      <c r="C511" s="231"/>
    </row>
    <row r="512">
      <c r="A512" s="231"/>
      <c r="B512" s="231"/>
      <c r="C512" s="231"/>
    </row>
    <row r="513">
      <c r="A513" s="231"/>
      <c r="B513" s="231"/>
      <c r="C513" s="231"/>
    </row>
    <row r="514">
      <c r="A514" s="231"/>
      <c r="B514" s="231"/>
      <c r="C514" s="231"/>
    </row>
    <row r="515">
      <c r="A515" s="231"/>
      <c r="B515" s="231"/>
      <c r="C515" s="231"/>
    </row>
    <row r="516">
      <c r="A516" s="231"/>
      <c r="B516" s="231"/>
      <c r="C516" s="231"/>
    </row>
    <row r="517">
      <c r="A517" s="231"/>
      <c r="B517" s="231"/>
      <c r="C517" s="231"/>
    </row>
    <row r="518">
      <c r="A518" s="231"/>
      <c r="B518" s="231"/>
      <c r="C518" s="231"/>
    </row>
    <row r="519">
      <c r="A519" s="231"/>
      <c r="B519" s="231"/>
      <c r="C519" s="231"/>
    </row>
    <row r="520">
      <c r="A520" s="231"/>
      <c r="B520" s="231"/>
      <c r="C520" s="231"/>
    </row>
    <row r="521">
      <c r="A521" s="231"/>
      <c r="B521" s="231"/>
      <c r="C521" s="231"/>
    </row>
    <row r="522">
      <c r="A522" s="231"/>
      <c r="B522" s="231"/>
      <c r="C522" s="231"/>
    </row>
    <row r="523">
      <c r="A523" s="231"/>
      <c r="B523" s="231"/>
      <c r="C523" s="231"/>
    </row>
    <row r="524">
      <c r="A524" s="231"/>
      <c r="B524" s="231"/>
      <c r="C524" s="231"/>
    </row>
    <row r="525">
      <c r="A525" s="231"/>
      <c r="B525" s="231"/>
      <c r="C525" s="231"/>
    </row>
    <row r="526">
      <c r="A526" s="231"/>
      <c r="B526" s="231"/>
      <c r="C526" s="231"/>
    </row>
    <row r="527">
      <c r="A527" s="231"/>
      <c r="B527" s="231"/>
      <c r="C527" s="231"/>
    </row>
    <row r="528">
      <c r="A528" s="231"/>
      <c r="B528" s="231"/>
      <c r="C528" s="231"/>
    </row>
    <row r="529">
      <c r="A529" s="231"/>
      <c r="B529" s="231"/>
      <c r="C529" s="231"/>
    </row>
    <row r="530">
      <c r="A530" s="231"/>
      <c r="B530" s="231"/>
      <c r="C530" s="231"/>
    </row>
    <row r="531">
      <c r="A531" s="231"/>
      <c r="B531" s="231"/>
      <c r="C531" s="231"/>
    </row>
    <row r="532">
      <c r="A532" s="231"/>
      <c r="B532" s="231"/>
      <c r="C532" s="231"/>
    </row>
    <row r="533">
      <c r="A533" s="231"/>
      <c r="B533" s="231"/>
      <c r="C533" s="231"/>
    </row>
    <row r="534">
      <c r="A534" s="231"/>
      <c r="B534" s="231"/>
      <c r="C534" s="231"/>
    </row>
    <row r="535">
      <c r="A535" s="231"/>
      <c r="B535" s="231"/>
      <c r="C535" s="231"/>
    </row>
    <row r="536">
      <c r="A536" s="231"/>
      <c r="B536" s="231"/>
      <c r="C536" s="231"/>
    </row>
    <row r="537">
      <c r="A537" s="231"/>
      <c r="B537" s="231"/>
      <c r="C537" s="231"/>
    </row>
    <row r="538">
      <c r="A538" s="231"/>
      <c r="B538" s="231"/>
      <c r="C538" s="231"/>
    </row>
    <row r="539">
      <c r="A539" s="231"/>
      <c r="B539" s="231"/>
      <c r="C539" s="231"/>
    </row>
    <row r="540">
      <c r="A540" s="231"/>
      <c r="B540" s="231"/>
      <c r="C540" s="231"/>
    </row>
    <row r="541">
      <c r="A541" s="231"/>
      <c r="B541" s="231"/>
      <c r="C541" s="231"/>
    </row>
    <row r="542">
      <c r="A542" s="231"/>
      <c r="B542" s="231"/>
      <c r="C542" s="231"/>
    </row>
    <row r="543">
      <c r="A543" s="231"/>
      <c r="B543" s="231"/>
      <c r="C543" s="231"/>
    </row>
    <row r="544">
      <c r="A544" s="231"/>
      <c r="B544" s="231"/>
      <c r="C544" s="231"/>
    </row>
    <row r="545">
      <c r="A545" s="231"/>
      <c r="B545" s="231"/>
      <c r="C545" s="231"/>
    </row>
    <row r="546">
      <c r="A546" s="231"/>
      <c r="B546" s="231"/>
      <c r="C546" s="231"/>
    </row>
    <row r="547">
      <c r="A547" s="231"/>
      <c r="B547" s="231"/>
      <c r="C547" s="231"/>
    </row>
    <row r="548">
      <c r="A548" s="231"/>
      <c r="B548" s="231"/>
      <c r="C548" s="231"/>
    </row>
    <row r="549">
      <c r="A549" s="231"/>
      <c r="B549" s="231"/>
      <c r="C549" s="231"/>
    </row>
    <row r="550">
      <c r="A550" s="231"/>
      <c r="B550" s="231"/>
      <c r="C550" s="231"/>
    </row>
    <row r="551">
      <c r="A551" s="231"/>
      <c r="B551" s="231"/>
      <c r="C551" s="231"/>
    </row>
    <row r="552">
      <c r="A552" s="231"/>
      <c r="B552" s="231"/>
      <c r="C552" s="231"/>
    </row>
    <row r="553">
      <c r="A553" s="231"/>
      <c r="B553" s="231"/>
      <c r="C553" s="231"/>
    </row>
    <row r="554">
      <c r="A554" s="231"/>
      <c r="B554" s="231"/>
      <c r="C554" s="231"/>
    </row>
    <row r="555">
      <c r="A555" s="231"/>
      <c r="B555" s="231"/>
      <c r="C555" s="231"/>
    </row>
    <row r="556">
      <c r="A556" s="231"/>
      <c r="B556" s="231"/>
      <c r="C556" s="231"/>
    </row>
    <row r="557">
      <c r="A557" s="231"/>
      <c r="B557" s="231"/>
      <c r="C557" s="231"/>
    </row>
    <row r="558">
      <c r="A558" s="231"/>
      <c r="B558" s="231"/>
      <c r="C558" s="231"/>
    </row>
    <row r="559">
      <c r="A559" s="231"/>
      <c r="B559" s="231"/>
      <c r="C559" s="231"/>
    </row>
    <row r="560">
      <c r="A560" s="231"/>
      <c r="B560" s="231"/>
      <c r="C560" s="231"/>
    </row>
    <row r="561">
      <c r="A561" s="231"/>
      <c r="B561" s="231"/>
      <c r="C561" s="231"/>
    </row>
    <row r="562">
      <c r="A562" s="231"/>
      <c r="B562" s="231"/>
      <c r="C562" s="231"/>
    </row>
    <row r="563">
      <c r="A563" s="231"/>
      <c r="B563" s="231"/>
      <c r="C563" s="231"/>
    </row>
    <row r="564">
      <c r="A564" s="231"/>
      <c r="B564" s="231"/>
      <c r="C564" s="231"/>
    </row>
    <row r="565">
      <c r="A565" s="231"/>
      <c r="B565" s="231"/>
      <c r="C565" s="231"/>
    </row>
    <row r="566">
      <c r="A566" s="231"/>
      <c r="B566" s="231"/>
      <c r="C566" s="231"/>
    </row>
    <row r="567">
      <c r="A567" s="231"/>
      <c r="B567" s="231"/>
      <c r="C567" s="231"/>
    </row>
    <row r="568">
      <c r="A568" s="231"/>
      <c r="B568" s="231"/>
      <c r="C568" s="231"/>
    </row>
    <row r="569">
      <c r="A569" s="231"/>
      <c r="B569" s="231"/>
      <c r="C569" s="231"/>
    </row>
    <row r="570">
      <c r="A570" s="231"/>
      <c r="B570" s="231"/>
      <c r="C570" s="231"/>
    </row>
    <row r="571">
      <c r="A571" s="231"/>
      <c r="B571" s="231"/>
      <c r="C571" s="231"/>
    </row>
    <row r="572">
      <c r="A572" s="231"/>
      <c r="B572" s="231"/>
      <c r="C572" s="231"/>
    </row>
    <row r="573">
      <c r="A573" s="231"/>
      <c r="B573" s="231"/>
      <c r="C573" s="231"/>
    </row>
    <row r="574">
      <c r="A574" s="231"/>
      <c r="B574" s="231"/>
      <c r="C574" s="231"/>
    </row>
    <row r="575">
      <c r="A575" s="231"/>
      <c r="B575" s="231"/>
      <c r="C575" s="231"/>
    </row>
    <row r="576">
      <c r="A576" s="231"/>
      <c r="B576" s="231"/>
      <c r="C576" s="231"/>
    </row>
    <row r="577">
      <c r="A577" s="231"/>
      <c r="B577" s="231"/>
      <c r="C577" s="231"/>
    </row>
    <row r="578">
      <c r="A578" s="231"/>
      <c r="B578" s="231"/>
      <c r="C578" s="231"/>
    </row>
    <row r="579">
      <c r="A579" s="231"/>
      <c r="B579" s="231"/>
      <c r="C579" s="231"/>
    </row>
    <row r="580">
      <c r="A580" s="231"/>
      <c r="B580" s="231"/>
      <c r="C580" s="231"/>
    </row>
    <row r="581">
      <c r="A581" s="231"/>
      <c r="B581" s="231"/>
      <c r="C581" s="231"/>
    </row>
    <row r="582">
      <c r="A582" s="231"/>
      <c r="B582" s="231"/>
      <c r="C582" s="231"/>
    </row>
    <row r="583">
      <c r="A583" s="231"/>
      <c r="B583" s="231"/>
      <c r="C583" s="231"/>
    </row>
    <row r="584">
      <c r="A584" s="231"/>
      <c r="B584" s="231"/>
      <c r="C584" s="231"/>
    </row>
    <row r="585">
      <c r="A585" s="231"/>
      <c r="B585" s="231"/>
      <c r="C585" s="231"/>
    </row>
    <row r="586">
      <c r="A586" s="231"/>
      <c r="B586" s="231"/>
      <c r="C586" s="231"/>
    </row>
    <row r="587">
      <c r="A587" s="231"/>
      <c r="B587" s="231"/>
      <c r="C587" s="231"/>
    </row>
    <row r="588">
      <c r="A588" s="231"/>
      <c r="B588" s="231"/>
      <c r="C588" s="231"/>
    </row>
    <row r="589">
      <c r="A589" s="231"/>
      <c r="B589" s="231"/>
      <c r="C589" s="231"/>
    </row>
    <row r="590">
      <c r="A590" s="231"/>
      <c r="B590" s="231"/>
      <c r="C590" s="231"/>
    </row>
    <row r="591">
      <c r="A591" s="231"/>
      <c r="B591" s="231"/>
      <c r="C591" s="231"/>
    </row>
    <row r="592">
      <c r="A592" s="231"/>
      <c r="B592" s="231"/>
      <c r="C592" s="231"/>
    </row>
    <row r="593">
      <c r="A593" s="231"/>
      <c r="B593" s="231"/>
      <c r="C593" s="231"/>
    </row>
    <row r="594">
      <c r="A594" s="231"/>
      <c r="B594" s="231"/>
      <c r="C594" s="231"/>
    </row>
    <row r="595">
      <c r="A595" s="231"/>
      <c r="B595" s="231"/>
      <c r="C595" s="231"/>
    </row>
    <row r="596">
      <c r="A596" s="231"/>
      <c r="B596" s="231"/>
      <c r="C596" s="231"/>
    </row>
    <row r="597">
      <c r="A597" s="231"/>
      <c r="B597" s="231"/>
      <c r="C597" s="231"/>
    </row>
    <row r="598">
      <c r="A598" s="231"/>
      <c r="B598" s="231"/>
      <c r="C598" s="231"/>
    </row>
    <row r="599">
      <c r="A599" s="231"/>
      <c r="B599" s="231"/>
      <c r="C599" s="231"/>
    </row>
    <row r="600">
      <c r="A600" s="231"/>
      <c r="B600" s="231"/>
      <c r="C600" s="231"/>
    </row>
    <row r="601">
      <c r="A601" s="231"/>
      <c r="B601" s="231"/>
      <c r="C601" s="231"/>
    </row>
    <row r="602">
      <c r="A602" s="231"/>
      <c r="B602" s="231"/>
      <c r="C602" s="231"/>
    </row>
    <row r="603">
      <c r="A603" s="231"/>
      <c r="B603" s="231"/>
      <c r="C603" s="231"/>
    </row>
    <row r="604">
      <c r="A604" s="231"/>
      <c r="B604" s="231"/>
      <c r="C604" s="231"/>
    </row>
    <row r="605">
      <c r="A605" s="231"/>
      <c r="B605" s="231"/>
      <c r="C605" s="231"/>
    </row>
    <row r="606">
      <c r="A606" s="231"/>
      <c r="B606" s="231"/>
      <c r="C606" s="231"/>
    </row>
    <row r="607">
      <c r="A607" s="231"/>
      <c r="B607" s="231"/>
      <c r="C607" s="231"/>
    </row>
    <row r="608">
      <c r="A608" s="231"/>
      <c r="B608" s="231"/>
      <c r="C608" s="231"/>
    </row>
    <row r="609">
      <c r="A609" s="231"/>
      <c r="B609" s="231"/>
      <c r="C609" s="231"/>
    </row>
    <row r="610">
      <c r="A610" s="231"/>
      <c r="B610" s="231"/>
      <c r="C610" s="231"/>
    </row>
    <row r="611">
      <c r="A611" s="231"/>
      <c r="B611" s="231"/>
      <c r="C611" s="231"/>
    </row>
    <row r="612">
      <c r="A612" s="231"/>
      <c r="B612" s="231"/>
      <c r="C612" s="231"/>
    </row>
    <row r="613">
      <c r="A613" s="231"/>
      <c r="B613" s="231"/>
      <c r="C613" s="231"/>
    </row>
    <row r="614">
      <c r="A614" s="231"/>
      <c r="B614" s="231"/>
      <c r="C614" s="231"/>
    </row>
    <row r="615">
      <c r="A615" s="231"/>
      <c r="B615" s="231"/>
      <c r="C615" s="231"/>
    </row>
    <row r="616">
      <c r="A616" s="231"/>
      <c r="B616" s="231"/>
      <c r="C616" s="231"/>
    </row>
    <row r="617">
      <c r="A617" s="231"/>
      <c r="B617" s="231"/>
      <c r="C617" s="231"/>
    </row>
    <row r="618">
      <c r="A618" s="231"/>
      <c r="B618" s="231"/>
      <c r="C618" s="231"/>
    </row>
    <row r="619">
      <c r="A619" s="231"/>
      <c r="B619" s="231"/>
      <c r="C619" s="231"/>
    </row>
    <row r="620">
      <c r="A620" s="231"/>
      <c r="B620" s="231"/>
      <c r="C620" s="231"/>
    </row>
    <row r="621">
      <c r="A621" s="231"/>
      <c r="B621" s="231"/>
      <c r="C621" s="231"/>
    </row>
    <row r="622">
      <c r="A622" s="231"/>
      <c r="B622" s="231"/>
      <c r="C622" s="231"/>
    </row>
    <row r="623">
      <c r="A623" s="231"/>
      <c r="B623" s="231"/>
      <c r="C623" s="231"/>
    </row>
    <row r="624">
      <c r="A624" s="231"/>
      <c r="B624" s="231"/>
      <c r="C624" s="231"/>
    </row>
    <row r="625">
      <c r="A625" s="231"/>
      <c r="B625" s="231"/>
      <c r="C625" s="231"/>
    </row>
    <row r="626">
      <c r="A626" s="231"/>
      <c r="B626" s="231"/>
      <c r="C626" s="231"/>
    </row>
    <row r="627">
      <c r="A627" s="231"/>
      <c r="B627" s="231"/>
      <c r="C627" s="231"/>
    </row>
    <row r="628">
      <c r="A628" s="231"/>
      <c r="B628" s="231"/>
      <c r="C628" s="231"/>
    </row>
    <row r="629">
      <c r="A629" s="231"/>
      <c r="B629" s="231"/>
      <c r="C629" s="231"/>
    </row>
    <row r="630">
      <c r="A630" s="231"/>
      <c r="B630" s="231"/>
      <c r="C630" s="231"/>
    </row>
    <row r="631">
      <c r="A631" s="231"/>
      <c r="B631" s="231"/>
      <c r="C631" s="231"/>
    </row>
    <row r="632">
      <c r="A632" s="231"/>
      <c r="B632" s="231"/>
      <c r="C632" s="231"/>
    </row>
    <row r="633">
      <c r="A633" s="231"/>
      <c r="B633" s="231"/>
      <c r="C633" s="231"/>
    </row>
    <row r="634">
      <c r="A634" s="231"/>
      <c r="B634" s="231"/>
      <c r="C634" s="231"/>
    </row>
    <row r="635">
      <c r="A635" s="231"/>
      <c r="B635" s="231"/>
      <c r="C635" s="231"/>
    </row>
    <row r="636">
      <c r="A636" s="231"/>
      <c r="B636" s="231"/>
      <c r="C636" s="231"/>
    </row>
    <row r="637">
      <c r="A637" s="231"/>
      <c r="B637" s="231"/>
      <c r="C637" s="231"/>
    </row>
    <row r="638">
      <c r="A638" s="231"/>
      <c r="B638" s="231"/>
      <c r="C638" s="231"/>
    </row>
    <row r="639">
      <c r="A639" s="231"/>
      <c r="B639" s="231"/>
      <c r="C639" s="231"/>
    </row>
    <row r="640">
      <c r="A640" s="231"/>
      <c r="B640" s="231"/>
      <c r="C640" s="231"/>
    </row>
    <row r="641">
      <c r="A641" s="231"/>
      <c r="B641" s="231"/>
      <c r="C641" s="231"/>
    </row>
    <row r="642">
      <c r="A642" s="231"/>
      <c r="B642" s="231"/>
      <c r="C642" s="231"/>
    </row>
    <row r="643">
      <c r="A643" s="231"/>
      <c r="B643" s="231"/>
      <c r="C643" s="231"/>
    </row>
    <row r="644">
      <c r="A644" s="231"/>
      <c r="B644" s="231"/>
      <c r="C644" s="231"/>
    </row>
    <row r="645">
      <c r="A645" s="231"/>
      <c r="B645" s="231"/>
      <c r="C645" s="231"/>
    </row>
    <row r="646">
      <c r="A646" s="231"/>
      <c r="B646" s="231"/>
      <c r="C646" s="231"/>
    </row>
    <row r="647">
      <c r="A647" s="231"/>
      <c r="B647" s="231"/>
      <c r="C647" s="231"/>
    </row>
    <row r="648">
      <c r="A648" s="231"/>
      <c r="B648" s="231"/>
      <c r="C648" s="231"/>
    </row>
    <row r="649">
      <c r="A649" s="231"/>
      <c r="B649" s="231"/>
      <c r="C649" s="231"/>
    </row>
    <row r="650">
      <c r="A650" s="231"/>
      <c r="B650" s="231"/>
      <c r="C650" s="231"/>
    </row>
    <row r="651">
      <c r="A651" s="231"/>
      <c r="B651" s="231"/>
      <c r="C651" s="231"/>
    </row>
    <row r="652">
      <c r="A652" s="231"/>
      <c r="B652" s="231"/>
      <c r="C652" s="231"/>
    </row>
    <row r="653">
      <c r="A653" s="231"/>
      <c r="B653" s="231"/>
      <c r="C653" s="231"/>
    </row>
    <row r="654">
      <c r="A654" s="231"/>
      <c r="B654" s="231"/>
      <c r="C654" s="231"/>
    </row>
    <row r="655">
      <c r="A655" s="231"/>
      <c r="B655" s="231"/>
      <c r="C655" s="231"/>
    </row>
    <row r="656">
      <c r="A656" s="231"/>
      <c r="B656" s="231"/>
      <c r="C656" s="231"/>
    </row>
    <row r="657">
      <c r="A657" s="231"/>
      <c r="B657" s="231"/>
      <c r="C657" s="231"/>
    </row>
    <row r="658">
      <c r="A658" s="231"/>
      <c r="B658" s="231"/>
      <c r="C658" s="231"/>
    </row>
    <row r="659">
      <c r="A659" s="231"/>
      <c r="B659" s="231"/>
      <c r="C659" s="231"/>
    </row>
    <row r="660">
      <c r="A660" s="231"/>
      <c r="B660" s="231"/>
      <c r="C660" s="231"/>
    </row>
    <row r="661">
      <c r="A661" s="231"/>
      <c r="B661" s="231"/>
      <c r="C661" s="231"/>
    </row>
    <row r="662">
      <c r="A662" s="231"/>
      <c r="B662" s="231"/>
      <c r="C662" s="231"/>
    </row>
    <row r="663">
      <c r="A663" s="231"/>
      <c r="B663" s="231"/>
      <c r="C663" s="231"/>
    </row>
    <row r="664">
      <c r="A664" s="231"/>
      <c r="B664" s="231"/>
      <c r="C664" s="231"/>
    </row>
    <row r="665">
      <c r="A665" s="231"/>
      <c r="B665" s="231"/>
      <c r="C665" s="231"/>
    </row>
    <row r="666">
      <c r="A666" s="231"/>
      <c r="B666" s="231"/>
      <c r="C666" s="231"/>
    </row>
    <row r="667">
      <c r="A667" s="231"/>
      <c r="B667" s="231"/>
      <c r="C667" s="231"/>
    </row>
    <row r="668">
      <c r="A668" s="231"/>
      <c r="B668" s="231"/>
      <c r="C668" s="231"/>
    </row>
    <row r="669">
      <c r="A669" s="231"/>
      <c r="B669" s="231"/>
      <c r="C669" s="231"/>
    </row>
    <row r="670">
      <c r="A670" s="231"/>
      <c r="B670" s="231"/>
      <c r="C670" s="231"/>
    </row>
    <row r="671">
      <c r="A671" s="231"/>
      <c r="B671" s="231"/>
      <c r="C671" s="231"/>
    </row>
    <row r="672">
      <c r="A672" s="231"/>
      <c r="B672" s="231"/>
      <c r="C672" s="231"/>
    </row>
    <row r="673">
      <c r="A673" s="231"/>
      <c r="B673" s="231"/>
      <c r="C673" s="231"/>
    </row>
    <row r="674">
      <c r="A674" s="231"/>
      <c r="B674" s="231"/>
      <c r="C674" s="231"/>
    </row>
    <row r="675">
      <c r="A675" s="231"/>
      <c r="B675" s="231"/>
      <c r="C675" s="231"/>
    </row>
    <row r="676">
      <c r="A676" s="231"/>
      <c r="B676" s="231"/>
      <c r="C676" s="231"/>
    </row>
    <row r="677">
      <c r="A677" s="231"/>
      <c r="B677" s="231"/>
      <c r="C677" s="231"/>
    </row>
    <row r="678">
      <c r="A678" s="231"/>
      <c r="B678" s="231"/>
      <c r="C678" s="231"/>
    </row>
    <row r="679">
      <c r="A679" s="231"/>
      <c r="B679" s="231"/>
      <c r="C679" s="231"/>
    </row>
    <row r="680">
      <c r="A680" s="231"/>
      <c r="B680" s="231"/>
      <c r="C680" s="231"/>
    </row>
    <row r="681">
      <c r="A681" s="231"/>
      <c r="B681" s="231"/>
      <c r="C681" s="231"/>
    </row>
    <row r="682">
      <c r="A682" s="231"/>
      <c r="B682" s="231"/>
      <c r="C682" s="231"/>
    </row>
    <row r="683">
      <c r="A683" s="231"/>
      <c r="B683" s="231"/>
      <c r="C683" s="231"/>
    </row>
    <row r="684">
      <c r="A684" s="231"/>
      <c r="B684" s="231"/>
      <c r="C684" s="231"/>
    </row>
    <row r="685">
      <c r="A685" s="231"/>
      <c r="B685" s="231"/>
      <c r="C685" s="231"/>
    </row>
    <row r="686">
      <c r="A686" s="231"/>
      <c r="B686" s="231"/>
      <c r="C686" s="231"/>
    </row>
    <row r="687">
      <c r="A687" s="231"/>
      <c r="B687" s="231"/>
      <c r="C687" s="231"/>
    </row>
    <row r="688">
      <c r="A688" s="231"/>
      <c r="B688" s="231"/>
      <c r="C688" s="231"/>
    </row>
    <row r="689">
      <c r="A689" s="231"/>
      <c r="B689" s="231"/>
      <c r="C689" s="231"/>
    </row>
    <row r="690">
      <c r="A690" s="231"/>
      <c r="B690" s="231"/>
      <c r="C690" s="231"/>
    </row>
    <row r="691">
      <c r="A691" s="231"/>
      <c r="B691" s="231"/>
      <c r="C691" s="231"/>
    </row>
    <row r="692">
      <c r="A692" s="231"/>
      <c r="B692" s="231"/>
      <c r="C692" s="231"/>
    </row>
    <row r="693">
      <c r="A693" s="231"/>
      <c r="B693" s="231"/>
      <c r="C693" s="231"/>
    </row>
    <row r="694">
      <c r="A694" s="231"/>
      <c r="B694" s="231"/>
      <c r="C694" s="231"/>
    </row>
    <row r="695">
      <c r="A695" s="231"/>
      <c r="B695" s="231"/>
      <c r="C695" s="231"/>
    </row>
    <row r="696">
      <c r="A696" s="231"/>
      <c r="B696" s="231"/>
      <c r="C696" s="231"/>
    </row>
    <row r="697">
      <c r="A697" s="231"/>
      <c r="B697" s="231"/>
      <c r="C697" s="231"/>
    </row>
    <row r="698">
      <c r="A698" s="231"/>
      <c r="B698" s="231"/>
      <c r="C698" s="231"/>
    </row>
    <row r="699">
      <c r="A699" s="231"/>
      <c r="B699" s="231"/>
      <c r="C699" s="231"/>
    </row>
    <row r="700">
      <c r="A700" s="231"/>
      <c r="B700" s="231"/>
      <c r="C700" s="231"/>
    </row>
    <row r="701">
      <c r="A701" s="231"/>
      <c r="B701" s="231"/>
      <c r="C701" s="231"/>
    </row>
    <row r="702">
      <c r="A702" s="231"/>
      <c r="B702" s="231"/>
      <c r="C702" s="231"/>
    </row>
    <row r="703">
      <c r="A703" s="231"/>
      <c r="B703" s="231"/>
      <c r="C703" s="231"/>
    </row>
    <row r="704">
      <c r="A704" s="231"/>
      <c r="B704" s="231"/>
      <c r="C704" s="231"/>
    </row>
    <row r="705">
      <c r="A705" s="231"/>
      <c r="B705" s="231"/>
      <c r="C705" s="231"/>
    </row>
    <row r="706">
      <c r="A706" s="231"/>
      <c r="B706" s="231"/>
      <c r="C706" s="231"/>
    </row>
    <row r="707">
      <c r="A707" s="231"/>
      <c r="B707" s="231"/>
      <c r="C707" s="231"/>
    </row>
    <row r="708">
      <c r="A708" s="231"/>
      <c r="B708" s="231"/>
      <c r="C708" s="231"/>
    </row>
    <row r="709">
      <c r="A709" s="231"/>
      <c r="B709" s="231"/>
      <c r="C709" s="231"/>
    </row>
    <row r="710">
      <c r="A710" s="231"/>
      <c r="B710" s="231"/>
      <c r="C710" s="231"/>
    </row>
    <row r="711">
      <c r="A711" s="231"/>
      <c r="B711" s="231"/>
      <c r="C711" s="231"/>
    </row>
    <row r="712">
      <c r="A712" s="231"/>
      <c r="B712" s="231"/>
      <c r="C712" s="231"/>
    </row>
    <row r="713">
      <c r="A713" s="231"/>
      <c r="B713" s="231"/>
      <c r="C713" s="231"/>
    </row>
    <row r="714">
      <c r="A714" s="231"/>
      <c r="B714" s="231"/>
      <c r="C714" s="231"/>
    </row>
    <row r="715">
      <c r="A715" s="231"/>
      <c r="B715" s="231"/>
      <c r="C715" s="231"/>
    </row>
    <row r="716">
      <c r="A716" s="231"/>
      <c r="B716" s="231"/>
      <c r="C716" s="231"/>
    </row>
    <row r="717">
      <c r="A717" s="231"/>
      <c r="B717" s="231"/>
      <c r="C717" s="231"/>
    </row>
    <row r="718">
      <c r="A718" s="231"/>
      <c r="B718" s="231"/>
      <c r="C718" s="231"/>
    </row>
    <row r="719">
      <c r="A719" s="231"/>
      <c r="B719" s="231"/>
      <c r="C719" s="231"/>
    </row>
    <row r="720">
      <c r="A720" s="231"/>
      <c r="B720" s="231"/>
      <c r="C720" s="231"/>
    </row>
    <row r="721">
      <c r="A721" s="231"/>
      <c r="B721" s="231"/>
      <c r="C721" s="231"/>
    </row>
    <row r="722">
      <c r="A722" s="231"/>
      <c r="B722" s="231"/>
      <c r="C722" s="231"/>
    </row>
    <row r="723">
      <c r="A723" s="231"/>
      <c r="B723" s="231"/>
      <c r="C723" s="231"/>
    </row>
    <row r="724">
      <c r="A724" s="231"/>
      <c r="B724" s="231"/>
      <c r="C724" s="231"/>
    </row>
    <row r="725">
      <c r="A725" s="231"/>
      <c r="B725" s="231"/>
      <c r="C725" s="231"/>
    </row>
    <row r="726">
      <c r="A726" s="231"/>
      <c r="B726" s="231"/>
      <c r="C726" s="231"/>
    </row>
    <row r="727">
      <c r="A727" s="231"/>
      <c r="B727" s="231"/>
      <c r="C727" s="231"/>
    </row>
    <row r="728">
      <c r="A728" s="231"/>
      <c r="B728" s="231"/>
      <c r="C728" s="231"/>
    </row>
    <row r="729">
      <c r="A729" s="231"/>
      <c r="B729" s="231"/>
      <c r="C729" s="231"/>
    </row>
    <row r="730">
      <c r="A730" s="231"/>
      <c r="B730" s="231"/>
      <c r="C730" s="231"/>
    </row>
    <row r="731">
      <c r="A731" s="231"/>
      <c r="B731" s="231"/>
      <c r="C731" s="231"/>
    </row>
    <row r="732">
      <c r="A732" s="231"/>
      <c r="B732" s="231"/>
      <c r="C732" s="231"/>
    </row>
    <row r="733">
      <c r="A733" s="231"/>
      <c r="B733" s="231"/>
      <c r="C733" s="231"/>
    </row>
    <row r="734">
      <c r="A734" s="231"/>
      <c r="B734" s="231"/>
      <c r="C734" s="231"/>
    </row>
    <row r="735">
      <c r="A735" s="231"/>
      <c r="B735" s="231"/>
      <c r="C735" s="231"/>
    </row>
    <row r="736">
      <c r="A736" s="231"/>
      <c r="B736" s="231"/>
      <c r="C736" s="231"/>
    </row>
    <row r="737">
      <c r="A737" s="231"/>
      <c r="B737" s="231"/>
      <c r="C737" s="231"/>
    </row>
    <row r="738">
      <c r="A738" s="231"/>
      <c r="B738" s="231"/>
      <c r="C738" s="231"/>
    </row>
    <row r="739">
      <c r="A739" s="231"/>
      <c r="B739" s="231"/>
      <c r="C739" s="231"/>
    </row>
    <row r="740">
      <c r="A740" s="231"/>
      <c r="B740" s="231"/>
      <c r="C740" s="231"/>
    </row>
    <row r="741">
      <c r="A741" s="231"/>
      <c r="B741" s="231"/>
      <c r="C741" s="231"/>
    </row>
    <row r="742">
      <c r="A742" s="231"/>
      <c r="B742" s="231"/>
      <c r="C742" s="231"/>
    </row>
    <row r="743">
      <c r="A743" s="231"/>
      <c r="B743" s="231"/>
      <c r="C743" s="231"/>
    </row>
    <row r="744">
      <c r="A744" s="231"/>
      <c r="B744" s="231"/>
      <c r="C744" s="231"/>
    </row>
    <row r="745">
      <c r="A745" s="231"/>
      <c r="B745" s="231"/>
      <c r="C745" s="231"/>
    </row>
    <row r="746">
      <c r="A746" s="231"/>
      <c r="B746" s="231"/>
      <c r="C746" s="231"/>
    </row>
    <row r="747">
      <c r="A747" s="231"/>
      <c r="B747" s="231"/>
      <c r="C747" s="231"/>
    </row>
    <row r="748">
      <c r="A748" s="231"/>
      <c r="B748" s="231"/>
      <c r="C748" s="231"/>
    </row>
    <row r="749">
      <c r="A749" s="231"/>
      <c r="B749" s="231"/>
      <c r="C749" s="231"/>
    </row>
    <row r="750">
      <c r="A750" s="231"/>
      <c r="B750" s="231"/>
      <c r="C750" s="231"/>
    </row>
    <row r="751">
      <c r="A751" s="231"/>
      <c r="B751" s="231"/>
      <c r="C751" s="231"/>
    </row>
    <row r="752">
      <c r="A752" s="231"/>
      <c r="B752" s="231"/>
      <c r="C752" s="231"/>
    </row>
    <row r="753">
      <c r="A753" s="231"/>
      <c r="B753" s="231"/>
      <c r="C753" s="231"/>
    </row>
    <row r="754">
      <c r="A754" s="231"/>
      <c r="B754" s="231"/>
      <c r="C754" s="231"/>
    </row>
    <row r="755">
      <c r="A755" s="231"/>
      <c r="B755" s="231"/>
      <c r="C755" s="231"/>
    </row>
    <row r="756">
      <c r="A756" s="231"/>
      <c r="B756" s="231"/>
      <c r="C756" s="231"/>
    </row>
    <row r="757">
      <c r="A757" s="231"/>
      <c r="B757" s="231"/>
      <c r="C757" s="231"/>
    </row>
    <row r="758">
      <c r="A758" s="231"/>
      <c r="B758" s="231"/>
      <c r="C758" s="231"/>
    </row>
    <row r="759">
      <c r="A759" s="231"/>
      <c r="B759" s="231"/>
      <c r="C759" s="231"/>
    </row>
    <row r="760">
      <c r="A760" s="231"/>
      <c r="B760" s="231"/>
      <c r="C760" s="231"/>
    </row>
    <row r="761">
      <c r="A761" s="231"/>
      <c r="B761" s="231"/>
      <c r="C761" s="231"/>
    </row>
    <row r="762">
      <c r="A762" s="231"/>
      <c r="B762" s="231"/>
      <c r="C762" s="231"/>
    </row>
    <row r="763">
      <c r="A763" s="231"/>
      <c r="B763" s="231"/>
      <c r="C763" s="231"/>
    </row>
    <row r="764">
      <c r="A764" s="231"/>
      <c r="B764" s="231"/>
      <c r="C764" s="231"/>
    </row>
    <row r="765">
      <c r="A765" s="231"/>
      <c r="B765" s="231"/>
      <c r="C765" s="231"/>
    </row>
    <row r="766">
      <c r="A766" s="231"/>
      <c r="B766" s="231"/>
      <c r="C766" s="231"/>
    </row>
    <row r="767">
      <c r="A767" s="231"/>
      <c r="B767" s="231"/>
      <c r="C767" s="231"/>
    </row>
    <row r="768">
      <c r="A768" s="231"/>
      <c r="B768" s="231"/>
      <c r="C768" s="231"/>
    </row>
    <row r="769">
      <c r="A769" s="231"/>
      <c r="B769" s="231"/>
      <c r="C769" s="231"/>
    </row>
    <row r="770">
      <c r="A770" s="231"/>
      <c r="B770" s="231"/>
      <c r="C770" s="231"/>
    </row>
    <row r="771">
      <c r="A771" s="231"/>
      <c r="B771" s="231"/>
      <c r="C771" s="231"/>
    </row>
    <row r="772">
      <c r="A772" s="231"/>
      <c r="B772" s="231"/>
      <c r="C772" s="231"/>
    </row>
    <row r="773">
      <c r="A773" s="231"/>
      <c r="B773" s="231"/>
      <c r="C773" s="231"/>
    </row>
    <row r="774">
      <c r="A774" s="231"/>
      <c r="B774" s="231"/>
      <c r="C774" s="231"/>
    </row>
    <row r="775">
      <c r="A775" s="231"/>
      <c r="B775" s="231"/>
      <c r="C775" s="231"/>
    </row>
    <row r="776">
      <c r="A776" s="231"/>
      <c r="B776" s="231"/>
      <c r="C776" s="231"/>
    </row>
    <row r="777">
      <c r="A777" s="231"/>
      <c r="B777" s="231"/>
      <c r="C777" s="231"/>
    </row>
    <row r="778">
      <c r="A778" s="231"/>
      <c r="B778" s="231"/>
      <c r="C778" s="231"/>
    </row>
    <row r="779">
      <c r="A779" s="231"/>
      <c r="B779" s="231"/>
      <c r="C779" s="231"/>
    </row>
    <row r="780">
      <c r="A780" s="231"/>
      <c r="B780" s="231"/>
      <c r="C780" s="231"/>
    </row>
    <row r="781">
      <c r="A781" s="231"/>
      <c r="B781" s="231"/>
      <c r="C781" s="231"/>
    </row>
    <row r="782">
      <c r="A782" s="231"/>
      <c r="B782" s="231"/>
      <c r="C782" s="231"/>
    </row>
    <row r="783">
      <c r="A783" s="231"/>
      <c r="B783" s="231"/>
      <c r="C783" s="231"/>
    </row>
    <row r="784">
      <c r="A784" s="231"/>
      <c r="B784" s="231"/>
      <c r="C784" s="231"/>
    </row>
    <row r="785">
      <c r="A785" s="231"/>
      <c r="B785" s="231"/>
      <c r="C785" s="231"/>
    </row>
    <row r="786">
      <c r="A786" s="231"/>
      <c r="B786" s="231"/>
      <c r="C786" s="231"/>
    </row>
    <row r="787">
      <c r="A787" s="231"/>
      <c r="B787" s="231"/>
      <c r="C787" s="231"/>
    </row>
    <row r="788">
      <c r="A788" s="231"/>
      <c r="B788" s="231"/>
      <c r="C788" s="231"/>
    </row>
    <row r="789">
      <c r="A789" s="231"/>
      <c r="B789" s="231"/>
      <c r="C789" s="231"/>
    </row>
    <row r="790">
      <c r="A790" s="231"/>
      <c r="B790" s="231"/>
      <c r="C790" s="231"/>
    </row>
    <row r="791">
      <c r="A791" s="231"/>
      <c r="B791" s="231"/>
      <c r="C791" s="231"/>
    </row>
    <row r="792">
      <c r="A792" s="231"/>
      <c r="B792" s="231"/>
      <c r="C792" s="231"/>
    </row>
    <row r="793">
      <c r="A793" s="231"/>
      <c r="B793" s="231"/>
      <c r="C793" s="231"/>
    </row>
    <row r="794">
      <c r="A794" s="231"/>
      <c r="B794" s="231"/>
      <c r="C794" s="231"/>
    </row>
    <row r="795">
      <c r="A795" s="231"/>
      <c r="B795" s="231"/>
      <c r="C795" s="231"/>
    </row>
    <row r="796">
      <c r="A796" s="231"/>
      <c r="B796" s="231"/>
      <c r="C796" s="231"/>
    </row>
    <row r="797">
      <c r="A797" s="231"/>
      <c r="B797" s="231"/>
      <c r="C797" s="231"/>
    </row>
    <row r="798">
      <c r="A798" s="231"/>
      <c r="B798" s="231"/>
      <c r="C798" s="231"/>
    </row>
    <row r="799">
      <c r="A799" s="231"/>
      <c r="B799" s="231"/>
      <c r="C799" s="231"/>
    </row>
    <row r="800">
      <c r="A800" s="231"/>
      <c r="B800" s="231"/>
      <c r="C800" s="231"/>
    </row>
    <row r="801">
      <c r="A801" s="231"/>
      <c r="B801" s="231"/>
      <c r="C801" s="231"/>
    </row>
    <row r="802">
      <c r="A802" s="231"/>
      <c r="B802" s="231"/>
      <c r="C802" s="231"/>
    </row>
    <row r="803">
      <c r="A803" s="231"/>
      <c r="B803" s="231"/>
      <c r="C803" s="231"/>
    </row>
    <row r="804">
      <c r="A804" s="231"/>
      <c r="B804" s="231"/>
      <c r="C804" s="231"/>
    </row>
    <row r="805">
      <c r="A805" s="231"/>
      <c r="B805" s="231"/>
      <c r="C805" s="231"/>
    </row>
    <row r="806">
      <c r="A806" s="231"/>
      <c r="B806" s="231"/>
      <c r="C806" s="231"/>
    </row>
    <row r="807">
      <c r="A807" s="231"/>
      <c r="B807" s="231"/>
      <c r="C807" s="231"/>
    </row>
    <row r="808">
      <c r="A808" s="231"/>
      <c r="B808" s="231"/>
      <c r="C808" s="231"/>
    </row>
    <row r="809">
      <c r="A809" s="231"/>
      <c r="B809" s="231"/>
      <c r="C809" s="231"/>
    </row>
    <row r="810">
      <c r="A810" s="231"/>
      <c r="B810" s="231"/>
      <c r="C810" s="231"/>
    </row>
    <row r="811">
      <c r="A811" s="231"/>
      <c r="B811" s="231"/>
      <c r="C811" s="231"/>
    </row>
    <row r="812">
      <c r="A812" s="231"/>
      <c r="B812" s="231"/>
      <c r="C812" s="231"/>
    </row>
    <row r="813">
      <c r="A813" s="231"/>
      <c r="B813" s="231"/>
      <c r="C813" s="231"/>
    </row>
    <row r="814">
      <c r="A814" s="231"/>
      <c r="B814" s="231"/>
      <c r="C814" s="231"/>
    </row>
    <row r="815">
      <c r="A815" s="231"/>
      <c r="B815" s="231"/>
      <c r="C815" s="231"/>
    </row>
    <row r="816">
      <c r="A816" s="231"/>
      <c r="B816" s="231"/>
      <c r="C816" s="231"/>
    </row>
    <row r="817">
      <c r="A817" s="231"/>
      <c r="B817" s="231"/>
      <c r="C817" s="231"/>
    </row>
    <row r="818">
      <c r="A818" s="231"/>
      <c r="B818" s="231"/>
      <c r="C818" s="231"/>
    </row>
    <row r="819">
      <c r="A819" s="231"/>
      <c r="B819" s="231"/>
      <c r="C819" s="231"/>
    </row>
    <row r="820">
      <c r="A820" s="231"/>
      <c r="B820" s="231"/>
      <c r="C820" s="231"/>
    </row>
    <row r="821">
      <c r="A821" s="231"/>
      <c r="B821" s="231"/>
      <c r="C821" s="231"/>
    </row>
    <row r="822">
      <c r="A822" s="231"/>
      <c r="B822" s="231"/>
      <c r="C822" s="231"/>
    </row>
    <row r="823">
      <c r="A823" s="231"/>
      <c r="B823" s="231"/>
      <c r="C823" s="231"/>
    </row>
    <row r="824">
      <c r="A824" s="231"/>
      <c r="B824" s="231"/>
      <c r="C824" s="231"/>
    </row>
    <row r="825">
      <c r="A825" s="231"/>
      <c r="B825" s="231"/>
      <c r="C825" s="231"/>
    </row>
    <row r="826">
      <c r="A826" s="231"/>
      <c r="B826" s="231"/>
      <c r="C826" s="231"/>
    </row>
    <row r="827">
      <c r="A827" s="231"/>
      <c r="B827" s="231"/>
      <c r="C827" s="231"/>
    </row>
    <row r="828">
      <c r="A828" s="231"/>
      <c r="B828" s="231"/>
      <c r="C828" s="231"/>
    </row>
    <row r="829">
      <c r="A829" s="231"/>
      <c r="B829" s="231"/>
      <c r="C829" s="231"/>
    </row>
    <row r="830">
      <c r="A830" s="231"/>
      <c r="B830" s="231"/>
      <c r="C830" s="231"/>
    </row>
    <row r="831">
      <c r="A831" s="231"/>
      <c r="B831" s="231"/>
      <c r="C831" s="231"/>
    </row>
    <row r="832">
      <c r="A832" s="231"/>
      <c r="B832" s="231"/>
      <c r="C832" s="231"/>
    </row>
    <row r="833">
      <c r="A833" s="231"/>
      <c r="B833" s="231"/>
      <c r="C833" s="231"/>
    </row>
    <row r="834">
      <c r="A834" s="231"/>
      <c r="B834" s="231"/>
      <c r="C834" s="231"/>
    </row>
    <row r="835">
      <c r="A835" s="231"/>
      <c r="B835" s="231"/>
      <c r="C835" s="231"/>
    </row>
    <row r="836">
      <c r="A836" s="231"/>
      <c r="B836" s="231"/>
      <c r="C836" s="231"/>
    </row>
    <row r="837">
      <c r="A837" s="231"/>
      <c r="B837" s="231"/>
      <c r="C837" s="231"/>
    </row>
    <row r="838">
      <c r="A838" s="231"/>
      <c r="B838" s="231"/>
      <c r="C838" s="231"/>
    </row>
    <row r="839">
      <c r="A839" s="231"/>
      <c r="B839" s="231"/>
      <c r="C839" s="231"/>
    </row>
    <row r="840">
      <c r="A840" s="231"/>
      <c r="B840" s="231"/>
      <c r="C840" s="231"/>
    </row>
    <row r="841">
      <c r="A841" s="231"/>
      <c r="B841" s="231"/>
      <c r="C841" s="231"/>
    </row>
    <row r="842">
      <c r="A842" s="231"/>
      <c r="B842" s="231"/>
      <c r="C842" s="231"/>
    </row>
    <row r="843">
      <c r="A843" s="231"/>
      <c r="B843" s="231"/>
      <c r="C843" s="231"/>
    </row>
    <row r="844">
      <c r="A844" s="231"/>
      <c r="B844" s="231"/>
      <c r="C844" s="231"/>
    </row>
    <row r="845">
      <c r="A845" s="231"/>
      <c r="B845" s="231"/>
      <c r="C845" s="231"/>
    </row>
    <row r="846">
      <c r="A846" s="231"/>
      <c r="B846" s="231"/>
      <c r="C846" s="231"/>
    </row>
    <row r="847">
      <c r="A847" s="231"/>
      <c r="B847" s="231"/>
      <c r="C847" s="231"/>
    </row>
    <row r="848">
      <c r="A848" s="231"/>
      <c r="B848" s="231"/>
      <c r="C848" s="231"/>
    </row>
    <row r="849">
      <c r="A849" s="231"/>
      <c r="B849" s="231"/>
      <c r="C849" s="231"/>
    </row>
    <row r="850">
      <c r="A850" s="231"/>
      <c r="B850" s="231"/>
      <c r="C850" s="231"/>
    </row>
    <row r="851">
      <c r="A851" s="231"/>
      <c r="B851" s="231"/>
      <c r="C851" s="231"/>
    </row>
    <row r="852">
      <c r="A852" s="231"/>
      <c r="B852" s="231"/>
      <c r="C852" s="231"/>
    </row>
    <row r="853">
      <c r="A853" s="231"/>
      <c r="B853" s="231"/>
      <c r="C853" s="231"/>
    </row>
    <row r="854">
      <c r="A854" s="231"/>
      <c r="B854" s="231"/>
      <c r="C854" s="231"/>
    </row>
    <row r="855">
      <c r="A855" s="231"/>
      <c r="B855" s="231"/>
      <c r="C855" s="231"/>
    </row>
    <row r="856">
      <c r="A856" s="231"/>
      <c r="B856" s="231"/>
      <c r="C856" s="231"/>
    </row>
    <row r="857">
      <c r="A857" s="231"/>
      <c r="B857" s="231"/>
      <c r="C857" s="231"/>
    </row>
    <row r="858">
      <c r="A858" s="231"/>
      <c r="B858" s="231"/>
      <c r="C858" s="231"/>
    </row>
    <row r="859">
      <c r="A859" s="231"/>
      <c r="B859" s="231"/>
      <c r="C859" s="231"/>
    </row>
    <row r="860">
      <c r="A860" s="231"/>
      <c r="B860" s="231"/>
      <c r="C860" s="231"/>
    </row>
    <row r="861">
      <c r="A861" s="231"/>
      <c r="B861" s="231"/>
      <c r="C861" s="231"/>
    </row>
    <row r="862">
      <c r="A862" s="231"/>
      <c r="B862" s="231"/>
      <c r="C862" s="231"/>
    </row>
    <row r="863">
      <c r="A863" s="231"/>
      <c r="B863" s="231"/>
      <c r="C863" s="231"/>
    </row>
    <row r="864">
      <c r="A864" s="231"/>
      <c r="B864" s="231"/>
      <c r="C864" s="231"/>
    </row>
    <row r="865">
      <c r="A865" s="231"/>
      <c r="B865" s="231"/>
      <c r="C865" s="231"/>
    </row>
    <row r="866">
      <c r="A866" s="231"/>
      <c r="B866" s="231"/>
      <c r="C866" s="231"/>
    </row>
    <row r="867">
      <c r="A867" s="231"/>
      <c r="B867" s="231"/>
      <c r="C867" s="231"/>
    </row>
    <row r="868">
      <c r="A868" s="231"/>
      <c r="B868" s="231"/>
      <c r="C868" s="231"/>
    </row>
    <row r="869">
      <c r="A869" s="231"/>
      <c r="B869" s="231"/>
      <c r="C869" s="231"/>
    </row>
    <row r="870">
      <c r="A870" s="231"/>
      <c r="B870" s="231"/>
      <c r="C870" s="231"/>
    </row>
    <row r="871">
      <c r="A871" s="231"/>
      <c r="B871" s="231"/>
      <c r="C871" s="231"/>
    </row>
    <row r="872">
      <c r="A872" s="231"/>
      <c r="B872" s="231"/>
      <c r="C872" s="231"/>
    </row>
    <row r="873">
      <c r="A873" s="231"/>
      <c r="B873" s="231"/>
      <c r="C873" s="231"/>
    </row>
    <row r="874">
      <c r="A874" s="231"/>
      <c r="B874" s="231"/>
      <c r="C874" s="231"/>
    </row>
    <row r="875">
      <c r="A875" s="231"/>
      <c r="B875" s="231"/>
      <c r="C875" s="231"/>
    </row>
    <row r="876">
      <c r="A876" s="231"/>
      <c r="B876" s="231"/>
      <c r="C876" s="231"/>
    </row>
    <row r="877">
      <c r="A877" s="231"/>
      <c r="B877" s="231"/>
      <c r="C877" s="231"/>
    </row>
    <row r="878">
      <c r="A878" s="231"/>
      <c r="B878" s="231"/>
      <c r="C878" s="231"/>
    </row>
    <row r="879">
      <c r="A879" s="231"/>
      <c r="B879" s="231"/>
      <c r="C879" s="231"/>
    </row>
    <row r="880">
      <c r="A880" s="231"/>
      <c r="B880" s="231"/>
      <c r="C880" s="231"/>
    </row>
    <row r="881">
      <c r="A881" s="231"/>
      <c r="B881" s="231"/>
      <c r="C881" s="231"/>
    </row>
    <row r="882">
      <c r="A882" s="231"/>
      <c r="B882" s="231"/>
      <c r="C882" s="231"/>
    </row>
    <row r="883">
      <c r="A883" s="231"/>
      <c r="B883" s="231"/>
      <c r="C883" s="231"/>
    </row>
    <row r="884">
      <c r="A884" s="231"/>
      <c r="B884" s="231"/>
      <c r="C884" s="231"/>
    </row>
    <row r="885">
      <c r="A885" s="231"/>
      <c r="B885" s="231"/>
      <c r="C885" s="231"/>
    </row>
    <row r="886">
      <c r="A886" s="231"/>
      <c r="B886" s="231"/>
      <c r="C886" s="231"/>
    </row>
    <row r="887">
      <c r="A887" s="231"/>
      <c r="B887" s="231"/>
      <c r="C887" s="231"/>
    </row>
    <row r="888">
      <c r="A888" s="231"/>
      <c r="B888" s="231"/>
      <c r="C888" s="231"/>
    </row>
    <row r="889">
      <c r="A889" s="231"/>
      <c r="B889" s="231"/>
      <c r="C889" s="231"/>
    </row>
    <row r="890">
      <c r="A890" s="231"/>
      <c r="B890" s="231"/>
      <c r="C890" s="231"/>
    </row>
    <row r="891">
      <c r="A891" s="231"/>
      <c r="B891" s="231"/>
      <c r="C891" s="231"/>
    </row>
    <row r="892">
      <c r="A892" s="231"/>
      <c r="B892" s="231"/>
      <c r="C892" s="231"/>
    </row>
    <row r="893">
      <c r="A893" s="231"/>
      <c r="B893" s="231"/>
      <c r="C893" s="231"/>
    </row>
    <row r="894">
      <c r="A894" s="231"/>
      <c r="B894" s="231"/>
      <c r="C894" s="231"/>
    </row>
    <row r="895">
      <c r="A895" s="231"/>
      <c r="B895" s="231"/>
      <c r="C895" s="231"/>
    </row>
    <row r="896">
      <c r="A896" s="231"/>
      <c r="B896" s="231"/>
      <c r="C896" s="231"/>
    </row>
    <row r="897">
      <c r="A897" s="231"/>
      <c r="B897" s="231"/>
      <c r="C897" s="231"/>
    </row>
    <row r="898">
      <c r="A898" s="231"/>
      <c r="B898" s="231"/>
      <c r="C898" s="231"/>
    </row>
    <row r="899">
      <c r="A899" s="231"/>
      <c r="B899" s="231"/>
      <c r="C899" s="231"/>
    </row>
    <row r="900">
      <c r="A900" s="231"/>
      <c r="B900" s="231"/>
      <c r="C900" s="231"/>
    </row>
    <row r="901">
      <c r="A901" s="231"/>
      <c r="B901" s="231"/>
      <c r="C901" s="231"/>
    </row>
    <row r="902">
      <c r="A902" s="231"/>
      <c r="B902" s="231"/>
      <c r="C902" s="231"/>
    </row>
    <row r="903">
      <c r="A903" s="231"/>
      <c r="B903" s="231"/>
      <c r="C903" s="231"/>
    </row>
    <row r="904">
      <c r="A904" s="231"/>
      <c r="B904" s="231"/>
      <c r="C904" s="231"/>
    </row>
    <row r="905">
      <c r="A905" s="231"/>
      <c r="B905" s="231"/>
      <c r="C905" s="231"/>
    </row>
    <row r="906">
      <c r="A906" s="231"/>
      <c r="B906" s="231"/>
      <c r="C906" s="231"/>
    </row>
    <row r="907">
      <c r="A907" s="231"/>
      <c r="B907" s="231"/>
      <c r="C907" s="231"/>
    </row>
    <row r="908">
      <c r="A908" s="231"/>
      <c r="B908" s="231"/>
      <c r="C908" s="231"/>
    </row>
    <row r="909">
      <c r="A909" s="231"/>
      <c r="B909" s="231"/>
      <c r="C909" s="231"/>
    </row>
    <row r="910">
      <c r="A910" s="231"/>
      <c r="B910" s="231"/>
      <c r="C910" s="231"/>
    </row>
    <row r="911">
      <c r="A911" s="231"/>
      <c r="B911" s="231"/>
      <c r="C911" s="231"/>
    </row>
    <row r="912">
      <c r="A912" s="231"/>
      <c r="B912" s="231"/>
      <c r="C912" s="231"/>
    </row>
    <row r="913">
      <c r="A913" s="231"/>
      <c r="B913" s="231"/>
      <c r="C913" s="231"/>
    </row>
    <row r="914">
      <c r="A914" s="231"/>
      <c r="B914" s="231"/>
      <c r="C914" s="231"/>
    </row>
    <row r="915">
      <c r="A915" s="231"/>
      <c r="B915" s="231"/>
      <c r="C915" s="231"/>
    </row>
    <row r="916">
      <c r="A916" s="231"/>
      <c r="B916" s="231"/>
      <c r="C916" s="231"/>
    </row>
    <row r="917">
      <c r="A917" s="231"/>
      <c r="B917" s="231"/>
      <c r="C917" s="231"/>
    </row>
    <row r="918">
      <c r="A918" s="231"/>
      <c r="B918" s="231"/>
      <c r="C918" s="231"/>
    </row>
    <row r="919">
      <c r="A919" s="231"/>
      <c r="B919" s="231"/>
      <c r="C919" s="231"/>
    </row>
    <row r="920">
      <c r="A920" s="231"/>
      <c r="B920" s="231"/>
      <c r="C920" s="231"/>
    </row>
    <row r="921">
      <c r="A921" s="231"/>
      <c r="B921" s="231"/>
      <c r="C921" s="231"/>
    </row>
    <row r="922">
      <c r="A922" s="231"/>
      <c r="B922" s="231"/>
      <c r="C922" s="231"/>
    </row>
    <row r="923">
      <c r="A923" s="231"/>
      <c r="B923" s="231"/>
      <c r="C923" s="231"/>
    </row>
    <row r="924">
      <c r="A924" s="231"/>
      <c r="B924" s="231"/>
      <c r="C924" s="231"/>
    </row>
    <row r="925">
      <c r="A925" s="231"/>
      <c r="B925" s="231"/>
      <c r="C925" s="231"/>
    </row>
    <row r="926">
      <c r="A926" s="231"/>
      <c r="B926" s="231"/>
      <c r="C926" s="231"/>
    </row>
    <row r="927">
      <c r="A927" s="231"/>
      <c r="B927" s="231"/>
      <c r="C927" s="231"/>
    </row>
    <row r="928">
      <c r="A928" s="231"/>
      <c r="B928" s="231"/>
      <c r="C928" s="231"/>
    </row>
    <row r="929">
      <c r="A929" s="231"/>
      <c r="B929" s="231"/>
      <c r="C929" s="231"/>
    </row>
    <row r="930">
      <c r="A930" s="231"/>
      <c r="B930" s="231"/>
      <c r="C930" s="231"/>
    </row>
    <row r="931">
      <c r="A931" s="231"/>
      <c r="B931" s="231"/>
      <c r="C931" s="231"/>
    </row>
    <row r="932">
      <c r="A932" s="231"/>
      <c r="B932" s="231"/>
      <c r="C932" s="231"/>
    </row>
    <row r="933">
      <c r="A933" s="231"/>
      <c r="B933" s="231"/>
      <c r="C933" s="231"/>
    </row>
    <row r="934">
      <c r="A934" s="231"/>
      <c r="B934" s="231"/>
      <c r="C934" s="231"/>
    </row>
    <row r="935">
      <c r="A935" s="231"/>
      <c r="B935" s="231"/>
      <c r="C935" s="231"/>
    </row>
    <row r="936">
      <c r="A936" s="231"/>
      <c r="B936" s="231"/>
      <c r="C936" s="231"/>
    </row>
    <row r="937">
      <c r="A937" s="231"/>
      <c r="B937" s="231"/>
      <c r="C937" s="231"/>
    </row>
    <row r="938">
      <c r="A938" s="231"/>
      <c r="B938" s="231"/>
      <c r="C938" s="231"/>
    </row>
    <row r="939">
      <c r="A939" s="231"/>
      <c r="B939" s="231"/>
      <c r="C939" s="231"/>
    </row>
    <row r="940">
      <c r="A940" s="231"/>
      <c r="B940" s="231"/>
      <c r="C940" s="231"/>
    </row>
    <row r="941">
      <c r="A941" s="231"/>
      <c r="B941" s="231"/>
      <c r="C941" s="231"/>
    </row>
    <row r="942">
      <c r="A942" s="231"/>
      <c r="B942" s="231"/>
      <c r="C942" s="231"/>
    </row>
    <row r="943">
      <c r="A943" s="231"/>
      <c r="B943" s="231"/>
      <c r="C943" s="231"/>
    </row>
    <row r="944">
      <c r="A944" s="231"/>
      <c r="B944" s="231"/>
      <c r="C944" s="231"/>
    </row>
    <row r="945">
      <c r="A945" s="231"/>
      <c r="B945" s="231"/>
      <c r="C945" s="231"/>
    </row>
    <row r="946">
      <c r="A946" s="231"/>
      <c r="B946" s="231"/>
      <c r="C946" s="231"/>
    </row>
    <row r="947">
      <c r="A947" s="231"/>
      <c r="B947" s="231"/>
      <c r="C947" s="231"/>
    </row>
    <row r="948">
      <c r="A948" s="231"/>
      <c r="B948" s="231"/>
      <c r="C948" s="231"/>
    </row>
    <row r="949">
      <c r="A949" s="231"/>
      <c r="B949" s="231"/>
      <c r="C949" s="231"/>
    </row>
    <row r="950">
      <c r="A950" s="231"/>
      <c r="B950" s="231"/>
      <c r="C950" s="231"/>
    </row>
    <row r="951">
      <c r="A951" s="231"/>
      <c r="B951" s="231"/>
      <c r="C951" s="231"/>
    </row>
    <row r="952">
      <c r="A952" s="231"/>
      <c r="B952" s="231"/>
      <c r="C952" s="231"/>
    </row>
    <row r="953">
      <c r="A953" s="231"/>
      <c r="B953" s="231"/>
      <c r="C953" s="231"/>
    </row>
    <row r="954">
      <c r="A954" s="231"/>
      <c r="B954" s="231"/>
      <c r="C954" s="231"/>
    </row>
    <row r="955">
      <c r="A955" s="231"/>
      <c r="B955" s="231"/>
      <c r="C955" s="231"/>
    </row>
    <row r="956">
      <c r="A956" s="231"/>
      <c r="B956" s="231"/>
      <c r="C956" s="231"/>
    </row>
    <row r="957">
      <c r="A957" s="231"/>
      <c r="B957" s="231"/>
      <c r="C957" s="231"/>
    </row>
    <row r="958">
      <c r="A958" s="231"/>
      <c r="B958" s="231"/>
      <c r="C958" s="231"/>
    </row>
    <row r="959">
      <c r="A959" s="231"/>
      <c r="B959" s="231"/>
      <c r="C959" s="231"/>
    </row>
    <row r="960">
      <c r="A960" s="231"/>
      <c r="B960" s="231"/>
      <c r="C960" s="231"/>
    </row>
    <row r="961">
      <c r="A961" s="231"/>
      <c r="B961" s="231"/>
      <c r="C961" s="231"/>
    </row>
    <row r="962">
      <c r="A962" s="231"/>
      <c r="B962" s="231"/>
      <c r="C962" s="231"/>
    </row>
    <row r="963">
      <c r="A963" s="231"/>
      <c r="B963" s="231"/>
      <c r="C963" s="231"/>
    </row>
    <row r="964">
      <c r="A964" s="231"/>
      <c r="B964" s="231"/>
      <c r="C964" s="231"/>
    </row>
    <row r="965">
      <c r="A965" s="231"/>
      <c r="B965" s="231"/>
      <c r="C965" s="231"/>
    </row>
    <row r="966">
      <c r="A966" s="231"/>
      <c r="B966" s="231"/>
      <c r="C966" s="231"/>
    </row>
    <row r="967">
      <c r="A967" s="231"/>
      <c r="B967" s="231"/>
      <c r="C967" s="231"/>
    </row>
    <row r="968">
      <c r="A968" s="231"/>
      <c r="B968" s="231"/>
      <c r="C968" s="231"/>
    </row>
    <row r="969">
      <c r="A969" s="231"/>
      <c r="B969" s="231"/>
      <c r="C969" s="231"/>
    </row>
    <row r="970">
      <c r="A970" s="231"/>
      <c r="B970" s="231"/>
      <c r="C970" s="231"/>
    </row>
    <row r="971">
      <c r="A971" s="231"/>
      <c r="B971" s="231"/>
      <c r="C971" s="231"/>
    </row>
    <row r="972">
      <c r="A972" s="231"/>
      <c r="B972" s="231"/>
      <c r="C972" s="231"/>
    </row>
    <row r="973">
      <c r="A973" s="231"/>
      <c r="B973" s="231"/>
      <c r="C973" s="231"/>
    </row>
    <row r="974">
      <c r="A974" s="231"/>
      <c r="B974" s="231"/>
      <c r="C974" s="231"/>
    </row>
    <row r="975">
      <c r="A975" s="231"/>
      <c r="B975" s="231"/>
      <c r="C975" s="231"/>
    </row>
    <row r="976">
      <c r="A976" s="231"/>
      <c r="B976" s="231"/>
      <c r="C976" s="231"/>
    </row>
    <row r="977">
      <c r="A977" s="231"/>
      <c r="B977" s="231"/>
      <c r="C977" s="231"/>
    </row>
    <row r="978">
      <c r="A978" s="231"/>
      <c r="B978" s="231"/>
      <c r="C978" s="231"/>
    </row>
    <row r="979">
      <c r="A979" s="231"/>
      <c r="B979" s="231"/>
      <c r="C979" s="231"/>
    </row>
    <row r="980">
      <c r="A980" s="231"/>
      <c r="B980" s="231"/>
      <c r="C980" s="231"/>
    </row>
    <row r="981">
      <c r="A981" s="231"/>
      <c r="B981" s="231"/>
      <c r="C981" s="231"/>
    </row>
    <row r="982">
      <c r="A982" s="231"/>
      <c r="B982" s="231"/>
      <c r="C982" s="231"/>
    </row>
    <row r="983">
      <c r="A983" s="231"/>
      <c r="B983" s="231"/>
      <c r="C983" s="231"/>
    </row>
    <row r="984">
      <c r="A984" s="231"/>
      <c r="B984" s="231"/>
      <c r="C984" s="231"/>
    </row>
    <row r="985">
      <c r="A985" s="231"/>
      <c r="B985" s="231"/>
      <c r="C985" s="231"/>
    </row>
    <row r="986">
      <c r="A986" s="231"/>
      <c r="B986" s="231"/>
      <c r="C986" s="231"/>
    </row>
    <row r="987">
      <c r="A987" s="231"/>
      <c r="B987" s="231"/>
      <c r="C987" s="231"/>
    </row>
    <row r="988">
      <c r="A988" s="231"/>
      <c r="B988" s="231"/>
      <c r="C988" s="231"/>
    </row>
    <row r="989">
      <c r="A989" s="231"/>
      <c r="B989" s="231"/>
      <c r="C989" s="231"/>
    </row>
    <row r="990">
      <c r="A990" s="231"/>
      <c r="B990" s="231"/>
      <c r="C990" s="231"/>
    </row>
    <row r="991">
      <c r="A991" s="231"/>
      <c r="B991" s="231"/>
      <c r="C991" s="231"/>
    </row>
    <row r="992">
      <c r="A992" s="231"/>
      <c r="B992" s="231"/>
      <c r="C992" s="231"/>
    </row>
    <row r="993">
      <c r="A993" s="231"/>
      <c r="B993" s="231"/>
      <c r="C993" s="231"/>
    </row>
    <row r="994">
      <c r="A994" s="231"/>
      <c r="B994" s="231"/>
      <c r="C994" s="231"/>
    </row>
    <row r="995">
      <c r="A995" s="231"/>
      <c r="B995" s="231"/>
      <c r="C995" s="231"/>
    </row>
    <row r="996">
      <c r="A996" s="231"/>
      <c r="B996" s="231"/>
      <c r="C996" s="231"/>
    </row>
    <row r="997">
      <c r="A997" s="231"/>
      <c r="B997" s="231"/>
      <c r="C997" s="231"/>
    </row>
    <row r="998">
      <c r="A998" s="231"/>
      <c r="B998" s="231"/>
      <c r="C998" s="231"/>
    </row>
    <row r="999">
      <c r="A999" s="231"/>
      <c r="B999" s="231"/>
      <c r="C999" s="231"/>
    </row>
    <row r="1000">
      <c r="A1000" s="231"/>
      <c r="B1000" s="231"/>
      <c r="C1000" s="231"/>
    </row>
    <row r="1001">
      <c r="A1001" s="231"/>
      <c r="B1001" s="231"/>
      <c r="C1001" s="231"/>
    </row>
  </sheetData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41.63"/>
    <col customWidth="1" min="5" max="5" width="32.0"/>
    <col hidden="1" min="17" max="20" width="12.63"/>
  </cols>
  <sheetData>
    <row r="1">
      <c r="A1" s="358" t="s">
        <v>44</v>
      </c>
      <c r="B1" s="568" t="s">
        <v>1</v>
      </c>
      <c r="C1" s="57" t="s">
        <v>294</v>
      </c>
      <c r="D1" s="55" t="s">
        <v>248</v>
      </c>
      <c r="E1" s="348" t="s">
        <v>249</v>
      </c>
      <c r="F1" s="349" t="s">
        <v>250</v>
      </c>
      <c r="G1" s="45"/>
      <c r="Q1" s="11" t="str">
        <f>"Empty codes:"&amp; COUNTBLANK(C2:C503)</f>
        <v>Empty codes:0</v>
      </c>
      <c r="S1" s="18" t="s">
        <v>1654</v>
      </c>
      <c r="T1" s="18" t="s">
        <v>1</v>
      </c>
    </row>
    <row r="2">
      <c r="A2" s="176" t="s">
        <v>16093</v>
      </c>
      <c r="B2" s="25">
        <v>12609.0</v>
      </c>
      <c r="C2" s="136" t="s">
        <v>15405</v>
      </c>
      <c r="D2" s="179">
        <v>0.75</v>
      </c>
      <c r="E2" s="179">
        <v>0.75</v>
      </c>
      <c r="F2" s="348" t="s">
        <v>1656</v>
      </c>
      <c r="G2" s="45"/>
      <c r="K2" s="39"/>
      <c r="S2" s="7" t="s">
        <v>16094</v>
      </c>
      <c r="T2" s="11">
        <v>2345.0</v>
      </c>
    </row>
    <row r="3">
      <c r="A3" s="176" t="s">
        <v>16095</v>
      </c>
      <c r="B3" s="25">
        <v>6109.0</v>
      </c>
      <c r="C3" s="136" t="s">
        <v>15405</v>
      </c>
      <c r="D3" s="179">
        <v>0.75</v>
      </c>
      <c r="E3" s="179">
        <v>0.75</v>
      </c>
      <c r="F3" s="348" t="s">
        <v>1656</v>
      </c>
      <c r="G3" s="45"/>
      <c r="K3" s="39"/>
      <c r="S3" s="7" t="s">
        <v>16096</v>
      </c>
      <c r="T3" s="11">
        <v>6893.0</v>
      </c>
    </row>
    <row r="4">
      <c r="A4" s="176" t="s">
        <v>16097</v>
      </c>
      <c r="B4" s="25">
        <v>11601.0</v>
      </c>
      <c r="C4" s="136" t="s">
        <v>15405</v>
      </c>
      <c r="D4" s="179">
        <v>0.75</v>
      </c>
      <c r="E4" s="179">
        <v>0.75</v>
      </c>
      <c r="F4" s="348" t="s">
        <v>1656</v>
      </c>
      <c r="G4" s="45"/>
      <c r="K4" s="39"/>
      <c r="S4" s="7" t="s">
        <v>16098</v>
      </c>
      <c r="T4" s="196">
        <v>7847.0</v>
      </c>
    </row>
    <row r="5">
      <c r="A5" s="176" t="s">
        <v>16099</v>
      </c>
      <c r="B5" s="25">
        <v>12932.0</v>
      </c>
      <c r="C5" s="136" t="s">
        <v>15405</v>
      </c>
      <c r="D5" s="179">
        <v>0.75</v>
      </c>
      <c r="E5" s="179">
        <v>0.75</v>
      </c>
      <c r="F5" s="348" t="s">
        <v>1656</v>
      </c>
      <c r="G5" s="45"/>
      <c r="K5" s="39"/>
      <c r="S5" s="7" t="s">
        <v>16100</v>
      </c>
      <c r="T5" s="11">
        <v>9363.0</v>
      </c>
    </row>
    <row r="6">
      <c r="A6" s="176" t="s">
        <v>16101</v>
      </c>
      <c r="B6" s="25">
        <v>3307.0</v>
      </c>
      <c r="C6" s="136" t="s">
        <v>15405</v>
      </c>
      <c r="D6" s="179">
        <v>0.75</v>
      </c>
      <c r="E6" s="179">
        <v>0.75</v>
      </c>
      <c r="F6" s="348" t="s">
        <v>1656</v>
      </c>
      <c r="G6" s="45"/>
      <c r="K6" s="39"/>
      <c r="S6" s="7" t="s">
        <v>16102</v>
      </c>
      <c r="T6" s="11">
        <v>9363.0</v>
      </c>
    </row>
    <row r="7">
      <c r="A7" s="176" t="s">
        <v>16103</v>
      </c>
      <c r="B7" s="25">
        <v>14337.0</v>
      </c>
      <c r="C7" s="136" t="s">
        <v>15405</v>
      </c>
      <c r="D7" s="179">
        <v>0.75</v>
      </c>
      <c r="E7" s="179">
        <v>0.75</v>
      </c>
      <c r="F7" s="348" t="s">
        <v>1656</v>
      </c>
      <c r="G7" s="45"/>
      <c r="K7" s="39"/>
      <c r="S7" s="7" t="s">
        <v>16104</v>
      </c>
      <c r="T7" s="11">
        <v>930.0</v>
      </c>
    </row>
    <row r="8">
      <c r="A8" s="176" t="s">
        <v>16105</v>
      </c>
      <c r="B8" s="25">
        <v>6924.0</v>
      </c>
      <c r="C8" s="136" t="s">
        <v>15405</v>
      </c>
      <c r="D8" s="179">
        <v>0.75</v>
      </c>
      <c r="E8" s="179">
        <v>0.75</v>
      </c>
      <c r="F8" s="348" t="s">
        <v>1656</v>
      </c>
      <c r="G8" s="45"/>
      <c r="K8" s="39"/>
      <c r="S8" s="7" t="s">
        <v>16106</v>
      </c>
      <c r="T8" s="11">
        <v>7033.0</v>
      </c>
    </row>
    <row r="9">
      <c r="A9" s="176" t="s">
        <v>16107</v>
      </c>
      <c r="B9" s="25">
        <v>6779.0</v>
      </c>
      <c r="C9" s="136" t="s">
        <v>15405</v>
      </c>
      <c r="D9" s="179">
        <v>0.75</v>
      </c>
      <c r="E9" s="179">
        <v>0.75</v>
      </c>
      <c r="F9" s="348" t="s">
        <v>1656</v>
      </c>
      <c r="G9" s="45"/>
      <c r="K9" s="39"/>
      <c r="S9" s="7" t="s">
        <v>16108</v>
      </c>
      <c r="T9" s="11">
        <v>6132.0</v>
      </c>
    </row>
    <row r="10">
      <c r="A10" s="176" t="s">
        <v>16109</v>
      </c>
      <c r="B10" s="25">
        <v>6947.0</v>
      </c>
      <c r="C10" s="136" t="s">
        <v>15405</v>
      </c>
      <c r="D10" s="179">
        <v>0.75</v>
      </c>
      <c r="E10" s="179">
        <v>0.75</v>
      </c>
      <c r="F10" s="348" t="s">
        <v>1656</v>
      </c>
      <c r="S10" s="7" t="s">
        <v>16110</v>
      </c>
      <c r="T10" s="11">
        <v>10141.0</v>
      </c>
    </row>
    <row r="11">
      <c r="A11" s="176" t="s">
        <v>16111</v>
      </c>
      <c r="B11" s="176">
        <v>13858.0</v>
      </c>
      <c r="C11" s="136" t="s">
        <v>15405</v>
      </c>
      <c r="D11" s="179">
        <v>0.75</v>
      </c>
      <c r="E11" s="179">
        <v>0.75</v>
      </c>
      <c r="F11" s="348" t="s">
        <v>1656</v>
      </c>
      <c r="S11" s="7" t="s">
        <v>16112</v>
      </c>
      <c r="T11" s="11">
        <v>6924.0</v>
      </c>
    </row>
    <row r="12">
      <c r="A12" s="176" t="s">
        <v>1365</v>
      </c>
      <c r="B12" s="25">
        <v>6722.0</v>
      </c>
      <c r="C12" s="136" t="s">
        <v>15405</v>
      </c>
      <c r="D12" s="179">
        <v>0.75</v>
      </c>
      <c r="E12" s="179">
        <v>0.75</v>
      </c>
      <c r="F12" s="348" t="s">
        <v>1656</v>
      </c>
      <c r="S12" s="7" t="s">
        <v>16113</v>
      </c>
      <c r="T12" s="11">
        <v>7747.0</v>
      </c>
    </row>
    <row r="13">
      <c r="A13" s="176" t="s">
        <v>16114</v>
      </c>
      <c r="B13" s="25">
        <v>6903.0</v>
      </c>
      <c r="C13" s="136" t="s">
        <v>15405</v>
      </c>
      <c r="D13" s="179">
        <v>0.75</v>
      </c>
      <c r="E13" s="179">
        <v>0.75</v>
      </c>
      <c r="F13" s="348" t="s">
        <v>1656</v>
      </c>
      <c r="S13" s="7" t="s">
        <v>16115</v>
      </c>
      <c r="T13" s="11">
        <v>7183.0</v>
      </c>
    </row>
    <row r="14">
      <c r="A14" s="176" t="s">
        <v>16116</v>
      </c>
      <c r="B14" s="25">
        <v>6728.0</v>
      </c>
      <c r="C14" s="136" t="s">
        <v>15405</v>
      </c>
      <c r="D14" s="179">
        <v>0.75</v>
      </c>
      <c r="E14" s="179">
        <v>0.75</v>
      </c>
      <c r="F14" s="348" t="s">
        <v>1656</v>
      </c>
      <c r="S14" s="7" t="s">
        <v>16117</v>
      </c>
      <c r="T14" s="11">
        <v>7186.0</v>
      </c>
    </row>
    <row r="15">
      <c r="A15" s="176" t="s">
        <v>16118</v>
      </c>
      <c r="B15" s="25">
        <v>7747.0</v>
      </c>
      <c r="C15" s="136" t="s">
        <v>15405</v>
      </c>
      <c r="D15" s="179">
        <v>0.75</v>
      </c>
      <c r="E15" s="179">
        <v>0.75</v>
      </c>
      <c r="F15" s="348" t="s">
        <v>1656</v>
      </c>
      <c r="S15" s="7" t="s">
        <v>16119</v>
      </c>
      <c r="T15" s="11">
        <v>6629.0</v>
      </c>
    </row>
    <row r="16">
      <c r="A16" s="176" t="s">
        <v>16120</v>
      </c>
      <c r="B16" s="25">
        <v>6802.0</v>
      </c>
      <c r="C16" s="136" t="s">
        <v>15405</v>
      </c>
      <c r="D16" s="179">
        <v>0.75</v>
      </c>
      <c r="E16" s="179">
        <v>0.75</v>
      </c>
      <c r="F16" s="348" t="s">
        <v>1656</v>
      </c>
      <c r="S16" s="7" t="s">
        <v>16121</v>
      </c>
      <c r="T16" s="11">
        <v>6669.0</v>
      </c>
    </row>
    <row r="17">
      <c r="A17" s="176" t="s">
        <v>16122</v>
      </c>
      <c r="B17" s="25">
        <v>10923.0</v>
      </c>
      <c r="C17" s="136" t="s">
        <v>15405</v>
      </c>
      <c r="D17" s="179">
        <v>0.75</v>
      </c>
      <c r="E17" s="179">
        <v>0.75</v>
      </c>
      <c r="F17" s="348" t="s">
        <v>1656</v>
      </c>
      <c r="S17" s="7" t="s">
        <v>16123</v>
      </c>
      <c r="T17" s="11">
        <v>7023.0</v>
      </c>
    </row>
    <row r="18">
      <c r="A18" s="176" t="s">
        <v>16124</v>
      </c>
      <c r="B18" s="25">
        <v>6774.0</v>
      </c>
      <c r="C18" s="136" t="s">
        <v>15405</v>
      </c>
      <c r="D18" s="179">
        <v>0.75</v>
      </c>
      <c r="E18" s="179">
        <v>0.75</v>
      </c>
      <c r="F18" s="348" t="s">
        <v>1656</v>
      </c>
      <c r="S18" s="7" t="s">
        <v>16125</v>
      </c>
      <c r="T18" s="11">
        <v>6669.0</v>
      </c>
    </row>
    <row r="19" ht="15.0" customHeight="1">
      <c r="A19" s="176" t="s">
        <v>16126</v>
      </c>
      <c r="B19" s="25">
        <v>14516.0</v>
      </c>
      <c r="C19" s="136" t="s">
        <v>15405</v>
      </c>
      <c r="D19" s="179">
        <v>0.75</v>
      </c>
      <c r="E19" s="179">
        <v>0.75</v>
      </c>
      <c r="F19" s="348" t="s">
        <v>1656</v>
      </c>
      <c r="S19" s="7" t="s">
        <v>5701</v>
      </c>
      <c r="T19" s="11">
        <v>6671.0</v>
      </c>
    </row>
    <row r="20">
      <c r="A20" s="176" t="s">
        <v>16127</v>
      </c>
      <c r="B20" s="25">
        <v>14663.0</v>
      </c>
      <c r="C20" s="136" t="s">
        <v>15405</v>
      </c>
      <c r="D20" s="179">
        <v>0.75</v>
      </c>
      <c r="E20" s="179">
        <v>0.75</v>
      </c>
      <c r="F20" s="348" t="s">
        <v>1656</v>
      </c>
      <c r="S20" s="7" t="s">
        <v>16128</v>
      </c>
      <c r="T20" s="11">
        <v>6669.0</v>
      </c>
    </row>
    <row r="21">
      <c r="A21" s="176" t="s">
        <v>16129</v>
      </c>
      <c r="B21" s="25">
        <v>5458.0</v>
      </c>
      <c r="C21" s="136" t="s">
        <v>15405</v>
      </c>
      <c r="D21" s="179">
        <v>0.75</v>
      </c>
      <c r="E21" s="179">
        <v>0.75</v>
      </c>
      <c r="F21" s="348" t="s">
        <v>1656</v>
      </c>
      <c r="S21" s="7" t="s">
        <v>16130</v>
      </c>
      <c r="T21" s="11">
        <v>6789.0</v>
      </c>
    </row>
    <row r="22">
      <c r="A22" s="176" t="s">
        <v>16131</v>
      </c>
      <c r="B22" s="25">
        <v>14440.0</v>
      </c>
      <c r="C22" s="136" t="s">
        <v>15405</v>
      </c>
      <c r="D22" s="179">
        <v>0.75</v>
      </c>
      <c r="E22" s="179">
        <v>0.75</v>
      </c>
      <c r="F22" s="348" t="s">
        <v>1656</v>
      </c>
      <c r="S22" s="7" t="s">
        <v>16132</v>
      </c>
      <c r="T22" s="11">
        <v>3307.0</v>
      </c>
    </row>
    <row r="23">
      <c r="A23" s="176" t="s">
        <v>16133</v>
      </c>
      <c r="B23" s="25">
        <v>14440.0</v>
      </c>
      <c r="C23" s="136" t="s">
        <v>15405</v>
      </c>
      <c r="D23" s="179">
        <v>0.75</v>
      </c>
      <c r="E23" s="179">
        <v>0.75</v>
      </c>
      <c r="F23" s="348" t="s">
        <v>1656</v>
      </c>
      <c r="S23" s="7" t="s">
        <v>16134</v>
      </c>
      <c r="T23" s="11">
        <v>6936.0</v>
      </c>
    </row>
    <row r="24">
      <c r="A24" s="176" t="s">
        <v>16135</v>
      </c>
      <c r="B24" s="25">
        <v>663.0</v>
      </c>
      <c r="C24" s="136" t="s">
        <v>15405</v>
      </c>
      <c r="D24" s="179">
        <v>0.75</v>
      </c>
      <c r="E24" s="179">
        <v>0.75</v>
      </c>
      <c r="F24" s="348" t="s">
        <v>1656</v>
      </c>
      <c r="S24" s="7" t="s">
        <v>16136</v>
      </c>
      <c r="T24" s="11">
        <v>2345.0</v>
      </c>
    </row>
    <row r="25">
      <c r="A25" s="176" t="s">
        <v>16137</v>
      </c>
      <c r="B25" s="112">
        <v>14646.0</v>
      </c>
      <c r="C25" s="136" t="s">
        <v>15405</v>
      </c>
      <c r="D25" s="179">
        <v>0.75</v>
      </c>
      <c r="E25" s="179">
        <v>0.75</v>
      </c>
      <c r="F25" s="348" t="s">
        <v>1656</v>
      </c>
      <c r="S25" s="7" t="s">
        <v>16138</v>
      </c>
      <c r="T25" s="11">
        <v>2345.0</v>
      </c>
    </row>
    <row r="26">
      <c r="A26" s="176" t="s">
        <v>16139</v>
      </c>
      <c r="B26" s="25">
        <v>6669.0</v>
      </c>
      <c r="C26" s="136" t="s">
        <v>15405</v>
      </c>
      <c r="D26" s="179">
        <v>0.75</v>
      </c>
      <c r="E26" s="179">
        <v>0.75</v>
      </c>
      <c r="F26" s="348" t="s">
        <v>1656</v>
      </c>
      <c r="S26" s="7" t="s">
        <v>16140</v>
      </c>
      <c r="T26" s="11">
        <v>2345.0</v>
      </c>
    </row>
    <row r="27">
      <c r="A27" s="176" t="s">
        <v>16141</v>
      </c>
      <c r="B27" s="25">
        <v>6875.0</v>
      </c>
      <c r="C27" s="136" t="s">
        <v>15405</v>
      </c>
      <c r="D27" s="179">
        <v>0.75</v>
      </c>
      <c r="E27" s="179">
        <v>0.75</v>
      </c>
      <c r="F27" s="348" t="s">
        <v>1656</v>
      </c>
      <c r="S27" s="7" t="s">
        <v>16142</v>
      </c>
      <c r="T27" s="11">
        <v>2345.0</v>
      </c>
    </row>
    <row r="28">
      <c r="A28" s="176" t="s">
        <v>16143</v>
      </c>
      <c r="B28" s="37">
        <v>14480.0</v>
      </c>
      <c r="C28" s="136" t="s">
        <v>15405</v>
      </c>
      <c r="D28" s="179">
        <v>0.75</v>
      </c>
      <c r="E28" s="179">
        <v>0.75</v>
      </c>
      <c r="F28" s="348" t="s">
        <v>1656</v>
      </c>
      <c r="S28" s="7" t="s">
        <v>15989</v>
      </c>
      <c r="T28" s="11">
        <v>6675.0</v>
      </c>
    </row>
    <row r="29">
      <c r="A29" s="176" t="s">
        <v>16144</v>
      </c>
      <c r="B29" s="25">
        <v>11601.0</v>
      </c>
      <c r="C29" s="136" t="s">
        <v>15405</v>
      </c>
      <c r="D29" s="179">
        <v>0.75</v>
      </c>
      <c r="E29" s="179">
        <v>0.75</v>
      </c>
      <c r="F29" s="348" t="s">
        <v>1656</v>
      </c>
      <c r="S29" s="7" t="s">
        <v>16145</v>
      </c>
      <c r="T29" s="11">
        <v>9307.0</v>
      </c>
    </row>
    <row r="30">
      <c r="A30" s="176" t="s">
        <v>16146</v>
      </c>
      <c r="B30" s="78"/>
      <c r="C30" s="136" t="s">
        <v>15405</v>
      </c>
      <c r="D30" s="179">
        <v>0.75</v>
      </c>
      <c r="E30" s="179">
        <v>0.75</v>
      </c>
      <c r="F30" s="348" t="s">
        <v>1656</v>
      </c>
      <c r="S30" s="7" t="s">
        <v>16147</v>
      </c>
      <c r="T30" s="11">
        <v>10856.0</v>
      </c>
    </row>
    <row r="31">
      <c r="A31" s="176" t="s">
        <v>16148</v>
      </c>
      <c r="B31" s="25">
        <v>14580.0</v>
      </c>
      <c r="C31" s="136" t="s">
        <v>15405</v>
      </c>
      <c r="D31" s="179">
        <v>0.75</v>
      </c>
      <c r="E31" s="179">
        <v>0.75</v>
      </c>
      <c r="F31" s="348" t="s">
        <v>1656</v>
      </c>
      <c r="S31" s="7" t="s">
        <v>16149</v>
      </c>
      <c r="T31" s="11">
        <v>2345.0</v>
      </c>
    </row>
    <row r="32">
      <c r="A32" s="176" t="s">
        <v>2649</v>
      </c>
      <c r="B32" s="78"/>
      <c r="C32" s="136" t="s">
        <v>15405</v>
      </c>
      <c r="D32" s="179">
        <v>0.75</v>
      </c>
      <c r="E32" s="179">
        <v>0.75</v>
      </c>
      <c r="F32" s="348" t="s">
        <v>1656</v>
      </c>
      <c r="S32" s="7" t="s">
        <v>16150</v>
      </c>
      <c r="T32" s="11">
        <v>2345.0</v>
      </c>
    </row>
    <row r="33">
      <c r="A33" s="176" t="s">
        <v>16151</v>
      </c>
      <c r="B33" s="78"/>
      <c r="C33" s="136" t="s">
        <v>15405</v>
      </c>
      <c r="D33" s="179">
        <v>0.75</v>
      </c>
      <c r="E33" s="179">
        <v>0.75</v>
      </c>
      <c r="F33" s="348" t="s">
        <v>1656</v>
      </c>
      <c r="S33" s="7" t="s">
        <v>16152</v>
      </c>
      <c r="T33" s="11">
        <v>2345.0</v>
      </c>
    </row>
    <row r="34">
      <c r="A34" s="176" t="s">
        <v>16153</v>
      </c>
      <c r="B34" s="25">
        <v>6829.0</v>
      </c>
      <c r="C34" s="136" t="s">
        <v>15405</v>
      </c>
      <c r="D34" s="179">
        <v>0.75</v>
      </c>
      <c r="E34" s="179">
        <v>0.75</v>
      </c>
      <c r="F34" s="348" t="s">
        <v>1656</v>
      </c>
      <c r="S34" s="7" t="s">
        <v>16154</v>
      </c>
      <c r="T34" s="11">
        <v>2345.0</v>
      </c>
    </row>
    <row r="35">
      <c r="A35" s="176" t="s">
        <v>3328</v>
      </c>
      <c r="B35" s="78"/>
      <c r="C35" s="136" t="s">
        <v>15405</v>
      </c>
      <c r="D35" s="179">
        <v>0.75</v>
      </c>
      <c r="E35" s="179">
        <v>0.75</v>
      </c>
      <c r="F35" s="348" t="s">
        <v>1656</v>
      </c>
      <c r="S35" s="7" t="s">
        <v>16155</v>
      </c>
      <c r="T35" s="11">
        <v>2345.0</v>
      </c>
    </row>
    <row r="36">
      <c r="A36" s="176" t="s">
        <v>16156</v>
      </c>
      <c r="B36" s="78"/>
      <c r="C36" s="136" t="s">
        <v>15405</v>
      </c>
      <c r="D36" s="179">
        <v>0.75</v>
      </c>
      <c r="E36" s="179">
        <v>0.75</v>
      </c>
      <c r="F36" s="348" t="s">
        <v>1656</v>
      </c>
      <c r="S36" s="7" t="s">
        <v>1137</v>
      </c>
      <c r="T36" s="11">
        <v>2345.0</v>
      </c>
    </row>
    <row r="37">
      <c r="A37" s="176" t="s">
        <v>16157</v>
      </c>
      <c r="B37" s="25"/>
      <c r="C37" s="136" t="s">
        <v>15405</v>
      </c>
      <c r="D37" s="179">
        <v>0.75</v>
      </c>
      <c r="E37" s="179">
        <v>0.75</v>
      </c>
      <c r="F37" s="348" t="s">
        <v>1656</v>
      </c>
      <c r="S37" s="7" t="s">
        <v>16158</v>
      </c>
      <c r="T37" s="11">
        <v>3689.0</v>
      </c>
    </row>
    <row r="38">
      <c r="A38" s="176" t="s">
        <v>16159</v>
      </c>
      <c r="B38" s="78"/>
      <c r="C38" s="136" t="s">
        <v>15405</v>
      </c>
      <c r="D38" s="179">
        <v>0.75</v>
      </c>
      <c r="E38" s="179">
        <v>0.75</v>
      </c>
      <c r="F38" s="348" t="s">
        <v>1656</v>
      </c>
      <c r="S38" s="7" t="s">
        <v>16160</v>
      </c>
      <c r="T38" s="11">
        <v>14033.0</v>
      </c>
    </row>
    <row r="39">
      <c r="A39" s="176" t="s">
        <v>16161</v>
      </c>
      <c r="B39" s="78"/>
      <c r="C39" s="136" t="s">
        <v>15405</v>
      </c>
      <c r="D39" s="179">
        <v>0.75</v>
      </c>
      <c r="E39" s="179">
        <v>0.75</v>
      </c>
      <c r="F39" s="348" t="s">
        <v>1656</v>
      </c>
      <c r="S39" s="7" t="s">
        <v>1093</v>
      </c>
      <c r="T39" s="11">
        <v>14065.0</v>
      </c>
    </row>
    <row r="40">
      <c r="A40" s="176" t="s">
        <v>16162</v>
      </c>
      <c r="B40" s="78"/>
      <c r="C40" s="136" t="s">
        <v>15405</v>
      </c>
      <c r="D40" s="179">
        <v>0.75</v>
      </c>
      <c r="E40" s="179">
        <v>0.75</v>
      </c>
      <c r="F40" s="348" t="s">
        <v>1656</v>
      </c>
      <c r="S40" s="7" t="s">
        <v>16163</v>
      </c>
    </row>
    <row r="41">
      <c r="A41" s="176" t="s">
        <v>16164</v>
      </c>
      <c r="B41" s="25">
        <v>6132.0</v>
      </c>
      <c r="C41" s="136" t="s">
        <v>15405</v>
      </c>
      <c r="D41" s="179">
        <v>0.75</v>
      </c>
      <c r="E41" s="179">
        <v>0.75</v>
      </c>
      <c r="F41" s="348" t="s">
        <v>1656</v>
      </c>
      <c r="S41" s="7" t="s">
        <v>16165</v>
      </c>
    </row>
    <row r="42">
      <c r="A42" s="176" t="s">
        <v>3172</v>
      </c>
      <c r="B42" s="78"/>
      <c r="C42" s="136" t="s">
        <v>15405</v>
      </c>
      <c r="D42" s="179">
        <v>0.75</v>
      </c>
      <c r="E42" s="179">
        <v>0.75</v>
      </c>
      <c r="F42" s="348" t="s">
        <v>1656</v>
      </c>
      <c r="S42" s="7" t="s">
        <v>16166</v>
      </c>
      <c r="T42" s="11">
        <v>6675.0</v>
      </c>
    </row>
    <row r="43">
      <c r="A43" s="176" t="s">
        <v>16167</v>
      </c>
      <c r="B43" s="78"/>
      <c r="C43" s="136" t="s">
        <v>15405</v>
      </c>
      <c r="D43" s="179">
        <v>0.75</v>
      </c>
      <c r="E43" s="179">
        <v>0.75</v>
      </c>
      <c r="F43" s="348" t="s">
        <v>1656</v>
      </c>
      <c r="S43" s="7" t="s">
        <v>16168</v>
      </c>
    </row>
    <row r="44">
      <c r="A44" s="176" t="s">
        <v>16169</v>
      </c>
      <c r="B44" s="78"/>
      <c r="C44" s="136" t="s">
        <v>15405</v>
      </c>
      <c r="D44" s="179">
        <v>0.75</v>
      </c>
      <c r="E44" s="179">
        <v>0.75</v>
      </c>
      <c r="F44" s="348" t="s">
        <v>1656</v>
      </c>
      <c r="S44" s="7" t="s">
        <v>1583</v>
      </c>
    </row>
    <row r="45">
      <c r="A45" s="176" t="s">
        <v>6126</v>
      </c>
      <c r="B45" s="25">
        <v>7100.0</v>
      </c>
      <c r="C45" s="136" t="s">
        <v>15405</v>
      </c>
      <c r="D45" s="179">
        <v>0.75</v>
      </c>
      <c r="E45" s="179">
        <v>0.75</v>
      </c>
      <c r="F45" s="348" t="s">
        <v>1656</v>
      </c>
      <c r="S45" s="7" t="s">
        <v>16170</v>
      </c>
      <c r="T45" s="11">
        <v>6675.0</v>
      </c>
    </row>
    <row r="46">
      <c r="A46" s="176" t="s">
        <v>16171</v>
      </c>
      <c r="B46" s="78"/>
      <c r="C46" s="136" t="s">
        <v>15405</v>
      </c>
      <c r="D46" s="179">
        <v>0.75</v>
      </c>
      <c r="E46" s="179">
        <v>0.75</v>
      </c>
      <c r="F46" s="348" t="s">
        <v>1656</v>
      </c>
      <c r="S46" s="7" t="s">
        <v>16172</v>
      </c>
    </row>
    <row r="47">
      <c r="A47" s="176" t="s">
        <v>16173</v>
      </c>
      <c r="B47" s="78"/>
      <c r="C47" s="136" t="s">
        <v>15405</v>
      </c>
      <c r="D47" s="179">
        <v>0.75</v>
      </c>
      <c r="E47" s="179">
        <v>0.75</v>
      </c>
      <c r="F47" s="348" t="s">
        <v>1656</v>
      </c>
      <c r="S47" s="7" t="s">
        <v>16174</v>
      </c>
      <c r="T47" s="11">
        <v>18056.0</v>
      </c>
    </row>
    <row r="48">
      <c r="A48" s="176" t="s">
        <v>3479</v>
      </c>
      <c r="B48" s="78"/>
      <c r="C48" s="136" t="s">
        <v>15405</v>
      </c>
      <c r="D48" s="179">
        <v>0.75</v>
      </c>
      <c r="E48" s="179">
        <v>0.75</v>
      </c>
      <c r="F48" s="348" t="s">
        <v>1656</v>
      </c>
      <c r="S48" s="7" t="s">
        <v>16175</v>
      </c>
    </row>
    <row r="49">
      <c r="A49" s="176" t="s">
        <v>16176</v>
      </c>
      <c r="B49" s="78"/>
      <c r="C49" s="136" t="s">
        <v>15405</v>
      </c>
      <c r="D49" s="179">
        <v>0.75</v>
      </c>
      <c r="E49" s="179">
        <v>0.75</v>
      </c>
      <c r="F49" s="348" t="s">
        <v>1656</v>
      </c>
      <c r="S49" s="7" t="s">
        <v>16177</v>
      </c>
      <c r="T49" s="11">
        <v>7492.0</v>
      </c>
    </row>
    <row r="50">
      <c r="A50" s="176" t="s">
        <v>16178</v>
      </c>
      <c r="B50" s="25">
        <v>6675.0</v>
      </c>
      <c r="C50" s="136" t="s">
        <v>15405</v>
      </c>
      <c r="D50" s="74">
        <v>0.85</v>
      </c>
      <c r="E50" s="74">
        <v>0.85</v>
      </c>
      <c r="F50" s="348" t="s">
        <v>1656</v>
      </c>
      <c r="S50" s="7" t="s">
        <v>16179</v>
      </c>
      <c r="T50" s="11">
        <v>7492.0</v>
      </c>
    </row>
    <row r="51">
      <c r="A51" s="176" t="s">
        <v>16180</v>
      </c>
      <c r="B51" s="25">
        <v>7157.0</v>
      </c>
      <c r="C51" s="136" t="s">
        <v>15405</v>
      </c>
      <c r="D51" s="179">
        <v>0.75</v>
      </c>
      <c r="E51" s="179">
        <v>0.75</v>
      </c>
      <c r="F51" s="348" t="s">
        <v>1656</v>
      </c>
      <c r="S51" s="7" t="s">
        <v>2175</v>
      </c>
      <c r="T51" s="11">
        <v>7492.0</v>
      </c>
    </row>
    <row r="52">
      <c r="A52" s="176" t="s">
        <v>16181</v>
      </c>
      <c r="B52" s="78"/>
      <c r="C52" s="136" t="s">
        <v>15405</v>
      </c>
      <c r="D52" s="179">
        <v>0.75</v>
      </c>
      <c r="E52" s="179">
        <v>0.75</v>
      </c>
      <c r="F52" s="348" t="s">
        <v>1656</v>
      </c>
      <c r="S52" s="7" t="s">
        <v>2783</v>
      </c>
      <c r="T52" s="11">
        <v>7492.0</v>
      </c>
    </row>
    <row r="53">
      <c r="A53" s="176" t="s">
        <v>16182</v>
      </c>
      <c r="B53" s="78"/>
      <c r="C53" s="136" t="s">
        <v>15405</v>
      </c>
      <c r="D53" s="179">
        <v>0.75</v>
      </c>
      <c r="E53" s="179">
        <v>0.75</v>
      </c>
      <c r="F53" s="348" t="s">
        <v>1656</v>
      </c>
      <c r="S53" s="7" t="s">
        <v>16183</v>
      </c>
    </row>
    <row r="54">
      <c r="A54" s="176" t="s">
        <v>708</v>
      </c>
      <c r="B54" s="78"/>
      <c r="C54" s="136" t="s">
        <v>15405</v>
      </c>
      <c r="D54" s="179">
        <v>0.75</v>
      </c>
      <c r="E54" s="179">
        <v>0.75</v>
      </c>
      <c r="F54" s="348" t="s">
        <v>1656</v>
      </c>
      <c r="S54" s="7" t="s">
        <v>16184</v>
      </c>
    </row>
    <row r="55">
      <c r="A55" s="176" t="s">
        <v>16185</v>
      </c>
      <c r="B55" s="78"/>
      <c r="C55" s="136" t="s">
        <v>15405</v>
      </c>
      <c r="D55" s="179">
        <v>0.75</v>
      </c>
      <c r="E55" s="179">
        <v>0.75</v>
      </c>
      <c r="F55" s="348" t="s">
        <v>1656</v>
      </c>
      <c r="S55" s="7" t="s">
        <v>16186</v>
      </c>
      <c r="T55" s="11">
        <v>13951.0</v>
      </c>
    </row>
    <row r="56">
      <c r="A56" s="176" t="s">
        <v>16187</v>
      </c>
      <c r="B56" s="78"/>
      <c r="C56" s="136" t="s">
        <v>15405</v>
      </c>
      <c r="D56" s="179">
        <v>0.75</v>
      </c>
      <c r="E56" s="179">
        <v>0.75</v>
      </c>
      <c r="F56" s="348" t="s">
        <v>1656</v>
      </c>
      <c r="S56" s="7" t="s">
        <v>16188</v>
      </c>
    </row>
    <row r="57">
      <c r="A57" s="176" t="s">
        <v>16189</v>
      </c>
      <c r="B57" s="78"/>
      <c r="C57" s="136" t="s">
        <v>15405</v>
      </c>
      <c r="D57" s="179">
        <v>0.75</v>
      </c>
      <c r="E57" s="179">
        <v>0.75</v>
      </c>
      <c r="F57" s="348" t="s">
        <v>1656</v>
      </c>
      <c r="S57" s="7" t="s">
        <v>16190</v>
      </c>
    </row>
    <row r="58">
      <c r="A58" s="176" t="s">
        <v>16191</v>
      </c>
      <c r="B58" s="78"/>
      <c r="C58" s="136" t="s">
        <v>15405</v>
      </c>
      <c r="D58" s="179">
        <v>0.75</v>
      </c>
      <c r="E58" s="179">
        <v>0.75</v>
      </c>
      <c r="F58" s="348" t="s">
        <v>1656</v>
      </c>
      <c r="S58" s="7" t="s">
        <v>2475</v>
      </c>
    </row>
    <row r="59">
      <c r="A59" s="176" t="s">
        <v>16192</v>
      </c>
      <c r="B59" s="78"/>
      <c r="C59" s="136" t="s">
        <v>15405</v>
      </c>
      <c r="D59" s="179">
        <v>0.75</v>
      </c>
      <c r="E59" s="179">
        <v>0.75</v>
      </c>
      <c r="F59" s="348" t="s">
        <v>1656</v>
      </c>
      <c r="S59" s="7" t="s">
        <v>16193</v>
      </c>
    </row>
    <row r="60">
      <c r="A60" s="176" t="s">
        <v>3230</v>
      </c>
      <c r="B60" s="25">
        <v>7031.0</v>
      </c>
      <c r="C60" s="136" t="s">
        <v>15405</v>
      </c>
      <c r="D60" s="179">
        <v>0.75</v>
      </c>
      <c r="E60" s="179">
        <v>0.75</v>
      </c>
      <c r="F60" s="348" t="s">
        <v>1656</v>
      </c>
      <c r="S60" s="7" t="s">
        <v>16194</v>
      </c>
    </row>
    <row r="61">
      <c r="A61" s="176" t="s">
        <v>16195</v>
      </c>
      <c r="B61" s="25">
        <v>6928.0</v>
      </c>
      <c r="C61" s="136" t="s">
        <v>15405</v>
      </c>
      <c r="D61" s="179">
        <v>0.75</v>
      </c>
      <c r="E61" s="179">
        <v>0.75</v>
      </c>
      <c r="F61" s="348" t="s">
        <v>1656</v>
      </c>
      <c r="S61" s="7" t="s">
        <v>16196</v>
      </c>
      <c r="T61" s="11">
        <v>6629.0</v>
      </c>
    </row>
    <row r="62">
      <c r="A62" s="176" t="s">
        <v>16197</v>
      </c>
      <c r="B62" s="78"/>
      <c r="C62" s="136" t="s">
        <v>15405</v>
      </c>
      <c r="D62" s="179">
        <v>0.75</v>
      </c>
      <c r="E62" s="179">
        <v>0.75</v>
      </c>
      <c r="F62" s="348" t="s">
        <v>1656</v>
      </c>
      <c r="S62" s="7" t="s">
        <v>16198</v>
      </c>
    </row>
    <row r="63">
      <c r="A63" s="176" t="s">
        <v>16199</v>
      </c>
      <c r="B63" s="78"/>
      <c r="C63" s="136" t="s">
        <v>15405</v>
      </c>
      <c r="D63" s="179">
        <v>0.75</v>
      </c>
      <c r="E63" s="179">
        <v>0.75</v>
      </c>
      <c r="F63" s="348" t="s">
        <v>1656</v>
      </c>
      <c r="S63" s="7" t="s">
        <v>16200</v>
      </c>
    </row>
    <row r="64">
      <c r="A64" s="176" t="s">
        <v>16201</v>
      </c>
      <c r="B64" s="78"/>
      <c r="C64" s="136" t="s">
        <v>15405</v>
      </c>
      <c r="D64" s="179">
        <v>0.75</v>
      </c>
      <c r="E64" s="179">
        <v>0.75</v>
      </c>
      <c r="F64" s="348" t="s">
        <v>1656</v>
      </c>
      <c r="S64" s="7" t="s">
        <v>16202</v>
      </c>
    </row>
    <row r="65">
      <c r="A65" s="176" t="s">
        <v>16203</v>
      </c>
      <c r="B65" s="78"/>
      <c r="C65" s="136" t="s">
        <v>15405</v>
      </c>
      <c r="D65" s="179">
        <v>0.75</v>
      </c>
      <c r="E65" s="179">
        <v>0.75</v>
      </c>
      <c r="F65" s="348" t="s">
        <v>1656</v>
      </c>
      <c r="S65" s="7" t="s">
        <v>16204</v>
      </c>
    </row>
    <row r="66">
      <c r="A66" s="176" t="s">
        <v>16205</v>
      </c>
      <c r="B66" s="78"/>
      <c r="C66" s="136" t="s">
        <v>15405</v>
      </c>
      <c r="D66" s="179">
        <v>0.75</v>
      </c>
      <c r="E66" s="179">
        <v>0.75</v>
      </c>
      <c r="F66" s="348" t="s">
        <v>1656</v>
      </c>
      <c r="S66" s="7" t="s">
        <v>16206</v>
      </c>
    </row>
    <row r="67">
      <c r="A67" s="176" t="s">
        <v>16207</v>
      </c>
      <c r="B67" s="78"/>
      <c r="C67" s="136" t="s">
        <v>15405</v>
      </c>
      <c r="D67" s="179">
        <v>0.75</v>
      </c>
      <c r="E67" s="179">
        <v>0.75</v>
      </c>
      <c r="F67" s="348" t="s">
        <v>1656</v>
      </c>
      <c r="S67" s="7" t="s">
        <v>16208</v>
      </c>
    </row>
    <row r="68">
      <c r="A68" s="176" t="s">
        <v>16209</v>
      </c>
      <c r="B68" s="78"/>
      <c r="C68" s="136" t="s">
        <v>15405</v>
      </c>
      <c r="D68" s="179">
        <v>0.75</v>
      </c>
      <c r="E68" s="179">
        <v>0.75</v>
      </c>
      <c r="F68" s="348" t="s">
        <v>1656</v>
      </c>
      <c r="S68" s="7" t="s">
        <v>16210</v>
      </c>
    </row>
    <row r="69">
      <c r="A69" s="176" t="s">
        <v>16211</v>
      </c>
      <c r="B69" s="78"/>
      <c r="C69" s="136" t="s">
        <v>15405</v>
      </c>
      <c r="D69" s="179">
        <v>0.75</v>
      </c>
      <c r="E69" s="179">
        <v>0.75</v>
      </c>
      <c r="F69" s="348" t="s">
        <v>1656</v>
      </c>
      <c r="S69" s="7" t="s">
        <v>16212</v>
      </c>
      <c r="T69" s="11">
        <v>8199.0</v>
      </c>
    </row>
    <row r="70">
      <c r="A70" s="176" t="s">
        <v>16213</v>
      </c>
      <c r="B70" s="25">
        <v>14575.0</v>
      </c>
      <c r="C70" s="136" t="s">
        <v>15405</v>
      </c>
      <c r="D70" s="74">
        <v>0.85</v>
      </c>
      <c r="E70" s="74">
        <v>0.85</v>
      </c>
      <c r="F70" s="348" t="s">
        <v>1656</v>
      </c>
      <c r="S70" s="7" t="s">
        <v>1563</v>
      </c>
      <c r="T70" s="11">
        <v>8199.0</v>
      </c>
    </row>
    <row r="71">
      <c r="A71" s="176" t="s">
        <v>16214</v>
      </c>
      <c r="B71" s="25">
        <v>6675.0</v>
      </c>
      <c r="C71" s="136" t="s">
        <v>15405</v>
      </c>
      <c r="D71" s="74">
        <v>0.85</v>
      </c>
      <c r="E71" s="74">
        <v>0.85</v>
      </c>
      <c r="F71" s="348" t="s">
        <v>1656</v>
      </c>
      <c r="S71" s="7" t="s">
        <v>16215</v>
      </c>
      <c r="T71" s="11">
        <v>4193.0</v>
      </c>
    </row>
    <row r="72">
      <c r="A72" s="176" t="s">
        <v>16216</v>
      </c>
      <c r="B72" s="25">
        <v>7033.0</v>
      </c>
      <c r="C72" s="136" t="s">
        <v>15405</v>
      </c>
      <c r="D72" s="179">
        <v>0.75</v>
      </c>
      <c r="E72" s="179">
        <v>0.75</v>
      </c>
      <c r="F72" s="348" t="s">
        <v>1656</v>
      </c>
      <c r="S72" s="7" t="s">
        <v>16217</v>
      </c>
    </row>
    <row r="73">
      <c r="A73" s="176" t="s">
        <v>16218</v>
      </c>
      <c r="B73" s="25">
        <v>6772.0</v>
      </c>
      <c r="C73" s="136" t="s">
        <v>15405</v>
      </c>
      <c r="D73" s="179">
        <v>0.75</v>
      </c>
      <c r="E73" s="179">
        <v>0.75</v>
      </c>
      <c r="F73" s="348" t="s">
        <v>1656</v>
      </c>
      <c r="S73" s="7" t="s">
        <v>16219</v>
      </c>
    </row>
    <row r="74">
      <c r="A74" s="176" t="s">
        <v>16220</v>
      </c>
      <c r="B74" s="25">
        <v>11049.0</v>
      </c>
      <c r="C74" s="136" t="s">
        <v>15405</v>
      </c>
      <c r="D74" s="179">
        <v>0.75</v>
      </c>
      <c r="E74" s="179">
        <v>0.75</v>
      </c>
      <c r="F74" s="348" t="s">
        <v>1656</v>
      </c>
      <c r="S74" s="7" t="s">
        <v>16221</v>
      </c>
      <c r="T74" s="11">
        <v>5458.0</v>
      </c>
    </row>
    <row r="75">
      <c r="A75" s="176" t="s">
        <v>16222</v>
      </c>
      <c r="B75" s="25">
        <v>11049.0</v>
      </c>
      <c r="C75" s="136" t="s">
        <v>15405</v>
      </c>
      <c r="D75" s="179">
        <v>0.75</v>
      </c>
      <c r="E75" s="179">
        <v>0.75</v>
      </c>
      <c r="F75" s="348" t="s">
        <v>1656</v>
      </c>
      <c r="S75" s="7" t="s">
        <v>16223</v>
      </c>
    </row>
    <row r="76">
      <c r="A76" s="176" t="s">
        <v>16224</v>
      </c>
      <c r="B76" s="25">
        <v>11049.0</v>
      </c>
      <c r="C76" s="136" t="s">
        <v>15405</v>
      </c>
      <c r="D76" s="179">
        <v>0.75</v>
      </c>
      <c r="E76" s="179">
        <v>0.75</v>
      </c>
      <c r="F76" s="348" t="s">
        <v>1656</v>
      </c>
      <c r="S76" s="7" t="s">
        <v>16225</v>
      </c>
    </row>
    <row r="77">
      <c r="A77" s="176" t="s">
        <v>16226</v>
      </c>
      <c r="B77" s="25">
        <v>11049.0</v>
      </c>
      <c r="C77" s="136" t="s">
        <v>15405</v>
      </c>
      <c r="D77" s="179">
        <v>0.75</v>
      </c>
      <c r="E77" s="179">
        <v>0.75</v>
      </c>
      <c r="F77" s="348" t="s">
        <v>1656</v>
      </c>
      <c r="S77" s="7" t="s">
        <v>16227</v>
      </c>
    </row>
    <row r="78">
      <c r="A78" s="176" t="s">
        <v>16228</v>
      </c>
      <c r="B78" s="25">
        <v>11049.0</v>
      </c>
      <c r="C78" s="136" t="s">
        <v>15405</v>
      </c>
      <c r="D78" s="179">
        <v>0.75</v>
      </c>
      <c r="E78" s="179">
        <v>0.75</v>
      </c>
      <c r="F78" s="348" t="s">
        <v>1656</v>
      </c>
      <c r="S78" s="7" t="s">
        <v>16229</v>
      </c>
    </row>
    <row r="79">
      <c r="A79" s="176" t="s">
        <v>16230</v>
      </c>
      <c r="B79" s="25">
        <v>11049.0</v>
      </c>
      <c r="C79" s="136" t="s">
        <v>15405</v>
      </c>
      <c r="D79" s="179">
        <v>0.75</v>
      </c>
      <c r="E79" s="179">
        <v>0.75</v>
      </c>
      <c r="F79" s="348" t="s">
        <v>1656</v>
      </c>
      <c r="S79" s="7" t="s">
        <v>16231</v>
      </c>
    </row>
    <row r="80">
      <c r="A80" s="176" t="s">
        <v>16232</v>
      </c>
      <c r="B80" s="25">
        <v>11049.0</v>
      </c>
      <c r="C80" s="136" t="s">
        <v>15405</v>
      </c>
      <c r="D80" s="179">
        <v>0.75</v>
      </c>
      <c r="E80" s="179">
        <v>0.75</v>
      </c>
      <c r="F80" s="348" t="s">
        <v>1656</v>
      </c>
      <c r="S80" s="7" t="s">
        <v>16233</v>
      </c>
    </row>
    <row r="81">
      <c r="A81" s="176" t="s">
        <v>2610</v>
      </c>
      <c r="B81" s="25">
        <v>11049.0</v>
      </c>
      <c r="C81" s="136" t="s">
        <v>15405</v>
      </c>
      <c r="D81" s="179">
        <v>0.75</v>
      </c>
      <c r="E81" s="179">
        <v>0.75</v>
      </c>
      <c r="F81" s="348" t="s">
        <v>1656</v>
      </c>
      <c r="S81" s="7" t="s">
        <v>16234</v>
      </c>
      <c r="T81" s="11">
        <v>7297.0</v>
      </c>
    </row>
    <row r="82">
      <c r="A82" s="176" t="s">
        <v>16235</v>
      </c>
      <c r="B82" s="25">
        <v>11049.0</v>
      </c>
      <c r="C82" s="136" t="s">
        <v>15405</v>
      </c>
      <c r="D82" s="179">
        <v>0.75</v>
      </c>
      <c r="E82" s="179">
        <v>0.75</v>
      </c>
      <c r="F82" s="348" t="s">
        <v>1656</v>
      </c>
      <c r="S82" s="7" t="s">
        <v>16236</v>
      </c>
    </row>
    <row r="83">
      <c r="A83" s="176" t="s">
        <v>16237</v>
      </c>
      <c r="B83" s="25">
        <v>11049.0</v>
      </c>
      <c r="C83" s="136" t="s">
        <v>15405</v>
      </c>
      <c r="D83" s="179">
        <v>0.75</v>
      </c>
      <c r="E83" s="179">
        <v>0.75</v>
      </c>
      <c r="F83" s="348" t="s">
        <v>1656</v>
      </c>
      <c r="S83" s="7" t="s">
        <v>16238</v>
      </c>
    </row>
    <row r="84">
      <c r="A84" s="176" t="s">
        <v>16239</v>
      </c>
      <c r="B84" s="25">
        <v>11049.0</v>
      </c>
      <c r="C84" s="136" t="s">
        <v>15405</v>
      </c>
      <c r="D84" s="179">
        <v>0.75</v>
      </c>
      <c r="E84" s="179">
        <v>0.75</v>
      </c>
      <c r="F84" s="348" t="s">
        <v>1656</v>
      </c>
      <c r="S84" s="7" t="s">
        <v>16240</v>
      </c>
    </row>
    <row r="85">
      <c r="A85" s="176" t="s">
        <v>16241</v>
      </c>
      <c r="B85" s="25">
        <v>11049.0</v>
      </c>
      <c r="C85" s="136" t="s">
        <v>15405</v>
      </c>
      <c r="D85" s="179">
        <v>0.75</v>
      </c>
      <c r="E85" s="179">
        <v>0.75</v>
      </c>
      <c r="F85" s="348" t="s">
        <v>1656</v>
      </c>
      <c r="S85" s="7" t="s">
        <v>16242</v>
      </c>
    </row>
    <row r="86">
      <c r="A86" s="176" t="s">
        <v>16243</v>
      </c>
      <c r="B86" s="25">
        <v>11049.0</v>
      </c>
      <c r="C86" s="136" t="s">
        <v>15405</v>
      </c>
      <c r="D86" s="179">
        <v>0.75</v>
      </c>
      <c r="E86" s="179">
        <v>0.75</v>
      </c>
      <c r="F86" s="348" t="s">
        <v>1656</v>
      </c>
      <c r="S86" s="7" t="s">
        <v>16244</v>
      </c>
    </row>
    <row r="87">
      <c r="A87" s="176" t="s">
        <v>16245</v>
      </c>
      <c r="B87" s="25">
        <v>11049.0</v>
      </c>
      <c r="C87" s="136" t="s">
        <v>15405</v>
      </c>
      <c r="D87" s="179">
        <v>0.75</v>
      </c>
      <c r="E87" s="179">
        <v>0.75</v>
      </c>
      <c r="F87" s="348" t="s">
        <v>1656</v>
      </c>
      <c r="S87" s="7" t="s">
        <v>16246</v>
      </c>
    </row>
    <row r="88">
      <c r="A88" s="176" t="s">
        <v>16247</v>
      </c>
      <c r="B88" s="25">
        <v>11049.0</v>
      </c>
      <c r="C88" s="136" t="s">
        <v>15405</v>
      </c>
      <c r="D88" s="179">
        <v>0.75</v>
      </c>
      <c r="E88" s="179">
        <v>0.75</v>
      </c>
      <c r="F88" s="348" t="s">
        <v>1656</v>
      </c>
      <c r="S88" s="7" t="s">
        <v>2208</v>
      </c>
    </row>
    <row r="89">
      <c r="A89" s="176" t="s">
        <v>16248</v>
      </c>
      <c r="B89" s="25">
        <v>11049.0</v>
      </c>
      <c r="C89" s="136" t="s">
        <v>15405</v>
      </c>
      <c r="D89" s="179">
        <v>0.75</v>
      </c>
      <c r="E89" s="179">
        <v>0.75</v>
      </c>
      <c r="F89" s="348" t="s">
        <v>1656</v>
      </c>
      <c r="S89" s="7" t="s">
        <v>16249</v>
      </c>
    </row>
    <row r="90">
      <c r="A90" s="176" t="s">
        <v>16250</v>
      </c>
      <c r="B90" s="25">
        <v>11049.0</v>
      </c>
      <c r="C90" s="136" t="s">
        <v>15405</v>
      </c>
      <c r="D90" s="179">
        <v>0.75</v>
      </c>
      <c r="E90" s="179">
        <v>0.75</v>
      </c>
      <c r="F90" s="348" t="s">
        <v>1656</v>
      </c>
      <c r="S90" s="7" t="s">
        <v>15748</v>
      </c>
      <c r="T90" s="11">
        <v>5458.0</v>
      </c>
    </row>
    <row r="91">
      <c r="A91" s="176" t="s">
        <v>16251</v>
      </c>
      <c r="B91" s="25">
        <v>11049.0</v>
      </c>
      <c r="C91" s="136" t="s">
        <v>15405</v>
      </c>
      <c r="D91" s="179">
        <v>0.75</v>
      </c>
      <c r="E91" s="179">
        <v>0.75</v>
      </c>
      <c r="F91" s="348" t="s">
        <v>1656</v>
      </c>
      <c r="S91" s="7" t="s">
        <v>16252</v>
      </c>
    </row>
    <row r="92">
      <c r="A92" s="176" t="s">
        <v>16253</v>
      </c>
      <c r="B92" s="25">
        <v>11049.0</v>
      </c>
      <c r="C92" s="136" t="s">
        <v>15405</v>
      </c>
      <c r="D92" s="179">
        <v>0.75</v>
      </c>
      <c r="E92" s="179">
        <v>0.75</v>
      </c>
      <c r="F92" s="348" t="s">
        <v>1656</v>
      </c>
      <c r="S92" s="7" t="s">
        <v>15427</v>
      </c>
    </row>
    <row r="93">
      <c r="A93" s="176" t="s">
        <v>16254</v>
      </c>
      <c r="B93" s="25">
        <v>7142.0</v>
      </c>
      <c r="C93" s="136" t="s">
        <v>15405</v>
      </c>
      <c r="D93" s="179">
        <v>0.75</v>
      </c>
      <c r="E93" s="179">
        <v>0.75</v>
      </c>
      <c r="F93" s="348" t="s">
        <v>1656</v>
      </c>
      <c r="S93" s="7" t="s">
        <v>16255</v>
      </c>
    </row>
    <row r="94">
      <c r="A94" s="176" t="s">
        <v>16256</v>
      </c>
      <c r="B94" s="25">
        <v>11049.0</v>
      </c>
      <c r="C94" s="136" t="s">
        <v>15405</v>
      </c>
      <c r="D94" s="179">
        <v>0.75</v>
      </c>
      <c r="E94" s="179">
        <v>0.75</v>
      </c>
      <c r="F94" s="348" t="s">
        <v>1656</v>
      </c>
      <c r="S94" s="7" t="s">
        <v>16257</v>
      </c>
    </row>
    <row r="95">
      <c r="A95" s="176" t="s">
        <v>16258</v>
      </c>
      <c r="B95" s="25">
        <v>11049.0</v>
      </c>
      <c r="C95" s="136" t="s">
        <v>15405</v>
      </c>
      <c r="D95" s="179">
        <v>0.75</v>
      </c>
      <c r="E95" s="179">
        <v>0.75</v>
      </c>
      <c r="F95" s="348" t="s">
        <v>1656</v>
      </c>
      <c r="S95" s="7" t="s">
        <v>16063</v>
      </c>
    </row>
    <row r="96">
      <c r="A96" s="176" t="s">
        <v>16259</v>
      </c>
      <c r="B96" s="25">
        <v>11049.0</v>
      </c>
      <c r="C96" s="136" t="s">
        <v>15405</v>
      </c>
      <c r="D96" s="179">
        <v>0.75</v>
      </c>
      <c r="E96" s="179">
        <v>0.75</v>
      </c>
      <c r="F96" s="348" t="s">
        <v>1656</v>
      </c>
      <c r="S96" s="7" t="s">
        <v>16260</v>
      </c>
    </row>
    <row r="97">
      <c r="A97" s="176" t="s">
        <v>16261</v>
      </c>
      <c r="B97" s="25">
        <v>11049.0</v>
      </c>
      <c r="C97" s="136" t="s">
        <v>15405</v>
      </c>
      <c r="D97" s="179">
        <v>0.75</v>
      </c>
      <c r="E97" s="179">
        <v>0.75</v>
      </c>
      <c r="F97" s="348" t="s">
        <v>1656</v>
      </c>
      <c r="S97" s="7" t="s">
        <v>5997</v>
      </c>
    </row>
    <row r="98">
      <c r="A98" s="176" t="s">
        <v>16262</v>
      </c>
      <c r="B98" s="25">
        <v>11049.0</v>
      </c>
      <c r="C98" s="136" t="s">
        <v>15405</v>
      </c>
      <c r="D98" s="179">
        <v>0.75</v>
      </c>
      <c r="E98" s="179">
        <v>0.75</v>
      </c>
      <c r="F98" s="348" t="s">
        <v>1656</v>
      </c>
      <c r="S98" s="7" t="s">
        <v>16263</v>
      </c>
    </row>
    <row r="99">
      <c r="A99" s="176" t="s">
        <v>16264</v>
      </c>
      <c r="B99" s="25">
        <v>11049.0</v>
      </c>
      <c r="C99" s="136" t="s">
        <v>15405</v>
      </c>
      <c r="D99" s="179">
        <v>0.75</v>
      </c>
      <c r="E99" s="179">
        <v>0.75</v>
      </c>
      <c r="F99" s="348" t="s">
        <v>1656</v>
      </c>
      <c r="S99" s="7" t="s">
        <v>16265</v>
      </c>
    </row>
    <row r="100">
      <c r="A100" s="176" t="s">
        <v>16266</v>
      </c>
      <c r="B100" s="25">
        <v>11049.0</v>
      </c>
      <c r="C100" s="136" t="s">
        <v>15405</v>
      </c>
      <c r="D100" s="179">
        <v>0.75</v>
      </c>
      <c r="E100" s="179">
        <v>0.75</v>
      </c>
      <c r="F100" s="348" t="s">
        <v>1656</v>
      </c>
      <c r="S100" s="7" t="s">
        <v>16267</v>
      </c>
    </row>
    <row r="101">
      <c r="A101" s="176" t="s">
        <v>16268</v>
      </c>
      <c r="B101" s="25">
        <v>6706.0</v>
      </c>
      <c r="C101" s="136" t="s">
        <v>15405</v>
      </c>
      <c r="D101" s="179">
        <v>0.75</v>
      </c>
      <c r="E101" s="179">
        <v>0.75</v>
      </c>
      <c r="F101" s="348" t="s">
        <v>1656</v>
      </c>
      <c r="S101" s="7" t="s">
        <v>16269</v>
      </c>
    </row>
    <row r="102">
      <c r="A102" s="176" t="s">
        <v>16270</v>
      </c>
      <c r="B102" s="25">
        <v>11049.0</v>
      </c>
      <c r="C102" s="136" t="s">
        <v>15405</v>
      </c>
      <c r="D102" s="179">
        <v>0.75</v>
      </c>
      <c r="E102" s="179">
        <v>0.75</v>
      </c>
      <c r="F102" s="348" t="s">
        <v>1656</v>
      </c>
      <c r="S102" s="7" t="s">
        <v>16271</v>
      </c>
    </row>
    <row r="103">
      <c r="A103" s="176" t="s">
        <v>16272</v>
      </c>
      <c r="B103" s="25">
        <v>11049.0</v>
      </c>
      <c r="C103" s="136" t="s">
        <v>15405</v>
      </c>
      <c r="D103" s="179">
        <v>0.75</v>
      </c>
      <c r="E103" s="179">
        <v>0.75</v>
      </c>
      <c r="F103" s="348" t="s">
        <v>1656</v>
      </c>
      <c r="S103" s="7" t="s">
        <v>16273</v>
      </c>
      <c r="T103" s="571"/>
    </row>
    <row r="104">
      <c r="A104" s="176" t="s">
        <v>16274</v>
      </c>
      <c r="B104" s="25">
        <v>11049.0</v>
      </c>
      <c r="C104" s="136" t="s">
        <v>15405</v>
      </c>
      <c r="D104" s="179">
        <v>0.75</v>
      </c>
      <c r="E104" s="179">
        <v>0.75</v>
      </c>
      <c r="F104" s="348" t="s">
        <v>1656</v>
      </c>
      <c r="S104" s="7" t="s">
        <v>2275</v>
      </c>
      <c r="T104" s="119">
        <v>11601.0</v>
      </c>
    </row>
    <row r="105">
      <c r="A105" s="176" t="s">
        <v>16275</v>
      </c>
      <c r="B105" s="25">
        <v>11049.0</v>
      </c>
      <c r="C105" s="136" t="s">
        <v>15405</v>
      </c>
      <c r="D105" s="179">
        <v>0.75</v>
      </c>
      <c r="E105" s="179">
        <v>0.75</v>
      </c>
      <c r="F105" s="348" t="s">
        <v>1656</v>
      </c>
      <c r="S105" s="7" t="s">
        <v>16276</v>
      </c>
      <c r="T105" s="11">
        <v>6728.0</v>
      </c>
    </row>
    <row r="106">
      <c r="A106" s="176" t="s">
        <v>16277</v>
      </c>
      <c r="B106" s="78"/>
      <c r="C106" s="136" t="s">
        <v>15405</v>
      </c>
      <c r="D106" s="179">
        <v>0.75</v>
      </c>
      <c r="E106" s="179">
        <v>0.75</v>
      </c>
      <c r="F106" s="348" t="s">
        <v>1656</v>
      </c>
      <c r="S106" s="7" t="s">
        <v>16278</v>
      </c>
    </row>
    <row r="107">
      <c r="A107" s="176" t="s">
        <v>16279</v>
      </c>
      <c r="B107" s="25">
        <v>6732.0</v>
      </c>
      <c r="C107" s="136" t="s">
        <v>15405</v>
      </c>
      <c r="D107" s="179">
        <v>0.75</v>
      </c>
      <c r="E107" s="179">
        <v>0.75</v>
      </c>
      <c r="F107" s="348" t="s">
        <v>1656</v>
      </c>
      <c r="S107" s="7" t="s">
        <v>16280</v>
      </c>
    </row>
    <row r="108">
      <c r="A108" s="176" t="s">
        <v>16281</v>
      </c>
      <c r="B108" s="78"/>
      <c r="C108" s="136" t="s">
        <v>15405</v>
      </c>
      <c r="D108" s="179">
        <v>0.75</v>
      </c>
      <c r="E108" s="179">
        <v>0.75</v>
      </c>
      <c r="F108" s="348" t="s">
        <v>1656</v>
      </c>
      <c r="S108" s="7" t="s">
        <v>16282</v>
      </c>
    </row>
    <row r="109">
      <c r="A109" s="176" t="s">
        <v>16283</v>
      </c>
      <c r="B109" s="78"/>
      <c r="C109" s="136" t="s">
        <v>15405</v>
      </c>
      <c r="D109" s="179">
        <v>0.75</v>
      </c>
      <c r="E109" s="179">
        <v>0.75</v>
      </c>
      <c r="F109" s="348" t="s">
        <v>1656</v>
      </c>
      <c r="S109" s="7" t="s">
        <v>16284</v>
      </c>
      <c r="T109" s="11">
        <v>7083.0</v>
      </c>
    </row>
    <row r="110">
      <c r="A110" s="176" t="s">
        <v>16285</v>
      </c>
      <c r="B110" s="78"/>
      <c r="C110" s="136" t="s">
        <v>15405</v>
      </c>
      <c r="D110" s="179">
        <v>0.75</v>
      </c>
      <c r="E110" s="179">
        <v>0.75</v>
      </c>
      <c r="F110" s="348" t="s">
        <v>1656</v>
      </c>
      <c r="S110" s="7" t="s">
        <v>16286</v>
      </c>
      <c r="T110" s="11">
        <v>8199.0</v>
      </c>
    </row>
    <row r="111">
      <c r="A111" s="176" t="s">
        <v>6004</v>
      </c>
      <c r="B111" s="78"/>
      <c r="C111" s="136" t="s">
        <v>15405</v>
      </c>
      <c r="D111" s="179">
        <v>0.75</v>
      </c>
      <c r="E111" s="179">
        <v>0.75</v>
      </c>
      <c r="F111" s="348" t="s">
        <v>1656</v>
      </c>
      <c r="S111" s="7" t="s">
        <v>16287</v>
      </c>
    </row>
    <row r="112">
      <c r="A112" s="176" t="s">
        <v>16288</v>
      </c>
      <c r="B112" s="78"/>
      <c r="C112" s="136" t="s">
        <v>15405</v>
      </c>
      <c r="D112" s="179">
        <v>0.75</v>
      </c>
      <c r="E112" s="179">
        <v>0.75</v>
      </c>
      <c r="F112" s="348" t="s">
        <v>1656</v>
      </c>
      <c r="S112" s="7" t="s">
        <v>2427</v>
      </c>
      <c r="T112" s="11">
        <v>7229.0</v>
      </c>
    </row>
    <row r="113">
      <c r="A113" s="176" t="s">
        <v>16289</v>
      </c>
      <c r="B113" s="25">
        <v>6732.0</v>
      </c>
      <c r="C113" s="136" t="s">
        <v>15405</v>
      </c>
      <c r="D113" s="179">
        <v>0.75</v>
      </c>
      <c r="E113" s="179">
        <v>0.75</v>
      </c>
      <c r="F113" s="348" t="s">
        <v>1656</v>
      </c>
      <c r="S113" s="7" t="s">
        <v>16290</v>
      </c>
    </row>
    <row r="114">
      <c r="A114" s="176" t="s">
        <v>16291</v>
      </c>
      <c r="B114" s="78"/>
      <c r="C114" s="136" t="s">
        <v>15405</v>
      </c>
      <c r="D114" s="179">
        <v>0.75</v>
      </c>
      <c r="E114" s="179">
        <v>0.75</v>
      </c>
      <c r="F114" s="348" t="s">
        <v>1656</v>
      </c>
      <c r="S114" s="7" t="s">
        <v>16292</v>
      </c>
    </row>
    <row r="115">
      <c r="A115" s="176" t="s">
        <v>16293</v>
      </c>
      <c r="B115" s="78"/>
      <c r="C115" s="136" t="s">
        <v>15405</v>
      </c>
      <c r="D115" s="179">
        <v>0.75</v>
      </c>
      <c r="E115" s="179">
        <v>0.75</v>
      </c>
      <c r="F115" s="348" t="s">
        <v>1656</v>
      </c>
      <c r="S115" s="7" t="s">
        <v>16294</v>
      </c>
    </row>
    <row r="116">
      <c r="A116" s="176" t="s">
        <v>16295</v>
      </c>
      <c r="B116" s="78"/>
      <c r="C116" s="136" t="s">
        <v>15405</v>
      </c>
      <c r="D116" s="179">
        <v>0.75</v>
      </c>
      <c r="E116" s="179">
        <v>0.75</v>
      </c>
      <c r="F116" s="348" t="s">
        <v>1656</v>
      </c>
      <c r="S116" s="7" t="s">
        <v>16296</v>
      </c>
    </row>
    <row r="117">
      <c r="A117" s="176" t="s">
        <v>16297</v>
      </c>
      <c r="B117" s="78"/>
      <c r="C117" s="136" t="s">
        <v>15405</v>
      </c>
      <c r="D117" s="179">
        <v>0.75</v>
      </c>
      <c r="E117" s="179">
        <v>0.75</v>
      </c>
      <c r="F117" s="348" t="s">
        <v>1656</v>
      </c>
      <c r="S117" s="7" t="s">
        <v>16298</v>
      </c>
    </row>
    <row r="118">
      <c r="A118" s="176" t="s">
        <v>16299</v>
      </c>
      <c r="B118" s="78"/>
      <c r="C118" s="136" t="s">
        <v>15405</v>
      </c>
      <c r="D118" s="179">
        <v>0.75</v>
      </c>
      <c r="E118" s="179">
        <v>0.75</v>
      </c>
      <c r="F118" s="348" t="s">
        <v>1656</v>
      </c>
      <c r="S118" s="7" t="s">
        <v>16300</v>
      </c>
    </row>
    <row r="119">
      <c r="A119" s="176" t="s">
        <v>16301</v>
      </c>
      <c r="B119" s="78"/>
      <c r="C119" s="136" t="s">
        <v>15405</v>
      </c>
      <c r="D119" s="179">
        <v>0.75</v>
      </c>
      <c r="E119" s="179">
        <v>0.75</v>
      </c>
      <c r="F119" s="348" t="s">
        <v>1656</v>
      </c>
      <c r="S119" s="7" t="s">
        <v>16302</v>
      </c>
    </row>
    <row r="120">
      <c r="A120" s="176" t="s">
        <v>16303</v>
      </c>
      <c r="B120" s="78"/>
      <c r="C120" s="136" t="s">
        <v>15405</v>
      </c>
      <c r="D120" s="179">
        <v>0.75</v>
      </c>
      <c r="E120" s="179">
        <v>0.75</v>
      </c>
      <c r="F120" s="348" t="s">
        <v>1656</v>
      </c>
      <c r="S120" s="7" t="s">
        <v>16304</v>
      </c>
    </row>
    <row r="121">
      <c r="A121" s="176" t="s">
        <v>16305</v>
      </c>
      <c r="B121" s="25">
        <v>14727.0</v>
      </c>
      <c r="C121" s="136" t="s">
        <v>15405</v>
      </c>
      <c r="D121" s="179">
        <v>0.75</v>
      </c>
      <c r="E121" s="179">
        <v>0.75</v>
      </c>
      <c r="F121" s="348" t="s">
        <v>1656</v>
      </c>
      <c r="S121" s="7" t="s">
        <v>16306</v>
      </c>
    </row>
    <row r="122">
      <c r="A122" s="176" t="s">
        <v>16307</v>
      </c>
      <c r="B122" s="78"/>
      <c r="C122" s="136" t="s">
        <v>15405</v>
      </c>
      <c r="D122" s="179">
        <v>0.75</v>
      </c>
      <c r="E122" s="179">
        <v>0.75</v>
      </c>
      <c r="F122" s="348" t="s">
        <v>1656</v>
      </c>
      <c r="S122" s="7" t="s">
        <v>16308</v>
      </c>
    </row>
    <row r="123">
      <c r="A123" s="176" t="s">
        <v>16309</v>
      </c>
      <c r="B123" s="25">
        <v>7033.0</v>
      </c>
      <c r="C123" s="136" t="s">
        <v>15405</v>
      </c>
      <c r="D123" s="179">
        <v>0.75</v>
      </c>
      <c r="E123" s="179">
        <v>0.75</v>
      </c>
      <c r="F123" s="348" t="s">
        <v>1656</v>
      </c>
      <c r="S123" s="7" t="s">
        <v>16310</v>
      </c>
    </row>
    <row r="124">
      <c r="A124" s="176" t="s">
        <v>3260</v>
      </c>
      <c r="B124" s="78"/>
      <c r="C124" s="136" t="s">
        <v>15405</v>
      </c>
      <c r="D124" s="179">
        <v>0.75</v>
      </c>
      <c r="E124" s="179">
        <v>0.75</v>
      </c>
      <c r="F124" s="348" t="s">
        <v>1656</v>
      </c>
      <c r="S124" s="7" t="s">
        <v>16311</v>
      </c>
    </row>
    <row r="125">
      <c r="A125" s="176" t="s">
        <v>16312</v>
      </c>
      <c r="B125" s="78"/>
      <c r="C125" s="136" t="s">
        <v>15405</v>
      </c>
      <c r="D125" s="179">
        <v>0.75</v>
      </c>
      <c r="E125" s="179">
        <v>0.75</v>
      </c>
      <c r="F125" s="348" t="s">
        <v>1656</v>
      </c>
      <c r="S125" s="7" t="s">
        <v>16313</v>
      </c>
    </row>
    <row r="126">
      <c r="A126" s="176" t="s">
        <v>16314</v>
      </c>
      <c r="B126" s="78"/>
      <c r="C126" s="136" t="s">
        <v>15405</v>
      </c>
      <c r="D126" s="179">
        <v>0.75</v>
      </c>
      <c r="E126" s="179">
        <v>0.75</v>
      </c>
      <c r="F126" s="348" t="s">
        <v>1656</v>
      </c>
      <c r="S126" s="7" t="s">
        <v>16315</v>
      </c>
    </row>
    <row r="127">
      <c r="A127" s="176" t="s">
        <v>16316</v>
      </c>
      <c r="B127" s="78"/>
      <c r="C127" s="136" t="s">
        <v>15405</v>
      </c>
      <c r="D127" s="179">
        <v>0.75</v>
      </c>
      <c r="E127" s="179">
        <v>0.75</v>
      </c>
      <c r="F127" s="348" t="s">
        <v>1656</v>
      </c>
      <c r="S127" s="7" t="s">
        <v>16317</v>
      </c>
      <c r="T127" s="11">
        <v>7100.0</v>
      </c>
    </row>
    <row r="128">
      <c r="A128" s="176" t="s">
        <v>16318</v>
      </c>
      <c r="B128" s="78"/>
      <c r="C128" s="136" t="s">
        <v>15405</v>
      </c>
      <c r="D128" s="179">
        <v>0.75</v>
      </c>
      <c r="E128" s="179">
        <v>0.75</v>
      </c>
      <c r="F128" s="348" t="s">
        <v>1656</v>
      </c>
      <c r="S128" s="7" t="s">
        <v>16319</v>
      </c>
    </row>
    <row r="129">
      <c r="A129" s="176" t="s">
        <v>16320</v>
      </c>
      <c r="B129" s="78"/>
      <c r="C129" s="136" t="s">
        <v>15405</v>
      </c>
      <c r="D129" s="179">
        <v>0.75</v>
      </c>
      <c r="E129" s="179">
        <v>0.75</v>
      </c>
      <c r="F129" s="348" t="s">
        <v>1656</v>
      </c>
      <c r="S129" s="7" t="s">
        <v>15822</v>
      </c>
    </row>
    <row r="130">
      <c r="A130" s="176" t="s">
        <v>16321</v>
      </c>
      <c r="B130" s="78"/>
      <c r="C130" s="136" t="s">
        <v>15405</v>
      </c>
      <c r="D130" s="179">
        <v>0.75</v>
      </c>
      <c r="E130" s="179">
        <v>0.75</v>
      </c>
      <c r="F130" s="348" t="s">
        <v>1656</v>
      </c>
      <c r="S130" s="7" t="s">
        <v>16322</v>
      </c>
    </row>
    <row r="131">
      <c r="A131" s="176" t="s">
        <v>16323</v>
      </c>
      <c r="B131" s="25">
        <v>6772.0</v>
      </c>
      <c r="C131" s="136" t="s">
        <v>15405</v>
      </c>
      <c r="D131" s="179">
        <v>0.75</v>
      </c>
      <c r="E131" s="179">
        <v>0.75</v>
      </c>
      <c r="F131" s="348" t="s">
        <v>1656</v>
      </c>
      <c r="S131" s="7" t="s">
        <v>16324</v>
      </c>
    </row>
    <row r="132">
      <c r="A132" s="176" t="s">
        <v>16325</v>
      </c>
      <c r="B132" s="78"/>
      <c r="C132" s="136" t="s">
        <v>15405</v>
      </c>
      <c r="D132" s="179">
        <v>0.75</v>
      </c>
      <c r="E132" s="179">
        <v>0.75</v>
      </c>
      <c r="F132" s="348" t="s">
        <v>1656</v>
      </c>
      <c r="S132" s="7" t="s">
        <v>16326</v>
      </c>
    </row>
    <row r="133">
      <c r="A133" s="176" t="s">
        <v>16327</v>
      </c>
      <c r="B133" s="78"/>
      <c r="C133" s="136" t="s">
        <v>15405</v>
      </c>
      <c r="D133" s="179">
        <v>0.75</v>
      </c>
      <c r="E133" s="179">
        <v>0.75</v>
      </c>
      <c r="F133" s="348" t="s">
        <v>1656</v>
      </c>
      <c r="S133" s="7" t="s">
        <v>16328</v>
      </c>
    </row>
    <row r="134">
      <c r="A134" s="176" t="s">
        <v>866</v>
      </c>
      <c r="B134" s="78"/>
      <c r="C134" s="136" t="s">
        <v>15405</v>
      </c>
      <c r="D134" s="179">
        <v>0.75</v>
      </c>
      <c r="E134" s="179">
        <v>0.75</v>
      </c>
      <c r="F134" s="348" t="s">
        <v>1656</v>
      </c>
      <c r="S134" s="7" t="s">
        <v>16329</v>
      </c>
    </row>
    <row r="135">
      <c r="A135" s="176" t="s">
        <v>16330</v>
      </c>
      <c r="B135" s="78"/>
      <c r="C135" s="136" t="s">
        <v>15405</v>
      </c>
      <c r="D135" s="179">
        <v>0.75</v>
      </c>
      <c r="E135" s="179">
        <v>0.75</v>
      </c>
      <c r="F135" s="348" t="s">
        <v>1656</v>
      </c>
      <c r="S135" s="7" t="s">
        <v>16331</v>
      </c>
    </row>
    <row r="136">
      <c r="A136" s="176" t="s">
        <v>16332</v>
      </c>
      <c r="B136" s="78"/>
      <c r="C136" s="136" t="s">
        <v>15405</v>
      </c>
      <c r="D136" s="179">
        <v>0.75</v>
      </c>
      <c r="E136" s="179">
        <v>0.75</v>
      </c>
      <c r="F136" s="348" t="s">
        <v>1656</v>
      </c>
      <c r="S136" s="7" t="s">
        <v>16333</v>
      </c>
      <c r="T136" s="11">
        <v>9307.0</v>
      </c>
    </row>
    <row r="137">
      <c r="A137" s="176" t="s">
        <v>16334</v>
      </c>
      <c r="B137" s="78"/>
      <c r="C137" s="136" t="s">
        <v>15405</v>
      </c>
      <c r="D137" s="179">
        <v>0.75</v>
      </c>
      <c r="E137" s="179">
        <v>0.75</v>
      </c>
      <c r="F137" s="348" t="s">
        <v>1656</v>
      </c>
      <c r="S137" s="7" t="s">
        <v>16335</v>
      </c>
    </row>
    <row r="138">
      <c r="A138" s="176" t="s">
        <v>16336</v>
      </c>
      <c r="B138" s="16">
        <v>14465.0</v>
      </c>
      <c r="C138" s="136" t="s">
        <v>15405</v>
      </c>
      <c r="D138" s="74">
        <v>0.9</v>
      </c>
      <c r="E138" s="74">
        <v>0.9</v>
      </c>
      <c r="F138" s="348" t="s">
        <v>1656</v>
      </c>
      <c r="S138" s="7" t="s">
        <v>6043</v>
      </c>
    </row>
    <row r="139">
      <c r="A139" s="176" t="s">
        <v>16337</v>
      </c>
      <c r="B139" s="78"/>
      <c r="C139" s="136" t="s">
        <v>15405</v>
      </c>
      <c r="D139" s="179">
        <v>0.75</v>
      </c>
      <c r="E139" s="179">
        <v>0.75</v>
      </c>
      <c r="F139" s="348" t="s">
        <v>1656</v>
      </c>
      <c r="S139" s="7" t="s">
        <v>16338</v>
      </c>
    </row>
    <row r="140">
      <c r="A140" s="176" t="s">
        <v>16339</v>
      </c>
      <c r="B140" s="78"/>
      <c r="C140" s="136" t="s">
        <v>15405</v>
      </c>
      <c r="D140" s="179">
        <v>0.75</v>
      </c>
      <c r="E140" s="179">
        <v>0.75</v>
      </c>
      <c r="F140" s="348" t="s">
        <v>1656</v>
      </c>
      <c r="S140" s="7" t="s">
        <v>16340</v>
      </c>
    </row>
    <row r="141">
      <c r="A141" s="176" t="s">
        <v>16341</v>
      </c>
      <c r="B141" s="78"/>
      <c r="C141" s="136" t="s">
        <v>15405</v>
      </c>
      <c r="D141" s="179">
        <v>0.75</v>
      </c>
      <c r="E141" s="179">
        <v>0.75</v>
      </c>
      <c r="F141" s="348" t="s">
        <v>1656</v>
      </c>
      <c r="S141" s="7" t="s">
        <v>16342</v>
      </c>
    </row>
    <row r="142">
      <c r="A142" s="176" t="s">
        <v>16343</v>
      </c>
      <c r="B142" s="78"/>
      <c r="C142" s="136" t="s">
        <v>15405</v>
      </c>
      <c r="D142" s="179">
        <v>0.75</v>
      </c>
      <c r="E142" s="179">
        <v>0.75</v>
      </c>
      <c r="F142" s="348" t="s">
        <v>1656</v>
      </c>
      <c r="S142" s="7" t="s">
        <v>16344</v>
      </c>
    </row>
    <row r="143">
      <c r="A143" s="176" t="s">
        <v>16345</v>
      </c>
      <c r="B143" s="78"/>
      <c r="C143" s="136" t="s">
        <v>15405</v>
      </c>
      <c r="D143" s="179">
        <v>0.75</v>
      </c>
      <c r="E143" s="179">
        <v>0.75</v>
      </c>
      <c r="F143" s="348" t="s">
        <v>1656</v>
      </c>
      <c r="S143" s="7" t="s">
        <v>16346</v>
      </c>
    </row>
    <row r="144">
      <c r="A144" s="176" t="s">
        <v>16347</v>
      </c>
      <c r="B144" s="78"/>
      <c r="C144" s="136" t="s">
        <v>15405</v>
      </c>
      <c r="D144" s="179">
        <v>0.75</v>
      </c>
      <c r="E144" s="179">
        <v>0.75</v>
      </c>
      <c r="F144" s="348" t="s">
        <v>1656</v>
      </c>
      <c r="S144" s="7" t="s">
        <v>16348</v>
      </c>
    </row>
    <row r="145">
      <c r="A145" s="176" t="s">
        <v>16349</v>
      </c>
      <c r="B145" s="78"/>
      <c r="C145" s="136" t="s">
        <v>15405</v>
      </c>
      <c r="D145" s="179">
        <v>0.75</v>
      </c>
      <c r="E145" s="179">
        <v>0.75</v>
      </c>
      <c r="F145" s="348" t="s">
        <v>1656</v>
      </c>
      <c r="S145" s="7" t="s">
        <v>16350</v>
      </c>
      <c r="T145" s="11">
        <v>11708.0</v>
      </c>
    </row>
    <row r="146">
      <c r="A146" s="176" t="s">
        <v>16351</v>
      </c>
      <c r="B146" s="78"/>
      <c r="C146" s="136" t="s">
        <v>15405</v>
      </c>
      <c r="D146" s="179">
        <v>0.75</v>
      </c>
      <c r="E146" s="179">
        <v>0.75</v>
      </c>
      <c r="F146" s="348" t="s">
        <v>1656</v>
      </c>
      <c r="S146" s="7" t="s">
        <v>16352</v>
      </c>
    </row>
    <row r="147">
      <c r="A147" s="176" t="s">
        <v>16353</v>
      </c>
      <c r="B147" s="78"/>
      <c r="C147" s="136" t="s">
        <v>15405</v>
      </c>
      <c r="D147" s="179">
        <v>0.75</v>
      </c>
      <c r="E147" s="179">
        <v>0.75</v>
      </c>
      <c r="F147" s="348" t="s">
        <v>1656</v>
      </c>
      <c r="S147" s="7" t="s">
        <v>16354</v>
      </c>
      <c r="T147" s="11">
        <v>11875.0</v>
      </c>
    </row>
    <row r="148">
      <c r="A148" s="176" t="s">
        <v>16355</v>
      </c>
      <c r="B148" s="78"/>
      <c r="C148" s="136" t="s">
        <v>15405</v>
      </c>
      <c r="D148" s="179">
        <v>0.75</v>
      </c>
      <c r="E148" s="179">
        <v>0.75</v>
      </c>
      <c r="F148" s="348" t="s">
        <v>1656</v>
      </c>
      <c r="S148" s="7" t="s">
        <v>16356</v>
      </c>
    </row>
    <row r="149">
      <c r="A149" s="176" t="s">
        <v>16357</v>
      </c>
      <c r="B149" s="78"/>
      <c r="C149" s="136" t="s">
        <v>15405</v>
      </c>
      <c r="D149" s="179">
        <v>0.75</v>
      </c>
      <c r="E149" s="179">
        <v>0.75</v>
      </c>
      <c r="F149" s="348" t="s">
        <v>1656</v>
      </c>
      <c r="S149" s="7" t="s">
        <v>16358</v>
      </c>
    </row>
    <row r="150">
      <c r="A150" s="176" t="s">
        <v>16359</v>
      </c>
      <c r="B150" s="78"/>
      <c r="C150" s="136" t="s">
        <v>15405</v>
      </c>
      <c r="D150" s="179">
        <v>0.75</v>
      </c>
      <c r="E150" s="179">
        <v>0.75</v>
      </c>
      <c r="F150" s="348" t="s">
        <v>1656</v>
      </c>
      <c r="S150" s="7" t="s">
        <v>16360</v>
      </c>
    </row>
    <row r="151">
      <c r="A151" s="176" t="s">
        <v>16361</v>
      </c>
      <c r="B151" s="78"/>
      <c r="C151" s="136" t="s">
        <v>15405</v>
      </c>
      <c r="D151" s="179">
        <v>0.75</v>
      </c>
      <c r="E151" s="179">
        <v>0.75</v>
      </c>
      <c r="F151" s="348" t="s">
        <v>1656</v>
      </c>
      <c r="S151" s="7" t="s">
        <v>16362</v>
      </c>
    </row>
    <row r="152">
      <c r="A152" s="176" t="s">
        <v>16363</v>
      </c>
      <c r="B152" s="78"/>
      <c r="C152" s="136" t="s">
        <v>15405</v>
      </c>
      <c r="D152" s="179">
        <v>0.75</v>
      </c>
      <c r="E152" s="179">
        <v>0.75</v>
      </c>
      <c r="F152" s="348" t="s">
        <v>1656</v>
      </c>
      <c r="S152" s="7" t="s">
        <v>649</v>
      </c>
      <c r="T152" s="11">
        <v>7157.0</v>
      </c>
    </row>
    <row r="153">
      <c r="A153" s="176" t="s">
        <v>16364</v>
      </c>
      <c r="B153" s="78"/>
      <c r="C153" s="136" t="s">
        <v>15405</v>
      </c>
      <c r="D153" s="179">
        <v>0.75</v>
      </c>
      <c r="E153" s="179">
        <v>0.75</v>
      </c>
      <c r="F153" s="348" t="s">
        <v>1656</v>
      </c>
      <c r="S153" s="7" t="s">
        <v>16365</v>
      </c>
    </row>
    <row r="154">
      <c r="A154" s="176" t="s">
        <v>2255</v>
      </c>
      <c r="B154" s="78"/>
      <c r="C154" s="136" t="s">
        <v>15405</v>
      </c>
      <c r="D154" s="179">
        <v>0.75</v>
      </c>
      <c r="E154" s="179">
        <v>0.75</v>
      </c>
      <c r="F154" s="348" t="s">
        <v>1656</v>
      </c>
      <c r="S154" s="7" t="s">
        <v>16366</v>
      </c>
    </row>
    <row r="155">
      <c r="A155" s="176" t="s">
        <v>16367</v>
      </c>
      <c r="B155" s="78"/>
      <c r="C155" s="136" t="s">
        <v>15405</v>
      </c>
      <c r="D155" s="179">
        <v>0.75</v>
      </c>
      <c r="E155" s="179">
        <v>0.75</v>
      </c>
      <c r="F155" s="348" t="s">
        <v>1656</v>
      </c>
      <c r="S155" s="7" t="s">
        <v>16368</v>
      </c>
    </row>
    <row r="156">
      <c r="A156" s="176" t="s">
        <v>16369</v>
      </c>
      <c r="B156" s="78"/>
      <c r="C156" s="136" t="s">
        <v>15405</v>
      </c>
      <c r="D156" s="179">
        <v>0.75</v>
      </c>
      <c r="E156" s="179">
        <v>0.75</v>
      </c>
      <c r="F156" s="348" t="s">
        <v>1656</v>
      </c>
      <c r="S156" s="7" t="s">
        <v>16370</v>
      </c>
    </row>
    <row r="157">
      <c r="A157" s="176" t="s">
        <v>16371</v>
      </c>
      <c r="B157" s="78"/>
      <c r="C157" s="136" t="s">
        <v>15405</v>
      </c>
      <c r="D157" s="179">
        <v>0.75</v>
      </c>
      <c r="E157" s="179">
        <v>0.75</v>
      </c>
      <c r="F157" s="348" t="s">
        <v>1656</v>
      </c>
      <c r="S157" s="7" t="s">
        <v>16372</v>
      </c>
    </row>
    <row r="158">
      <c r="A158" s="176" t="s">
        <v>16373</v>
      </c>
      <c r="B158" s="78"/>
      <c r="C158" s="136" t="s">
        <v>15405</v>
      </c>
      <c r="D158" s="179">
        <v>0.75</v>
      </c>
      <c r="E158" s="179">
        <v>0.75</v>
      </c>
      <c r="F158" s="348" t="s">
        <v>1656</v>
      </c>
      <c r="S158" s="7" t="s">
        <v>16374</v>
      </c>
    </row>
    <row r="159">
      <c r="A159" s="176" t="s">
        <v>16375</v>
      </c>
      <c r="B159" s="78"/>
      <c r="C159" s="136" t="s">
        <v>15405</v>
      </c>
      <c r="D159" s="179">
        <v>0.75</v>
      </c>
      <c r="E159" s="179">
        <v>0.75</v>
      </c>
      <c r="F159" s="348" t="s">
        <v>1656</v>
      </c>
      <c r="S159" s="7" t="s">
        <v>16376</v>
      </c>
    </row>
    <row r="160">
      <c r="A160" s="176" t="s">
        <v>16377</v>
      </c>
      <c r="B160" s="78"/>
      <c r="C160" s="136" t="s">
        <v>15405</v>
      </c>
      <c r="D160" s="179">
        <v>0.75</v>
      </c>
      <c r="E160" s="179">
        <v>0.75</v>
      </c>
      <c r="F160" s="348" t="s">
        <v>1656</v>
      </c>
      <c r="S160" s="7" t="s">
        <v>15843</v>
      </c>
    </row>
    <row r="161">
      <c r="A161" s="176" t="s">
        <v>16378</v>
      </c>
      <c r="B161" s="78"/>
      <c r="C161" s="136" t="s">
        <v>15405</v>
      </c>
      <c r="D161" s="179">
        <v>0.75</v>
      </c>
      <c r="E161" s="179">
        <v>0.75</v>
      </c>
      <c r="F161" s="348" t="s">
        <v>1656</v>
      </c>
      <c r="S161" s="7" t="s">
        <v>16379</v>
      </c>
    </row>
    <row r="162">
      <c r="A162" s="176" t="s">
        <v>16380</v>
      </c>
      <c r="B162" s="78"/>
      <c r="C162" s="136" t="s">
        <v>15405</v>
      </c>
      <c r="D162" s="179">
        <v>0.75</v>
      </c>
      <c r="E162" s="179">
        <v>0.75</v>
      </c>
      <c r="F162" s="348" t="s">
        <v>1656</v>
      </c>
      <c r="S162" s="7" t="s">
        <v>2313</v>
      </c>
    </row>
    <row r="163">
      <c r="A163" s="176" t="s">
        <v>16381</v>
      </c>
      <c r="B163" s="78"/>
      <c r="C163" s="136" t="s">
        <v>15405</v>
      </c>
      <c r="D163" s="179">
        <v>0.75</v>
      </c>
      <c r="E163" s="179">
        <v>0.75</v>
      </c>
      <c r="F163" s="348" t="s">
        <v>1656</v>
      </c>
      <c r="S163" s="7" t="s">
        <v>16382</v>
      </c>
    </row>
    <row r="164">
      <c r="A164" s="176" t="s">
        <v>16383</v>
      </c>
      <c r="B164" s="78"/>
      <c r="C164" s="136" t="s">
        <v>15405</v>
      </c>
      <c r="D164" s="179">
        <v>0.75</v>
      </c>
      <c r="E164" s="179">
        <v>0.75</v>
      </c>
      <c r="F164" s="348" t="s">
        <v>1656</v>
      </c>
      <c r="S164" s="7" t="s">
        <v>16384</v>
      </c>
    </row>
    <row r="165">
      <c r="A165" s="176" t="s">
        <v>16385</v>
      </c>
      <c r="B165" s="78"/>
      <c r="C165" s="136" t="s">
        <v>15405</v>
      </c>
      <c r="D165" s="179">
        <v>0.75</v>
      </c>
      <c r="E165" s="179">
        <v>0.75</v>
      </c>
      <c r="F165" s="348" t="s">
        <v>1656</v>
      </c>
      <c r="S165" s="7" t="s">
        <v>16386</v>
      </c>
    </row>
    <row r="166">
      <c r="A166" s="176" t="s">
        <v>16387</v>
      </c>
      <c r="B166" s="78"/>
      <c r="C166" s="136" t="s">
        <v>15405</v>
      </c>
      <c r="D166" s="179">
        <v>0.75</v>
      </c>
      <c r="E166" s="179">
        <v>0.75</v>
      </c>
      <c r="F166" s="348" t="s">
        <v>1656</v>
      </c>
      <c r="S166" s="7" t="s">
        <v>16388</v>
      </c>
    </row>
    <row r="167">
      <c r="A167" s="176" t="s">
        <v>16389</v>
      </c>
      <c r="B167" s="78"/>
      <c r="C167" s="136" t="s">
        <v>15405</v>
      </c>
      <c r="D167" s="179">
        <v>0.75</v>
      </c>
      <c r="E167" s="179">
        <v>0.75</v>
      </c>
      <c r="F167" s="348" t="s">
        <v>1656</v>
      </c>
      <c r="S167" s="7" t="s">
        <v>16390</v>
      </c>
    </row>
    <row r="168">
      <c r="A168" s="176" t="s">
        <v>16391</v>
      </c>
      <c r="B168" s="78"/>
      <c r="C168" s="136" t="s">
        <v>15405</v>
      </c>
      <c r="D168" s="179">
        <v>0.75</v>
      </c>
      <c r="E168" s="179">
        <v>0.75</v>
      </c>
      <c r="F168" s="348" t="s">
        <v>1656</v>
      </c>
      <c r="S168" s="7" t="s">
        <v>16392</v>
      </c>
    </row>
    <row r="169">
      <c r="A169" s="176" t="s">
        <v>16393</v>
      </c>
      <c r="B169" s="78"/>
      <c r="C169" s="136" t="s">
        <v>15405</v>
      </c>
      <c r="D169" s="179">
        <v>0.75</v>
      </c>
      <c r="E169" s="179">
        <v>0.75</v>
      </c>
      <c r="F169" s="348" t="s">
        <v>1656</v>
      </c>
      <c r="S169" s="7" t="s">
        <v>16394</v>
      </c>
    </row>
    <row r="170">
      <c r="A170" s="176" t="s">
        <v>16395</v>
      </c>
      <c r="B170" s="78"/>
      <c r="C170" s="136" t="s">
        <v>15405</v>
      </c>
      <c r="D170" s="179">
        <v>0.75</v>
      </c>
      <c r="E170" s="179">
        <v>0.75</v>
      </c>
      <c r="F170" s="348" t="s">
        <v>1656</v>
      </c>
      <c r="S170" s="7" t="s">
        <v>16396</v>
      </c>
    </row>
    <row r="171">
      <c r="A171" s="176" t="s">
        <v>16397</v>
      </c>
      <c r="B171" s="78"/>
      <c r="C171" s="136" t="s">
        <v>15405</v>
      </c>
      <c r="D171" s="179">
        <v>0.75</v>
      </c>
      <c r="E171" s="179">
        <v>0.75</v>
      </c>
      <c r="F171" s="348" t="s">
        <v>1656</v>
      </c>
      <c r="S171" s="7" t="s">
        <v>16398</v>
      </c>
    </row>
    <row r="172">
      <c r="A172" s="176" t="s">
        <v>16399</v>
      </c>
      <c r="B172" s="78"/>
      <c r="C172" s="136" t="s">
        <v>15405</v>
      </c>
      <c r="D172" s="179">
        <v>0.75</v>
      </c>
      <c r="E172" s="179">
        <v>0.75</v>
      </c>
      <c r="F172" s="348" t="s">
        <v>1656</v>
      </c>
      <c r="S172" s="7" t="s">
        <v>16400</v>
      </c>
    </row>
    <row r="173">
      <c r="A173" s="176" t="s">
        <v>16401</v>
      </c>
      <c r="B173" s="25">
        <v>189.0</v>
      </c>
      <c r="C173" s="136" t="s">
        <v>15405</v>
      </c>
      <c r="D173" s="179">
        <v>0.75</v>
      </c>
      <c r="E173" s="179">
        <v>0.75</v>
      </c>
      <c r="F173" s="348" t="s">
        <v>1656</v>
      </c>
      <c r="S173" s="7" t="s">
        <v>16402</v>
      </c>
    </row>
    <row r="174">
      <c r="A174" s="176" t="s">
        <v>3135</v>
      </c>
      <c r="B174" s="25">
        <v>189.0</v>
      </c>
      <c r="C174" s="136" t="s">
        <v>15405</v>
      </c>
      <c r="D174" s="179">
        <v>0.75</v>
      </c>
      <c r="E174" s="179">
        <v>0.75</v>
      </c>
      <c r="F174" s="348" t="s">
        <v>1656</v>
      </c>
      <c r="S174" s="7" t="s">
        <v>16403</v>
      </c>
    </row>
    <row r="175">
      <c r="A175" s="176" t="s">
        <v>16404</v>
      </c>
      <c r="B175" s="78"/>
      <c r="C175" s="136" t="s">
        <v>15405</v>
      </c>
      <c r="D175" s="179">
        <v>0.75</v>
      </c>
      <c r="E175" s="179">
        <v>0.75</v>
      </c>
      <c r="F175" s="348" t="s">
        <v>1656</v>
      </c>
      <c r="S175" s="7" t="s">
        <v>5989</v>
      </c>
    </row>
    <row r="176">
      <c r="A176" s="176" t="s">
        <v>16405</v>
      </c>
      <c r="B176" s="25">
        <v>189.0</v>
      </c>
      <c r="C176" s="136" t="s">
        <v>15405</v>
      </c>
      <c r="D176" s="179">
        <v>0.75</v>
      </c>
      <c r="E176" s="179">
        <v>0.75</v>
      </c>
      <c r="F176" s="348" t="s">
        <v>1656</v>
      </c>
      <c r="S176" s="7" t="s">
        <v>3493</v>
      </c>
    </row>
    <row r="177">
      <c r="A177" s="176" t="s">
        <v>16406</v>
      </c>
      <c r="B177" s="78"/>
      <c r="C177" s="136" t="s">
        <v>15405</v>
      </c>
      <c r="D177" s="179">
        <v>0.75</v>
      </c>
      <c r="E177" s="179">
        <v>0.75</v>
      </c>
      <c r="F177" s="348" t="s">
        <v>1656</v>
      </c>
      <c r="S177" s="7" t="s">
        <v>16407</v>
      </c>
    </row>
    <row r="178">
      <c r="A178" s="176" t="s">
        <v>16408</v>
      </c>
      <c r="B178" s="78"/>
      <c r="C178" s="136" t="s">
        <v>15405</v>
      </c>
      <c r="D178" s="179">
        <v>0.75</v>
      </c>
      <c r="E178" s="179">
        <v>0.75</v>
      </c>
      <c r="F178" s="348" t="s">
        <v>1656</v>
      </c>
      <c r="S178" s="7" t="s">
        <v>16409</v>
      </c>
    </row>
    <row r="179">
      <c r="A179" s="176" t="s">
        <v>16410</v>
      </c>
      <c r="B179" s="78"/>
      <c r="C179" s="136" t="s">
        <v>15405</v>
      </c>
      <c r="D179" s="179">
        <v>0.75</v>
      </c>
      <c r="E179" s="179">
        <v>0.75</v>
      </c>
      <c r="F179" s="348" t="s">
        <v>1656</v>
      </c>
      <c r="S179" s="7" t="s">
        <v>16411</v>
      </c>
    </row>
    <row r="180">
      <c r="A180" s="176" t="s">
        <v>16412</v>
      </c>
      <c r="B180" s="78"/>
      <c r="C180" s="136" t="s">
        <v>15405</v>
      </c>
      <c r="D180" s="179">
        <v>0.75</v>
      </c>
      <c r="E180" s="179">
        <v>0.75</v>
      </c>
      <c r="F180" s="348" t="s">
        <v>1656</v>
      </c>
      <c r="S180" s="7" t="s">
        <v>16413</v>
      </c>
    </row>
    <row r="181">
      <c r="A181" s="176" t="s">
        <v>16414</v>
      </c>
      <c r="B181" s="78"/>
      <c r="C181" s="136" t="s">
        <v>15405</v>
      </c>
      <c r="D181" s="179">
        <v>0.75</v>
      </c>
      <c r="E181" s="179">
        <v>0.75</v>
      </c>
      <c r="F181" s="348" t="s">
        <v>1656</v>
      </c>
      <c r="S181" s="7" t="s">
        <v>16415</v>
      </c>
    </row>
    <row r="182">
      <c r="A182" s="176" t="s">
        <v>16416</v>
      </c>
      <c r="B182" s="78"/>
      <c r="C182" s="136" t="s">
        <v>15405</v>
      </c>
      <c r="D182" s="179">
        <v>0.75</v>
      </c>
      <c r="E182" s="179">
        <v>0.75</v>
      </c>
      <c r="F182" s="348" t="s">
        <v>1656</v>
      </c>
      <c r="S182" s="7" t="s">
        <v>16417</v>
      </c>
    </row>
    <row r="183">
      <c r="A183" s="176" t="s">
        <v>2746</v>
      </c>
      <c r="B183" s="78"/>
      <c r="C183" s="136" t="s">
        <v>15405</v>
      </c>
      <c r="D183" s="179">
        <v>0.75</v>
      </c>
      <c r="E183" s="179">
        <v>0.75</v>
      </c>
      <c r="F183" s="348" t="s">
        <v>1656</v>
      </c>
      <c r="S183" s="7" t="s">
        <v>16418</v>
      </c>
    </row>
    <row r="184">
      <c r="A184" s="176" t="s">
        <v>16419</v>
      </c>
      <c r="B184" s="78"/>
      <c r="C184" s="136" t="s">
        <v>15405</v>
      </c>
      <c r="D184" s="179">
        <v>0.75</v>
      </c>
      <c r="E184" s="179">
        <v>0.75</v>
      </c>
      <c r="F184" s="348" t="s">
        <v>1656</v>
      </c>
      <c r="S184" s="7" t="s">
        <v>16420</v>
      </c>
    </row>
    <row r="185">
      <c r="A185" s="176" t="s">
        <v>16421</v>
      </c>
      <c r="B185" s="78"/>
      <c r="C185" s="136" t="s">
        <v>15405</v>
      </c>
      <c r="D185" s="179">
        <v>0.75</v>
      </c>
      <c r="E185" s="179">
        <v>0.75</v>
      </c>
      <c r="F185" s="348" t="s">
        <v>1656</v>
      </c>
      <c r="S185" s="572" t="s">
        <v>16422</v>
      </c>
    </row>
    <row r="186">
      <c r="A186" s="176" t="s">
        <v>16423</v>
      </c>
      <c r="B186" s="78"/>
      <c r="C186" s="136" t="s">
        <v>15405</v>
      </c>
      <c r="D186" s="179">
        <v>0.75</v>
      </c>
      <c r="E186" s="179">
        <v>0.75</v>
      </c>
      <c r="F186" s="348" t="s">
        <v>1656</v>
      </c>
      <c r="S186" s="7" t="s">
        <v>16424</v>
      </c>
    </row>
    <row r="187">
      <c r="A187" s="176" t="s">
        <v>16425</v>
      </c>
      <c r="B187" s="78"/>
      <c r="C187" s="136" t="s">
        <v>15405</v>
      </c>
      <c r="D187" s="179">
        <v>0.75</v>
      </c>
      <c r="E187" s="179">
        <v>0.75</v>
      </c>
      <c r="F187" s="348" t="s">
        <v>1656</v>
      </c>
      <c r="S187" s="7" t="s">
        <v>16426</v>
      </c>
      <c r="T187" s="11">
        <v>7492.0</v>
      </c>
    </row>
    <row r="188">
      <c r="A188" s="176" t="s">
        <v>16427</v>
      </c>
      <c r="B188" s="78"/>
      <c r="C188" s="136" t="s">
        <v>15405</v>
      </c>
      <c r="D188" s="179">
        <v>0.75</v>
      </c>
      <c r="E188" s="179">
        <v>0.75</v>
      </c>
      <c r="F188" s="348" t="s">
        <v>1656</v>
      </c>
      <c r="S188" s="7" t="s">
        <v>16428</v>
      </c>
      <c r="T188" s="11">
        <v>7492.0</v>
      </c>
    </row>
    <row r="189">
      <c r="A189" s="176" t="s">
        <v>16429</v>
      </c>
      <c r="B189" s="78"/>
      <c r="C189" s="136" t="s">
        <v>15405</v>
      </c>
      <c r="D189" s="179">
        <v>0.75</v>
      </c>
      <c r="E189" s="179">
        <v>0.75</v>
      </c>
      <c r="F189" s="348" t="s">
        <v>1656</v>
      </c>
      <c r="S189" s="7" t="s">
        <v>16430</v>
      </c>
      <c r="T189" s="11">
        <v>7492.0</v>
      </c>
    </row>
    <row r="190">
      <c r="A190" s="176" t="s">
        <v>16431</v>
      </c>
      <c r="B190" s="78"/>
      <c r="C190" s="136" t="s">
        <v>15405</v>
      </c>
      <c r="D190" s="179">
        <v>0.75</v>
      </c>
      <c r="E190" s="179">
        <v>0.75</v>
      </c>
      <c r="F190" s="348" t="s">
        <v>1656</v>
      </c>
      <c r="S190" s="7" t="s">
        <v>16432</v>
      </c>
      <c r="T190" s="11">
        <v>7492.0</v>
      </c>
    </row>
    <row r="191">
      <c r="A191" s="176" t="s">
        <v>16433</v>
      </c>
      <c r="B191" s="78"/>
      <c r="C191" s="136" t="s">
        <v>15405</v>
      </c>
      <c r="D191" s="179">
        <v>0.75</v>
      </c>
      <c r="E191" s="179">
        <v>0.75</v>
      </c>
      <c r="F191" s="348" t="s">
        <v>1656</v>
      </c>
      <c r="S191" s="7" t="s">
        <v>16434</v>
      </c>
      <c r="T191" s="11">
        <v>7492.0</v>
      </c>
    </row>
    <row r="192">
      <c r="A192" s="176" t="s">
        <v>16435</v>
      </c>
      <c r="B192" s="78"/>
      <c r="C192" s="136" t="s">
        <v>15405</v>
      </c>
      <c r="D192" s="179">
        <v>0.75</v>
      </c>
      <c r="E192" s="179">
        <v>0.75</v>
      </c>
      <c r="F192" s="348" t="s">
        <v>1656</v>
      </c>
      <c r="S192" s="7" t="s">
        <v>1205</v>
      </c>
      <c r="T192" s="11">
        <v>7492.0</v>
      </c>
    </row>
    <row r="193">
      <c r="A193" s="176" t="s">
        <v>16436</v>
      </c>
      <c r="B193" s="78"/>
      <c r="C193" s="136" t="s">
        <v>15405</v>
      </c>
      <c r="D193" s="179">
        <v>0.75</v>
      </c>
      <c r="E193" s="179">
        <v>0.75</v>
      </c>
      <c r="F193" s="348" t="s">
        <v>1656</v>
      </c>
      <c r="S193" s="7" t="s">
        <v>16437</v>
      </c>
    </row>
    <row r="194">
      <c r="A194" s="176" t="s">
        <v>16438</v>
      </c>
      <c r="B194" s="78"/>
      <c r="C194" s="136" t="s">
        <v>15405</v>
      </c>
      <c r="D194" s="179">
        <v>0.75</v>
      </c>
      <c r="E194" s="179">
        <v>0.75</v>
      </c>
      <c r="F194" s="348" t="s">
        <v>1656</v>
      </c>
      <c r="S194" s="7" t="s">
        <v>16439</v>
      </c>
    </row>
    <row r="195">
      <c r="A195" s="176" t="s">
        <v>16440</v>
      </c>
      <c r="B195" s="78"/>
      <c r="C195" s="136" t="s">
        <v>15405</v>
      </c>
      <c r="D195" s="179">
        <v>0.75</v>
      </c>
      <c r="E195" s="179">
        <v>0.75</v>
      </c>
      <c r="F195" s="348" t="s">
        <v>1656</v>
      </c>
      <c r="S195" s="7" t="s">
        <v>16441</v>
      </c>
    </row>
    <row r="196">
      <c r="A196" s="176" t="s">
        <v>16442</v>
      </c>
      <c r="B196" s="78"/>
      <c r="C196" s="136" t="s">
        <v>15405</v>
      </c>
      <c r="D196" s="179">
        <v>0.75</v>
      </c>
      <c r="E196" s="179">
        <v>0.75</v>
      </c>
      <c r="F196" s="348" t="s">
        <v>1656</v>
      </c>
      <c r="S196" s="7" t="s">
        <v>16443</v>
      </c>
    </row>
    <row r="197">
      <c r="A197" s="176" t="s">
        <v>16444</v>
      </c>
      <c r="B197" s="78"/>
      <c r="C197" s="136" t="s">
        <v>15405</v>
      </c>
      <c r="D197" s="179">
        <v>0.75</v>
      </c>
      <c r="E197" s="179">
        <v>0.75</v>
      </c>
      <c r="F197" s="348" t="s">
        <v>1656</v>
      </c>
      <c r="S197" s="7" t="s">
        <v>16445</v>
      </c>
    </row>
    <row r="198">
      <c r="A198" s="176" t="s">
        <v>16446</v>
      </c>
      <c r="B198" s="78"/>
      <c r="C198" s="136" t="s">
        <v>15405</v>
      </c>
      <c r="D198" s="179">
        <v>0.75</v>
      </c>
      <c r="E198" s="179">
        <v>0.75</v>
      </c>
      <c r="F198" s="348" t="s">
        <v>1656</v>
      </c>
      <c r="S198" s="7" t="s">
        <v>16447</v>
      </c>
    </row>
    <row r="199">
      <c r="A199" s="176" t="s">
        <v>16448</v>
      </c>
      <c r="B199" s="78"/>
      <c r="C199" s="136" t="s">
        <v>15405</v>
      </c>
      <c r="D199" s="179">
        <v>0.75</v>
      </c>
      <c r="E199" s="179">
        <v>0.75</v>
      </c>
      <c r="F199" s="348" t="s">
        <v>1656</v>
      </c>
      <c r="S199" s="7" t="s">
        <v>16449</v>
      </c>
    </row>
    <row r="200">
      <c r="A200" s="176" t="s">
        <v>3066</v>
      </c>
      <c r="B200" s="78"/>
      <c r="C200" s="136" t="s">
        <v>15405</v>
      </c>
      <c r="D200" s="179">
        <v>0.75</v>
      </c>
      <c r="E200" s="179">
        <v>0.75</v>
      </c>
      <c r="F200" s="348" t="s">
        <v>1656</v>
      </c>
      <c r="S200" s="7" t="s">
        <v>16450</v>
      </c>
    </row>
    <row r="201">
      <c r="A201" s="176" t="s">
        <v>16451</v>
      </c>
      <c r="B201" s="78"/>
      <c r="C201" s="136" t="s">
        <v>15405</v>
      </c>
      <c r="D201" s="179">
        <v>0.75</v>
      </c>
      <c r="E201" s="179">
        <v>0.75</v>
      </c>
      <c r="F201" s="348" t="s">
        <v>1656</v>
      </c>
      <c r="S201" s="7" t="s">
        <v>16452</v>
      </c>
    </row>
    <row r="202">
      <c r="A202" s="176" t="s">
        <v>16453</v>
      </c>
      <c r="B202" s="78"/>
      <c r="C202" s="136" t="s">
        <v>15405</v>
      </c>
      <c r="D202" s="179">
        <v>0.75</v>
      </c>
      <c r="E202" s="179">
        <v>0.75</v>
      </c>
      <c r="F202" s="348" t="s">
        <v>1656</v>
      </c>
      <c r="S202" s="7" t="s">
        <v>16454</v>
      </c>
    </row>
    <row r="203">
      <c r="A203" s="176" t="s">
        <v>16455</v>
      </c>
      <c r="B203" s="78"/>
      <c r="C203" s="136" t="s">
        <v>15405</v>
      </c>
      <c r="D203" s="179">
        <v>0.75</v>
      </c>
      <c r="E203" s="179">
        <v>0.75</v>
      </c>
      <c r="F203" s="348" t="s">
        <v>1656</v>
      </c>
      <c r="S203" s="7" t="s">
        <v>16456</v>
      </c>
    </row>
    <row r="204">
      <c r="A204" s="176" t="s">
        <v>16457</v>
      </c>
      <c r="B204" s="78"/>
      <c r="C204" s="136" t="s">
        <v>15405</v>
      </c>
      <c r="D204" s="179">
        <v>0.75</v>
      </c>
      <c r="E204" s="179">
        <v>0.75</v>
      </c>
      <c r="F204" s="348" t="s">
        <v>1656</v>
      </c>
      <c r="S204" s="7" t="s">
        <v>16458</v>
      </c>
    </row>
    <row r="205">
      <c r="A205" s="176" t="s">
        <v>16459</v>
      </c>
      <c r="B205" s="78"/>
      <c r="C205" s="136" t="s">
        <v>15405</v>
      </c>
      <c r="D205" s="179">
        <v>0.75</v>
      </c>
      <c r="E205" s="179">
        <v>0.75</v>
      </c>
      <c r="F205" s="348" t="s">
        <v>1656</v>
      </c>
      <c r="S205" s="7" t="s">
        <v>16460</v>
      </c>
    </row>
    <row r="206">
      <c r="A206" s="176" t="s">
        <v>5715</v>
      </c>
      <c r="B206" s="78"/>
      <c r="C206" s="136" t="s">
        <v>15405</v>
      </c>
      <c r="D206" s="179">
        <v>0.75</v>
      </c>
      <c r="E206" s="179">
        <v>0.75</v>
      </c>
      <c r="F206" s="348" t="s">
        <v>1656</v>
      </c>
      <c r="S206" s="7" t="s">
        <v>16461</v>
      </c>
    </row>
    <row r="207">
      <c r="A207" s="176" t="s">
        <v>16462</v>
      </c>
      <c r="B207" s="78"/>
      <c r="C207" s="136" t="s">
        <v>15405</v>
      </c>
      <c r="D207" s="179">
        <v>0.75</v>
      </c>
      <c r="E207" s="179">
        <v>0.75</v>
      </c>
      <c r="F207" s="348" t="s">
        <v>1656</v>
      </c>
      <c r="S207" s="7" t="s">
        <v>16463</v>
      </c>
    </row>
    <row r="208">
      <c r="A208" s="176" t="s">
        <v>16464</v>
      </c>
      <c r="B208" s="25">
        <v>6675.0</v>
      </c>
      <c r="C208" s="136" t="s">
        <v>15405</v>
      </c>
      <c r="D208" s="74">
        <v>0.85</v>
      </c>
      <c r="E208" s="74">
        <v>0.85</v>
      </c>
      <c r="F208" s="348" t="s">
        <v>1656</v>
      </c>
      <c r="S208" s="7" t="s">
        <v>16465</v>
      </c>
    </row>
    <row r="209">
      <c r="A209" s="176" t="s">
        <v>16466</v>
      </c>
      <c r="B209" s="78"/>
      <c r="C209" s="136" t="s">
        <v>15405</v>
      </c>
      <c r="D209" s="179">
        <v>0.75</v>
      </c>
      <c r="E209" s="179">
        <v>0.75</v>
      </c>
      <c r="F209" s="348" t="s">
        <v>1656</v>
      </c>
      <c r="S209" s="7" t="s">
        <v>16467</v>
      </c>
    </row>
    <row r="210">
      <c r="A210" s="176" t="s">
        <v>16468</v>
      </c>
      <c r="B210" s="78"/>
      <c r="C210" s="136" t="s">
        <v>15405</v>
      </c>
      <c r="D210" s="179">
        <v>0.75</v>
      </c>
      <c r="E210" s="179">
        <v>0.75</v>
      </c>
      <c r="F210" s="348" t="s">
        <v>1656</v>
      </c>
      <c r="S210" s="7" t="s">
        <v>16469</v>
      </c>
    </row>
    <row r="211">
      <c r="A211" s="176" t="s">
        <v>16470</v>
      </c>
      <c r="B211" s="78"/>
      <c r="C211" s="136" t="s">
        <v>15405</v>
      </c>
      <c r="D211" s="179">
        <v>0.75</v>
      </c>
      <c r="E211" s="179">
        <v>0.75</v>
      </c>
      <c r="F211" s="348" t="s">
        <v>1656</v>
      </c>
      <c r="S211" s="7" t="s">
        <v>16471</v>
      </c>
    </row>
    <row r="212">
      <c r="A212" s="176" t="s">
        <v>16472</v>
      </c>
      <c r="B212" s="78"/>
      <c r="C212" s="136" t="s">
        <v>15405</v>
      </c>
      <c r="D212" s="179">
        <v>0.75</v>
      </c>
      <c r="E212" s="179">
        <v>0.75</v>
      </c>
      <c r="F212" s="348" t="s">
        <v>1656</v>
      </c>
      <c r="S212" s="7" t="s">
        <v>16473</v>
      </c>
    </row>
    <row r="213">
      <c r="A213" s="176" t="s">
        <v>6104</v>
      </c>
      <c r="B213" s="78"/>
      <c r="C213" s="136" t="s">
        <v>15405</v>
      </c>
      <c r="D213" s="179">
        <v>0.75</v>
      </c>
      <c r="E213" s="179">
        <v>0.75</v>
      </c>
      <c r="F213" s="348" t="s">
        <v>1656</v>
      </c>
      <c r="S213" s="7" t="s">
        <v>16474</v>
      </c>
    </row>
    <row r="214">
      <c r="A214" s="176" t="s">
        <v>16475</v>
      </c>
      <c r="B214" s="78"/>
      <c r="C214" s="136" t="s">
        <v>15405</v>
      </c>
      <c r="D214" s="179">
        <v>0.75</v>
      </c>
      <c r="E214" s="179">
        <v>0.75</v>
      </c>
      <c r="F214" s="348" t="s">
        <v>1656</v>
      </c>
      <c r="S214" s="7" t="s">
        <v>5897</v>
      </c>
    </row>
    <row r="215">
      <c r="A215" s="176" t="s">
        <v>16476</v>
      </c>
      <c r="B215" s="25">
        <v>2345.0</v>
      </c>
      <c r="C215" s="136" t="s">
        <v>15405</v>
      </c>
      <c r="D215" s="74">
        <v>0.9</v>
      </c>
      <c r="E215" s="74">
        <v>0.9</v>
      </c>
      <c r="F215" s="348" t="s">
        <v>1656</v>
      </c>
      <c r="S215" s="7" t="s">
        <v>16477</v>
      </c>
    </row>
    <row r="216">
      <c r="A216" s="176" t="s">
        <v>16478</v>
      </c>
      <c r="B216" s="25">
        <v>2345.0</v>
      </c>
      <c r="C216" s="136" t="s">
        <v>15405</v>
      </c>
      <c r="D216" s="74">
        <v>0.9</v>
      </c>
      <c r="E216" s="74">
        <v>0.9</v>
      </c>
      <c r="F216" s="348" t="s">
        <v>1656</v>
      </c>
      <c r="S216" s="7" t="s">
        <v>16479</v>
      </c>
    </row>
    <row r="217">
      <c r="A217" s="176" t="s">
        <v>16480</v>
      </c>
      <c r="B217" s="25">
        <v>2345.0</v>
      </c>
      <c r="C217" s="136" t="s">
        <v>15405</v>
      </c>
      <c r="D217" s="74">
        <v>0.9</v>
      </c>
      <c r="E217" s="74">
        <v>0.9</v>
      </c>
      <c r="F217" s="348" t="s">
        <v>1656</v>
      </c>
      <c r="S217" s="7" t="s">
        <v>16481</v>
      </c>
    </row>
    <row r="218">
      <c r="A218" s="176" t="s">
        <v>5963</v>
      </c>
      <c r="B218" s="25">
        <v>2345.0</v>
      </c>
      <c r="C218" s="136" t="s">
        <v>15405</v>
      </c>
      <c r="D218" s="74">
        <v>0.9</v>
      </c>
      <c r="E218" s="74">
        <v>0.9</v>
      </c>
      <c r="F218" s="348" t="s">
        <v>1656</v>
      </c>
      <c r="S218" s="7" t="s">
        <v>16039</v>
      </c>
    </row>
    <row r="219">
      <c r="A219" s="176" t="s">
        <v>16482</v>
      </c>
      <c r="B219" s="25">
        <v>2345.0</v>
      </c>
      <c r="C219" s="136" t="s">
        <v>15405</v>
      </c>
      <c r="D219" s="74">
        <v>0.9</v>
      </c>
      <c r="E219" s="74">
        <v>0.9</v>
      </c>
      <c r="F219" s="348" t="s">
        <v>1656</v>
      </c>
      <c r="S219" s="7" t="s">
        <v>16483</v>
      </c>
    </row>
    <row r="220">
      <c r="A220" s="176" t="s">
        <v>16484</v>
      </c>
      <c r="B220" s="25">
        <v>2345.0</v>
      </c>
      <c r="C220" s="136" t="s">
        <v>15405</v>
      </c>
      <c r="D220" s="74">
        <v>0.9</v>
      </c>
      <c r="E220" s="74">
        <v>0.9</v>
      </c>
      <c r="F220" s="348" t="s">
        <v>1656</v>
      </c>
      <c r="S220" s="7" t="s">
        <v>16485</v>
      </c>
    </row>
    <row r="221">
      <c r="A221" s="176" t="s">
        <v>16486</v>
      </c>
      <c r="B221" s="78"/>
      <c r="C221" s="136" t="s">
        <v>15405</v>
      </c>
      <c r="D221" s="179">
        <v>0.75</v>
      </c>
      <c r="E221" s="179">
        <v>0.75</v>
      </c>
      <c r="F221" s="348" t="s">
        <v>1656</v>
      </c>
      <c r="S221" s="7" t="s">
        <v>16487</v>
      </c>
    </row>
    <row r="222">
      <c r="A222" s="176" t="s">
        <v>16488</v>
      </c>
      <c r="B222" s="78"/>
      <c r="C222" s="136" t="s">
        <v>15405</v>
      </c>
      <c r="D222" s="179">
        <v>0.75</v>
      </c>
      <c r="E222" s="179">
        <v>0.75</v>
      </c>
      <c r="F222" s="348" t="s">
        <v>1656</v>
      </c>
      <c r="S222" s="7" t="s">
        <v>16489</v>
      </c>
    </row>
    <row r="223">
      <c r="A223" s="176" t="s">
        <v>16490</v>
      </c>
      <c r="B223" s="78"/>
      <c r="C223" s="136" t="s">
        <v>15405</v>
      </c>
      <c r="D223" s="179">
        <v>0.75</v>
      </c>
      <c r="E223" s="179">
        <v>0.75</v>
      </c>
      <c r="F223" s="348" t="s">
        <v>1656</v>
      </c>
      <c r="S223" s="7" t="s">
        <v>16491</v>
      </c>
    </row>
    <row r="224">
      <c r="A224" s="176" t="s">
        <v>16492</v>
      </c>
      <c r="B224" s="78"/>
      <c r="C224" s="136" t="s">
        <v>15405</v>
      </c>
      <c r="D224" s="179">
        <v>0.75</v>
      </c>
      <c r="E224" s="179">
        <v>0.75</v>
      </c>
      <c r="F224" s="348" t="s">
        <v>1656</v>
      </c>
      <c r="S224" s="7" t="s">
        <v>16493</v>
      </c>
    </row>
    <row r="225">
      <c r="A225" s="176" t="s">
        <v>16494</v>
      </c>
      <c r="B225" s="78"/>
      <c r="C225" s="136" t="s">
        <v>15405</v>
      </c>
      <c r="D225" s="179">
        <v>0.75</v>
      </c>
      <c r="E225" s="179">
        <v>0.75</v>
      </c>
      <c r="F225" s="348" t="s">
        <v>1656</v>
      </c>
      <c r="S225" s="7" t="s">
        <v>16495</v>
      </c>
    </row>
    <row r="226">
      <c r="A226" s="176" t="s">
        <v>16496</v>
      </c>
      <c r="B226" s="78"/>
      <c r="C226" s="136" t="s">
        <v>15405</v>
      </c>
      <c r="D226" s="179">
        <v>0.75</v>
      </c>
      <c r="E226" s="179">
        <v>0.75</v>
      </c>
      <c r="F226" s="348" t="s">
        <v>1656</v>
      </c>
      <c r="S226" s="7" t="s">
        <v>16497</v>
      </c>
    </row>
    <row r="227">
      <c r="A227" s="176" t="s">
        <v>16498</v>
      </c>
      <c r="B227" s="78"/>
      <c r="C227" s="136" t="s">
        <v>15405</v>
      </c>
      <c r="D227" s="179">
        <v>0.75</v>
      </c>
      <c r="E227" s="179">
        <v>0.75</v>
      </c>
      <c r="F227" s="348" t="s">
        <v>1656</v>
      </c>
      <c r="S227" s="7" t="s">
        <v>16499</v>
      </c>
    </row>
    <row r="228">
      <c r="A228" s="176" t="s">
        <v>10817</v>
      </c>
      <c r="B228" s="78"/>
      <c r="C228" s="136" t="s">
        <v>15405</v>
      </c>
      <c r="D228" s="179">
        <v>0.75</v>
      </c>
      <c r="E228" s="179">
        <v>0.75</v>
      </c>
      <c r="F228" s="348" t="s">
        <v>1656</v>
      </c>
      <c r="S228" s="7" t="s">
        <v>16500</v>
      </c>
    </row>
    <row r="229">
      <c r="A229" s="176" t="s">
        <v>16501</v>
      </c>
      <c r="B229" s="78"/>
      <c r="C229" s="136" t="s">
        <v>15405</v>
      </c>
      <c r="D229" s="179">
        <v>0.75</v>
      </c>
      <c r="E229" s="179">
        <v>0.75</v>
      </c>
      <c r="F229" s="348" t="s">
        <v>1656</v>
      </c>
      <c r="S229" s="7" t="s">
        <v>16502</v>
      </c>
    </row>
    <row r="230">
      <c r="A230" s="176" t="s">
        <v>16503</v>
      </c>
      <c r="B230" s="78"/>
      <c r="C230" s="136" t="s">
        <v>15405</v>
      </c>
      <c r="D230" s="179">
        <v>0.75</v>
      </c>
      <c r="E230" s="179">
        <v>0.75</v>
      </c>
      <c r="F230" s="348" t="s">
        <v>1656</v>
      </c>
      <c r="S230" s="7" t="s">
        <v>1309</v>
      </c>
    </row>
    <row r="231">
      <c r="A231" s="176" t="s">
        <v>16504</v>
      </c>
      <c r="B231" s="78"/>
      <c r="C231" s="136" t="s">
        <v>15405</v>
      </c>
      <c r="D231" s="179">
        <v>0.75</v>
      </c>
      <c r="E231" s="179">
        <v>0.75</v>
      </c>
      <c r="F231" s="348" t="s">
        <v>1656</v>
      </c>
      <c r="S231" s="7" t="s">
        <v>16505</v>
      </c>
    </row>
    <row r="232">
      <c r="A232" s="176" t="s">
        <v>16506</v>
      </c>
      <c r="B232" s="78"/>
      <c r="C232" s="136" t="s">
        <v>15405</v>
      </c>
      <c r="D232" s="179">
        <v>0.75</v>
      </c>
      <c r="E232" s="179">
        <v>0.75</v>
      </c>
      <c r="F232" s="348" t="s">
        <v>1656</v>
      </c>
      <c r="S232" s="7" t="s">
        <v>16507</v>
      </c>
    </row>
    <row r="233">
      <c r="A233" s="176" t="s">
        <v>16508</v>
      </c>
      <c r="B233" s="78"/>
      <c r="C233" s="136" t="s">
        <v>15405</v>
      </c>
      <c r="D233" s="179">
        <v>0.75</v>
      </c>
      <c r="E233" s="179">
        <v>0.75</v>
      </c>
      <c r="F233" s="348" t="s">
        <v>1656</v>
      </c>
      <c r="S233" s="7" t="s">
        <v>16509</v>
      </c>
    </row>
    <row r="234">
      <c r="A234" s="176" t="s">
        <v>16510</v>
      </c>
      <c r="B234" s="78"/>
      <c r="C234" s="136" t="s">
        <v>15405</v>
      </c>
      <c r="D234" s="179">
        <v>0.75</v>
      </c>
      <c r="E234" s="179">
        <v>0.75</v>
      </c>
      <c r="F234" s="348" t="s">
        <v>1656</v>
      </c>
      <c r="S234" s="7" t="s">
        <v>16511</v>
      </c>
    </row>
    <row r="235">
      <c r="A235" s="176" t="s">
        <v>16512</v>
      </c>
      <c r="B235" s="78"/>
      <c r="C235" s="136" t="s">
        <v>15405</v>
      </c>
      <c r="D235" s="179">
        <v>0.75</v>
      </c>
      <c r="E235" s="179">
        <v>0.75</v>
      </c>
      <c r="F235" s="348" t="s">
        <v>1656</v>
      </c>
      <c r="S235" s="7" t="s">
        <v>16513</v>
      </c>
    </row>
    <row r="236">
      <c r="A236" s="176" t="s">
        <v>16514</v>
      </c>
      <c r="B236" s="25">
        <v>6706.0</v>
      </c>
      <c r="C236" s="136" t="s">
        <v>15405</v>
      </c>
      <c r="D236" s="179">
        <v>0.75</v>
      </c>
      <c r="E236" s="179">
        <v>0.75</v>
      </c>
      <c r="F236" s="348" t="s">
        <v>1656</v>
      </c>
      <c r="S236" s="7" t="s">
        <v>16515</v>
      </c>
    </row>
    <row r="237">
      <c r="A237" s="176" t="s">
        <v>16516</v>
      </c>
      <c r="B237" s="78"/>
      <c r="C237" s="136" t="s">
        <v>15405</v>
      </c>
      <c r="D237" s="179">
        <v>0.75</v>
      </c>
      <c r="E237" s="179">
        <v>0.75</v>
      </c>
      <c r="F237" s="348" t="s">
        <v>1656</v>
      </c>
      <c r="S237" s="7" t="s">
        <v>16517</v>
      </c>
    </row>
    <row r="238">
      <c r="A238" s="176" t="s">
        <v>16518</v>
      </c>
      <c r="B238" s="78"/>
      <c r="C238" s="136" t="s">
        <v>15405</v>
      </c>
      <c r="D238" s="179">
        <v>0.75</v>
      </c>
      <c r="E238" s="179">
        <v>0.75</v>
      </c>
      <c r="F238" s="348" t="s">
        <v>1656</v>
      </c>
      <c r="S238" s="7" t="s">
        <v>16519</v>
      </c>
    </row>
    <row r="239">
      <c r="A239" s="176" t="s">
        <v>16520</v>
      </c>
      <c r="B239" s="78"/>
      <c r="C239" s="136" t="s">
        <v>15405</v>
      </c>
      <c r="D239" s="179">
        <v>0.75</v>
      </c>
      <c r="E239" s="179">
        <v>0.75</v>
      </c>
      <c r="F239" s="348" t="s">
        <v>1656</v>
      </c>
      <c r="S239" s="7" t="s">
        <v>16521</v>
      </c>
    </row>
    <row r="240">
      <c r="A240" s="176" t="s">
        <v>16522</v>
      </c>
      <c r="B240" s="78"/>
      <c r="C240" s="136" t="s">
        <v>15405</v>
      </c>
      <c r="D240" s="179">
        <v>0.75</v>
      </c>
      <c r="E240" s="179">
        <v>0.75</v>
      </c>
      <c r="F240" s="348" t="s">
        <v>1656</v>
      </c>
      <c r="S240" s="7" t="s">
        <v>16523</v>
      </c>
    </row>
    <row r="241">
      <c r="A241" s="176" t="s">
        <v>16524</v>
      </c>
      <c r="B241" s="78"/>
      <c r="C241" s="136" t="s">
        <v>15405</v>
      </c>
      <c r="D241" s="179">
        <v>0.75</v>
      </c>
      <c r="E241" s="179">
        <v>0.75</v>
      </c>
      <c r="F241" s="348" t="s">
        <v>1656</v>
      </c>
      <c r="S241" s="7" t="s">
        <v>16525</v>
      </c>
    </row>
    <row r="242">
      <c r="A242" s="176" t="s">
        <v>16526</v>
      </c>
      <c r="B242" s="78"/>
      <c r="C242" s="136" t="s">
        <v>15405</v>
      </c>
      <c r="D242" s="179">
        <v>0.75</v>
      </c>
      <c r="E242" s="179">
        <v>0.75</v>
      </c>
      <c r="F242" s="348" t="s">
        <v>1656</v>
      </c>
      <c r="S242" s="7" t="s">
        <v>16527</v>
      </c>
    </row>
    <row r="243">
      <c r="A243" s="176" t="s">
        <v>16528</v>
      </c>
      <c r="B243" s="78"/>
      <c r="C243" s="136" t="s">
        <v>15405</v>
      </c>
      <c r="D243" s="179">
        <v>0.75</v>
      </c>
      <c r="E243" s="179">
        <v>0.75</v>
      </c>
      <c r="F243" s="348" t="s">
        <v>1656</v>
      </c>
      <c r="S243" s="7" t="s">
        <v>16529</v>
      </c>
    </row>
    <row r="244">
      <c r="A244" s="176" t="s">
        <v>16530</v>
      </c>
      <c r="B244" s="78"/>
      <c r="C244" s="136" t="s">
        <v>15405</v>
      </c>
      <c r="D244" s="179">
        <v>0.75</v>
      </c>
      <c r="E244" s="179">
        <v>0.75</v>
      </c>
      <c r="F244" s="348" t="s">
        <v>1656</v>
      </c>
      <c r="S244" s="7" t="s">
        <v>16531</v>
      </c>
    </row>
    <row r="245">
      <c r="A245" s="176" t="s">
        <v>16532</v>
      </c>
      <c r="B245" s="78"/>
      <c r="C245" s="136" t="s">
        <v>15405</v>
      </c>
      <c r="D245" s="179">
        <v>0.75</v>
      </c>
      <c r="E245" s="179">
        <v>0.75</v>
      </c>
      <c r="F245" s="348" t="s">
        <v>1656</v>
      </c>
      <c r="S245" s="7" t="s">
        <v>16533</v>
      </c>
    </row>
    <row r="246">
      <c r="A246" s="176" t="s">
        <v>16534</v>
      </c>
      <c r="B246" s="78"/>
      <c r="C246" s="136" t="s">
        <v>15405</v>
      </c>
      <c r="D246" s="179">
        <v>0.75</v>
      </c>
      <c r="E246" s="179">
        <v>0.75</v>
      </c>
      <c r="F246" s="348" t="s">
        <v>1656</v>
      </c>
      <c r="S246" s="7" t="s">
        <v>16535</v>
      </c>
    </row>
    <row r="247">
      <c r="A247" s="176" t="s">
        <v>16536</v>
      </c>
      <c r="B247" s="78"/>
      <c r="C247" s="136" t="s">
        <v>15405</v>
      </c>
      <c r="D247" s="179">
        <v>0.75</v>
      </c>
      <c r="E247" s="179">
        <v>0.75</v>
      </c>
      <c r="F247" s="348" t="s">
        <v>1656</v>
      </c>
      <c r="S247" s="7" t="s">
        <v>16537</v>
      </c>
    </row>
    <row r="248">
      <c r="A248" s="176" t="s">
        <v>16538</v>
      </c>
      <c r="B248" s="78"/>
      <c r="C248" s="136" t="s">
        <v>15405</v>
      </c>
      <c r="D248" s="179">
        <v>0.75</v>
      </c>
      <c r="E248" s="179">
        <v>0.75</v>
      </c>
      <c r="F248" s="348" t="s">
        <v>1656</v>
      </c>
      <c r="S248" s="7" t="s">
        <v>16539</v>
      </c>
    </row>
    <row r="249">
      <c r="A249" s="176" t="s">
        <v>16540</v>
      </c>
      <c r="B249" s="78"/>
      <c r="C249" s="136" t="s">
        <v>15405</v>
      </c>
      <c r="D249" s="179">
        <v>0.75</v>
      </c>
      <c r="E249" s="179">
        <v>0.75</v>
      </c>
      <c r="F249" s="348" t="s">
        <v>1656</v>
      </c>
      <c r="S249" s="7" t="s">
        <v>3165</v>
      </c>
    </row>
    <row r="250">
      <c r="A250" s="176" t="s">
        <v>16541</v>
      </c>
      <c r="B250" s="78"/>
      <c r="C250" s="136" t="s">
        <v>15405</v>
      </c>
      <c r="D250" s="179">
        <v>0.75</v>
      </c>
      <c r="E250" s="179">
        <v>0.75</v>
      </c>
      <c r="F250" s="348" t="s">
        <v>1656</v>
      </c>
      <c r="S250" s="7" t="s">
        <v>16542</v>
      </c>
    </row>
    <row r="251">
      <c r="A251" s="176" t="s">
        <v>16543</v>
      </c>
      <c r="B251" s="78"/>
      <c r="C251" s="136" t="s">
        <v>15405</v>
      </c>
      <c r="D251" s="179">
        <v>0.75</v>
      </c>
      <c r="E251" s="179">
        <v>0.75</v>
      </c>
      <c r="F251" s="348" t="s">
        <v>1656</v>
      </c>
      <c r="S251" s="7" t="s">
        <v>16544</v>
      </c>
    </row>
    <row r="252">
      <c r="A252" s="176" t="s">
        <v>16545</v>
      </c>
      <c r="B252" s="78"/>
      <c r="C252" s="136" t="s">
        <v>15405</v>
      </c>
      <c r="D252" s="179">
        <v>0.75</v>
      </c>
      <c r="E252" s="179">
        <v>0.75</v>
      </c>
      <c r="F252" s="348" t="s">
        <v>1656</v>
      </c>
      <c r="S252" s="7" t="s">
        <v>10986</v>
      </c>
    </row>
    <row r="253">
      <c r="A253" s="176" t="s">
        <v>16546</v>
      </c>
      <c r="B253" s="78"/>
      <c r="C253" s="136" t="s">
        <v>15405</v>
      </c>
      <c r="D253" s="179">
        <v>0.75</v>
      </c>
      <c r="E253" s="179">
        <v>0.75</v>
      </c>
      <c r="F253" s="348" t="s">
        <v>1656</v>
      </c>
      <c r="S253" s="7" t="s">
        <v>16547</v>
      </c>
    </row>
    <row r="254">
      <c r="A254" s="176" t="s">
        <v>829</v>
      </c>
      <c r="B254" s="78"/>
      <c r="C254" s="136" t="s">
        <v>15405</v>
      </c>
      <c r="D254" s="179">
        <v>0.75</v>
      </c>
      <c r="E254" s="179">
        <v>0.75</v>
      </c>
      <c r="F254" s="348" t="s">
        <v>1656</v>
      </c>
      <c r="S254" s="7" t="s">
        <v>16548</v>
      </c>
    </row>
    <row r="255">
      <c r="A255" s="176" t="s">
        <v>16549</v>
      </c>
      <c r="B255" s="78"/>
      <c r="C255" s="136" t="s">
        <v>15405</v>
      </c>
      <c r="D255" s="179">
        <v>0.75</v>
      </c>
      <c r="E255" s="179">
        <v>0.75</v>
      </c>
      <c r="F255" s="348" t="s">
        <v>1656</v>
      </c>
      <c r="S255" s="7" t="s">
        <v>16550</v>
      </c>
    </row>
    <row r="256">
      <c r="A256" s="176" t="s">
        <v>16551</v>
      </c>
      <c r="B256" s="78"/>
      <c r="C256" s="136" t="s">
        <v>15405</v>
      </c>
      <c r="D256" s="179">
        <v>0.75</v>
      </c>
      <c r="E256" s="179">
        <v>0.75</v>
      </c>
      <c r="F256" s="348" t="s">
        <v>1656</v>
      </c>
      <c r="S256" s="7" t="s">
        <v>16552</v>
      </c>
    </row>
    <row r="257">
      <c r="A257" s="176" t="s">
        <v>16553</v>
      </c>
      <c r="B257" s="78"/>
      <c r="C257" s="136" t="s">
        <v>15405</v>
      </c>
      <c r="D257" s="179">
        <v>0.75</v>
      </c>
      <c r="E257" s="179">
        <v>0.75</v>
      </c>
      <c r="F257" s="348" t="s">
        <v>1656</v>
      </c>
      <c r="S257" s="7" t="s">
        <v>16554</v>
      </c>
    </row>
    <row r="258">
      <c r="A258" s="176" t="s">
        <v>16555</v>
      </c>
      <c r="B258" s="78"/>
      <c r="C258" s="136" t="s">
        <v>15405</v>
      </c>
      <c r="D258" s="179">
        <v>0.75</v>
      </c>
      <c r="E258" s="179">
        <v>0.75</v>
      </c>
      <c r="F258" s="348" t="s">
        <v>1656</v>
      </c>
      <c r="S258" s="7" t="s">
        <v>16556</v>
      </c>
    </row>
    <row r="259">
      <c r="A259" s="176" t="s">
        <v>16557</v>
      </c>
      <c r="B259" s="78"/>
      <c r="C259" s="136" t="s">
        <v>15405</v>
      </c>
      <c r="D259" s="179">
        <v>0.75</v>
      </c>
      <c r="E259" s="179">
        <v>0.75</v>
      </c>
      <c r="F259" s="348" t="s">
        <v>1656</v>
      </c>
      <c r="S259" s="7" t="s">
        <v>16558</v>
      </c>
    </row>
    <row r="260">
      <c r="A260" s="176" t="s">
        <v>16559</v>
      </c>
      <c r="B260" s="78"/>
      <c r="C260" s="136" t="s">
        <v>15405</v>
      </c>
      <c r="D260" s="179">
        <v>0.75</v>
      </c>
      <c r="E260" s="179">
        <v>0.75</v>
      </c>
      <c r="F260" s="348" t="s">
        <v>1656</v>
      </c>
      <c r="S260" s="7" t="s">
        <v>16560</v>
      </c>
    </row>
    <row r="261">
      <c r="A261" s="176" t="s">
        <v>16561</v>
      </c>
      <c r="B261" s="78"/>
      <c r="C261" s="136" t="s">
        <v>15405</v>
      </c>
      <c r="D261" s="179">
        <v>0.75</v>
      </c>
      <c r="E261" s="179">
        <v>0.75</v>
      </c>
      <c r="F261" s="348" t="s">
        <v>1656</v>
      </c>
      <c r="S261" s="7" t="s">
        <v>10791</v>
      </c>
    </row>
    <row r="262">
      <c r="A262" s="176" t="s">
        <v>16562</v>
      </c>
      <c r="B262" s="78"/>
      <c r="C262" s="136" t="s">
        <v>15405</v>
      </c>
      <c r="D262" s="179">
        <v>0.75</v>
      </c>
      <c r="E262" s="179">
        <v>0.75</v>
      </c>
      <c r="F262" s="348" t="s">
        <v>1656</v>
      </c>
      <c r="S262" s="7" t="s">
        <v>16563</v>
      </c>
    </row>
    <row r="263">
      <c r="A263" s="176" t="s">
        <v>6105</v>
      </c>
      <c r="B263" s="78"/>
      <c r="C263" s="136" t="s">
        <v>15405</v>
      </c>
      <c r="D263" s="179">
        <v>0.75</v>
      </c>
      <c r="E263" s="179">
        <v>0.75</v>
      </c>
      <c r="F263" s="348" t="s">
        <v>1656</v>
      </c>
      <c r="S263" s="7" t="s">
        <v>16564</v>
      </c>
    </row>
    <row r="264">
      <c r="A264" s="176" t="s">
        <v>16565</v>
      </c>
      <c r="B264" s="78"/>
      <c r="C264" s="136" t="s">
        <v>15405</v>
      </c>
      <c r="D264" s="179">
        <v>0.75</v>
      </c>
      <c r="E264" s="179">
        <v>0.75</v>
      </c>
      <c r="F264" s="348" t="s">
        <v>1656</v>
      </c>
      <c r="S264" s="7" t="s">
        <v>16566</v>
      </c>
    </row>
    <row r="265">
      <c r="A265" s="176" t="s">
        <v>16567</v>
      </c>
      <c r="B265" s="78"/>
      <c r="C265" s="136" t="s">
        <v>15405</v>
      </c>
      <c r="D265" s="179">
        <v>0.75</v>
      </c>
      <c r="E265" s="179">
        <v>0.75</v>
      </c>
      <c r="F265" s="348" t="s">
        <v>1656</v>
      </c>
      <c r="S265" s="7" t="s">
        <v>16568</v>
      </c>
    </row>
    <row r="266">
      <c r="A266" s="176" t="s">
        <v>16569</v>
      </c>
      <c r="B266" s="78"/>
      <c r="C266" s="136" t="s">
        <v>15405</v>
      </c>
      <c r="D266" s="179">
        <v>0.75</v>
      </c>
      <c r="E266" s="179">
        <v>0.75</v>
      </c>
      <c r="F266" s="348" t="s">
        <v>1656</v>
      </c>
      <c r="S266" s="7" t="s">
        <v>16570</v>
      </c>
    </row>
    <row r="267">
      <c r="A267" s="176" t="s">
        <v>16571</v>
      </c>
      <c r="B267" s="78"/>
      <c r="C267" s="136" t="s">
        <v>15405</v>
      </c>
      <c r="D267" s="179">
        <v>0.75</v>
      </c>
      <c r="E267" s="179">
        <v>0.75</v>
      </c>
      <c r="F267" s="348" t="s">
        <v>1656</v>
      </c>
      <c r="S267" s="7" t="s">
        <v>16572</v>
      </c>
    </row>
    <row r="268">
      <c r="A268" s="176" t="s">
        <v>16573</v>
      </c>
      <c r="B268" s="78"/>
      <c r="C268" s="136" t="s">
        <v>15405</v>
      </c>
      <c r="D268" s="179">
        <v>0.75</v>
      </c>
      <c r="E268" s="179">
        <v>0.75</v>
      </c>
      <c r="F268" s="348" t="s">
        <v>1656</v>
      </c>
      <c r="S268" s="7" t="s">
        <v>16574</v>
      </c>
    </row>
    <row r="269">
      <c r="A269" s="176" t="s">
        <v>16575</v>
      </c>
      <c r="B269" s="78"/>
      <c r="C269" s="136" t="s">
        <v>15405</v>
      </c>
      <c r="D269" s="179">
        <v>0.75</v>
      </c>
      <c r="E269" s="179">
        <v>0.75</v>
      </c>
      <c r="F269" s="348" t="s">
        <v>1656</v>
      </c>
      <c r="S269" s="7" t="s">
        <v>16576</v>
      </c>
    </row>
    <row r="270">
      <c r="A270" s="176" t="s">
        <v>16577</v>
      </c>
      <c r="B270" s="78"/>
      <c r="C270" s="136" t="s">
        <v>15405</v>
      </c>
      <c r="D270" s="179">
        <v>0.75</v>
      </c>
      <c r="E270" s="179">
        <v>0.75</v>
      </c>
      <c r="F270" s="348" t="s">
        <v>1656</v>
      </c>
      <c r="S270" s="7" t="s">
        <v>16578</v>
      </c>
    </row>
    <row r="271">
      <c r="A271" s="176" t="s">
        <v>16579</v>
      </c>
      <c r="B271" s="78"/>
      <c r="C271" s="136" t="s">
        <v>15405</v>
      </c>
      <c r="D271" s="179">
        <v>0.75</v>
      </c>
      <c r="E271" s="179">
        <v>0.75</v>
      </c>
      <c r="F271" s="348" t="s">
        <v>1656</v>
      </c>
      <c r="S271" s="7" t="s">
        <v>16580</v>
      </c>
    </row>
    <row r="272">
      <c r="A272" s="176" t="s">
        <v>16581</v>
      </c>
      <c r="B272" s="78"/>
      <c r="C272" s="136" t="s">
        <v>15405</v>
      </c>
      <c r="D272" s="179">
        <v>0.75</v>
      </c>
      <c r="E272" s="179">
        <v>0.75</v>
      </c>
      <c r="F272" s="348" t="s">
        <v>1656</v>
      </c>
      <c r="S272" s="7" t="s">
        <v>16582</v>
      </c>
    </row>
    <row r="273">
      <c r="A273" s="176" t="s">
        <v>16583</v>
      </c>
      <c r="B273" s="78"/>
      <c r="C273" s="136" t="s">
        <v>15405</v>
      </c>
      <c r="D273" s="179">
        <v>0.75</v>
      </c>
      <c r="E273" s="179">
        <v>0.75</v>
      </c>
      <c r="F273" s="348" t="s">
        <v>1656</v>
      </c>
      <c r="S273" s="7" t="s">
        <v>16584</v>
      </c>
    </row>
    <row r="274">
      <c r="A274" s="176" t="s">
        <v>16585</v>
      </c>
      <c r="B274" s="78"/>
      <c r="C274" s="136" t="s">
        <v>15405</v>
      </c>
      <c r="D274" s="179">
        <v>0.75</v>
      </c>
      <c r="E274" s="179">
        <v>0.75</v>
      </c>
      <c r="F274" s="348" t="s">
        <v>1656</v>
      </c>
      <c r="S274" s="7" t="s">
        <v>16586</v>
      </c>
    </row>
    <row r="275">
      <c r="A275" s="176" t="s">
        <v>16587</v>
      </c>
      <c r="B275" s="78"/>
      <c r="C275" s="136" t="s">
        <v>15405</v>
      </c>
      <c r="D275" s="179">
        <v>0.75</v>
      </c>
      <c r="E275" s="179">
        <v>0.75</v>
      </c>
      <c r="F275" s="348" t="s">
        <v>1656</v>
      </c>
      <c r="S275" s="7" t="s">
        <v>16588</v>
      </c>
    </row>
    <row r="276">
      <c r="A276" s="176" t="s">
        <v>16589</v>
      </c>
      <c r="B276" s="78"/>
      <c r="C276" s="136" t="s">
        <v>15405</v>
      </c>
      <c r="D276" s="179">
        <v>0.75</v>
      </c>
      <c r="E276" s="179">
        <v>0.75</v>
      </c>
      <c r="F276" s="348" t="s">
        <v>1656</v>
      </c>
      <c r="S276" s="7" t="s">
        <v>16590</v>
      </c>
    </row>
    <row r="277">
      <c r="A277" s="176" t="s">
        <v>16591</v>
      </c>
      <c r="B277" s="78"/>
      <c r="C277" s="136" t="s">
        <v>15405</v>
      </c>
      <c r="D277" s="179">
        <v>0.75</v>
      </c>
      <c r="E277" s="179">
        <v>0.75</v>
      </c>
      <c r="F277" s="348" t="s">
        <v>1656</v>
      </c>
      <c r="S277" s="7" t="s">
        <v>16592</v>
      </c>
    </row>
    <row r="278">
      <c r="A278" s="176" t="s">
        <v>10665</v>
      </c>
      <c r="B278" s="78"/>
      <c r="C278" s="136" t="s">
        <v>15405</v>
      </c>
      <c r="D278" s="179">
        <v>0.75</v>
      </c>
      <c r="E278" s="179">
        <v>0.75</v>
      </c>
      <c r="F278" s="348" t="s">
        <v>1656</v>
      </c>
      <c r="S278" s="7" t="s">
        <v>16593</v>
      </c>
    </row>
    <row r="279">
      <c r="A279" s="176" t="s">
        <v>16594</v>
      </c>
      <c r="B279" s="78"/>
      <c r="C279" s="136" t="s">
        <v>15405</v>
      </c>
      <c r="D279" s="179">
        <v>0.75</v>
      </c>
      <c r="E279" s="179">
        <v>0.75</v>
      </c>
      <c r="F279" s="348" t="s">
        <v>1656</v>
      </c>
      <c r="S279" s="7" t="s">
        <v>16595</v>
      </c>
    </row>
    <row r="280">
      <c r="A280" s="176" t="s">
        <v>16596</v>
      </c>
      <c r="B280" s="78"/>
      <c r="C280" s="136" t="s">
        <v>15405</v>
      </c>
      <c r="D280" s="179">
        <v>0.75</v>
      </c>
      <c r="E280" s="179">
        <v>0.75</v>
      </c>
      <c r="F280" s="348" t="s">
        <v>1656</v>
      </c>
      <c r="S280" s="7" t="s">
        <v>16597</v>
      </c>
    </row>
    <row r="281">
      <c r="A281" s="176" t="s">
        <v>16598</v>
      </c>
      <c r="B281" s="78"/>
      <c r="C281" s="136" t="s">
        <v>15405</v>
      </c>
      <c r="D281" s="179">
        <v>0.75</v>
      </c>
      <c r="E281" s="179">
        <v>0.75</v>
      </c>
      <c r="F281" s="348" t="s">
        <v>1656</v>
      </c>
      <c r="S281" s="7" t="s">
        <v>16599</v>
      </c>
    </row>
    <row r="282">
      <c r="A282" s="176" t="s">
        <v>16600</v>
      </c>
      <c r="B282" s="78"/>
      <c r="C282" s="136" t="s">
        <v>15405</v>
      </c>
      <c r="D282" s="179">
        <v>0.75</v>
      </c>
      <c r="E282" s="179">
        <v>0.75</v>
      </c>
      <c r="F282" s="348" t="s">
        <v>1656</v>
      </c>
      <c r="S282" s="7" t="s">
        <v>16601</v>
      </c>
    </row>
    <row r="283">
      <c r="A283" s="176" t="s">
        <v>16602</v>
      </c>
      <c r="B283" s="78"/>
      <c r="C283" s="136" t="s">
        <v>15405</v>
      </c>
      <c r="D283" s="179">
        <v>0.75</v>
      </c>
      <c r="E283" s="179">
        <v>0.75</v>
      </c>
      <c r="F283" s="348" t="s">
        <v>1656</v>
      </c>
      <c r="S283" s="7" t="s">
        <v>16603</v>
      </c>
    </row>
    <row r="284">
      <c r="A284" s="176" t="s">
        <v>1339</v>
      </c>
      <c r="B284" s="78"/>
      <c r="C284" s="136" t="s">
        <v>15405</v>
      </c>
      <c r="D284" s="179">
        <v>0.75</v>
      </c>
      <c r="E284" s="179">
        <v>0.75</v>
      </c>
      <c r="F284" s="348" t="s">
        <v>1656</v>
      </c>
      <c r="S284" s="7" t="s">
        <v>16604</v>
      </c>
    </row>
    <row r="285">
      <c r="A285" s="176" t="s">
        <v>16605</v>
      </c>
      <c r="B285" s="78"/>
      <c r="C285" s="136" t="s">
        <v>15405</v>
      </c>
      <c r="D285" s="179">
        <v>0.75</v>
      </c>
      <c r="E285" s="179">
        <v>0.75</v>
      </c>
      <c r="F285" s="348" t="s">
        <v>1656</v>
      </c>
      <c r="S285" s="7" t="s">
        <v>16606</v>
      </c>
    </row>
    <row r="286">
      <c r="A286" s="176" t="s">
        <v>16607</v>
      </c>
      <c r="B286" s="78"/>
      <c r="C286" s="136" t="s">
        <v>15405</v>
      </c>
      <c r="D286" s="179">
        <v>0.75</v>
      </c>
      <c r="E286" s="179">
        <v>0.75</v>
      </c>
      <c r="F286" s="348" t="s">
        <v>1656</v>
      </c>
      <c r="S286" s="7" t="s">
        <v>16608</v>
      </c>
    </row>
    <row r="287">
      <c r="A287" s="176" t="s">
        <v>16609</v>
      </c>
      <c r="B287" s="78"/>
      <c r="C287" s="136" t="s">
        <v>15405</v>
      </c>
      <c r="D287" s="179">
        <v>0.75</v>
      </c>
      <c r="E287" s="179">
        <v>0.75</v>
      </c>
      <c r="F287" s="348" t="s">
        <v>1656</v>
      </c>
      <c r="S287" s="7" t="s">
        <v>16610</v>
      </c>
    </row>
    <row r="288">
      <c r="A288" s="176" t="s">
        <v>16611</v>
      </c>
      <c r="B288" s="78"/>
      <c r="C288" s="136" t="s">
        <v>15405</v>
      </c>
      <c r="D288" s="179">
        <v>0.75</v>
      </c>
      <c r="E288" s="179">
        <v>0.75</v>
      </c>
      <c r="F288" s="348" t="s">
        <v>1656</v>
      </c>
      <c r="S288" s="7" t="s">
        <v>16612</v>
      </c>
    </row>
    <row r="289">
      <c r="A289" s="176" t="s">
        <v>16613</v>
      </c>
      <c r="B289" s="78"/>
      <c r="C289" s="136" t="s">
        <v>15405</v>
      </c>
      <c r="D289" s="179">
        <v>0.75</v>
      </c>
      <c r="E289" s="179">
        <v>0.75</v>
      </c>
      <c r="F289" s="348" t="s">
        <v>1656</v>
      </c>
      <c r="S289" s="7" t="s">
        <v>16614</v>
      </c>
    </row>
    <row r="290">
      <c r="A290" s="176" t="s">
        <v>16615</v>
      </c>
      <c r="B290" s="78"/>
      <c r="C290" s="136" t="s">
        <v>15405</v>
      </c>
      <c r="D290" s="179">
        <v>0.75</v>
      </c>
      <c r="E290" s="179">
        <v>0.75</v>
      </c>
      <c r="F290" s="348" t="s">
        <v>1656</v>
      </c>
      <c r="S290" s="7" t="s">
        <v>16616</v>
      </c>
    </row>
    <row r="291">
      <c r="A291" s="176" t="s">
        <v>16617</v>
      </c>
      <c r="B291" s="78"/>
      <c r="C291" s="136" t="s">
        <v>15405</v>
      </c>
      <c r="D291" s="179">
        <v>0.75</v>
      </c>
      <c r="E291" s="179">
        <v>0.75</v>
      </c>
      <c r="F291" s="348" t="s">
        <v>1656</v>
      </c>
      <c r="S291" s="7" t="s">
        <v>16618</v>
      </c>
    </row>
    <row r="292">
      <c r="A292" s="176" t="s">
        <v>16619</v>
      </c>
      <c r="B292" s="78"/>
      <c r="C292" s="136" t="s">
        <v>15405</v>
      </c>
      <c r="D292" s="179">
        <v>0.75</v>
      </c>
      <c r="E292" s="179">
        <v>0.75</v>
      </c>
      <c r="F292" s="348" t="s">
        <v>1656</v>
      </c>
      <c r="S292" s="7" t="s">
        <v>16620</v>
      </c>
    </row>
    <row r="293">
      <c r="A293" s="176" t="s">
        <v>16621</v>
      </c>
      <c r="B293" s="78"/>
      <c r="C293" s="136" t="s">
        <v>15405</v>
      </c>
      <c r="D293" s="179">
        <v>0.75</v>
      </c>
      <c r="E293" s="179">
        <v>0.75</v>
      </c>
      <c r="F293" s="348" t="s">
        <v>1656</v>
      </c>
      <c r="S293" s="7" t="s">
        <v>16622</v>
      </c>
    </row>
    <row r="294">
      <c r="A294" s="176" t="s">
        <v>16623</v>
      </c>
      <c r="B294" s="78"/>
      <c r="C294" s="136" t="s">
        <v>15405</v>
      </c>
      <c r="D294" s="179">
        <v>0.75</v>
      </c>
      <c r="E294" s="179">
        <v>0.75</v>
      </c>
      <c r="F294" s="348" t="s">
        <v>1656</v>
      </c>
      <c r="S294" s="7" t="s">
        <v>16624</v>
      </c>
    </row>
    <row r="295">
      <c r="A295" s="176" t="s">
        <v>16625</v>
      </c>
      <c r="B295" s="78"/>
      <c r="C295" s="136" t="s">
        <v>15405</v>
      </c>
      <c r="D295" s="179">
        <v>0.75</v>
      </c>
      <c r="E295" s="179">
        <v>0.75</v>
      </c>
      <c r="F295" s="348" t="s">
        <v>1656</v>
      </c>
      <c r="S295" s="7" t="s">
        <v>16626</v>
      </c>
    </row>
    <row r="296">
      <c r="A296" s="176" t="s">
        <v>16627</v>
      </c>
      <c r="B296" s="78"/>
      <c r="C296" s="136" t="s">
        <v>15405</v>
      </c>
      <c r="D296" s="179">
        <v>0.75</v>
      </c>
      <c r="E296" s="179">
        <v>0.75</v>
      </c>
      <c r="F296" s="348" t="s">
        <v>1656</v>
      </c>
      <c r="S296" s="7" t="s">
        <v>16628</v>
      </c>
    </row>
    <row r="297">
      <c r="A297" s="176" t="s">
        <v>16629</v>
      </c>
      <c r="B297" s="78"/>
      <c r="C297" s="136" t="s">
        <v>15405</v>
      </c>
      <c r="D297" s="179">
        <v>0.75</v>
      </c>
      <c r="E297" s="179">
        <v>0.75</v>
      </c>
      <c r="F297" s="348" t="s">
        <v>1656</v>
      </c>
      <c r="S297" s="7" t="s">
        <v>16630</v>
      </c>
    </row>
    <row r="298">
      <c r="A298" s="176" t="s">
        <v>16631</v>
      </c>
      <c r="B298" s="78"/>
      <c r="C298" s="136" t="s">
        <v>15405</v>
      </c>
      <c r="D298" s="179">
        <v>0.75</v>
      </c>
      <c r="E298" s="179">
        <v>0.75</v>
      </c>
      <c r="F298" s="348" t="s">
        <v>1656</v>
      </c>
      <c r="S298" s="7" t="s">
        <v>16632</v>
      </c>
    </row>
    <row r="299">
      <c r="A299" s="176" t="s">
        <v>16633</v>
      </c>
      <c r="B299" s="78"/>
      <c r="C299" s="136" t="s">
        <v>15405</v>
      </c>
      <c r="D299" s="179">
        <v>0.75</v>
      </c>
      <c r="E299" s="179">
        <v>0.75</v>
      </c>
      <c r="F299" s="348" t="s">
        <v>1656</v>
      </c>
      <c r="S299" s="7" t="s">
        <v>16634</v>
      </c>
    </row>
    <row r="300">
      <c r="A300" s="176" t="s">
        <v>1371</v>
      </c>
      <c r="B300" s="78"/>
      <c r="C300" s="136" t="s">
        <v>15405</v>
      </c>
      <c r="D300" s="179">
        <v>0.75</v>
      </c>
      <c r="E300" s="179">
        <v>0.75</v>
      </c>
      <c r="F300" s="348" t="s">
        <v>1656</v>
      </c>
      <c r="S300" s="7" t="s">
        <v>16635</v>
      </c>
    </row>
    <row r="301">
      <c r="A301" s="176" t="s">
        <v>16636</v>
      </c>
      <c r="B301" s="78"/>
      <c r="C301" s="136" t="s">
        <v>15405</v>
      </c>
      <c r="D301" s="179">
        <v>0.75</v>
      </c>
      <c r="E301" s="179">
        <v>0.75</v>
      </c>
      <c r="F301" s="348" t="s">
        <v>1656</v>
      </c>
      <c r="S301" s="7" t="s">
        <v>16637</v>
      </c>
    </row>
    <row r="302">
      <c r="A302" s="176" t="s">
        <v>16638</v>
      </c>
      <c r="B302" s="78"/>
      <c r="C302" s="136" t="s">
        <v>15405</v>
      </c>
      <c r="D302" s="179">
        <v>0.75</v>
      </c>
      <c r="E302" s="179">
        <v>0.75</v>
      </c>
      <c r="F302" s="348" t="s">
        <v>1656</v>
      </c>
      <c r="S302" s="7" t="s">
        <v>16639</v>
      </c>
    </row>
    <row r="303">
      <c r="A303" s="176" t="s">
        <v>16640</v>
      </c>
      <c r="B303" s="78"/>
      <c r="C303" s="136" t="s">
        <v>15405</v>
      </c>
      <c r="D303" s="179">
        <v>0.75</v>
      </c>
      <c r="E303" s="179">
        <v>0.75</v>
      </c>
      <c r="F303" s="348" t="s">
        <v>1656</v>
      </c>
      <c r="S303" s="7" t="s">
        <v>2199</v>
      </c>
    </row>
    <row r="304">
      <c r="A304" s="176" t="s">
        <v>16641</v>
      </c>
      <c r="B304" s="78"/>
      <c r="C304" s="136" t="s">
        <v>15405</v>
      </c>
      <c r="D304" s="179">
        <v>0.75</v>
      </c>
      <c r="E304" s="179">
        <v>0.75</v>
      </c>
      <c r="F304" s="348" t="s">
        <v>1656</v>
      </c>
      <c r="S304" s="7" t="s">
        <v>16642</v>
      </c>
    </row>
    <row r="305">
      <c r="A305" s="176" t="s">
        <v>16643</v>
      </c>
      <c r="B305" s="78"/>
      <c r="C305" s="136" t="s">
        <v>15405</v>
      </c>
      <c r="D305" s="179">
        <v>0.75</v>
      </c>
      <c r="E305" s="179">
        <v>0.75</v>
      </c>
      <c r="F305" s="348" t="s">
        <v>1656</v>
      </c>
      <c r="S305" s="7" t="s">
        <v>16644</v>
      </c>
    </row>
    <row r="306">
      <c r="A306" s="176" t="s">
        <v>16645</v>
      </c>
      <c r="B306" s="78"/>
      <c r="C306" s="136" t="s">
        <v>15405</v>
      </c>
      <c r="D306" s="179">
        <v>0.75</v>
      </c>
      <c r="E306" s="179">
        <v>0.75</v>
      </c>
      <c r="F306" s="348" t="s">
        <v>1656</v>
      </c>
      <c r="S306" s="7" t="s">
        <v>16646</v>
      </c>
    </row>
    <row r="307">
      <c r="A307" s="176" t="s">
        <v>16647</v>
      </c>
      <c r="B307" s="78"/>
      <c r="C307" s="136" t="s">
        <v>15405</v>
      </c>
      <c r="D307" s="179">
        <v>0.75</v>
      </c>
      <c r="E307" s="179">
        <v>0.75</v>
      </c>
      <c r="F307" s="348" t="s">
        <v>1656</v>
      </c>
      <c r="S307" s="7" t="s">
        <v>16648</v>
      </c>
    </row>
    <row r="308">
      <c r="A308" s="176" t="s">
        <v>16649</v>
      </c>
      <c r="B308" s="78"/>
      <c r="C308" s="136" t="s">
        <v>15405</v>
      </c>
      <c r="D308" s="179">
        <v>0.75</v>
      </c>
      <c r="E308" s="179">
        <v>0.75</v>
      </c>
      <c r="F308" s="348" t="s">
        <v>1656</v>
      </c>
      <c r="S308" s="7" t="s">
        <v>16650</v>
      </c>
    </row>
    <row r="309">
      <c r="A309" s="176" t="s">
        <v>16651</v>
      </c>
      <c r="B309" s="78"/>
      <c r="C309" s="136" t="s">
        <v>15405</v>
      </c>
      <c r="D309" s="179">
        <v>0.75</v>
      </c>
      <c r="E309" s="179">
        <v>0.75</v>
      </c>
      <c r="F309" s="348" t="s">
        <v>1656</v>
      </c>
      <c r="S309" s="7" t="s">
        <v>16652</v>
      </c>
    </row>
    <row r="310">
      <c r="A310" s="176" t="s">
        <v>16653</v>
      </c>
      <c r="B310" s="78"/>
      <c r="C310" s="136" t="s">
        <v>15405</v>
      </c>
      <c r="D310" s="179">
        <v>0.75</v>
      </c>
      <c r="E310" s="179">
        <v>0.75</v>
      </c>
      <c r="F310" s="348" t="s">
        <v>1656</v>
      </c>
      <c r="S310" s="7" t="s">
        <v>16654</v>
      </c>
    </row>
    <row r="311">
      <c r="A311" s="176" t="s">
        <v>16655</v>
      </c>
      <c r="B311" s="78"/>
      <c r="C311" s="136" t="s">
        <v>15405</v>
      </c>
      <c r="D311" s="179">
        <v>0.75</v>
      </c>
      <c r="E311" s="179">
        <v>0.75</v>
      </c>
      <c r="F311" s="348" t="s">
        <v>1656</v>
      </c>
      <c r="S311" s="7" t="s">
        <v>16656</v>
      </c>
    </row>
    <row r="312">
      <c r="A312" s="176" t="s">
        <v>16657</v>
      </c>
      <c r="B312" s="78"/>
      <c r="C312" s="136" t="s">
        <v>15405</v>
      </c>
      <c r="D312" s="179">
        <v>0.75</v>
      </c>
      <c r="E312" s="179">
        <v>0.75</v>
      </c>
      <c r="F312" s="348" t="s">
        <v>1656</v>
      </c>
      <c r="S312" s="7" t="s">
        <v>16658</v>
      </c>
    </row>
    <row r="313">
      <c r="A313" s="176" t="s">
        <v>16659</v>
      </c>
      <c r="B313" s="78"/>
      <c r="C313" s="136" t="s">
        <v>15405</v>
      </c>
      <c r="D313" s="179">
        <v>0.75</v>
      </c>
      <c r="E313" s="179">
        <v>0.75</v>
      </c>
      <c r="F313" s="348" t="s">
        <v>1656</v>
      </c>
      <c r="S313" s="7" t="s">
        <v>16660</v>
      </c>
    </row>
    <row r="314">
      <c r="A314" s="176" t="s">
        <v>16661</v>
      </c>
      <c r="B314" s="78"/>
      <c r="C314" s="136" t="s">
        <v>15405</v>
      </c>
      <c r="D314" s="179">
        <v>0.75</v>
      </c>
      <c r="E314" s="179">
        <v>0.75</v>
      </c>
      <c r="F314" s="348" t="s">
        <v>1656</v>
      </c>
      <c r="S314" s="7" t="s">
        <v>16662</v>
      </c>
    </row>
    <row r="315">
      <c r="A315" s="176" t="s">
        <v>16663</v>
      </c>
      <c r="B315" s="78"/>
      <c r="C315" s="136" t="s">
        <v>15405</v>
      </c>
      <c r="D315" s="179">
        <v>0.75</v>
      </c>
      <c r="E315" s="179">
        <v>0.75</v>
      </c>
      <c r="F315" s="348" t="s">
        <v>1656</v>
      </c>
      <c r="S315" s="7" t="s">
        <v>16664</v>
      </c>
    </row>
    <row r="316">
      <c r="A316" s="176" t="s">
        <v>16665</v>
      </c>
      <c r="B316" s="78"/>
      <c r="C316" s="136" t="s">
        <v>15405</v>
      </c>
      <c r="D316" s="179">
        <v>0.75</v>
      </c>
      <c r="E316" s="179">
        <v>0.75</v>
      </c>
      <c r="F316" s="348" t="s">
        <v>1656</v>
      </c>
      <c r="S316" s="7" t="s">
        <v>3224</v>
      </c>
    </row>
    <row r="317">
      <c r="A317" s="176" t="s">
        <v>16666</v>
      </c>
      <c r="B317" s="78"/>
      <c r="C317" s="136" t="s">
        <v>15405</v>
      </c>
      <c r="D317" s="179">
        <v>0.75</v>
      </c>
      <c r="E317" s="179">
        <v>0.75</v>
      </c>
      <c r="F317" s="348" t="s">
        <v>1656</v>
      </c>
      <c r="S317" s="7" t="s">
        <v>16667</v>
      </c>
    </row>
    <row r="318">
      <c r="A318" s="176" t="s">
        <v>16668</v>
      </c>
      <c r="B318" s="78"/>
      <c r="C318" s="136" t="s">
        <v>15405</v>
      </c>
      <c r="D318" s="179">
        <v>0.75</v>
      </c>
      <c r="E318" s="179">
        <v>0.75</v>
      </c>
      <c r="F318" s="348" t="s">
        <v>1656</v>
      </c>
      <c r="S318" s="7" t="s">
        <v>16669</v>
      </c>
    </row>
    <row r="319">
      <c r="A319" s="176" t="s">
        <v>16670</v>
      </c>
      <c r="B319" s="78"/>
      <c r="C319" s="136" t="s">
        <v>15405</v>
      </c>
      <c r="D319" s="179">
        <v>0.75</v>
      </c>
      <c r="E319" s="179">
        <v>0.75</v>
      </c>
      <c r="F319" s="348" t="s">
        <v>1656</v>
      </c>
      <c r="S319" s="7" t="s">
        <v>16671</v>
      </c>
    </row>
    <row r="320">
      <c r="A320" s="176" t="s">
        <v>16672</v>
      </c>
      <c r="B320" s="78"/>
      <c r="C320" s="136" t="s">
        <v>15405</v>
      </c>
      <c r="D320" s="179">
        <v>0.75</v>
      </c>
      <c r="E320" s="179">
        <v>0.75</v>
      </c>
      <c r="F320" s="348" t="s">
        <v>1656</v>
      </c>
      <c r="S320" s="7" t="s">
        <v>16673</v>
      </c>
    </row>
    <row r="321">
      <c r="A321" s="176" t="s">
        <v>1421</v>
      </c>
      <c r="B321" s="78"/>
      <c r="C321" s="136" t="s">
        <v>15405</v>
      </c>
      <c r="D321" s="179">
        <v>0.75</v>
      </c>
      <c r="E321" s="179">
        <v>0.75</v>
      </c>
      <c r="F321" s="348" t="s">
        <v>1656</v>
      </c>
      <c r="S321" s="7" t="s">
        <v>16674</v>
      </c>
    </row>
    <row r="322">
      <c r="A322" s="176" t="s">
        <v>6137</v>
      </c>
      <c r="B322" s="78"/>
      <c r="C322" s="136" t="s">
        <v>15405</v>
      </c>
      <c r="D322" s="179">
        <v>0.75</v>
      </c>
      <c r="E322" s="179">
        <v>0.75</v>
      </c>
      <c r="F322" s="348" t="s">
        <v>1656</v>
      </c>
      <c r="S322" s="7" t="s">
        <v>16675</v>
      </c>
    </row>
    <row r="323">
      <c r="A323" s="176" t="s">
        <v>16676</v>
      </c>
      <c r="B323" s="78"/>
      <c r="C323" s="136" t="s">
        <v>15405</v>
      </c>
      <c r="D323" s="179">
        <v>0.75</v>
      </c>
      <c r="E323" s="179">
        <v>0.75</v>
      </c>
      <c r="F323" s="348" t="s">
        <v>1656</v>
      </c>
      <c r="S323" s="7" t="s">
        <v>16677</v>
      </c>
      <c r="T323" s="11">
        <v>6726.0</v>
      </c>
    </row>
    <row r="324">
      <c r="A324" s="176" t="s">
        <v>10904</v>
      </c>
      <c r="B324" s="78"/>
      <c r="C324" s="136" t="s">
        <v>15405</v>
      </c>
      <c r="D324" s="179">
        <v>0.75</v>
      </c>
      <c r="E324" s="179">
        <v>0.75</v>
      </c>
      <c r="F324" s="348" t="s">
        <v>1656</v>
      </c>
      <c r="S324" s="7" t="s">
        <v>16678</v>
      </c>
      <c r="T324" s="11">
        <v>6726.0</v>
      </c>
    </row>
    <row r="325">
      <c r="A325" s="176" t="s">
        <v>16679</v>
      </c>
      <c r="B325" s="78"/>
      <c r="C325" s="136" t="s">
        <v>15405</v>
      </c>
      <c r="D325" s="179">
        <v>0.75</v>
      </c>
      <c r="E325" s="179">
        <v>0.75</v>
      </c>
      <c r="F325" s="348" t="s">
        <v>1656</v>
      </c>
      <c r="S325" s="7" t="s">
        <v>16680</v>
      </c>
    </row>
    <row r="326">
      <c r="A326" s="176" t="s">
        <v>16681</v>
      </c>
      <c r="B326" s="78"/>
      <c r="C326" s="136" t="s">
        <v>15405</v>
      </c>
      <c r="D326" s="179">
        <v>0.75</v>
      </c>
      <c r="E326" s="179">
        <v>0.75</v>
      </c>
      <c r="F326" s="348" t="s">
        <v>1656</v>
      </c>
      <c r="S326" s="7" t="s">
        <v>16682</v>
      </c>
    </row>
    <row r="327">
      <c r="A327" s="176" t="s">
        <v>16683</v>
      </c>
      <c r="B327" s="78"/>
      <c r="C327" s="136" t="s">
        <v>15405</v>
      </c>
      <c r="D327" s="179">
        <v>0.75</v>
      </c>
      <c r="E327" s="179">
        <v>0.75</v>
      </c>
      <c r="F327" s="348" t="s">
        <v>1656</v>
      </c>
      <c r="S327" s="7" t="s">
        <v>16684</v>
      </c>
    </row>
    <row r="328">
      <c r="A328" s="176" t="s">
        <v>2883</v>
      </c>
      <c r="B328" s="78"/>
      <c r="C328" s="136" t="s">
        <v>15405</v>
      </c>
      <c r="D328" s="179">
        <v>0.75</v>
      </c>
      <c r="E328" s="179">
        <v>0.75</v>
      </c>
      <c r="F328" s="348" t="s">
        <v>1656</v>
      </c>
      <c r="S328" s="7" t="s">
        <v>16685</v>
      </c>
    </row>
    <row r="329">
      <c r="A329" s="176" t="s">
        <v>16686</v>
      </c>
      <c r="B329" s="78"/>
      <c r="C329" s="136" t="s">
        <v>15405</v>
      </c>
      <c r="D329" s="179">
        <v>0.75</v>
      </c>
      <c r="E329" s="179">
        <v>0.75</v>
      </c>
      <c r="F329" s="348" t="s">
        <v>1656</v>
      </c>
      <c r="S329" s="7" t="s">
        <v>16687</v>
      </c>
    </row>
    <row r="330">
      <c r="A330" s="176" t="s">
        <v>16688</v>
      </c>
      <c r="B330" s="78"/>
      <c r="C330" s="136" t="s">
        <v>15405</v>
      </c>
      <c r="D330" s="179">
        <v>0.75</v>
      </c>
      <c r="E330" s="179">
        <v>0.75</v>
      </c>
      <c r="F330" s="348" t="s">
        <v>1656</v>
      </c>
      <c r="S330" s="7" t="s">
        <v>16689</v>
      </c>
    </row>
    <row r="331">
      <c r="A331" s="176" t="s">
        <v>16690</v>
      </c>
      <c r="B331" s="78"/>
      <c r="C331" s="136" t="s">
        <v>15405</v>
      </c>
      <c r="D331" s="179">
        <v>0.75</v>
      </c>
      <c r="E331" s="179">
        <v>0.75</v>
      </c>
      <c r="F331" s="348" t="s">
        <v>1656</v>
      </c>
      <c r="S331" s="7" t="s">
        <v>16691</v>
      </c>
    </row>
    <row r="332">
      <c r="A332" s="176" t="s">
        <v>16692</v>
      </c>
      <c r="B332" s="78"/>
      <c r="C332" s="136" t="s">
        <v>15405</v>
      </c>
      <c r="D332" s="179">
        <v>0.75</v>
      </c>
      <c r="E332" s="179">
        <v>0.75</v>
      </c>
      <c r="F332" s="348" t="s">
        <v>1656</v>
      </c>
      <c r="S332" s="7" t="s">
        <v>5850</v>
      </c>
    </row>
    <row r="333">
      <c r="A333" s="176" t="s">
        <v>16693</v>
      </c>
      <c r="B333" s="78"/>
      <c r="C333" s="136" t="s">
        <v>15405</v>
      </c>
      <c r="D333" s="179">
        <v>0.75</v>
      </c>
      <c r="E333" s="179">
        <v>0.75</v>
      </c>
      <c r="F333" s="348" t="s">
        <v>1656</v>
      </c>
      <c r="S333" s="7" t="s">
        <v>16694</v>
      </c>
    </row>
    <row r="334">
      <c r="A334" s="176" t="s">
        <v>16695</v>
      </c>
      <c r="B334" s="78"/>
      <c r="C334" s="136" t="s">
        <v>15405</v>
      </c>
      <c r="D334" s="179">
        <v>0.75</v>
      </c>
      <c r="E334" s="179">
        <v>0.75</v>
      </c>
      <c r="F334" s="348" t="s">
        <v>1656</v>
      </c>
      <c r="S334" s="7" t="s">
        <v>16696</v>
      </c>
    </row>
    <row r="335">
      <c r="A335" s="176" t="s">
        <v>16697</v>
      </c>
      <c r="B335" s="78"/>
      <c r="C335" s="136" t="s">
        <v>15405</v>
      </c>
      <c r="D335" s="179">
        <v>0.75</v>
      </c>
      <c r="E335" s="179">
        <v>0.75</v>
      </c>
      <c r="F335" s="348" t="s">
        <v>1656</v>
      </c>
      <c r="S335" s="7" t="s">
        <v>1529</v>
      </c>
    </row>
    <row r="336">
      <c r="A336" s="176" t="s">
        <v>16698</v>
      </c>
      <c r="B336" s="78"/>
      <c r="C336" s="136" t="s">
        <v>15405</v>
      </c>
      <c r="D336" s="179">
        <v>0.75</v>
      </c>
      <c r="E336" s="179">
        <v>0.75</v>
      </c>
      <c r="F336" s="348" t="s">
        <v>1656</v>
      </c>
      <c r="S336" s="7" t="s">
        <v>16699</v>
      </c>
    </row>
    <row r="337">
      <c r="A337" s="176" t="s">
        <v>16700</v>
      </c>
      <c r="B337" s="78"/>
      <c r="C337" s="136" t="s">
        <v>15405</v>
      </c>
      <c r="D337" s="179">
        <v>0.75</v>
      </c>
      <c r="E337" s="179">
        <v>0.75</v>
      </c>
      <c r="F337" s="348" t="s">
        <v>1656</v>
      </c>
      <c r="S337" s="7" t="s">
        <v>16701</v>
      </c>
    </row>
    <row r="338">
      <c r="A338" s="176" t="s">
        <v>16702</v>
      </c>
      <c r="B338" s="78"/>
      <c r="C338" s="136" t="s">
        <v>15405</v>
      </c>
      <c r="D338" s="179">
        <v>0.75</v>
      </c>
      <c r="E338" s="179">
        <v>0.75</v>
      </c>
      <c r="F338" s="348" t="s">
        <v>1656</v>
      </c>
      <c r="S338" s="7" t="s">
        <v>16703</v>
      </c>
    </row>
    <row r="339">
      <c r="A339" s="176" t="s">
        <v>16704</v>
      </c>
      <c r="B339" s="78"/>
      <c r="C339" s="136" t="s">
        <v>15405</v>
      </c>
      <c r="D339" s="179">
        <v>0.75</v>
      </c>
      <c r="E339" s="179">
        <v>0.75</v>
      </c>
      <c r="F339" s="348" t="s">
        <v>1656</v>
      </c>
      <c r="S339" s="7" t="s">
        <v>16705</v>
      </c>
    </row>
    <row r="340">
      <c r="A340" s="176" t="s">
        <v>16706</v>
      </c>
      <c r="B340" s="78"/>
      <c r="C340" s="136" t="s">
        <v>15405</v>
      </c>
      <c r="D340" s="179">
        <v>0.75</v>
      </c>
      <c r="E340" s="179">
        <v>0.75</v>
      </c>
      <c r="F340" s="348" t="s">
        <v>1656</v>
      </c>
      <c r="S340" s="7" t="s">
        <v>16707</v>
      </c>
    </row>
    <row r="341">
      <c r="A341" s="176" t="s">
        <v>16708</v>
      </c>
      <c r="B341" s="78"/>
      <c r="C341" s="136" t="s">
        <v>15405</v>
      </c>
      <c r="D341" s="179">
        <v>0.75</v>
      </c>
      <c r="E341" s="179">
        <v>0.75</v>
      </c>
      <c r="F341" s="348" t="s">
        <v>1656</v>
      </c>
      <c r="S341" s="7" t="s">
        <v>16709</v>
      </c>
    </row>
    <row r="342">
      <c r="A342" s="176" t="s">
        <v>16710</v>
      </c>
      <c r="B342" s="78"/>
      <c r="C342" s="136" t="s">
        <v>15405</v>
      </c>
      <c r="D342" s="179">
        <v>0.75</v>
      </c>
      <c r="E342" s="179">
        <v>0.75</v>
      </c>
      <c r="F342" s="348" t="s">
        <v>1656</v>
      </c>
      <c r="S342" s="7" t="s">
        <v>2428</v>
      </c>
    </row>
    <row r="343">
      <c r="A343" s="176" t="s">
        <v>16711</v>
      </c>
      <c r="B343" s="78"/>
      <c r="C343" s="136" t="s">
        <v>15405</v>
      </c>
      <c r="D343" s="179">
        <v>0.75</v>
      </c>
      <c r="E343" s="179">
        <v>0.75</v>
      </c>
      <c r="F343" s="348" t="s">
        <v>1656</v>
      </c>
      <c r="S343" s="7" t="s">
        <v>16712</v>
      </c>
    </row>
    <row r="344">
      <c r="A344" s="176" t="s">
        <v>16713</v>
      </c>
      <c r="B344" s="78"/>
      <c r="C344" s="136" t="s">
        <v>15405</v>
      </c>
      <c r="D344" s="179">
        <v>0.75</v>
      </c>
      <c r="E344" s="179">
        <v>0.75</v>
      </c>
      <c r="F344" s="348" t="s">
        <v>1656</v>
      </c>
      <c r="S344" s="7" t="s">
        <v>16714</v>
      </c>
    </row>
    <row r="345">
      <c r="A345" s="176" t="s">
        <v>16715</v>
      </c>
      <c r="B345" s="78"/>
      <c r="C345" s="136" t="s">
        <v>15405</v>
      </c>
      <c r="D345" s="179">
        <v>0.75</v>
      </c>
      <c r="E345" s="179">
        <v>0.75</v>
      </c>
      <c r="F345" s="348" t="s">
        <v>1656</v>
      </c>
      <c r="S345" s="7" t="s">
        <v>16716</v>
      </c>
    </row>
    <row r="346">
      <c r="A346" s="176" t="s">
        <v>1366</v>
      </c>
      <c r="B346" s="78"/>
      <c r="C346" s="136" t="s">
        <v>15405</v>
      </c>
      <c r="D346" s="179">
        <v>0.75</v>
      </c>
      <c r="E346" s="179">
        <v>0.75</v>
      </c>
      <c r="F346" s="348" t="s">
        <v>1656</v>
      </c>
      <c r="S346" s="7" t="s">
        <v>16717</v>
      </c>
    </row>
    <row r="347">
      <c r="A347" s="176" t="s">
        <v>16718</v>
      </c>
      <c r="B347" s="78"/>
      <c r="C347" s="136" t="s">
        <v>15405</v>
      </c>
      <c r="D347" s="179">
        <v>0.75</v>
      </c>
      <c r="E347" s="179">
        <v>0.75</v>
      </c>
      <c r="F347" s="348" t="s">
        <v>1656</v>
      </c>
      <c r="S347" s="7" t="s">
        <v>16719</v>
      </c>
    </row>
    <row r="348">
      <c r="A348" s="176" t="s">
        <v>16720</v>
      </c>
      <c r="B348" s="78"/>
      <c r="C348" s="136" t="s">
        <v>15405</v>
      </c>
      <c r="D348" s="179">
        <v>0.75</v>
      </c>
      <c r="E348" s="179">
        <v>0.75</v>
      </c>
      <c r="F348" s="348" t="s">
        <v>1656</v>
      </c>
      <c r="S348" s="7" t="s">
        <v>16721</v>
      </c>
    </row>
    <row r="349">
      <c r="A349" s="176" t="s">
        <v>16722</v>
      </c>
      <c r="B349" s="78"/>
      <c r="C349" s="136" t="s">
        <v>15405</v>
      </c>
      <c r="D349" s="179">
        <v>0.75</v>
      </c>
      <c r="E349" s="179">
        <v>0.75</v>
      </c>
      <c r="F349" s="348" t="s">
        <v>1656</v>
      </c>
      <c r="S349" s="7" t="s">
        <v>16723</v>
      </c>
    </row>
    <row r="350">
      <c r="A350" s="176" t="s">
        <v>1199</v>
      </c>
      <c r="B350" s="78"/>
      <c r="C350" s="136" t="s">
        <v>15405</v>
      </c>
      <c r="D350" s="179">
        <v>0.75</v>
      </c>
      <c r="E350" s="179">
        <v>0.75</v>
      </c>
      <c r="F350" s="348" t="s">
        <v>1656</v>
      </c>
      <c r="S350" s="7" t="s">
        <v>16724</v>
      </c>
    </row>
    <row r="351">
      <c r="A351" s="176" t="s">
        <v>16725</v>
      </c>
      <c r="B351" s="78"/>
      <c r="C351" s="136" t="s">
        <v>15405</v>
      </c>
      <c r="D351" s="179">
        <v>0.75</v>
      </c>
      <c r="E351" s="179">
        <v>0.75</v>
      </c>
      <c r="F351" s="348" t="s">
        <v>1656</v>
      </c>
      <c r="S351" s="7" t="s">
        <v>16726</v>
      </c>
    </row>
    <row r="352">
      <c r="A352" s="176" t="s">
        <v>16727</v>
      </c>
      <c r="B352" s="78"/>
      <c r="C352" s="136" t="s">
        <v>15405</v>
      </c>
      <c r="D352" s="179">
        <v>0.75</v>
      </c>
      <c r="E352" s="179">
        <v>0.75</v>
      </c>
      <c r="F352" s="348" t="s">
        <v>1656</v>
      </c>
      <c r="S352" s="7" t="s">
        <v>16728</v>
      </c>
    </row>
    <row r="353">
      <c r="A353" s="176" t="s">
        <v>16729</v>
      </c>
      <c r="B353" s="78"/>
      <c r="C353" s="136" t="s">
        <v>15405</v>
      </c>
      <c r="D353" s="179">
        <v>0.75</v>
      </c>
      <c r="E353" s="179">
        <v>0.75</v>
      </c>
      <c r="F353" s="348" t="s">
        <v>1656</v>
      </c>
      <c r="S353" s="7" t="s">
        <v>16730</v>
      </c>
    </row>
    <row r="354">
      <c r="A354" s="176" t="s">
        <v>16731</v>
      </c>
      <c r="B354" s="78"/>
      <c r="C354" s="136" t="s">
        <v>15405</v>
      </c>
      <c r="D354" s="179">
        <v>0.75</v>
      </c>
      <c r="E354" s="179">
        <v>0.75</v>
      </c>
      <c r="F354" s="348" t="s">
        <v>1656</v>
      </c>
      <c r="S354" s="7" t="s">
        <v>16732</v>
      </c>
    </row>
    <row r="355">
      <c r="A355" s="176" t="s">
        <v>16733</v>
      </c>
      <c r="B355" s="78"/>
      <c r="C355" s="136" t="s">
        <v>15405</v>
      </c>
      <c r="D355" s="179">
        <v>0.75</v>
      </c>
      <c r="E355" s="179">
        <v>0.75</v>
      </c>
      <c r="F355" s="348" t="s">
        <v>1656</v>
      </c>
      <c r="S355" s="7" t="s">
        <v>16734</v>
      </c>
    </row>
    <row r="356">
      <c r="A356" s="176" t="s">
        <v>16735</v>
      </c>
      <c r="B356" s="78"/>
      <c r="C356" s="136" t="s">
        <v>15405</v>
      </c>
      <c r="D356" s="179">
        <v>0.75</v>
      </c>
      <c r="E356" s="179">
        <v>0.75</v>
      </c>
      <c r="F356" s="348" t="s">
        <v>1656</v>
      </c>
      <c r="S356" s="7" t="s">
        <v>16736</v>
      </c>
    </row>
    <row r="357">
      <c r="A357" s="176" t="s">
        <v>16737</v>
      </c>
      <c r="B357" s="78"/>
      <c r="C357" s="136" t="s">
        <v>15405</v>
      </c>
      <c r="D357" s="179">
        <v>0.75</v>
      </c>
      <c r="E357" s="179">
        <v>0.75</v>
      </c>
      <c r="F357" s="348" t="s">
        <v>1656</v>
      </c>
      <c r="S357" s="7" t="s">
        <v>16738</v>
      </c>
    </row>
    <row r="358">
      <c r="A358" s="176" t="s">
        <v>16739</v>
      </c>
      <c r="B358" s="78"/>
      <c r="C358" s="136" t="s">
        <v>15405</v>
      </c>
      <c r="D358" s="179">
        <v>0.75</v>
      </c>
      <c r="E358" s="179">
        <v>0.75</v>
      </c>
      <c r="F358" s="348" t="s">
        <v>1656</v>
      </c>
      <c r="S358" s="7" t="s">
        <v>16740</v>
      </c>
    </row>
    <row r="359">
      <c r="A359" s="176" t="s">
        <v>16741</v>
      </c>
      <c r="B359" s="78"/>
      <c r="C359" s="136" t="s">
        <v>15405</v>
      </c>
      <c r="D359" s="179">
        <v>0.75</v>
      </c>
      <c r="E359" s="179">
        <v>0.75</v>
      </c>
      <c r="F359" s="348" t="s">
        <v>1656</v>
      </c>
      <c r="S359" s="7" t="s">
        <v>16742</v>
      </c>
    </row>
    <row r="360">
      <c r="A360" s="176" t="s">
        <v>16743</v>
      </c>
      <c r="B360" s="78"/>
      <c r="C360" s="136" t="s">
        <v>15405</v>
      </c>
      <c r="D360" s="179">
        <v>0.75</v>
      </c>
      <c r="E360" s="179">
        <v>0.75</v>
      </c>
      <c r="F360" s="348" t="s">
        <v>1656</v>
      </c>
      <c r="S360" s="7" t="s">
        <v>16744</v>
      </c>
    </row>
    <row r="361">
      <c r="A361" s="176" t="s">
        <v>16745</v>
      </c>
      <c r="B361" s="78"/>
      <c r="C361" s="136" t="s">
        <v>15405</v>
      </c>
      <c r="D361" s="179">
        <v>0.75</v>
      </c>
      <c r="E361" s="179">
        <v>0.75</v>
      </c>
      <c r="F361" s="348" t="s">
        <v>1656</v>
      </c>
      <c r="S361" s="7" t="s">
        <v>16746</v>
      </c>
    </row>
    <row r="362">
      <c r="A362" s="176" t="s">
        <v>16747</v>
      </c>
      <c r="B362" s="78"/>
      <c r="C362" s="136" t="s">
        <v>15405</v>
      </c>
      <c r="D362" s="179">
        <v>0.75</v>
      </c>
      <c r="E362" s="179">
        <v>0.75</v>
      </c>
      <c r="F362" s="348" t="s">
        <v>1656</v>
      </c>
      <c r="S362" s="7" t="s">
        <v>16748</v>
      </c>
    </row>
    <row r="363">
      <c r="A363" s="176" t="s">
        <v>16749</v>
      </c>
      <c r="B363" s="78"/>
      <c r="C363" s="136" t="s">
        <v>15405</v>
      </c>
      <c r="D363" s="179">
        <v>0.75</v>
      </c>
      <c r="E363" s="179">
        <v>0.75</v>
      </c>
      <c r="F363" s="348" t="s">
        <v>1656</v>
      </c>
      <c r="S363" s="7" t="s">
        <v>16750</v>
      </c>
    </row>
    <row r="364">
      <c r="A364" s="176" t="s">
        <v>16751</v>
      </c>
      <c r="B364" s="78"/>
      <c r="C364" s="136" t="s">
        <v>15405</v>
      </c>
      <c r="D364" s="179">
        <v>0.75</v>
      </c>
      <c r="E364" s="179">
        <v>0.75</v>
      </c>
      <c r="F364" s="348" t="s">
        <v>1656</v>
      </c>
      <c r="S364" s="7" t="s">
        <v>16752</v>
      </c>
    </row>
    <row r="365">
      <c r="A365" s="176" t="s">
        <v>3054</v>
      </c>
      <c r="B365" s="78"/>
      <c r="C365" s="136" t="s">
        <v>15405</v>
      </c>
      <c r="D365" s="179">
        <v>0.75</v>
      </c>
      <c r="E365" s="179">
        <v>0.75</v>
      </c>
      <c r="F365" s="348" t="s">
        <v>1656</v>
      </c>
      <c r="S365" s="7" t="s">
        <v>16753</v>
      </c>
    </row>
    <row r="366">
      <c r="A366" s="176" t="s">
        <v>16754</v>
      </c>
      <c r="B366" s="78"/>
      <c r="C366" s="136" t="s">
        <v>15405</v>
      </c>
      <c r="D366" s="179">
        <v>0.75</v>
      </c>
      <c r="E366" s="179">
        <v>0.75</v>
      </c>
      <c r="F366" s="348" t="s">
        <v>1656</v>
      </c>
      <c r="S366" s="7" t="s">
        <v>16755</v>
      </c>
    </row>
    <row r="367">
      <c r="A367" s="176" t="s">
        <v>16756</v>
      </c>
      <c r="B367" s="78"/>
      <c r="C367" s="136" t="s">
        <v>15405</v>
      </c>
      <c r="D367" s="179">
        <v>0.75</v>
      </c>
      <c r="E367" s="179">
        <v>0.75</v>
      </c>
      <c r="F367" s="348" t="s">
        <v>1656</v>
      </c>
      <c r="S367" s="7" t="s">
        <v>16757</v>
      </c>
    </row>
    <row r="368">
      <c r="A368" s="176" t="s">
        <v>16758</v>
      </c>
      <c r="B368" s="78"/>
      <c r="C368" s="136" t="s">
        <v>15405</v>
      </c>
      <c r="D368" s="179">
        <v>0.75</v>
      </c>
      <c r="E368" s="179">
        <v>0.75</v>
      </c>
      <c r="F368" s="348" t="s">
        <v>1656</v>
      </c>
      <c r="S368" s="7" t="s">
        <v>16759</v>
      </c>
    </row>
    <row r="369">
      <c r="A369" s="176" t="s">
        <v>16760</v>
      </c>
      <c r="B369" s="78"/>
      <c r="C369" s="136" t="s">
        <v>15405</v>
      </c>
      <c r="D369" s="179">
        <v>0.75</v>
      </c>
      <c r="E369" s="179">
        <v>0.75</v>
      </c>
      <c r="F369" s="348" t="s">
        <v>1656</v>
      </c>
      <c r="S369" s="7" t="s">
        <v>1323</v>
      </c>
    </row>
    <row r="370">
      <c r="A370" s="176" t="s">
        <v>16761</v>
      </c>
      <c r="B370" s="78"/>
      <c r="C370" s="136" t="s">
        <v>15405</v>
      </c>
      <c r="D370" s="179">
        <v>0.75</v>
      </c>
      <c r="E370" s="179">
        <v>0.75</v>
      </c>
      <c r="F370" s="348" t="s">
        <v>1656</v>
      </c>
      <c r="S370" s="7" t="s">
        <v>16762</v>
      </c>
    </row>
    <row r="371">
      <c r="A371" s="176" t="s">
        <v>16763</v>
      </c>
      <c r="B371" s="78"/>
      <c r="C371" s="136" t="s">
        <v>15405</v>
      </c>
      <c r="D371" s="179">
        <v>0.75</v>
      </c>
      <c r="E371" s="179">
        <v>0.75</v>
      </c>
      <c r="F371" s="348" t="s">
        <v>1656</v>
      </c>
      <c r="S371" s="7" t="s">
        <v>16764</v>
      </c>
    </row>
    <row r="372">
      <c r="A372" s="176" t="s">
        <v>16765</v>
      </c>
      <c r="B372" s="78"/>
      <c r="C372" s="136" t="s">
        <v>15405</v>
      </c>
      <c r="D372" s="179">
        <v>0.75</v>
      </c>
      <c r="E372" s="179">
        <v>0.75</v>
      </c>
      <c r="F372" s="348" t="s">
        <v>1656</v>
      </c>
      <c r="S372" s="7" t="s">
        <v>16766</v>
      </c>
    </row>
    <row r="373">
      <c r="A373" s="176" t="s">
        <v>16767</v>
      </c>
      <c r="B373" s="78"/>
      <c r="C373" s="136" t="s">
        <v>15405</v>
      </c>
      <c r="D373" s="179">
        <v>0.75</v>
      </c>
      <c r="E373" s="179">
        <v>0.75</v>
      </c>
      <c r="F373" s="348" t="s">
        <v>1656</v>
      </c>
      <c r="S373" s="7" t="s">
        <v>16768</v>
      </c>
    </row>
    <row r="374">
      <c r="A374" s="176" t="s">
        <v>16769</v>
      </c>
      <c r="B374" s="78"/>
      <c r="C374" s="136" t="s">
        <v>15405</v>
      </c>
      <c r="D374" s="179">
        <v>0.75</v>
      </c>
      <c r="E374" s="179">
        <v>0.75</v>
      </c>
      <c r="F374" s="348" t="s">
        <v>1656</v>
      </c>
      <c r="S374" s="7" t="s">
        <v>16770</v>
      </c>
    </row>
    <row r="375">
      <c r="A375" s="176" t="s">
        <v>16771</v>
      </c>
      <c r="B375" s="78"/>
      <c r="C375" s="136" t="s">
        <v>15405</v>
      </c>
      <c r="D375" s="179">
        <v>0.75</v>
      </c>
      <c r="E375" s="179">
        <v>0.75</v>
      </c>
      <c r="F375" s="348" t="s">
        <v>1656</v>
      </c>
      <c r="S375" s="7" t="s">
        <v>16772</v>
      </c>
    </row>
    <row r="376">
      <c r="A376" s="176" t="s">
        <v>16773</v>
      </c>
      <c r="B376" s="78"/>
      <c r="C376" s="136" t="s">
        <v>15405</v>
      </c>
      <c r="D376" s="179">
        <v>0.75</v>
      </c>
      <c r="E376" s="179">
        <v>0.75</v>
      </c>
      <c r="F376" s="348" t="s">
        <v>1656</v>
      </c>
      <c r="S376" s="7" t="s">
        <v>16774</v>
      </c>
    </row>
    <row r="377">
      <c r="A377" s="176" t="s">
        <v>16775</v>
      </c>
      <c r="B377" s="78"/>
      <c r="C377" s="136" t="s">
        <v>15405</v>
      </c>
      <c r="D377" s="179">
        <v>0.75</v>
      </c>
      <c r="E377" s="179">
        <v>0.75</v>
      </c>
      <c r="F377" s="348" t="s">
        <v>1656</v>
      </c>
      <c r="S377" s="7" t="s">
        <v>16776</v>
      </c>
    </row>
    <row r="378">
      <c r="A378" s="176" t="s">
        <v>16777</v>
      </c>
      <c r="B378" s="78"/>
      <c r="C378" s="136" t="s">
        <v>15405</v>
      </c>
      <c r="D378" s="179">
        <v>0.75</v>
      </c>
      <c r="E378" s="179">
        <v>0.75</v>
      </c>
      <c r="F378" s="348" t="s">
        <v>1656</v>
      </c>
      <c r="S378" s="7" t="s">
        <v>16778</v>
      </c>
    </row>
    <row r="379">
      <c r="A379" s="176" t="s">
        <v>16779</v>
      </c>
      <c r="B379" s="78"/>
      <c r="C379" s="136" t="s">
        <v>15405</v>
      </c>
      <c r="D379" s="179">
        <v>0.75</v>
      </c>
      <c r="E379" s="179">
        <v>0.75</v>
      </c>
      <c r="F379" s="348" t="s">
        <v>1656</v>
      </c>
      <c r="S379" s="7" t="s">
        <v>16780</v>
      </c>
    </row>
    <row r="380">
      <c r="A380" s="176" t="s">
        <v>15886</v>
      </c>
      <c r="B380" s="78"/>
      <c r="C380" s="136" t="s">
        <v>15405</v>
      </c>
      <c r="D380" s="179">
        <v>0.75</v>
      </c>
      <c r="E380" s="179">
        <v>0.75</v>
      </c>
      <c r="F380" s="348" t="s">
        <v>1656</v>
      </c>
      <c r="S380" s="7" t="s">
        <v>16781</v>
      </c>
    </row>
    <row r="381">
      <c r="A381" s="176" t="s">
        <v>16782</v>
      </c>
      <c r="B381" s="78"/>
      <c r="C381" s="136" t="s">
        <v>15405</v>
      </c>
      <c r="D381" s="179">
        <v>0.75</v>
      </c>
      <c r="E381" s="179">
        <v>0.75</v>
      </c>
      <c r="F381" s="348" t="s">
        <v>1656</v>
      </c>
      <c r="S381" s="7" t="s">
        <v>16783</v>
      </c>
    </row>
    <row r="382">
      <c r="A382" s="176" t="s">
        <v>16784</v>
      </c>
      <c r="B382" s="78"/>
      <c r="C382" s="136" t="s">
        <v>15405</v>
      </c>
      <c r="D382" s="179">
        <v>0.75</v>
      </c>
      <c r="E382" s="179">
        <v>0.75</v>
      </c>
      <c r="F382" s="348" t="s">
        <v>1656</v>
      </c>
      <c r="S382" s="7" t="s">
        <v>16785</v>
      </c>
    </row>
    <row r="383">
      <c r="A383" s="176" t="s">
        <v>16786</v>
      </c>
      <c r="B383" s="78"/>
      <c r="C383" s="136" t="s">
        <v>15405</v>
      </c>
      <c r="D383" s="179">
        <v>0.75</v>
      </c>
      <c r="E383" s="179">
        <v>0.75</v>
      </c>
      <c r="F383" s="348" t="s">
        <v>1656</v>
      </c>
      <c r="S383" s="7" t="s">
        <v>16787</v>
      </c>
    </row>
    <row r="384">
      <c r="A384" s="176" t="s">
        <v>16788</v>
      </c>
      <c r="B384" s="78"/>
      <c r="C384" s="136" t="s">
        <v>15405</v>
      </c>
      <c r="D384" s="179">
        <v>0.75</v>
      </c>
      <c r="E384" s="179">
        <v>0.75</v>
      </c>
      <c r="F384" s="348" t="s">
        <v>1656</v>
      </c>
      <c r="S384" s="7" t="s">
        <v>16789</v>
      </c>
    </row>
    <row r="385">
      <c r="A385" s="176" t="s">
        <v>894</v>
      </c>
      <c r="B385" s="78"/>
      <c r="C385" s="136" t="s">
        <v>15405</v>
      </c>
      <c r="D385" s="179">
        <v>0.75</v>
      </c>
      <c r="E385" s="179">
        <v>0.75</v>
      </c>
      <c r="F385" s="348" t="s">
        <v>1656</v>
      </c>
      <c r="S385" s="7" t="s">
        <v>16790</v>
      </c>
    </row>
    <row r="386">
      <c r="A386" s="176" t="s">
        <v>16791</v>
      </c>
      <c r="B386" s="78"/>
      <c r="C386" s="136" t="s">
        <v>15405</v>
      </c>
      <c r="D386" s="179">
        <v>0.75</v>
      </c>
      <c r="E386" s="179">
        <v>0.75</v>
      </c>
      <c r="F386" s="348" t="s">
        <v>1656</v>
      </c>
      <c r="S386" s="7" t="s">
        <v>16792</v>
      </c>
    </row>
    <row r="387">
      <c r="A387" s="176" t="s">
        <v>16793</v>
      </c>
      <c r="B387" s="78"/>
      <c r="C387" s="136" t="s">
        <v>15405</v>
      </c>
      <c r="D387" s="179">
        <v>0.75</v>
      </c>
      <c r="E387" s="179">
        <v>0.75</v>
      </c>
      <c r="F387" s="348" t="s">
        <v>1656</v>
      </c>
      <c r="S387" s="7" t="s">
        <v>16794</v>
      </c>
    </row>
    <row r="388">
      <c r="A388" s="176" t="s">
        <v>16795</v>
      </c>
      <c r="B388" s="78"/>
      <c r="C388" s="136" t="s">
        <v>15405</v>
      </c>
      <c r="D388" s="179">
        <v>0.75</v>
      </c>
      <c r="E388" s="179">
        <v>0.75</v>
      </c>
      <c r="F388" s="348" t="s">
        <v>1656</v>
      </c>
      <c r="S388" s="7" t="s">
        <v>16796</v>
      </c>
    </row>
    <row r="389">
      <c r="A389" s="176" t="s">
        <v>16797</v>
      </c>
      <c r="B389" s="78"/>
      <c r="C389" s="136" t="s">
        <v>15405</v>
      </c>
      <c r="D389" s="179">
        <v>0.75</v>
      </c>
      <c r="E389" s="179">
        <v>0.75</v>
      </c>
      <c r="F389" s="348" t="s">
        <v>1656</v>
      </c>
      <c r="S389" s="7" t="s">
        <v>16798</v>
      </c>
    </row>
    <row r="390">
      <c r="A390" s="176" t="s">
        <v>16799</v>
      </c>
      <c r="B390" s="78"/>
      <c r="C390" s="136" t="s">
        <v>15405</v>
      </c>
      <c r="D390" s="179">
        <v>0.75</v>
      </c>
      <c r="E390" s="179">
        <v>0.75</v>
      </c>
      <c r="F390" s="348" t="s">
        <v>1656</v>
      </c>
      <c r="S390" s="7" t="s">
        <v>16800</v>
      </c>
    </row>
    <row r="391">
      <c r="A391" s="176" t="s">
        <v>1458</v>
      </c>
      <c r="B391" s="78"/>
      <c r="C391" s="136" t="s">
        <v>15405</v>
      </c>
      <c r="D391" s="179">
        <v>0.75</v>
      </c>
      <c r="E391" s="179">
        <v>0.75</v>
      </c>
      <c r="F391" s="348" t="s">
        <v>1656</v>
      </c>
      <c r="S391" s="7" t="s">
        <v>16801</v>
      </c>
    </row>
    <row r="392">
      <c r="A392" s="176" t="s">
        <v>16802</v>
      </c>
      <c r="B392" s="78"/>
      <c r="C392" s="136" t="s">
        <v>15405</v>
      </c>
      <c r="D392" s="179">
        <v>0.75</v>
      </c>
      <c r="E392" s="179">
        <v>0.75</v>
      </c>
      <c r="F392" s="348" t="s">
        <v>1656</v>
      </c>
      <c r="S392" s="7" t="s">
        <v>16803</v>
      </c>
    </row>
    <row r="393">
      <c r="A393" s="176" t="s">
        <v>16804</v>
      </c>
      <c r="B393" s="78"/>
      <c r="C393" s="136" t="s">
        <v>15405</v>
      </c>
      <c r="D393" s="179">
        <v>0.75</v>
      </c>
      <c r="E393" s="179">
        <v>0.75</v>
      </c>
      <c r="F393" s="348" t="s">
        <v>1656</v>
      </c>
      <c r="S393" s="7" t="s">
        <v>16805</v>
      </c>
    </row>
    <row r="394">
      <c r="A394" s="176" t="s">
        <v>16806</v>
      </c>
      <c r="B394" s="78"/>
      <c r="C394" s="136" t="s">
        <v>15405</v>
      </c>
      <c r="D394" s="179">
        <v>0.75</v>
      </c>
      <c r="E394" s="179">
        <v>0.75</v>
      </c>
      <c r="F394" s="348" t="s">
        <v>1656</v>
      </c>
      <c r="S394" s="7" t="s">
        <v>16807</v>
      </c>
    </row>
    <row r="395">
      <c r="A395" s="176" t="s">
        <v>16808</v>
      </c>
      <c r="B395" s="78"/>
      <c r="C395" s="136" t="s">
        <v>15405</v>
      </c>
      <c r="D395" s="179">
        <v>0.75</v>
      </c>
      <c r="E395" s="179">
        <v>0.75</v>
      </c>
      <c r="F395" s="348" t="s">
        <v>1656</v>
      </c>
      <c r="S395" s="7" t="s">
        <v>16809</v>
      </c>
    </row>
    <row r="396">
      <c r="A396" s="176" t="s">
        <v>16810</v>
      </c>
      <c r="B396" s="78"/>
      <c r="C396" s="136" t="s">
        <v>15405</v>
      </c>
      <c r="D396" s="179">
        <v>0.75</v>
      </c>
      <c r="E396" s="179">
        <v>0.75</v>
      </c>
      <c r="F396" s="348" t="s">
        <v>1656</v>
      </c>
      <c r="S396" s="7" t="s">
        <v>16811</v>
      </c>
    </row>
    <row r="397">
      <c r="A397" s="176" t="s">
        <v>16812</v>
      </c>
      <c r="B397" s="78"/>
      <c r="C397" s="136" t="s">
        <v>15405</v>
      </c>
      <c r="D397" s="179">
        <v>0.75</v>
      </c>
      <c r="E397" s="179">
        <v>0.75</v>
      </c>
      <c r="F397" s="348" t="s">
        <v>1656</v>
      </c>
      <c r="S397" s="7" t="s">
        <v>16813</v>
      </c>
    </row>
    <row r="398">
      <c r="A398" s="176" t="s">
        <v>16814</v>
      </c>
      <c r="B398" s="78"/>
      <c r="C398" s="136" t="s">
        <v>15405</v>
      </c>
      <c r="D398" s="179">
        <v>0.75</v>
      </c>
      <c r="E398" s="179">
        <v>0.75</v>
      </c>
      <c r="F398" s="348" t="s">
        <v>1656</v>
      </c>
      <c r="S398" s="7" t="s">
        <v>16815</v>
      </c>
    </row>
    <row r="399">
      <c r="A399" s="176" t="s">
        <v>3037</v>
      </c>
      <c r="B399" s="78"/>
      <c r="C399" s="136" t="s">
        <v>15405</v>
      </c>
      <c r="D399" s="179">
        <v>0.75</v>
      </c>
      <c r="E399" s="179">
        <v>0.75</v>
      </c>
      <c r="F399" s="348" t="s">
        <v>1656</v>
      </c>
      <c r="S399" s="7" t="s">
        <v>16816</v>
      </c>
    </row>
    <row r="400">
      <c r="A400" s="176" t="s">
        <v>16817</v>
      </c>
      <c r="B400" s="78"/>
      <c r="C400" s="136" t="s">
        <v>15405</v>
      </c>
      <c r="D400" s="179">
        <v>0.75</v>
      </c>
      <c r="E400" s="179">
        <v>0.75</v>
      </c>
      <c r="F400" s="348" t="s">
        <v>1656</v>
      </c>
      <c r="S400" s="7" t="s">
        <v>16818</v>
      </c>
    </row>
    <row r="401">
      <c r="A401" s="176" t="s">
        <v>16819</v>
      </c>
      <c r="B401" s="78"/>
      <c r="C401" s="136" t="s">
        <v>15405</v>
      </c>
      <c r="D401" s="179">
        <v>0.75</v>
      </c>
      <c r="E401" s="179">
        <v>0.75</v>
      </c>
      <c r="F401" s="348" t="s">
        <v>1656</v>
      </c>
      <c r="S401" s="7" t="s">
        <v>16820</v>
      </c>
    </row>
    <row r="402">
      <c r="A402" s="176" t="s">
        <v>16821</v>
      </c>
      <c r="B402" s="78"/>
      <c r="C402" s="136" t="s">
        <v>15405</v>
      </c>
      <c r="D402" s="179">
        <v>0.75</v>
      </c>
      <c r="E402" s="179">
        <v>0.75</v>
      </c>
      <c r="F402" s="348" t="s">
        <v>1656</v>
      </c>
      <c r="S402" s="7" t="s">
        <v>16822</v>
      </c>
    </row>
    <row r="403">
      <c r="A403" s="176" t="s">
        <v>16823</v>
      </c>
      <c r="B403" s="78"/>
      <c r="C403" s="136" t="s">
        <v>15405</v>
      </c>
      <c r="D403" s="179">
        <v>0.75</v>
      </c>
      <c r="E403" s="179">
        <v>0.75</v>
      </c>
      <c r="F403" s="348" t="s">
        <v>1656</v>
      </c>
      <c r="S403" s="7" t="s">
        <v>16824</v>
      </c>
    </row>
    <row r="404">
      <c r="A404" s="176" t="s">
        <v>16825</v>
      </c>
      <c r="B404" s="78"/>
      <c r="C404" s="136" t="s">
        <v>15405</v>
      </c>
      <c r="D404" s="179">
        <v>0.75</v>
      </c>
      <c r="E404" s="179">
        <v>0.75</v>
      </c>
      <c r="F404" s="348" t="s">
        <v>1656</v>
      </c>
      <c r="S404" s="7" t="s">
        <v>16826</v>
      </c>
    </row>
    <row r="405">
      <c r="A405" s="176" t="s">
        <v>16827</v>
      </c>
      <c r="B405" s="78"/>
      <c r="C405" s="136" t="s">
        <v>15405</v>
      </c>
      <c r="D405" s="179">
        <v>0.75</v>
      </c>
      <c r="E405" s="179">
        <v>0.75</v>
      </c>
      <c r="F405" s="348" t="s">
        <v>1656</v>
      </c>
      <c r="S405" s="7" t="s">
        <v>16828</v>
      </c>
    </row>
    <row r="406">
      <c r="A406" s="176" t="s">
        <v>16829</v>
      </c>
      <c r="B406" s="78"/>
      <c r="C406" s="136" t="s">
        <v>15405</v>
      </c>
      <c r="D406" s="179">
        <v>0.75</v>
      </c>
      <c r="E406" s="179">
        <v>0.75</v>
      </c>
      <c r="F406" s="348" t="s">
        <v>1656</v>
      </c>
      <c r="S406" s="7" t="s">
        <v>16830</v>
      </c>
    </row>
    <row r="407">
      <c r="A407" s="176" t="s">
        <v>16831</v>
      </c>
      <c r="B407" s="78"/>
      <c r="C407" s="136" t="s">
        <v>15405</v>
      </c>
      <c r="D407" s="179">
        <v>0.75</v>
      </c>
      <c r="E407" s="179">
        <v>0.75</v>
      </c>
      <c r="F407" s="348" t="s">
        <v>1656</v>
      </c>
      <c r="S407" s="7" t="s">
        <v>16832</v>
      </c>
    </row>
    <row r="408">
      <c r="A408" s="176" t="s">
        <v>16833</v>
      </c>
      <c r="B408" s="78"/>
      <c r="C408" s="136" t="s">
        <v>15405</v>
      </c>
      <c r="D408" s="179">
        <v>0.75</v>
      </c>
      <c r="E408" s="179">
        <v>0.75</v>
      </c>
      <c r="F408" s="348" t="s">
        <v>1656</v>
      </c>
      <c r="S408" s="7" t="s">
        <v>16834</v>
      </c>
    </row>
    <row r="409">
      <c r="A409" s="176" t="s">
        <v>16835</v>
      </c>
      <c r="B409" s="78"/>
      <c r="C409" s="136" t="s">
        <v>15405</v>
      </c>
      <c r="D409" s="179">
        <v>0.75</v>
      </c>
      <c r="E409" s="179">
        <v>0.75</v>
      </c>
      <c r="F409" s="348" t="s">
        <v>1656</v>
      </c>
      <c r="S409" s="7" t="s">
        <v>16836</v>
      </c>
    </row>
    <row r="410">
      <c r="A410" s="176" t="s">
        <v>16837</v>
      </c>
      <c r="B410" s="78"/>
      <c r="C410" s="136" t="s">
        <v>15405</v>
      </c>
      <c r="D410" s="179">
        <v>0.75</v>
      </c>
      <c r="E410" s="179">
        <v>0.75</v>
      </c>
      <c r="F410" s="348" t="s">
        <v>1656</v>
      </c>
      <c r="S410" s="7" t="s">
        <v>16838</v>
      </c>
    </row>
    <row r="411">
      <c r="A411" s="176" t="s">
        <v>16839</v>
      </c>
      <c r="B411" s="78"/>
      <c r="C411" s="136" t="s">
        <v>15405</v>
      </c>
      <c r="D411" s="179">
        <v>0.75</v>
      </c>
      <c r="E411" s="179">
        <v>0.75</v>
      </c>
      <c r="F411" s="348" t="s">
        <v>1656</v>
      </c>
      <c r="S411" s="7" t="s">
        <v>16840</v>
      </c>
    </row>
    <row r="412">
      <c r="A412" s="176" t="s">
        <v>16841</v>
      </c>
      <c r="B412" s="78"/>
      <c r="C412" s="136" t="s">
        <v>15405</v>
      </c>
      <c r="D412" s="179">
        <v>0.75</v>
      </c>
      <c r="E412" s="179">
        <v>0.75</v>
      </c>
      <c r="F412" s="348" t="s">
        <v>1656</v>
      </c>
      <c r="S412" s="7" t="s">
        <v>2411</v>
      </c>
    </row>
    <row r="413">
      <c r="A413" s="176" t="s">
        <v>1164</v>
      </c>
      <c r="B413" s="78"/>
      <c r="C413" s="136" t="s">
        <v>15405</v>
      </c>
      <c r="D413" s="179">
        <v>0.75</v>
      </c>
      <c r="E413" s="179">
        <v>0.75</v>
      </c>
      <c r="F413" s="348" t="s">
        <v>1656</v>
      </c>
      <c r="S413" s="7" t="s">
        <v>16842</v>
      </c>
    </row>
    <row r="414">
      <c r="A414" s="176" t="s">
        <v>629</v>
      </c>
      <c r="B414" s="78"/>
      <c r="C414" s="136" t="s">
        <v>15405</v>
      </c>
      <c r="D414" s="179">
        <v>0.75</v>
      </c>
      <c r="E414" s="179">
        <v>0.75</v>
      </c>
      <c r="F414" s="348" t="s">
        <v>1656</v>
      </c>
      <c r="S414" s="7" t="s">
        <v>3036</v>
      </c>
    </row>
    <row r="415">
      <c r="A415" s="176" t="s">
        <v>16843</v>
      </c>
      <c r="B415" s="78"/>
      <c r="C415" s="136" t="s">
        <v>15405</v>
      </c>
      <c r="D415" s="179">
        <v>0.75</v>
      </c>
      <c r="E415" s="179">
        <v>0.75</v>
      </c>
      <c r="F415" s="348" t="s">
        <v>1656</v>
      </c>
      <c r="S415" s="7" t="s">
        <v>16844</v>
      </c>
    </row>
    <row r="416">
      <c r="A416" s="176" t="s">
        <v>16845</v>
      </c>
      <c r="B416" s="78"/>
      <c r="C416" s="136" t="s">
        <v>15405</v>
      </c>
      <c r="D416" s="179">
        <v>0.75</v>
      </c>
      <c r="E416" s="179">
        <v>0.75</v>
      </c>
      <c r="F416" s="348" t="s">
        <v>1656</v>
      </c>
      <c r="S416" s="7" t="s">
        <v>16846</v>
      </c>
    </row>
    <row r="417">
      <c r="A417" s="176" t="s">
        <v>16847</v>
      </c>
      <c r="B417" s="78"/>
      <c r="C417" s="136" t="s">
        <v>15405</v>
      </c>
      <c r="D417" s="179">
        <v>0.75</v>
      </c>
      <c r="E417" s="179">
        <v>0.75</v>
      </c>
      <c r="F417" s="348" t="s">
        <v>1656</v>
      </c>
      <c r="S417" s="7" t="s">
        <v>2719</v>
      </c>
    </row>
    <row r="418">
      <c r="A418" s="176" t="s">
        <v>16848</v>
      </c>
      <c r="B418" s="78"/>
      <c r="C418" s="136" t="s">
        <v>15405</v>
      </c>
      <c r="D418" s="179">
        <v>0.75</v>
      </c>
      <c r="E418" s="179">
        <v>0.75</v>
      </c>
      <c r="F418" s="348" t="s">
        <v>1656</v>
      </c>
      <c r="S418" s="7" t="s">
        <v>16849</v>
      </c>
    </row>
    <row r="419">
      <c r="A419" s="176" t="s">
        <v>2886</v>
      </c>
      <c r="B419" s="78"/>
      <c r="C419" s="136" t="s">
        <v>15405</v>
      </c>
      <c r="D419" s="179">
        <v>0.75</v>
      </c>
      <c r="E419" s="179">
        <v>0.75</v>
      </c>
      <c r="F419" s="348" t="s">
        <v>1656</v>
      </c>
      <c r="S419" s="7" t="s">
        <v>16850</v>
      </c>
    </row>
    <row r="420">
      <c r="A420" s="176" t="s">
        <v>16851</v>
      </c>
      <c r="B420" s="78"/>
      <c r="C420" s="136" t="s">
        <v>15405</v>
      </c>
      <c r="D420" s="179">
        <v>0.75</v>
      </c>
      <c r="E420" s="179">
        <v>0.75</v>
      </c>
      <c r="F420" s="348" t="s">
        <v>1656</v>
      </c>
      <c r="S420" s="7" t="s">
        <v>5776</v>
      </c>
    </row>
    <row r="421">
      <c r="A421" s="176" t="s">
        <v>5129</v>
      </c>
      <c r="B421" s="78"/>
      <c r="C421" s="136" t="s">
        <v>15405</v>
      </c>
      <c r="D421" s="179">
        <v>0.75</v>
      </c>
      <c r="E421" s="179">
        <v>0.75</v>
      </c>
      <c r="F421" s="348" t="s">
        <v>1656</v>
      </c>
      <c r="S421" s="7" t="s">
        <v>16852</v>
      </c>
    </row>
    <row r="422">
      <c r="A422" s="176" t="s">
        <v>16853</v>
      </c>
      <c r="B422" s="78"/>
      <c r="C422" s="136" t="s">
        <v>15405</v>
      </c>
      <c r="D422" s="179">
        <v>0.75</v>
      </c>
      <c r="E422" s="179">
        <v>0.75</v>
      </c>
      <c r="F422" s="348" t="s">
        <v>1656</v>
      </c>
      <c r="S422" s="7" t="s">
        <v>16854</v>
      </c>
    </row>
    <row r="423">
      <c r="A423" s="176" t="s">
        <v>16855</v>
      </c>
      <c r="B423" s="78"/>
      <c r="C423" s="136" t="s">
        <v>15405</v>
      </c>
      <c r="D423" s="179">
        <v>0.75</v>
      </c>
      <c r="E423" s="179">
        <v>0.75</v>
      </c>
      <c r="F423" s="348" t="s">
        <v>1656</v>
      </c>
      <c r="S423" s="7" t="s">
        <v>16856</v>
      </c>
    </row>
    <row r="424">
      <c r="A424" s="176" t="s">
        <v>16857</v>
      </c>
      <c r="B424" s="78"/>
      <c r="C424" s="136" t="s">
        <v>15405</v>
      </c>
      <c r="D424" s="179">
        <v>0.75</v>
      </c>
      <c r="E424" s="179">
        <v>0.75</v>
      </c>
      <c r="F424" s="348" t="s">
        <v>1656</v>
      </c>
      <c r="S424" s="7" t="s">
        <v>6044</v>
      </c>
    </row>
    <row r="425">
      <c r="A425" s="176" t="s">
        <v>16858</v>
      </c>
      <c r="B425" s="78"/>
      <c r="C425" s="136" t="s">
        <v>15405</v>
      </c>
      <c r="D425" s="179">
        <v>0.75</v>
      </c>
      <c r="E425" s="179">
        <v>0.75</v>
      </c>
      <c r="F425" s="348" t="s">
        <v>1656</v>
      </c>
      <c r="S425" s="7" t="s">
        <v>16859</v>
      </c>
    </row>
    <row r="426">
      <c r="A426" s="176" t="s">
        <v>16860</v>
      </c>
      <c r="B426" s="78"/>
      <c r="C426" s="136" t="s">
        <v>15405</v>
      </c>
      <c r="D426" s="179">
        <v>0.75</v>
      </c>
      <c r="E426" s="179">
        <v>0.75</v>
      </c>
      <c r="F426" s="348" t="s">
        <v>1656</v>
      </c>
      <c r="S426" s="7" t="s">
        <v>16861</v>
      </c>
    </row>
    <row r="427">
      <c r="A427" s="176" t="s">
        <v>16862</v>
      </c>
      <c r="B427" s="78"/>
      <c r="C427" s="136" t="s">
        <v>15405</v>
      </c>
      <c r="D427" s="179">
        <v>0.75</v>
      </c>
      <c r="E427" s="179">
        <v>0.75</v>
      </c>
      <c r="F427" s="348" t="s">
        <v>1656</v>
      </c>
      <c r="S427" s="7" t="s">
        <v>16863</v>
      </c>
    </row>
    <row r="428">
      <c r="A428" s="176" t="s">
        <v>16864</v>
      </c>
      <c r="B428" s="78"/>
      <c r="C428" s="136" t="s">
        <v>15405</v>
      </c>
      <c r="D428" s="179">
        <v>0.75</v>
      </c>
      <c r="E428" s="179">
        <v>0.75</v>
      </c>
      <c r="F428" s="348" t="s">
        <v>1656</v>
      </c>
      <c r="S428" s="7" t="s">
        <v>16865</v>
      </c>
    </row>
    <row r="429">
      <c r="A429" s="176" t="s">
        <v>16866</v>
      </c>
      <c r="B429" s="78"/>
      <c r="C429" s="136" t="s">
        <v>15405</v>
      </c>
      <c r="D429" s="179">
        <v>0.75</v>
      </c>
      <c r="E429" s="179">
        <v>0.75</v>
      </c>
      <c r="F429" s="348" t="s">
        <v>1656</v>
      </c>
      <c r="S429" s="7" t="s">
        <v>16867</v>
      </c>
    </row>
    <row r="430">
      <c r="A430" s="176" t="s">
        <v>16868</v>
      </c>
      <c r="B430" s="78"/>
      <c r="C430" s="136" t="s">
        <v>15405</v>
      </c>
      <c r="D430" s="179">
        <v>0.75</v>
      </c>
      <c r="E430" s="179">
        <v>0.75</v>
      </c>
      <c r="F430" s="348" t="s">
        <v>1656</v>
      </c>
      <c r="S430" s="7" t="s">
        <v>16869</v>
      </c>
    </row>
    <row r="431">
      <c r="A431" s="176" t="s">
        <v>16870</v>
      </c>
      <c r="B431" s="78"/>
      <c r="C431" s="136" t="s">
        <v>15405</v>
      </c>
      <c r="D431" s="179">
        <v>0.75</v>
      </c>
      <c r="E431" s="179">
        <v>0.75</v>
      </c>
      <c r="F431" s="348" t="s">
        <v>1656</v>
      </c>
      <c r="S431" s="7" t="s">
        <v>16871</v>
      </c>
    </row>
    <row r="432">
      <c r="A432" s="176" t="s">
        <v>16872</v>
      </c>
      <c r="B432" s="78"/>
      <c r="C432" s="136" t="s">
        <v>15405</v>
      </c>
      <c r="D432" s="179">
        <v>0.75</v>
      </c>
      <c r="E432" s="179">
        <v>0.75</v>
      </c>
      <c r="F432" s="348" t="s">
        <v>1656</v>
      </c>
      <c r="S432" s="7" t="s">
        <v>16873</v>
      </c>
    </row>
    <row r="433">
      <c r="A433" s="176" t="s">
        <v>16874</v>
      </c>
      <c r="B433" s="78"/>
      <c r="C433" s="136" t="s">
        <v>15405</v>
      </c>
      <c r="D433" s="179">
        <v>0.75</v>
      </c>
      <c r="E433" s="179">
        <v>0.75</v>
      </c>
      <c r="F433" s="348" t="s">
        <v>1656</v>
      </c>
      <c r="S433" s="7" t="s">
        <v>16875</v>
      </c>
    </row>
    <row r="434">
      <c r="A434" s="176" t="s">
        <v>16876</v>
      </c>
      <c r="B434" s="78"/>
      <c r="C434" s="136" t="s">
        <v>15405</v>
      </c>
      <c r="D434" s="179">
        <v>0.75</v>
      </c>
      <c r="E434" s="179">
        <v>0.75</v>
      </c>
      <c r="F434" s="348" t="s">
        <v>1656</v>
      </c>
      <c r="S434" s="7" t="s">
        <v>16877</v>
      </c>
    </row>
    <row r="435">
      <c r="A435" s="176" t="s">
        <v>16878</v>
      </c>
      <c r="B435" s="78"/>
      <c r="C435" s="136" t="s">
        <v>15405</v>
      </c>
      <c r="D435" s="179">
        <v>0.75</v>
      </c>
      <c r="E435" s="179">
        <v>0.75</v>
      </c>
      <c r="F435" s="348" t="s">
        <v>1656</v>
      </c>
      <c r="S435" s="7" t="s">
        <v>16879</v>
      </c>
    </row>
    <row r="436">
      <c r="A436" s="176" t="s">
        <v>16880</v>
      </c>
      <c r="B436" s="78"/>
      <c r="C436" s="136" t="s">
        <v>15405</v>
      </c>
      <c r="D436" s="179">
        <v>0.75</v>
      </c>
      <c r="E436" s="179">
        <v>0.75</v>
      </c>
      <c r="F436" s="348" t="s">
        <v>1656</v>
      </c>
      <c r="S436" s="7" t="s">
        <v>16881</v>
      </c>
    </row>
    <row r="437">
      <c r="A437" s="176" t="s">
        <v>16882</v>
      </c>
      <c r="B437" s="78"/>
      <c r="C437" s="136" t="s">
        <v>15405</v>
      </c>
      <c r="D437" s="179">
        <v>0.75</v>
      </c>
      <c r="E437" s="179">
        <v>0.75</v>
      </c>
      <c r="F437" s="348" t="s">
        <v>1656</v>
      </c>
      <c r="S437" s="7" t="s">
        <v>16883</v>
      </c>
    </row>
    <row r="438">
      <c r="A438" s="176" t="s">
        <v>16884</v>
      </c>
      <c r="B438" s="78"/>
      <c r="C438" s="136" t="s">
        <v>15405</v>
      </c>
      <c r="D438" s="179">
        <v>0.75</v>
      </c>
      <c r="E438" s="179">
        <v>0.75</v>
      </c>
      <c r="F438" s="348" t="s">
        <v>1656</v>
      </c>
      <c r="S438" s="7" t="s">
        <v>16885</v>
      </c>
    </row>
    <row r="439">
      <c r="A439" s="176" t="s">
        <v>16886</v>
      </c>
      <c r="B439" s="78"/>
      <c r="C439" s="136" t="s">
        <v>15405</v>
      </c>
      <c r="D439" s="179">
        <v>0.75</v>
      </c>
      <c r="E439" s="179">
        <v>0.75</v>
      </c>
      <c r="F439" s="348" t="s">
        <v>1656</v>
      </c>
      <c r="S439" s="7" t="s">
        <v>16887</v>
      </c>
    </row>
    <row r="440">
      <c r="A440" s="176" t="s">
        <v>16888</v>
      </c>
      <c r="B440" s="78"/>
      <c r="C440" s="136" t="s">
        <v>15405</v>
      </c>
      <c r="D440" s="179">
        <v>0.75</v>
      </c>
      <c r="E440" s="179">
        <v>0.75</v>
      </c>
      <c r="F440" s="348" t="s">
        <v>1656</v>
      </c>
      <c r="S440" s="7" t="s">
        <v>16889</v>
      </c>
    </row>
    <row r="441">
      <c r="A441" s="176" t="s">
        <v>16890</v>
      </c>
      <c r="B441" s="78"/>
      <c r="C441" s="136" t="s">
        <v>15405</v>
      </c>
      <c r="D441" s="179">
        <v>0.75</v>
      </c>
      <c r="E441" s="179">
        <v>0.75</v>
      </c>
      <c r="F441" s="348" t="s">
        <v>1656</v>
      </c>
      <c r="S441" s="7" t="s">
        <v>16891</v>
      </c>
    </row>
    <row r="442">
      <c r="A442" s="176" t="s">
        <v>16892</v>
      </c>
      <c r="B442" s="78"/>
      <c r="C442" s="136" t="s">
        <v>15405</v>
      </c>
      <c r="D442" s="179">
        <v>0.75</v>
      </c>
      <c r="E442" s="179">
        <v>0.75</v>
      </c>
      <c r="F442" s="348" t="s">
        <v>1656</v>
      </c>
      <c r="S442" s="7" t="s">
        <v>3451</v>
      </c>
    </row>
    <row r="443">
      <c r="A443" s="176" t="s">
        <v>16893</v>
      </c>
      <c r="B443" s="78"/>
      <c r="C443" s="136" t="s">
        <v>15405</v>
      </c>
      <c r="D443" s="179">
        <v>0.75</v>
      </c>
      <c r="E443" s="179">
        <v>0.75</v>
      </c>
      <c r="F443" s="348" t="s">
        <v>1656</v>
      </c>
      <c r="S443" s="7" t="s">
        <v>16894</v>
      </c>
    </row>
    <row r="444">
      <c r="A444" s="176" t="s">
        <v>16895</v>
      </c>
      <c r="B444" s="78"/>
      <c r="C444" s="136" t="s">
        <v>15405</v>
      </c>
      <c r="D444" s="179">
        <v>0.75</v>
      </c>
      <c r="E444" s="179">
        <v>0.75</v>
      </c>
      <c r="F444" s="348" t="s">
        <v>1656</v>
      </c>
      <c r="S444" s="7" t="s">
        <v>16896</v>
      </c>
    </row>
    <row r="445">
      <c r="A445" s="176" t="s">
        <v>16897</v>
      </c>
      <c r="B445" s="78"/>
      <c r="C445" s="136" t="s">
        <v>15405</v>
      </c>
      <c r="D445" s="179">
        <v>0.75</v>
      </c>
      <c r="E445" s="179">
        <v>0.75</v>
      </c>
      <c r="F445" s="348" t="s">
        <v>1656</v>
      </c>
      <c r="S445" s="7" t="s">
        <v>16898</v>
      </c>
    </row>
    <row r="446">
      <c r="A446" s="176" t="s">
        <v>16899</v>
      </c>
      <c r="B446" s="78"/>
      <c r="C446" s="136" t="s">
        <v>15405</v>
      </c>
      <c r="D446" s="179">
        <v>0.75</v>
      </c>
      <c r="E446" s="179">
        <v>0.75</v>
      </c>
      <c r="F446" s="348" t="s">
        <v>1656</v>
      </c>
      <c r="S446" s="7" t="s">
        <v>3141</v>
      </c>
    </row>
    <row r="447">
      <c r="A447" s="176" t="s">
        <v>16900</v>
      </c>
      <c r="B447" s="78"/>
      <c r="C447" s="136" t="s">
        <v>15405</v>
      </c>
      <c r="D447" s="179">
        <v>0.75</v>
      </c>
      <c r="E447" s="179">
        <v>0.75</v>
      </c>
      <c r="F447" s="348" t="s">
        <v>1656</v>
      </c>
      <c r="S447" s="7" t="s">
        <v>16901</v>
      </c>
    </row>
    <row r="448">
      <c r="A448" s="176" t="s">
        <v>16902</v>
      </c>
      <c r="B448" s="78"/>
      <c r="C448" s="136" t="s">
        <v>15405</v>
      </c>
      <c r="D448" s="179">
        <v>0.75</v>
      </c>
      <c r="E448" s="179">
        <v>0.75</v>
      </c>
      <c r="F448" s="348" t="s">
        <v>1656</v>
      </c>
      <c r="S448" s="7" t="s">
        <v>16903</v>
      </c>
    </row>
    <row r="449">
      <c r="A449" s="176" t="s">
        <v>16904</v>
      </c>
      <c r="B449" s="78"/>
      <c r="C449" s="136" t="s">
        <v>15405</v>
      </c>
      <c r="D449" s="179">
        <v>0.75</v>
      </c>
      <c r="E449" s="179">
        <v>0.75</v>
      </c>
      <c r="F449" s="348" t="s">
        <v>1656</v>
      </c>
      <c r="S449" s="7" t="s">
        <v>5396</v>
      </c>
    </row>
    <row r="450">
      <c r="A450" s="176" t="s">
        <v>16905</v>
      </c>
      <c r="B450" s="78"/>
      <c r="C450" s="136" t="s">
        <v>15405</v>
      </c>
      <c r="D450" s="179">
        <v>0.75</v>
      </c>
      <c r="E450" s="179">
        <v>0.75</v>
      </c>
      <c r="F450" s="348" t="s">
        <v>1656</v>
      </c>
      <c r="S450" s="7" t="s">
        <v>16906</v>
      </c>
    </row>
    <row r="451">
      <c r="A451" s="176" t="s">
        <v>16907</v>
      </c>
      <c r="B451" s="78"/>
      <c r="C451" s="136" t="s">
        <v>15405</v>
      </c>
      <c r="D451" s="179">
        <v>0.75</v>
      </c>
      <c r="E451" s="179">
        <v>0.75</v>
      </c>
      <c r="F451" s="348" t="s">
        <v>1656</v>
      </c>
      <c r="S451" s="7" t="s">
        <v>16908</v>
      </c>
    </row>
    <row r="452">
      <c r="A452" s="176" t="s">
        <v>16909</v>
      </c>
      <c r="B452" s="78"/>
      <c r="C452" s="136" t="s">
        <v>15405</v>
      </c>
      <c r="D452" s="179">
        <v>0.75</v>
      </c>
      <c r="E452" s="179">
        <v>0.75</v>
      </c>
      <c r="F452" s="348" t="s">
        <v>1656</v>
      </c>
      <c r="S452" s="7" t="s">
        <v>16910</v>
      </c>
    </row>
    <row r="453">
      <c r="A453" s="176" t="s">
        <v>16911</v>
      </c>
      <c r="B453" s="78"/>
      <c r="C453" s="136" t="s">
        <v>15405</v>
      </c>
      <c r="D453" s="179">
        <v>0.75</v>
      </c>
      <c r="E453" s="179">
        <v>0.75</v>
      </c>
      <c r="F453" s="348" t="s">
        <v>1656</v>
      </c>
      <c r="S453" s="7" t="s">
        <v>16912</v>
      </c>
    </row>
    <row r="454">
      <c r="A454" s="176" t="s">
        <v>16913</v>
      </c>
      <c r="B454" s="78"/>
      <c r="C454" s="136" t="s">
        <v>15405</v>
      </c>
      <c r="D454" s="179">
        <v>0.75</v>
      </c>
      <c r="E454" s="179">
        <v>0.75</v>
      </c>
      <c r="F454" s="348" t="s">
        <v>1656</v>
      </c>
      <c r="S454" s="7" t="s">
        <v>16914</v>
      </c>
    </row>
    <row r="455">
      <c r="A455" s="176" t="s">
        <v>16915</v>
      </c>
      <c r="B455" s="78"/>
      <c r="C455" s="136" t="s">
        <v>15405</v>
      </c>
      <c r="D455" s="179">
        <v>0.75</v>
      </c>
      <c r="E455" s="179">
        <v>0.75</v>
      </c>
      <c r="F455" s="348" t="s">
        <v>1656</v>
      </c>
      <c r="S455" s="7" t="s">
        <v>16916</v>
      </c>
    </row>
    <row r="456">
      <c r="A456" s="176" t="s">
        <v>16917</v>
      </c>
      <c r="B456" s="78"/>
      <c r="C456" s="136" t="s">
        <v>15405</v>
      </c>
      <c r="D456" s="179">
        <v>0.75</v>
      </c>
      <c r="E456" s="179">
        <v>0.75</v>
      </c>
      <c r="F456" s="348" t="s">
        <v>1656</v>
      </c>
      <c r="S456" s="7" t="s">
        <v>16918</v>
      </c>
    </row>
    <row r="457">
      <c r="A457" s="176" t="s">
        <v>16919</v>
      </c>
      <c r="B457" s="78"/>
      <c r="C457" s="136" t="s">
        <v>15405</v>
      </c>
      <c r="D457" s="179">
        <v>0.75</v>
      </c>
      <c r="E457" s="179">
        <v>0.75</v>
      </c>
      <c r="F457" s="348" t="s">
        <v>1656</v>
      </c>
      <c r="S457" s="7" t="s">
        <v>16920</v>
      </c>
    </row>
    <row r="458">
      <c r="A458" s="176" t="s">
        <v>16921</v>
      </c>
      <c r="B458" s="78"/>
      <c r="C458" s="136" t="s">
        <v>15405</v>
      </c>
      <c r="D458" s="179">
        <v>0.75</v>
      </c>
      <c r="E458" s="179">
        <v>0.75</v>
      </c>
      <c r="F458" s="348" t="s">
        <v>1656</v>
      </c>
      <c r="S458" s="7" t="s">
        <v>16922</v>
      </c>
    </row>
    <row r="459">
      <c r="A459" s="176" t="s">
        <v>16923</v>
      </c>
      <c r="B459" s="78"/>
      <c r="C459" s="136" t="s">
        <v>15405</v>
      </c>
      <c r="D459" s="179">
        <v>0.75</v>
      </c>
      <c r="E459" s="179">
        <v>0.75</v>
      </c>
      <c r="F459" s="348" t="s">
        <v>1656</v>
      </c>
      <c r="S459" s="7" t="s">
        <v>16924</v>
      </c>
    </row>
    <row r="460">
      <c r="A460" s="176" t="s">
        <v>16925</v>
      </c>
      <c r="B460" s="78"/>
      <c r="C460" s="136" t="s">
        <v>15405</v>
      </c>
      <c r="D460" s="179">
        <v>0.75</v>
      </c>
      <c r="E460" s="179">
        <v>0.75</v>
      </c>
      <c r="F460" s="348" t="s">
        <v>1656</v>
      </c>
      <c r="S460" s="7" t="s">
        <v>16926</v>
      </c>
    </row>
    <row r="461">
      <c r="A461" s="176" t="s">
        <v>16927</v>
      </c>
      <c r="B461" s="78"/>
      <c r="C461" s="136" t="s">
        <v>15405</v>
      </c>
      <c r="D461" s="179">
        <v>0.75</v>
      </c>
      <c r="E461" s="179">
        <v>0.75</v>
      </c>
      <c r="F461" s="348" t="s">
        <v>1656</v>
      </c>
      <c r="S461" s="7" t="s">
        <v>15722</v>
      </c>
    </row>
    <row r="462">
      <c r="A462" s="176" t="s">
        <v>16928</v>
      </c>
      <c r="B462" s="78"/>
      <c r="C462" s="136" t="s">
        <v>15405</v>
      </c>
      <c r="D462" s="179">
        <v>0.75</v>
      </c>
      <c r="E462" s="179">
        <v>0.75</v>
      </c>
      <c r="F462" s="348" t="s">
        <v>1656</v>
      </c>
      <c r="S462" s="7" t="s">
        <v>16929</v>
      </c>
    </row>
    <row r="463">
      <c r="A463" s="176" t="s">
        <v>16930</v>
      </c>
      <c r="B463" s="78"/>
      <c r="C463" s="136" t="s">
        <v>15405</v>
      </c>
      <c r="D463" s="179">
        <v>0.75</v>
      </c>
      <c r="E463" s="179">
        <v>0.75</v>
      </c>
      <c r="F463" s="348" t="s">
        <v>1656</v>
      </c>
      <c r="S463" s="7" t="s">
        <v>16931</v>
      </c>
    </row>
    <row r="464">
      <c r="A464" s="176" t="s">
        <v>16932</v>
      </c>
      <c r="B464" s="78"/>
      <c r="C464" s="136" t="s">
        <v>15405</v>
      </c>
      <c r="D464" s="179">
        <v>0.75</v>
      </c>
      <c r="E464" s="179">
        <v>0.75</v>
      </c>
      <c r="F464" s="348" t="s">
        <v>1656</v>
      </c>
      <c r="S464" s="7" t="s">
        <v>16933</v>
      </c>
    </row>
    <row r="465">
      <c r="A465" s="176" t="s">
        <v>16934</v>
      </c>
      <c r="B465" s="78"/>
      <c r="C465" s="136" t="s">
        <v>15405</v>
      </c>
      <c r="D465" s="179">
        <v>0.75</v>
      </c>
      <c r="E465" s="179">
        <v>0.75</v>
      </c>
      <c r="F465" s="348" t="s">
        <v>1656</v>
      </c>
      <c r="S465" s="7" t="s">
        <v>16935</v>
      </c>
    </row>
    <row r="466">
      <c r="A466" s="176" t="s">
        <v>2914</v>
      </c>
      <c r="B466" s="78"/>
      <c r="C466" s="136" t="s">
        <v>15405</v>
      </c>
      <c r="D466" s="179">
        <v>0.75</v>
      </c>
      <c r="E466" s="179">
        <v>0.75</v>
      </c>
      <c r="F466" s="348" t="s">
        <v>1656</v>
      </c>
      <c r="S466" s="7" t="s">
        <v>16936</v>
      </c>
    </row>
    <row r="467">
      <c r="A467" s="176" t="s">
        <v>16937</v>
      </c>
      <c r="B467" s="78"/>
      <c r="C467" s="136" t="s">
        <v>15405</v>
      </c>
      <c r="D467" s="179">
        <v>0.75</v>
      </c>
      <c r="E467" s="179">
        <v>0.75</v>
      </c>
      <c r="F467" s="348" t="s">
        <v>1656</v>
      </c>
      <c r="S467" s="7" t="s">
        <v>2628</v>
      </c>
    </row>
    <row r="468">
      <c r="A468" s="176" t="s">
        <v>16938</v>
      </c>
      <c r="B468" s="78"/>
      <c r="C468" s="136" t="s">
        <v>15405</v>
      </c>
      <c r="D468" s="179">
        <v>0.75</v>
      </c>
      <c r="E468" s="179">
        <v>0.75</v>
      </c>
      <c r="F468" s="348" t="s">
        <v>1656</v>
      </c>
      <c r="S468" s="7" t="s">
        <v>16939</v>
      </c>
    </row>
    <row r="469">
      <c r="A469" s="176" t="s">
        <v>16940</v>
      </c>
      <c r="B469" s="78"/>
      <c r="C469" s="136" t="s">
        <v>15405</v>
      </c>
      <c r="D469" s="179">
        <v>0.75</v>
      </c>
      <c r="E469" s="179">
        <v>0.75</v>
      </c>
      <c r="F469" s="348" t="s">
        <v>1656</v>
      </c>
      <c r="S469" s="7" t="s">
        <v>2903</v>
      </c>
    </row>
    <row r="470">
      <c r="A470" s="176" t="s">
        <v>16941</v>
      </c>
      <c r="B470" s="78"/>
      <c r="C470" s="136" t="s">
        <v>15405</v>
      </c>
      <c r="D470" s="179">
        <v>0.75</v>
      </c>
      <c r="E470" s="179">
        <v>0.75</v>
      </c>
      <c r="F470" s="348" t="s">
        <v>1656</v>
      </c>
      <c r="S470" s="7" t="s">
        <v>16942</v>
      </c>
    </row>
    <row r="471">
      <c r="A471" s="176" t="s">
        <v>16943</v>
      </c>
      <c r="B471" s="78"/>
      <c r="C471" s="136" t="s">
        <v>15405</v>
      </c>
      <c r="D471" s="179">
        <v>0.75</v>
      </c>
      <c r="E471" s="179">
        <v>0.75</v>
      </c>
      <c r="F471" s="348" t="s">
        <v>1656</v>
      </c>
      <c r="S471" s="7" t="s">
        <v>3294</v>
      </c>
    </row>
    <row r="472">
      <c r="A472" s="176" t="s">
        <v>16944</v>
      </c>
      <c r="B472" s="78"/>
      <c r="C472" s="136" t="s">
        <v>15405</v>
      </c>
      <c r="D472" s="179">
        <v>0.75</v>
      </c>
      <c r="E472" s="179">
        <v>0.75</v>
      </c>
      <c r="F472" s="348" t="s">
        <v>1656</v>
      </c>
      <c r="S472" s="7" t="s">
        <v>16945</v>
      </c>
    </row>
    <row r="473">
      <c r="A473" s="176" t="s">
        <v>782</v>
      </c>
      <c r="B473" s="78"/>
      <c r="C473" s="136" t="s">
        <v>15405</v>
      </c>
      <c r="D473" s="179">
        <v>0.75</v>
      </c>
      <c r="E473" s="179">
        <v>0.75</v>
      </c>
      <c r="F473" s="348" t="s">
        <v>1656</v>
      </c>
      <c r="S473" s="7" t="s">
        <v>16946</v>
      </c>
    </row>
    <row r="474">
      <c r="A474" s="176" t="s">
        <v>16947</v>
      </c>
      <c r="B474" s="78"/>
      <c r="C474" s="136" t="s">
        <v>15405</v>
      </c>
      <c r="D474" s="179">
        <v>0.75</v>
      </c>
      <c r="E474" s="179">
        <v>0.75</v>
      </c>
      <c r="F474" s="348" t="s">
        <v>1656</v>
      </c>
      <c r="S474" s="7" t="s">
        <v>16948</v>
      </c>
    </row>
    <row r="475">
      <c r="A475" s="176" t="s">
        <v>16949</v>
      </c>
      <c r="B475" s="78"/>
      <c r="C475" s="136" t="s">
        <v>15405</v>
      </c>
      <c r="D475" s="179">
        <v>0.75</v>
      </c>
      <c r="E475" s="179">
        <v>0.75</v>
      </c>
      <c r="F475" s="348" t="s">
        <v>1656</v>
      </c>
      <c r="S475" s="7" t="s">
        <v>16950</v>
      </c>
    </row>
    <row r="476">
      <c r="A476" s="176" t="s">
        <v>16951</v>
      </c>
      <c r="B476" s="78"/>
      <c r="C476" s="136" t="s">
        <v>15405</v>
      </c>
      <c r="D476" s="179">
        <v>0.75</v>
      </c>
      <c r="E476" s="179">
        <v>0.75</v>
      </c>
      <c r="F476" s="348" t="s">
        <v>1656</v>
      </c>
      <c r="S476" s="7" t="s">
        <v>16952</v>
      </c>
    </row>
    <row r="477">
      <c r="A477" s="176" t="s">
        <v>16953</v>
      </c>
      <c r="B477" s="78"/>
      <c r="C477" s="136" t="s">
        <v>15405</v>
      </c>
      <c r="D477" s="179">
        <v>0.75</v>
      </c>
      <c r="E477" s="179">
        <v>0.75</v>
      </c>
      <c r="F477" s="348" t="s">
        <v>1656</v>
      </c>
      <c r="S477" s="7" t="s">
        <v>16954</v>
      </c>
    </row>
    <row r="478">
      <c r="A478" s="176" t="s">
        <v>16955</v>
      </c>
      <c r="B478" s="78"/>
      <c r="C478" s="136" t="s">
        <v>15405</v>
      </c>
      <c r="D478" s="179">
        <v>0.75</v>
      </c>
      <c r="E478" s="179">
        <v>0.75</v>
      </c>
      <c r="F478" s="348" t="s">
        <v>1656</v>
      </c>
      <c r="S478" s="7" t="s">
        <v>16956</v>
      </c>
    </row>
    <row r="479">
      <c r="A479" s="176" t="s">
        <v>16957</v>
      </c>
      <c r="B479" s="78"/>
      <c r="C479" s="136" t="s">
        <v>15405</v>
      </c>
      <c r="D479" s="179">
        <v>0.75</v>
      </c>
      <c r="E479" s="179">
        <v>0.75</v>
      </c>
      <c r="F479" s="348" t="s">
        <v>1656</v>
      </c>
      <c r="S479" s="7" t="s">
        <v>16958</v>
      </c>
    </row>
    <row r="480">
      <c r="A480" s="176" t="s">
        <v>16959</v>
      </c>
      <c r="B480" s="78"/>
      <c r="C480" s="136" t="s">
        <v>15405</v>
      </c>
      <c r="D480" s="179">
        <v>0.75</v>
      </c>
      <c r="E480" s="179">
        <v>0.75</v>
      </c>
      <c r="F480" s="348" t="s">
        <v>1656</v>
      </c>
      <c r="S480" s="7" t="s">
        <v>16960</v>
      </c>
    </row>
    <row r="481">
      <c r="A481" s="176" t="s">
        <v>16961</v>
      </c>
      <c r="B481" s="78"/>
      <c r="C481" s="136" t="s">
        <v>15405</v>
      </c>
      <c r="D481" s="179">
        <v>0.75</v>
      </c>
      <c r="E481" s="179">
        <v>0.75</v>
      </c>
      <c r="F481" s="348" t="s">
        <v>1656</v>
      </c>
      <c r="S481" s="7" t="s">
        <v>16962</v>
      </c>
    </row>
    <row r="482">
      <c r="A482" s="176" t="s">
        <v>16963</v>
      </c>
      <c r="B482" s="78"/>
      <c r="C482" s="136" t="s">
        <v>15405</v>
      </c>
      <c r="D482" s="179">
        <v>0.75</v>
      </c>
      <c r="E482" s="179">
        <v>0.75</v>
      </c>
      <c r="F482" s="348" t="s">
        <v>1656</v>
      </c>
      <c r="S482" s="7" t="s">
        <v>16964</v>
      </c>
    </row>
    <row r="483">
      <c r="A483" s="176" t="s">
        <v>16965</v>
      </c>
      <c r="B483" s="78"/>
      <c r="C483" s="136" t="s">
        <v>15405</v>
      </c>
      <c r="D483" s="179">
        <v>0.75</v>
      </c>
      <c r="E483" s="179">
        <v>0.75</v>
      </c>
      <c r="F483" s="348" t="s">
        <v>1656</v>
      </c>
      <c r="S483" s="7" t="s">
        <v>16966</v>
      </c>
    </row>
    <row r="484">
      <c r="A484" s="176" t="s">
        <v>16967</v>
      </c>
      <c r="B484" s="78"/>
      <c r="C484" s="136" t="s">
        <v>15405</v>
      </c>
      <c r="D484" s="179">
        <v>0.75</v>
      </c>
      <c r="E484" s="179">
        <v>0.75</v>
      </c>
      <c r="F484" s="348" t="s">
        <v>1656</v>
      </c>
      <c r="S484" s="7" t="s">
        <v>16968</v>
      </c>
    </row>
    <row r="485">
      <c r="A485" s="176" t="s">
        <v>16969</v>
      </c>
      <c r="B485" s="78"/>
      <c r="C485" s="136" t="s">
        <v>15405</v>
      </c>
      <c r="D485" s="179">
        <v>0.75</v>
      </c>
      <c r="E485" s="179">
        <v>0.75</v>
      </c>
      <c r="F485" s="348" t="s">
        <v>1656</v>
      </c>
      <c r="S485" s="7" t="s">
        <v>16970</v>
      </c>
    </row>
    <row r="486">
      <c r="A486" s="176" t="s">
        <v>16971</v>
      </c>
      <c r="B486" s="78"/>
      <c r="C486" s="136" t="s">
        <v>15405</v>
      </c>
      <c r="D486" s="179">
        <v>0.75</v>
      </c>
      <c r="E486" s="179">
        <v>0.75</v>
      </c>
      <c r="F486" s="348" t="s">
        <v>1656</v>
      </c>
      <c r="S486" s="7" t="s">
        <v>16972</v>
      </c>
    </row>
    <row r="487">
      <c r="A487" s="176" t="s">
        <v>16973</v>
      </c>
      <c r="B487" s="78"/>
      <c r="C487" s="136" t="s">
        <v>15405</v>
      </c>
      <c r="D487" s="179">
        <v>0.75</v>
      </c>
      <c r="E487" s="179">
        <v>0.75</v>
      </c>
      <c r="F487" s="348" t="s">
        <v>1656</v>
      </c>
      <c r="S487" s="7" t="s">
        <v>16974</v>
      </c>
    </row>
    <row r="488">
      <c r="A488" s="176" t="s">
        <v>16975</v>
      </c>
      <c r="B488" s="78"/>
      <c r="C488" s="136" t="s">
        <v>15405</v>
      </c>
      <c r="D488" s="179">
        <v>0.75</v>
      </c>
      <c r="E488" s="179">
        <v>0.75</v>
      </c>
      <c r="F488" s="348" t="s">
        <v>1656</v>
      </c>
      <c r="S488" s="7" t="s">
        <v>16976</v>
      </c>
    </row>
    <row r="489">
      <c r="A489" s="176" t="s">
        <v>16977</v>
      </c>
      <c r="B489" s="78"/>
      <c r="C489" s="136" t="s">
        <v>15405</v>
      </c>
      <c r="D489" s="179">
        <v>0.75</v>
      </c>
      <c r="E489" s="179">
        <v>0.75</v>
      </c>
      <c r="F489" s="348" t="s">
        <v>1656</v>
      </c>
      <c r="S489" s="7" t="s">
        <v>16978</v>
      </c>
    </row>
    <row r="490">
      <c r="A490" s="176" t="s">
        <v>16979</v>
      </c>
      <c r="B490" s="78"/>
      <c r="C490" s="136" t="s">
        <v>15405</v>
      </c>
      <c r="D490" s="179">
        <v>0.75</v>
      </c>
      <c r="E490" s="179">
        <v>0.75</v>
      </c>
      <c r="F490" s="348" t="s">
        <v>1656</v>
      </c>
      <c r="S490" s="7" t="s">
        <v>16980</v>
      </c>
    </row>
    <row r="491">
      <c r="A491" s="176" t="s">
        <v>16981</v>
      </c>
      <c r="B491" s="78"/>
      <c r="C491" s="136" t="s">
        <v>15405</v>
      </c>
      <c r="D491" s="179">
        <v>0.75</v>
      </c>
      <c r="E491" s="179">
        <v>0.75</v>
      </c>
      <c r="F491" s="348" t="s">
        <v>1656</v>
      </c>
      <c r="S491" s="7" t="s">
        <v>16982</v>
      </c>
    </row>
    <row r="492">
      <c r="A492" s="176" t="s">
        <v>16983</v>
      </c>
      <c r="B492" s="78"/>
      <c r="C492" s="136" t="s">
        <v>15405</v>
      </c>
      <c r="D492" s="179">
        <v>0.75</v>
      </c>
      <c r="E492" s="179">
        <v>0.75</v>
      </c>
      <c r="F492" s="348" t="s">
        <v>1656</v>
      </c>
      <c r="S492" s="7" t="s">
        <v>16984</v>
      </c>
    </row>
    <row r="493">
      <c r="A493" s="176" t="s">
        <v>16985</v>
      </c>
      <c r="B493" s="25">
        <v>12553.0</v>
      </c>
      <c r="C493" s="136" t="s">
        <v>15405</v>
      </c>
      <c r="D493" s="179">
        <v>0.75</v>
      </c>
      <c r="E493" s="179">
        <v>0.75</v>
      </c>
      <c r="F493" s="348" t="s">
        <v>1656</v>
      </c>
      <c r="S493" s="7" t="s">
        <v>16986</v>
      </c>
    </row>
    <row r="494">
      <c r="A494" s="176" t="s">
        <v>16987</v>
      </c>
      <c r="B494" s="78"/>
      <c r="C494" s="136" t="s">
        <v>15405</v>
      </c>
      <c r="D494" s="179">
        <v>0.75</v>
      </c>
      <c r="E494" s="179">
        <v>0.75</v>
      </c>
      <c r="F494" s="348" t="s">
        <v>1656</v>
      </c>
      <c r="S494" s="7" t="s">
        <v>16988</v>
      </c>
    </row>
    <row r="495">
      <c r="A495" s="573" t="s">
        <v>16677</v>
      </c>
      <c r="B495" s="25">
        <v>6726.0</v>
      </c>
      <c r="C495" s="136" t="s">
        <v>15405</v>
      </c>
      <c r="D495" s="179">
        <v>0.75</v>
      </c>
      <c r="E495" s="179">
        <v>0.75</v>
      </c>
      <c r="F495" s="348" t="s">
        <v>1656</v>
      </c>
      <c r="S495" s="7" t="s">
        <v>16989</v>
      </c>
    </row>
    <row r="496">
      <c r="A496" s="573" t="s">
        <v>16678</v>
      </c>
      <c r="B496" s="25">
        <v>6726.0</v>
      </c>
      <c r="C496" s="136" t="s">
        <v>15405</v>
      </c>
      <c r="D496" s="179">
        <v>0.75</v>
      </c>
      <c r="E496" s="179">
        <v>0.75</v>
      </c>
      <c r="F496" s="348" t="s">
        <v>1656</v>
      </c>
      <c r="S496" s="7" t="s">
        <v>16990</v>
      </c>
    </row>
    <row r="497">
      <c r="A497" s="203" t="s">
        <v>16991</v>
      </c>
      <c r="B497" s="202"/>
      <c r="C497" s="136" t="s">
        <v>15405</v>
      </c>
      <c r="D497" s="179">
        <v>0.75</v>
      </c>
      <c r="E497" s="179">
        <v>0.75</v>
      </c>
      <c r="F497" s="348" t="s">
        <v>1656</v>
      </c>
      <c r="G497" s="25" t="s">
        <v>10980</v>
      </c>
      <c r="S497" s="7" t="s">
        <v>16992</v>
      </c>
    </row>
    <row r="498">
      <c r="A498" s="203" t="s">
        <v>16993</v>
      </c>
      <c r="B498" s="202"/>
      <c r="C498" s="136" t="s">
        <v>15405</v>
      </c>
      <c r="D498" s="179">
        <v>0.75</v>
      </c>
      <c r="E498" s="179">
        <v>0.75</v>
      </c>
      <c r="F498" s="348" t="s">
        <v>1656</v>
      </c>
      <c r="G498" s="25" t="s">
        <v>10980</v>
      </c>
      <c r="S498" s="7" t="s">
        <v>16994</v>
      </c>
    </row>
    <row r="499">
      <c r="A499" s="203" t="s">
        <v>16995</v>
      </c>
      <c r="B499" s="188">
        <v>14071.0</v>
      </c>
      <c r="C499" s="136" t="s">
        <v>15405</v>
      </c>
      <c r="D499" s="179">
        <v>0.75</v>
      </c>
      <c r="E499" s="179">
        <v>0.75</v>
      </c>
      <c r="F499" s="348" t="s">
        <v>1656</v>
      </c>
      <c r="G499" s="25" t="s">
        <v>10980</v>
      </c>
      <c r="S499" s="7" t="s">
        <v>16996</v>
      </c>
    </row>
    <row r="500">
      <c r="A500" s="203" t="s">
        <v>16997</v>
      </c>
      <c r="B500" s="112">
        <v>14748.0</v>
      </c>
      <c r="C500" s="136" t="s">
        <v>15405</v>
      </c>
      <c r="D500" s="179">
        <v>0.75</v>
      </c>
      <c r="E500" s="179">
        <v>0.75</v>
      </c>
      <c r="F500" s="348" t="s">
        <v>1656</v>
      </c>
      <c r="G500" s="25" t="s">
        <v>10980</v>
      </c>
      <c r="S500" s="7" t="s">
        <v>16998</v>
      </c>
    </row>
    <row r="501">
      <c r="A501" s="203" t="s">
        <v>16999</v>
      </c>
      <c r="B501" s="202"/>
      <c r="C501" s="136" t="s">
        <v>15405</v>
      </c>
      <c r="D501" s="179">
        <v>0.75</v>
      </c>
      <c r="E501" s="179">
        <v>0.75</v>
      </c>
      <c r="F501" s="348" t="s">
        <v>1656</v>
      </c>
      <c r="G501" s="25" t="s">
        <v>10980</v>
      </c>
      <c r="S501" s="7" t="s">
        <v>2909</v>
      </c>
    </row>
    <row r="502">
      <c r="A502" s="202" t="s">
        <v>17000</v>
      </c>
      <c r="B502" s="202"/>
      <c r="C502" s="136" t="s">
        <v>15405</v>
      </c>
      <c r="D502" s="179">
        <v>0.75</v>
      </c>
      <c r="E502" s="179">
        <v>0.75</v>
      </c>
      <c r="F502" s="348" t="s">
        <v>1656</v>
      </c>
      <c r="G502" s="25" t="s">
        <v>10980</v>
      </c>
      <c r="S502" s="7" t="s">
        <v>17001</v>
      </c>
    </row>
    <row r="503">
      <c r="A503" s="202" t="s">
        <v>17002</v>
      </c>
      <c r="B503" s="202"/>
      <c r="C503" s="136" t="s">
        <v>15405</v>
      </c>
      <c r="D503" s="179">
        <v>0.75</v>
      </c>
      <c r="E503" s="179">
        <v>0.75</v>
      </c>
      <c r="F503" s="348" t="s">
        <v>1656</v>
      </c>
      <c r="G503" s="25" t="s">
        <v>10980</v>
      </c>
      <c r="S503" s="7" t="s">
        <v>17003</v>
      </c>
    </row>
  </sheetData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20.5"/>
    <col customWidth="1" min="5" max="5" width="26.13"/>
    <col hidden="1" min="8" max="19" width="12.63"/>
  </cols>
  <sheetData>
    <row r="1">
      <c r="A1" s="358" t="s">
        <v>44</v>
      </c>
      <c r="B1" s="574" t="s">
        <v>1</v>
      </c>
      <c r="C1" s="57" t="s">
        <v>294</v>
      </c>
      <c r="D1" s="55" t="s">
        <v>248</v>
      </c>
      <c r="E1" s="348" t="s">
        <v>249</v>
      </c>
      <c r="F1" s="349" t="s">
        <v>250</v>
      </c>
      <c r="I1" s="512" t="s">
        <v>1</v>
      </c>
      <c r="J1" s="512" t="s">
        <v>7484</v>
      </c>
      <c r="K1" s="18" t="s">
        <v>4476</v>
      </c>
      <c r="L1" s="18" t="s">
        <v>1</v>
      </c>
      <c r="N1" s="11" t="s">
        <v>252</v>
      </c>
    </row>
    <row r="2">
      <c r="A2" s="78" t="s">
        <v>1823</v>
      </c>
      <c r="B2" s="25">
        <v>189.0</v>
      </c>
      <c r="C2" s="136" t="s">
        <v>17004</v>
      </c>
      <c r="D2" s="179">
        <v>0.9</v>
      </c>
      <c r="E2" s="179">
        <v>0.9</v>
      </c>
      <c r="F2" s="348" t="s">
        <v>1656</v>
      </c>
      <c r="I2" s="512">
        <v>6732.0</v>
      </c>
      <c r="J2" s="575">
        <v>0.04</v>
      </c>
      <c r="K2" s="36" t="s">
        <v>1823</v>
      </c>
      <c r="L2" s="35">
        <v>189.0</v>
      </c>
      <c r="M2" s="36"/>
      <c r="N2" s="36" t="e">
        <v>#N/A</v>
      </c>
    </row>
    <row r="3">
      <c r="A3" s="78" t="s">
        <v>1808</v>
      </c>
      <c r="B3" s="37">
        <v>663.0</v>
      </c>
      <c r="C3" s="136" t="s">
        <v>17004</v>
      </c>
      <c r="D3" s="179">
        <v>0.65</v>
      </c>
      <c r="E3" s="179">
        <v>0.65</v>
      </c>
      <c r="F3" s="348" t="s">
        <v>1656</v>
      </c>
      <c r="I3" s="512">
        <v>189.0</v>
      </c>
      <c r="J3" s="575">
        <v>0.04</v>
      </c>
      <c r="K3" s="36" t="s">
        <v>1808</v>
      </c>
      <c r="L3" s="35">
        <v>6772.0</v>
      </c>
      <c r="M3" s="36"/>
      <c r="N3" s="36" t="e">
        <v>#N/A</v>
      </c>
    </row>
    <row r="4">
      <c r="A4" s="78" t="s">
        <v>1809</v>
      </c>
      <c r="B4" s="25">
        <v>2345.0</v>
      </c>
      <c r="C4" s="136" t="s">
        <v>17004</v>
      </c>
      <c r="D4" s="179">
        <v>0.9</v>
      </c>
      <c r="E4" s="179">
        <v>0.9</v>
      </c>
      <c r="F4" s="348" t="s">
        <v>1656</v>
      </c>
      <c r="I4" s="512">
        <v>6728.0</v>
      </c>
      <c r="J4" s="575">
        <v>0.04</v>
      </c>
      <c r="K4" s="36" t="s">
        <v>1809</v>
      </c>
      <c r="L4" s="35">
        <v>2345.0</v>
      </c>
      <c r="M4" s="35">
        <v>6671.0</v>
      </c>
      <c r="N4" s="36" t="e">
        <v>#N/A</v>
      </c>
    </row>
    <row r="5">
      <c r="A5" s="78" t="s">
        <v>1810</v>
      </c>
      <c r="B5" s="25">
        <v>6729.0</v>
      </c>
      <c r="C5" s="136" t="s">
        <v>17004</v>
      </c>
      <c r="D5" s="179">
        <v>0.77</v>
      </c>
      <c r="E5" s="179">
        <v>0.77</v>
      </c>
      <c r="F5" s="348" t="s">
        <v>1656</v>
      </c>
      <c r="I5" s="512">
        <v>6675.0</v>
      </c>
      <c r="J5" s="575">
        <v>0.04</v>
      </c>
      <c r="K5" s="18" t="s">
        <v>1810</v>
      </c>
      <c r="L5" s="11">
        <v>6729.0</v>
      </c>
      <c r="M5" s="11">
        <v>6779.0</v>
      </c>
      <c r="N5" s="18">
        <v>1.0</v>
      </c>
    </row>
    <row r="6">
      <c r="A6" s="231" t="s">
        <v>1812</v>
      </c>
      <c r="B6" s="231">
        <v>5458.0</v>
      </c>
      <c r="C6" s="136" t="s">
        <v>17004</v>
      </c>
      <c r="D6" s="179">
        <v>0.65</v>
      </c>
      <c r="E6" s="179">
        <v>0.65</v>
      </c>
      <c r="F6" s="348" t="s">
        <v>1656</v>
      </c>
      <c r="I6" s="512">
        <v>7036.0</v>
      </c>
      <c r="J6" s="575">
        <v>0.04</v>
      </c>
      <c r="K6" s="18" t="s">
        <v>1812</v>
      </c>
      <c r="L6" s="18">
        <v>5458.0</v>
      </c>
      <c r="N6" s="18">
        <v>1.0</v>
      </c>
    </row>
    <row r="7">
      <c r="A7" s="78" t="s">
        <v>1813</v>
      </c>
      <c r="B7" s="78">
        <v>5458.0</v>
      </c>
      <c r="C7" s="136" t="s">
        <v>17004</v>
      </c>
      <c r="D7" s="179">
        <v>0.65</v>
      </c>
      <c r="E7" s="179">
        <v>0.65</v>
      </c>
      <c r="F7" s="348" t="s">
        <v>1656</v>
      </c>
      <c r="K7" s="36" t="s">
        <v>1813</v>
      </c>
      <c r="L7" s="36">
        <v>5458.0</v>
      </c>
      <c r="M7" s="36"/>
      <c r="N7" s="36" t="e">
        <v>#N/A</v>
      </c>
    </row>
    <row r="8">
      <c r="A8" s="78" t="s">
        <v>1830</v>
      </c>
      <c r="B8" s="25">
        <v>986.0</v>
      </c>
      <c r="C8" s="136" t="s">
        <v>17004</v>
      </c>
      <c r="D8" s="179">
        <v>0.65</v>
      </c>
      <c r="E8" s="179">
        <v>0.65</v>
      </c>
      <c r="F8" s="348" t="s">
        <v>1656</v>
      </c>
      <c r="K8" s="36" t="s">
        <v>1830</v>
      </c>
      <c r="L8" s="35">
        <v>986.0</v>
      </c>
      <c r="M8" s="36"/>
      <c r="N8" s="36" t="e">
        <v>#N/A</v>
      </c>
    </row>
    <row r="9">
      <c r="A9" s="78" t="s">
        <v>1814</v>
      </c>
      <c r="B9" s="78">
        <v>6132.0</v>
      </c>
      <c r="C9" s="136" t="s">
        <v>17004</v>
      </c>
      <c r="D9" s="179">
        <v>0.65</v>
      </c>
      <c r="E9" s="179">
        <v>0.65</v>
      </c>
      <c r="F9" s="348" t="s">
        <v>1656</v>
      </c>
      <c r="K9" s="36" t="s">
        <v>1814</v>
      </c>
      <c r="L9" s="36">
        <v>6132.0</v>
      </c>
      <c r="M9" s="36"/>
      <c r="N9" s="36" t="e">
        <v>#N/A</v>
      </c>
    </row>
    <row r="10">
      <c r="A10" s="78" t="s">
        <v>1815</v>
      </c>
      <c r="B10" s="25">
        <v>986.0</v>
      </c>
      <c r="C10" s="136" t="s">
        <v>17004</v>
      </c>
      <c r="D10" s="179">
        <v>0.65</v>
      </c>
      <c r="E10" s="179">
        <v>0.65</v>
      </c>
      <c r="F10" s="348" t="s">
        <v>1656</v>
      </c>
      <c r="K10" s="36" t="s">
        <v>1815</v>
      </c>
      <c r="L10" s="35">
        <v>986.0</v>
      </c>
      <c r="M10" s="36"/>
      <c r="N10" s="36" t="e">
        <v>#N/A</v>
      </c>
    </row>
    <row r="11">
      <c r="A11" s="78" t="s">
        <v>1816</v>
      </c>
      <c r="B11" s="25">
        <v>986.0</v>
      </c>
      <c r="C11" s="136" t="s">
        <v>17004</v>
      </c>
      <c r="D11" s="179">
        <v>0.65</v>
      </c>
      <c r="E11" s="179">
        <v>0.65</v>
      </c>
      <c r="F11" s="348" t="s">
        <v>1656</v>
      </c>
      <c r="K11" s="18" t="s">
        <v>1816</v>
      </c>
      <c r="L11" s="11">
        <v>986.0</v>
      </c>
      <c r="N11" s="18">
        <v>1.0</v>
      </c>
    </row>
    <row r="12">
      <c r="A12" s="78" t="s">
        <v>1817</v>
      </c>
      <c r="B12" s="25">
        <v>986.0</v>
      </c>
      <c r="C12" s="136" t="s">
        <v>17004</v>
      </c>
      <c r="D12" s="179">
        <v>0.65</v>
      </c>
      <c r="E12" s="179">
        <v>0.65</v>
      </c>
      <c r="F12" s="348" t="s">
        <v>1656</v>
      </c>
      <c r="K12" s="36" t="s">
        <v>1817</v>
      </c>
      <c r="L12" s="35">
        <v>986.0</v>
      </c>
      <c r="M12" s="36"/>
      <c r="N12" s="36" t="e">
        <v>#N/A</v>
      </c>
    </row>
    <row r="13">
      <c r="A13" s="78" t="s">
        <v>1818</v>
      </c>
      <c r="B13" s="25">
        <v>986.0</v>
      </c>
      <c r="C13" s="136" t="s">
        <v>17004</v>
      </c>
      <c r="D13" s="179">
        <v>0.65</v>
      </c>
      <c r="E13" s="179">
        <v>0.65</v>
      </c>
      <c r="F13" s="348" t="s">
        <v>1656</v>
      </c>
      <c r="K13" s="18" t="s">
        <v>1818</v>
      </c>
      <c r="L13" s="11">
        <v>986.0</v>
      </c>
      <c r="N13" s="18">
        <v>1.0</v>
      </c>
    </row>
    <row r="14">
      <c r="A14" s="78" t="s">
        <v>1819</v>
      </c>
      <c r="B14" s="25">
        <v>986.0</v>
      </c>
      <c r="C14" s="136" t="s">
        <v>17004</v>
      </c>
      <c r="D14" s="179">
        <v>0.65</v>
      </c>
      <c r="E14" s="179">
        <v>0.65</v>
      </c>
      <c r="F14" s="348" t="s">
        <v>1656</v>
      </c>
      <c r="K14" s="36" t="s">
        <v>1819</v>
      </c>
      <c r="L14" s="35">
        <v>986.0</v>
      </c>
      <c r="M14" s="36"/>
      <c r="N14" s="36" t="e">
        <v>#N/A</v>
      </c>
    </row>
    <row r="15">
      <c r="A15" s="78" t="s">
        <v>1820</v>
      </c>
      <c r="B15" s="25">
        <v>986.0</v>
      </c>
      <c r="C15" s="136" t="s">
        <v>17004</v>
      </c>
      <c r="D15" s="179">
        <v>0.65</v>
      </c>
      <c r="E15" s="179">
        <v>0.65</v>
      </c>
      <c r="F15" s="348" t="s">
        <v>1656</v>
      </c>
      <c r="K15" s="18" t="s">
        <v>1820</v>
      </c>
      <c r="L15" s="11">
        <v>986.0</v>
      </c>
      <c r="N15" s="18">
        <v>1.0</v>
      </c>
    </row>
    <row r="16">
      <c r="A16" s="78" t="s">
        <v>1821</v>
      </c>
      <c r="B16" s="25">
        <v>6726.0</v>
      </c>
      <c r="C16" s="136" t="s">
        <v>17004</v>
      </c>
      <c r="D16" s="179">
        <v>0.65</v>
      </c>
      <c r="E16" s="179">
        <v>0.65</v>
      </c>
      <c r="F16" s="348" t="s">
        <v>1656</v>
      </c>
      <c r="K16" s="36" t="s">
        <v>1821</v>
      </c>
      <c r="L16" s="35">
        <v>6726.0</v>
      </c>
      <c r="M16" s="36"/>
      <c r="N16" s="36" t="e">
        <v>#N/A</v>
      </c>
    </row>
    <row r="17">
      <c r="A17" s="78" t="s">
        <v>1840</v>
      </c>
      <c r="B17" s="25">
        <v>6726.0</v>
      </c>
      <c r="C17" s="136" t="s">
        <v>17004</v>
      </c>
      <c r="D17" s="179">
        <v>0.65</v>
      </c>
      <c r="E17" s="179">
        <v>0.65</v>
      </c>
      <c r="F17" s="348" t="s">
        <v>1656</v>
      </c>
      <c r="K17" s="36" t="s">
        <v>1840</v>
      </c>
      <c r="L17" s="35">
        <v>6726.0</v>
      </c>
      <c r="M17" s="36"/>
      <c r="N17" s="36" t="e">
        <v>#N/A</v>
      </c>
    </row>
    <row r="18">
      <c r="A18" s="78" t="s">
        <v>1822</v>
      </c>
      <c r="B18" s="25">
        <v>6829.0</v>
      </c>
      <c r="C18" s="136" t="s">
        <v>17004</v>
      </c>
      <c r="D18" s="179">
        <v>0.65</v>
      </c>
      <c r="E18" s="179">
        <v>0.65</v>
      </c>
      <c r="F18" s="348" t="s">
        <v>1656</v>
      </c>
      <c r="K18" s="18" t="s">
        <v>1822</v>
      </c>
      <c r="L18" s="11">
        <v>6829.0</v>
      </c>
      <c r="N18" s="18">
        <v>1.0</v>
      </c>
    </row>
    <row r="19">
      <c r="A19" s="78" t="s">
        <v>1824</v>
      </c>
      <c r="B19" s="25">
        <v>2345.0</v>
      </c>
      <c r="C19" s="136" t="s">
        <v>17004</v>
      </c>
      <c r="D19" s="179">
        <v>0.9</v>
      </c>
      <c r="E19" s="179">
        <v>0.9</v>
      </c>
      <c r="F19" s="348" t="s">
        <v>1656</v>
      </c>
      <c r="K19" s="18" t="s">
        <v>1824</v>
      </c>
      <c r="L19" s="11">
        <v>2345.0</v>
      </c>
      <c r="N19" s="18">
        <v>1.0</v>
      </c>
    </row>
    <row r="20">
      <c r="A20" s="78" t="s">
        <v>1825</v>
      </c>
      <c r="B20" s="25">
        <v>2345.0</v>
      </c>
      <c r="C20" s="136" t="s">
        <v>17004</v>
      </c>
      <c r="D20" s="179">
        <v>0.9</v>
      </c>
      <c r="E20" s="179">
        <v>0.9</v>
      </c>
      <c r="F20" s="348" t="s">
        <v>1656</v>
      </c>
      <c r="K20" s="36" t="s">
        <v>1825</v>
      </c>
      <c r="L20" s="35">
        <v>2345.0</v>
      </c>
      <c r="M20" s="35">
        <v>6669.0</v>
      </c>
      <c r="N20" s="36" t="e">
        <v>#N/A</v>
      </c>
    </row>
    <row r="21">
      <c r="A21" s="78" t="s">
        <v>1826</v>
      </c>
      <c r="B21" s="25">
        <v>6675.0</v>
      </c>
      <c r="C21" s="136" t="s">
        <v>17004</v>
      </c>
      <c r="D21" s="179">
        <v>0.9</v>
      </c>
      <c r="E21" s="179">
        <v>0.9</v>
      </c>
      <c r="F21" s="348" t="s">
        <v>1656</v>
      </c>
      <c r="K21" s="36" t="s">
        <v>1826</v>
      </c>
      <c r="L21" s="35">
        <v>6805.0</v>
      </c>
      <c r="M21" s="36"/>
      <c r="N21" s="36" t="e">
        <v>#N/A</v>
      </c>
    </row>
    <row r="22">
      <c r="A22" s="78" t="s">
        <v>1827</v>
      </c>
      <c r="B22" s="25">
        <v>2345.0</v>
      </c>
      <c r="C22" s="136" t="s">
        <v>17004</v>
      </c>
      <c r="D22" s="179">
        <v>0.9</v>
      </c>
      <c r="E22" s="179">
        <v>0.9</v>
      </c>
      <c r="F22" s="348" t="s">
        <v>1656</v>
      </c>
      <c r="K22" s="36" t="s">
        <v>1827</v>
      </c>
      <c r="L22" s="35">
        <v>2345.0</v>
      </c>
      <c r="M22" s="36"/>
      <c r="N22" s="36" t="e">
        <v>#N/A</v>
      </c>
    </row>
    <row r="23">
      <c r="A23" s="78" t="s">
        <v>1828</v>
      </c>
      <c r="B23" s="25">
        <v>2345.0</v>
      </c>
      <c r="C23" s="136" t="s">
        <v>17004</v>
      </c>
      <c r="D23" s="179">
        <v>0.9</v>
      </c>
      <c r="E23" s="179">
        <v>0.9</v>
      </c>
      <c r="F23" s="348" t="s">
        <v>1656</v>
      </c>
      <c r="K23" s="36" t="s">
        <v>1828</v>
      </c>
      <c r="L23" s="35">
        <v>2345.0</v>
      </c>
      <c r="M23" s="36"/>
      <c r="N23" s="36" t="e">
        <v>#N/A</v>
      </c>
    </row>
    <row r="24">
      <c r="A24" s="78" t="s">
        <v>1829</v>
      </c>
      <c r="B24" s="25">
        <v>2345.0</v>
      </c>
      <c r="C24" s="136" t="s">
        <v>17004</v>
      </c>
      <c r="D24" s="179">
        <v>0.9</v>
      </c>
      <c r="E24" s="179">
        <v>0.9</v>
      </c>
      <c r="F24" s="348" t="s">
        <v>1656</v>
      </c>
      <c r="K24" s="36" t="s">
        <v>1829</v>
      </c>
      <c r="L24" s="35">
        <v>2345.0</v>
      </c>
      <c r="M24" s="36"/>
      <c r="N24" s="36" t="e">
        <v>#N/A</v>
      </c>
    </row>
    <row r="25">
      <c r="A25" s="78" t="s">
        <v>1831</v>
      </c>
      <c r="B25" s="25">
        <v>2345.0</v>
      </c>
      <c r="C25" s="136" t="s">
        <v>17004</v>
      </c>
      <c r="D25" s="179">
        <v>0.9</v>
      </c>
      <c r="E25" s="179">
        <v>0.9</v>
      </c>
      <c r="F25" s="348" t="s">
        <v>1656</v>
      </c>
      <c r="K25" s="36" t="s">
        <v>1831</v>
      </c>
      <c r="L25" s="35">
        <v>2345.0</v>
      </c>
      <c r="M25" s="36"/>
      <c r="N25" s="36" t="e">
        <v>#N/A</v>
      </c>
    </row>
    <row r="26">
      <c r="A26" s="78" t="s">
        <v>1832</v>
      </c>
      <c r="B26" s="25">
        <v>2345.0</v>
      </c>
      <c r="C26" s="136" t="s">
        <v>17004</v>
      </c>
      <c r="D26" s="179">
        <v>0.9</v>
      </c>
      <c r="E26" s="179">
        <v>0.9</v>
      </c>
      <c r="F26" s="348" t="s">
        <v>1656</v>
      </c>
      <c r="K26" s="36" t="s">
        <v>1832</v>
      </c>
      <c r="L26" s="35">
        <v>2345.0</v>
      </c>
      <c r="M26" s="36"/>
      <c r="N26" s="36" t="e">
        <v>#N/A</v>
      </c>
    </row>
    <row r="27">
      <c r="A27" s="78" t="s">
        <v>1833</v>
      </c>
      <c r="B27" s="25">
        <v>2345.0</v>
      </c>
      <c r="C27" s="136" t="s">
        <v>17004</v>
      </c>
      <c r="D27" s="179">
        <v>0.9</v>
      </c>
      <c r="E27" s="179">
        <v>0.9</v>
      </c>
      <c r="F27" s="348" t="s">
        <v>1656</v>
      </c>
      <c r="K27" s="36" t="s">
        <v>1833</v>
      </c>
      <c r="L27" s="35">
        <v>2345.0</v>
      </c>
      <c r="M27" s="36"/>
      <c r="N27" s="36" t="e">
        <v>#N/A</v>
      </c>
    </row>
    <row r="28">
      <c r="A28" s="78" t="s">
        <v>1834</v>
      </c>
      <c r="B28" s="25">
        <v>2345.0</v>
      </c>
      <c r="C28" s="136" t="s">
        <v>17004</v>
      </c>
      <c r="D28" s="179">
        <v>0.9</v>
      </c>
      <c r="E28" s="179">
        <v>0.9</v>
      </c>
      <c r="F28" s="348" t="s">
        <v>1656</v>
      </c>
      <c r="K28" s="36" t="s">
        <v>1834</v>
      </c>
      <c r="L28" s="35">
        <v>2345.0</v>
      </c>
      <c r="M28" s="36"/>
      <c r="N28" s="36" t="e">
        <v>#N/A</v>
      </c>
    </row>
    <row r="29">
      <c r="A29" s="78" t="s">
        <v>1853</v>
      </c>
      <c r="B29" s="25">
        <v>2345.0</v>
      </c>
      <c r="C29" s="136" t="s">
        <v>17004</v>
      </c>
      <c r="D29" s="179">
        <v>0.9</v>
      </c>
      <c r="E29" s="179">
        <v>0.9</v>
      </c>
      <c r="F29" s="348" t="s">
        <v>1656</v>
      </c>
      <c r="K29" s="36" t="s">
        <v>1853</v>
      </c>
      <c r="L29" s="35">
        <v>2345.0</v>
      </c>
      <c r="M29" s="36"/>
      <c r="N29" s="36" t="e">
        <v>#N/A</v>
      </c>
    </row>
    <row r="30">
      <c r="A30" s="78" t="s">
        <v>1835</v>
      </c>
      <c r="B30" s="25">
        <v>2345.0</v>
      </c>
      <c r="C30" s="136" t="s">
        <v>17004</v>
      </c>
      <c r="D30" s="179">
        <v>0.9</v>
      </c>
      <c r="E30" s="179">
        <v>0.9</v>
      </c>
      <c r="F30" s="348" t="s">
        <v>1656</v>
      </c>
      <c r="K30" s="18" t="s">
        <v>1835</v>
      </c>
      <c r="L30" s="11">
        <v>2345.0</v>
      </c>
      <c r="N30" s="18">
        <v>1.0</v>
      </c>
    </row>
    <row r="31">
      <c r="A31" s="78" t="s">
        <v>1856</v>
      </c>
      <c r="B31" s="25">
        <v>2345.0</v>
      </c>
      <c r="C31" s="136" t="s">
        <v>17004</v>
      </c>
      <c r="D31" s="179">
        <v>0.9</v>
      </c>
      <c r="E31" s="179">
        <v>0.9</v>
      </c>
      <c r="F31" s="348" t="s">
        <v>1656</v>
      </c>
      <c r="K31" s="36" t="s">
        <v>1856</v>
      </c>
      <c r="L31" s="35">
        <v>2345.0</v>
      </c>
      <c r="M31" s="36"/>
      <c r="N31" s="36" t="e">
        <v>#N/A</v>
      </c>
    </row>
    <row r="32">
      <c r="A32" s="78" t="s">
        <v>1836</v>
      </c>
      <c r="B32" s="25">
        <v>6779.0</v>
      </c>
      <c r="C32" s="136" t="s">
        <v>17004</v>
      </c>
      <c r="D32" s="179">
        <v>0.65</v>
      </c>
      <c r="E32" s="179">
        <v>0.65</v>
      </c>
      <c r="F32" s="348" t="s">
        <v>1656</v>
      </c>
      <c r="K32" s="36" t="s">
        <v>1836</v>
      </c>
      <c r="L32" s="35">
        <v>6779.0</v>
      </c>
      <c r="M32" s="36"/>
      <c r="N32" s="36" t="e">
        <v>#N/A</v>
      </c>
    </row>
    <row r="33">
      <c r="A33" s="78" t="s">
        <v>1837</v>
      </c>
      <c r="B33" s="25">
        <v>6732.0</v>
      </c>
      <c r="C33" s="136" t="s">
        <v>17004</v>
      </c>
      <c r="D33" s="179">
        <v>0.65</v>
      </c>
      <c r="E33" s="179">
        <v>0.65</v>
      </c>
      <c r="F33" s="348" t="s">
        <v>1656</v>
      </c>
      <c r="K33" s="36" t="s">
        <v>1837</v>
      </c>
      <c r="L33" s="35">
        <v>6732.0</v>
      </c>
      <c r="M33" s="36"/>
      <c r="N33" s="36" t="e">
        <v>#N/A</v>
      </c>
    </row>
    <row r="34">
      <c r="A34" s="78" t="s">
        <v>1838</v>
      </c>
      <c r="B34" s="25">
        <v>6732.0</v>
      </c>
      <c r="C34" s="136" t="s">
        <v>17004</v>
      </c>
      <c r="D34" s="179">
        <v>0.65</v>
      </c>
      <c r="E34" s="179">
        <v>0.65</v>
      </c>
      <c r="F34" s="348" t="s">
        <v>1656</v>
      </c>
      <c r="K34" s="18" t="s">
        <v>1838</v>
      </c>
      <c r="L34" s="11">
        <v>6732.0</v>
      </c>
      <c r="N34" s="18">
        <v>1.0</v>
      </c>
    </row>
    <row r="35">
      <c r="A35" s="78" t="s">
        <v>1839</v>
      </c>
      <c r="B35" s="25">
        <v>6727.0</v>
      </c>
      <c r="C35" s="136" t="s">
        <v>17004</v>
      </c>
      <c r="D35" s="179">
        <v>0.65</v>
      </c>
      <c r="E35" s="179">
        <v>0.65</v>
      </c>
      <c r="F35" s="348" t="s">
        <v>1656</v>
      </c>
      <c r="K35" s="36" t="s">
        <v>1839</v>
      </c>
      <c r="L35" s="35">
        <v>6727.0</v>
      </c>
      <c r="M35" s="36"/>
      <c r="N35" s="36" t="e">
        <v>#N/A</v>
      </c>
    </row>
    <row r="36">
      <c r="A36" s="78" t="s">
        <v>1841</v>
      </c>
      <c r="B36" s="25">
        <v>6727.0</v>
      </c>
      <c r="C36" s="136" t="s">
        <v>17004</v>
      </c>
      <c r="D36" s="179">
        <v>0.65</v>
      </c>
      <c r="E36" s="179">
        <v>0.65</v>
      </c>
      <c r="F36" s="348" t="s">
        <v>1656</v>
      </c>
      <c r="K36" s="36" t="s">
        <v>1841</v>
      </c>
      <c r="L36" s="35">
        <v>6727.0</v>
      </c>
      <c r="M36" s="36"/>
      <c r="N36" s="36" t="e">
        <v>#N/A</v>
      </c>
    </row>
    <row r="37">
      <c r="A37" s="78" t="s">
        <v>1842</v>
      </c>
      <c r="B37" s="25">
        <v>6875.0</v>
      </c>
      <c r="C37" s="136" t="s">
        <v>17004</v>
      </c>
      <c r="D37" s="179">
        <v>0.65</v>
      </c>
      <c r="E37" s="179">
        <v>0.65</v>
      </c>
      <c r="F37" s="348" t="s">
        <v>1656</v>
      </c>
      <c r="K37" s="18" t="s">
        <v>1842</v>
      </c>
      <c r="L37" s="11">
        <v>6875.0</v>
      </c>
      <c r="N37" s="18">
        <v>1.0</v>
      </c>
    </row>
    <row r="38">
      <c r="A38" s="78" t="s">
        <v>1843</v>
      </c>
      <c r="B38" s="25">
        <v>6671.0</v>
      </c>
      <c r="C38" s="136" t="s">
        <v>17004</v>
      </c>
      <c r="D38" s="179">
        <v>0.77</v>
      </c>
      <c r="E38" s="179">
        <v>0.77</v>
      </c>
      <c r="F38" s="348" t="s">
        <v>1656</v>
      </c>
      <c r="K38" s="18" t="s">
        <v>1843</v>
      </c>
      <c r="L38" s="11">
        <v>6671.0</v>
      </c>
      <c r="N38" s="18">
        <v>1.0</v>
      </c>
    </row>
    <row r="39">
      <c r="A39" s="78" t="s">
        <v>1844</v>
      </c>
      <c r="B39" s="25">
        <v>6669.0</v>
      </c>
      <c r="C39" s="136" t="s">
        <v>17004</v>
      </c>
      <c r="D39" s="179">
        <v>0.65</v>
      </c>
      <c r="E39" s="179">
        <v>0.65</v>
      </c>
      <c r="F39" s="348" t="s">
        <v>1656</v>
      </c>
      <c r="K39" s="36" t="s">
        <v>1844</v>
      </c>
      <c r="L39" s="35">
        <v>6669.0</v>
      </c>
      <c r="M39" s="36"/>
      <c r="N39" s="36" t="e">
        <v>#N/A</v>
      </c>
    </row>
    <row r="40">
      <c r="A40" s="78" t="s">
        <v>1845</v>
      </c>
      <c r="B40" s="25">
        <v>6893.0</v>
      </c>
      <c r="C40" s="136" t="s">
        <v>17004</v>
      </c>
      <c r="D40" s="179">
        <v>0.65</v>
      </c>
      <c r="E40" s="179">
        <v>0.65</v>
      </c>
      <c r="F40" s="348" t="s">
        <v>1656</v>
      </c>
      <c r="K40" s="36" t="s">
        <v>1845</v>
      </c>
      <c r="L40" s="35">
        <v>6893.0</v>
      </c>
      <c r="M40" s="36"/>
      <c r="N40" s="36" t="e">
        <v>#N/A</v>
      </c>
    </row>
    <row r="41">
      <c r="A41" s="78" t="s">
        <v>1846</v>
      </c>
      <c r="B41" s="37">
        <v>6675.0</v>
      </c>
      <c r="C41" s="136" t="s">
        <v>17004</v>
      </c>
      <c r="D41" s="179">
        <v>0.9</v>
      </c>
      <c r="E41" s="179">
        <v>0.9</v>
      </c>
      <c r="F41" s="348" t="s">
        <v>1656</v>
      </c>
      <c r="K41" s="36" t="s">
        <v>1846</v>
      </c>
      <c r="L41" s="35">
        <v>6770.0</v>
      </c>
      <c r="M41" s="36"/>
      <c r="N41" s="36" t="e">
        <v>#N/A</v>
      </c>
    </row>
    <row r="42">
      <c r="A42" s="78" t="s">
        <v>1847</v>
      </c>
      <c r="B42" s="25">
        <v>189.0</v>
      </c>
      <c r="C42" s="136" t="s">
        <v>17004</v>
      </c>
      <c r="D42" s="179">
        <v>0.9</v>
      </c>
      <c r="E42" s="179">
        <v>0.9</v>
      </c>
      <c r="F42" s="348" t="s">
        <v>1656</v>
      </c>
      <c r="K42" s="36" t="s">
        <v>1847</v>
      </c>
      <c r="L42" s="35">
        <v>189.0</v>
      </c>
      <c r="M42" s="36"/>
      <c r="N42" s="36" t="e">
        <v>#N/A</v>
      </c>
    </row>
    <row r="43">
      <c r="A43" s="78" t="s">
        <v>1848</v>
      </c>
      <c r="B43" s="25">
        <v>189.0</v>
      </c>
      <c r="C43" s="136" t="s">
        <v>17004</v>
      </c>
      <c r="D43" s="179">
        <v>0.9</v>
      </c>
      <c r="E43" s="179">
        <v>0.9</v>
      </c>
      <c r="F43" s="348" t="s">
        <v>1656</v>
      </c>
      <c r="K43" s="18" t="s">
        <v>1848</v>
      </c>
      <c r="L43" s="11">
        <v>189.0</v>
      </c>
      <c r="N43" s="18">
        <v>1.0</v>
      </c>
    </row>
    <row r="44">
      <c r="A44" s="78" t="s">
        <v>1870</v>
      </c>
      <c r="B44" s="25">
        <v>189.0</v>
      </c>
      <c r="C44" s="136" t="s">
        <v>17004</v>
      </c>
      <c r="D44" s="179">
        <v>0.9</v>
      </c>
      <c r="E44" s="179">
        <v>0.9</v>
      </c>
      <c r="F44" s="348" t="s">
        <v>1656</v>
      </c>
      <c r="K44" s="36" t="s">
        <v>1870</v>
      </c>
      <c r="L44" s="35">
        <v>189.0</v>
      </c>
      <c r="M44" s="36"/>
      <c r="N44" s="36" t="e">
        <v>#N/A</v>
      </c>
    </row>
    <row r="45">
      <c r="A45" s="78" t="s">
        <v>1849</v>
      </c>
      <c r="B45" s="25">
        <v>189.0</v>
      </c>
      <c r="C45" s="136" t="s">
        <v>17004</v>
      </c>
      <c r="D45" s="179">
        <v>0.9</v>
      </c>
      <c r="E45" s="179">
        <v>0.9</v>
      </c>
      <c r="F45" s="348" t="s">
        <v>1656</v>
      </c>
      <c r="K45" s="36" t="s">
        <v>1849</v>
      </c>
      <c r="L45" s="35">
        <v>189.0</v>
      </c>
      <c r="M45" s="36"/>
      <c r="N45" s="36" t="e">
        <v>#N/A</v>
      </c>
    </row>
    <row r="46">
      <c r="A46" s="78" t="s">
        <v>1850</v>
      </c>
      <c r="B46" s="25">
        <v>189.0</v>
      </c>
      <c r="C46" s="136" t="s">
        <v>17004</v>
      </c>
      <c r="D46" s="179">
        <v>0.9</v>
      </c>
      <c r="E46" s="179">
        <v>0.9</v>
      </c>
      <c r="F46" s="348" t="s">
        <v>1656</v>
      </c>
      <c r="K46" s="36" t="s">
        <v>1850</v>
      </c>
      <c r="L46" s="35">
        <v>189.0</v>
      </c>
      <c r="M46" s="36"/>
      <c r="N46" s="36" t="e">
        <v>#N/A</v>
      </c>
    </row>
    <row r="47">
      <c r="A47" s="78" t="s">
        <v>1851</v>
      </c>
      <c r="B47" s="25">
        <v>663.0</v>
      </c>
      <c r="C47" s="136" t="s">
        <v>17004</v>
      </c>
      <c r="D47" s="179">
        <v>0.65</v>
      </c>
      <c r="E47" s="179">
        <v>0.65</v>
      </c>
      <c r="F47" s="348" t="s">
        <v>1656</v>
      </c>
      <c r="K47" s="36" t="s">
        <v>1851</v>
      </c>
      <c r="L47" s="35">
        <v>663.0</v>
      </c>
      <c r="M47" s="36"/>
      <c r="N47" s="36" t="e">
        <v>#N/A</v>
      </c>
    </row>
    <row r="48">
      <c r="A48" s="78" t="s">
        <v>1852</v>
      </c>
      <c r="B48" s="25">
        <v>3378.0</v>
      </c>
      <c r="C48" s="136" t="s">
        <v>17004</v>
      </c>
      <c r="D48" s="179">
        <v>0.65</v>
      </c>
      <c r="E48" s="179">
        <v>0.65</v>
      </c>
      <c r="F48" s="348" t="s">
        <v>1656</v>
      </c>
      <c r="K48" s="36" t="s">
        <v>1852</v>
      </c>
      <c r="L48" s="35">
        <v>3378.0</v>
      </c>
      <c r="M48" s="36"/>
      <c r="N48" s="36" t="e">
        <v>#N/A</v>
      </c>
    </row>
    <row r="49">
      <c r="A49" s="78" t="s">
        <v>1854</v>
      </c>
      <c r="B49" s="25">
        <v>6887.0</v>
      </c>
      <c r="C49" s="136" t="s">
        <v>17004</v>
      </c>
      <c r="D49" s="179">
        <v>0.65</v>
      </c>
      <c r="E49" s="179">
        <v>0.65</v>
      </c>
      <c r="F49" s="348" t="s">
        <v>1656</v>
      </c>
      <c r="K49" s="36" t="s">
        <v>1854</v>
      </c>
      <c r="L49" s="35">
        <v>6887.0</v>
      </c>
      <c r="M49" s="36"/>
      <c r="N49" s="36" t="e">
        <v>#N/A</v>
      </c>
    </row>
    <row r="50">
      <c r="A50" s="78" t="s">
        <v>1877</v>
      </c>
      <c r="B50" s="25">
        <v>3142.0</v>
      </c>
      <c r="C50" s="136" t="s">
        <v>17004</v>
      </c>
      <c r="D50" s="179">
        <v>0.65</v>
      </c>
      <c r="E50" s="179">
        <v>0.65</v>
      </c>
      <c r="F50" s="348" t="s">
        <v>1656</v>
      </c>
      <c r="K50" s="36" t="s">
        <v>1877</v>
      </c>
      <c r="L50" s="35">
        <v>3142.0</v>
      </c>
      <c r="M50" s="36"/>
      <c r="N50" s="36" t="e">
        <v>#N/A</v>
      </c>
    </row>
    <row r="51">
      <c r="A51" s="78" t="s">
        <v>1855</v>
      </c>
      <c r="B51" s="25">
        <v>6133.0</v>
      </c>
      <c r="C51" s="136" t="s">
        <v>17004</v>
      </c>
      <c r="D51" s="179">
        <v>0.65</v>
      </c>
      <c r="E51" s="179">
        <v>0.65</v>
      </c>
      <c r="F51" s="348" t="s">
        <v>1656</v>
      </c>
      <c r="K51" s="36" t="s">
        <v>1855</v>
      </c>
      <c r="L51" s="35">
        <v>6133.0</v>
      </c>
      <c r="M51" s="36"/>
      <c r="N51" s="36" t="e">
        <v>#N/A</v>
      </c>
    </row>
    <row r="52">
      <c r="A52" s="78" t="s">
        <v>1857</v>
      </c>
      <c r="B52" s="25">
        <v>3920.0</v>
      </c>
      <c r="C52" s="136" t="s">
        <v>17004</v>
      </c>
      <c r="D52" s="179">
        <v>0.65</v>
      </c>
      <c r="E52" s="179">
        <v>0.65</v>
      </c>
      <c r="F52" s="348" t="s">
        <v>1656</v>
      </c>
      <c r="K52" s="36" t="s">
        <v>1857</v>
      </c>
      <c r="L52" s="35">
        <v>3920.0</v>
      </c>
      <c r="M52" s="36"/>
      <c r="N52" s="36" t="e">
        <v>#N/A</v>
      </c>
    </row>
    <row r="53">
      <c r="A53" s="78" t="s">
        <v>1858</v>
      </c>
      <c r="B53" s="25">
        <v>6998.0</v>
      </c>
      <c r="C53" s="136" t="s">
        <v>17004</v>
      </c>
      <c r="D53" s="179">
        <v>0.65</v>
      </c>
      <c r="E53" s="179">
        <v>0.65</v>
      </c>
      <c r="F53" s="348" t="s">
        <v>1656</v>
      </c>
      <c r="K53" s="36" t="s">
        <v>1858</v>
      </c>
      <c r="L53" s="35">
        <v>6998.0</v>
      </c>
      <c r="M53" s="36"/>
      <c r="N53" s="36" t="e">
        <v>#N/A</v>
      </c>
    </row>
    <row r="54">
      <c r="A54" s="78" t="s">
        <v>1859</v>
      </c>
      <c r="B54" s="25">
        <v>1360.0</v>
      </c>
      <c r="C54" s="136" t="s">
        <v>17004</v>
      </c>
      <c r="D54" s="179">
        <v>0.65</v>
      </c>
      <c r="E54" s="179">
        <v>0.65</v>
      </c>
      <c r="F54" s="348" t="s">
        <v>1656</v>
      </c>
      <c r="K54" s="36" t="s">
        <v>1859</v>
      </c>
      <c r="L54" s="35">
        <v>1360.0</v>
      </c>
      <c r="M54" s="36"/>
      <c r="N54" s="36" t="e">
        <v>#N/A</v>
      </c>
    </row>
    <row r="55">
      <c r="A55" s="78" t="s">
        <v>1883</v>
      </c>
      <c r="B55" s="25">
        <v>7031.0</v>
      </c>
      <c r="C55" s="136" t="s">
        <v>17004</v>
      </c>
      <c r="D55" s="179">
        <v>0.65</v>
      </c>
      <c r="E55" s="179">
        <v>0.65</v>
      </c>
      <c r="F55" s="348" t="s">
        <v>1656</v>
      </c>
      <c r="K55" s="18" t="s">
        <v>1883</v>
      </c>
      <c r="L55" s="11">
        <v>7031.0</v>
      </c>
      <c r="N55" s="18">
        <v>1.0</v>
      </c>
    </row>
    <row r="56">
      <c r="A56" s="78" t="s">
        <v>1860</v>
      </c>
      <c r="B56" s="37">
        <v>6675.0</v>
      </c>
      <c r="C56" s="136" t="s">
        <v>17004</v>
      </c>
      <c r="D56" s="179">
        <v>0.9</v>
      </c>
      <c r="E56" s="179">
        <v>0.9</v>
      </c>
      <c r="F56" s="348" t="s">
        <v>1656</v>
      </c>
      <c r="K56" s="36" t="s">
        <v>1860</v>
      </c>
      <c r="L56" s="35">
        <v>6671.0</v>
      </c>
      <c r="M56" s="36"/>
      <c r="N56" s="36" t="e">
        <v>#N/A</v>
      </c>
    </row>
    <row r="57">
      <c r="A57" s="78" t="s">
        <v>1886</v>
      </c>
      <c r="B57" s="25">
        <v>6671.0</v>
      </c>
      <c r="C57" s="136" t="s">
        <v>17004</v>
      </c>
      <c r="D57" s="179">
        <v>0.77</v>
      </c>
      <c r="E57" s="179">
        <v>0.77</v>
      </c>
      <c r="F57" s="348" t="s">
        <v>1656</v>
      </c>
      <c r="K57" s="36" t="s">
        <v>1886</v>
      </c>
      <c r="L57" s="35">
        <v>6671.0</v>
      </c>
      <c r="M57" s="36"/>
      <c r="N57" s="36" t="e">
        <v>#N/A</v>
      </c>
    </row>
    <row r="58">
      <c r="A58" s="78" t="s">
        <v>1861</v>
      </c>
      <c r="B58" s="25">
        <v>7033.0</v>
      </c>
      <c r="C58" s="136" t="s">
        <v>17004</v>
      </c>
      <c r="D58" s="179">
        <v>0.65</v>
      </c>
      <c r="E58" s="179">
        <v>0.65</v>
      </c>
      <c r="F58" s="348" t="s">
        <v>1656</v>
      </c>
      <c r="K58" s="36" t="s">
        <v>1861</v>
      </c>
      <c r="L58" s="35">
        <v>7033.0</v>
      </c>
      <c r="M58" s="36"/>
      <c r="N58" s="36" t="e">
        <v>#N/A</v>
      </c>
    </row>
    <row r="59">
      <c r="A59" s="78" t="s">
        <v>1889</v>
      </c>
      <c r="B59" s="25">
        <v>3307.0</v>
      </c>
      <c r="C59" s="136" t="s">
        <v>17004</v>
      </c>
      <c r="D59" s="179">
        <v>0.65</v>
      </c>
      <c r="E59" s="179">
        <v>0.65</v>
      </c>
      <c r="F59" s="348" t="s">
        <v>1656</v>
      </c>
      <c r="K59" s="36" t="s">
        <v>1889</v>
      </c>
      <c r="L59" s="35">
        <v>3307.0</v>
      </c>
      <c r="M59" s="36"/>
      <c r="N59" s="36" t="e">
        <v>#N/A</v>
      </c>
    </row>
    <row r="60">
      <c r="A60" s="78" t="s">
        <v>1862</v>
      </c>
      <c r="B60" s="25">
        <v>136.0</v>
      </c>
      <c r="C60" s="136" t="s">
        <v>17004</v>
      </c>
      <c r="D60" s="179">
        <v>0.65</v>
      </c>
      <c r="E60" s="179">
        <v>0.65</v>
      </c>
      <c r="F60" s="348" t="s">
        <v>1656</v>
      </c>
      <c r="K60" s="36" t="s">
        <v>1862</v>
      </c>
      <c r="L60" s="35">
        <v>136.0</v>
      </c>
      <c r="M60" s="36"/>
      <c r="N60" s="36" t="e">
        <v>#N/A</v>
      </c>
    </row>
    <row r="61">
      <c r="A61" s="78" t="s">
        <v>1863</v>
      </c>
      <c r="B61" s="25">
        <v>6998.0</v>
      </c>
      <c r="C61" s="136" t="s">
        <v>17004</v>
      </c>
      <c r="D61" s="179">
        <v>0.65</v>
      </c>
      <c r="E61" s="179">
        <v>0.65</v>
      </c>
      <c r="F61" s="348" t="s">
        <v>1656</v>
      </c>
      <c r="K61" s="36" t="s">
        <v>1863</v>
      </c>
      <c r="L61" s="35">
        <v>6998.0</v>
      </c>
      <c r="M61" s="36"/>
      <c r="N61" s="36" t="e">
        <v>#N/A</v>
      </c>
    </row>
    <row r="62">
      <c r="A62" s="78" t="s">
        <v>1864</v>
      </c>
      <c r="B62" s="25">
        <v>6727.0</v>
      </c>
      <c r="C62" s="136" t="s">
        <v>17004</v>
      </c>
      <c r="D62" s="179">
        <v>0.65</v>
      </c>
      <c r="E62" s="179">
        <v>0.65</v>
      </c>
      <c r="F62" s="348" t="s">
        <v>1656</v>
      </c>
      <c r="K62" s="36" t="s">
        <v>1864</v>
      </c>
      <c r="L62" s="35">
        <v>6727.0</v>
      </c>
      <c r="M62" s="36"/>
      <c r="N62" s="36" t="e">
        <v>#N/A</v>
      </c>
    </row>
    <row r="63">
      <c r="A63" s="78" t="s">
        <v>1865</v>
      </c>
      <c r="B63" s="25">
        <v>6727.0</v>
      </c>
      <c r="C63" s="136" t="s">
        <v>17004</v>
      </c>
      <c r="D63" s="179">
        <v>0.65</v>
      </c>
      <c r="E63" s="179">
        <v>0.65</v>
      </c>
      <c r="F63" s="348" t="s">
        <v>1656</v>
      </c>
      <c r="K63" s="36" t="s">
        <v>1865</v>
      </c>
      <c r="L63" s="35">
        <v>6727.0</v>
      </c>
      <c r="M63" s="36"/>
      <c r="N63" s="36" t="e">
        <v>#N/A</v>
      </c>
    </row>
    <row r="64">
      <c r="A64" s="78" t="s">
        <v>1866</v>
      </c>
      <c r="B64" s="25">
        <v>6727.0</v>
      </c>
      <c r="C64" s="136" t="s">
        <v>17004</v>
      </c>
      <c r="D64" s="179">
        <v>0.65</v>
      </c>
      <c r="E64" s="179">
        <v>0.65</v>
      </c>
      <c r="F64" s="348" t="s">
        <v>1656</v>
      </c>
      <c r="K64" s="36" t="s">
        <v>1866</v>
      </c>
      <c r="L64" s="35">
        <v>6727.0</v>
      </c>
      <c r="M64" s="36"/>
      <c r="N64" s="36" t="e">
        <v>#N/A</v>
      </c>
    </row>
    <row r="65">
      <c r="A65" s="78" t="s">
        <v>1867</v>
      </c>
      <c r="B65" s="25">
        <v>6727.0</v>
      </c>
      <c r="C65" s="136" t="s">
        <v>17004</v>
      </c>
      <c r="D65" s="179">
        <v>0.65</v>
      </c>
      <c r="E65" s="179">
        <v>0.65</v>
      </c>
      <c r="F65" s="348" t="s">
        <v>1656</v>
      </c>
      <c r="K65" s="36" t="s">
        <v>1867</v>
      </c>
      <c r="L65" s="35">
        <v>6727.0</v>
      </c>
      <c r="M65" s="36"/>
      <c r="N65" s="36" t="e">
        <v>#N/A</v>
      </c>
    </row>
    <row r="66">
      <c r="A66" s="78" t="s">
        <v>1868</v>
      </c>
      <c r="B66" s="25">
        <v>6727.0</v>
      </c>
      <c r="C66" s="136" t="s">
        <v>17004</v>
      </c>
      <c r="D66" s="179">
        <v>0.65</v>
      </c>
      <c r="E66" s="179">
        <v>0.65</v>
      </c>
      <c r="F66" s="348" t="s">
        <v>1656</v>
      </c>
      <c r="K66" s="36" t="s">
        <v>1868</v>
      </c>
      <c r="L66" s="35">
        <v>6727.0</v>
      </c>
      <c r="M66" s="36"/>
      <c r="N66" s="36" t="e">
        <v>#N/A</v>
      </c>
    </row>
    <row r="67">
      <c r="A67" s="78" t="s">
        <v>1869</v>
      </c>
      <c r="B67" s="25">
        <v>7040.0</v>
      </c>
      <c r="C67" s="136" t="s">
        <v>17004</v>
      </c>
      <c r="D67" s="179">
        <v>0.65</v>
      </c>
      <c r="E67" s="179">
        <v>0.65</v>
      </c>
      <c r="F67" s="348" t="s">
        <v>1656</v>
      </c>
      <c r="K67" s="36" t="s">
        <v>1869</v>
      </c>
      <c r="L67" s="35">
        <v>7040.0</v>
      </c>
      <c r="M67" s="36"/>
      <c r="N67" s="36" t="e">
        <v>#N/A</v>
      </c>
    </row>
    <row r="68">
      <c r="A68" s="78" t="s">
        <v>1871</v>
      </c>
      <c r="B68" s="25">
        <v>7168.0</v>
      </c>
      <c r="C68" s="136" t="s">
        <v>17004</v>
      </c>
      <c r="D68" s="179">
        <v>0.65</v>
      </c>
      <c r="E68" s="179">
        <v>0.65</v>
      </c>
      <c r="F68" s="348" t="s">
        <v>1656</v>
      </c>
      <c r="K68" s="36" t="s">
        <v>1871</v>
      </c>
      <c r="L68" s="35">
        <v>7168.0</v>
      </c>
      <c r="M68" s="35">
        <v>7098.0</v>
      </c>
      <c r="N68" s="36" t="e">
        <v>#N/A</v>
      </c>
    </row>
    <row r="69">
      <c r="A69" s="78" t="s">
        <v>1872</v>
      </c>
      <c r="B69" s="25">
        <v>7168.0</v>
      </c>
      <c r="C69" s="136" t="s">
        <v>17004</v>
      </c>
      <c r="D69" s="179">
        <v>0.65</v>
      </c>
      <c r="E69" s="179">
        <v>0.65</v>
      </c>
      <c r="F69" s="348" t="s">
        <v>1656</v>
      </c>
      <c r="K69" s="36" t="s">
        <v>1872</v>
      </c>
      <c r="L69" s="35">
        <v>7168.0</v>
      </c>
      <c r="M69" s="35">
        <v>7098.0</v>
      </c>
      <c r="N69" s="36" t="e">
        <v>#N/A</v>
      </c>
    </row>
    <row r="70">
      <c r="A70" s="78" t="s">
        <v>1873</v>
      </c>
      <c r="B70" s="250">
        <v>7023.0</v>
      </c>
      <c r="C70" s="136" t="s">
        <v>17004</v>
      </c>
      <c r="D70" s="179">
        <v>0.65</v>
      </c>
      <c r="E70" s="179">
        <v>0.65</v>
      </c>
      <c r="F70" s="348" t="s">
        <v>1656</v>
      </c>
      <c r="K70" s="36" t="s">
        <v>1873</v>
      </c>
      <c r="L70" s="251">
        <v>7023.0</v>
      </c>
      <c r="M70" s="36"/>
      <c r="N70" s="36" t="e">
        <v>#N/A</v>
      </c>
    </row>
    <row r="71">
      <c r="A71" s="78" t="s">
        <v>1874</v>
      </c>
      <c r="B71" s="25">
        <v>1360.0</v>
      </c>
      <c r="C71" s="136" t="s">
        <v>17004</v>
      </c>
      <c r="D71" s="179">
        <v>0.65</v>
      </c>
      <c r="E71" s="179">
        <v>0.65</v>
      </c>
      <c r="F71" s="348" t="s">
        <v>1656</v>
      </c>
      <c r="K71" s="36" t="s">
        <v>1874</v>
      </c>
      <c r="L71" s="35">
        <v>1360.0</v>
      </c>
      <c r="M71" s="36"/>
      <c r="N71" s="36" t="e">
        <v>#N/A</v>
      </c>
    </row>
    <row r="72">
      <c r="A72" s="78" t="s">
        <v>1875</v>
      </c>
      <c r="B72" s="252">
        <v>6697.0</v>
      </c>
      <c r="C72" s="136" t="s">
        <v>17004</v>
      </c>
      <c r="D72" s="179">
        <v>0.65</v>
      </c>
      <c r="E72" s="179">
        <v>0.65</v>
      </c>
      <c r="F72" s="348" t="s">
        <v>1656</v>
      </c>
      <c r="K72" s="36" t="s">
        <v>1875</v>
      </c>
      <c r="L72" s="124">
        <v>6697.0</v>
      </c>
      <c r="M72" s="36"/>
      <c r="N72" s="36" t="e">
        <v>#N/A</v>
      </c>
    </row>
    <row r="73">
      <c r="A73" s="78" t="s">
        <v>1876</v>
      </c>
      <c r="B73" s="25">
        <v>7157.0</v>
      </c>
      <c r="C73" s="136" t="s">
        <v>17004</v>
      </c>
      <c r="D73" s="179">
        <v>0.65</v>
      </c>
      <c r="E73" s="179">
        <v>0.65</v>
      </c>
      <c r="F73" s="348" t="s">
        <v>1656</v>
      </c>
      <c r="K73" s="18" t="s">
        <v>1876</v>
      </c>
      <c r="L73" s="11">
        <v>7157.0</v>
      </c>
      <c r="N73" s="18">
        <v>1.0</v>
      </c>
    </row>
    <row r="74">
      <c r="A74" s="78" t="s">
        <v>1878</v>
      </c>
      <c r="B74" s="25">
        <v>1742.0</v>
      </c>
      <c r="C74" s="136" t="s">
        <v>17004</v>
      </c>
      <c r="D74" s="179">
        <v>0.65</v>
      </c>
      <c r="E74" s="179">
        <v>0.65</v>
      </c>
      <c r="F74" s="348" t="s">
        <v>1656</v>
      </c>
      <c r="K74" s="36" t="s">
        <v>1878</v>
      </c>
      <c r="L74" s="35">
        <v>1742.0</v>
      </c>
      <c r="M74" s="36"/>
      <c r="N74" s="36" t="e">
        <v>#N/A</v>
      </c>
    </row>
    <row r="75">
      <c r="A75" s="78" t="s">
        <v>1879</v>
      </c>
      <c r="B75" s="252">
        <v>6780.0</v>
      </c>
      <c r="C75" s="136" t="s">
        <v>17004</v>
      </c>
      <c r="D75" s="179">
        <v>0.65</v>
      </c>
      <c r="E75" s="179">
        <v>0.65</v>
      </c>
      <c r="F75" s="348" t="s">
        <v>1656</v>
      </c>
      <c r="K75" s="36" t="s">
        <v>1879</v>
      </c>
      <c r="L75" s="124">
        <v>6780.0</v>
      </c>
      <c r="M75" s="36"/>
      <c r="N75" s="36" t="e">
        <v>#N/A</v>
      </c>
    </row>
    <row r="76">
      <c r="A76" s="78" t="s">
        <v>1880</v>
      </c>
      <c r="B76" s="25">
        <v>6732.0</v>
      </c>
      <c r="C76" s="136" t="s">
        <v>17004</v>
      </c>
      <c r="D76" s="179">
        <v>0.65</v>
      </c>
      <c r="E76" s="179">
        <v>0.65</v>
      </c>
      <c r="F76" s="348" t="s">
        <v>1656</v>
      </c>
      <c r="K76" s="36" t="s">
        <v>1880</v>
      </c>
      <c r="L76" s="35">
        <v>6732.0</v>
      </c>
      <c r="M76" s="36"/>
      <c r="N76" s="36" t="e">
        <v>#N/A</v>
      </c>
    </row>
    <row r="77">
      <c r="A77" s="78" t="s">
        <v>1881</v>
      </c>
      <c r="B77" s="25">
        <v>6732.0</v>
      </c>
      <c r="C77" s="136" t="s">
        <v>17004</v>
      </c>
      <c r="D77" s="179">
        <v>0.65</v>
      </c>
      <c r="E77" s="179">
        <v>0.65</v>
      </c>
      <c r="F77" s="348" t="s">
        <v>1656</v>
      </c>
      <c r="K77" s="36" t="s">
        <v>1881</v>
      </c>
      <c r="L77" s="35">
        <v>6732.0</v>
      </c>
      <c r="M77" s="36"/>
      <c r="N77" s="36" t="e">
        <v>#N/A</v>
      </c>
    </row>
    <row r="78">
      <c r="A78" s="78" t="s">
        <v>1882</v>
      </c>
      <c r="B78" s="25">
        <v>6732.0</v>
      </c>
      <c r="C78" s="136" t="s">
        <v>17004</v>
      </c>
      <c r="D78" s="179">
        <v>0.65</v>
      </c>
      <c r="E78" s="179">
        <v>0.65</v>
      </c>
      <c r="F78" s="348" t="s">
        <v>1656</v>
      </c>
      <c r="K78" s="36" t="s">
        <v>1882</v>
      </c>
      <c r="L78" s="35">
        <v>6732.0</v>
      </c>
      <c r="M78" s="36"/>
      <c r="N78" s="36" t="e">
        <v>#N/A</v>
      </c>
    </row>
    <row r="79">
      <c r="A79" s="78" t="s">
        <v>1884</v>
      </c>
      <c r="B79" s="25">
        <v>7246.0</v>
      </c>
      <c r="C79" s="136" t="s">
        <v>17004</v>
      </c>
      <c r="D79" s="179">
        <v>0.65</v>
      </c>
      <c r="E79" s="179">
        <v>0.65</v>
      </c>
      <c r="F79" s="348" t="s">
        <v>1656</v>
      </c>
      <c r="K79" s="18" t="s">
        <v>1884</v>
      </c>
      <c r="L79" s="11">
        <v>7246.0</v>
      </c>
      <c r="N79" s="18">
        <v>1.0</v>
      </c>
    </row>
    <row r="80">
      <c r="A80" s="78" t="s">
        <v>1885</v>
      </c>
      <c r="B80" s="42">
        <v>3381.0</v>
      </c>
      <c r="C80" s="136" t="s">
        <v>17004</v>
      </c>
      <c r="D80" s="179">
        <v>0.65</v>
      </c>
      <c r="E80" s="179">
        <v>0.65</v>
      </c>
      <c r="F80" s="348" t="s">
        <v>1656</v>
      </c>
      <c r="K80" s="18" t="s">
        <v>1885</v>
      </c>
      <c r="L80" s="16">
        <v>3381.0</v>
      </c>
      <c r="N80" s="18">
        <v>1.0</v>
      </c>
    </row>
    <row r="81">
      <c r="A81" s="78" t="s">
        <v>1887</v>
      </c>
      <c r="B81" s="25">
        <v>136.0</v>
      </c>
      <c r="C81" s="136" t="s">
        <v>17004</v>
      </c>
      <c r="D81" s="179">
        <v>0.65</v>
      </c>
      <c r="E81" s="179">
        <v>0.65</v>
      </c>
      <c r="F81" s="348" t="s">
        <v>1656</v>
      </c>
      <c r="K81" s="36" t="s">
        <v>1887</v>
      </c>
      <c r="L81" s="35">
        <v>136.0</v>
      </c>
      <c r="M81" s="36"/>
      <c r="N81" s="36" t="e">
        <v>#N/A</v>
      </c>
    </row>
    <row r="82">
      <c r="A82" s="78" t="s">
        <v>1888</v>
      </c>
      <c r="B82" s="25">
        <v>7008.0</v>
      </c>
      <c r="C82" s="136" t="s">
        <v>17004</v>
      </c>
      <c r="D82" s="179">
        <v>0.65</v>
      </c>
      <c r="E82" s="179">
        <v>0.65</v>
      </c>
      <c r="F82" s="348" t="s">
        <v>1656</v>
      </c>
      <c r="K82" s="36" t="s">
        <v>1888</v>
      </c>
      <c r="L82" s="35">
        <v>7008.0</v>
      </c>
      <c r="M82" s="36"/>
      <c r="N82" s="36" t="e">
        <v>#N/A</v>
      </c>
    </row>
    <row r="83">
      <c r="A83" s="78" t="s">
        <v>1890</v>
      </c>
      <c r="B83" s="25">
        <v>7008.0</v>
      </c>
      <c r="C83" s="136" t="s">
        <v>17004</v>
      </c>
      <c r="D83" s="179">
        <v>0.65</v>
      </c>
      <c r="E83" s="179">
        <v>0.65</v>
      </c>
      <c r="F83" s="348" t="s">
        <v>1656</v>
      </c>
      <c r="K83" s="36" t="s">
        <v>1890</v>
      </c>
      <c r="L83" s="35">
        <v>7008.0</v>
      </c>
      <c r="M83" s="36"/>
      <c r="N83" s="36" t="e">
        <v>#N/A</v>
      </c>
    </row>
    <row r="84">
      <c r="A84" s="78" t="s">
        <v>1891</v>
      </c>
      <c r="B84" s="332">
        <v>7283.0</v>
      </c>
      <c r="C84" s="136" t="s">
        <v>17004</v>
      </c>
      <c r="D84" s="179">
        <v>0.65</v>
      </c>
      <c r="E84" s="179">
        <v>0.65</v>
      </c>
      <c r="F84" s="348" t="s">
        <v>1656</v>
      </c>
      <c r="K84" s="36" t="s">
        <v>1891</v>
      </c>
      <c r="L84" s="333">
        <v>7283.0</v>
      </c>
      <c r="M84" s="36"/>
      <c r="N84" s="36" t="e">
        <v>#N/A</v>
      </c>
    </row>
    <row r="85">
      <c r="A85" s="78" t="s">
        <v>1892</v>
      </c>
      <c r="B85" s="25">
        <v>6965.0</v>
      </c>
      <c r="C85" s="136" t="s">
        <v>17004</v>
      </c>
      <c r="D85" s="179">
        <v>0.65</v>
      </c>
      <c r="E85" s="179">
        <v>0.65</v>
      </c>
      <c r="F85" s="348" t="s">
        <v>1656</v>
      </c>
      <c r="K85" s="36" t="s">
        <v>1892</v>
      </c>
      <c r="L85" s="35">
        <v>6965.0</v>
      </c>
      <c r="M85" s="36"/>
      <c r="N85" s="36" t="e">
        <v>#N/A</v>
      </c>
    </row>
    <row r="86">
      <c r="A86" s="78" t="s">
        <v>1893</v>
      </c>
      <c r="B86" s="25">
        <v>7055.0</v>
      </c>
      <c r="C86" s="136" t="s">
        <v>17004</v>
      </c>
      <c r="D86" s="179">
        <v>0.65</v>
      </c>
      <c r="E86" s="179">
        <v>0.65</v>
      </c>
      <c r="F86" s="348" t="s">
        <v>1656</v>
      </c>
      <c r="K86" s="36" t="s">
        <v>1893</v>
      </c>
      <c r="L86" s="35">
        <v>7055.0</v>
      </c>
      <c r="M86" s="36"/>
      <c r="N86" s="36" t="e">
        <v>#N/A</v>
      </c>
    </row>
    <row r="87">
      <c r="A87" s="78" t="s">
        <v>1894</v>
      </c>
      <c r="B87" s="25">
        <v>6722.0</v>
      </c>
      <c r="C87" s="136" t="s">
        <v>17004</v>
      </c>
      <c r="D87" s="179">
        <v>0.65</v>
      </c>
      <c r="E87" s="179">
        <v>0.65</v>
      </c>
      <c r="F87" s="348" t="s">
        <v>1656</v>
      </c>
      <c r="K87" s="36" t="s">
        <v>1894</v>
      </c>
      <c r="L87" s="35">
        <v>6722.0</v>
      </c>
      <c r="M87" s="36"/>
      <c r="N87" s="36" t="e">
        <v>#N/A</v>
      </c>
    </row>
    <row r="88">
      <c r="A88" s="231" t="s">
        <v>1895</v>
      </c>
      <c r="B88" s="175">
        <v>6729.0</v>
      </c>
      <c r="C88" s="136" t="s">
        <v>17004</v>
      </c>
      <c r="D88" s="179">
        <v>0.77</v>
      </c>
      <c r="E88" s="179">
        <v>0.77</v>
      </c>
      <c r="F88" s="348" t="s">
        <v>1656</v>
      </c>
      <c r="K88" s="18" t="s">
        <v>1895</v>
      </c>
      <c r="L88" s="11">
        <v>6729.0</v>
      </c>
      <c r="N88" s="18">
        <v>1.0</v>
      </c>
    </row>
    <row r="89">
      <c r="A89" s="78" t="s">
        <v>1896</v>
      </c>
      <c r="B89" s="25">
        <v>7010.0</v>
      </c>
      <c r="C89" s="136" t="s">
        <v>17004</v>
      </c>
      <c r="D89" s="179">
        <v>0.65</v>
      </c>
      <c r="E89" s="179">
        <v>0.65</v>
      </c>
      <c r="F89" s="348" t="s">
        <v>1656</v>
      </c>
      <c r="K89" s="18" t="s">
        <v>1896</v>
      </c>
      <c r="L89" s="11">
        <v>7010.0</v>
      </c>
      <c r="N89" s="18">
        <v>1.0</v>
      </c>
    </row>
    <row r="90">
      <c r="A90" s="78" t="s">
        <v>1897</v>
      </c>
      <c r="B90" s="25">
        <v>7010.0</v>
      </c>
      <c r="C90" s="136" t="s">
        <v>17004</v>
      </c>
      <c r="D90" s="179">
        <v>0.65</v>
      </c>
      <c r="E90" s="179">
        <v>0.65</v>
      </c>
      <c r="F90" s="348" t="s">
        <v>1656</v>
      </c>
      <c r="K90" s="36" t="s">
        <v>1897</v>
      </c>
      <c r="L90" s="35">
        <v>7010.0</v>
      </c>
      <c r="M90" s="36"/>
      <c r="N90" s="36" t="e">
        <v>#N/A</v>
      </c>
    </row>
    <row r="91">
      <c r="A91" s="78" t="s">
        <v>1898</v>
      </c>
      <c r="B91" s="25">
        <v>7010.0</v>
      </c>
      <c r="C91" s="136" t="s">
        <v>17004</v>
      </c>
      <c r="D91" s="179">
        <v>0.65</v>
      </c>
      <c r="E91" s="179">
        <v>0.65</v>
      </c>
      <c r="F91" s="348" t="s">
        <v>1656</v>
      </c>
      <c r="K91" s="36" t="s">
        <v>1898</v>
      </c>
      <c r="L91" s="35">
        <v>7010.0</v>
      </c>
      <c r="M91" s="36"/>
      <c r="N91" s="36" t="e">
        <v>#N/A</v>
      </c>
    </row>
    <row r="92">
      <c r="A92" s="78" t="s">
        <v>1899</v>
      </c>
      <c r="B92" s="25">
        <v>7051.0</v>
      </c>
      <c r="C92" s="136" t="s">
        <v>17004</v>
      </c>
      <c r="D92" s="179">
        <v>0.65</v>
      </c>
      <c r="E92" s="179">
        <v>0.65</v>
      </c>
      <c r="F92" s="348" t="s">
        <v>1656</v>
      </c>
      <c r="K92" s="36" t="s">
        <v>1899</v>
      </c>
      <c r="L92" s="35">
        <v>7051.0</v>
      </c>
      <c r="M92" s="36"/>
      <c r="N92" s="36" t="e">
        <v>#N/A</v>
      </c>
    </row>
    <row r="93">
      <c r="A93" s="78" t="s">
        <v>1900</v>
      </c>
      <c r="B93" s="25">
        <v>6928.0</v>
      </c>
      <c r="C93" s="136" t="s">
        <v>17004</v>
      </c>
      <c r="D93" s="179">
        <v>0.65</v>
      </c>
      <c r="E93" s="179">
        <v>0.65</v>
      </c>
      <c r="F93" s="348" t="s">
        <v>1656</v>
      </c>
      <c r="K93" s="36" t="s">
        <v>1900</v>
      </c>
      <c r="L93" s="35">
        <v>6928.0</v>
      </c>
      <c r="M93" s="36"/>
      <c r="N93" s="36" t="e">
        <v>#N/A</v>
      </c>
    </row>
    <row r="94">
      <c r="A94" s="78" t="s">
        <v>1901</v>
      </c>
      <c r="B94" s="25">
        <v>9363.0</v>
      </c>
      <c r="C94" s="136" t="s">
        <v>17004</v>
      </c>
      <c r="D94" s="179">
        <v>0.65</v>
      </c>
      <c r="E94" s="179">
        <v>0.65</v>
      </c>
      <c r="F94" s="348" t="s">
        <v>1656</v>
      </c>
      <c r="K94" s="18" t="s">
        <v>1901</v>
      </c>
      <c r="L94" s="11">
        <v>9363.0</v>
      </c>
      <c r="N94" s="18">
        <v>1.0</v>
      </c>
    </row>
    <row r="95">
      <c r="A95" s="78" t="s">
        <v>1902</v>
      </c>
      <c r="B95" s="25">
        <v>7104.0</v>
      </c>
      <c r="C95" s="136" t="s">
        <v>17004</v>
      </c>
      <c r="D95" s="179">
        <v>0.65</v>
      </c>
      <c r="E95" s="179">
        <v>0.65</v>
      </c>
      <c r="F95" s="348" t="s">
        <v>1656</v>
      </c>
      <c r="K95" s="36" t="s">
        <v>1902</v>
      </c>
      <c r="L95" s="35">
        <v>7104.0</v>
      </c>
      <c r="M95" s="36"/>
      <c r="N95" s="36" t="e">
        <v>#N/A</v>
      </c>
    </row>
    <row r="96">
      <c r="A96" s="231" t="s">
        <v>1903</v>
      </c>
      <c r="B96" s="175">
        <v>5125.0</v>
      </c>
      <c r="C96" s="136" t="s">
        <v>17004</v>
      </c>
      <c r="D96" s="179">
        <v>0.65</v>
      </c>
      <c r="E96" s="179">
        <v>0.65</v>
      </c>
      <c r="F96" s="348" t="s">
        <v>1656</v>
      </c>
      <c r="K96" s="18" t="s">
        <v>1903</v>
      </c>
      <c r="L96" s="11">
        <v>5125.0</v>
      </c>
      <c r="N96" s="18">
        <v>1.0</v>
      </c>
    </row>
    <row r="97">
      <c r="A97" s="231" t="s">
        <v>1904</v>
      </c>
      <c r="B97" s="175">
        <v>5125.0</v>
      </c>
      <c r="C97" s="136" t="s">
        <v>17004</v>
      </c>
      <c r="D97" s="179">
        <v>0.65</v>
      </c>
      <c r="E97" s="179">
        <v>0.65</v>
      </c>
      <c r="F97" s="348" t="s">
        <v>1656</v>
      </c>
      <c r="K97" s="18" t="s">
        <v>1904</v>
      </c>
      <c r="L97" s="11">
        <v>5125.0</v>
      </c>
      <c r="N97" s="18">
        <v>1.0</v>
      </c>
    </row>
    <row r="98">
      <c r="A98" s="78" t="s">
        <v>1905</v>
      </c>
      <c r="B98" s="25">
        <v>7142.0</v>
      </c>
      <c r="C98" s="136" t="s">
        <v>17004</v>
      </c>
      <c r="D98" s="179">
        <v>0.65</v>
      </c>
      <c r="E98" s="179">
        <v>0.65</v>
      </c>
      <c r="F98" s="348" t="s">
        <v>1656</v>
      </c>
      <c r="K98" s="18" t="s">
        <v>1905</v>
      </c>
      <c r="L98" s="11">
        <v>7142.0</v>
      </c>
      <c r="N98" s="18">
        <v>1.0</v>
      </c>
    </row>
    <row r="99">
      <c r="A99" s="78" t="s">
        <v>1906</v>
      </c>
      <c r="B99" s="25">
        <v>7132.0</v>
      </c>
      <c r="C99" s="136" t="s">
        <v>17004</v>
      </c>
      <c r="D99" s="179">
        <v>0.65</v>
      </c>
      <c r="E99" s="179">
        <v>0.65</v>
      </c>
      <c r="F99" s="348" t="s">
        <v>1656</v>
      </c>
      <c r="K99" s="36" t="s">
        <v>1906</v>
      </c>
      <c r="L99" s="35">
        <v>7132.0</v>
      </c>
      <c r="M99" s="36"/>
      <c r="N99" s="36" t="e">
        <v>#N/A</v>
      </c>
    </row>
    <row r="100">
      <c r="A100" s="78" t="s">
        <v>1907</v>
      </c>
      <c r="B100" s="25">
        <v>6728.0</v>
      </c>
      <c r="C100" s="136" t="s">
        <v>17004</v>
      </c>
      <c r="D100" s="179">
        <v>0.77</v>
      </c>
      <c r="E100" s="179">
        <v>0.77</v>
      </c>
      <c r="F100" s="348" t="s">
        <v>1656</v>
      </c>
      <c r="K100" s="18" t="s">
        <v>1907</v>
      </c>
      <c r="L100" s="11">
        <v>6728.0</v>
      </c>
      <c r="N100" s="18">
        <v>1.0</v>
      </c>
    </row>
    <row r="101">
      <c r="A101" s="78" t="s">
        <v>1908</v>
      </c>
      <c r="B101" s="25">
        <v>6722.0</v>
      </c>
      <c r="C101" s="136" t="s">
        <v>17004</v>
      </c>
      <c r="D101" s="179">
        <v>0.65</v>
      </c>
      <c r="E101" s="179">
        <v>0.65</v>
      </c>
      <c r="F101" s="348" t="s">
        <v>1656</v>
      </c>
      <c r="K101" s="36" t="s">
        <v>1908</v>
      </c>
      <c r="L101" s="35">
        <v>6722.0</v>
      </c>
      <c r="M101" s="36"/>
      <c r="N101" s="36" t="e">
        <v>#N/A</v>
      </c>
    </row>
    <row r="102">
      <c r="A102" s="78" t="s">
        <v>17005</v>
      </c>
      <c r="B102" s="25">
        <v>9363.0</v>
      </c>
      <c r="C102" s="136" t="s">
        <v>17004</v>
      </c>
      <c r="D102" s="179">
        <v>0.65</v>
      </c>
      <c r="E102" s="179">
        <v>0.65</v>
      </c>
      <c r="F102" s="348" t="s">
        <v>1656</v>
      </c>
      <c r="K102" s="36" t="s">
        <v>17005</v>
      </c>
      <c r="L102" s="35">
        <v>9363.0</v>
      </c>
      <c r="M102" s="36"/>
      <c r="N102" s="36" t="e">
        <v>#N/A</v>
      </c>
    </row>
    <row r="103">
      <c r="A103" s="78" t="s">
        <v>17006</v>
      </c>
      <c r="B103" s="25">
        <v>7747.0</v>
      </c>
      <c r="C103" s="136" t="s">
        <v>17004</v>
      </c>
      <c r="D103" s="179">
        <v>0.65</v>
      </c>
      <c r="E103" s="179">
        <v>0.65</v>
      </c>
      <c r="F103" s="348" t="s">
        <v>1656</v>
      </c>
      <c r="K103" s="36" t="s">
        <v>17006</v>
      </c>
      <c r="L103" s="35">
        <v>7747.0</v>
      </c>
      <c r="M103" s="36"/>
      <c r="N103" s="36" t="e">
        <v>#N/A</v>
      </c>
    </row>
    <row r="104">
      <c r="A104" s="78" t="s">
        <v>17007</v>
      </c>
      <c r="B104" s="25">
        <v>10141.0</v>
      </c>
      <c r="C104" s="136" t="s">
        <v>17004</v>
      </c>
      <c r="D104" s="179">
        <v>0.65</v>
      </c>
      <c r="E104" s="179">
        <v>0.65</v>
      </c>
      <c r="F104" s="348" t="s">
        <v>1656</v>
      </c>
      <c r="K104" s="36" t="s">
        <v>17007</v>
      </c>
      <c r="L104" s="35">
        <v>10141.0</v>
      </c>
      <c r="M104" s="36"/>
      <c r="N104" s="36" t="e">
        <v>#N/A</v>
      </c>
    </row>
    <row r="105">
      <c r="A105" s="78" t="s">
        <v>17008</v>
      </c>
      <c r="B105" s="25">
        <v>7416.0</v>
      </c>
      <c r="C105" s="136" t="s">
        <v>17004</v>
      </c>
      <c r="D105" s="179">
        <v>0.65</v>
      </c>
      <c r="E105" s="179">
        <v>0.65</v>
      </c>
      <c r="F105" s="348" t="s">
        <v>1656</v>
      </c>
      <c r="K105" s="36" t="s">
        <v>17008</v>
      </c>
      <c r="L105" s="35">
        <v>7416.0</v>
      </c>
      <c r="M105" s="36"/>
      <c r="N105" s="36" t="e">
        <v>#N/A</v>
      </c>
    </row>
    <row r="106">
      <c r="A106" s="78" t="s">
        <v>17009</v>
      </c>
      <c r="B106" s="25">
        <v>6774.0</v>
      </c>
      <c r="C106" s="136" t="s">
        <v>17004</v>
      </c>
      <c r="D106" s="179">
        <v>0.65</v>
      </c>
      <c r="E106" s="179">
        <v>0.65</v>
      </c>
      <c r="F106" s="348" t="s">
        <v>1656</v>
      </c>
      <c r="K106" s="18" t="s">
        <v>17009</v>
      </c>
      <c r="L106" s="11">
        <v>6774.0</v>
      </c>
      <c r="N106" s="18">
        <v>1.0</v>
      </c>
    </row>
    <row r="107">
      <c r="A107" s="78" t="s">
        <v>17010</v>
      </c>
      <c r="B107" s="25">
        <v>7183.0</v>
      </c>
      <c r="C107" s="136" t="s">
        <v>17004</v>
      </c>
      <c r="D107" s="179">
        <v>0.65</v>
      </c>
      <c r="E107" s="179">
        <v>0.65</v>
      </c>
      <c r="F107" s="348" t="s">
        <v>1656</v>
      </c>
      <c r="K107" s="36" t="s">
        <v>17010</v>
      </c>
      <c r="L107" s="35">
        <v>7183.0</v>
      </c>
      <c r="M107" s="36"/>
      <c r="N107" s="36" t="e">
        <v>#N/A</v>
      </c>
    </row>
    <row r="108">
      <c r="A108" s="78" t="s">
        <v>17011</v>
      </c>
      <c r="B108" s="25">
        <v>7186.0</v>
      </c>
      <c r="C108" s="136" t="s">
        <v>17004</v>
      </c>
      <c r="D108" s="179">
        <v>0.65</v>
      </c>
      <c r="E108" s="179">
        <v>0.65</v>
      </c>
      <c r="F108" s="348" t="s">
        <v>1656</v>
      </c>
      <c r="K108" s="36" t="s">
        <v>17011</v>
      </c>
      <c r="L108" s="35">
        <v>7186.0</v>
      </c>
      <c r="M108" s="36"/>
      <c r="N108" s="36" t="e">
        <v>#N/A</v>
      </c>
    </row>
    <row r="109">
      <c r="A109" s="78" t="s">
        <v>17012</v>
      </c>
      <c r="B109" s="25">
        <v>6989.0</v>
      </c>
      <c r="C109" s="136" t="s">
        <v>17004</v>
      </c>
      <c r="D109" s="179">
        <v>0.65</v>
      </c>
      <c r="E109" s="179">
        <v>0.65</v>
      </c>
      <c r="F109" s="348" t="s">
        <v>1656</v>
      </c>
      <c r="K109" s="36" t="s">
        <v>17012</v>
      </c>
      <c r="L109" s="35">
        <v>6989.0</v>
      </c>
      <c r="M109" s="36"/>
      <c r="N109" s="36" t="e">
        <v>#N/A</v>
      </c>
    </row>
    <row r="110">
      <c r="A110" s="78" t="s">
        <v>17013</v>
      </c>
      <c r="B110" s="25">
        <v>6143.0</v>
      </c>
      <c r="C110" s="136" t="s">
        <v>17004</v>
      </c>
      <c r="D110" s="179">
        <v>0.65</v>
      </c>
      <c r="E110" s="179">
        <v>0.65</v>
      </c>
      <c r="F110" s="348" t="s">
        <v>1656</v>
      </c>
      <c r="K110" s="36" t="s">
        <v>17013</v>
      </c>
      <c r="L110" s="35">
        <v>6143.0</v>
      </c>
      <c r="M110" s="36"/>
      <c r="N110" s="36" t="e">
        <v>#N/A</v>
      </c>
    </row>
    <row r="111">
      <c r="A111" s="78" t="s">
        <v>17014</v>
      </c>
      <c r="B111" s="25">
        <v>6936.0</v>
      </c>
      <c r="C111" s="136" t="s">
        <v>17004</v>
      </c>
      <c r="D111" s="179">
        <v>0.65</v>
      </c>
      <c r="E111" s="179">
        <v>0.65</v>
      </c>
      <c r="F111" s="348" t="s">
        <v>1656</v>
      </c>
      <c r="K111" s="36" t="s">
        <v>17014</v>
      </c>
      <c r="L111" s="35">
        <v>6936.0</v>
      </c>
      <c r="M111" s="36"/>
      <c r="N111" s="36" t="e">
        <v>#N/A</v>
      </c>
    </row>
    <row r="112">
      <c r="A112" s="78" t="s">
        <v>17015</v>
      </c>
      <c r="B112" s="25">
        <v>930.0</v>
      </c>
      <c r="C112" s="136" t="s">
        <v>17004</v>
      </c>
      <c r="D112" s="179">
        <v>0.65</v>
      </c>
      <c r="E112" s="179">
        <v>0.65</v>
      </c>
      <c r="F112" s="348" t="s">
        <v>1656</v>
      </c>
      <c r="K112" s="36" t="s">
        <v>17015</v>
      </c>
      <c r="L112" s="35">
        <v>930.0</v>
      </c>
      <c r="M112" s="36"/>
      <c r="N112" s="36" t="e">
        <v>#N/A</v>
      </c>
    </row>
    <row r="113">
      <c r="A113" s="78" t="s">
        <v>17016</v>
      </c>
      <c r="B113" s="25">
        <v>6893.0</v>
      </c>
      <c r="C113" s="136" t="s">
        <v>17004</v>
      </c>
      <c r="D113" s="179">
        <v>0.65</v>
      </c>
      <c r="E113" s="179">
        <v>0.65</v>
      </c>
      <c r="F113" s="348" t="s">
        <v>1656</v>
      </c>
      <c r="K113" s="36" t="s">
        <v>17016</v>
      </c>
      <c r="L113" s="35">
        <v>6893.0</v>
      </c>
      <c r="M113" s="36"/>
      <c r="N113" s="36" t="e">
        <v>#N/A</v>
      </c>
    </row>
    <row r="114">
      <c r="A114" s="78" t="s">
        <v>17017</v>
      </c>
      <c r="B114" s="25">
        <v>7036.0</v>
      </c>
      <c r="C114" s="136" t="s">
        <v>17004</v>
      </c>
      <c r="D114" s="179">
        <v>0.77</v>
      </c>
      <c r="E114" s="179">
        <v>0.77</v>
      </c>
      <c r="F114" s="348" t="s">
        <v>1656</v>
      </c>
      <c r="K114" s="36" t="s">
        <v>17017</v>
      </c>
      <c r="L114" s="35">
        <v>7036.0</v>
      </c>
      <c r="M114" s="36"/>
      <c r="N114" s="36" t="e">
        <v>#N/A</v>
      </c>
    </row>
    <row r="115">
      <c r="A115" s="78" t="s">
        <v>17018</v>
      </c>
      <c r="B115" s="25">
        <v>7036.0</v>
      </c>
      <c r="C115" s="136" t="s">
        <v>17004</v>
      </c>
      <c r="D115" s="179">
        <v>0.77</v>
      </c>
      <c r="E115" s="179">
        <v>0.77</v>
      </c>
      <c r="F115" s="348" t="s">
        <v>1656</v>
      </c>
      <c r="K115" s="36" t="s">
        <v>17018</v>
      </c>
      <c r="L115" s="35">
        <v>7036.0</v>
      </c>
      <c r="M115" s="36"/>
      <c r="N115" s="36" t="e">
        <v>#N/A</v>
      </c>
    </row>
    <row r="116">
      <c r="A116" s="78" t="s">
        <v>17019</v>
      </c>
      <c r="B116" s="25">
        <v>7036.0</v>
      </c>
      <c r="C116" s="136" t="s">
        <v>17004</v>
      </c>
      <c r="D116" s="179">
        <v>0.77</v>
      </c>
      <c r="E116" s="179">
        <v>0.77</v>
      </c>
      <c r="F116" s="348" t="s">
        <v>1656</v>
      </c>
      <c r="K116" s="36" t="s">
        <v>17019</v>
      </c>
      <c r="L116" s="35">
        <v>7036.0</v>
      </c>
      <c r="M116" s="36"/>
      <c r="N116" s="36" t="e">
        <v>#N/A</v>
      </c>
    </row>
    <row r="117">
      <c r="A117" s="78" t="s">
        <v>17020</v>
      </c>
      <c r="B117" s="25">
        <v>7036.0</v>
      </c>
      <c r="C117" s="136" t="s">
        <v>17004</v>
      </c>
      <c r="D117" s="179">
        <v>0.77</v>
      </c>
      <c r="E117" s="179">
        <v>0.77</v>
      </c>
      <c r="F117" s="348" t="s">
        <v>1656</v>
      </c>
      <c r="K117" s="18" t="s">
        <v>17020</v>
      </c>
      <c r="L117" s="11">
        <v>7036.0</v>
      </c>
      <c r="N117" s="18">
        <v>1.0</v>
      </c>
    </row>
    <row r="118">
      <c r="A118" s="78" t="s">
        <v>17021</v>
      </c>
      <c r="B118" s="25">
        <v>7036.0</v>
      </c>
      <c r="C118" s="136" t="s">
        <v>17004</v>
      </c>
      <c r="D118" s="179">
        <v>0.77</v>
      </c>
      <c r="E118" s="179">
        <v>0.77</v>
      </c>
      <c r="F118" s="348" t="s">
        <v>1656</v>
      </c>
      <c r="K118" s="36" t="s">
        <v>17021</v>
      </c>
      <c r="L118" s="35">
        <v>7036.0</v>
      </c>
      <c r="M118" s="36"/>
      <c r="N118" s="36" t="e">
        <v>#N/A</v>
      </c>
    </row>
    <row r="119">
      <c r="A119" s="78" t="s">
        <v>17022</v>
      </c>
      <c r="B119" s="25">
        <v>7036.0</v>
      </c>
      <c r="C119" s="136" t="s">
        <v>17004</v>
      </c>
      <c r="D119" s="179">
        <v>0.77</v>
      </c>
      <c r="E119" s="179">
        <v>0.77</v>
      </c>
      <c r="F119" s="348" t="s">
        <v>1656</v>
      </c>
      <c r="K119" s="36" t="s">
        <v>17022</v>
      </c>
      <c r="L119" s="35">
        <v>7036.0</v>
      </c>
      <c r="M119" s="36"/>
      <c r="N119" s="36" t="e">
        <v>#N/A</v>
      </c>
    </row>
    <row r="120">
      <c r="A120" s="78" t="s">
        <v>17023</v>
      </c>
      <c r="B120" s="25">
        <v>7036.0</v>
      </c>
      <c r="C120" s="136" t="s">
        <v>17004</v>
      </c>
      <c r="D120" s="179">
        <v>0.77</v>
      </c>
      <c r="E120" s="179">
        <v>0.77</v>
      </c>
      <c r="F120" s="348" t="s">
        <v>1656</v>
      </c>
      <c r="K120" s="36" t="s">
        <v>17023</v>
      </c>
      <c r="L120" s="35">
        <v>7036.0</v>
      </c>
      <c r="M120" s="36"/>
      <c r="N120" s="36" t="e">
        <v>#N/A</v>
      </c>
    </row>
    <row r="121">
      <c r="A121" s="78" t="s">
        <v>17024</v>
      </c>
      <c r="B121" s="25">
        <v>7036.0</v>
      </c>
      <c r="C121" s="136" t="s">
        <v>17004</v>
      </c>
      <c r="D121" s="179">
        <v>0.77</v>
      </c>
      <c r="E121" s="179">
        <v>0.77</v>
      </c>
      <c r="F121" s="348" t="s">
        <v>1656</v>
      </c>
      <c r="K121" s="36" t="s">
        <v>17024</v>
      </c>
      <c r="L121" s="35">
        <v>7036.0</v>
      </c>
      <c r="M121" s="36"/>
      <c r="N121" s="36" t="e">
        <v>#N/A</v>
      </c>
    </row>
    <row r="122">
      <c r="A122" s="78" t="s">
        <v>17025</v>
      </c>
      <c r="B122" s="25">
        <v>7036.0</v>
      </c>
      <c r="C122" s="136" t="s">
        <v>17004</v>
      </c>
      <c r="D122" s="179">
        <v>0.77</v>
      </c>
      <c r="E122" s="179">
        <v>0.77</v>
      </c>
      <c r="F122" s="348" t="s">
        <v>1656</v>
      </c>
      <c r="K122" s="36" t="s">
        <v>17025</v>
      </c>
      <c r="L122" s="35">
        <v>7036.0</v>
      </c>
      <c r="M122" s="36"/>
      <c r="N122" s="36" t="e">
        <v>#N/A</v>
      </c>
    </row>
    <row r="123">
      <c r="A123" s="78" t="s">
        <v>17026</v>
      </c>
      <c r="B123" s="25">
        <v>7036.0</v>
      </c>
      <c r="C123" s="136" t="s">
        <v>17004</v>
      </c>
      <c r="D123" s="179">
        <v>0.77</v>
      </c>
      <c r="E123" s="179">
        <v>0.77</v>
      </c>
      <c r="F123" s="348" t="s">
        <v>1656</v>
      </c>
      <c r="K123" s="36" t="s">
        <v>17026</v>
      </c>
      <c r="L123" s="35">
        <v>7036.0</v>
      </c>
      <c r="M123" s="36"/>
      <c r="N123" s="36" t="e">
        <v>#N/A</v>
      </c>
    </row>
    <row r="124">
      <c r="A124" s="78" t="s">
        <v>17027</v>
      </c>
      <c r="B124" s="25">
        <v>3689.0</v>
      </c>
      <c r="C124" s="136" t="s">
        <v>17004</v>
      </c>
      <c r="D124" s="179">
        <v>0.65</v>
      </c>
      <c r="E124" s="179">
        <v>0.65</v>
      </c>
      <c r="F124" s="348" t="s">
        <v>1656</v>
      </c>
      <c r="K124" s="36" t="s">
        <v>17027</v>
      </c>
      <c r="L124" s="35">
        <v>3689.0</v>
      </c>
      <c r="M124" s="36"/>
      <c r="N124" s="36" t="e">
        <v>#N/A</v>
      </c>
    </row>
    <row r="125">
      <c r="A125" s="78" t="s">
        <v>17028</v>
      </c>
      <c r="B125" s="25">
        <v>7100.0</v>
      </c>
      <c r="C125" s="136" t="s">
        <v>17004</v>
      </c>
      <c r="D125" s="179">
        <v>0.65</v>
      </c>
      <c r="E125" s="179">
        <v>0.65</v>
      </c>
      <c r="F125" s="348" t="s">
        <v>1656</v>
      </c>
      <c r="K125" s="36" t="s">
        <v>17028</v>
      </c>
      <c r="L125" s="35">
        <v>7100.0</v>
      </c>
      <c r="M125" s="36"/>
      <c r="N125" s="36" t="e">
        <v>#N/A</v>
      </c>
    </row>
    <row r="126">
      <c r="A126" s="231" t="s">
        <v>17029</v>
      </c>
      <c r="B126" s="175">
        <v>10856.0</v>
      </c>
      <c r="C126" s="136" t="s">
        <v>17004</v>
      </c>
      <c r="D126" s="179">
        <v>0.65</v>
      </c>
      <c r="E126" s="179">
        <v>0.65</v>
      </c>
      <c r="F126" s="348" t="s">
        <v>1656</v>
      </c>
      <c r="K126" s="18" t="s">
        <v>17029</v>
      </c>
      <c r="L126" s="11">
        <v>10856.0</v>
      </c>
      <c r="N126" s="18">
        <v>1.0</v>
      </c>
    </row>
    <row r="127">
      <c r="A127" s="78" t="s">
        <v>17030</v>
      </c>
      <c r="B127" s="25">
        <v>7129.0</v>
      </c>
      <c r="C127" s="136" t="s">
        <v>17004</v>
      </c>
      <c r="D127" s="179">
        <v>0.65</v>
      </c>
      <c r="E127" s="179">
        <v>0.65</v>
      </c>
      <c r="F127" s="348" t="s">
        <v>1656</v>
      </c>
      <c r="K127" s="36" t="s">
        <v>17030</v>
      </c>
      <c r="L127" s="35">
        <v>7129.0</v>
      </c>
      <c r="M127" s="36"/>
      <c r="N127" s="36" t="e">
        <v>#N/A</v>
      </c>
    </row>
    <row r="128">
      <c r="A128" s="78" t="s">
        <v>17031</v>
      </c>
      <c r="B128" s="25">
        <v>7229.0</v>
      </c>
      <c r="C128" s="136" t="s">
        <v>17004</v>
      </c>
      <c r="D128" s="179">
        <v>0.65</v>
      </c>
      <c r="E128" s="179">
        <v>0.65</v>
      </c>
      <c r="F128" s="348" t="s">
        <v>1656</v>
      </c>
      <c r="K128" s="36" t="s">
        <v>17031</v>
      </c>
      <c r="L128" s="35">
        <v>7229.0</v>
      </c>
      <c r="M128" s="36"/>
      <c r="N128" s="36" t="e">
        <v>#N/A</v>
      </c>
    </row>
    <row r="129">
      <c r="A129" s="78" t="s">
        <v>17032</v>
      </c>
      <c r="B129" s="25">
        <v>6669.0</v>
      </c>
      <c r="C129" s="136" t="s">
        <v>17004</v>
      </c>
      <c r="D129" s="179">
        <v>0.65</v>
      </c>
      <c r="E129" s="179">
        <v>0.65</v>
      </c>
      <c r="F129" s="348" t="s">
        <v>1656</v>
      </c>
      <c r="K129" s="36" t="s">
        <v>17032</v>
      </c>
      <c r="L129" s="35">
        <v>6669.0</v>
      </c>
      <c r="M129" s="36"/>
      <c r="N129" s="36" t="e">
        <v>#N/A</v>
      </c>
    </row>
    <row r="130">
      <c r="A130" s="78" t="s">
        <v>17033</v>
      </c>
      <c r="B130" s="25">
        <v>6669.0</v>
      </c>
      <c r="C130" s="136" t="s">
        <v>17004</v>
      </c>
      <c r="D130" s="179">
        <v>0.65</v>
      </c>
      <c r="E130" s="179">
        <v>0.65</v>
      </c>
      <c r="F130" s="348" t="s">
        <v>1656</v>
      </c>
      <c r="K130" s="36" t="s">
        <v>17033</v>
      </c>
      <c r="L130" s="35">
        <v>6669.0</v>
      </c>
      <c r="M130" s="36"/>
      <c r="N130" s="36" t="e">
        <v>#N/A</v>
      </c>
    </row>
    <row r="131">
      <c r="A131" s="78" t="s">
        <v>17034</v>
      </c>
      <c r="B131" s="25">
        <v>6669.0</v>
      </c>
      <c r="C131" s="136" t="s">
        <v>17004</v>
      </c>
      <c r="D131" s="179">
        <v>0.65</v>
      </c>
      <c r="E131" s="179">
        <v>0.65</v>
      </c>
      <c r="F131" s="348" t="s">
        <v>1656</v>
      </c>
      <c r="K131" s="36" t="s">
        <v>17034</v>
      </c>
      <c r="L131" s="35">
        <v>6669.0</v>
      </c>
      <c r="M131" s="36"/>
      <c r="N131" s="36" t="e">
        <v>#N/A</v>
      </c>
    </row>
    <row r="132">
      <c r="A132" s="78" t="s">
        <v>17035</v>
      </c>
      <c r="B132" s="25">
        <v>11708.0</v>
      </c>
      <c r="C132" s="136" t="s">
        <v>17004</v>
      </c>
      <c r="D132" s="179">
        <v>0.65</v>
      </c>
      <c r="E132" s="179">
        <v>0.65</v>
      </c>
      <c r="F132" s="348" t="s">
        <v>1656</v>
      </c>
      <c r="K132" s="36" t="s">
        <v>17035</v>
      </c>
      <c r="L132" s="35">
        <v>11708.0</v>
      </c>
      <c r="M132" s="36"/>
      <c r="N132" s="36" t="e">
        <v>#N/A</v>
      </c>
    </row>
    <row r="133">
      <c r="A133" s="78" t="s">
        <v>17036</v>
      </c>
      <c r="B133" s="25">
        <v>14065.0</v>
      </c>
      <c r="C133" s="136" t="s">
        <v>17004</v>
      </c>
      <c r="D133" s="179">
        <v>0.65</v>
      </c>
      <c r="E133" s="179">
        <v>0.65</v>
      </c>
      <c r="F133" s="348" t="s">
        <v>1656</v>
      </c>
      <c r="K133" s="36" t="s">
        <v>17036</v>
      </c>
      <c r="L133" s="35">
        <v>14065.0</v>
      </c>
      <c r="M133" s="36"/>
      <c r="N133" s="36" t="e">
        <v>#N/A</v>
      </c>
    </row>
    <row r="134">
      <c r="A134" s="78" t="s">
        <v>17037</v>
      </c>
      <c r="B134" s="25">
        <v>11104.0</v>
      </c>
      <c r="C134" s="136" t="s">
        <v>17004</v>
      </c>
      <c r="D134" s="179">
        <v>0.65</v>
      </c>
      <c r="E134" s="179">
        <v>0.65</v>
      </c>
      <c r="F134" s="348" t="s">
        <v>1656</v>
      </c>
      <c r="K134" s="36" t="s">
        <v>17037</v>
      </c>
      <c r="L134" s="35">
        <v>11104.0</v>
      </c>
      <c r="M134" s="36"/>
      <c r="N134" s="36" t="e">
        <v>#N/A</v>
      </c>
    </row>
    <row r="135">
      <c r="A135" s="78" t="s">
        <v>17038</v>
      </c>
      <c r="B135" s="25">
        <v>9746.0</v>
      </c>
      <c r="C135" s="136" t="s">
        <v>17004</v>
      </c>
      <c r="D135" s="179">
        <v>0.65</v>
      </c>
      <c r="E135" s="179">
        <v>0.65</v>
      </c>
      <c r="F135" s="348" t="s">
        <v>1656</v>
      </c>
      <c r="K135" s="36" t="s">
        <v>17038</v>
      </c>
      <c r="L135" s="35">
        <v>9746.0</v>
      </c>
      <c r="M135" s="36"/>
      <c r="N135" s="36" t="e">
        <v>#N/A</v>
      </c>
    </row>
    <row r="136">
      <c r="A136" s="78" t="s">
        <v>17039</v>
      </c>
      <c r="B136" s="25">
        <v>7137.0</v>
      </c>
      <c r="C136" s="136" t="s">
        <v>17004</v>
      </c>
      <c r="D136" s="179">
        <v>0.65</v>
      </c>
      <c r="E136" s="179">
        <v>0.65</v>
      </c>
      <c r="F136" s="348" t="s">
        <v>1656</v>
      </c>
      <c r="K136" s="18" t="s">
        <v>17039</v>
      </c>
      <c r="L136" s="11">
        <v>7137.0</v>
      </c>
      <c r="N136" s="18">
        <v>1.0</v>
      </c>
    </row>
    <row r="137">
      <c r="A137" s="78" t="s">
        <v>17040</v>
      </c>
      <c r="B137" s="25">
        <v>13952.0</v>
      </c>
      <c r="C137" s="136" t="s">
        <v>17004</v>
      </c>
      <c r="D137" s="179">
        <v>0.65</v>
      </c>
      <c r="E137" s="179">
        <v>0.65</v>
      </c>
      <c r="F137" s="348" t="s">
        <v>1656</v>
      </c>
      <c r="K137" s="36" t="s">
        <v>17040</v>
      </c>
      <c r="L137" s="35">
        <v>13952.0</v>
      </c>
      <c r="M137" s="36"/>
      <c r="N137" s="36" t="e">
        <v>#N/A</v>
      </c>
    </row>
    <row r="138">
      <c r="A138" s="78" t="s">
        <v>17041</v>
      </c>
      <c r="B138" s="25">
        <v>7414.0</v>
      </c>
      <c r="C138" s="136" t="s">
        <v>17004</v>
      </c>
      <c r="D138" s="179">
        <v>0.65</v>
      </c>
      <c r="E138" s="179">
        <v>0.65</v>
      </c>
      <c r="F138" s="348" t="s">
        <v>1656</v>
      </c>
      <c r="K138" s="36" t="s">
        <v>17041</v>
      </c>
      <c r="L138" s="35">
        <v>7414.0</v>
      </c>
      <c r="M138" s="36"/>
      <c r="N138" s="36" t="e">
        <v>#N/A</v>
      </c>
    </row>
    <row r="139">
      <c r="A139" s="78" t="s">
        <v>17042</v>
      </c>
      <c r="B139" s="25">
        <v>6903.0</v>
      </c>
      <c r="C139" s="136" t="s">
        <v>17004</v>
      </c>
      <c r="D139" s="179">
        <v>0.65</v>
      </c>
      <c r="E139" s="179">
        <v>0.65</v>
      </c>
      <c r="F139" s="348" t="s">
        <v>1656</v>
      </c>
      <c r="K139" s="36" t="s">
        <v>17042</v>
      </c>
      <c r="L139" s="35">
        <v>6903.0</v>
      </c>
      <c r="M139" s="36"/>
      <c r="N139" s="36" t="e">
        <v>#N/A</v>
      </c>
    </row>
    <row r="140">
      <c r="A140" s="78" t="s">
        <v>17043</v>
      </c>
      <c r="B140" s="252">
        <v>6802.0</v>
      </c>
      <c r="C140" s="136" t="s">
        <v>17004</v>
      </c>
      <c r="D140" s="179">
        <v>0.65</v>
      </c>
      <c r="E140" s="179">
        <v>0.65</v>
      </c>
      <c r="F140" s="348" t="s">
        <v>1656</v>
      </c>
      <c r="K140" s="18" t="s">
        <v>17043</v>
      </c>
      <c r="L140" s="122">
        <v>6802.0</v>
      </c>
      <c r="N140" s="18">
        <v>1.0</v>
      </c>
    </row>
    <row r="141">
      <c r="A141" s="78" t="s">
        <v>17044</v>
      </c>
      <c r="B141" s="25">
        <v>669.0</v>
      </c>
      <c r="C141" s="136" t="s">
        <v>17004</v>
      </c>
      <c r="D141" s="179">
        <v>0.65</v>
      </c>
      <c r="E141" s="179">
        <v>0.65</v>
      </c>
      <c r="F141" s="348" t="s">
        <v>1656</v>
      </c>
      <c r="K141" s="36" t="s">
        <v>17044</v>
      </c>
      <c r="L141" s="35">
        <v>669.0</v>
      </c>
      <c r="M141" s="36"/>
      <c r="N141" s="36" t="e">
        <v>#N/A</v>
      </c>
    </row>
    <row r="142">
      <c r="A142" s="78" t="s">
        <v>17045</v>
      </c>
      <c r="B142" s="25">
        <v>669.0</v>
      </c>
      <c r="C142" s="136" t="s">
        <v>17004</v>
      </c>
      <c r="D142" s="179">
        <v>0.65</v>
      </c>
      <c r="E142" s="179">
        <v>0.65</v>
      </c>
      <c r="F142" s="348" t="s">
        <v>1656</v>
      </c>
      <c r="K142" s="36" t="s">
        <v>17045</v>
      </c>
      <c r="L142" s="35">
        <v>669.0</v>
      </c>
      <c r="M142" s="36"/>
      <c r="N142" s="36" t="e">
        <v>#N/A</v>
      </c>
    </row>
    <row r="143">
      <c r="A143" s="78" t="s">
        <v>17046</v>
      </c>
      <c r="B143" s="25">
        <v>669.0</v>
      </c>
      <c r="C143" s="136" t="s">
        <v>17004</v>
      </c>
      <c r="D143" s="179">
        <v>0.65</v>
      </c>
      <c r="E143" s="179">
        <v>0.65</v>
      </c>
      <c r="F143" s="348" t="s">
        <v>1656</v>
      </c>
      <c r="K143" s="36" t="s">
        <v>17046</v>
      </c>
      <c r="L143" s="35">
        <v>669.0</v>
      </c>
      <c r="M143" s="36"/>
      <c r="N143" s="36" t="e">
        <v>#N/A</v>
      </c>
    </row>
    <row r="144">
      <c r="A144" s="78" t="s">
        <v>17047</v>
      </c>
      <c r="B144" s="25">
        <v>669.0</v>
      </c>
      <c r="C144" s="136" t="s">
        <v>17004</v>
      </c>
      <c r="D144" s="179">
        <v>0.65</v>
      </c>
      <c r="E144" s="179">
        <v>0.65</v>
      </c>
      <c r="F144" s="348" t="s">
        <v>1656</v>
      </c>
      <c r="K144" s="36" t="s">
        <v>17047</v>
      </c>
      <c r="L144" s="35">
        <v>669.0</v>
      </c>
      <c r="M144" s="36"/>
      <c r="N144" s="36" t="e">
        <v>#N/A</v>
      </c>
    </row>
    <row r="145">
      <c r="A145" s="231" t="s">
        <v>17048</v>
      </c>
      <c r="B145" s="175">
        <v>12550.0</v>
      </c>
      <c r="C145" s="136" t="s">
        <v>17004</v>
      </c>
      <c r="D145" s="179">
        <v>0.65</v>
      </c>
      <c r="E145" s="179">
        <v>0.65</v>
      </c>
      <c r="F145" s="348" t="s">
        <v>1656</v>
      </c>
      <c r="K145" s="18" t="s">
        <v>17048</v>
      </c>
      <c r="L145" s="11">
        <v>12550.0</v>
      </c>
      <c r="N145" s="18">
        <v>1.0</v>
      </c>
    </row>
    <row r="146">
      <c r="A146" s="231" t="s">
        <v>17049</v>
      </c>
      <c r="B146" s="175">
        <v>8486.0</v>
      </c>
      <c r="C146" s="136" t="s">
        <v>17004</v>
      </c>
      <c r="D146" s="179">
        <v>0.82</v>
      </c>
      <c r="E146" s="179">
        <v>0.82</v>
      </c>
      <c r="F146" s="348" t="s">
        <v>1656</v>
      </c>
      <c r="K146" s="18" t="s">
        <v>17049</v>
      </c>
      <c r="L146" s="11">
        <v>8486.0</v>
      </c>
      <c r="N146" s="18">
        <v>1.0</v>
      </c>
    </row>
    <row r="147">
      <c r="A147" s="78" t="s">
        <v>17050</v>
      </c>
      <c r="B147" s="25">
        <v>283.0</v>
      </c>
      <c r="C147" s="136" t="s">
        <v>17004</v>
      </c>
      <c r="D147" s="179">
        <v>0.65</v>
      </c>
      <c r="E147" s="179">
        <v>0.65</v>
      </c>
      <c r="F147" s="348" t="s">
        <v>1656</v>
      </c>
      <c r="K147" s="36" t="s">
        <v>17050</v>
      </c>
      <c r="L147" s="35">
        <v>283.0</v>
      </c>
      <c r="M147" s="36"/>
      <c r="N147" s="36" t="e">
        <v>#N/A</v>
      </c>
    </row>
    <row r="148">
      <c r="A148" s="78" t="s">
        <v>17051</v>
      </c>
      <c r="B148" s="25">
        <v>6658.0</v>
      </c>
      <c r="C148" s="136" t="s">
        <v>17004</v>
      </c>
      <c r="D148" s="179">
        <v>0.77</v>
      </c>
      <c r="E148" s="179">
        <v>0.77</v>
      </c>
      <c r="F148" s="348" t="s">
        <v>1656</v>
      </c>
      <c r="K148" s="18" t="s">
        <v>17051</v>
      </c>
      <c r="L148" s="11">
        <v>6658.0</v>
      </c>
      <c r="N148" s="18">
        <v>1.0</v>
      </c>
    </row>
    <row r="149">
      <c r="A149" s="231" t="s">
        <v>17052</v>
      </c>
      <c r="B149" s="175">
        <v>6706.0</v>
      </c>
      <c r="C149" s="136" t="s">
        <v>17004</v>
      </c>
      <c r="D149" s="179">
        <v>0.65</v>
      </c>
      <c r="E149" s="179">
        <v>0.65</v>
      </c>
      <c r="F149" s="348" t="s">
        <v>1656</v>
      </c>
      <c r="K149" s="18" t="s">
        <v>17052</v>
      </c>
      <c r="L149" s="11">
        <v>6706.0</v>
      </c>
      <c r="N149" s="18">
        <v>1.0</v>
      </c>
    </row>
    <row r="150">
      <c r="A150" s="78" t="s">
        <v>17053</v>
      </c>
      <c r="B150" s="42">
        <v>12553.0</v>
      </c>
      <c r="C150" s="136" t="s">
        <v>17004</v>
      </c>
      <c r="D150" s="179">
        <v>0.65</v>
      </c>
      <c r="E150" s="179">
        <v>0.65</v>
      </c>
      <c r="F150" s="348" t="s">
        <v>1656</v>
      </c>
      <c r="K150" s="36" t="s">
        <v>17053</v>
      </c>
      <c r="L150" s="43">
        <v>12553.0</v>
      </c>
      <c r="M150" s="36"/>
      <c r="N150" s="36" t="e">
        <v>#N/A</v>
      </c>
    </row>
    <row r="151">
      <c r="A151" s="230" t="s">
        <v>17054</v>
      </c>
      <c r="B151" s="106">
        <v>11875.0</v>
      </c>
      <c r="C151" s="136" t="s">
        <v>17004</v>
      </c>
      <c r="D151" s="179">
        <v>0.65</v>
      </c>
      <c r="E151" s="179">
        <v>0.65</v>
      </c>
      <c r="F151" s="348" t="s">
        <v>1656</v>
      </c>
      <c r="K151" s="18" t="s">
        <v>17054</v>
      </c>
      <c r="L151" s="11">
        <v>11875.0</v>
      </c>
      <c r="N151" s="18">
        <v>1.0</v>
      </c>
    </row>
    <row r="152">
      <c r="A152" s="78" t="s">
        <v>17055</v>
      </c>
      <c r="B152" s="25">
        <v>13829.0</v>
      </c>
      <c r="C152" s="136" t="s">
        <v>17004</v>
      </c>
      <c r="D152" s="179">
        <v>0.65</v>
      </c>
      <c r="E152" s="179">
        <v>0.65</v>
      </c>
      <c r="F152" s="348" t="s">
        <v>1656</v>
      </c>
      <c r="K152" s="36" t="s">
        <v>17055</v>
      </c>
      <c r="L152" s="35">
        <v>13829.0</v>
      </c>
      <c r="M152" s="36"/>
      <c r="N152" s="36" t="e">
        <v>#N/A</v>
      </c>
    </row>
    <row r="153">
      <c r="A153" s="78" t="s">
        <v>17056</v>
      </c>
      <c r="B153" s="25">
        <v>14065.0</v>
      </c>
      <c r="C153" s="136" t="s">
        <v>17004</v>
      </c>
      <c r="D153" s="179">
        <v>0.65</v>
      </c>
      <c r="E153" s="179">
        <v>0.65</v>
      </c>
      <c r="F153" s="348" t="s">
        <v>1656</v>
      </c>
      <c r="K153" s="36" t="s">
        <v>17056</v>
      </c>
      <c r="L153" s="35">
        <v>14065.0</v>
      </c>
      <c r="M153" s="36"/>
      <c r="N153" s="36" t="e">
        <v>#N/A</v>
      </c>
    </row>
    <row r="154">
      <c r="A154" s="78" t="s">
        <v>17057</v>
      </c>
      <c r="B154" s="25">
        <v>513.0</v>
      </c>
      <c r="C154" s="136" t="s">
        <v>17004</v>
      </c>
      <c r="D154" s="179">
        <v>0.65</v>
      </c>
      <c r="E154" s="179">
        <v>0.65</v>
      </c>
      <c r="F154" s="348" t="s">
        <v>1656</v>
      </c>
      <c r="K154" s="36" t="s">
        <v>17057</v>
      </c>
      <c r="L154" s="35">
        <v>513.0</v>
      </c>
      <c r="M154" s="36"/>
      <c r="N154" s="36" t="e">
        <v>#N/A</v>
      </c>
    </row>
    <row r="155">
      <c r="A155" s="78" t="s">
        <v>17058</v>
      </c>
      <c r="B155" s="25">
        <v>12609.0</v>
      </c>
      <c r="C155" s="136" t="s">
        <v>17004</v>
      </c>
      <c r="D155" s="179">
        <v>0.65</v>
      </c>
      <c r="E155" s="179">
        <v>0.65</v>
      </c>
      <c r="F155" s="348" t="s">
        <v>1656</v>
      </c>
      <c r="K155" s="36" t="s">
        <v>17058</v>
      </c>
      <c r="L155" s="35">
        <v>12609.0</v>
      </c>
      <c r="M155" s="36"/>
      <c r="N155" s="36" t="e">
        <v>#N/A</v>
      </c>
    </row>
    <row r="156">
      <c r="A156" s="78" t="s">
        <v>17059</v>
      </c>
      <c r="B156" s="25">
        <v>7847.0</v>
      </c>
      <c r="C156" s="136" t="s">
        <v>17004</v>
      </c>
      <c r="D156" s="179">
        <v>0.65</v>
      </c>
      <c r="E156" s="179">
        <v>0.65</v>
      </c>
      <c r="F156" s="348" t="s">
        <v>1656</v>
      </c>
      <c r="K156" s="18" t="s">
        <v>17059</v>
      </c>
      <c r="L156" s="11">
        <v>7847.0</v>
      </c>
      <c r="N156" s="18">
        <v>1.0</v>
      </c>
    </row>
    <row r="157">
      <c r="A157" s="78" t="s">
        <v>17060</v>
      </c>
      <c r="B157" s="25">
        <v>14337.0</v>
      </c>
      <c r="C157" s="136" t="s">
        <v>17004</v>
      </c>
      <c r="D157" s="179">
        <v>0.65</v>
      </c>
      <c r="E157" s="179">
        <v>0.65</v>
      </c>
      <c r="F157" s="348" t="s">
        <v>1656</v>
      </c>
      <c r="K157" s="36" t="s">
        <v>17060</v>
      </c>
      <c r="L157" s="35">
        <v>14337.0</v>
      </c>
      <c r="M157" s="36"/>
      <c r="N157" s="36" t="e">
        <v>#N/A</v>
      </c>
    </row>
    <row r="158">
      <c r="A158" s="231" t="s">
        <v>17061</v>
      </c>
      <c r="B158" s="175">
        <v>6722.0</v>
      </c>
      <c r="C158" s="136" t="s">
        <v>17004</v>
      </c>
      <c r="D158" s="179">
        <v>0.65</v>
      </c>
      <c r="E158" s="179">
        <v>0.65</v>
      </c>
      <c r="F158" s="348" t="s">
        <v>1656</v>
      </c>
      <c r="K158" s="36" t="s">
        <v>17061</v>
      </c>
      <c r="L158" s="36"/>
      <c r="M158" s="36"/>
      <c r="N158" s="36" t="e">
        <v>#N/A</v>
      </c>
    </row>
    <row r="159">
      <c r="A159" s="78" t="s">
        <v>17062</v>
      </c>
      <c r="B159" s="25">
        <v>5389.0</v>
      </c>
      <c r="C159" s="136" t="s">
        <v>17004</v>
      </c>
      <c r="D159" s="179">
        <v>0.65</v>
      </c>
      <c r="E159" s="179">
        <v>0.65</v>
      </c>
      <c r="F159" s="348" t="s">
        <v>1656</v>
      </c>
      <c r="K159" s="18" t="s">
        <v>17062</v>
      </c>
      <c r="L159" s="11">
        <v>5389.0</v>
      </c>
      <c r="N159" s="18">
        <v>1.0</v>
      </c>
    </row>
    <row r="160">
      <c r="A160" s="231" t="s">
        <v>17063</v>
      </c>
      <c r="B160" s="175">
        <v>6779.0</v>
      </c>
      <c r="C160" s="136" t="s">
        <v>17004</v>
      </c>
      <c r="D160" s="179">
        <v>0.65</v>
      </c>
      <c r="E160" s="179">
        <v>0.65</v>
      </c>
      <c r="F160" s="348" t="s">
        <v>1656</v>
      </c>
      <c r="K160" s="36" t="s">
        <v>17063</v>
      </c>
      <c r="L160" s="36"/>
      <c r="M160" s="36"/>
      <c r="N160" s="36" t="e">
        <v>#N/A</v>
      </c>
    </row>
    <row r="161">
      <c r="A161" s="78" t="s">
        <v>17064</v>
      </c>
      <c r="B161" s="25">
        <v>315.0</v>
      </c>
      <c r="C161" s="136" t="s">
        <v>17004</v>
      </c>
      <c r="D161" s="179">
        <v>0.65</v>
      </c>
      <c r="E161" s="179">
        <v>0.65</v>
      </c>
      <c r="F161" s="348" t="s">
        <v>1656</v>
      </c>
      <c r="K161" s="18" t="s">
        <v>17064</v>
      </c>
      <c r="L161" s="11">
        <v>315.0</v>
      </c>
      <c r="N161" s="18">
        <v>1.0</v>
      </c>
    </row>
    <row r="162">
      <c r="A162" s="231" t="s">
        <v>17065</v>
      </c>
      <c r="B162" s="175">
        <v>14507.0</v>
      </c>
      <c r="C162" s="136" t="s">
        <v>17004</v>
      </c>
      <c r="D162" s="179">
        <v>0.65</v>
      </c>
      <c r="E162" s="179">
        <v>0.65</v>
      </c>
      <c r="F162" s="348" t="s">
        <v>1656</v>
      </c>
      <c r="K162" s="36" t="s">
        <v>17065</v>
      </c>
      <c r="L162" s="36"/>
      <c r="M162" s="36"/>
      <c r="N162" s="36" t="e">
        <v>#N/A</v>
      </c>
    </row>
    <row r="163">
      <c r="A163" s="78" t="s">
        <v>17066</v>
      </c>
      <c r="B163" s="25">
        <v>14023.0</v>
      </c>
      <c r="C163" s="136" t="s">
        <v>17004</v>
      </c>
      <c r="D163" s="179">
        <v>0.65</v>
      </c>
      <c r="E163" s="179">
        <v>0.65</v>
      </c>
      <c r="F163" s="348" t="s">
        <v>1656</v>
      </c>
      <c r="K163" s="36" t="s">
        <v>17066</v>
      </c>
      <c r="L163" s="35">
        <v>14023.0</v>
      </c>
      <c r="M163" s="36"/>
      <c r="N163" s="36" t="e">
        <v>#N/A</v>
      </c>
    </row>
    <row r="164">
      <c r="A164" s="78" t="s">
        <v>17067</v>
      </c>
      <c r="B164" s="25">
        <v>6143.0</v>
      </c>
      <c r="C164" s="136" t="s">
        <v>17004</v>
      </c>
      <c r="D164" s="179">
        <v>0.65</v>
      </c>
      <c r="E164" s="179">
        <v>0.65</v>
      </c>
      <c r="F164" s="348" t="s">
        <v>1656</v>
      </c>
      <c r="K164" s="36" t="s">
        <v>17067</v>
      </c>
      <c r="L164" s="35">
        <v>6143.0</v>
      </c>
      <c r="M164" s="36"/>
      <c r="N164" s="36" t="e">
        <v>#N/A</v>
      </c>
    </row>
    <row r="165">
      <c r="A165" s="231" t="s">
        <v>17068</v>
      </c>
      <c r="B165" s="175">
        <v>6947.0</v>
      </c>
      <c r="C165" s="136" t="s">
        <v>17004</v>
      </c>
      <c r="D165" s="179">
        <v>0.65</v>
      </c>
      <c r="E165" s="179">
        <v>0.65</v>
      </c>
      <c r="F165" s="348" t="s">
        <v>1656</v>
      </c>
      <c r="K165" s="36" t="s">
        <v>17068</v>
      </c>
      <c r="L165" s="36"/>
      <c r="M165" s="36"/>
      <c r="N165" s="36" t="e">
        <v>#N/A</v>
      </c>
    </row>
    <row r="166">
      <c r="A166" s="78" t="s">
        <v>17069</v>
      </c>
      <c r="B166" s="25">
        <v>6785.0</v>
      </c>
      <c r="C166" s="136" t="s">
        <v>17004</v>
      </c>
      <c r="D166" s="179">
        <v>0.65</v>
      </c>
      <c r="E166" s="179">
        <v>0.65</v>
      </c>
      <c r="F166" s="348" t="s">
        <v>1656</v>
      </c>
      <c r="K166" s="18" t="s">
        <v>17069</v>
      </c>
      <c r="L166" s="11">
        <v>6785.0</v>
      </c>
      <c r="N166" s="18">
        <v>1.0</v>
      </c>
    </row>
    <row r="167">
      <c r="A167" s="231" t="s">
        <v>17070</v>
      </c>
      <c r="B167" s="175">
        <v>14659.0</v>
      </c>
      <c r="C167" s="136" t="s">
        <v>17004</v>
      </c>
      <c r="D167" s="179">
        <v>0.65</v>
      </c>
      <c r="E167" s="179">
        <v>0.65</v>
      </c>
      <c r="F167" s="348" t="s">
        <v>1656</v>
      </c>
      <c r="K167" s="36" t="s">
        <v>17070</v>
      </c>
      <c r="L167" s="36"/>
      <c r="M167" s="36"/>
      <c r="N167" s="36" t="e">
        <v>#N/A</v>
      </c>
    </row>
    <row r="168">
      <c r="A168" s="231" t="s">
        <v>17071</v>
      </c>
      <c r="B168" s="175">
        <v>6668.0</v>
      </c>
      <c r="C168" s="136" t="s">
        <v>17004</v>
      </c>
      <c r="D168" s="179">
        <v>0.65</v>
      </c>
      <c r="E168" s="179">
        <v>0.65</v>
      </c>
      <c r="F168" s="348" t="s">
        <v>1656</v>
      </c>
      <c r="K168" s="36" t="s">
        <v>17071</v>
      </c>
      <c r="L168" s="36"/>
      <c r="M168" s="36"/>
      <c r="N168" s="36" t="e">
        <v>#N/A</v>
      </c>
    </row>
    <row r="169">
      <c r="A169" s="231" t="s">
        <v>17072</v>
      </c>
      <c r="B169" s="175">
        <v>6668.0</v>
      </c>
      <c r="C169" s="136" t="s">
        <v>17004</v>
      </c>
      <c r="D169" s="179">
        <v>0.65</v>
      </c>
      <c r="E169" s="179">
        <v>0.65</v>
      </c>
      <c r="F169" s="348" t="s">
        <v>1656</v>
      </c>
      <c r="K169" s="36" t="s">
        <v>17072</v>
      </c>
      <c r="L169" s="36"/>
      <c r="M169" s="36"/>
      <c r="N169" s="36" t="e">
        <v>#N/A</v>
      </c>
    </row>
    <row r="170">
      <c r="A170" s="78" t="s">
        <v>17073</v>
      </c>
      <c r="B170" s="25">
        <v>6924.0</v>
      </c>
      <c r="C170" s="136" t="s">
        <v>17004</v>
      </c>
      <c r="D170" s="179">
        <v>0.65</v>
      </c>
      <c r="E170" s="179">
        <v>0.65</v>
      </c>
      <c r="F170" s="348" t="s">
        <v>1656</v>
      </c>
      <c r="K170" s="18" t="s">
        <v>17073</v>
      </c>
      <c r="L170" s="11">
        <v>6924.0</v>
      </c>
      <c r="N170" s="18">
        <v>1.0</v>
      </c>
    </row>
    <row r="171">
      <c r="A171" s="231" t="s">
        <v>17074</v>
      </c>
      <c r="B171" s="175">
        <v>7083.0</v>
      </c>
      <c r="C171" s="136" t="s">
        <v>17004</v>
      </c>
      <c r="D171" s="179">
        <v>0.65</v>
      </c>
      <c r="E171" s="179">
        <v>0.65</v>
      </c>
      <c r="F171" s="348" t="s">
        <v>1656</v>
      </c>
      <c r="K171" s="18" t="s">
        <v>17074</v>
      </c>
      <c r="L171" s="11">
        <v>7083.0</v>
      </c>
      <c r="N171" s="18">
        <v>1.0</v>
      </c>
    </row>
    <row r="172">
      <c r="A172" s="231" t="s">
        <v>17075</v>
      </c>
      <c r="B172" s="175">
        <v>14580.0</v>
      </c>
      <c r="C172" s="136" t="s">
        <v>17004</v>
      </c>
      <c r="D172" s="179">
        <v>0.65</v>
      </c>
      <c r="E172" s="179">
        <v>0.65</v>
      </c>
      <c r="F172" s="348" t="s">
        <v>1656</v>
      </c>
      <c r="K172" s="36" t="s">
        <v>17075</v>
      </c>
      <c r="L172" s="36"/>
      <c r="M172" s="36"/>
      <c r="N172" s="36" t="e">
        <v>#N/A</v>
      </c>
    </row>
    <row r="173">
      <c r="A173" s="231" t="s">
        <v>17076</v>
      </c>
      <c r="B173" s="175">
        <v>6873.0</v>
      </c>
      <c r="C173" s="136" t="s">
        <v>17004</v>
      </c>
      <c r="D173" s="179">
        <v>0.65</v>
      </c>
      <c r="E173" s="179">
        <v>0.65</v>
      </c>
      <c r="F173" s="348" t="s">
        <v>1656</v>
      </c>
      <c r="K173" s="36" t="s">
        <v>17076</v>
      </c>
      <c r="L173" s="36"/>
      <c r="M173" s="36"/>
      <c r="N173" s="36" t="e">
        <v>#N/A</v>
      </c>
    </row>
    <row r="174">
      <c r="A174" s="230" t="s">
        <v>17077</v>
      </c>
      <c r="B174" s="16">
        <v>14465.0</v>
      </c>
      <c r="C174" s="136" t="s">
        <v>17004</v>
      </c>
      <c r="D174" s="179">
        <v>0.9</v>
      </c>
      <c r="E174" s="179">
        <v>0.9</v>
      </c>
      <c r="F174" s="348" t="s">
        <v>1656</v>
      </c>
      <c r="K174" s="36" t="s">
        <v>17077</v>
      </c>
      <c r="L174" s="36"/>
      <c r="M174" s="36"/>
      <c r="N174" s="36" t="e">
        <v>#N/A</v>
      </c>
    </row>
    <row r="175">
      <c r="A175" s="78" t="s">
        <v>17078</v>
      </c>
      <c r="B175" s="25">
        <v>10923.0</v>
      </c>
      <c r="C175" s="136" t="s">
        <v>17004</v>
      </c>
      <c r="D175" s="179">
        <v>0.65</v>
      </c>
      <c r="E175" s="179">
        <v>0.65</v>
      </c>
      <c r="F175" s="348" t="s">
        <v>1656</v>
      </c>
      <c r="K175" s="18" t="s">
        <v>17078</v>
      </c>
      <c r="L175" s="11">
        <v>10923.0</v>
      </c>
      <c r="N175" s="18">
        <v>1.0</v>
      </c>
    </row>
    <row r="176">
      <c r="A176" s="231" t="s">
        <v>17079</v>
      </c>
      <c r="B176" s="195">
        <v>14646.0</v>
      </c>
      <c r="C176" s="136" t="s">
        <v>17004</v>
      </c>
      <c r="D176" s="179">
        <v>0.65</v>
      </c>
      <c r="E176" s="179">
        <v>0.65</v>
      </c>
      <c r="F176" s="348" t="s">
        <v>1656</v>
      </c>
      <c r="K176" s="36" t="s">
        <v>17079</v>
      </c>
      <c r="L176" s="36"/>
      <c r="M176" s="36"/>
      <c r="N176" s="36" t="e">
        <v>#N/A</v>
      </c>
    </row>
    <row r="177">
      <c r="A177" s="231" t="s">
        <v>17080</v>
      </c>
      <c r="B177" s="175">
        <v>14529.0</v>
      </c>
      <c r="C177" s="136" t="s">
        <v>17004</v>
      </c>
      <c r="D177" s="179">
        <v>0.65</v>
      </c>
      <c r="E177" s="179">
        <v>0.65</v>
      </c>
      <c r="F177" s="348" t="s">
        <v>1656</v>
      </c>
      <c r="K177" s="36" t="s">
        <v>17080</v>
      </c>
      <c r="L177" s="36"/>
      <c r="M177" s="36"/>
      <c r="N177" s="36" t="e">
        <v>#N/A</v>
      </c>
    </row>
    <row r="178">
      <c r="A178" s="231" t="s">
        <v>17081</v>
      </c>
      <c r="B178" s="16">
        <v>14465.0</v>
      </c>
      <c r="C178" s="136" t="s">
        <v>17004</v>
      </c>
      <c r="D178" s="179">
        <v>0.9</v>
      </c>
      <c r="E178" s="179">
        <v>0.9</v>
      </c>
      <c r="F178" s="348" t="s">
        <v>1656</v>
      </c>
      <c r="K178" s="36" t="s">
        <v>17081</v>
      </c>
      <c r="L178" s="36"/>
      <c r="M178" s="36"/>
      <c r="N178" s="36" t="e">
        <v>#N/A</v>
      </c>
    </row>
    <row r="179">
      <c r="A179" s="231" t="s">
        <v>17082</v>
      </c>
      <c r="B179" s="16">
        <v>14732.0</v>
      </c>
      <c r="C179" s="136" t="s">
        <v>17004</v>
      </c>
      <c r="D179" s="179">
        <v>0.65</v>
      </c>
      <c r="E179" s="179">
        <v>0.65</v>
      </c>
      <c r="F179" s="348" t="s">
        <v>1656</v>
      </c>
      <c r="K179" s="36" t="s">
        <v>17082</v>
      </c>
      <c r="L179" s="36"/>
      <c r="M179" s="36"/>
      <c r="N179" s="36" t="e">
        <v>#N/A</v>
      </c>
    </row>
    <row r="180">
      <c r="A180" s="78" t="s">
        <v>17083</v>
      </c>
      <c r="B180" s="25">
        <v>2095.0</v>
      </c>
      <c r="C180" s="136" t="s">
        <v>17004</v>
      </c>
      <c r="D180" s="179">
        <v>0.65</v>
      </c>
      <c r="E180" s="179">
        <v>0.65</v>
      </c>
      <c r="F180" s="348" t="s">
        <v>1656</v>
      </c>
      <c r="K180" s="36" t="s">
        <v>17083</v>
      </c>
      <c r="L180" s="35">
        <v>2095.0</v>
      </c>
      <c r="M180" s="36"/>
      <c r="N180" s="36" t="e">
        <v>#N/A</v>
      </c>
    </row>
    <row r="181">
      <c r="A181" s="78" t="s">
        <v>17084</v>
      </c>
      <c r="B181" s="25">
        <v>2095.0</v>
      </c>
      <c r="C181" s="136" t="s">
        <v>17004</v>
      </c>
      <c r="D181" s="179">
        <v>0.65</v>
      </c>
      <c r="E181" s="179">
        <v>0.65</v>
      </c>
      <c r="F181" s="348" t="s">
        <v>1656</v>
      </c>
      <c r="K181" s="36" t="s">
        <v>17084</v>
      </c>
      <c r="L181" s="35">
        <v>2095.0</v>
      </c>
      <c r="M181" s="36"/>
      <c r="N181" s="36" t="e">
        <v>#N/A</v>
      </c>
    </row>
    <row r="182">
      <c r="A182" s="231" t="s">
        <v>17085</v>
      </c>
      <c r="B182" s="231"/>
      <c r="C182" s="136" t="s">
        <v>17004</v>
      </c>
      <c r="D182" s="179">
        <v>0.65</v>
      </c>
      <c r="E182" s="179">
        <v>0.65</v>
      </c>
      <c r="F182" s="348" t="s">
        <v>1656</v>
      </c>
      <c r="K182" s="36" t="s">
        <v>17085</v>
      </c>
      <c r="L182" s="36"/>
      <c r="M182" s="36"/>
      <c r="N182" s="36" t="e">
        <v>#N/A</v>
      </c>
    </row>
    <row r="183">
      <c r="A183" s="231" t="s">
        <v>17086</v>
      </c>
      <c r="B183" s="175">
        <v>9645.0</v>
      </c>
      <c r="C183" s="136" t="s">
        <v>17004</v>
      </c>
      <c r="D183" s="179">
        <v>0.65</v>
      </c>
      <c r="E183" s="179">
        <v>0.65</v>
      </c>
      <c r="F183" s="348" t="s">
        <v>1656</v>
      </c>
      <c r="K183" s="36" t="s">
        <v>17086</v>
      </c>
      <c r="L183" s="36"/>
      <c r="M183" s="36"/>
      <c r="N183" s="36" t="e">
        <v>#N/A</v>
      </c>
    </row>
    <row r="184">
      <c r="A184" s="231" t="s">
        <v>17087</v>
      </c>
      <c r="B184" s="231"/>
      <c r="C184" s="136" t="s">
        <v>17004</v>
      </c>
      <c r="D184" s="179">
        <v>0.65</v>
      </c>
      <c r="E184" s="179">
        <v>0.65</v>
      </c>
      <c r="F184" s="348" t="s">
        <v>1656</v>
      </c>
      <c r="K184" s="36" t="s">
        <v>17087</v>
      </c>
      <c r="L184" s="36"/>
      <c r="M184" s="36"/>
      <c r="N184" s="36" t="e">
        <v>#N/A</v>
      </c>
    </row>
    <row r="185">
      <c r="A185" s="78" t="s">
        <v>17088</v>
      </c>
      <c r="B185" s="25">
        <v>12932.0</v>
      </c>
      <c r="C185" s="136" t="s">
        <v>17004</v>
      </c>
      <c r="D185" s="179">
        <v>0.65</v>
      </c>
      <c r="E185" s="179">
        <v>0.65</v>
      </c>
      <c r="F185" s="348" t="s">
        <v>1656</v>
      </c>
      <c r="K185" s="18" t="s">
        <v>17088</v>
      </c>
      <c r="L185" s="11">
        <v>12932.0</v>
      </c>
      <c r="N185" s="18">
        <v>1.0</v>
      </c>
    </row>
    <row r="186">
      <c r="A186" s="231" t="s">
        <v>17089</v>
      </c>
      <c r="B186" s="231"/>
      <c r="C186" s="136" t="s">
        <v>17004</v>
      </c>
      <c r="D186" s="179">
        <v>0.65</v>
      </c>
      <c r="E186" s="179">
        <v>0.65</v>
      </c>
      <c r="F186" s="348" t="s">
        <v>1656</v>
      </c>
      <c r="K186" s="36" t="s">
        <v>17089</v>
      </c>
      <c r="L186" s="36"/>
      <c r="M186" s="36"/>
      <c r="N186" s="36" t="e">
        <v>#N/A</v>
      </c>
    </row>
    <row r="187">
      <c r="A187" s="78" t="s">
        <v>17090</v>
      </c>
      <c r="B187" s="25">
        <v>14248.0</v>
      </c>
      <c r="C187" s="136" t="s">
        <v>17004</v>
      </c>
      <c r="D187" s="179">
        <v>0.65</v>
      </c>
      <c r="E187" s="179">
        <v>0.65</v>
      </c>
      <c r="F187" s="348" t="s">
        <v>1656</v>
      </c>
      <c r="K187" s="36" t="s">
        <v>17090</v>
      </c>
      <c r="L187" s="35">
        <v>14248.0</v>
      </c>
      <c r="M187" s="36"/>
      <c r="N187" s="36" t="e">
        <v>#N/A</v>
      </c>
    </row>
    <row r="188">
      <c r="A188" s="231" t="s">
        <v>17091</v>
      </c>
      <c r="B188" s="175">
        <v>189.0</v>
      </c>
      <c r="C188" s="136" t="s">
        <v>17004</v>
      </c>
      <c r="D188" s="179">
        <v>0.9</v>
      </c>
      <c r="E188" s="179">
        <v>0.9</v>
      </c>
      <c r="F188" s="348" t="s">
        <v>1656</v>
      </c>
      <c r="K188" s="36" t="s">
        <v>17091</v>
      </c>
      <c r="L188" s="36"/>
      <c r="M188" s="36"/>
      <c r="N188" s="36" t="e">
        <v>#N/A</v>
      </c>
    </row>
    <row r="189">
      <c r="A189" s="231" t="s">
        <v>17092</v>
      </c>
      <c r="B189" s="175">
        <v>189.0</v>
      </c>
      <c r="C189" s="136" t="s">
        <v>17004</v>
      </c>
      <c r="D189" s="179">
        <v>0.9</v>
      </c>
      <c r="E189" s="179">
        <v>0.9</v>
      </c>
      <c r="F189" s="348" t="s">
        <v>1656</v>
      </c>
      <c r="K189" s="36" t="s">
        <v>17092</v>
      </c>
      <c r="L189" s="36"/>
      <c r="M189" s="36"/>
      <c r="N189" s="36" t="e">
        <v>#N/A</v>
      </c>
    </row>
    <row r="190">
      <c r="A190" s="78" t="s">
        <v>17093</v>
      </c>
      <c r="B190" s="25">
        <v>6106.0</v>
      </c>
      <c r="C190" s="136" t="s">
        <v>17004</v>
      </c>
      <c r="D190" s="179">
        <v>0.65</v>
      </c>
      <c r="E190" s="179">
        <v>0.65</v>
      </c>
      <c r="F190" s="348" t="s">
        <v>1656</v>
      </c>
      <c r="K190" s="36" t="s">
        <v>17093</v>
      </c>
      <c r="L190" s="35">
        <v>6106.0</v>
      </c>
      <c r="M190" s="36"/>
      <c r="N190" s="36" t="e">
        <v>#N/A</v>
      </c>
    </row>
    <row r="191">
      <c r="A191" s="231" t="s">
        <v>17094</v>
      </c>
      <c r="B191" s="175">
        <v>6924.0</v>
      </c>
      <c r="C191" s="136" t="s">
        <v>17004</v>
      </c>
      <c r="D191" s="179">
        <v>0.65</v>
      </c>
      <c r="E191" s="179">
        <v>0.65</v>
      </c>
      <c r="F191" s="348" t="s">
        <v>1656</v>
      </c>
      <c r="K191" s="18" t="s">
        <v>17094</v>
      </c>
      <c r="L191" s="11">
        <v>6924.0</v>
      </c>
      <c r="N191" s="18">
        <v>1.0</v>
      </c>
    </row>
    <row r="192">
      <c r="A192" s="231" t="s">
        <v>17095</v>
      </c>
      <c r="B192" s="175">
        <v>14525.0</v>
      </c>
      <c r="C192" s="136" t="s">
        <v>17004</v>
      </c>
      <c r="D192" s="179">
        <v>0.65</v>
      </c>
      <c r="E192" s="179">
        <v>0.65</v>
      </c>
      <c r="F192" s="348" t="s">
        <v>1656</v>
      </c>
      <c r="K192" s="36" t="s">
        <v>17095</v>
      </c>
      <c r="L192" s="36"/>
      <c r="M192" s="36"/>
      <c r="N192" s="36" t="e">
        <v>#N/A</v>
      </c>
    </row>
    <row r="193">
      <c r="A193" s="231" t="s">
        <v>17096</v>
      </c>
      <c r="B193" s="175">
        <v>14076.0</v>
      </c>
      <c r="C193" s="136" t="s">
        <v>17004</v>
      </c>
      <c r="D193" s="179">
        <v>0.65</v>
      </c>
      <c r="E193" s="179">
        <v>0.65</v>
      </c>
      <c r="F193" s="348" t="s">
        <v>1656</v>
      </c>
      <c r="K193" s="36" t="s">
        <v>17096</v>
      </c>
      <c r="L193" s="36"/>
      <c r="M193" s="36"/>
      <c r="N193" s="36" t="e">
        <v>#N/A</v>
      </c>
    </row>
    <row r="194">
      <c r="A194" s="231" t="s">
        <v>17097</v>
      </c>
      <c r="B194" s="175">
        <v>14516.0</v>
      </c>
      <c r="C194" s="136" t="s">
        <v>17004</v>
      </c>
      <c r="D194" s="179">
        <v>0.65</v>
      </c>
      <c r="E194" s="179">
        <v>0.65</v>
      </c>
      <c r="F194" s="348" t="s">
        <v>1656</v>
      </c>
      <c r="K194" s="36" t="s">
        <v>17097</v>
      </c>
      <c r="L194" s="36"/>
      <c r="M194" s="36"/>
      <c r="N194" s="36" t="e">
        <v>#N/A</v>
      </c>
    </row>
    <row r="195">
      <c r="A195" s="78" t="s">
        <v>17098</v>
      </c>
      <c r="B195" s="25">
        <v>14482.0</v>
      </c>
      <c r="C195" s="136" t="s">
        <v>17004</v>
      </c>
      <c r="D195" s="179">
        <v>0.65</v>
      </c>
      <c r="E195" s="179">
        <v>0.65</v>
      </c>
      <c r="F195" s="348" t="s">
        <v>1656</v>
      </c>
      <c r="K195" s="36" t="s">
        <v>17098</v>
      </c>
      <c r="L195" s="35">
        <v>4193.0</v>
      </c>
      <c r="M195" s="36"/>
      <c r="N195" s="36" t="e">
        <v>#N/A</v>
      </c>
    </row>
    <row r="196">
      <c r="A196" s="78" t="s">
        <v>17099</v>
      </c>
      <c r="B196" s="25">
        <v>14482.0</v>
      </c>
      <c r="C196" s="136" t="s">
        <v>17004</v>
      </c>
      <c r="D196" s="179">
        <v>0.65</v>
      </c>
      <c r="E196" s="179">
        <v>0.65</v>
      </c>
      <c r="F196" s="348" t="s">
        <v>1656</v>
      </c>
      <c r="K196" s="36" t="s">
        <v>17099</v>
      </c>
      <c r="L196" s="35">
        <v>4193.0</v>
      </c>
      <c r="M196" s="36"/>
      <c r="N196" s="36" t="e">
        <v>#N/A</v>
      </c>
    </row>
    <row r="197">
      <c r="A197" s="231" t="s">
        <v>17100</v>
      </c>
      <c r="B197" s="16">
        <v>14646.0</v>
      </c>
      <c r="C197" s="136" t="s">
        <v>17004</v>
      </c>
      <c r="D197" s="179">
        <v>0.65</v>
      </c>
      <c r="E197" s="179">
        <v>0.65</v>
      </c>
      <c r="F197" s="348" t="s">
        <v>1656</v>
      </c>
      <c r="K197" s="36" t="s">
        <v>17100</v>
      </c>
      <c r="L197" s="36"/>
      <c r="M197" s="36"/>
      <c r="N197" s="36" t="e">
        <v>#N/A</v>
      </c>
    </row>
    <row r="198">
      <c r="A198" s="231" t="s">
        <v>17101</v>
      </c>
      <c r="B198" s="231"/>
      <c r="C198" s="136" t="s">
        <v>17004</v>
      </c>
      <c r="D198" s="179">
        <v>0.65</v>
      </c>
      <c r="E198" s="179">
        <v>0.65</v>
      </c>
      <c r="F198" s="348" t="s">
        <v>1656</v>
      </c>
      <c r="K198" s="36" t="s">
        <v>17101</v>
      </c>
      <c r="L198" s="36"/>
      <c r="M198" s="36"/>
      <c r="N198" s="36" t="e">
        <v>#N/A</v>
      </c>
    </row>
    <row r="199">
      <c r="A199" s="231" t="s">
        <v>17102</v>
      </c>
      <c r="B199" s="175">
        <v>12388.0</v>
      </c>
      <c r="C199" s="136" t="s">
        <v>17004</v>
      </c>
      <c r="D199" s="179">
        <v>0.65</v>
      </c>
      <c r="E199" s="179">
        <v>0.65</v>
      </c>
      <c r="F199" s="348" t="s">
        <v>1656</v>
      </c>
      <c r="K199" s="36" t="s">
        <v>17102</v>
      </c>
      <c r="L199" s="36"/>
      <c r="M199" s="36"/>
      <c r="N199" s="36" t="e">
        <v>#N/A</v>
      </c>
    </row>
    <row r="200">
      <c r="A200" s="78" t="s">
        <v>17103</v>
      </c>
      <c r="B200" s="25">
        <v>2644.0</v>
      </c>
      <c r="C200" s="136" t="s">
        <v>17004</v>
      </c>
      <c r="D200" s="179">
        <v>0.65</v>
      </c>
      <c r="E200" s="179">
        <v>0.65</v>
      </c>
      <c r="F200" s="348" t="s">
        <v>1656</v>
      </c>
      <c r="K200" s="36" t="s">
        <v>17103</v>
      </c>
      <c r="L200" s="109">
        <v>2644.0</v>
      </c>
      <c r="M200" s="36"/>
      <c r="N200" s="36" t="e">
        <v>#N/A</v>
      </c>
    </row>
    <row r="201">
      <c r="A201" s="231" t="s">
        <v>17104</v>
      </c>
      <c r="B201" s="231"/>
      <c r="C201" s="136" t="s">
        <v>17004</v>
      </c>
      <c r="D201" s="179">
        <v>0.65</v>
      </c>
      <c r="E201" s="179">
        <v>0.65</v>
      </c>
      <c r="F201" s="348" t="s">
        <v>1656</v>
      </c>
      <c r="K201" s="36" t="s">
        <v>17104</v>
      </c>
      <c r="L201" s="36"/>
      <c r="M201" s="36"/>
      <c r="N201" s="36" t="e">
        <v>#N/A</v>
      </c>
    </row>
    <row r="202">
      <c r="A202" s="78" t="s">
        <v>17105</v>
      </c>
      <c r="B202" s="25">
        <v>7100.0</v>
      </c>
      <c r="C202" s="136" t="s">
        <v>17004</v>
      </c>
      <c r="D202" s="179">
        <v>0.65</v>
      </c>
      <c r="E202" s="179">
        <v>0.65</v>
      </c>
      <c r="F202" s="348" t="s">
        <v>1656</v>
      </c>
      <c r="K202" s="18" t="s">
        <v>17105</v>
      </c>
      <c r="L202" s="11">
        <v>7100.0</v>
      </c>
      <c r="N202" s="18">
        <v>1.0</v>
      </c>
    </row>
    <row r="203">
      <c r="A203" s="78" t="s">
        <v>17106</v>
      </c>
      <c r="B203" s="25">
        <v>10923.0</v>
      </c>
      <c r="C203" s="136" t="s">
        <v>17004</v>
      </c>
      <c r="D203" s="179">
        <v>0.65</v>
      </c>
      <c r="E203" s="179">
        <v>0.65</v>
      </c>
      <c r="F203" s="348" t="s">
        <v>1656</v>
      </c>
      <c r="K203" s="36" t="s">
        <v>17106</v>
      </c>
      <c r="L203" s="35">
        <v>10923.0</v>
      </c>
      <c r="M203" s="36"/>
      <c r="N203" s="36" t="e">
        <v>#N/A</v>
      </c>
    </row>
    <row r="204">
      <c r="A204" s="231" t="s">
        <v>17107</v>
      </c>
      <c r="B204" s="175">
        <v>2205.0</v>
      </c>
      <c r="C204" s="136" t="s">
        <v>17004</v>
      </c>
      <c r="D204" s="179">
        <v>0.65</v>
      </c>
      <c r="E204" s="179">
        <v>0.65</v>
      </c>
      <c r="F204" s="348" t="s">
        <v>1656</v>
      </c>
      <c r="K204" s="36" t="s">
        <v>17107</v>
      </c>
      <c r="L204" s="36"/>
      <c r="M204" s="36"/>
      <c r="N204" s="36" t="e">
        <v>#N/A</v>
      </c>
    </row>
    <row r="205">
      <c r="A205" s="78" t="s">
        <v>17108</v>
      </c>
      <c r="B205" s="25">
        <v>12278.0</v>
      </c>
      <c r="C205" s="136" t="s">
        <v>17004</v>
      </c>
      <c r="D205" s="179">
        <v>0.65</v>
      </c>
      <c r="E205" s="179">
        <v>0.65</v>
      </c>
      <c r="F205" s="348" t="s">
        <v>1656</v>
      </c>
      <c r="K205" s="36" t="s">
        <v>17108</v>
      </c>
      <c r="L205" s="35">
        <v>12278.0</v>
      </c>
      <c r="M205" s="36"/>
      <c r="N205" s="36" t="e">
        <v>#N/A</v>
      </c>
    </row>
    <row r="206">
      <c r="A206" s="78" t="s">
        <v>17109</v>
      </c>
      <c r="B206" s="25">
        <v>12278.0</v>
      </c>
      <c r="C206" s="136" t="s">
        <v>17004</v>
      </c>
      <c r="D206" s="179">
        <v>0.65</v>
      </c>
      <c r="E206" s="179">
        <v>0.65</v>
      </c>
      <c r="F206" s="348" t="s">
        <v>1656</v>
      </c>
      <c r="K206" s="36" t="s">
        <v>17109</v>
      </c>
      <c r="L206" s="35">
        <v>12278.0</v>
      </c>
      <c r="M206" s="36"/>
      <c r="N206" s="36" t="e">
        <v>#N/A</v>
      </c>
    </row>
    <row r="207">
      <c r="A207" s="231" t="s">
        <v>17110</v>
      </c>
      <c r="B207" s="231"/>
      <c r="C207" s="136" t="s">
        <v>17004</v>
      </c>
      <c r="D207" s="179">
        <v>0.65</v>
      </c>
      <c r="E207" s="179">
        <v>0.65</v>
      </c>
      <c r="F207" s="348" t="s">
        <v>1656</v>
      </c>
      <c r="K207" s="36" t="s">
        <v>17110</v>
      </c>
      <c r="L207" s="36"/>
      <c r="M207" s="36"/>
      <c r="N207" s="36" t="e">
        <v>#N/A</v>
      </c>
    </row>
    <row r="208">
      <c r="A208" s="231" t="s">
        <v>17111</v>
      </c>
      <c r="B208" s="231"/>
      <c r="C208" s="136" t="s">
        <v>17004</v>
      </c>
      <c r="D208" s="179">
        <v>0.65</v>
      </c>
      <c r="E208" s="179">
        <v>0.65</v>
      </c>
      <c r="F208" s="348" t="s">
        <v>1656</v>
      </c>
      <c r="K208" s="36" t="s">
        <v>17111</v>
      </c>
      <c r="L208" s="36"/>
      <c r="M208" s="36"/>
      <c r="N208" s="36" t="e">
        <v>#N/A</v>
      </c>
    </row>
    <row r="209">
      <c r="A209" s="231" t="s">
        <v>17112</v>
      </c>
      <c r="B209" s="175">
        <v>6750.0</v>
      </c>
      <c r="C209" s="136" t="s">
        <v>17004</v>
      </c>
      <c r="D209" s="179">
        <v>0.65</v>
      </c>
      <c r="E209" s="179">
        <v>0.65</v>
      </c>
      <c r="F209" s="348" t="s">
        <v>1656</v>
      </c>
      <c r="K209" s="36" t="s">
        <v>17112</v>
      </c>
      <c r="L209" s="36"/>
      <c r="M209" s="36"/>
      <c r="N209" s="36" t="e">
        <v>#N/A</v>
      </c>
    </row>
    <row r="210">
      <c r="A210" s="78" t="s">
        <v>17113</v>
      </c>
      <c r="B210" s="25">
        <v>11708.0</v>
      </c>
      <c r="C210" s="136" t="s">
        <v>17004</v>
      </c>
      <c r="D210" s="179">
        <v>0.65</v>
      </c>
      <c r="E210" s="179">
        <v>0.65</v>
      </c>
      <c r="F210" s="348" t="s">
        <v>1656</v>
      </c>
      <c r="K210" s="18" t="s">
        <v>17113</v>
      </c>
      <c r="L210" s="11">
        <v>11708.0</v>
      </c>
      <c r="N210" s="18">
        <v>1.0</v>
      </c>
    </row>
    <row r="211">
      <c r="A211" s="231" t="s">
        <v>17114</v>
      </c>
      <c r="B211" s="231"/>
      <c r="C211" s="136" t="s">
        <v>17004</v>
      </c>
      <c r="D211" s="179">
        <v>0.65</v>
      </c>
      <c r="E211" s="179">
        <v>0.65</v>
      </c>
      <c r="F211" s="348" t="s">
        <v>1656</v>
      </c>
      <c r="K211" s="36" t="s">
        <v>17114</v>
      </c>
      <c r="L211" s="36"/>
      <c r="M211" s="36"/>
      <c r="N211" s="36" t="e">
        <v>#N/A</v>
      </c>
    </row>
    <row r="212">
      <c r="A212" s="78" t="s">
        <v>17115</v>
      </c>
      <c r="B212" s="25">
        <v>13858.0</v>
      </c>
      <c r="C212" s="136" t="s">
        <v>17004</v>
      </c>
      <c r="D212" s="179">
        <v>0.65</v>
      </c>
      <c r="E212" s="179">
        <v>0.65</v>
      </c>
      <c r="F212" s="348" t="s">
        <v>1656</v>
      </c>
      <c r="K212" s="18" t="s">
        <v>17115</v>
      </c>
      <c r="L212" s="11">
        <v>13858.0</v>
      </c>
      <c r="N212" s="18">
        <v>1.0</v>
      </c>
    </row>
    <row r="213">
      <c r="A213" s="78" t="s">
        <v>17116</v>
      </c>
      <c r="B213" s="25">
        <v>11601.0</v>
      </c>
      <c r="C213" s="136" t="s">
        <v>17004</v>
      </c>
      <c r="D213" s="179">
        <v>0.65</v>
      </c>
      <c r="E213" s="179">
        <v>0.65</v>
      </c>
      <c r="F213" s="348" t="s">
        <v>1656</v>
      </c>
      <c r="K213" s="36" t="s">
        <v>17116</v>
      </c>
      <c r="L213" s="35">
        <v>11601.0</v>
      </c>
      <c r="M213" s="36"/>
      <c r="N213" s="36" t="e">
        <v>#N/A</v>
      </c>
    </row>
    <row r="214">
      <c r="A214" s="231" t="s">
        <v>17117</v>
      </c>
      <c r="B214" s="175">
        <v>7083.0</v>
      </c>
      <c r="C214" s="136" t="s">
        <v>17004</v>
      </c>
      <c r="D214" s="179">
        <v>0.65</v>
      </c>
      <c r="E214" s="179">
        <v>0.65</v>
      </c>
      <c r="F214" s="348" t="s">
        <v>1656</v>
      </c>
      <c r="K214" s="18" t="s">
        <v>17117</v>
      </c>
      <c r="L214" s="11">
        <v>7083.0</v>
      </c>
      <c r="N214" s="18">
        <v>1.0</v>
      </c>
    </row>
    <row r="215">
      <c r="A215" s="78" t="s">
        <v>17118</v>
      </c>
      <c r="B215" s="25">
        <v>7003.0</v>
      </c>
      <c r="C215" s="136" t="s">
        <v>17004</v>
      </c>
      <c r="D215" s="179">
        <v>0.65</v>
      </c>
      <c r="E215" s="179">
        <v>0.65</v>
      </c>
      <c r="F215" s="348" t="s">
        <v>1656</v>
      </c>
      <c r="K215" s="18" t="s">
        <v>17118</v>
      </c>
      <c r="L215" s="11">
        <v>7003.0</v>
      </c>
      <c r="N215" s="18">
        <v>1.0</v>
      </c>
    </row>
    <row r="216">
      <c r="A216" s="78" t="s">
        <v>17119</v>
      </c>
      <c r="B216" s="25">
        <v>13951.0</v>
      </c>
      <c r="C216" s="136" t="s">
        <v>17004</v>
      </c>
      <c r="D216" s="179">
        <v>0.65</v>
      </c>
      <c r="E216" s="179">
        <v>0.65</v>
      </c>
      <c r="F216" s="348" t="s">
        <v>1656</v>
      </c>
      <c r="K216" s="36" t="s">
        <v>17119</v>
      </c>
      <c r="L216" s="35">
        <v>13951.0</v>
      </c>
      <c r="M216" s="36"/>
      <c r="N216" s="36" t="e">
        <v>#N/A</v>
      </c>
    </row>
    <row r="217">
      <c r="A217" s="231" t="s">
        <v>17120</v>
      </c>
      <c r="B217" s="175">
        <v>189.0</v>
      </c>
      <c r="C217" s="136" t="s">
        <v>17004</v>
      </c>
      <c r="D217" s="179">
        <v>0.9</v>
      </c>
      <c r="E217" s="179">
        <v>0.9</v>
      </c>
      <c r="F217" s="348" t="s">
        <v>1656</v>
      </c>
      <c r="K217" s="36" t="s">
        <v>17120</v>
      </c>
      <c r="L217" s="36"/>
      <c r="M217" s="36"/>
      <c r="N217" s="36" t="e">
        <v>#N/A</v>
      </c>
    </row>
    <row r="218">
      <c r="A218" s="231" t="s">
        <v>17121</v>
      </c>
      <c r="B218" s="175">
        <v>189.0</v>
      </c>
      <c r="C218" s="136" t="s">
        <v>17004</v>
      </c>
      <c r="D218" s="179">
        <v>0.9</v>
      </c>
      <c r="E218" s="179">
        <v>0.9</v>
      </c>
      <c r="F218" s="348" t="s">
        <v>1656</v>
      </c>
      <c r="K218" s="36" t="s">
        <v>17121</v>
      </c>
      <c r="L218" s="36"/>
      <c r="M218" s="36"/>
      <c r="N218" s="36" t="e">
        <v>#N/A</v>
      </c>
    </row>
    <row r="219">
      <c r="A219" s="231" t="s">
        <v>17122</v>
      </c>
      <c r="B219" s="175">
        <v>189.0</v>
      </c>
      <c r="C219" s="136" t="s">
        <v>17004</v>
      </c>
      <c r="D219" s="179">
        <v>0.9</v>
      </c>
      <c r="E219" s="179">
        <v>0.9</v>
      </c>
      <c r="F219" s="348" t="s">
        <v>1656</v>
      </c>
      <c r="K219" s="18" t="s">
        <v>17122</v>
      </c>
      <c r="N219" s="18">
        <v>1.0</v>
      </c>
    </row>
    <row r="220">
      <c r="A220" s="78" t="s">
        <v>17123</v>
      </c>
      <c r="B220" s="25">
        <v>10393.0</v>
      </c>
      <c r="C220" s="136" t="s">
        <v>17004</v>
      </c>
      <c r="D220" s="179">
        <v>0.65</v>
      </c>
      <c r="E220" s="179">
        <v>0.65</v>
      </c>
      <c r="F220" s="348" t="s">
        <v>1656</v>
      </c>
      <c r="K220" s="36" t="s">
        <v>17123</v>
      </c>
      <c r="L220" s="35">
        <v>10393.0</v>
      </c>
      <c r="M220" s="36"/>
      <c r="N220" s="36" t="e">
        <v>#N/A</v>
      </c>
    </row>
    <row r="221">
      <c r="A221" s="231" t="s">
        <v>17124</v>
      </c>
      <c r="B221" s="175">
        <v>3404.0</v>
      </c>
      <c r="C221" s="136" t="s">
        <v>17004</v>
      </c>
      <c r="D221" s="179">
        <v>0.65</v>
      </c>
      <c r="E221" s="179">
        <v>0.65</v>
      </c>
      <c r="F221" s="348" t="s">
        <v>1656</v>
      </c>
      <c r="K221" s="36" t="s">
        <v>17124</v>
      </c>
      <c r="L221" s="36"/>
      <c r="M221" s="36"/>
      <c r="N221" s="36" t="e">
        <v>#N/A</v>
      </c>
    </row>
    <row r="222">
      <c r="A222" s="231" t="s">
        <v>17125</v>
      </c>
      <c r="B222" s="175">
        <v>6772.0</v>
      </c>
      <c r="C222" s="136" t="s">
        <v>17004</v>
      </c>
      <c r="D222" s="179">
        <v>0.65</v>
      </c>
      <c r="E222" s="179">
        <v>0.65</v>
      </c>
      <c r="F222" s="348" t="s">
        <v>1656</v>
      </c>
      <c r="K222" s="36" t="s">
        <v>17125</v>
      </c>
      <c r="L222" s="36"/>
      <c r="M222" s="36"/>
      <c r="N222" s="36" t="e">
        <v>#N/A</v>
      </c>
    </row>
    <row r="223">
      <c r="A223" s="78" t="s">
        <v>17126</v>
      </c>
      <c r="B223" s="25">
        <v>6675.0</v>
      </c>
      <c r="C223" s="136" t="s">
        <v>17004</v>
      </c>
      <c r="D223" s="179">
        <v>0.9</v>
      </c>
      <c r="E223" s="179">
        <v>0.9</v>
      </c>
      <c r="F223" s="348" t="s">
        <v>1656</v>
      </c>
      <c r="K223" s="36" t="s">
        <v>17126</v>
      </c>
      <c r="L223" s="36"/>
      <c r="M223" s="36"/>
      <c r="N223" s="36" t="e">
        <v>#N/A</v>
      </c>
    </row>
    <row r="224">
      <c r="A224" s="78" t="s">
        <v>17127</v>
      </c>
      <c r="B224" s="25">
        <v>3616.0</v>
      </c>
      <c r="C224" s="136" t="s">
        <v>17004</v>
      </c>
      <c r="D224" s="179">
        <v>0.65</v>
      </c>
      <c r="E224" s="179">
        <v>0.65</v>
      </c>
      <c r="F224" s="348" t="s">
        <v>1656</v>
      </c>
      <c r="K224" s="36" t="s">
        <v>17127</v>
      </c>
      <c r="L224" s="35">
        <v>3616.0</v>
      </c>
      <c r="M224" s="36"/>
      <c r="N224" s="36" t="e">
        <v>#N/A</v>
      </c>
    </row>
    <row r="225">
      <c r="A225" s="78" t="s">
        <v>17128</v>
      </c>
      <c r="B225" s="25">
        <v>283.0</v>
      </c>
      <c r="C225" s="136" t="s">
        <v>17004</v>
      </c>
      <c r="D225" s="179">
        <v>0.65</v>
      </c>
      <c r="E225" s="179">
        <v>0.65</v>
      </c>
      <c r="F225" s="348" t="s">
        <v>1656</v>
      </c>
      <c r="K225" s="18" t="s">
        <v>17128</v>
      </c>
      <c r="L225" s="11">
        <v>283.0</v>
      </c>
      <c r="N225" s="18">
        <v>1.0</v>
      </c>
    </row>
    <row r="226">
      <c r="A226" s="25" t="s">
        <v>4034</v>
      </c>
      <c r="B226" s="25">
        <v>6978.0</v>
      </c>
      <c r="C226" s="136" t="s">
        <v>17004</v>
      </c>
      <c r="D226" s="179">
        <v>0.65</v>
      </c>
      <c r="E226" s="179">
        <v>0.65</v>
      </c>
      <c r="F226" s="348" t="s">
        <v>1656</v>
      </c>
      <c r="K226" s="35" t="s">
        <v>4034</v>
      </c>
      <c r="L226" s="35">
        <v>6978.0</v>
      </c>
      <c r="M226" s="36"/>
      <c r="N226" s="36" t="e">
        <v>#N/A</v>
      </c>
    </row>
    <row r="227">
      <c r="A227" s="175" t="s">
        <v>4035</v>
      </c>
      <c r="B227" s="11">
        <v>14480.0</v>
      </c>
      <c r="C227" s="136" t="s">
        <v>17004</v>
      </c>
      <c r="D227" s="179">
        <v>0.65</v>
      </c>
      <c r="E227" s="179">
        <v>0.65</v>
      </c>
      <c r="F227" s="348" t="s">
        <v>1656</v>
      </c>
      <c r="K227" s="35" t="s">
        <v>4035</v>
      </c>
      <c r="L227" s="36"/>
      <c r="M227" s="36"/>
      <c r="N227" s="36" t="e">
        <v>#N/A</v>
      </c>
    </row>
    <row r="228">
      <c r="A228" s="175" t="s">
        <v>4036</v>
      </c>
      <c r="B228" s="175">
        <v>14549.0</v>
      </c>
      <c r="C228" s="136" t="s">
        <v>17004</v>
      </c>
      <c r="D228" s="179">
        <v>0.65</v>
      </c>
      <c r="E228" s="179">
        <v>0.65</v>
      </c>
      <c r="F228" s="348" t="s">
        <v>1656</v>
      </c>
      <c r="K228" s="35" t="s">
        <v>4036</v>
      </c>
      <c r="L228" s="36"/>
      <c r="M228" s="36"/>
      <c r="N228" s="36" t="e">
        <v>#N/A</v>
      </c>
    </row>
    <row r="229">
      <c r="A229" s="175" t="s">
        <v>4037</v>
      </c>
      <c r="B229" s="175">
        <v>6675.0</v>
      </c>
      <c r="C229" s="136" t="s">
        <v>17004</v>
      </c>
      <c r="D229" s="179">
        <v>0.9</v>
      </c>
      <c r="E229" s="179">
        <v>0.9</v>
      </c>
      <c r="F229" s="348" t="s">
        <v>1656</v>
      </c>
      <c r="K229" s="35" t="s">
        <v>4037</v>
      </c>
      <c r="L229" s="36"/>
      <c r="M229" s="36"/>
      <c r="N229" s="36" t="e">
        <v>#N/A</v>
      </c>
    </row>
    <row r="230">
      <c r="A230" s="25" t="s">
        <v>4038</v>
      </c>
      <c r="B230" s="25">
        <v>6891.0</v>
      </c>
      <c r="C230" s="136" t="s">
        <v>17004</v>
      </c>
      <c r="D230" s="179">
        <v>0.65</v>
      </c>
      <c r="E230" s="179">
        <v>0.65</v>
      </c>
      <c r="F230" s="348" t="s">
        <v>1656</v>
      </c>
      <c r="K230" s="35" t="s">
        <v>4038</v>
      </c>
      <c r="L230" s="35">
        <v>6891.0</v>
      </c>
      <c r="M230" s="36"/>
      <c r="N230" s="36" t="e">
        <v>#N/A</v>
      </c>
    </row>
    <row r="231">
      <c r="A231" s="175" t="s">
        <v>4039</v>
      </c>
      <c r="B231" s="175">
        <v>6831.0</v>
      </c>
      <c r="C231" s="136" t="s">
        <v>17004</v>
      </c>
      <c r="D231" s="179">
        <v>0.65</v>
      </c>
      <c r="E231" s="179">
        <v>0.65</v>
      </c>
      <c r="F231" s="348" t="s">
        <v>1656</v>
      </c>
      <c r="K231" s="35" t="s">
        <v>4039</v>
      </c>
      <c r="L231" s="36"/>
      <c r="M231" s="36"/>
      <c r="N231" s="36" t="e">
        <v>#N/A</v>
      </c>
    </row>
    <row r="232">
      <c r="A232" s="25" t="s">
        <v>4040</v>
      </c>
      <c r="B232" s="25">
        <v>7149.0</v>
      </c>
      <c r="C232" s="136" t="s">
        <v>17004</v>
      </c>
      <c r="D232" s="179">
        <v>0.65</v>
      </c>
      <c r="E232" s="179">
        <v>0.65</v>
      </c>
      <c r="F232" s="348" t="s">
        <v>1656</v>
      </c>
      <c r="K232" s="35" t="s">
        <v>4040</v>
      </c>
      <c r="L232" s="35">
        <v>7149.0</v>
      </c>
      <c r="M232" s="36"/>
      <c r="N232" s="36" t="e">
        <v>#N/A</v>
      </c>
    </row>
    <row r="233">
      <c r="A233" s="25" t="s">
        <v>4041</v>
      </c>
      <c r="B233" s="25">
        <v>7149.0</v>
      </c>
      <c r="C233" s="136" t="s">
        <v>17004</v>
      </c>
      <c r="D233" s="179">
        <v>0.65</v>
      </c>
      <c r="E233" s="179">
        <v>0.65</v>
      </c>
      <c r="F233" s="348" t="s">
        <v>1656</v>
      </c>
      <c r="K233" s="35" t="s">
        <v>4041</v>
      </c>
      <c r="L233" s="35">
        <v>7149.0</v>
      </c>
      <c r="M233" s="36"/>
      <c r="N233" s="36" t="e">
        <v>#N/A</v>
      </c>
    </row>
    <row r="234">
      <c r="A234" s="25" t="s">
        <v>4042</v>
      </c>
      <c r="B234" s="25">
        <v>7149.0</v>
      </c>
      <c r="C234" s="136" t="s">
        <v>17004</v>
      </c>
      <c r="D234" s="179">
        <v>0.65</v>
      </c>
      <c r="E234" s="179">
        <v>0.65</v>
      </c>
      <c r="F234" s="348" t="s">
        <v>1656</v>
      </c>
      <c r="K234" s="35" t="s">
        <v>4042</v>
      </c>
      <c r="L234" s="35">
        <v>7149.0</v>
      </c>
      <c r="M234" s="36"/>
      <c r="N234" s="36" t="e">
        <v>#N/A</v>
      </c>
    </row>
    <row r="235">
      <c r="A235" s="25" t="s">
        <v>4043</v>
      </c>
      <c r="B235" s="25">
        <v>14292.0</v>
      </c>
      <c r="C235" s="136" t="s">
        <v>17004</v>
      </c>
      <c r="D235" s="179">
        <v>0.65</v>
      </c>
      <c r="E235" s="179">
        <v>0.65</v>
      </c>
      <c r="F235" s="348" t="s">
        <v>1656</v>
      </c>
      <c r="K235" s="11" t="s">
        <v>4043</v>
      </c>
      <c r="L235" s="11">
        <v>14292.0</v>
      </c>
      <c r="N235" s="18">
        <v>1.0</v>
      </c>
    </row>
    <row r="236">
      <c r="A236" s="25" t="s">
        <v>4044</v>
      </c>
      <c r="B236" s="25">
        <v>14292.0</v>
      </c>
      <c r="C236" s="136" t="s">
        <v>17004</v>
      </c>
      <c r="D236" s="179">
        <v>0.65</v>
      </c>
      <c r="E236" s="179">
        <v>0.65</v>
      </c>
      <c r="F236" s="348" t="s">
        <v>1656</v>
      </c>
      <c r="K236" s="11" t="s">
        <v>4044</v>
      </c>
      <c r="L236" s="11">
        <v>14292.0</v>
      </c>
      <c r="N236" s="18">
        <v>1.0</v>
      </c>
    </row>
    <row r="237">
      <c r="A237" s="25" t="s">
        <v>4045</v>
      </c>
      <c r="B237" s="25">
        <v>6133.0</v>
      </c>
      <c r="C237" s="136" t="s">
        <v>17004</v>
      </c>
      <c r="D237" s="179">
        <v>0.65</v>
      </c>
      <c r="E237" s="179">
        <v>0.65</v>
      </c>
      <c r="F237" s="348" t="s">
        <v>1656</v>
      </c>
      <c r="K237" s="35" t="s">
        <v>4045</v>
      </c>
      <c r="L237" s="35">
        <v>6133.0</v>
      </c>
      <c r="M237" s="36"/>
      <c r="N237" s="36" t="e">
        <v>#N/A</v>
      </c>
    </row>
    <row r="238">
      <c r="A238" s="25" t="s">
        <v>4046</v>
      </c>
      <c r="B238" s="25">
        <v>6133.0</v>
      </c>
      <c r="C238" s="136" t="s">
        <v>17004</v>
      </c>
      <c r="D238" s="179">
        <v>0.65</v>
      </c>
      <c r="E238" s="179">
        <v>0.65</v>
      </c>
      <c r="F238" s="348" t="s">
        <v>1656</v>
      </c>
      <c r="K238" s="35" t="s">
        <v>4046</v>
      </c>
      <c r="L238" s="35">
        <v>6133.0</v>
      </c>
      <c r="M238" s="36"/>
      <c r="N238" s="36" t="e">
        <v>#N/A</v>
      </c>
    </row>
    <row r="239">
      <c r="A239" s="25" t="s">
        <v>4047</v>
      </c>
      <c r="B239" s="25">
        <v>6133.0</v>
      </c>
      <c r="C239" s="136" t="s">
        <v>17004</v>
      </c>
      <c r="D239" s="179">
        <v>0.65</v>
      </c>
      <c r="E239" s="179">
        <v>0.65</v>
      </c>
      <c r="F239" s="348" t="s">
        <v>1656</v>
      </c>
      <c r="K239" s="35" t="s">
        <v>4047</v>
      </c>
      <c r="L239" s="35">
        <v>6133.0</v>
      </c>
      <c r="M239" s="36"/>
      <c r="N239" s="36" t="e">
        <v>#N/A</v>
      </c>
    </row>
    <row r="240">
      <c r="A240" s="25" t="s">
        <v>4048</v>
      </c>
      <c r="B240" s="25">
        <v>6133.0</v>
      </c>
      <c r="C240" s="136" t="s">
        <v>17004</v>
      </c>
      <c r="D240" s="179">
        <v>0.65</v>
      </c>
      <c r="E240" s="179">
        <v>0.65</v>
      </c>
      <c r="F240" s="348" t="s">
        <v>1656</v>
      </c>
      <c r="K240" s="35" t="s">
        <v>4048</v>
      </c>
      <c r="L240" s="35">
        <v>6133.0</v>
      </c>
      <c r="M240" s="36"/>
      <c r="N240" s="36" t="e">
        <v>#N/A</v>
      </c>
    </row>
    <row r="241">
      <c r="A241" s="175" t="s">
        <v>4049</v>
      </c>
      <c r="B241" s="175">
        <v>11049.0</v>
      </c>
      <c r="C241" s="136" t="s">
        <v>17004</v>
      </c>
      <c r="D241" s="179">
        <v>0.65</v>
      </c>
      <c r="E241" s="179">
        <v>0.65</v>
      </c>
      <c r="F241" s="348" t="s">
        <v>1656</v>
      </c>
      <c r="K241" s="35" t="s">
        <v>4049</v>
      </c>
      <c r="L241" s="36"/>
      <c r="M241" s="36"/>
      <c r="N241" s="36" t="e">
        <v>#N/A</v>
      </c>
    </row>
    <row r="242">
      <c r="A242" s="175" t="s">
        <v>4050</v>
      </c>
      <c r="B242" s="175">
        <v>11049.0</v>
      </c>
      <c r="C242" s="136" t="s">
        <v>17004</v>
      </c>
      <c r="D242" s="179">
        <v>0.65</v>
      </c>
      <c r="E242" s="179">
        <v>0.65</v>
      </c>
      <c r="F242" s="348" t="s">
        <v>1656</v>
      </c>
      <c r="K242" s="35" t="s">
        <v>4050</v>
      </c>
      <c r="L242" s="36"/>
      <c r="M242" s="36"/>
      <c r="N242" s="36" t="e">
        <v>#N/A</v>
      </c>
    </row>
    <row r="243">
      <c r="A243" s="175" t="s">
        <v>4051</v>
      </c>
      <c r="B243" s="175">
        <v>11049.0</v>
      </c>
      <c r="C243" s="136" t="s">
        <v>17004</v>
      </c>
      <c r="D243" s="179">
        <v>0.65</v>
      </c>
      <c r="E243" s="179">
        <v>0.65</v>
      </c>
      <c r="F243" s="348" t="s">
        <v>1656</v>
      </c>
      <c r="K243" s="35" t="s">
        <v>4051</v>
      </c>
      <c r="L243" s="36"/>
      <c r="M243" s="36"/>
      <c r="N243" s="36" t="e">
        <v>#N/A</v>
      </c>
    </row>
    <row r="244">
      <c r="A244" s="175" t="s">
        <v>4052</v>
      </c>
      <c r="B244" s="175">
        <v>11049.0</v>
      </c>
      <c r="C244" s="136" t="s">
        <v>17004</v>
      </c>
      <c r="D244" s="179">
        <v>0.65</v>
      </c>
      <c r="E244" s="179">
        <v>0.65</v>
      </c>
      <c r="F244" s="348" t="s">
        <v>1656</v>
      </c>
      <c r="K244" s="35" t="s">
        <v>4052</v>
      </c>
      <c r="L244" s="36"/>
      <c r="M244" s="36"/>
      <c r="N244" s="36" t="e">
        <v>#N/A</v>
      </c>
    </row>
    <row r="245">
      <c r="A245" s="175" t="s">
        <v>4053</v>
      </c>
      <c r="B245" s="175">
        <v>11049.0</v>
      </c>
      <c r="C245" s="136" t="s">
        <v>17004</v>
      </c>
      <c r="D245" s="179">
        <v>0.65</v>
      </c>
      <c r="E245" s="179">
        <v>0.65</v>
      </c>
      <c r="F245" s="348" t="s">
        <v>1656</v>
      </c>
      <c r="K245" s="35" t="s">
        <v>4053</v>
      </c>
      <c r="L245" s="36"/>
      <c r="M245" s="36"/>
      <c r="N245" s="36" t="e">
        <v>#N/A</v>
      </c>
    </row>
    <row r="246">
      <c r="A246" s="175" t="s">
        <v>4054</v>
      </c>
      <c r="B246" s="175">
        <v>11049.0</v>
      </c>
      <c r="C246" s="136" t="s">
        <v>17004</v>
      </c>
      <c r="D246" s="179">
        <v>0.65</v>
      </c>
      <c r="E246" s="179">
        <v>0.65</v>
      </c>
      <c r="F246" s="348" t="s">
        <v>1656</v>
      </c>
      <c r="K246" s="35" t="s">
        <v>4054</v>
      </c>
      <c r="L246" s="36"/>
      <c r="M246" s="36"/>
      <c r="N246" s="36" t="e">
        <v>#N/A</v>
      </c>
    </row>
    <row r="247">
      <c r="A247" s="175" t="s">
        <v>4055</v>
      </c>
      <c r="B247" s="175">
        <v>11049.0</v>
      </c>
      <c r="C247" s="136" t="s">
        <v>17004</v>
      </c>
      <c r="D247" s="179">
        <v>0.65</v>
      </c>
      <c r="E247" s="179">
        <v>0.65</v>
      </c>
      <c r="F247" s="348" t="s">
        <v>1656</v>
      </c>
      <c r="K247" s="35" t="s">
        <v>4055</v>
      </c>
      <c r="L247" s="36"/>
      <c r="M247" s="36"/>
      <c r="N247" s="36" t="e">
        <v>#N/A</v>
      </c>
    </row>
    <row r="248">
      <c r="A248" s="175" t="s">
        <v>4056</v>
      </c>
      <c r="B248" s="175">
        <v>11049.0</v>
      </c>
      <c r="C248" s="136" t="s">
        <v>17004</v>
      </c>
      <c r="D248" s="179">
        <v>0.65</v>
      </c>
      <c r="E248" s="179">
        <v>0.65</v>
      </c>
      <c r="F248" s="348" t="s">
        <v>1656</v>
      </c>
      <c r="K248" s="35" t="s">
        <v>4056</v>
      </c>
      <c r="L248" s="36"/>
      <c r="M248" s="36"/>
      <c r="N248" s="36" t="e">
        <v>#N/A</v>
      </c>
    </row>
    <row r="249">
      <c r="A249" s="175" t="s">
        <v>4057</v>
      </c>
      <c r="B249" s="175">
        <v>11049.0</v>
      </c>
      <c r="C249" s="136" t="s">
        <v>17004</v>
      </c>
      <c r="D249" s="179">
        <v>0.65</v>
      </c>
      <c r="E249" s="179">
        <v>0.65</v>
      </c>
      <c r="F249" s="348" t="s">
        <v>1656</v>
      </c>
      <c r="K249" s="35" t="s">
        <v>4057</v>
      </c>
      <c r="L249" s="36"/>
      <c r="M249" s="36"/>
      <c r="N249" s="36" t="e">
        <v>#N/A</v>
      </c>
    </row>
    <row r="250">
      <c r="A250" s="175" t="s">
        <v>4058</v>
      </c>
      <c r="B250" s="175">
        <v>11049.0</v>
      </c>
      <c r="C250" s="136" t="s">
        <v>17004</v>
      </c>
      <c r="D250" s="179">
        <v>0.65</v>
      </c>
      <c r="E250" s="179">
        <v>0.65</v>
      </c>
      <c r="F250" s="348" t="s">
        <v>1656</v>
      </c>
      <c r="K250" s="35" t="s">
        <v>4058</v>
      </c>
      <c r="L250" s="36"/>
      <c r="M250" s="36"/>
      <c r="N250" s="36" t="e">
        <v>#N/A</v>
      </c>
    </row>
    <row r="251">
      <c r="A251" s="175" t="s">
        <v>4059</v>
      </c>
      <c r="B251" s="175">
        <v>11049.0</v>
      </c>
      <c r="C251" s="136" t="s">
        <v>17004</v>
      </c>
      <c r="D251" s="179">
        <v>0.65</v>
      </c>
      <c r="E251" s="179">
        <v>0.65</v>
      </c>
      <c r="F251" s="348" t="s">
        <v>1656</v>
      </c>
      <c r="K251" s="35" t="s">
        <v>4059</v>
      </c>
      <c r="L251" s="36"/>
      <c r="M251" s="36"/>
      <c r="N251" s="36" t="e">
        <v>#N/A</v>
      </c>
    </row>
    <row r="252">
      <c r="A252" s="175" t="s">
        <v>4060</v>
      </c>
      <c r="B252" s="175">
        <v>11049.0</v>
      </c>
      <c r="C252" s="136" t="s">
        <v>17004</v>
      </c>
      <c r="D252" s="179">
        <v>0.65</v>
      </c>
      <c r="E252" s="179">
        <v>0.65</v>
      </c>
      <c r="F252" s="348" t="s">
        <v>1656</v>
      </c>
      <c r="K252" s="35" t="s">
        <v>4060</v>
      </c>
      <c r="L252" s="36"/>
      <c r="M252" s="36"/>
      <c r="N252" s="36" t="e">
        <v>#N/A</v>
      </c>
    </row>
    <row r="253">
      <c r="A253" s="175" t="s">
        <v>4061</v>
      </c>
      <c r="B253" s="175">
        <v>11049.0</v>
      </c>
      <c r="C253" s="136" t="s">
        <v>17004</v>
      </c>
      <c r="D253" s="179">
        <v>0.65</v>
      </c>
      <c r="E253" s="179">
        <v>0.65</v>
      </c>
      <c r="F253" s="348" t="s">
        <v>1656</v>
      </c>
      <c r="K253" s="35" t="s">
        <v>4061</v>
      </c>
      <c r="L253" s="36"/>
      <c r="M253" s="36"/>
      <c r="N253" s="36" t="e">
        <v>#N/A</v>
      </c>
    </row>
    <row r="254">
      <c r="A254" s="175" t="s">
        <v>4062</v>
      </c>
      <c r="B254" s="175">
        <v>11049.0</v>
      </c>
      <c r="C254" s="136" t="s">
        <v>17004</v>
      </c>
      <c r="D254" s="179">
        <v>0.65</v>
      </c>
      <c r="E254" s="179">
        <v>0.65</v>
      </c>
      <c r="F254" s="348" t="s">
        <v>1656</v>
      </c>
      <c r="K254" s="35" t="s">
        <v>4062</v>
      </c>
      <c r="L254" s="36"/>
      <c r="M254" s="36"/>
      <c r="N254" s="36" t="e">
        <v>#N/A</v>
      </c>
    </row>
    <row r="255">
      <c r="A255" s="175" t="s">
        <v>4063</v>
      </c>
      <c r="B255" s="175">
        <v>11049.0</v>
      </c>
      <c r="C255" s="136" t="s">
        <v>17004</v>
      </c>
      <c r="D255" s="179">
        <v>0.65</v>
      </c>
      <c r="E255" s="179">
        <v>0.65</v>
      </c>
      <c r="F255" s="348" t="s">
        <v>1656</v>
      </c>
      <c r="K255" s="35" t="s">
        <v>4063</v>
      </c>
      <c r="L255" s="36"/>
      <c r="M255" s="36"/>
      <c r="N255" s="36" t="e">
        <v>#N/A</v>
      </c>
    </row>
    <row r="256">
      <c r="A256" s="175" t="s">
        <v>4064</v>
      </c>
      <c r="B256" s="175">
        <v>11049.0</v>
      </c>
      <c r="C256" s="136" t="s">
        <v>17004</v>
      </c>
      <c r="D256" s="179">
        <v>0.65</v>
      </c>
      <c r="E256" s="179">
        <v>0.65</v>
      </c>
      <c r="F256" s="348" t="s">
        <v>1656</v>
      </c>
      <c r="K256" s="35" t="s">
        <v>4064</v>
      </c>
      <c r="L256" s="36"/>
      <c r="M256" s="36"/>
      <c r="N256" s="36" t="e">
        <v>#N/A</v>
      </c>
    </row>
    <row r="257">
      <c r="A257" s="175" t="s">
        <v>4065</v>
      </c>
      <c r="B257" s="175">
        <v>11049.0</v>
      </c>
      <c r="C257" s="136" t="s">
        <v>17004</v>
      </c>
      <c r="D257" s="179">
        <v>0.65</v>
      </c>
      <c r="E257" s="179">
        <v>0.65</v>
      </c>
      <c r="F257" s="348" t="s">
        <v>1656</v>
      </c>
      <c r="K257" s="35" t="s">
        <v>4065</v>
      </c>
      <c r="L257" s="36"/>
      <c r="M257" s="36"/>
      <c r="N257" s="36" t="e">
        <v>#N/A</v>
      </c>
    </row>
    <row r="258">
      <c r="A258" s="175" t="s">
        <v>4066</v>
      </c>
      <c r="B258" s="175">
        <v>11049.0</v>
      </c>
      <c r="C258" s="136" t="s">
        <v>17004</v>
      </c>
      <c r="D258" s="179">
        <v>0.65</v>
      </c>
      <c r="E258" s="179">
        <v>0.65</v>
      </c>
      <c r="F258" s="348" t="s">
        <v>1656</v>
      </c>
      <c r="K258" s="35" t="s">
        <v>4066</v>
      </c>
      <c r="L258" s="36"/>
      <c r="M258" s="36"/>
      <c r="N258" s="36" t="e">
        <v>#N/A</v>
      </c>
    </row>
    <row r="259">
      <c r="A259" s="175" t="s">
        <v>4067</v>
      </c>
      <c r="B259" s="175">
        <v>11049.0</v>
      </c>
      <c r="C259" s="136" t="s">
        <v>17004</v>
      </c>
      <c r="D259" s="179">
        <v>0.65</v>
      </c>
      <c r="E259" s="179">
        <v>0.65</v>
      </c>
      <c r="F259" s="348" t="s">
        <v>1656</v>
      </c>
      <c r="K259" s="35" t="s">
        <v>4067</v>
      </c>
      <c r="L259" s="36"/>
      <c r="M259" s="36"/>
      <c r="N259" s="36" t="e">
        <v>#N/A</v>
      </c>
    </row>
    <row r="260">
      <c r="A260" s="175" t="s">
        <v>4068</v>
      </c>
      <c r="B260" s="175">
        <v>11049.0</v>
      </c>
      <c r="C260" s="136" t="s">
        <v>17004</v>
      </c>
      <c r="D260" s="179">
        <v>0.65</v>
      </c>
      <c r="E260" s="179">
        <v>0.65</v>
      </c>
      <c r="F260" s="348" t="s">
        <v>1656</v>
      </c>
      <c r="K260" s="35" t="s">
        <v>4068</v>
      </c>
      <c r="L260" s="36"/>
      <c r="M260" s="36"/>
      <c r="N260" s="36" t="e">
        <v>#N/A</v>
      </c>
    </row>
    <row r="261">
      <c r="A261" s="175" t="s">
        <v>4069</v>
      </c>
      <c r="B261" s="175">
        <v>11049.0</v>
      </c>
      <c r="C261" s="136" t="s">
        <v>17004</v>
      </c>
      <c r="D261" s="179">
        <v>0.65</v>
      </c>
      <c r="E261" s="179">
        <v>0.65</v>
      </c>
      <c r="F261" s="348" t="s">
        <v>1656</v>
      </c>
      <c r="K261" s="35" t="s">
        <v>4069</v>
      </c>
      <c r="L261" s="36"/>
      <c r="M261" s="36"/>
      <c r="N261" s="36" t="e">
        <v>#N/A</v>
      </c>
    </row>
    <row r="262">
      <c r="A262" s="175" t="s">
        <v>4070</v>
      </c>
      <c r="B262" s="175">
        <v>11049.0</v>
      </c>
      <c r="C262" s="136" t="s">
        <v>17004</v>
      </c>
      <c r="D262" s="179">
        <v>0.65</v>
      </c>
      <c r="E262" s="179">
        <v>0.65</v>
      </c>
      <c r="F262" s="348" t="s">
        <v>1656</v>
      </c>
      <c r="K262" s="35" t="s">
        <v>4070</v>
      </c>
      <c r="L262" s="36"/>
      <c r="M262" s="36"/>
      <c r="N262" s="36" t="e">
        <v>#N/A</v>
      </c>
    </row>
    <row r="263">
      <c r="A263" s="175" t="s">
        <v>4071</v>
      </c>
      <c r="B263" s="175">
        <v>11049.0</v>
      </c>
      <c r="C263" s="136" t="s">
        <v>17004</v>
      </c>
      <c r="D263" s="179">
        <v>0.65</v>
      </c>
      <c r="E263" s="179">
        <v>0.65</v>
      </c>
      <c r="F263" s="348" t="s">
        <v>1656</v>
      </c>
      <c r="K263" s="35" t="s">
        <v>4071</v>
      </c>
      <c r="L263" s="36"/>
      <c r="M263" s="36"/>
      <c r="N263" s="36" t="e">
        <v>#N/A</v>
      </c>
    </row>
    <row r="264">
      <c r="A264" s="175" t="s">
        <v>4072</v>
      </c>
      <c r="B264" s="175">
        <v>11049.0</v>
      </c>
      <c r="C264" s="136" t="s">
        <v>17004</v>
      </c>
      <c r="D264" s="179">
        <v>0.65</v>
      </c>
      <c r="E264" s="179">
        <v>0.65</v>
      </c>
      <c r="F264" s="348" t="s">
        <v>1656</v>
      </c>
      <c r="K264" s="35" t="s">
        <v>4072</v>
      </c>
      <c r="L264" s="36"/>
      <c r="M264" s="36"/>
      <c r="N264" s="36" t="e">
        <v>#N/A</v>
      </c>
    </row>
    <row r="265">
      <c r="A265" s="175" t="s">
        <v>4073</v>
      </c>
      <c r="B265" s="175">
        <v>11049.0</v>
      </c>
      <c r="C265" s="136" t="s">
        <v>17004</v>
      </c>
      <c r="D265" s="179">
        <v>0.65</v>
      </c>
      <c r="E265" s="179">
        <v>0.65</v>
      </c>
      <c r="F265" s="348" t="s">
        <v>1656</v>
      </c>
      <c r="K265" s="35" t="s">
        <v>4073</v>
      </c>
      <c r="L265" s="36"/>
      <c r="M265" s="36"/>
      <c r="N265" s="36" t="e">
        <v>#N/A</v>
      </c>
    </row>
    <row r="266">
      <c r="A266" s="175" t="s">
        <v>4074</v>
      </c>
      <c r="B266" s="231"/>
      <c r="C266" s="136" t="s">
        <v>17004</v>
      </c>
      <c r="D266" s="179">
        <v>0.65</v>
      </c>
      <c r="E266" s="179">
        <v>0.65</v>
      </c>
      <c r="F266" s="348" t="s">
        <v>1656</v>
      </c>
      <c r="K266" s="35" t="s">
        <v>4074</v>
      </c>
      <c r="L266" s="36"/>
      <c r="M266" s="36"/>
      <c r="N266" s="36" t="e">
        <v>#N/A</v>
      </c>
    </row>
    <row r="267">
      <c r="A267" s="175" t="s">
        <v>4075</v>
      </c>
      <c r="B267" s="231"/>
      <c r="C267" s="136" t="s">
        <v>17004</v>
      </c>
      <c r="D267" s="179">
        <v>0.65</v>
      </c>
      <c r="E267" s="179">
        <v>0.65</v>
      </c>
      <c r="F267" s="348" t="s">
        <v>1656</v>
      </c>
      <c r="K267" s="35" t="s">
        <v>4075</v>
      </c>
      <c r="L267" s="36"/>
      <c r="M267" s="36"/>
      <c r="N267" s="36" t="e">
        <v>#N/A</v>
      </c>
    </row>
    <row r="268">
      <c r="A268" s="175" t="s">
        <v>4076</v>
      </c>
      <c r="B268" s="231"/>
      <c r="C268" s="136" t="s">
        <v>17004</v>
      </c>
      <c r="D268" s="179">
        <v>0.65</v>
      </c>
      <c r="E268" s="179">
        <v>0.65</v>
      </c>
      <c r="F268" s="348" t="s">
        <v>1656</v>
      </c>
      <c r="K268" s="35" t="s">
        <v>4076</v>
      </c>
      <c r="L268" s="36"/>
      <c r="M268" s="36"/>
      <c r="N268" s="36" t="e">
        <v>#N/A</v>
      </c>
    </row>
    <row r="269">
      <c r="A269" s="175" t="s">
        <v>4077</v>
      </c>
      <c r="B269" s="175">
        <v>11875.0</v>
      </c>
      <c r="C269" s="136" t="s">
        <v>17004</v>
      </c>
      <c r="D269" s="179">
        <v>0.65</v>
      </c>
      <c r="E269" s="179">
        <v>0.65</v>
      </c>
      <c r="F269" s="348" t="s">
        <v>1656</v>
      </c>
      <c r="K269" s="35" t="s">
        <v>4077</v>
      </c>
      <c r="L269" s="36"/>
      <c r="M269" s="36"/>
      <c r="N269" s="36" t="e">
        <v>#N/A</v>
      </c>
    </row>
    <row r="270">
      <c r="A270" s="175" t="s">
        <v>4078</v>
      </c>
      <c r="B270" s="11">
        <v>10861.0</v>
      </c>
      <c r="C270" s="136" t="s">
        <v>17004</v>
      </c>
      <c r="D270" s="179">
        <v>0.65</v>
      </c>
      <c r="E270" s="179">
        <v>0.65</v>
      </c>
      <c r="F270" s="348" t="s">
        <v>1656</v>
      </c>
      <c r="K270" s="35" t="s">
        <v>4078</v>
      </c>
      <c r="L270" s="36"/>
      <c r="M270" s="36"/>
      <c r="N270" s="36" t="e">
        <v>#N/A</v>
      </c>
    </row>
    <row r="271">
      <c r="A271" s="175" t="s">
        <v>4079</v>
      </c>
      <c r="B271" s="231"/>
      <c r="C271" s="136" t="s">
        <v>17004</v>
      </c>
      <c r="D271" s="179">
        <v>0.65</v>
      </c>
      <c r="E271" s="179">
        <v>0.65</v>
      </c>
      <c r="F271" s="348" t="s">
        <v>1656</v>
      </c>
      <c r="K271" s="35" t="s">
        <v>4079</v>
      </c>
      <c r="L271" s="36"/>
      <c r="M271" s="36"/>
      <c r="N271" s="36" t="e">
        <v>#N/A</v>
      </c>
    </row>
    <row r="272">
      <c r="A272" s="175" t="s">
        <v>4080</v>
      </c>
      <c r="B272" s="231"/>
      <c r="C272" s="136" t="s">
        <v>17004</v>
      </c>
      <c r="D272" s="179">
        <v>0.65</v>
      </c>
      <c r="E272" s="179">
        <v>0.65</v>
      </c>
      <c r="F272" s="348" t="s">
        <v>1656</v>
      </c>
      <c r="K272" s="35" t="s">
        <v>4080</v>
      </c>
      <c r="L272" s="36"/>
      <c r="M272" s="36"/>
      <c r="N272" s="36" t="e">
        <v>#N/A</v>
      </c>
    </row>
    <row r="273">
      <c r="A273" s="175" t="s">
        <v>4081</v>
      </c>
      <c r="B273" s="231"/>
      <c r="C273" s="136" t="s">
        <v>17004</v>
      </c>
      <c r="D273" s="179">
        <v>0.65</v>
      </c>
      <c r="E273" s="179">
        <v>0.65</v>
      </c>
      <c r="F273" s="348" t="s">
        <v>1656</v>
      </c>
      <c r="K273" s="35" t="s">
        <v>4081</v>
      </c>
      <c r="L273" s="36"/>
      <c r="M273" s="36"/>
      <c r="N273" s="36" t="e">
        <v>#N/A</v>
      </c>
    </row>
    <row r="274">
      <c r="A274" s="175" t="s">
        <v>4082</v>
      </c>
      <c r="B274" s="231"/>
      <c r="C274" s="136" t="s">
        <v>17004</v>
      </c>
      <c r="D274" s="179">
        <v>0.65</v>
      </c>
      <c r="E274" s="179">
        <v>0.65</v>
      </c>
      <c r="F274" s="348" t="s">
        <v>1656</v>
      </c>
      <c r="K274" s="35" t="s">
        <v>4082</v>
      </c>
      <c r="L274" s="36"/>
      <c r="M274" s="36"/>
      <c r="N274" s="36" t="e">
        <v>#N/A</v>
      </c>
    </row>
    <row r="275">
      <c r="A275" s="175" t="s">
        <v>4083</v>
      </c>
      <c r="B275" s="175">
        <v>14505.0</v>
      </c>
      <c r="C275" s="136" t="s">
        <v>17004</v>
      </c>
      <c r="D275" s="179">
        <v>0.65</v>
      </c>
      <c r="E275" s="179">
        <v>0.65</v>
      </c>
      <c r="F275" s="348" t="s">
        <v>1656</v>
      </c>
      <c r="K275" s="35" t="s">
        <v>4083</v>
      </c>
      <c r="L275" s="36"/>
      <c r="M275" s="36"/>
      <c r="N275" s="36" t="e">
        <v>#N/A</v>
      </c>
    </row>
    <row r="276">
      <c r="A276" s="175" t="s">
        <v>4084</v>
      </c>
      <c r="B276" s="231"/>
      <c r="C276" s="136" t="s">
        <v>17004</v>
      </c>
      <c r="D276" s="179">
        <v>0.65</v>
      </c>
      <c r="E276" s="179">
        <v>0.65</v>
      </c>
      <c r="F276" s="348" t="s">
        <v>1656</v>
      </c>
      <c r="K276" s="35" t="s">
        <v>4084</v>
      </c>
      <c r="L276" s="36"/>
      <c r="M276" s="36"/>
      <c r="N276" s="36" t="e">
        <v>#N/A</v>
      </c>
    </row>
    <row r="277">
      <c r="A277" s="175" t="s">
        <v>4085</v>
      </c>
      <c r="B277" s="175">
        <v>14590.0</v>
      </c>
      <c r="C277" s="136" t="s">
        <v>17004</v>
      </c>
      <c r="D277" s="179">
        <v>0.65</v>
      </c>
      <c r="E277" s="179">
        <v>0.65</v>
      </c>
      <c r="F277" s="348" t="s">
        <v>1656</v>
      </c>
      <c r="K277" s="35" t="s">
        <v>4085</v>
      </c>
      <c r="L277" s="36"/>
      <c r="M277" s="36"/>
      <c r="N277" s="36" t="e">
        <v>#N/A</v>
      </c>
    </row>
    <row r="278">
      <c r="A278" s="175" t="s">
        <v>4086</v>
      </c>
      <c r="B278" s="231"/>
      <c r="C278" s="136" t="s">
        <v>17004</v>
      </c>
      <c r="D278" s="179">
        <v>0.65</v>
      </c>
      <c r="E278" s="179">
        <v>0.65</v>
      </c>
      <c r="F278" s="348" t="s">
        <v>1656</v>
      </c>
      <c r="K278" s="35" t="s">
        <v>4086</v>
      </c>
      <c r="L278" s="36"/>
      <c r="M278" s="36"/>
      <c r="N278" s="36" t="e">
        <v>#N/A</v>
      </c>
    </row>
    <row r="279">
      <c r="A279" s="175" t="s">
        <v>4087</v>
      </c>
      <c r="B279" s="231"/>
      <c r="C279" s="136" t="s">
        <v>17004</v>
      </c>
      <c r="D279" s="179">
        <v>0.65</v>
      </c>
      <c r="E279" s="179">
        <v>0.65</v>
      </c>
      <c r="F279" s="348" t="s">
        <v>1656</v>
      </c>
      <c r="K279" s="35" t="s">
        <v>4087</v>
      </c>
      <c r="L279" s="36"/>
      <c r="M279" s="36"/>
      <c r="N279" s="36" t="e">
        <v>#N/A</v>
      </c>
    </row>
    <row r="280">
      <c r="A280" s="175" t="s">
        <v>4088</v>
      </c>
      <c r="B280" s="175">
        <v>499.0</v>
      </c>
      <c r="C280" s="136" t="s">
        <v>17004</v>
      </c>
      <c r="D280" s="179">
        <v>0.65</v>
      </c>
      <c r="E280" s="179">
        <v>0.65</v>
      </c>
      <c r="F280" s="348" t="s">
        <v>1656</v>
      </c>
      <c r="K280" s="35" t="s">
        <v>4088</v>
      </c>
      <c r="L280" s="36"/>
      <c r="M280" s="36"/>
      <c r="N280" s="36" t="e">
        <v>#N/A</v>
      </c>
    </row>
    <row r="281">
      <c r="A281" s="175" t="s">
        <v>4089</v>
      </c>
      <c r="B281" s="175">
        <v>499.0</v>
      </c>
      <c r="C281" s="136" t="s">
        <v>17004</v>
      </c>
      <c r="D281" s="179">
        <v>0.65</v>
      </c>
      <c r="E281" s="179">
        <v>0.65</v>
      </c>
      <c r="F281" s="348" t="s">
        <v>1656</v>
      </c>
      <c r="K281" s="35" t="s">
        <v>4089</v>
      </c>
      <c r="L281" s="36"/>
      <c r="M281" s="36"/>
      <c r="N281" s="36" t="e">
        <v>#N/A</v>
      </c>
    </row>
    <row r="282">
      <c r="A282" s="175" t="s">
        <v>4090</v>
      </c>
      <c r="B282" s="231"/>
      <c r="C282" s="136" t="s">
        <v>17004</v>
      </c>
      <c r="D282" s="179">
        <v>0.65</v>
      </c>
      <c r="E282" s="179">
        <v>0.65</v>
      </c>
      <c r="F282" s="348" t="s">
        <v>1656</v>
      </c>
      <c r="K282" s="35" t="s">
        <v>4090</v>
      </c>
      <c r="L282" s="36"/>
      <c r="M282" s="36"/>
      <c r="N282" s="36" t="e">
        <v>#N/A</v>
      </c>
    </row>
    <row r="283">
      <c r="A283" s="175" t="s">
        <v>4091</v>
      </c>
      <c r="B283" s="175">
        <v>14590.0</v>
      </c>
      <c r="C283" s="136" t="s">
        <v>17004</v>
      </c>
      <c r="D283" s="179">
        <v>0.65</v>
      </c>
      <c r="E283" s="179">
        <v>0.65</v>
      </c>
      <c r="F283" s="348" t="s">
        <v>1656</v>
      </c>
      <c r="K283" s="35" t="s">
        <v>4091</v>
      </c>
      <c r="L283" s="36"/>
      <c r="M283" s="36"/>
      <c r="N283" s="36" t="e">
        <v>#N/A</v>
      </c>
    </row>
    <row r="284">
      <c r="A284" s="175" t="s">
        <v>4092</v>
      </c>
      <c r="B284" s="231"/>
      <c r="C284" s="136" t="s">
        <v>17004</v>
      </c>
      <c r="D284" s="179">
        <v>0.65</v>
      </c>
      <c r="E284" s="179">
        <v>0.65</v>
      </c>
      <c r="F284" s="348" t="s">
        <v>1656</v>
      </c>
      <c r="K284" s="35" t="s">
        <v>4092</v>
      </c>
      <c r="L284" s="36"/>
      <c r="M284" s="36"/>
      <c r="N284" s="36" t="e">
        <v>#N/A</v>
      </c>
    </row>
    <row r="285">
      <c r="A285" s="175" t="s">
        <v>4093</v>
      </c>
      <c r="B285" s="175">
        <v>6732.0</v>
      </c>
      <c r="C285" s="136" t="s">
        <v>17004</v>
      </c>
      <c r="D285" s="179">
        <v>0.65</v>
      </c>
      <c r="E285" s="179">
        <v>0.65</v>
      </c>
      <c r="F285" s="348" t="s">
        <v>1656</v>
      </c>
      <c r="K285" s="35" t="s">
        <v>4093</v>
      </c>
      <c r="L285" s="36"/>
      <c r="M285" s="36"/>
      <c r="N285" s="36" t="e">
        <v>#N/A</v>
      </c>
    </row>
    <row r="286">
      <c r="A286" s="175" t="s">
        <v>4094</v>
      </c>
      <c r="B286" s="231"/>
      <c r="C286" s="136" t="s">
        <v>17004</v>
      </c>
      <c r="D286" s="179">
        <v>0.65</v>
      </c>
      <c r="E286" s="179">
        <v>0.65</v>
      </c>
      <c r="F286" s="348" t="s">
        <v>1656</v>
      </c>
      <c r="K286" s="35" t="s">
        <v>4094</v>
      </c>
      <c r="L286" s="36"/>
      <c r="M286" s="36"/>
      <c r="N286" s="36" t="e">
        <v>#N/A</v>
      </c>
    </row>
    <row r="287">
      <c r="A287" s="175" t="s">
        <v>4095</v>
      </c>
      <c r="B287" s="231"/>
      <c r="C287" s="136" t="s">
        <v>17004</v>
      </c>
      <c r="D287" s="179">
        <v>0.65</v>
      </c>
      <c r="E287" s="179">
        <v>0.65</v>
      </c>
      <c r="F287" s="348" t="s">
        <v>1656</v>
      </c>
      <c r="K287" s="35" t="s">
        <v>4095</v>
      </c>
      <c r="L287" s="36"/>
      <c r="M287" s="36"/>
      <c r="N287" s="36" t="e">
        <v>#N/A</v>
      </c>
    </row>
    <row r="288">
      <c r="A288" s="175" t="s">
        <v>4096</v>
      </c>
      <c r="B288" s="231"/>
      <c r="C288" s="136" t="s">
        <v>17004</v>
      </c>
      <c r="D288" s="179">
        <v>0.65</v>
      </c>
      <c r="E288" s="179">
        <v>0.65</v>
      </c>
      <c r="F288" s="348" t="s">
        <v>1656</v>
      </c>
      <c r="K288" s="35" t="s">
        <v>4096</v>
      </c>
      <c r="L288" s="36"/>
      <c r="M288" s="36"/>
      <c r="N288" s="36" t="e">
        <v>#N/A</v>
      </c>
    </row>
    <row r="289">
      <c r="A289" s="175" t="s">
        <v>4097</v>
      </c>
      <c r="B289" s="231"/>
      <c r="C289" s="136" t="s">
        <v>17004</v>
      </c>
      <c r="D289" s="179">
        <v>0.65</v>
      </c>
      <c r="E289" s="179">
        <v>0.65</v>
      </c>
      <c r="F289" s="348" t="s">
        <v>1656</v>
      </c>
      <c r="K289" s="35" t="s">
        <v>4097</v>
      </c>
      <c r="L289" s="36"/>
      <c r="M289" s="36"/>
      <c r="N289" s="36" t="e">
        <v>#N/A</v>
      </c>
    </row>
    <row r="290">
      <c r="A290" s="175" t="s">
        <v>4098</v>
      </c>
      <c r="B290" s="175">
        <v>889.0</v>
      </c>
      <c r="C290" s="136" t="s">
        <v>17004</v>
      </c>
      <c r="D290" s="179">
        <v>0.65</v>
      </c>
      <c r="E290" s="179">
        <v>0.65</v>
      </c>
      <c r="F290" s="348" t="s">
        <v>1656</v>
      </c>
      <c r="K290" s="35" t="s">
        <v>4098</v>
      </c>
      <c r="L290" s="36"/>
      <c r="M290" s="36"/>
      <c r="N290" s="36" t="e">
        <v>#N/A</v>
      </c>
    </row>
    <row r="291">
      <c r="A291" s="175" t="s">
        <v>4099</v>
      </c>
      <c r="B291" s="175"/>
      <c r="C291" s="136" t="s">
        <v>17004</v>
      </c>
      <c r="D291" s="179">
        <v>0.65</v>
      </c>
      <c r="E291" s="179">
        <v>0.65</v>
      </c>
      <c r="F291" s="348" t="s">
        <v>1656</v>
      </c>
      <c r="K291" s="35" t="s">
        <v>4099</v>
      </c>
      <c r="L291" s="36"/>
      <c r="M291" s="36"/>
      <c r="N291" s="36" t="e">
        <v>#N/A</v>
      </c>
    </row>
    <row r="292">
      <c r="A292" s="175" t="s">
        <v>4100</v>
      </c>
      <c r="B292" s="231"/>
      <c r="C292" s="136" t="s">
        <v>17004</v>
      </c>
      <c r="D292" s="179">
        <v>0.65</v>
      </c>
      <c r="E292" s="179">
        <v>0.65</v>
      </c>
      <c r="F292" s="348" t="s">
        <v>1656</v>
      </c>
      <c r="K292" s="35" t="s">
        <v>4100</v>
      </c>
      <c r="L292" s="36"/>
      <c r="M292" s="36"/>
      <c r="N292" s="36" t="e">
        <v>#N/A</v>
      </c>
    </row>
    <row r="293">
      <c r="A293" s="175" t="s">
        <v>4101</v>
      </c>
      <c r="B293" s="175">
        <v>6732.0</v>
      </c>
      <c r="C293" s="136" t="s">
        <v>17004</v>
      </c>
      <c r="D293" s="179">
        <v>0.65</v>
      </c>
      <c r="E293" s="179">
        <v>0.65</v>
      </c>
      <c r="F293" s="348" t="s">
        <v>1656</v>
      </c>
      <c r="K293" s="35" t="s">
        <v>4101</v>
      </c>
      <c r="L293" s="36"/>
      <c r="M293" s="36"/>
      <c r="N293" s="36" t="e">
        <v>#N/A</v>
      </c>
    </row>
    <row r="294">
      <c r="A294" s="175" t="s">
        <v>4102</v>
      </c>
      <c r="B294" s="231"/>
      <c r="C294" s="136" t="s">
        <v>17004</v>
      </c>
      <c r="D294" s="179">
        <v>0.65</v>
      </c>
      <c r="E294" s="179">
        <v>0.65</v>
      </c>
      <c r="F294" s="348" t="s">
        <v>1656</v>
      </c>
      <c r="K294" s="35" t="s">
        <v>4102</v>
      </c>
      <c r="L294" s="36"/>
      <c r="M294" s="36"/>
      <c r="N294" s="36" t="e">
        <v>#N/A</v>
      </c>
    </row>
    <row r="295">
      <c r="A295" s="175" t="s">
        <v>4103</v>
      </c>
      <c r="B295" s="231"/>
      <c r="C295" s="136" t="s">
        <v>17004</v>
      </c>
      <c r="D295" s="179">
        <v>0.65</v>
      </c>
      <c r="E295" s="179">
        <v>0.65</v>
      </c>
      <c r="F295" s="348" t="s">
        <v>1656</v>
      </c>
      <c r="K295" s="35" t="s">
        <v>4103</v>
      </c>
      <c r="L295" s="36"/>
      <c r="M295" s="36"/>
      <c r="N295" s="36" t="e">
        <v>#N/A</v>
      </c>
    </row>
    <row r="296">
      <c r="A296" s="175" t="s">
        <v>4104</v>
      </c>
      <c r="B296" s="231"/>
      <c r="C296" s="136" t="s">
        <v>17004</v>
      </c>
      <c r="D296" s="179">
        <v>0.65</v>
      </c>
      <c r="E296" s="179">
        <v>0.65</v>
      </c>
      <c r="F296" s="348" t="s">
        <v>1656</v>
      </c>
      <c r="K296" s="35" t="s">
        <v>4104</v>
      </c>
      <c r="L296" s="36"/>
      <c r="M296" s="36"/>
      <c r="N296" s="36" t="e">
        <v>#N/A</v>
      </c>
    </row>
    <row r="297">
      <c r="A297" s="175" t="s">
        <v>4105</v>
      </c>
      <c r="B297" s="231"/>
      <c r="C297" s="136" t="s">
        <v>17004</v>
      </c>
      <c r="D297" s="179">
        <v>0.65</v>
      </c>
      <c r="E297" s="179">
        <v>0.65</v>
      </c>
      <c r="F297" s="348" t="s">
        <v>1656</v>
      </c>
      <c r="K297" s="35" t="s">
        <v>4105</v>
      </c>
      <c r="L297" s="36"/>
      <c r="M297" s="36"/>
      <c r="N297" s="36" t="e">
        <v>#N/A</v>
      </c>
    </row>
    <row r="298">
      <c r="A298" s="175" t="s">
        <v>4106</v>
      </c>
      <c r="B298" s="231"/>
      <c r="C298" s="136" t="s">
        <v>17004</v>
      </c>
      <c r="D298" s="179">
        <v>0.65</v>
      </c>
      <c r="E298" s="179">
        <v>0.65</v>
      </c>
      <c r="F298" s="348" t="s">
        <v>1656</v>
      </c>
      <c r="K298" s="35" t="s">
        <v>4106</v>
      </c>
      <c r="L298" s="36"/>
      <c r="M298" s="36"/>
      <c r="N298" s="36" t="e">
        <v>#N/A</v>
      </c>
    </row>
    <row r="299">
      <c r="A299" s="175" t="s">
        <v>4107</v>
      </c>
      <c r="B299" s="231"/>
      <c r="C299" s="136" t="s">
        <v>17004</v>
      </c>
      <c r="D299" s="179">
        <v>0.65</v>
      </c>
      <c r="E299" s="179">
        <v>0.65</v>
      </c>
      <c r="F299" s="348" t="s">
        <v>1656</v>
      </c>
      <c r="K299" s="35" t="s">
        <v>4107</v>
      </c>
      <c r="L299" s="36"/>
      <c r="M299" s="36"/>
      <c r="N299" s="36" t="e">
        <v>#N/A</v>
      </c>
    </row>
    <row r="300">
      <c r="A300" s="175" t="s">
        <v>4108</v>
      </c>
      <c r="B300" s="231"/>
      <c r="C300" s="136" t="s">
        <v>17004</v>
      </c>
      <c r="D300" s="179">
        <v>0.65</v>
      </c>
      <c r="E300" s="179">
        <v>0.65</v>
      </c>
      <c r="F300" s="348" t="s">
        <v>1656</v>
      </c>
      <c r="K300" s="35" t="s">
        <v>4108</v>
      </c>
      <c r="L300" s="36"/>
      <c r="M300" s="36"/>
      <c r="N300" s="36" t="e">
        <v>#N/A</v>
      </c>
    </row>
    <row r="301">
      <c r="A301" s="175" t="s">
        <v>4109</v>
      </c>
      <c r="B301" s="231"/>
      <c r="C301" s="136" t="s">
        <v>17004</v>
      </c>
      <c r="D301" s="179">
        <v>0.65</v>
      </c>
      <c r="E301" s="179">
        <v>0.65</v>
      </c>
      <c r="F301" s="348" t="s">
        <v>1656</v>
      </c>
      <c r="K301" s="35" t="s">
        <v>4109</v>
      </c>
      <c r="L301" s="36"/>
      <c r="M301" s="36"/>
      <c r="N301" s="36" t="e">
        <v>#N/A</v>
      </c>
    </row>
    <row r="302">
      <c r="A302" s="175" t="s">
        <v>4110</v>
      </c>
      <c r="B302" s="175">
        <v>14638.0</v>
      </c>
      <c r="C302" s="136" t="s">
        <v>17004</v>
      </c>
      <c r="D302" s="179">
        <v>0.65</v>
      </c>
      <c r="E302" s="179">
        <v>0.65</v>
      </c>
      <c r="F302" s="348" t="s">
        <v>1656</v>
      </c>
      <c r="K302" s="35" t="s">
        <v>4110</v>
      </c>
      <c r="L302" s="36"/>
      <c r="M302" s="36"/>
      <c r="N302" s="36" t="e">
        <v>#N/A</v>
      </c>
    </row>
    <row r="303">
      <c r="A303" s="175" t="s">
        <v>4111</v>
      </c>
      <c r="B303" s="231"/>
      <c r="C303" s="136" t="s">
        <v>17004</v>
      </c>
      <c r="D303" s="179">
        <v>0.65</v>
      </c>
      <c r="E303" s="179">
        <v>0.65</v>
      </c>
      <c r="F303" s="348" t="s">
        <v>1656</v>
      </c>
      <c r="K303" s="35" t="s">
        <v>4111</v>
      </c>
      <c r="L303" s="36"/>
      <c r="M303" s="36"/>
      <c r="N303" s="36" t="e">
        <v>#N/A</v>
      </c>
    </row>
    <row r="304">
      <c r="A304" s="175" t="s">
        <v>4112</v>
      </c>
      <c r="B304" s="231"/>
      <c r="C304" s="136" t="s">
        <v>17004</v>
      </c>
      <c r="D304" s="179">
        <v>0.65</v>
      </c>
      <c r="E304" s="179">
        <v>0.65</v>
      </c>
      <c r="F304" s="348" t="s">
        <v>1656</v>
      </c>
      <c r="K304" s="35" t="s">
        <v>4112</v>
      </c>
      <c r="L304" s="36"/>
      <c r="M304" s="36"/>
      <c r="N304" s="36" t="e">
        <v>#N/A</v>
      </c>
    </row>
    <row r="305">
      <c r="A305" s="175" t="s">
        <v>4113</v>
      </c>
      <c r="B305" s="175">
        <v>14575.0</v>
      </c>
      <c r="C305" s="136" t="s">
        <v>17004</v>
      </c>
      <c r="D305" s="576">
        <v>0.85</v>
      </c>
      <c r="E305" s="74">
        <v>0.85</v>
      </c>
      <c r="F305" s="348" t="s">
        <v>1656</v>
      </c>
      <c r="K305" s="35" t="s">
        <v>4113</v>
      </c>
      <c r="L305" s="36"/>
      <c r="M305" s="36"/>
      <c r="N305" s="36" t="e">
        <v>#N/A</v>
      </c>
    </row>
    <row r="306">
      <c r="A306" s="175" t="s">
        <v>4114</v>
      </c>
      <c r="B306" s="231"/>
      <c r="C306" s="136" t="s">
        <v>17004</v>
      </c>
      <c r="D306" s="179">
        <v>0.65</v>
      </c>
      <c r="E306" s="179">
        <v>0.65</v>
      </c>
      <c r="F306" s="348" t="s">
        <v>1656</v>
      </c>
      <c r="K306" s="35" t="s">
        <v>4114</v>
      </c>
      <c r="L306" s="36"/>
      <c r="M306" s="36"/>
      <c r="N306" s="36" t="e">
        <v>#N/A</v>
      </c>
    </row>
    <row r="307">
      <c r="A307" s="175" t="s">
        <v>4115</v>
      </c>
      <c r="B307" s="231"/>
      <c r="C307" s="136" t="s">
        <v>17004</v>
      </c>
      <c r="D307" s="179">
        <v>0.65</v>
      </c>
      <c r="E307" s="179">
        <v>0.65</v>
      </c>
      <c r="F307" s="348" t="s">
        <v>1656</v>
      </c>
      <c r="K307" s="35" t="s">
        <v>4115</v>
      </c>
      <c r="L307" s="36"/>
      <c r="M307" s="36"/>
      <c r="N307" s="36" t="e">
        <v>#N/A</v>
      </c>
    </row>
    <row r="308">
      <c r="A308" s="175" t="s">
        <v>4116</v>
      </c>
      <c r="B308" s="231"/>
      <c r="C308" s="136" t="s">
        <v>17004</v>
      </c>
      <c r="D308" s="179">
        <v>0.65</v>
      </c>
      <c r="E308" s="179">
        <v>0.65</v>
      </c>
      <c r="F308" s="348" t="s">
        <v>1656</v>
      </c>
      <c r="K308" s="35" t="s">
        <v>4116</v>
      </c>
      <c r="L308" s="36"/>
      <c r="M308" s="36"/>
      <c r="N308" s="36" t="e">
        <v>#N/A</v>
      </c>
    </row>
    <row r="309">
      <c r="A309" s="175" t="s">
        <v>4117</v>
      </c>
      <c r="B309" s="231"/>
      <c r="C309" s="136" t="s">
        <v>17004</v>
      </c>
      <c r="D309" s="179">
        <v>0.65</v>
      </c>
      <c r="E309" s="179">
        <v>0.65</v>
      </c>
      <c r="F309" s="348" t="s">
        <v>1656</v>
      </c>
      <c r="K309" s="35" t="s">
        <v>4117</v>
      </c>
      <c r="L309" s="36"/>
      <c r="M309" s="36"/>
      <c r="N309" s="36" t="e">
        <v>#N/A</v>
      </c>
    </row>
    <row r="310">
      <c r="A310" s="175" t="s">
        <v>4118</v>
      </c>
      <c r="B310" s="175">
        <v>3607.0</v>
      </c>
      <c r="C310" s="136" t="s">
        <v>17004</v>
      </c>
      <c r="D310" s="177">
        <v>0.885</v>
      </c>
      <c r="E310" s="177">
        <v>0.885</v>
      </c>
      <c r="F310" s="348" t="s">
        <v>1656</v>
      </c>
      <c r="K310" s="35" t="s">
        <v>4118</v>
      </c>
      <c r="L310" s="36"/>
      <c r="M310" s="36"/>
      <c r="N310" s="36" t="e">
        <v>#N/A</v>
      </c>
    </row>
    <row r="311">
      <c r="A311" s="175" t="s">
        <v>4119</v>
      </c>
      <c r="B311" s="175">
        <v>3607.0</v>
      </c>
      <c r="C311" s="136" t="s">
        <v>17004</v>
      </c>
      <c r="D311" s="177">
        <v>0.885</v>
      </c>
      <c r="E311" s="177">
        <v>0.885</v>
      </c>
      <c r="F311" s="348" t="s">
        <v>1656</v>
      </c>
      <c r="K311" s="35" t="s">
        <v>4119</v>
      </c>
      <c r="L311" s="36"/>
      <c r="M311" s="36"/>
      <c r="N311" s="36" t="e">
        <v>#N/A</v>
      </c>
    </row>
    <row r="312">
      <c r="A312" s="175" t="s">
        <v>4120</v>
      </c>
      <c r="B312" s="175">
        <v>3607.0</v>
      </c>
      <c r="C312" s="136" t="s">
        <v>17004</v>
      </c>
      <c r="D312" s="177">
        <v>0.885</v>
      </c>
      <c r="E312" s="177">
        <v>0.885</v>
      </c>
      <c r="F312" s="348" t="s">
        <v>1656</v>
      </c>
      <c r="K312" s="35" t="s">
        <v>4120</v>
      </c>
      <c r="L312" s="36"/>
      <c r="M312" s="36"/>
      <c r="N312" s="36" t="e">
        <v>#N/A</v>
      </c>
    </row>
    <row r="313">
      <c r="A313" s="175" t="s">
        <v>4121</v>
      </c>
      <c r="B313" s="175">
        <v>3607.0</v>
      </c>
      <c r="C313" s="136" t="s">
        <v>17004</v>
      </c>
      <c r="D313" s="177">
        <v>0.885</v>
      </c>
      <c r="E313" s="177">
        <v>0.885</v>
      </c>
      <c r="F313" s="348" t="s">
        <v>1656</v>
      </c>
      <c r="K313" s="35" t="s">
        <v>4121</v>
      </c>
      <c r="L313" s="36"/>
      <c r="M313" s="36"/>
      <c r="N313" s="36" t="e">
        <v>#N/A</v>
      </c>
    </row>
    <row r="314">
      <c r="A314" s="175" t="s">
        <v>4122</v>
      </c>
      <c r="B314" s="175">
        <v>3607.0</v>
      </c>
      <c r="C314" s="136" t="s">
        <v>17004</v>
      </c>
      <c r="D314" s="177">
        <v>0.885</v>
      </c>
      <c r="E314" s="177">
        <v>0.885</v>
      </c>
      <c r="F314" s="348" t="s">
        <v>1656</v>
      </c>
      <c r="K314" s="35" t="s">
        <v>4122</v>
      </c>
      <c r="L314" s="36"/>
      <c r="M314" s="36"/>
      <c r="N314" s="36" t="e">
        <v>#N/A</v>
      </c>
    </row>
    <row r="315">
      <c r="A315" s="175" t="s">
        <v>4123</v>
      </c>
      <c r="B315" s="175">
        <v>3607.0</v>
      </c>
      <c r="C315" s="136" t="s">
        <v>17004</v>
      </c>
      <c r="D315" s="177">
        <v>0.885</v>
      </c>
      <c r="E315" s="177">
        <v>0.885</v>
      </c>
      <c r="F315" s="348" t="s">
        <v>1656</v>
      </c>
      <c r="K315" s="35" t="s">
        <v>4123</v>
      </c>
      <c r="L315" s="36"/>
      <c r="M315" s="36"/>
      <c r="N315" s="36" t="e">
        <v>#N/A</v>
      </c>
    </row>
    <row r="316">
      <c r="A316" s="175" t="s">
        <v>4124</v>
      </c>
      <c r="B316" s="175">
        <v>6706.0</v>
      </c>
      <c r="C316" s="136" t="s">
        <v>17004</v>
      </c>
      <c r="D316" s="179">
        <v>0.65</v>
      </c>
      <c r="E316" s="179">
        <v>0.65</v>
      </c>
      <c r="F316" s="348" t="s">
        <v>1656</v>
      </c>
      <c r="K316" s="35" t="s">
        <v>4124</v>
      </c>
      <c r="L316" s="36"/>
      <c r="M316" s="36"/>
      <c r="N316" s="36" t="e">
        <v>#N/A</v>
      </c>
    </row>
    <row r="317">
      <c r="A317" s="175" t="s">
        <v>4125</v>
      </c>
      <c r="B317" s="175">
        <v>6706.0</v>
      </c>
      <c r="C317" s="136" t="s">
        <v>17004</v>
      </c>
      <c r="D317" s="179">
        <v>0.65</v>
      </c>
      <c r="E317" s="179">
        <v>0.65</v>
      </c>
      <c r="F317" s="348" t="s">
        <v>1656</v>
      </c>
      <c r="K317" s="35" t="s">
        <v>4125</v>
      </c>
      <c r="L317" s="36"/>
      <c r="M317" s="36"/>
      <c r="N317" s="36" t="e">
        <v>#N/A</v>
      </c>
    </row>
    <row r="318">
      <c r="A318" s="175" t="s">
        <v>4126</v>
      </c>
      <c r="B318" s="175">
        <v>6706.0</v>
      </c>
      <c r="C318" s="136" t="s">
        <v>17004</v>
      </c>
      <c r="D318" s="179">
        <v>0.65</v>
      </c>
      <c r="E318" s="179">
        <v>0.65</v>
      </c>
      <c r="F318" s="348" t="s">
        <v>1656</v>
      </c>
      <c r="K318" s="35" t="s">
        <v>4126</v>
      </c>
      <c r="L318" s="36"/>
      <c r="M318" s="36"/>
      <c r="N318" s="36" t="e">
        <v>#N/A</v>
      </c>
    </row>
    <row r="319">
      <c r="A319" s="175" t="s">
        <v>4127</v>
      </c>
      <c r="B319" s="175">
        <v>6706.0</v>
      </c>
      <c r="C319" s="136" t="s">
        <v>17004</v>
      </c>
      <c r="D319" s="179">
        <v>0.65</v>
      </c>
      <c r="E319" s="179">
        <v>0.65</v>
      </c>
      <c r="F319" s="348" t="s">
        <v>1656</v>
      </c>
      <c r="K319" s="35" t="s">
        <v>4127</v>
      </c>
      <c r="L319" s="36"/>
      <c r="M319" s="36"/>
      <c r="N319" s="36" t="e">
        <v>#N/A</v>
      </c>
    </row>
    <row r="320">
      <c r="A320" s="175" t="s">
        <v>4128</v>
      </c>
      <c r="B320" s="175">
        <v>3607.0</v>
      </c>
      <c r="C320" s="136" t="s">
        <v>17004</v>
      </c>
      <c r="D320" s="177">
        <v>0.885</v>
      </c>
      <c r="E320" s="177">
        <v>0.885</v>
      </c>
      <c r="F320" s="348" t="s">
        <v>1656</v>
      </c>
      <c r="K320" s="35" t="s">
        <v>4128</v>
      </c>
      <c r="L320" s="36"/>
      <c r="M320" s="36"/>
      <c r="N320" s="36" t="e">
        <v>#N/A</v>
      </c>
    </row>
    <row r="321">
      <c r="A321" s="175" t="s">
        <v>4129</v>
      </c>
      <c r="B321" s="175">
        <v>6706.0</v>
      </c>
      <c r="C321" s="136" t="s">
        <v>17004</v>
      </c>
      <c r="D321" s="179">
        <v>0.65</v>
      </c>
      <c r="E321" s="179">
        <v>0.65</v>
      </c>
      <c r="F321" s="348" t="s">
        <v>1656</v>
      </c>
      <c r="K321" s="35" t="s">
        <v>4129</v>
      </c>
      <c r="L321" s="36"/>
      <c r="M321" s="36"/>
      <c r="N321" s="36" t="e">
        <v>#N/A</v>
      </c>
    </row>
    <row r="322">
      <c r="A322" s="175" t="s">
        <v>4130</v>
      </c>
      <c r="B322" s="231"/>
      <c r="C322" s="136" t="s">
        <v>17004</v>
      </c>
      <c r="D322" s="179">
        <v>0.65</v>
      </c>
      <c r="E322" s="179">
        <v>0.65</v>
      </c>
      <c r="F322" s="348" t="s">
        <v>1656</v>
      </c>
      <c r="K322" s="35" t="s">
        <v>4130</v>
      </c>
      <c r="L322" s="36"/>
      <c r="M322" s="36"/>
      <c r="N322" s="36" t="e">
        <v>#N/A</v>
      </c>
    </row>
    <row r="323">
      <c r="A323" s="25" t="s">
        <v>4131</v>
      </c>
      <c r="B323" s="25">
        <v>909.0</v>
      </c>
      <c r="C323" s="136" t="s">
        <v>17004</v>
      </c>
      <c r="D323" s="179">
        <v>0.65</v>
      </c>
      <c r="E323" s="179">
        <v>0.65</v>
      </c>
      <c r="F323" s="348" t="s">
        <v>1656</v>
      </c>
      <c r="K323" s="35" t="s">
        <v>4131</v>
      </c>
      <c r="L323" s="35">
        <v>909.0</v>
      </c>
      <c r="M323" s="36"/>
      <c r="N323" s="36" t="e">
        <v>#N/A</v>
      </c>
    </row>
    <row r="324">
      <c r="A324" s="25" t="s">
        <v>4132</v>
      </c>
      <c r="B324" s="25">
        <v>7003.0</v>
      </c>
      <c r="C324" s="136" t="s">
        <v>17004</v>
      </c>
      <c r="D324" s="179">
        <v>0.65</v>
      </c>
      <c r="E324" s="179">
        <v>0.65</v>
      </c>
      <c r="F324" s="348" t="s">
        <v>1656</v>
      </c>
      <c r="K324" s="35" t="s">
        <v>4132</v>
      </c>
      <c r="L324" s="35">
        <v>7003.0</v>
      </c>
      <c r="M324" s="36"/>
      <c r="N324" s="36" t="e">
        <v>#N/A</v>
      </c>
    </row>
    <row r="325">
      <c r="A325" s="144" t="s">
        <v>17129</v>
      </c>
      <c r="B325" s="7"/>
      <c r="C325" s="136" t="s">
        <v>17004</v>
      </c>
      <c r="D325" s="179">
        <v>0.65</v>
      </c>
      <c r="E325" s="179">
        <v>0.65</v>
      </c>
      <c r="F325" s="348" t="s">
        <v>1656</v>
      </c>
      <c r="G325" s="11" t="s">
        <v>10980</v>
      </c>
    </row>
    <row r="326">
      <c r="A326" s="144" t="s">
        <v>17130</v>
      </c>
      <c r="B326" s="7"/>
      <c r="C326" s="136" t="s">
        <v>17004</v>
      </c>
      <c r="D326" s="179">
        <v>0.65</v>
      </c>
      <c r="E326" s="179">
        <v>0.65</v>
      </c>
      <c r="F326" s="348" t="s">
        <v>1656</v>
      </c>
      <c r="G326" s="11" t="s">
        <v>10980</v>
      </c>
    </row>
    <row r="327">
      <c r="A327" s="144" t="s">
        <v>17131</v>
      </c>
      <c r="B327" s="7"/>
      <c r="C327" s="136" t="s">
        <v>17004</v>
      </c>
      <c r="D327" s="179">
        <v>0.65</v>
      </c>
      <c r="E327" s="179">
        <v>0.65</v>
      </c>
      <c r="F327" s="348" t="s">
        <v>1656</v>
      </c>
      <c r="G327" s="11" t="s">
        <v>10980</v>
      </c>
    </row>
    <row r="328">
      <c r="A328" s="144" t="s">
        <v>17132</v>
      </c>
      <c r="B328" s="7"/>
      <c r="C328" s="136" t="s">
        <v>17004</v>
      </c>
      <c r="D328" s="179">
        <v>0.65</v>
      </c>
      <c r="E328" s="179">
        <v>0.65</v>
      </c>
      <c r="F328" s="348" t="s">
        <v>1656</v>
      </c>
      <c r="G328" s="11" t="s">
        <v>10980</v>
      </c>
    </row>
    <row r="329">
      <c r="A329" s="144" t="s">
        <v>17133</v>
      </c>
      <c r="B329" s="7"/>
      <c r="C329" s="136" t="s">
        <v>17004</v>
      </c>
      <c r="D329" s="179">
        <v>0.65</v>
      </c>
      <c r="E329" s="179">
        <v>0.65</v>
      </c>
      <c r="F329" s="348" t="s">
        <v>1656</v>
      </c>
      <c r="G329" s="11" t="s">
        <v>10980</v>
      </c>
    </row>
    <row r="330">
      <c r="A330" s="144" t="s">
        <v>17134</v>
      </c>
      <c r="B330" s="7"/>
      <c r="C330" s="136" t="s">
        <v>17004</v>
      </c>
      <c r="D330" s="179">
        <v>0.65</v>
      </c>
      <c r="E330" s="179">
        <v>0.65</v>
      </c>
      <c r="F330" s="348" t="s">
        <v>1656</v>
      </c>
      <c r="G330" s="11" t="s">
        <v>10980</v>
      </c>
    </row>
    <row r="331">
      <c r="A331" s="144" t="s">
        <v>17135</v>
      </c>
      <c r="B331" s="7"/>
      <c r="C331" s="136" t="s">
        <v>17004</v>
      </c>
      <c r="D331" s="179">
        <v>0.65</v>
      </c>
      <c r="E331" s="179">
        <v>0.65</v>
      </c>
      <c r="F331" s="348" t="s">
        <v>1656</v>
      </c>
      <c r="G331" s="11" t="s">
        <v>10980</v>
      </c>
    </row>
    <row r="332">
      <c r="A332" s="7" t="s">
        <v>17136</v>
      </c>
      <c r="B332" s="216">
        <v>8274.0</v>
      </c>
      <c r="C332" s="136" t="s">
        <v>17004</v>
      </c>
      <c r="D332" s="179">
        <v>0.77</v>
      </c>
      <c r="E332" s="179">
        <v>0.77</v>
      </c>
      <c r="F332" s="348" t="s">
        <v>1656</v>
      </c>
      <c r="G332" s="11" t="s">
        <v>10980</v>
      </c>
    </row>
    <row r="333">
      <c r="A333" s="144" t="s">
        <v>17137</v>
      </c>
      <c r="B333" s="216">
        <v>8537.0</v>
      </c>
      <c r="C333" s="136" t="s">
        <v>17004</v>
      </c>
      <c r="D333" s="179">
        <v>0.65</v>
      </c>
      <c r="E333" s="179">
        <v>0.65</v>
      </c>
      <c r="F333" s="348" t="s">
        <v>1656</v>
      </c>
      <c r="G333" s="11" t="s">
        <v>10980</v>
      </c>
    </row>
    <row r="334">
      <c r="A334" s="144" t="s">
        <v>17138</v>
      </c>
      <c r="B334" s="216">
        <v>8483.0</v>
      </c>
      <c r="C334" s="136" t="s">
        <v>17004</v>
      </c>
      <c r="D334" s="179">
        <v>0.65</v>
      </c>
      <c r="E334" s="179">
        <v>0.65</v>
      </c>
      <c r="F334" s="348" t="s">
        <v>1656</v>
      </c>
      <c r="G334" s="11" t="s">
        <v>10980</v>
      </c>
    </row>
    <row r="335">
      <c r="A335" s="144" t="s">
        <v>17139</v>
      </c>
      <c r="B335" s="66">
        <v>8486.0</v>
      </c>
      <c r="C335" s="136" t="s">
        <v>17004</v>
      </c>
      <c r="D335" s="179">
        <v>0.82</v>
      </c>
      <c r="E335" s="179">
        <v>0.82</v>
      </c>
      <c r="F335" s="348" t="s">
        <v>1656</v>
      </c>
      <c r="G335" s="11" t="s">
        <v>10980</v>
      </c>
    </row>
    <row r="336">
      <c r="A336" s="144" t="s">
        <v>17140</v>
      </c>
      <c r="B336" s="7"/>
      <c r="C336" s="136" t="s">
        <v>17004</v>
      </c>
      <c r="D336" s="179">
        <v>0.65</v>
      </c>
      <c r="E336" s="179">
        <v>0.65</v>
      </c>
      <c r="F336" s="348" t="s">
        <v>1656</v>
      </c>
      <c r="G336" s="11" t="s">
        <v>10980</v>
      </c>
    </row>
    <row r="337">
      <c r="A337" s="7" t="s">
        <v>17141</v>
      </c>
      <c r="B337" s="5">
        <v>9030.0</v>
      </c>
      <c r="C337" s="136" t="s">
        <v>17004</v>
      </c>
      <c r="D337" s="179">
        <v>0.65</v>
      </c>
      <c r="E337" s="179">
        <v>0.65</v>
      </c>
      <c r="F337" s="348" t="s">
        <v>1656</v>
      </c>
      <c r="G337" s="11" t="s">
        <v>10980</v>
      </c>
    </row>
    <row r="338">
      <c r="A338" s="144" t="s">
        <v>17142</v>
      </c>
      <c r="B338" s="7"/>
      <c r="C338" s="136" t="s">
        <v>17004</v>
      </c>
      <c r="D338" s="179">
        <v>0.65</v>
      </c>
      <c r="E338" s="179">
        <v>0.65</v>
      </c>
      <c r="F338" s="348" t="s">
        <v>1656</v>
      </c>
      <c r="G338" s="11" t="s">
        <v>10980</v>
      </c>
    </row>
    <row r="339">
      <c r="A339" s="144" t="s">
        <v>17143</v>
      </c>
      <c r="B339" s="5">
        <v>9602.0</v>
      </c>
      <c r="C339" s="136" t="s">
        <v>17004</v>
      </c>
      <c r="D339" s="179">
        <v>0.65</v>
      </c>
      <c r="E339" s="179">
        <v>0.65</v>
      </c>
      <c r="F339" s="348" t="s">
        <v>1656</v>
      </c>
      <c r="G339" s="11" t="s">
        <v>10980</v>
      </c>
    </row>
    <row r="340">
      <c r="A340" s="144" t="s">
        <v>17144</v>
      </c>
      <c r="B340" s="199">
        <v>12277.0</v>
      </c>
      <c r="C340" s="136" t="s">
        <v>17004</v>
      </c>
      <c r="D340" s="179">
        <v>0.65</v>
      </c>
      <c r="E340" s="179">
        <v>0.65</v>
      </c>
      <c r="F340" s="348" t="s">
        <v>1656</v>
      </c>
      <c r="G340" s="11" t="s">
        <v>10980</v>
      </c>
    </row>
    <row r="341">
      <c r="A341" s="144" t="s">
        <v>17145</v>
      </c>
      <c r="B341" s="82">
        <v>12268.0</v>
      </c>
      <c r="C341" s="136" t="s">
        <v>17004</v>
      </c>
      <c r="D341" s="179">
        <v>0.65</v>
      </c>
      <c r="E341" s="179">
        <v>0.65</v>
      </c>
      <c r="F341" s="348" t="s">
        <v>1656</v>
      </c>
      <c r="G341" s="11" t="s">
        <v>10980</v>
      </c>
    </row>
    <row r="342">
      <c r="A342" s="144" t="s">
        <v>17146</v>
      </c>
      <c r="B342" s="7"/>
      <c r="C342" s="136" t="s">
        <v>17004</v>
      </c>
      <c r="D342" s="179">
        <v>0.65</v>
      </c>
      <c r="E342" s="179">
        <v>0.65</v>
      </c>
      <c r="F342" s="348" t="s">
        <v>1656</v>
      </c>
      <c r="G342" s="11" t="s">
        <v>10980</v>
      </c>
    </row>
    <row r="343">
      <c r="A343" s="144" t="s">
        <v>17147</v>
      </c>
      <c r="B343" s="7"/>
      <c r="C343" s="136" t="s">
        <v>17004</v>
      </c>
      <c r="D343" s="179">
        <v>0.65</v>
      </c>
      <c r="E343" s="179">
        <v>0.65</v>
      </c>
      <c r="F343" s="348" t="s">
        <v>1656</v>
      </c>
      <c r="G343" s="11" t="s">
        <v>10980</v>
      </c>
    </row>
    <row r="344">
      <c r="A344" s="144" t="s">
        <v>17148</v>
      </c>
      <c r="B344" s="7"/>
      <c r="C344" s="136" t="s">
        <v>17004</v>
      </c>
      <c r="D344" s="179">
        <v>0.65</v>
      </c>
      <c r="E344" s="179">
        <v>0.65</v>
      </c>
      <c r="F344" s="348" t="s">
        <v>1656</v>
      </c>
      <c r="G344" s="11" t="s">
        <v>10980</v>
      </c>
    </row>
    <row r="345">
      <c r="A345" s="144" t="s">
        <v>17149</v>
      </c>
      <c r="B345" s="7"/>
      <c r="C345" s="136" t="s">
        <v>17004</v>
      </c>
      <c r="D345" s="179">
        <v>0.65</v>
      </c>
      <c r="E345" s="179">
        <v>0.65</v>
      </c>
      <c r="F345" s="348" t="s">
        <v>1656</v>
      </c>
      <c r="G345" s="11" t="s">
        <v>10980</v>
      </c>
    </row>
    <row r="346">
      <c r="A346" s="144" t="s">
        <v>17150</v>
      </c>
      <c r="B346" s="7"/>
      <c r="C346" s="136" t="s">
        <v>17004</v>
      </c>
      <c r="D346" s="179">
        <v>0.65</v>
      </c>
      <c r="E346" s="179">
        <v>0.65</v>
      </c>
      <c r="F346" s="348" t="s">
        <v>1656</v>
      </c>
      <c r="G346" s="11" t="s">
        <v>10980</v>
      </c>
    </row>
    <row r="347">
      <c r="A347" s="144" t="s">
        <v>17151</v>
      </c>
      <c r="B347" s="66">
        <v>12575.0</v>
      </c>
      <c r="C347" s="136" t="s">
        <v>17004</v>
      </c>
      <c r="D347" s="179">
        <v>0.65</v>
      </c>
      <c r="E347" s="179">
        <v>0.65</v>
      </c>
      <c r="F347" s="348" t="s">
        <v>1656</v>
      </c>
      <c r="G347" s="11" t="s">
        <v>10980</v>
      </c>
    </row>
    <row r="348">
      <c r="A348" s="144" t="s">
        <v>17152</v>
      </c>
      <c r="B348" s="51">
        <v>12572.0</v>
      </c>
      <c r="C348" s="136" t="s">
        <v>17004</v>
      </c>
      <c r="D348" s="179">
        <v>0.65</v>
      </c>
      <c r="E348" s="179">
        <v>0.65</v>
      </c>
      <c r="F348" s="348" t="s">
        <v>1656</v>
      </c>
      <c r="G348" s="11" t="s">
        <v>10980</v>
      </c>
    </row>
    <row r="349">
      <c r="A349" s="144" t="s">
        <v>4146</v>
      </c>
      <c r="B349" s="199">
        <v>9814.0</v>
      </c>
      <c r="C349" s="136" t="s">
        <v>17004</v>
      </c>
      <c r="D349" s="179">
        <v>0.65</v>
      </c>
      <c r="E349" s="179">
        <v>0.65</v>
      </c>
      <c r="F349" s="348" t="s">
        <v>1656</v>
      </c>
      <c r="G349" s="11" t="s">
        <v>10980</v>
      </c>
    </row>
    <row r="350">
      <c r="A350" s="144" t="s">
        <v>4147</v>
      </c>
      <c r="B350" s="305">
        <v>12221.0</v>
      </c>
      <c r="C350" s="136" t="s">
        <v>17004</v>
      </c>
      <c r="D350" s="179">
        <v>0.65</v>
      </c>
      <c r="E350" s="179">
        <v>0.65</v>
      </c>
      <c r="F350" s="348" t="s">
        <v>1656</v>
      </c>
      <c r="G350" s="11" t="s">
        <v>10980</v>
      </c>
    </row>
    <row r="351">
      <c r="A351" s="144" t="s">
        <v>4148</v>
      </c>
      <c r="B351" s="3">
        <v>14086.0</v>
      </c>
      <c r="C351" s="136" t="s">
        <v>17004</v>
      </c>
      <c r="D351" s="179">
        <v>0.65</v>
      </c>
      <c r="E351" s="179">
        <v>0.65</v>
      </c>
      <c r="F351" s="348" t="s">
        <v>1656</v>
      </c>
      <c r="G351" s="11" t="s">
        <v>10980</v>
      </c>
    </row>
    <row r="352">
      <c r="A352" s="577" t="s">
        <v>4149</v>
      </c>
      <c r="B352" s="5">
        <v>7873.0</v>
      </c>
      <c r="C352" s="136" t="s">
        <v>17004</v>
      </c>
      <c r="D352" s="179">
        <v>0.65</v>
      </c>
      <c r="E352" s="179">
        <v>0.65</v>
      </c>
      <c r="F352" s="348" t="s">
        <v>1656</v>
      </c>
      <c r="G352" s="11" t="s">
        <v>10980</v>
      </c>
    </row>
    <row r="353">
      <c r="A353" s="144" t="s">
        <v>4150</v>
      </c>
      <c r="B353" s="5">
        <v>8252.0</v>
      </c>
      <c r="C353" s="136" t="s">
        <v>17004</v>
      </c>
      <c r="D353" s="179">
        <v>0.65</v>
      </c>
      <c r="E353" s="179">
        <v>0.65</v>
      </c>
      <c r="F353" s="348" t="s">
        <v>1656</v>
      </c>
      <c r="G353" s="11" t="s">
        <v>10980</v>
      </c>
    </row>
    <row r="354">
      <c r="A354" s="144" t="s">
        <v>4151</v>
      </c>
      <c r="B354" s="216">
        <v>8271.0</v>
      </c>
      <c r="C354" s="136" t="s">
        <v>17004</v>
      </c>
      <c r="D354" s="179">
        <v>0.65</v>
      </c>
      <c r="E354" s="179">
        <v>0.65</v>
      </c>
      <c r="F354" s="348" t="s">
        <v>1656</v>
      </c>
      <c r="G354" s="11" t="s">
        <v>10980</v>
      </c>
    </row>
    <row r="355">
      <c r="A355" s="144" t="s">
        <v>4152</v>
      </c>
      <c r="B355" s="3">
        <v>14166.0</v>
      </c>
      <c r="C355" s="136" t="s">
        <v>17004</v>
      </c>
      <c r="D355" s="179">
        <v>0.65</v>
      </c>
      <c r="E355" s="179">
        <v>0.65</v>
      </c>
      <c r="F355" s="348" t="s">
        <v>1656</v>
      </c>
      <c r="G355" s="11" t="s">
        <v>10980</v>
      </c>
    </row>
    <row r="356">
      <c r="A356" s="144" t="s">
        <v>4153</v>
      </c>
      <c r="B356" s="5">
        <v>9594.0</v>
      </c>
      <c r="C356" s="136" t="s">
        <v>17004</v>
      </c>
      <c r="D356" s="179">
        <v>0.65</v>
      </c>
      <c r="E356" s="179">
        <v>0.65</v>
      </c>
      <c r="F356" s="348" t="s">
        <v>1656</v>
      </c>
      <c r="G356" s="11" t="s">
        <v>10980</v>
      </c>
    </row>
    <row r="357">
      <c r="A357" s="144" t="s">
        <v>4154</v>
      </c>
      <c r="B357" s="5">
        <v>9667.0</v>
      </c>
      <c r="C357" s="136" t="s">
        <v>17004</v>
      </c>
      <c r="D357" s="179">
        <v>0.65</v>
      </c>
      <c r="E357" s="179">
        <v>0.65</v>
      </c>
      <c r="F357" s="348" t="s">
        <v>1656</v>
      </c>
      <c r="G357" s="11" t="s">
        <v>10980</v>
      </c>
    </row>
    <row r="358">
      <c r="A358" s="144" t="s">
        <v>4155</v>
      </c>
      <c r="B358" s="199">
        <v>10368.0</v>
      </c>
      <c r="C358" s="136" t="s">
        <v>17004</v>
      </c>
      <c r="D358" s="179">
        <v>0.65</v>
      </c>
      <c r="E358" s="179">
        <v>0.65</v>
      </c>
      <c r="F358" s="348" t="s">
        <v>1656</v>
      </c>
      <c r="G358" s="11" t="s">
        <v>10980</v>
      </c>
    </row>
    <row r="359">
      <c r="A359" s="577" t="s">
        <v>4156</v>
      </c>
      <c r="B359" s="199">
        <v>10861.0</v>
      </c>
      <c r="C359" s="136" t="s">
        <v>17004</v>
      </c>
      <c r="D359" s="179">
        <v>0.65</v>
      </c>
      <c r="E359" s="179">
        <v>0.65</v>
      </c>
      <c r="F359" s="348" t="s">
        <v>1656</v>
      </c>
      <c r="G359" s="11" t="s">
        <v>10980</v>
      </c>
    </row>
    <row r="360">
      <c r="A360" s="144" t="s">
        <v>4157</v>
      </c>
      <c r="B360" s="216">
        <v>8255.0</v>
      </c>
      <c r="C360" s="136" t="s">
        <v>17004</v>
      </c>
      <c r="D360" s="179">
        <v>0.65</v>
      </c>
      <c r="E360" s="179">
        <v>0.65</v>
      </c>
      <c r="F360" s="348" t="s">
        <v>1656</v>
      </c>
      <c r="G360" s="11" t="s">
        <v>10980</v>
      </c>
    </row>
    <row r="361">
      <c r="A361" s="144" t="s">
        <v>4158</v>
      </c>
      <c r="B361" s="199">
        <v>11105.0</v>
      </c>
      <c r="C361" s="136" t="s">
        <v>17004</v>
      </c>
      <c r="D361" s="179">
        <v>0.65</v>
      </c>
      <c r="E361" s="179">
        <v>0.65</v>
      </c>
      <c r="F361" s="348" t="s">
        <v>1656</v>
      </c>
      <c r="G361" s="11" t="s">
        <v>10980</v>
      </c>
    </row>
    <row r="362">
      <c r="A362" s="144" t="s">
        <v>4159</v>
      </c>
      <c r="B362" s="66">
        <v>11768.0</v>
      </c>
      <c r="C362" s="136" t="s">
        <v>17004</v>
      </c>
      <c r="D362" s="179">
        <v>0.65</v>
      </c>
      <c r="E362" s="179">
        <v>0.65</v>
      </c>
      <c r="F362" s="348" t="s">
        <v>1656</v>
      </c>
      <c r="G362" s="11" t="s">
        <v>10980</v>
      </c>
    </row>
    <row r="363">
      <c r="A363" s="289" t="s">
        <v>4160</v>
      </c>
      <c r="B363" s="289">
        <v>14594.0</v>
      </c>
      <c r="C363" s="136" t="s">
        <v>17004</v>
      </c>
      <c r="D363" s="179">
        <v>0.65</v>
      </c>
      <c r="E363" s="179">
        <v>0.65</v>
      </c>
      <c r="F363" s="348" t="s">
        <v>1656</v>
      </c>
    </row>
    <row r="364">
      <c r="A364" s="289" t="s">
        <v>220</v>
      </c>
      <c r="B364" s="289">
        <v>14663.0</v>
      </c>
      <c r="C364" s="136" t="s">
        <v>17004</v>
      </c>
      <c r="D364" s="179">
        <v>0.65</v>
      </c>
      <c r="E364" s="179">
        <v>0.65</v>
      </c>
      <c r="F364" s="348" t="s">
        <v>1656</v>
      </c>
    </row>
    <row r="365">
      <c r="A365" s="289" t="s">
        <v>43</v>
      </c>
      <c r="B365" s="289">
        <v>14727.0</v>
      </c>
      <c r="C365" s="136" t="s">
        <v>17004</v>
      </c>
      <c r="D365" s="179">
        <v>0.65</v>
      </c>
      <c r="E365" s="179">
        <v>0.65</v>
      </c>
      <c r="F365" s="348" t="s">
        <v>1656</v>
      </c>
    </row>
    <row r="366">
      <c r="A366" s="289" t="s">
        <v>1729</v>
      </c>
      <c r="B366" s="289">
        <v>14727.0</v>
      </c>
      <c r="C366" s="136" t="s">
        <v>17004</v>
      </c>
      <c r="D366" s="179">
        <v>0.65</v>
      </c>
      <c r="E366" s="179">
        <v>0.65</v>
      </c>
      <c r="F366" s="348" t="s">
        <v>1656</v>
      </c>
    </row>
    <row r="367">
      <c r="A367" s="289" t="s">
        <v>1730</v>
      </c>
      <c r="B367" s="289">
        <v>14727.0</v>
      </c>
      <c r="C367" s="136" t="s">
        <v>17004</v>
      </c>
      <c r="D367" s="179">
        <v>0.65</v>
      </c>
      <c r="E367" s="179">
        <v>0.65</v>
      </c>
      <c r="F367" s="348" t="s">
        <v>1656</v>
      </c>
    </row>
    <row r="368">
      <c r="A368" s="283"/>
      <c r="B368" s="283"/>
      <c r="C368" s="283"/>
      <c r="D368" s="283"/>
    </row>
    <row r="369">
      <c r="A369" s="283"/>
      <c r="B369" s="283"/>
      <c r="C369" s="283"/>
      <c r="D369" s="283"/>
    </row>
    <row r="370">
      <c r="A370" s="283"/>
      <c r="B370" s="283"/>
      <c r="C370" s="283"/>
      <c r="D370" s="283"/>
    </row>
    <row r="371">
      <c r="A371" s="283"/>
      <c r="B371" s="283"/>
      <c r="C371" s="283"/>
      <c r="D371" s="283"/>
    </row>
    <row r="372">
      <c r="A372" s="283"/>
      <c r="B372" s="283"/>
      <c r="C372" s="283"/>
      <c r="D372" s="283"/>
    </row>
    <row r="373">
      <c r="A373" s="283"/>
      <c r="B373" s="283"/>
      <c r="C373" s="283"/>
      <c r="D373" s="283"/>
    </row>
    <row r="374">
      <c r="A374" s="283"/>
      <c r="B374" s="283"/>
      <c r="C374" s="283"/>
      <c r="D374" s="283"/>
    </row>
    <row r="375">
      <c r="A375" s="283"/>
      <c r="B375" s="283"/>
      <c r="C375" s="283"/>
      <c r="D375" s="283"/>
    </row>
    <row r="376">
      <c r="A376" s="283"/>
      <c r="B376" s="283"/>
      <c r="C376" s="283"/>
      <c r="D376" s="283"/>
    </row>
    <row r="377">
      <c r="A377" s="283"/>
      <c r="B377" s="283"/>
      <c r="C377" s="283"/>
      <c r="D377" s="283"/>
    </row>
    <row r="378">
      <c r="A378" s="283"/>
      <c r="B378" s="283"/>
      <c r="C378" s="283"/>
      <c r="D378" s="283"/>
    </row>
    <row r="379">
      <c r="A379" s="283"/>
      <c r="B379" s="283"/>
      <c r="C379" s="283"/>
      <c r="D379" s="283"/>
    </row>
    <row r="380">
      <c r="A380" s="283"/>
      <c r="B380" s="283"/>
      <c r="C380" s="283"/>
      <c r="D380" s="283"/>
    </row>
    <row r="381">
      <c r="A381" s="283"/>
      <c r="B381" s="283"/>
      <c r="C381" s="283"/>
      <c r="D381" s="283"/>
    </row>
    <row r="382">
      <c r="A382" s="283"/>
      <c r="B382" s="283"/>
      <c r="C382" s="283"/>
      <c r="D382" s="283"/>
    </row>
    <row r="383">
      <c r="A383" s="283"/>
      <c r="B383" s="283"/>
      <c r="C383" s="283"/>
      <c r="D383" s="283"/>
    </row>
    <row r="384">
      <c r="A384" s="283"/>
      <c r="B384" s="283"/>
      <c r="C384" s="283"/>
      <c r="D384" s="283"/>
    </row>
    <row r="385">
      <c r="A385" s="283"/>
      <c r="B385" s="283"/>
      <c r="C385" s="283"/>
      <c r="D385" s="283"/>
    </row>
    <row r="386">
      <c r="A386" s="283"/>
      <c r="B386" s="283"/>
      <c r="C386" s="283"/>
      <c r="D386" s="283"/>
    </row>
    <row r="387">
      <c r="A387" s="283"/>
      <c r="B387" s="283"/>
      <c r="C387" s="283"/>
      <c r="D387" s="283"/>
    </row>
    <row r="388">
      <c r="A388" s="283"/>
      <c r="B388" s="283"/>
      <c r="C388" s="283"/>
      <c r="D388" s="283"/>
    </row>
    <row r="389">
      <c r="A389" s="283"/>
      <c r="B389" s="283"/>
      <c r="C389" s="283"/>
      <c r="D389" s="283"/>
    </row>
    <row r="390">
      <c r="A390" s="283"/>
      <c r="B390" s="283"/>
      <c r="C390" s="283"/>
      <c r="D390" s="283"/>
    </row>
    <row r="391">
      <c r="A391" s="283"/>
      <c r="B391" s="283"/>
      <c r="C391" s="283"/>
      <c r="D391" s="283"/>
    </row>
    <row r="392">
      <c r="A392" s="283"/>
      <c r="B392" s="283"/>
      <c r="C392" s="283"/>
      <c r="D392" s="283"/>
    </row>
    <row r="393">
      <c r="A393" s="283"/>
      <c r="B393" s="283"/>
      <c r="C393" s="283"/>
      <c r="D393" s="283"/>
    </row>
    <row r="394">
      <c r="A394" s="283"/>
      <c r="B394" s="283"/>
      <c r="C394" s="283"/>
      <c r="D394" s="283"/>
    </row>
    <row r="395">
      <c r="A395" s="283"/>
      <c r="B395" s="283"/>
      <c r="C395" s="283"/>
      <c r="D395" s="283"/>
    </row>
    <row r="396">
      <c r="A396" s="283"/>
      <c r="B396" s="283"/>
      <c r="C396" s="283"/>
      <c r="D396" s="283"/>
    </row>
    <row r="397">
      <c r="A397" s="283"/>
      <c r="B397" s="283"/>
      <c r="C397" s="283"/>
      <c r="D397" s="283"/>
    </row>
    <row r="398">
      <c r="A398" s="283"/>
      <c r="B398" s="283"/>
      <c r="C398" s="283"/>
      <c r="D398" s="283"/>
    </row>
    <row r="399">
      <c r="A399" s="283"/>
      <c r="B399" s="283"/>
      <c r="C399" s="283"/>
      <c r="D399" s="283"/>
    </row>
    <row r="400">
      <c r="A400" s="283"/>
      <c r="B400" s="283"/>
      <c r="C400" s="283"/>
      <c r="D400" s="283"/>
    </row>
    <row r="401">
      <c r="A401" s="283"/>
      <c r="B401" s="283"/>
      <c r="C401" s="283"/>
      <c r="D401" s="283"/>
    </row>
    <row r="402">
      <c r="A402" s="283"/>
      <c r="B402" s="283"/>
      <c r="C402" s="283"/>
      <c r="D402" s="283"/>
    </row>
    <row r="403">
      <c r="A403" s="283"/>
      <c r="B403" s="283"/>
      <c r="C403" s="283"/>
      <c r="D403" s="283"/>
    </row>
    <row r="404">
      <c r="A404" s="283"/>
      <c r="B404" s="283"/>
      <c r="C404" s="283"/>
      <c r="D404" s="283"/>
    </row>
    <row r="405">
      <c r="A405" s="283"/>
      <c r="B405" s="283"/>
      <c r="C405" s="283"/>
      <c r="D405" s="283"/>
    </row>
    <row r="406">
      <c r="A406" s="283"/>
      <c r="B406" s="283"/>
      <c r="C406" s="283"/>
      <c r="D406" s="283"/>
    </row>
    <row r="407">
      <c r="A407" s="283"/>
      <c r="B407" s="283"/>
      <c r="C407" s="283"/>
      <c r="D407" s="283"/>
    </row>
    <row r="408">
      <c r="A408" s="283"/>
      <c r="B408" s="283"/>
      <c r="C408" s="283"/>
      <c r="D408" s="283"/>
    </row>
    <row r="409">
      <c r="A409" s="283"/>
      <c r="B409" s="283"/>
      <c r="C409" s="283"/>
      <c r="D409" s="283"/>
    </row>
    <row r="410">
      <c r="A410" s="283"/>
      <c r="B410" s="283"/>
      <c r="C410" s="283"/>
      <c r="D410" s="283"/>
    </row>
    <row r="411">
      <c r="A411" s="283"/>
      <c r="B411" s="283"/>
      <c r="C411" s="283"/>
      <c r="D411" s="283"/>
    </row>
    <row r="412">
      <c r="A412" s="283"/>
      <c r="B412" s="283"/>
      <c r="C412" s="283"/>
      <c r="D412" s="283"/>
    </row>
    <row r="413">
      <c r="A413" s="283"/>
      <c r="B413" s="283"/>
      <c r="C413" s="283"/>
      <c r="D413" s="283"/>
    </row>
    <row r="414">
      <c r="A414" s="283"/>
      <c r="B414" s="283"/>
      <c r="C414" s="283"/>
      <c r="D414" s="283"/>
    </row>
    <row r="415">
      <c r="A415" s="283"/>
      <c r="B415" s="283"/>
      <c r="C415" s="283"/>
      <c r="D415" s="283"/>
    </row>
    <row r="416">
      <c r="A416" s="283"/>
      <c r="B416" s="283"/>
      <c r="C416" s="283"/>
      <c r="D416" s="283"/>
    </row>
    <row r="417">
      <c r="A417" s="283"/>
      <c r="B417" s="283"/>
      <c r="C417" s="283"/>
      <c r="D417" s="283"/>
    </row>
    <row r="418">
      <c r="A418" s="283"/>
      <c r="B418" s="283"/>
      <c r="C418" s="283"/>
      <c r="D418" s="283"/>
    </row>
    <row r="419">
      <c r="A419" s="283"/>
      <c r="B419" s="283"/>
      <c r="C419" s="283"/>
      <c r="D419" s="283"/>
    </row>
    <row r="420">
      <c r="A420" s="283"/>
      <c r="B420" s="283"/>
      <c r="C420" s="283"/>
      <c r="D420" s="283"/>
    </row>
    <row r="421">
      <c r="A421" s="283"/>
      <c r="B421" s="283"/>
      <c r="C421" s="283"/>
      <c r="D421" s="283"/>
    </row>
    <row r="422">
      <c r="A422" s="283"/>
      <c r="B422" s="283"/>
      <c r="C422" s="283"/>
      <c r="D422" s="283"/>
    </row>
    <row r="423">
      <c r="A423" s="283"/>
      <c r="B423" s="283"/>
      <c r="C423" s="283"/>
      <c r="D423" s="283"/>
    </row>
    <row r="424">
      <c r="A424" s="283"/>
      <c r="B424" s="283"/>
      <c r="C424" s="283"/>
      <c r="D424" s="283"/>
    </row>
    <row r="425">
      <c r="A425" s="283"/>
      <c r="B425" s="283"/>
      <c r="C425" s="283"/>
      <c r="D425" s="283"/>
    </row>
    <row r="426">
      <c r="A426" s="283"/>
      <c r="B426" s="283"/>
      <c r="C426" s="283"/>
      <c r="D426" s="283"/>
    </row>
    <row r="427">
      <c r="A427" s="283"/>
      <c r="B427" s="283"/>
      <c r="C427" s="283"/>
      <c r="D427" s="283"/>
    </row>
    <row r="428">
      <c r="A428" s="283"/>
      <c r="B428" s="283"/>
      <c r="C428" s="283"/>
      <c r="D428" s="283"/>
    </row>
    <row r="429">
      <c r="A429" s="283"/>
      <c r="B429" s="283"/>
      <c r="C429" s="283"/>
      <c r="D429" s="283"/>
    </row>
    <row r="430">
      <c r="A430" s="283"/>
      <c r="B430" s="283"/>
      <c r="C430" s="283"/>
      <c r="D430" s="283"/>
    </row>
    <row r="431">
      <c r="A431" s="283"/>
      <c r="B431" s="283"/>
      <c r="C431" s="283"/>
      <c r="D431" s="283"/>
    </row>
    <row r="432">
      <c r="A432" s="283"/>
      <c r="B432" s="283"/>
      <c r="C432" s="283"/>
      <c r="D432" s="283"/>
    </row>
    <row r="433">
      <c r="A433" s="283"/>
      <c r="B433" s="283"/>
      <c r="C433" s="283"/>
      <c r="D433" s="283"/>
    </row>
    <row r="434">
      <c r="A434" s="283"/>
      <c r="B434" s="283"/>
      <c r="C434" s="283"/>
      <c r="D434" s="283"/>
    </row>
    <row r="435">
      <c r="A435" s="283"/>
      <c r="B435" s="283"/>
      <c r="C435" s="283"/>
      <c r="D435" s="283"/>
    </row>
    <row r="436">
      <c r="A436" s="283"/>
      <c r="B436" s="283"/>
      <c r="C436" s="283"/>
      <c r="D436" s="283"/>
    </row>
    <row r="437">
      <c r="A437" s="283"/>
      <c r="B437" s="283"/>
      <c r="C437" s="283"/>
      <c r="D437" s="283"/>
    </row>
    <row r="438">
      <c r="A438" s="283"/>
      <c r="B438" s="283"/>
      <c r="C438" s="283"/>
      <c r="D438" s="283"/>
    </row>
    <row r="439">
      <c r="A439" s="283"/>
      <c r="B439" s="283"/>
      <c r="C439" s="283"/>
      <c r="D439" s="283"/>
    </row>
    <row r="440">
      <c r="A440" s="283"/>
      <c r="B440" s="283"/>
      <c r="C440" s="283"/>
      <c r="D440" s="283"/>
    </row>
    <row r="441">
      <c r="A441" s="283"/>
      <c r="B441" s="283"/>
      <c r="C441" s="283"/>
      <c r="D441" s="283"/>
    </row>
    <row r="442">
      <c r="A442" s="283"/>
      <c r="B442" s="283"/>
      <c r="C442" s="283"/>
      <c r="D442" s="283"/>
    </row>
    <row r="443">
      <c r="A443" s="283"/>
      <c r="B443" s="283"/>
      <c r="C443" s="283"/>
      <c r="D443" s="283"/>
    </row>
    <row r="444">
      <c r="A444" s="283"/>
      <c r="B444" s="283"/>
      <c r="C444" s="283"/>
      <c r="D444" s="283"/>
    </row>
    <row r="445">
      <c r="A445" s="283"/>
      <c r="B445" s="283"/>
      <c r="C445" s="283"/>
      <c r="D445" s="283"/>
    </row>
    <row r="446">
      <c r="A446" s="283"/>
      <c r="B446" s="283"/>
      <c r="C446" s="283"/>
      <c r="D446" s="283"/>
    </row>
    <row r="447">
      <c r="A447" s="283"/>
      <c r="B447" s="283"/>
      <c r="C447" s="283"/>
      <c r="D447" s="283"/>
    </row>
    <row r="448">
      <c r="A448" s="283"/>
      <c r="B448" s="283"/>
      <c r="C448" s="283"/>
      <c r="D448" s="283"/>
    </row>
    <row r="449">
      <c r="A449" s="283"/>
      <c r="B449" s="283"/>
      <c r="C449" s="283"/>
      <c r="D449" s="283"/>
    </row>
    <row r="450">
      <c r="A450" s="283"/>
      <c r="B450" s="283"/>
      <c r="C450" s="283"/>
      <c r="D450" s="283"/>
    </row>
    <row r="451">
      <c r="A451" s="283"/>
      <c r="B451" s="283"/>
      <c r="C451" s="283"/>
      <c r="D451" s="283"/>
    </row>
    <row r="452">
      <c r="A452" s="283"/>
      <c r="B452" s="283"/>
      <c r="C452" s="283"/>
      <c r="D452" s="283"/>
    </row>
    <row r="453">
      <c r="A453" s="283"/>
      <c r="B453" s="283"/>
      <c r="C453" s="283"/>
      <c r="D453" s="283"/>
    </row>
    <row r="454">
      <c r="A454" s="283"/>
      <c r="B454" s="283"/>
      <c r="C454" s="283"/>
      <c r="D454" s="283"/>
    </row>
    <row r="455">
      <c r="A455" s="283"/>
      <c r="B455" s="283"/>
      <c r="C455" s="283"/>
      <c r="D455" s="283"/>
    </row>
    <row r="456">
      <c r="A456" s="283"/>
      <c r="B456" s="283"/>
      <c r="C456" s="283"/>
      <c r="D456" s="283"/>
    </row>
    <row r="457">
      <c r="A457" s="283"/>
      <c r="B457" s="283"/>
      <c r="C457" s="283"/>
      <c r="D457" s="283"/>
    </row>
    <row r="458">
      <c r="A458" s="283"/>
      <c r="B458" s="283"/>
      <c r="C458" s="283"/>
      <c r="D458" s="283"/>
    </row>
    <row r="459">
      <c r="A459" s="283"/>
      <c r="B459" s="283"/>
      <c r="C459" s="283"/>
      <c r="D459" s="283"/>
    </row>
    <row r="460">
      <c r="A460" s="283"/>
      <c r="B460" s="283"/>
      <c r="C460" s="283"/>
      <c r="D460" s="283"/>
    </row>
    <row r="461">
      <c r="A461" s="283"/>
      <c r="B461" s="283"/>
      <c r="C461" s="283"/>
      <c r="D461" s="283"/>
    </row>
    <row r="462">
      <c r="A462" s="283"/>
      <c r="B462" s="283"/>
      <c r="C462" s="283"/>
      <c r="D462" s="283"/>
    </row>
    <row r="463">
      <c r="A463" s="283"/>
      <c r="B463" s="283"/>
      <c r="C463" s="283"/>
      <c r="D463" s="283"/>
    </row>
    <row r="464">
      <c r="A464" s="283"/>
      <c r="B464" s="283"/>
      <c r="C464" s="283"/>
      <c r="D464" s="283"/>
    </row>
    <row r="465">
      <c r="A465" s="283"/>
      <c r="B465" s="283"/>
      <c r="C465" s="283"/>
      <c r="D465" s="283"/>
    </row>
    <row r="466">
      <c r="A466" s="283"/>
      <c r="B466" s="283"/>
      <c r="C466" s="283"/>
      <c r="D466" s="283"/>
    </row>
    <row r="467">
      <c r="A467" s="283"/>
      <c r="B467" s="283"/>
      <c r="C467" s="283"/>
      <c r="D467" s="283"/>
    </row>
    <row r="468">
      <c r="A468" s="283"/>
      <c r="B468" s="283"/>
      <c r="C468" s="283"/>
      <c r="D468" s="283"/>
    </row>
    <row r="469">
      <c r="A469" s="283"/>
      <c r="B469" s="283"/>
      <c r="C469" s="283"/>
      <c r="D469" s="283"/>
    </row>
    <row r="470">
      <c r="A470" s="283"/>
      <c r="B470" s="283"/>
      <c r="C470" s="283"/>
      <c r="D470" s="283"/>
    </row>
    <row r="471">
      <c r="A471" s="283"/>
      <c r="B471" s="283"/>
      <c r="C471" s="283"/>
      <c r="D471" s="283"/>
    </row>
    <row r="472">
      <c r="A472" s="283"/>
      <c r="B472" s="283"/>
      <c r="C472" s="283"/>
      <c r="D472" s="283"/>
    </row>
    <row r="473">
      <c r="A473" s="283"/>
      <c r="B473" s="283"/>
      <c r="C473" s="283"/>
      <c r="D473" s="283"/>
    </row>
    <row r="474">
      <c r="A474" s="283"/>
      <c r="B474" s="283"/>
      <c r="C474" s="283"/>
      <c r="D474" s="283"/>
    </row>
    <row r="475">
      <c r="A475" s="283"/>
      <c r="B475" s="283"/>
      <c r="C475" s="283"/>
      <c r="D475" s="283"/>
    </row>
    <row r="476">
      <c r="A476" s="283"/>
      <c r="B476" s="283"/>
      <c r="C476" s="283"/>
      <c r="D476" s="283"/>
    </row>
    <row r="477">
      <c r="A477" s="283"/>
      <c r="B477" s="283"/>
      <c r="C477" s="283"/>
      <c r="D477" s="283"/>
    </row>
    <row r="478">
      <c r="A478" s="283"/>
      <c r="B478" s="283"/>
      <c r="C478" s="283"/>
      <c r="D478" s="283"/>
    </row>
    <row r="479">
      <c r="A479" s="283"/>
      <c r="B479" s="283"/>
      <c r="C479" s="283"/>
      <c r="D479" s="283"/>
    </row>
    <row r="480">
      <c r="A480" s="283"/>
      <c r="B480" s="283"/>
      <c r="C480" s="283"/>
      <c r="D480" s="283"/>
    </row>
    <row r="481">
      <c r="A481" s="283"/>
      <c r="B481" s="283"/>
      <c r="C481" s="283"/>
      <c r="D481" s="283"/>
    </row>
    <row r="482">
      <c r="A482" s="283"/>
      <c r="B482" s="283"/>
      <c r="C482" s="283"/>
      <c r="D482" s="283"/>
    </row>
    <row r="483">
      <c r="A483" s="283"/>
      <c r="B483" s="283"/>
      <c r="C483" s="283"/>
      <c r="D483" s="283"/>
    </row>
    <row r="484">
      <c r="A484" s="283"/>
      <c r="B484" s="283"/>
      <c r="C484" s="283"/>
      <c r="D484" s="283"/>
    </row>
    <row r="485">
      <c r="A485" s="283"/>
      <c r="B485" s="283"/>
      <c r="C485" s="283"/>
      <c r="D485" s="283"/>
    </row>
    <row r="486">
      <c r="A486" s="283"/>
      <c r="B486" s="283"/>
      <c r="C486" s="283"/>
      <c r="D486" s="283"/>
    </row>
    <row r="487">
      <c r="A487" s="283"/>
      <c r="B487" s="283"/>
      <c r="C487" s="283"/>
      <c r="D487" s="283"/>
    </row>
    <row r="488">
      <c r="A488" s="283"/>
      <c r="B488" s="283"/>
      <c r="C488" s="283"/>
      <c r="D488" s="283"/>
    </row>
    <row r="489">
      <c r="A489" s="283"/>
      <c r="B489" s="283"/>
      <c r="C489" s="283"/>
      <c r="D489" s="283"/>
    </row>
    <row r="490">
      <c r="A490" s="283"/>
      <c r="B490" s="283"/>
      <c r="C490" s="283"/>
      <c r="D490" s="283"/>
    </row>
    <row r="491">
      <c r="A491" s="283"/>
      <c r="B491" s="283"/>
      <c r="C491" s="283"/>
      <c r="D491" s="283"/>
    </row>
    <row r="492">
      <c r="A492" s="283"/>
      <c r="B492" s="283"/>
      <c r="C492" s="283"/>
      <c r="D492" s="283"/>
    </row>
    <row r="493">
      <c r="A493" s="283"/>
      <c r="B493" s="283"/>
      <c r="C493" s="283"/>
      <c r="D493" s="283"/>
    </row>
    <row r="494">
      <c r="A494" s="283"/>
      <c r="B494" s="283"/>
      <c r="C494" s="283"/>
      <c r="D494" s="283"/>
    </row>
    <row r="495">
      <c r="A495" s="283"/>
      <c r="B495" s="283"/>
      <c r="C495" s="283"/>
      <c r="D495" s="283"/>
    </row>
    <row r="496">
      <c r="A496" s="283"/>
      <c r="B496" s="283"/>
      <c r="C496" s="283"/>
      <c r="D496" s="283"/>
    </row>
    <row r="497">
      <c r="A497" s="283"/>
      <c r="B497" s="283"/>
      <c r="C497" s="283"/>
      <c r="D497" s="283"/>
    </row>
    <row r="498">
      <c r="A498" s="283"/>
      <c r="B498" s="283"/>
      <c r="C498" s="283"/>
      <c r="D498" s="283"/>
    </row>
    <row r="499">
      <c r="A499" s="283"/>
      <c r="B499" s="283"/>
      <c r="C499" s="283"/>
      <c r="D499" s="283"/>
    </row>
    <row r="500">
      <c r="A500" s="283"/>
      <c r="B500" s="283"/>
      <c r="C500" s="283"/>
      <c r="D500" s="283"/>
    </row>
    <row r="501">
      <c r="A501" s="283"/>
      <c r="B501" s="283"/>
      <c r="C501" s="283"/>
      <c r="D501" s="283"/>
    </row>
    <row r="502">
      <c r="A502" s="283"/>
      <c r="B502" s="283"/>
      <c r="C502" s="283"/>
      <c r="D502" s="283"/>
    </row>
    <row r="503">
      <c r="A503" s="283"/>
      <c r="B503" s="283"/>
      <c r="C503" s="283"/>
      <c r="D503" s="283"/>
    </row>
    <row r="504">
      <c r="A504" s="283"/>
      <c r="B504" s="283"/>
      <c r="C504" s="283"/>
      <c r="D504" s="283"/>
    </row>
    <row r="505">
      <c r="A505" s="283"/>
      <c r="B505" s="283"/>
      <c r="C505" s="283"/>
      <c r="D505" s="283"/>
    </row>
    <row r="506">
      <c r="A506" s="283"/>
      <c r="B506" s="283"/>
      <c r="C506" s="283"/>
      <c r="D506" s="283"/>
    </row>
    <row r="507">
      <c r="A507" s="283"/>
      <c r="B507" s="283"/>
      <c r="C507" s="283"/>
      <c r="D507" s="283"/>
    </row>
    <row r="508">
      <c r="A508" s="283"/>
      <c r="B508" s="283"/>
      <c r="C508" s="283"/>
      <c r="D508" s="283"/>
    </row>
    <row r="509">
      <c r="A509" s="283"/>
      <c r="B509" s="283"/>
      <c r="C509" s="283"/>
      <c r="D509" s="283"/>
    </row>
    <row r="510">
      <c r="A510" s="283"/>
      <c r="B510" s="283"/>
      <c r="C510" s="283"/>
      <c r="D510" s="283"/>
    </row>
    <row r="511">
      <c r="A511" s="283"/>
      <c r="B511" s="283"/>
      <c r="C511" s="283"/>
      <c r="D511" s="283"/>
    </row>
    <row r="512">
      <c r="A512" s="283"/>
      <c r="B512" s="283"/>
      <c r="C512" s="283"/>
      <c r="D512" s="283"/>
    </row>
    <row r="513">
      <c r="A513" s="283"/>
      <c r="B513" s="283"/>
      <c r="C513" s="283"/>
      <c r="D513" s="283"/>
    </row>
    <row r="514">
      <c r="A514" s="283"/>
      <c r="B514" s="283"/>
      <c r="C514" s="283"/>
      <c r="D514" s="283"/>
    </row>
    <row r="515">
      <c r="A515" s="283"/>
      <c r="B515" s="283"/>
      <c r="C515" s="283"/>
      <c r="D515" s="283"/>
    </row>
    <row r="516">
      <c r="A516" s="283"/>
      <c r="B516" s="283"/>
      <c r="C516" s="283"/>
      <c r="D516" s="283"/>
    </row>
    <row r="517">
      <c r="A517" s="283"/>
      <c r="B517" s="283"/>
      <c r="C517" s="283"/>
      <c r="D517" s="283"/>
    </row>
    <row r="518">
      <c r="A518" s="283"/>
      <c r="B518" s="283"/>
      <c r="C518" s="283"/>
      <c r="D518" s="283"/>
    </row>
    <row r="519">
      <c r="A519" s="283"/>
      <c r="B519" s="283"/>
      <c r="C519" s="283"/>
      <c r="D519" s="283"/>
    </row>
    <row r="520">
      <c r="A520" s="283"/>
      <c r="B520" s="283"/>
      <c r="C520" s="283"/>
      <c r="D520" s="283"/>
    </row>
    <row r="521">
      <c r="A521" s="283"/>
      <c r="B521" s="283"/>
      <c r="C521" s="283"/>
      <c r="D521" s="283"/>
    </row>
    <row r="522">
      <c r="A522" s="283"/>
      <c r="B522" s="283"/>
      <c r="C522" s="283"/>
      <c r="D522" s="283"/>
    </row>
    <row r="523">
      <c r="A523" s="283"/>
      <c r="B523" s="283"/>
      <c r="C523" s="283"/>
      <c r="D523" s="283"/>
    </row>
    <row r="524">
      <c r="A524" s="283"/>
      <c r="B524" s="283"/>
      <c r="C524" s="283"/>
      <c r="D524" s="283"/>
    </row>
    <row r="525">
      <c r="A525" s="283"/>
      <c r="B525" s="283"/>
      <c r="C525" s="283"/>
      <c r="D525" s="283"/>
    </row>
    <row r="526">
      <c r="A526" s="283"/>
      <c r="B526" s="283"/>
      <c r="C526" s="283"/>
      <c r="D526" s="283"/>
    </row>
    <row r="527">
      <c r="A527" s="283"/>
      <c r="B527" s="283"/>
      <c r="C527" s="283"/>
      <c r="D527" s="283"/>
    </row>
    <row r="528">
      <c r="A528" s="283"/>
      <c r="B528" s="283"/>
      <c r="C528" s="283"/>
      <c r="D528" s="283"/>
    </row>
    <row r="529">
      <c r="A529" s="283"/>
      <c r="B529" s="283"/>
      <c r="C529" s="283"/>
      <c r="D529" s="283"/>
    </row>
    <row r="530">
      <c r="A530" s="283"/>
      <c r="B530" s="283"/>
      <c r="C530" s="283"/>
      <c r="D530" s="283"/>
    </row>
    <row r="531">
      <c r="A531" s="283"/>
      <c r="B531" s="283"/>
      <c r="C531" s="283"/>
      <c r="D531" s="283"/>
    </row>
    <row r="532">
      <c r="A532" s="283"/>
      <c r="B532" s="283"/>
      <c r="C532" s="283"/>
      <c r="D532" s="283"/>
    </row>
    <row r="533">
      <c r="A533" s="283"/>
      <c r="B533" s="283"/>
      <c r="C533" s="283"/>
      <c r="D533" s="283"/>
    </row>
    <row r="534">
      <c r="A534" s="283"/>
      <c r="B534" s="283"/>
      <c r="C534" s="283"/>
      <c r="D534" s="283"/>
    </row>
    <row r="535">
      <c r="A535" s="283"/>
      <c r="B535" s="283"/>
      <c r="C535" s="283"/>
      <c r="D535" s="283"/>
    </row>
    <row r="536">
      <c r="A536" s="283"/>
      <c r="B536" s="283"/>
      <c r="C536" s="283"/>
      <c r="D536" s="283"/>
    </row>
    <row r="537">
      <c r="A537" s="283"/>
      <c r="B537" s="283"/>
      <c r="C537" s="283"/>
      <c r="D537" s="283"/>
    </row>
    <row r="538">
      <c r="A538" s="283"/>
      <c r="B538" s="283"/>
      <c r="C538" s="283"/>
      <c r="D538" s="283"/>
    </row>
    <row r="539">
      <c r="A539" s="283"/>
      <c r="B539" s="283"/>
      <c r="C539" s="283"/>
      <c r="D539" s="283"/>
    </row>
    <row r="540">
      <c r="A540" s="283"/>
      <c r="B540" s="283"/>
      <c r="C540" s="283"/>
      <c r="D540" s="283"/>
    </row>
    <row r="541">
      <c r="A541" s="283"/>
      <c r="B541" s="283"/>
      <c r="C541" s="283"/>
      <c r="D541" s="283"/>
    </row>
    <row r="542">
      <c r="A542" s="283"/>
      <c r="B542" s="283"/>
      <c r="C542" s="283"/>
      <c r="D542" s="283"/>
    </row>
    <row r="543">
      <c r="A543" s="283"/>
      <c r="B543" s="283"/>
      <c r="C543" s="283"/>
      <c r="D543" s="283"/>
    </row>
    <row r="544">
      <c r="A544" s="283"/>
      <c r="B544" s="283"/>
      <c r="C544" s="283"/>
      <c r="D544" s="283"/>
    </row>
    <row r="545">
      <c r="A545" s="283"/>
      <c r="B545" s="283"/>
      <c r="C545" s="283"/>
      <c r="D545" s="283"/>
    </row>
    <row r="546">
      <c r="A546" s="283"/>
      <c r="B546" s="283"/>
      <c r="C546" s="283"/>
      <c r="D546" s="283"/>
    </row>
    <row r="547">
      <c r="A547" s="283"/>
      <c r="B547" s="283"/>
      <c r="C547" s="283"/>
      <c r="D547" s="283"/>
    </row>
    <row r="548">
      <c r="A548" s="283"/>
      <c r="B548" s="283"/>
      <c r="C548" s="283"/>
      <c r="D548" s="283"/>
    </row>
    <row r="549">
      <c r="A549" s="283"/>
      <c r="B549" s="283"/>
      <c r="C549" s="283"/>
      <c r="D549" s="283"/>
    </row>
    <row r="550">
      <c r="A550" s="283"/>
      <c r="B550" s="283"/>
      <c r="C550" s="283"/>
      <c r="D550" s="283"/>
    </row>
    <row r="551">
      <c r="A551" s="283"/>
      <c r="B551" s="283"/>
      <c r="C551" s="283"/>
      <c r="D551" s="283"/>
    </row>
    <row r="552">
      <c r="A552" s="283"/>
      <c r="B552" s="283"/>
      <c r="C552" s="283"/>
      <c r="D552" s="283"/>
    </row>
    <row r="553">
      <c r="A553" s="283"/>
      <c r="B553" s="283"/>
      <c r="C553" s="283"/>
      <c r="D553" s="283"/>
    </row>
    <row r="554">
      <c r="A554" s="283"/>
      <c r="B554" s="283"/>
      <c r="C554" s="283"/>
      <c r="D554" s="283"/>
    </row>
    <row r="555">
      <c r="A555" s="283"/>
      <c r="B555" s="283"/>
      <c r="C555" s="283"/>
      <c r="D555" s="283"/>
    </row>
    <row r="556">
      <c r="A556" s="283"/>
      <c r="B556" s="283"/>
      <c r="C556" s="283"/>
      <c r="D556" s="283"/>
    </row>
    <row r="557">
      <c r="A557" s="283"/>
      <c r="B557" s="283"/>
      <c r="C557" s="283"/>
      <c r="D557" s="283"/>
    </row>
    <row r="558">
      <c r="A558" s="283"/>
      <c r="B558" s="283"/>
      <c r="C558" s="283"/>
      <c r="D558" s="283"/>
    </row>
    <row r="559">
      <c r="A559" s="283"/>
      <c r="B559" s="283"/>
      <c r="C559" s="283"/>
      <c r="D559" s="283"/>
    </row>
    <row r="560">
      <c r="A560" s="283"/>
      <c r="B560" s="283"/>
      <c r="C560" s="283"/>
      <c r="D560" s="283"/>
    </row>
    <row r="561">
      <c r="A561" s="283"/>
      <c r="B561" s="283"/>
      <c r="C561" s="283"/>
      <c r="D561" s="283"/>
    </row>
    <row r="562">
      <c r="A562" s="283"/>
      <c r="B562" s="283"/>
      <c r="C562" s="283"/>
      <c r="D562" s="283"/>
    </row>
    <row r="563">
      <c r="A563" s="283"/>
      <c r="B563" s="283"/>
      <c r="C563" s="283"/>
      <c r="D563" s="283"/>
    </row>
    <row r="564">
      <c r="A564" s="283"/>
      <c r="B564" s="283"/>
      <c r="C564" s="283"/>
      <c r="D564" s="283"/>
    </row>
    <row r="565">
      <c r="A565" s="283"/>
      <c r="B565" s="283"/>
      <c r="C565" s="283"/>
      <c r="D565" s="283"/>
    </row>
    <row r="566">
      <c r="A566" s="283"/>
      <c r="B566" s="283"/>
      <c r="C566" s="283"/>
      <c r="D566" s="283"/>
    </row>
    <row r="567">
      <c r="A567" s="283"/>
      <c r="B567" s="283"/>
      <c r="C567" s="283"/>
      <c r="D567" s="283"/>
    </row>
    <row r="568">
      <c r="A568" s="283"/>
      <c r="B568" s="283"/>
      <c r="C568" s="283"/>
      <c r="D568" s="283"/>
    </row>
    <row r="569">
      <c r="A569" s="283"/>
      <c r="B569" s="283"/>
      <c r="C569" s="283"/>
      <c r="D569" s="283"/>
    </row>
    <row r="570">
      <c r="A570" s="283"/>
      <c r="B570" s="283"/>
      <c r="C570" s="283"/>
      <c r="D570" s="283"/>
    </row>
    <row r="571">
      <c r="A571" s="283"/>
      <c r="B571" s="283"/>
      <c r="C571" s="283"/>
      <c r="D571" s="283"/>
    </row>
    <row r="572">
      <c r="A572" s="283"/>
      <c r="B572" s="283"/>
      <c r="C572" s="283"/>
      <c r="D572" s="283"/>
    </row>
    <row r="573">
      <c r="A573" s="283"/>
      <c r="B573" s="283"/>
      <c r="C573" s="283"/>
      <c r="D573" s="283"/>
    </row>
    <row r="574">
      <c r="A574" s="283"/>
      <c r="B574" s="283"/>
      <c r="C574" s="283"/>
      <c r="D574" s="283"/>
    </row>
    <row r="575">
      <c r="A575" s="283"/>
      <c r="B575" s="283"/>
      <c r="C575" s="283"/>
      <c r="D575" s="283"/>
    </row>
    <row r="576">
      <c r="A576" s="283"/>
      <c r="B576" s="283"/>
      <c r="C576" s="283"/>
      <c r="D576" s="283"/>
    </row>
    <row r="577">
      <c r="A577" s="283"/>
      <c r="B577" s="283"/>
      <c r="C577" s="283"/>
      <c r="D577" s="283"/>
    </row>
    <row r="578">
      <c r="A578" s="283"/>
      <c r="B578" s="283"/>
      <c r="C578" s="283"/>
      <c r="D578" s="283"/>
    </row>
    <row r="579">
      <c r="A579" s="283"/>
      <c r="B579" s="283"/>
      <c r="C579" s="283"/>
      <c r="D579" s="283"/>
    </row>
    <row r="580">
      <c r="A580" s="283"/>
      <c r="B580" s="283"/>
      <c r="C580" s="283"/>
      <c r="D580" s="283"/>
    </row>
    <row r="581">
      <c r="A581" s="283"/>
      <c r="B581" s="283"/>
      <c r="C581" s="283"/>
      <c r="D581" s="283"/>
    </row>
    <row r="582">
      <c r="A582" s="283"/>
      <c r="B582" s="283"/>
      <c r="C582" s="283"/>
      <c r="D582" s="283"/>
    </row>
    <row r="583">
      <c r="A583" s="283"/>
      <c r="B583" s="283"/>
      <c r="C583" s="283"/>
      <c r="D583" s="283"/>
    </row>
    <row r="584">
      <c r="A584" s="283"/>
      <c r="B584" s="283"/>
      <c r="C584" s="283"/>
      <c r="D584" s="283"/>
    </row>
    <row r="585">
      <c r="A585" s="283"/>
      <c r="B585" s="283"/>
      <c r="C585" s="283"/>
      <c r="D585" s="283"/>
    </row>
    <row r="586">
      <c r="A586" s="283"/>
      <c r="B586" s="283"/>
      <c r="C586" s="283"/>
      <c r="D586" s="283"/>
    </row>
    <row r="587">
      <c r="A587" s="283"/>
      <c r="B587" s="283"/>
      <c r="C587" s="283"/>
      <c r="D587" s="283"/>
    </row>
    <row r="588">
      <c r="A588" s="283"/>
      <c r="B588" s="283"/>
      <c r="C588" s="283"/>
      <c r="D588" s="283"/>
    </row>
    <row r="589">
      <c r="A589" s="283"/>
      <c r="B589" s="283"/>
      <c r="C589" s="283"/>
      <c r="D589" s="283"/>
    </row>
    <row r="590">
      <c r="A590" s="283"/>
      <c r="B590" s="283"/>
      <c r="C590" s="283"/>
      <c r="D590" s="283"/>
    </row>
    <row r="591">
      <c r="A591" s="283"/>
      <c r="B591" s="283"/>
      <c r="C591" s="283"/>
      <c r="D591" s="283"/>
    </row>
    <row r="592">
      <c r="A592" s="283"/>
      <c r="B592" s="283"/>
      <c r="C592" s="283"/>
      <c r="D592" s="283"/>
    </row>
    <row r="593">
      <c r="A593" s="283"/>
      <c r="B593" s="283"/>
      <c r="C593" s="283"/>
      <c r="D593" s="283"/>
    </row>
    <row r="594">
      <c r="A594" s="283"/>
      <c r="B594" s="283"/>
      <c r="C594" s="283"/>
      <c r="D594" s="283"/>
    </row>
    <row r="595">
      <c r="A595" s="283"/>
      <c r="B595" s="283"/>
      <c r="C595" s="283"/>
      <c r="D595" s="283"/>
    </row>
    <row r="596">
      <c r="A596" s="283"/>
      <c r="B596" s="283"/>
      <c r="C596" s="283"/>
      <c r="D596" s="283"/>
    </row>
    <row r="597">
      <c r="A597" s="283"/>
      <c r="B597" s="283"/>
      <c r="C597" s="283"/>
      <c r="D597" s="283"/>
    </row>
    <row r="598">
      <c r="A598" s="283"/>
      <c r="B598" s="283"/>
      <c r="C598" s="283"/>
      <c r="D598" s="283"/>
    </row>
    <row r="599">
      <c r="A599" s="283"/>
      <c r="B599" s="283"/>
      <c r="C599" s="283"/>
      <c r="D599" s="283"/>
    </row>
    <row r="600">
      <c r="A600" s="283"/>
      <c r="B600" s="283"/>
      <c r="C600" s="283"/>
      <c r="D600" s="283"/>
    </row>
    <row r="601">
      <c r="A601" s="283"/>
      <c r="B601" s="283"/>
      <c r="C601" s="283"/>
      <c r="D601" s="283"/>
    </row>
    <row r="602">
      <c r="A602" s="283"/>
      <c r="B602" s="283"/>
      <c r="C602" s="283"/>
      <c r="D602" s="283"/>
    </row>
    <row r="603">
      <c r="A603" s="283"/>
      <c r="B603" s="283"/>
      <c r="C603" s="283"/>
      <c r="D603" s="283"/>
    </row>
    <row r="604">
      <c r="A604" s="283"/>
      <c r="B604" s="283"/>
      <c r="C604" s="283"/>
      <c r="D604" s="283"/>
    </row>
    <row r="605">
      <c r="A605" s="283"/>
      <c r="B605" s="283"/>
      <c r="C605" s="283"/>
      <c r="D605" s="283"/>
    </row>
    <row r="606">
      <c r="A606" s="283"/>
      <c r="B606" s="283"/>
      <c r="C606" s="283"/>
      <c r="D606" s="283"/>
    </row>
    <row r="607">
      <c r="A607" s="283"/>
      <c r="B607" s="283"/>
      <c r="C607" s="283"/>
      <c r="D607" s="283"/>
    </row>
    <row r="608">
      <c r="A608" s="283"/>
      <c r="B608" s="283"/>
      <c r="C608" s="283"/>
      <c r="D608" s="283"/>
    </row>
    <row r="609">
      <c r="A609" s="283"/>
      <c r="B609" s="283"/>
      <c r="C609" s="283"/>
      <c r="D609" s="283"/>
    </row>
    <row r="610">
      <c r="A610" s="283"/>
      <c r="B610" s="283"/>
      <c r="C610" s="283"/>
      <c r="D610" s="283"/>
    </row>
    <row r="611">
      <c r="A611" s="283"/>
      <c r="B611" s="283"/>
      <c r="C611" s="283"/>
      <c r="D611" s="283"/>
    </row>
    <row r="612">
      <c r="A612" s="283"/>
      <c r="B612" s="283"/>
      <c r="C612" s="283"/>
      <c r="D612" s="283"/>
    </row>
    <row r="613">
      <c r="A613" s="283"/>
      <c r="B613" s="283"/>
      <c r="C613" s="283"/>
      <c r="D613" s="283"/>
    </row>
    <row r="614">
      <c r="A614" s="283"/>
      <c r="B614" s="283"/>
      <c r="C614" s="283"/>
      <c r="D614" s="283"/>
    </row>
    <row r="615">
      <c r="A615" s="283"/>
      <c r="B615" s="283"/>
      <c r="C615" s="283"/>
      <c r="D615" s="283"/>
    </row>
    <row r="616">
      <c r="A616" s="283"/>
      <c r="B616" s="283"/>
      <c r="C616" s="283"/>
      <c r="D616" s="283"/>
    </row>
    <row r="617">
      <c r="A617" s="283"/>
      <c r="B617" s="283"/>
      <c r="C617" s="283"/>
      <c r="D617" s="283"/>
    </row>
    <row r="618">
      <c r="A618" s="283"/>
      <c r="B618" s="283"/>
      <c r="C618" s="283"/>
      <c r="D618" s="283"/>
    </row>
    <row r="619">
      <c r="A619" s="283"/>
      <c r="B619" s="283"/>
      <c r="C619" s="283"/>
      <c r="D619" s="283"/>
    </row>
    <row r="620">
      <c r="A620" s="283"/>
      <c r="B620" s="283"/>
      <c r="C620" s="283"/>
      <c r="D620" s="283"/>
    </row>
    <row r="621">
      <c r="A621" s="283"/>
      <c r="B621" s="283"/>
      <c r="C621" s="283"/>
      <c r="D621" s="283"/>
    </row>
    <row r="622">
      <c r="A622" s="283"/>
      <c r="B622" s="283"/>
      <c r="C622" s="283"/>
      <c r="D622" s="283"/>
    </row>
    <row r="623">
      <c r="A623" s="283"/>
      <c r="B623" s="283"/>
      <c r="C623" s="283"/>
      <c r="D623" s="283"/>
    </row>
    <row r="624">
      <c r="A624" s="283"/>
      <c r="B624" s="283"/>
      <c r="C624" s="283"/>
      <c r="D624" s="283"/>
    </row>
    <row r="625">
      <c r="A625" s="283"/>
      <c r="B625" s="283"/>
      <c r="C625" s="283"/>
      <c r="D625" s="283"/>
    </row>
    <row r="626">
      <c r="A626" s="283"/>
      <c r="B626" s="283"/>
      <c r="C626" s="283"/>
      <c r="D626" s="283"/>
    </row>
    <row r="627">
      <c r="A627" s="283"/>
      <c r="B627" s="283"/>
      <c r="C627" s="283"/>
      <c r="D627" s="283"/>
    </row>
    <row r="628">
      <c r="A628" s="283"/>
      <c r="B628" s="283"/>
      <c r="C628" s="283"/>
      <c r="D628" s="283"/>
    </row>
    <row r="629">
      <c r="A629" s="283"/>
      <c r="B629" s="283"/>
      <c r="C629" s="283"/>
      <c r="D629" s="283"/>
    </row>
    <row r="630">
      <c r="A630" s="283"/>
      <c r="B630" s="283"/>
      <c r="C630" s="283"/>
      <c r="D630" s="283"/>
    </row>
    <row r="631">
      <c r="A631" s="283"/>
      <c r="B631" s="283"/>
      <c r="C631" s="283"/>
      <c r="D631" s="283"/>
    </row>
    <row r="632">
      <c r="A632" s="283"/>
      <c r="B632" s="283"/>
      <c r="C632" s="283"/>
      <c r="D632" s="283"/>
    </row>
    <row r="633">
      <c r="A633" s="283"/>
      <c r="B633" s="283"/>
      <c r="C633" s="283"/>
      <c r="D633" s="283"/>
    </row>
    <row r="634">
      <c r="A634" s="283"/>
      <c r="B634" s="283"/>
      <c r="C634" s="283"/>
      <c r="D634" s="283"/>
    </row>
    <row r="635">
      <c r="A635" s="283"/>
      <c r="B635" s="283"/>
      <c r="C635" s="283"/>
      <c r="D635" s="283"/>
    </row>
    <row r="636">
      <c r="A636" s="283"/>
      <c r="B636" s="283"/>
      <c r="C636" s="283"/>
      <c r="D636" s="283"/>
    </row>
    <row r="637">
      <c r="A637" s="283"/>
      <c r="B637" s="283"/>
      <c r="C637" s="283"/>
      <c r="D637" s="283"/>
    </row>
    <row r="638">
      <c r="A638" s="283"/>
      <c r="B638" s="283"/>
      <c r="C638" s="283"/>
      <c r="D638" s="283"/>
    </row>
    <row r="639">
      <c r="A639" s="283"/>
      <c r="B639" s="283"/>
      <c r="C639" s="283"/>
      <c r="D639" s="283"/>
    </row>
    <row r="640">
      <c r="A640" s="283"/>
      <c r="B640" s="283"/>
      <c r="C640" s="283"/>
      <c r="D640" s="283"/>
    </row>
    <row r="641">
      <c r="A641" s="283"/>
      <c r="B641" s="283"/>
      <c r="C641" s="283"/>
      <c r="D641" s="283"/>
    </row>
    <row r="642">
      <c r="A642" s="283"/>
      <c r="B642" s="283"/>
      <c r="C642" s="283"/>
      <c r="D642" s="283"/>
    </row>
    <row r="643">
      <c r="A643" s="283"/>
      <c r="B643" s="283"/>
      <c r="C643" s="283"/>
      <c r="D643" s="283"/>
    </row>
    <row r="644">
      <c r="A644" s="283"/>
      <c r="B644" s="283"/>
      <c r="C644" s="283"/>
      <c r="D644" s="283"/>
    </row>
    <row r="645">
      <c r="A645" s="283"/>
      <c r="B645" s="283"/>
      <c r="C645" s="283"/>
      <c r="D645" s="283"/>
    </row>
    <row r="646">
      <c r="A646" s="283"/>
      <c r="B646" s="283"/>
      <c r="C646" s="283"/>
      <c r="D646" s="283"/>
    </row>
    <row r="647">
      <c r="A647" s="283"/>
      <c r="B647" s="283"/>
      <c r="C647" s="283"/>
      <c r="D647" s="283"/>
    </row>
    <row r="648">
      <c r="A648" s="283"/>
      <c r="B648" s="283"/>
      <c r="C648" s="283"/>
      <c r="D648" s="283"/>
    </row>
    <row r="649">
      <c r="A649" s="283"/>
      <c r="B649" s="283"/>
      <c r="C649" s="283"/>
      <c r="D649" s="283"/>
    </row>
    <row r="650">
      <c r="A650" s="283"/>
      <c r="B650" s="283"/>
      <c r="C650" s="283"/>
      <c r="D650" s="283"/>
    </row>
    <row r="651">
      <c r="A651" s="283"/>
      <c r="B651" s="283"/>
      <c r="C651" s="283"/>
      <c r="D651" s="283"/>
    </row>
    <row r="652">
      <c r="A652" s="283"/>
      <c r="B652" s="283"/>
      <c r="C652" s="283"/>
      <c r="D652" s="283"/>
    </row>
    <row r="653">
      <c r="A653" s="283"/>
      <c r="B653" s="283"/>
      <c r="C653" s="283"/>
      <c r="D653" s="283"/>
    </row>
    <row r="654">
      <c r="A654" s="283"/>
      <c r="B654" s="283"/>
      <c r="C654" s="283"/>
      <c r="D654" s="283"/>
    </row>
    <row r="655">
      <c r="A655" s="283"/>
      <c r="B655" s="283"/>
      <c r="C655" s="283"/>
      <c r="D655" s="283"/>
    </row>
    <row r="656">
      <c r="A656" s="283"/>
      <c r="B656" s="283"/>
      <c r="C656" s="283"/>
      <c r="D656" s="283"/>
    </row>
    <row r="657">
      <c r="A657" s="283"/>
      <c r="B657" s="283"/>
      <c r="C657" s="283"/>
      <c r="D657" s="283"/>
    </row>
    <row r="658">
      <c r="A658" s="283"/>
      <c r="B658" s="283"/>
      <c r="C658" s="283"/>
      <c r="D658" s="283"/>
    </row>
    <row r="659">
      <c r="A659" s="283"/>
      <c r="B659" s="283"/>
      <c r="C659" s="283"/>
      <c r="D659" s="283"/>
    </row>
    <row r="660">
      <c r="A660" s="283"/>
      <c r="B660" s="283"/>
      <c r="C660" s="283"/>
      <c r="D660" s="283"/>
    </row>
    <row r="661">
      <c r="A661" s="283"/>
      <c r="B661" s="283"/>
      <c r="C661" s="283"/>
      <c r="D661" s="283"/>
    </row>
    <row r="662">
      <c r="A662" s="283"/>
      <c r="B662" s="283"/>
      <c r="C662" s="283"/>
      <c r="D662" s="283"/>
    </row>
    <row r="663">
      <c r="A663" s="283"/>
      <c r="B663" s="283"/>
      <c r="C663" s="283"/>
      <c r="D663" s="283"/>
    </row>
    <row r="664">
      <c r="A664" s="283"/>
      <c r="B664" s="283"/>
      <c r="C664" s="283"/>
      <c r="D664" s="283"/>
    </row>
    <row r="665">
      <c r="A665" s="283"/>
      <c r="B665" s="283"/>
      <c r="C665" s="283"/>
      <c r="D665" s="283"/>
    </row>
    <row r="666">
      <c r="A666" s="283"/>
      <c r="B666" s="283"/>
      <c r="C666" s="283"/>
      <c r="D666" s="283"/>
    </row>
    <row r="667">
      <c r="A667" s="283"/>
      <c r="B667" s="283"/>
      <c r="C667" s="283"/>
      <c r="D667" s="283"/>
    </row>
    <row r="668">
      <c r="A668" s="283"/>
      <c r="B668" s="283"/>
      <c r="C668" s="283"/>
      <c r="D668" s="283"/>
    </row>
    <row r="669">
      <c r="A669" s="283"/>
      <c r="B669" s="283"/>
      <c r="C669" s="283"/>
      <c r="D669" s="283"/>
    </row>
    <row r="670">
      <c r="A670" s="283"/>
      <c r="B670" s="283"/>
      <c r="C670" s="283"/>
      <c r="D670" s="283"/>
    </row>
    <row r="671">
      <c r="A671" s="283"/>
      <c r="B671" s="283"/>
      <c r="C671" s="283"/>
      <c r="D671" s="283"/>
    </row>
    <row r="672">
      <c r="A672" s="283"/>
      <c r="B672" s="283"/>
      <c r="C672" s="283"/>
      <c r="D672" s="283"/>
    </row>
    <row r="673">
      <c r="A673" s="283"/>
      <c r="B673" s="283"/>
      <c r="C673" s="283"/>
      <c r="D673" s="283"/>
    </row>
    <row r="674">
      <c r="A674" s="283"/>
      <c r="B674" s="283"/>
      <c r="C674" s="283"/>
      <c r="D674" s="283"/>
    </row>
    <row r="675">
      <c r="A675" s="283"/>
      <c r="B675" s="283"/>
      <c r="C675" s="283"/>
      <c r="D675" s="283"/>
    </row>
    <row r="676">
      <c r="A676" s="283"/>
      <c r="B676" s="283"/>
      <c r="C676" s="283"/>
      <c r="D676" s="283"/>
    </row>
    <row r="677">
      <c r="A677" s="283"/>
      <c r="B677" s="283"/>
      <c r="C677" s="283"/>
      <c r="D677" s="283"/>
    </row>
    <row r="678">
      <c r="A678" s="283"/>
      <c r="B678" s="283"/>
      <c r="C678" s="283"/>
      <c r="D678" s="283"/>
    </row>
    <row r="679">
      <c r="A679" s="283"/>
      <c r="B679" s="283"/>
      <c r="C679" s="283"/>
      <c r="D679" s="283"/>
    </row>
    <row r="680">
      <c r="A680" s="283"/>
      <c r="B680" s="283"/>
      <c r="C680" s="283"/>
      <c r="D680" s="283"/>
    </row>
    <row r="681">
      <c r="A681" s="283"/>
      <c r="B681" s="283"/>
      <c r="C681" s="283"/>
      <c r="D681" s="283"/>
    </row>
    <row r="682">
      <c r="A682" s="283"/>
      <c r="B682" s="283"/>
      <c r="C682" s="283"/>
      <c r="D682" s="283"/>
    </row>
    <row r="683">
      <c r="A683" s="283"/>
      <c r="B683" s="283"/>
      <c r="C683" s="283"/>
      <c r="D683" s="283"/>
    </row>
    <row r="684">
      <c r="A684" s="283"/>
      <c r="B684" s="283"/>
      <c r="C684" s="283"/>
      <c r="D684" s="283"/>
    </row>
    <row r="685">
      <c r="A685" s="283"/>
      <c r="B685" s="283"/>
      <c r="C685" s="283"/>
      <c r="D685" s="283"/>
    </row>
    <row r="686">
      <c r="A686" s="283"/>
      <c r="B686" s="283"/>
      <c r="C686" s="283"/>
      <c r="D686" s="283"/>
    </row>
    <row r="687">
      <c r="A687" s="283"/>
      <c r="B687" s="283"/>
      <c r="C687" s="283"/>
      <c r="D687" s="283"/>
    </row>
    <row r="688">
      <c r="A688" s="283"/>
      <c r="B688" s="283"/>
      <c r="C688" s="283"/>
      <c r="D688" s="283"/>
    </row>
    <row r="689">
      <c r="A689" s="283"/>
      <c r="B689" s="283"/>
      <c r="C689" s="283"/>
      <c r="D689" s="283"/>
    </row>
    <row r="690">
      <c r="A690" s="283"/>
      <c r="B690" s="283"/>
      <c r="C690" s="283"/>
      <c r="D690" s="283"/>
    </row>
    <row r="691">
      <c r="A691" s="283"/>
      <c r="B691" s="283"/>
      <c r="C691" s="283"/>
      <c r="D691" s="283"/>
    </row>
    <row r="692">
      <c r="A692" s="283"/>
      <c r="B692" s="283"/>
      <c r="C692" s="283"/>
      <c r="D692" s="283"/>
    </row>
    <row r="693">
      <c r="A693" s="283"/>
      <c r="B693" s="283"/>
      <c r="C693" s="283"/>
      <c r="D693" s="283"/>
    </row>
    <row r="694">
      <c r="A694" s="283"/>
      <c r="B694" s="283"/>
      <c r="C694" s="283"/>
      <c r="D694" s="283"/>
    </row>
    <row r="695">
      <c r="A695" s="283"/>
      <c r="B695" s="283"/>
      <c r="C695" s="283"/>
      <c r="D695" s="283"/>
    </row>
    <row r="696">
      <c r="A696" s="283"/>
      <c r="B696" s="283"/>
      <c r="C696" s="283"/>
      <c r="D696" s="283"/>
    </row>
    <row r="697">
      <c r="A697" s="283"/>
      <c r="B697" s="283"/>
      <c r="C697" s="283"/>
      <c r="D697" s="283"/>
    </row>
    <row r="698">
      <c r="A698" s="283"/>
      <c r="B698" s="283"/>
      <c r="C698" s="283"/>
      <c r="D698" s="283"/>
    </row>
    <row r="699">
      <c r="A699" s="283"/>
      <c r="B699" s="283"/>
      <c r="C699" s="283"/>
      <c r="D699" s="283"/>
    </row>
    <row r="700">
      <c r="A700" s="283"/>
      <c r="B700" s="283"/>
      <c r="C700" s="283"/>
      <c r="D700" s="283"/>
    </row>
    <row r="701">
      <c r="A701" s="283"/>
      <c r="B701" s="283"/>
      <c r="C701" s="283"/>
      <c r="D701" s="283"/>
    </row>
    <row r="702">
      <c r="A702" s="283"/>
      <c r="B702" s="283"/>
      <c r="C702" s="283"/>
      <c r="D702" s="283"/>
    </row>
    <row r="703">
      <c r="A703" s="283"/>
      <c r="B703" s="283"/>
      <c r="C703" s="283"/>
      <c r="D703" s="283"/>
    </row>
    <row r="704">
      <c r="A704" s="283"/>
      <c r="B704" s="283"/>
      <c r="C704" s="283"/>
      <c r="D704" s="283"/>
    </row>
    <row r="705">
      <c r="A705" s="283"/>
      <c r="B705" s="283"/>
      <c r="C705" s="283"/>
      <c r="D705" s="283"/>
    </row>
    <row r="706">
      <c r="A706" s="283"/>
      <c r="B706" s="283"/>
      <c r="C706" s="283"/>
      <c r="D706" s="283"/>
    </row>
    <row r="707">
      <c r="A707" s="283"/>
      <c r="B707" s="283"/>
      <c r="C707" s="283"/>
      <c r="D707" s="283"/>
    </row>
    <row r="708">
      <c r="A708" s="283"/>
      <c r="B708" s="283"/>
      <c r="C708" s="283"/>
      <c r="D708" s="283"/>
    </row>
    <row r="709">
      <c r="A709" s="283"/>
      <c r="B709" s="283"/>
      <c r="C709" s="283"/>
      <c r="D709" s="283"/>
    </row>
    <row r="710">
      <c r="A710" s="283"/>
      <c r="B710" s="283"/>
      <c r="C710" s="283"/>
      <c r="D710" s="283"/>
    </row>
    <row r="711">
      <c r="A711" s="283"/>
      <c r="B711" s="283"/>
      <c r="C711" s="283"/>
      <c r="D711" s="283"/>
    </row>
    <row r="712">
      <c r="A712" s="283"/>
      <c r="B712" s="283"/>
      <c r="C712" s="283"/>
      <c r="D712" s="283"/>
    </row>
    <row r="713">
      <c r="A713" s="283"/>
      <c r="B713" s="283"/>
      <c r="C713" s="283"/>
      <c r="D713" s="283"/>
    </row>
    <row r="714">
      <c r="A714" s="283"/>
      <c r="B714" s="283"/>
      <c r="C714" s="283"/>
      <c r="D714" s="283"/>
    </row>
    <row r="715">
      <c r="A715" s="283"/>
      <c r="B715" s="283"/>
      <c r="C715" s="283"/>
      <c r="D715" s="283"/>
    </row>
    <row r="716">
      <c r="A716" s="283"/>
      <c r="B716" s="283"/>
      <c r="C716" s="283"/>
      <c r="D716" s="283"/>
    </row>
    <row r="717">
      <c r="A717" s="283"/>
      <c r="B717" s="283"/>
      <c r="C717" s="283"/>
      <c r="D717" s="283"/>
    </row>
    <row r="718">
      <c r="A718" s="283"/>
      <c r="B718" s="283"/>
      <c r="C718" s="283"/>
      <c r="D718" s="283"/>
    </row>
    <row r="719">
      <c r="A719" s="283"/>
      <c r="B719" s="283"/>
      <c r="C719" s="283"/>
      <c r="D719" s="283"/>
    </row>
    <row r="720">
      <c r="A720" s="283"/>
      <c r="B720" s="283"/>
      <c r="C720" s="283"/>
      <c r="D720" s="283"/>
    </row>
    <row r="721">
      <c r="A721" s="283"/>
      <c r="B721" s="283"/>
      <c r="C721" s="283"/>
      <c r="D721" s="283"/>
    </row>
    <row r="722">
      <c r="A722" s="283"/>
      <c r="B722" s="283"/>
      <c r="C722" s="283"/>
      <c r="D722" s="283"/>
    </row>
    <row r="723">
      <c r="A723" s="283"/>
      <c r="B723" s="283"/>
      <c r="C723" s="283"/>
      <c r="D723" s="283"/>
    </row>
    <row r="724">
      <c r="A724" s="283"/>
      <c r="B724" s="283"/>
      <c r="C724" s="283"/>
      <c r="D724" s="283"/>
    </row>
    <row r="725">
      <c r="A725" s="283"/>
      <c r="B725" s="283"/>
      <c r="C725" s="283"/>
      <c r="D725" s="283"/>
    </row>
    <row r="726">
      <c r="A726" s="283"/>
      <c r="B726" s="283"/>
      <c r="C726" s="283"/>
      <c r="D726" s="283"/>
    </row>
    <row r="727">
      <c r="A727" s="283"/>
      <c r="B727" s="283"/>
      <c r="C727" s="283"/>
      <c r="D727" s="283"/>
    </row>
    <row r="728">
      <c r="A728" s="283"/>
      <c r="B728" s="283"/>
      <c r="C728" s="283"/>
      <c r="D728" s="283"/>
    </row>
    <row r="729">
      <c r="A729" s="283"/>
      <c r="B729" s="283"/>
      <c r="C729" s="283"/>
      <c r="D729" s="283"/>
    </row>
    <row r="730">
      <c r="A730" s="283"/>
      <c r="B730" s="283"/>
      <c r="C730" s="283"/>
      <c r="D730" s="283"/>
    </row>
    <row r="731">
      <c r="A731" s="283"/>
      <c r="B731" s="283"/>
      <c r="C731" s="283"/>
      <c r="D731" s="283"/>
    </row>
    <row r="732">
      <c r="A732" s="283"/>
      <c r="B732" s="283"/>
      <c r="C732" s="283"/>
      <c r="D732" s="283"/>
    </row>
    <row r="733">
      <c r="A733" s="283"/>
      <c r="B733" s="283"/>
      <c r="C733" s="283"/>
      <c r="D733" s="283"/>
    </row>
    <row r="734">
      <c r="A734" s="283"/>
      <c r="B734" s="283"/>
      <c r="C734" s="283"/>
      <c r="D734" s="283"/>
    </row>
    <row r="735">
      <c r="A735" s="283"/>
      <c r="B735" s="283"/>
      <c r="C735" s="283"/>
      <c r="D735" s="283"/>
    </row>
    <row r="736">
      <c r="A736" s="283"/>
      <c r="B736" s="283"/>
      <c r="C736" s="283"/>
      <c r="D736" s="283"/>
    </row>
    <row r="737">
      <c r="A737" s="283"/>
      <c r="B737" s="283"/>
      <c r="C737" s="283"/>
      <c r="D737" s="283"/>
    </row>
    <row r="738">
      <c r="A738" s="283"/>
      <c r="B738" s="283"/>
      <c r="C738" s="283"/>
      <c r="D738" s="283"/>
    </row>
    <row r="739">
      <c r="A739" s="283"/>
      <c r="B739" s="283"/>
      <c r="C739" s="283"/>
      <c r="D739" s="283"/>
    </row>
    <row r="740">
      <c r="A740" s="283"/>
      <c r="B740" s="283"/>
      <c r="C740" s="283"/>
      <c r="D740" s="283"/>
    </row>
    <row r="741">
      <c r="A741" s="283"/>
      <c r="B741" s="283"/>
      <c r="C741" s="283"/>
      <c r="D741" s="283"/>
    </row>
    <row r="742">
      <c r="A742" s="283"/>
      <c r="B742" s="283"/>
      <c r="C742" s="283"/>
      <c r="D742" s="283"/>
    </row>
    <row r="743">
      <c r="A743" s="283"/>
      <c r="B743" s="283"/>
      <c r="C743" s="283"/>
      <c r="D743" s="283"/>
    </row>
    <row r="744">
      <c r="A744" s="283"/>
      <c r="B744" s="283"/>
      <c r="C744" s="283"/>
      <c r="D744" s="283"/>
    </row>
    <row r="745">
      <c r="A745" s="283"/>
      <c r="B745" s="283"/>
      <c r="C745" s="283"/>
      <c r="D745" s="283"/>
    </row>
    <row r="746">
      <c r="A746" s="283"/>
      <c r="B746" s="283"/>
      <c r="C746" s="283"/>
      <c r="D746" s="283"/>
    </row>
    <row r="747">
      <c r="A747" s="283"/>
      <c r="B747" s="283"/>
      <c r="C747" s="283"/>
      <c r="D747" s="283"/>
    </row>
    <row r="748">
      <c r="A748" s="283"/>
      <c r="B748" s="283"/>
      <c r="C748" s="283"/>
      <c r="D748" s="283"/>
    </row>
    <row r="749">
      <c r="A749" s="283"/>
      <c r="B749" s="283"/>
      <c r="C749" s="283"/>
      <c r="D749" s="283"/>
    </row>
    <row r="750">
      <c r="A750" s="283"/>
      <c r="B750" s="283"/>
      <c r="C750" s="283"/>
      <c r="D750" s="283"/>
    </row>
    <row r="751">
      <c r="A751" s="283"/>
      <c r="B751" s="283"/>
      <c r="C751" s="283"/>
      <c r="D751" s="283"/>
    </row>
    <row r="752">
      <c r="A752" s="283"/>
      <c r="B752" s="283"/>
      <c r="C752" s="283"/>
      <c r="D752" s="283"/>
    </row>
    <row r="753">
      <c r="A753" s="283"/>
      <c r="B753" s="283"/>
      <c r="C753" s="283"/>
      <c r="D753" s="283"/>
    </row>
    <row r="754">
      <c r="A754" s="283"/>
      <c r="B754" s="283"/>
      <c r="C754" s="283"/>
      <c r="D754" s="283"/>
    </row>
    <row r="755">
      <c r="A755" s="283"/>
      <c r="B755" s="283"/>
      <c r="C755" s="283"/>
      <c r="D755" s="283"/>
    </row>
    <row r="756">
      <c r="A756" s="283"/>
      <c r="B756" s="283"/>
      <c r="C756" s="283"/>
      <c r="D756" s="283"/>
    </row>
    <row r="757">
      <c r="A757" s="283"/>
      <c r="B757" s="283"/>
      <c r="C757" s="283"/>
      <c r="D757" s="283"/>
    </row>
    <row r="758">
      <c r="A758" s="283"/>
      <c r="B758" s="283"/>
      <c r="C758" s="283"/>
      <c r="D758" s="283"/>
    </row>
    <row r="759">
      <c r="A759" s="283"/>
      <c r="B759" s="283"/>
      <c r="C759" s="283"/>
      <c r="D759" s="283"/>
    </row>
    <row r="760">
      <c r="A760" s="283"/>
      <c r="B760" s="283"/>
      <c r="C760" s="283"/>
      <c r="D760" s="283"/>
    </row>
    <row r="761">
      <c r="A761" s="283"/>
      <c r="B761" s="283"/>
      <c r="C761" s="283"/>
      <c r="D761" s="283"/>
    </row>
    <row r="762">
      <c r="A762" s="283"/>
      <c r="B762" s="283"/>
      <c r="C762" s="283"/>
      <c r="D762" s="283"/>
    </row>
    <row r="763">
      <c r="A763" s="283"/>
      <c r="B763" s="283"/>
      <c r="C763" s="283"/>
      <c r="D763" s="283"/>
    </row>
    <row r="764">
      <c r="A764" s="283"/>
      <c r="B764" s="283"/>
      <c r="C764" s="283"/>
      <c r="D764" s="283"/>
    </row>
    <row r="765">
      <c r="A765" s="283"/>
      <c r="B765" s="283"/>
      <c r="C765" s="283"/>
      <c r="D765" s="283"/>
    </row>
    <row r="766">
      <c r="A766" s="283"/>
      <c r="B766" s="283"/>
      <c r="C766" s="283"/>
      <c r="D766" s="283"/>
    </row>
    <row r="767">
      <c r="A767" s="283"/>
      <c r="B767" s="283"/>
      <c r="C767" s="283"/>
      <c r="D767" s="283"/>
    </row>
    <row r="768">
      <c r="A768" s="283"/>
      <c r="B768" s="283"/>
      <c r="C768" s="283"/>
      <c r="D768" s="283"/>
    </row>
    <row r="769">
      <c r="A769" s="283"/>
      <c r="B769" s="283"/>
      <c r="C769" s="283"/>
      <c r="D769" s="283"/>
    </row>
    <row r="770">
      <c r="A770" s="283"/>
      <c r="B770" s="283"/>
      <c r="C770" s="283"/>
      <c r="D770" s="283"/>
    </row>
    <row r="771">
      <c r="A771" s="283"/>
      <c r="B771" s="283"/>
      <c r="C771" s="283"/>
      <c r="D771" s="283"/>
    </row>
    <row r="772">
      <c r="A772" s="283"/>
      <c r="B772" s="283"/>
      <c r="C772" s="283"/>
      <c r="D772" s="283"/>
    </row>
    <row r="773">
      <c r="A773" s="283"/>
      <c r="B773" s="283"/>
      <c r="C773" s="283"/>
      <c r="D773" s="283"/>
    </row>
    <row r="774">
      <c r="A774" s="283"/>
      <c r="B774" s="283"/>
      <c r="C774" s="283"/>
      <c r="D774" s="283"/>
    </row>
    <row r="775">
      <c r="A775" s="283"/>
      <c r="B775" s="283"/>
      <c r="C775" s="283"/>
      <c r="D775" s="283"/>
    </row>
    <row r="776">
      <c r="A776" s="283"/>
      <c r="B776" s="283"/>
      <c r="C776" s="283"/>
      <c r="D776" s="283"/>
    </row>
    <row r="777">
      <c r="A777" s="283"/>
      <c r="B777" s="283"/>
      <c r="C777" s="283"/>
      <c r="D777" s="283"/>
    </row>
    <row r="778">
      <c r="A778" s="283"/>
      <c r="B778" s="283"/>
      <c r="C778" s="283"/>
      <c r="D778" s="283"/>
    </row>
    <row r="779">
      <c r="A779" s="283"/>
      <c r="B779" s="283"/>
      <c r="C779" s="283"/>
      <c r="D779" s="283"/>
    </row>
    <row r="780">
      <c r="A780" s="283"/>
      <c r="B780" s="283"/>
      <c r="C780" s="283"/>
      <c r="D780" s="283"/>
    </row>
    <row r="781">
      <c r="A781" s="283"/>
      <c r="B781" s="283"/>
      <c r="C781" s="283"/>
      <c r="D781" s="283"/>
    </row>
    <row r="782">
      <c r="A782" s="283"/>
      <c r="B782" s="283"/>
      <c r="C782" s="283"/>
      <c r="D782" s="283"/>
    </row>
    <row r="783">
      <c r="A783" s="283"/>
      <c r="B783" s="283"/>
      <c r="C783" s="283"/>
      <c r="D783" s="283"/>
    </row>
    <row r="784">
      <c r="A784" s="283"/>
      <c r="B784" s="283"/>
      <c r="C784" s="283"/>
      <c r="D784" s="283"/>
    </row>
    <row r="785">
      <c r="A785" s="283"/>
      <c r="B785" s="283"/>
      <c r="C785" s="283"/>
      <c r="D785" s="283"/>
    </row>
    <row r="786">
      <c r="A786" s="283"/>
      <c r="B786" s="283"/>
      <c r="C786" s="283"/>
      <c r="D786" s="283"/>
    </row>
    <row r="787">
      <c r="A787" s="283"/>
      <c r="B787" s="283"/>
      <c r="C787" s="283"/>
      <c r="D787" s="283"/>
    </row>
    <row r="788">
      <c r="A788" s="283"/>
      <c r="B788" s="283"/>
      <c r="C788" s="283"/>
      <c r="D788" s="283"/>
    </row>
    <row r="789">
      <c r="A789" s="283"/>
      <c r="B789" s="283"/>
      <c r="C789" s="283"/>
      <c r="D789" s="283"/>
    </row>
    <row r="790">
      <c r="A790" s="283"/>
      <c r="B790" s="283"/>
      <c r="C790" s="283"/>
      <c r="D790" s="283"/>
    </row>
    <row r="791">
      <c r="A791" s="283"/>
      <c r="B791" s="283"/>
      <c r="C791" s="283"/>
      <c r="D791" s="283"/>
    </row>
    <row r="792">
      <c r="A792" s="283"/>
      <c r="B792" s="283"/>
      <c r="C792" s="283"/>
      <c r="D792" s="283"/>
    </row>
    <row r="793">
      <c r="A793" s="283"/>
      <c r="B793" s="283"/>
      <c r="C793" s="283"/>
      <c r="D793" s="283"/>
    </row>
    <row r="794">
      <c r="A794" s="283"/>
      <c r="B794" s="283"/>
      <c r="C794" s="283"/>
      <c r="D794" s="283"/>
    </row>
    <row r="795">
      <c r="A795" s="283"/>
      <c r="B795" s="283"/>
      <c r="C795" s="283"/>
      <c r="D795" s="283"/>
    </row>
    <row r="796">
      <c r="A796" s="283"/>
      <c r="B796" s="283"/>
      <c r="C796" s="283"/>
      <c r="D796" s="283"/>
    </row>
    <row r="797">
      <c r="A797" s="283"/>
      <c r="B797" s="283"/>
      <c r="C797" s="283"/>
      <c r="D797" s="283"/>
    </row>
    <row r="798">
      <c r="A798" s="283"/>
      <c r="B798" s="283"/>
      <c r="C798" s="283"/>
      <c r="D798" s="283"/>
    </row>
    <row r="799">
      <c r="A799" s="283"/>
      <c r="B799" s="283"/>
      <c r="C799" s="283"/>
      <c r="D799" s="283"/>
    </row>
    <row r="800">
      <c r="A800" s="283"/>
      <c r="B800" s="283"/>
      <c r="C800" s="283"/>
      <c r="D800" s="283"/>
    </row>
    <row r="801">
      <c r="A801" s="283"/>
      <c r="B801" s="283"/>
      <c r="C801" s="283"/>
      <c r="D801" s="283"/>
    </row>
    <row r="802">
      <c r="A802" s="283"/>
      <c r="B802" s="283"/>
      <c r="C802" s="283"/>
      <c r="D802" s="283"/>
    </row>
    <row r="803">
      <c r="A803" s="283"/>
      <c r="B803" s="283"/>
      <c r="C803" s="283"/>
      <c r="D803" s="283"/>
    </row>
    <row r="804">
      <c r="A804" s="283"/>
      <c r="B804" s="283"/>
      <c r="C804" s="283"/>
      <c r="D804" s="283"/>
    </row>
    <row r="805">
      <c r="A805" s="283"/>
      <c r="B805" s="283"/>
      <c r="C805" s="283"/>
      <c r="D805" s="283"/>
    </row>
    <row r="806">
      <c r="A806" s="283"/>
      <c r="B806" s="283"/>
      <c r="C806" s="283"/>
      <c r="D806" s="283"/>
    </row>
    <row r="807">
      <c r="A807" s="283"/>
      <c r="B807" s="283"/>
      <c r="C807" s="283"/>
      <c r="D807" s="283"/>
    </row>
    <row r="808">
      <c r="A808" s="283"/>
      <c r="B808" s="283"/>
      <c r="C808" s="283"/>
      <c r="D808" s="283"/>
    </row>
    <row r="809">
      <c r="A809" s="283"/>
      <c r="B809" s="283"/>
      <c r="C809" s="283"/>
      <c r="D809" s="283"/>
    </row>
    <row r="810">
      <c r="A810" s="283"/>
      <c r="B810" s="283"/>
      <c r="C810" s="283"/>
      <c r="D810" s="283"/>
    </row>
    <row r="811">
      <c r="A811" s="283"/>
      <c r="B811" s="283"/>
      <c r="C811" s="283"/>
      <c r="D811" s="283"/>
    </row>
    <row r="812">
      <c r="A812" s="283"/>
      <c r="B812" s="283"/>
      <c r="C812" s="283"/>
      <c r="D812" s="283"/>
    </row>
    <row r="813">
      <c r="A813" s="283"/>
      <c r="B813" s="283"/>
      <c r="C813" s="283"/>
      <c r="D813" s="283"/>
    </row>
    <row r="814">
      <c r="A814" s="283"/>
      <c r="B814" s="283"/>
      <c r="C814" s="283"/>
      <c r="D814" s="283"/>
    </row>
    <row r="815">
      <c r="A815" s="283"/>
      <c r="B815" s="283"/>
      <c r="C815" s="283"/>
      <c r="D815" s="283"/>
    </row>
    <row r="816">
      <c r="A816" s="283"/>
      <c r="B816" s="283"/>
      <c r="C816" s="283"/>
      <c r="D816" s="283"/>
    </row>
    <row r="817">
      <c r="A817" s="283"/>
      <c r="B817" s="283"/>
      <c r="C817" s="283"/>
      <c r="D817" s="283"/>
    </row>
    <row r="818">
      <c r="A818" s="283"/>
      <c r="B818" s="283"/>
      <c r="C818" s="283"/>
      <c r="D818" s="283"/>
    </row>
    <row r="819">
      <c r="A819" s="283"/>
      <c r="B819" s="283"/>
      <c r="C819" s="283"/>
      <c r="D819" s="283"/>
    </row>
    <row r="820">
      <c r="A820" s="283"/>
      <c r="B820" s="283"/>
      <c r="C820" s="283"/>
      <c r="D820" s="283"/>
    </row>
    <row r="821">
      <c r="A821" s="283"/>
      <c r="B821" s="283"/>
      <c r="C821" s="283"/>
      <c r="D821" s="283"/>
    </row>
    <row r="822">
      <c r="A822" s="283"/>
      <c r="B822" s="283"/>
      <c r="C822" s="283"/>
      <c r="D822" s="283"/>
    </row>
    <row r="823">
      <c r="A823" s="283"/>
      <c r="B823" s="283"/>
      <c r="C823" s="283"/>
      <c r="D823" s="283"/>
    </row>
    <row r="824">
      <c r="A824" s="283"/>
      <c r="B824" s="283"/>
      <c r="C824" s="283"/>
      <c r="D824" s="283"/>
    </row>
    <row r="825">
      <c r="A825" s="283"/>
      <c r="B825" s="283"/>
      <c r="C825" s="283"/>
      <c r="D825" s="283"/>
    </row>
    <row r="826">
      <c r="A826" s="283"/>
      <c r="B826" s="283"/>
      <c r="C826" s="283"/>
      <c r="D826" s="283"/>
    </row>
    <row r="827">
      <c r="A827" s="283"/>
      <c r="B827" s="283"/>
      <c r="C827" s="283"/>
      <c r="D827" s="283"/>
    </row>
    <row r="828">
      <c r="A828" s="283"/>
      <c r="B828" s="283"/>
      <c r="C828" s="283"/>
      <c r="D828" s="283"/>
    </row>
    <row r="829">
      <c r="A829" s="283"/>
      <c r="B829" s="283"/>
      <c r="C829" s="283"/>
      <c r="D829" s="283"/>
    </row>
    <row r="830">
      <c r="A830" s="283"/>
      <c r="B830" s="283"/>
      <c r="C830" s="283"/>
      <c r="D830" s="283"/>
    </row>
    <row r="831">
      <c r="A831" s="283"/>
      <c r="B831" s="283"/>
      <c r="C831" s="283"/>
      <c r="D831" s="283"/>
    </row>
    <row r="832">
      <c r="A832" s="283"/>
      <c r="B832" s="283"/>
      <c r="C832" s="283"/>
      <c r="D832" s="283"/>
    </row>
    <row r="833">
      <c r="A833" s="283"/>
      <c r="B833" s="283"/>
      <c r="C833" s="283"/>
      <c r="D833" s="283"/>
    </row>
    <row r="834">
      <c r="A834" s="283"/>
      <c r="B834" s="283"/>
      <c r="C834" s="283"/>
      <c r="D834" s="283"/>
    </row>
    <row r="835">
      <c r="A835" s="283"/>
      <c r="B835" s="283"/>
      <c r="C835" s="283"/>
      <c r="D835" s="283"/>
    </row>
    <row r="836">
      <c r="A836" s="283"/>
      <c r="B836" s="283"/>
      <c r="C836" s="283"/>
      <c r="D836" s="283"/>
    </row>
    <row r="837">
      <c r="A837" s="283"/>
      <c r="B837" s="283"/>
      <c r="C837" s="283"/>
      <c r="D837" s="283"/>
    </row>
    <row r="838">
      <c r="A838" s="283"/>
      <c r="B838" s="283"/>
      <c r="C838" s="283"/>
      <c r="D838" s="283"/>
    </row>
    <row r="839">
      <c r="A839" s="283"/>
      <c r="B839" s="283"/>
      <c r="C839" s="283"/>
      <c r="D839" s="283"/>
    </row>
    <row r="840">
      <c r="A840" s="283"/>
      <c r="B840" s="283"/>
      <c r="C840" s="283"/>
      <c r="D840" s="283"/>
    </row>
    <row r="841">
      <c r="A841" s="283"/>
      <c r="B841" s="283"/>
      <c r="C841" s="283"/>
      <c r="D841" s="283"/>
    </row>
    <row r="842">
      <c r="A842" s="283"/>
      <c r="B842" s="283"/>
      <c r="C842" s="283"/>
      <c r="D842" s="283"/>
    </row>
    <row r="843">
      <c r="A843" s="283"/>
      <c r="B843" s="283"/>
      <c r="C843" s="283"/>
      <c r="D843" s="283"/>
    </row>
    <row r="844">
      <c r="A844" s="283"/>
      <c r="B844" s="283"/>
      <c r="C844" s="283"/>
      <c r="D844" s="283"/>
    </row>
    <row r="845">
      <c r="A845" s="283"/>
      <c r="B845" s="283"/>
      <c r="C845" s="283"/>
      <c r="D845" s="283"/>
    </row>
    <row r="846">
      <c r="A846" s="283"/>
      <c r="B846" s="283"/>
      <c r="C846" s="283"/>
      <c r="D846" s="283"/>
    </row>
    <row r="847">
      <c r="A847" s="283"/>
      <c r="B847" s="283"/>
      <c r="C847" s="283"/>
      <c r="D847" s="283"/>
    </row>
    <row r="848">
      <c r="A848" s="283"/>
      <c r="B848" s="283"/>
      <c r="C848" s="283"/>
      <c r="D848" s="283"/>
    </row>
    <row r="849">
      <c r="A849" s="283"/>
      <c r="B849" s="283"/>
      <c r="C849" s="283"/>
      <c r="D849" s="283"/>
    </row>
    <row r="850">
      <c r="A850" s="283"/>
      <c r="B850" s="283"/>
      <c r="C850" s="283"/>
      <c r="D850" s="283"/>
    </row>
    <row r="851">
      <c r="A851" s="283"/>
      <c r="B851" s="283"/>
      <c r="C851" s="283"/>
      <c r="D851" s="283"/>
    </row>
    <row r="852">
      <c r="A852" s="283"/>
      <c r="B852" s="283"/>
      <c r="C852" s="283"/>
      <c r="D852" s="283"/>
    </row>
    <row r="853">
      <c r="A853" s="283"/>
      <c r="B853" s="283"/>
      <c r="C853" s="283"/>
      <c r="D853" s="283"/>
    </row>
    <row r="854">
      <c r="A854" s="283"/>
      <c r="B854" s="283"/>
      <c r="C854" s="283"/>
      <c r="D854" s="283"/>
    </row>
    <row r="855">
      <c r="A855" s="283"/>
      <c r="B855" s="283"/>
      <c r="C855" s="283"/>
      <c r="D855" s="283"/>
    </row>
    <row r="856">
      <c r="A856" s="283"/>
      <c r="B856" s="283"/>
      <c r="C856" s="283"/>
      <c r="D856" s="283"/>
    </row>
    <row r="857">
      <c r="A857" s="283"/>
      <c r="B857" s="283"/>
      <c r="C857" s="283"/>
      <c r="D857" s="283"/>
    </row>
    <row r="858">
      <c r="A858" s="283"/>
      <c r="B858" s="283"/>
      <c r="C858" s="283"/>
      <c r="D858" s="283"/>
    </row>
    <row r="859">
      <c r="A859" s="283"/>
      <c r="B859" s="283"/>
      <c r="C859" s="283"/>
      <c r="D859" s="283"/>
    </row>
    <row r="860">
      <c r="A860" s="283"/>
      <c r="B860" s="283"/>
      <c r="C860" s="283"/>
      <c r="D860" s="283"/>
    </row>
    <row r="861">
      <c r="A861" s="283"/>
      <c r="B861" s="283"/>
      <c r="C861" s="283"/>
      <c r="D861" s="283"/>
    </row>
    <row r="862">
      <c r="A862" s="283"/>
      <c r="B862" s="283"/>
      <c r="C862" s="283"/>
      <c r="D862" s="283"/>
    </row>
    <row r="863">
      <c r="A863" s="283"/>
      <c r="B863" s="283"/>
      <c r="C863" s="283"/>
      <c r="D863" s="283"/>
    </row>
    <row r="864">
      <c r="A864" s="283"/>
      <c r="B864" s="283"/>
      <c r="C864" s="283"/>
      <c r="D864" s="283"/>
    </row>
    <row r="865">
      <c r="A865" s="283"/>
      <c r="B865" s="283"/>
      <c r="C865" s="283"/>
      <c r="D865" s="283"/>
    </row>
    <row r="866">
      <c r="A866" s="283"/>
      <c r="B866" s="283"/>
      <c r="C866" s="283"/>
      <c r="D866" s="283"/>
    </row>
    <row r="867">
      <c r="A867" s="283"/>
      <c r="B867" s="283"/>
      <c r="C867" s="283"/>
      <c r="D867" s="283"/>
    </row>
    <row r="868">
      <c r="A868" s="283"/>
      <c r="B868" s="283"/>
      <c r="C868" s="283"/>
      <c r="D868" s="283"/>
    </row>
    <row r="869">
      <c r="A869" s="283"/>
      <c r="B869" s="283"/>
      <c r="C869" s="283"/>
      <c r="D869" s="283"/>
    </row>
    <row r="870">
      <c r="A870" s="283"/>
      <c r="B870" s="283"/>
      <c r="C870" s="283"/>
      <c r="D870" s="283"/>
    </row>
    <row r="871">
      <c r="A871" s="283"/>
      <c r="B871" s="283"/>
      <c r="C871" s="283"/>
      <c r="D871" s="283"/>
    </row>
    <row r="872">
      <c r="A872" s="283"/>
      <c r="B872" s="283"/>
      <c r="C872" s="283"/>
      <c r="D872" s="283"/>
    </row>
    <row r="873">
      <c r="A873" s="283"/>
      <c r="B873" s="283"/>
      <c r="C873" s="283"/>
      <c r="D873" s="283"/>
    </row>
    <row r="874">
      <c r="A874" s="283"/>
      <c r="B874" s="283"/>
      <c r="C874" s="283"/>
      <c r="D874" s="283"/>
    </row>
    <row r="875">
      <c r="A875" s="283"/>
      <c r="B875" s="283"/>
      <c r="C875" s="283"/>
      <c r="D875" s="283"/>
    </row>
    <row r="876">
      <c r="A876" s="283"/>
      <c r="B876" s="283"/>
      <c r="C876" s="283"/>
      <c r="D876" s="283"/>
    </row>
    <row r="877">
      <c r="A877" s="283"/>
      <c r="B877" s="283"/>
      <c r="C877" s="283"/>
      <c r="D877" s="283"/>
    </row>
    <row r="878">
      <c r="A878" s="283"/>
      <c r="B878" s="283"/>
      <c r="C878" s="283"/>
      <c r="D878" s="283"/>
    </row>
    <row r="879">
      <c r="A879" s="283"/>
      <c r="B879" s="283"/>
      <c r="C879" s="283"/>
      <c r="D879" s="283"/>
    </row>
    <row r="880">
      <c r="A880" s="283"/>
      <c r="B880" s="283"/>
      <c r="C880" s="283"/>
      <c r="D880" s="283"/>
    </row>
    <row r="881">
      <c r="A881" s="283"/>
      <c r="B881" s="283"/>
      <c r="C881" s="283"/>
      <c r="D881" s="283"/>
    </row>
    <row r="882">
      <c r="A882" s="283"/>
      <c r="B882" s="283"/>
      <c r="C882" s="283"/>
      <c r="D882" s="283"/>
    </row>
    <row r="883">
      <c r="A883" s="283"/>
      <c r="B883" s="283"/>
      <c r="C883" s="283"/>
      <c r="D883" s="283"/>
    </row>
    <row r="884">
      <c r="A884" s="283"/>
      <c r="B884" s="283"/>
      <c r="C884" s="283"/>
      <c r="D884" s="283"/>
    </row>
    <row r="885">
      <c r="A885" s="283"/>
      <c r="B885" s="283"/>
      <c r="C885" s="283"/>
      <c r="D885" s="283"/>
    </row>
    <row r="886">
      <c r="A886" s="283"/>
      <c r="B886" s="283"/>
      <c r="C886" s="283"/>
      <c r="D886" s="283"/>
    </row>
    <row r="887">
      <c r="A887" s="283"/>
      <c r="B887" s="283"/>
      <c r="C887" s="283"/>
      <c r="D887" s="283"/>
    </row>
    <row r="888">
      <c r="A888" s="283"/>
      <c r="B888" s="283"/>
      <c r="C888" s="283"/>
      <c r="D888" s="283"/>
    </row>
    <row r="889">
      <c r="A889" s="283"/>
      <c r="B889" s="283"/>
      <c r="C889" s="283"/>
      <c r="D889" s="283"/>
    </row>
    <row r="890">
      <c r="A890" s="283"/>
      <c r="B890" s="283"/>
      <c r="C890" s="283"/>
      <c r="D890" s="283"/>
    </row>
    <row r="891">
      <c r="A891" s="283"/>
      <c r="B891" s="283"/>
      <c r="C891" s="283"/>
      <c r="D891" s="283"/>
    </row>
    <row r="892">
      <c r="A892" s="283"/>
      <c r="B892" s="283"/>
      <c r="C892" s="283"/>
      <c r="D892" s="283"/>
    </row>
    <row r="893">
      <c r="A893" s="283"/>
      <c r="B893" s="283"/>
      <c r="C893" s="283"/>
      <c r="D893" s="283"/>
    </row>
    <row r="894">
      <c r="A894" s="283"/>
      <c r="B894" s="283"/>
      <c r="C894" s="283"/>
      <c r="D894" s="283"/>
    </row>
    <row r="895">
      <c r="A895" s="283"/>
      <c r="B895" s="283"/>
      <c r="C895" s="283"/>
      <c r="D895" s="283"/>
    </row>
    <row r="896">
      <c r="A896" s="283"/>
      <c r="B896" s="283"/>
      <c r="C896" s="283"/>
      <c r="D896" s="283"/>
    </row>
    <row r="897">
      <c r="A897" s="283"/>
      <c r="B897" s="283"/>
      <c r="C897" s="283"/>
      <c r="D897" s="283"/>
    </row>
    <row r="898">
      <c r="A898" s="283"/>
      <c r="B898" s="283"/>
      <c r="C898" s="283"/>
      <c r="D898" s="283"/>
    </row>
    <row r="899">
      <c r="A899" s="283"/>
      <c r="B899" s="283"/>
      <c r="C899" s="283"/>
      <c r="D899" s="283"/>
    </row>
    <row r="900">
      <c r="A900" s="283"/>
      <c r="B900" s="283"/>
      <c r="C900" s="283"/>
      <c r="D900" s="283"/>
    </row>
    <row r="901">
      <c r="A901" s="283"/>
      <c r="B901" s="283"/>
      <c r="C901" s="283"/>
      <c r="D901" s="283"/>
    </row>
    <row r="902">
      <c r="A902" s="283"/>
      <c r="B902" s="283"/>
      <c r="C902" s="283"/>
      <c r="D902" s="283"/>
    </row>
    <row r="903">
      <c r="A903" s="283"/>
      <c r="B903" s="283"/>
      <c r="C903" s="283"/>
      <c r="D903" s="283"/>
    </row>
    <row r="904">
      <c r="A904" s="283"/>
      <c r="B904" s="283"/>
      <c r="C904" s="283"/>
      <c r="D904" s="283"/>
    </row>
    <row r="905">
      <c r="A905" s="283"/>
      <c r="B905" s="283"/>
      <c r="C905" s="283"/>
      <c r="D905" s="283"/>
    </row>
    <row r="906">
      <c r="A906" s="283"/>
      <c r="B906" s="283"/>
      <c r="C906" s="283"/>
      <c r="D906" s="283"/>
    </row>
    <row r="907">
      <c r="A907" s="283"/>
      <c r="B907" s="283"/>
      <c r="C907" s="283"/>
      <c r="D907" s="283"/>
    </row>
    <row r="908">
      <c r="A908" s="283"/>
      <c r="B908" s="283"/>
      <c r="C908" s="283"/>
      <c r="D908" s="283"/>
    </row>
    <row r="909">
      <c r="A909" s="283"/>
      <c r="B909" s="283"/>
      <c r="C909" s="283"/>
      <c r="D909" s="283"/>
    </row>
    <row r="910">
      <c r="A910" s="283"/>
      <c r="B910" s="283"/>
      <c r="C910" s="283"/>
      <c r="D910" s="283"/>
    </row>
    <row r="911">
      <c r="A911" s="283"/>
      <c r="B911" s="283"/>
      <c r="C911" s="283"/>
      <c r="D911" s="283"/>
    </row>
    <row r="912">
      <c r="A912" s="283"/>
      <c r="B912" s="283"/>
      <c r="C912" s="283"/>
      <c r="D912" s="283"/>
    </row>
    <row r="913">
      <c r="A913" s="283"/>
      <c r="B913" s="283"/>
      <c r="C913" s="283"/>
      <c r="D913" s="283"/>
    </row>
    <row r="914">
      <c r="A914" s="283"/>
      <c r="B914" s="283"/>
      <c r="C914" s="283"/>
      <c r="D914" s="283"/>
    </row>
    <row r="915">
      <c r="A915" s="283"/>
      <c r="B915" s="283"/>
      <c r="C915" s="283"/>
      <c r="D915" s="283"/>
    </row>
    <row r="916">
      <c r="A916" s="283"/>
      <c r="B916" s="283"/>
      <c r="C916" s="283"/>
      <c r="D916" s="283"/>
    </row>
    <row r="917">
      <c r="A917" s="283"/>
      <c r="B917" s="283"/>
      <c r="C917" s="283"/>
      <c r="D917" s="283"/>
    </row>
    <row r="918">
      <c r="A918" s="283"/>
      <c r="B918" s="283"/>
      <c r="C918" s="283"/>
      <c r="D918" s="283"/>
    </row>
    <row r="919">
      <c r="A919" s="283"/>
      <c r="B919" s="283"/>
      <c r="C919" s="283"/>
      <c r="D919" s="283"/>
    </row>
    <row r="920">
      <c r="A920" s="283"/>
      <c r="B920" s="283"/>
      <c r="C920" s="283"/>
      <c r="D920" s="283"/>
    </row>
    <row r="921">
      <c r="A921" s="283"/>
      <c r="B921" s="283"/>
      <c r="C921" s="283"/>
      <c r="D921" s="283"/>
    </row>
    <row r="922">
      <c r="A922" s="283"/>
      <c r="B922" s="283"/>
      <c r="C922" s="283"/>
      <c r="D922" s="283"/>
    </row>
    <row r="923">
      <c r="A923" s="283"/>
      <c r="B923" s="283"/>
      <c r="C923" s="283"/>
      <c r="D923" s="283"/>
    </row>
    <row r="924">
      <c r="A924" s="283"/>
      <c r="B924" s="283"/>
      <c r="C924" s="283"/>
      <c r="D924" s="283"/>
    </row>
    <row r="925">
      <c r="A925" s="283"/>
      <c r="B925" s="283"/>
      <c r="C925" s="283"/>
      <c r="D925" s="283"/>
    </row>
    <row r="926">
      <c r="A926" s="283"/>
      <c r="B926" s="283"/>
      <c r="C926" s="283"/>
      <c r="D926" s="283"/>
    </row>
    <row r="927">
      <c r="A927" s="283"/>
      <c r="B927" s="283"/>
      <c r="C927" s="283"/>
      <c r="D927" s="283"/>
    </row>
    <row r="928">
      <c r="A928" s="283"/>
      <c r="B928" s="283"/>
      <c r="C928" s="283"/>
      <c r="D928" s="283"/>
    </row>
    <row r="929">
      <c r="A929" s="283"/>
      <c r="B929" s="283"/>
      <c r="C929" s="283"/>
      <c r="D929" s="283"/>
    </row>
    <row r="930">
      <c r="A930" s="283"/>
      <c r="B930" s="283"/>
      <c r="C930" s="283"/>
      <c r="D930" s="283"/>
    </row>
    <row r="931">
      <c r="A931" s="283"/>
      <c r="B931" s="283"/>
      <c r="C931" s="283"/>
      <c r="D931" s="283"/>
    </row>
    <row r="932">
      <c r="A932" s="283"/>
      <c r="B932" s="283"/>
      <c r="C932" s="283"/>
      <c r="D932" s="283"/>
    </row>
    <row r="933">
      <c r="A933" s="283"/>
      <c r="B933" s="283"/>
      <c r="C933" s="283"/>
      <c r="D933" s="283"/>
    </row>
    <row r="934">
      <c r="A934" s="283"/>
      <c r="B934" s="283"/>
      <c r="C934" s="283"/>
      <c r="D934" s="283"/>
    </row>
    <row r="935">
      <c r="A935" s="283"/>
      <c r="B935" s="283"/>
      <c r="C935" s="283"/>
      <c r="D935" s="283"/>
    </row>
    <row r="936">
      <c r="A936" s="283"/>
      <c r="B936" s="283"/>
      <c r="C936" s="283"/>
      <c r="D936" s="283"/>
    </row>
    <row r="937">
      <c r="A937" s="283"/>
      <c r="B937" s="283"/>
      <c r="C937" s="283"/>
      <c r="D937" s="283"/>
    </row>
    <row r="938">
      <c r="A938" s="283"/>
      <c r="B938" s="283"/>
      <c r="C938" s="283"/>
      <c r="D938" s="283"/>
    </row>
    <row r="939">
      <c r="A939" s="283"/>
      <c r="B939" s="283"/>
      <c r="C939" s="283"/>
      <c r="D939" s="283"/>
    </row>
    <row r="940">
      <c r="A940" s="283"/>
      <c r="B940" s="283"/>
      <c r="C940" s="283"/>
      <c r="D940" s="283"/>
    </row>
    <row r="941">
      <c r="A941" s="283"/>
      <c r="B941" s="283"/>
      <c r="C941" s="283"/>
      <c r="D941" s="283"/>
    </row>
    <row r="942">
      <c r="A942" s="283"/>
      <c r="B942" s="283"/>
      <c r="C942" s="283"/>
      <c r="D942" s="283"/>
    </row>
    <row r="943">
      <c r="A943" s="283"/>
      <c r="B943" s="283"/>
      <c r="C943" s="283"/>
      <c r="D943" s="283"/>
    </row>
    <row r="944">
      <c r="A944" s="283"/>
      <c r="B944" s="283"/>
      <c r="C944" s="283"/>
      <c r="D944" s="283"/>
    </row>
    <row r="945">
      <c r="A945" s="283"/>
      <c r="B945" s="283"/>
      <c r="C945" s="283"/>
      <c r="D945" s="283"/>
    </row>
    <row r="946">
      <c r="A946" s="283"/>
      <c r="B946" s="283"/>
      <c r="C946" s="283"/>
      <c r="D946" s="283"/>
    </row>
    <row r="947">
      <c r="A947" s="283"/>
      <c r="B947" s="283"/>
      <c r="C947" s="283"/>
      <c r="D947" s="283"/>
    </row>
    <row r="948">
      <c r="A948" s="283"/>
      <c r="B948" s="283"/>
      <c r="C948" s="283"/>
      <c r="D948" s="283"/>
    </row>
    <row r="949">
      <c r="A949" s="283"/>
      <c r="B949" s="283"/>
      <c r="C949" s="283"/>
      <c r="D949" s="283"/>
    </row>
    <row r="950">
      <c r="A950" s="283"/>
      <c r="B950" s="283"/>
      <c r="C950" s="283"/>
      <c r="D950" s="283"/>
    </row>
    <row r="951">
      <c r="A951" s="283"/>
      <c r="B951" s="283"/>
      <c r="C951" s="283"/>
      <c r="D951" s="283"/>
    </row>
    <row r="952">
      <c r="A952" s="283"/>
      <c r="B952" s="283"/>
      <c r="C952" s="283"/>
      <c r="D952" s="283"/>
    </row>
    <row r="953">
      <c r="A953" s="283"/>
      <c r="B953" s="283"/>
      <c r="C953" s="283"/>
      <c r="D953" s="283"/>
    </row>
    <row r="954">
      <c r="A954" s="283"/>
      <c r="B954" s="283"/>
      <c r="C954" s="283"/>
      <c r="D954" s="283"/>
    </row>
    <row r="955">
      <c r="A955" s="283"/>
      <c r="B955" s="283"/>
      <c r="C955" s="283"/>
      <c r="D955" s="283"/>
    </row>
    <row r="956">
      <c r="A956" s="283"/>
      <c r="B956" s="283"/>
      <c r="C956" s="283"/>
      <c r="D956" s="283"/>
    </row>
    <row r="957">
      <c r="A957" s="283"/>
      <c r="B957" s="283"/>
      <c r="C957" s="283"/>
      <c r="D957" s="283"/>
    </row>
    <row r="958">
      <c r="A958" s="283"/>
      <c r="B958" s="283"/>
      <c r="C958" s="283"/>
      <c r="D958" s="283"/>
    </row>
    <row r="959">
      <c r="A959" s="283"/>
      <c r="B959" s="283"/>
      <c r="C959" s="283"/>
      <c r="D959" s="283"/>
    </row>
    <row r="960">
      <c r="A960" s="283"/>
      <c r="B960" s="283"/>
      <c r="C960" s="283"/>
      <c r="D960" s="283"/>
    </row>
    <row r="961">
      <c r="A961" s="283"/>
      <c r="B961" s="283"/>
      <c r="C961" s="283"/>
      <c r="D961" s="283"/>
    </row>
    <row r="962">
      <c r="A962" s="283"/>
      <c r="B962" s="283"/>
      <c r="C962" s="283"/>
      <c r="D962" s="283"/>
    </row>
    <row r="963">
      <c r="A963" s="283"/>
      <c r="B963" s="283"/>
      <c r="C963" s="283"/>
      <c r="D963" s="283"/>
    </row>
    <row r="964">
      <c r="A964" s="283"/>
      <c r="B964" s="283"/>
      <c r="C964" s="283"/>
      <c r="D964" s="283"/>
    </row>
    <row r="965">
      <c r="A965" s="283"/>
      <c r="B965" s="283"/>
      <c r="C965" s="283"/>
      <c r="D965" s="283"/>
    </row>
    <row r="966">
      <c r="A966" s="283"/>
      <c r="B966" s="283"/>
      <c r="C966" s="283"/>
      <c r="D966" s="283"/>
    </row>
    <row r="967">
      <c r="A967" s="283"/>
      <c r="B967" s="283"/>
      <c r="C967" s="283"/>
      <c r="D967" s="283"/>
    </row>
    <row r="968">
      <c r="A968" s="283"/>
      <c r="B968" s="283"/>
      <c r="C968" s="283"/>
      <c r="D968" s="283"/>
    </row>
    <row r="969">
      <c r="A969" s="283"/>
      <c r="B969" s="283"/>
      <c r="C969" s="283"/>
      <c r="D969" s="283"/>
    </row>
    <row r="970">
      <c r="A970" s="283"/>
      <c r="B970" s="283"/>
      <c r="C970" s="283"/>
      <c r="D970" s="283"/>
    </row>
    <row r="971">
      <c r="A971" s="283"/>
      <c r="B971" s="283"/>
      <c r="C971" s="283"/>
      <c r="D971" s="283"/>
    </row>
    <row r="972">
      <c r="A972" s="283"/>
      <c r="B972" s="283"/>
      <c r="C972" s="283"/>
      <c r="D972" s="283"/>
    </row>
    <row r="973">
      <c r="A973" s="283"/>
      <c r="B973" s="283"/>
      <c r="C973" s="283"/>
      <c r="D973" s="283"/>
    </row>
    <row r="974">
      <c r="A974" s="283"/>
      <c r="B974" s="283"/>
      <c r="C974" s="283"/>
      <c r="D974" s="283"/>
    </row>
    <row r="975">
      <c r="A975" s="283"/>
      <c r="B975" s="283"/>
      <c r="C975" s="283"/>
      <c r="D975" s="283"/>
    </row>
    <row r="976">
      <c r="A976" s="283"/>
      <c r="B976" s="283"/>
      <c r="C976" s="283"/>
      <c r="D976" s="283"/>
    </row>
  </sheetData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358" t="s">
        <v>44</v>
      </c>
      <c r="B1" s="9" t="s">
        <v>1</v>
      </c>
      <c r="C1" s="57" t="s">
        <v>294</v>
      </c>
      <c r="D1" s="55" t="s">
        <v>248</v>
      </c>
      <c r="E1" s="348" t="s">
        <v>249</v>
      </c>
      <c r="F1" s="349" t="s">
        <v>250</v>
      </c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</row>
    <row r="2" hidden="1">
      <c r="A2" s="5" t="s">
        <v>11015</v>
      </c>
      <c r="B2" s="11">
        <v>13867.0</v>
      </c>
      <c r="C2" s="9" t="s">
        <v>17153</v>
      </c>
      <c r="D2" s="26">
        <v>0.75</v>
      </c>
      <c r="E2" s="26">
        <v>0.75</v>
      </c>
      <c r="F2" s="9" t="s">
        <v>1656</v>
      </c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hidden="1">
      <c r="A3" s="5" t="s">
        <v>11023</v>
      </c>
      <c r="B3" s="9">
        <v>6658.0</v>
      </c>
      <c r="C3" s="9" t="s">
        <v>17153</v>
      </c>
      <c r="D3" s="26">
        <v>0.75</v>
      </c>
      <c r="E3" s="26">
        <v>0.75</v>
      </c>
      <c r="F3" s="9" t="s">
        <v>1656</v>
      </c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hidden="1">
      <c r="A4" s="5" t="s">
        <v>11026</v>
      </c>
      <c r="B4" s="9">
        <v>5458.0</v>
      </c>
      <c r="C4" s="9" t="s">
        <v>17153</v>
      </c>
      <c r="D4" s="26">
        <v>0.75</v>
      </c>
      <c r="E4" s="26">
        <v>0.75</v>
      </c>
      <c r="F4" s="9" t="s">
        <v>1656</v>
      </c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hidden="1">
      <c r="A5" s="5" t="s">
        <v>11028</v>
      </c>
      <c r="B5" s="9">
        <v>6706.0</v>
      </c>
      <c r="C5" s="9" t="s">
        <v>17153</v>
      </c>
      <c r="D5" s="26">
        <v>0.75</v>
      </c>
      <c r="E5" s="26">
        <v>0.75</v>
      </c>
      <c r="F5" s="9" t="s">
        <v>1656</v>
      </c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>
      <c r="A6" s="5" t="s">
        <v>11044</v>
      </c>
      <c r="B6" s="9">
        <v>6729.0</v>
      </c>
      <c r="C6" s="9" t="s">
        <v>17153</v>
      </c>
      <c r="D6" s="26">
        <v>0.85</v>
      </c>
      <c r="E6" s="26">
        <v>0.85</v>
      </c>
      <c r="F6" s="9" t="s">
        <v>1656</v>
      </c>
      <c r="G6" s="10"/>
      <c r="H6" s="578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>
      <c r="A7" s="5" t="s">
        <v>11046</v>
      </c>
      <c r="B7" s="9">
        <v>14076.0</v>
      </c>
      <c r="C7" s="9" t="s">
        <v>17153</v>
      </c>
      <c r="D7" s="26">
        <v>0.85</v>
      </c>
      <c r="E7" s="26">
        <v>0.85</v>
      </c>
      <c r="F7" s="9" t="s">
        <v>1656</v>
      </c>
      <c r="G7" s="10"/>
      <c r="H7" s="9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hidden="1">
      <c r="A8" s="5" t="s">
        <v>11010</v>
      </c>
      <c r="B8" s="9">
        <v>5566.0</v>
      </c>
      <c r="C8" s="9" t="s">
        <v>17153</v>
      </c>
      <c r="D8" s="26">
        <v>0.93</v>
      </c>
      <c r="E8" s="26">
        <v>0.93</v>
      </c>
      <c r="F8" s="9" t="s">
        <v>1656</v>
      </c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hidden="1">
      <c r="A9" s="5" t="s">
        <v>11011</v>
      </c>
      <c r="B9" s="9">
        <v>663.0</v>
      </c>
      <c r="C9" s="9" t="s">
        <v>17153</v>
      </c>
      <c r="D9" s="26">
        <v>0.75</v>
      </c>
      <c r="E9" s="26">
        <v>0.75</v>
      </c>
      <c r="F9" s="9" t="s">
        <v>1656</v>
      </c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hidden="1">
      <c r="A10" s="5" t="s">
        <v>11029</v>
      </c>
      <c r="B10" s="9">
        <v>663.0</v>
      </c>
      <c r="C10" s="9" t="s">
        <v>17153</v>
      </c>
      <c r="D10" s="26">
        <v>0.75</v>
      </c>
      <c r="E10" s="26">
        <v>0.75</v>
      </c>
      <c r="F10" s="9" t="s">
        <v>1656</v>
      </c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hidden="1">
      <c r="A11" s="5" t="s">
        <v>11033</v>
      </c>
      <c r="B11" s="11">
        <v>14663.0</v>
      </c>
      <c r="C11" s="9" t="s">
        <v>17153</v>
      </c>
      <c r="D11" s="26">
        <v>0.75</v>
      </c>
      <c r="E11" s="26">
        <v>0.75</v>
      </c>
      <c r="F11" s="9" t="s">
        <v>1656</v>
      </c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hidden="1">
      <c r="A12" s="5" t="s">
        <v>11016</v>
      </c>
      <c r="B12" s="9">
        <v>6875.0</v>
      </c>
      <c r="C12" s="9" t="s">
        <v>17153</v>
      </c>
      <c r="D12" s="26">
        <v>0.75</v>
      </c>
      <c r="E12" s="26">
        <v>0.75</v>
      </c>
      <c r="F12" s="9" t="s">
        <v>1656</v>
      </c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hidden="1">
      <c r="A13" s="5" t="s">
        <v>11017</v>
      </c>
      <c r="B13" s="9">
        <v>12932.0</v>
      </c>
      <c r="C13" s="9" t="s">
        <v>17153</v>
      </c>
      <c r="D13" s="26">
        <v>0.75</v>
      </c>
      <c r="E13" s="26">
        <v>0.75</v>
      </c>
      <c r="F13" s="9" t="s">
        <v>1656</v>
      </c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hidden="1">
      <c r="A14" s="5" t="s">
        <v>11034</v>
      </c>
      <c r="B14" s="9">
        <v>5365.0</v>
      </c>
      <c r="C14" s="9" t="s">
        <v>17153</v>
      </c>
      <c r="D14" s="26">
        <v>0.75</v>
      </c>
      <c r="E14" s="26">
        <v>0.75</v>
      </c>
      <c r="F14" s="9" t="s">
        <v>1656</v>
      </c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hidden="1">
      <c r="A15" s="5" t="s">
        <v>11018</v>
      </c>
      <c r="B15" s="9">
        <v>7229.0</v>
      </c>
      <c r="C15" s="9" t="s">
        <v>17153</v>
      </c>
      <c r="D15" s="26">
        <v>0.75</v>
      </c>
      <c r="E15" s="26">
        <v>0.75</v>
      </c>
      <c r="F15" s="9" t="s">
        <v>1656</v>
      </c>
      <c r="G15" s="10"/>
      <c r="H15" s="10"/>
      <c r="I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hidden="1">
      <c r="A16" s="5" t="s">
        <v>11019</v>
      </c>
      <c r="B16" s="9">
        <v>6988.0</v>
      </c>
      <c r="C16" s="9" t="s">
        <v>17153</v>
      </c>
      <c r="D16" s="26">
        <v>0.75</v>
      </c>
      <c r="E16" s="26">
        <v>0.75</v>
      </c>
      <c r="F16" s="9" t="s">
        <v>1656</v>
      </c>
      <c r="G16" s="10"/>
      <c r="H16" s="10"/>
      <c r="I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hidden="1">
      <c r="A17" s="5" t="s">
        <v>11020</v>
      </c>
      <c r="B17" s="11">
        <v>13945.0</v>
      </c>
      <c r="C17" s="9" t="s">
        <v>17153</v>
      </c>
      <c r="D17" s="26">
        <v>0.8</v>
      </c>
      <c r="E17" s="26">
        <v>0.8</v>
      </c>
      <c r="F17" s="9" t="s">
        <v>1656</v>
      </c>
      <c r="G17" s="10"/>
      <c r="H17" s="10"/>
      <c r="K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hidden="1">
      <c r="A18" s="5" t="s">
        <v>11035</v>
      </c>
      <c r="B18" s="9">
        <v>1.0</v>
      </c>
      <c r="C18" s="9" t="s">
        <v>17153</v>
      </c>
      <c r="D18" s="26">
        <v>0.75</v>
      </c>
      <c r="E18" s="26">
        <v>0.75</v>
      </c>
      <c r="F18" s="9" t="s">
        <v>1656</v>
      </c>
      <c r="G18" s="10"/>
      <c r="H18" s="10"/>
      <c r="K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hidden="1">
      <c r="A19" s="5" t="s">
        <v>11021</v>
      </c>
      <c r="B19" s="9">
        <v>1.0</v>
      </c>
      <c r="C19" s="9" t="s">
        <v>17153</v>
      </c>
      <c r="D19" s="26">
        <v>0.75</v>
      </c>
      <c r="E19" s="26">
        <v>0.75</v>
      </c>
      <c r="F19" s="9" t="s">
        <v>1656</v>
      </c>
      <c r="G19" s="10"/>
      <c r="H19" s="10"/>
      <c r="K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hidden="1">
      <c r="A20" s="5" t="s">
        <v>11022</v>
      </c>
      <c r="B20" s="9">
        <v>1.0</v>
      </c>
      <c r="C20" s="9" t="s">
        <v>17153</v>
      </c>
      <c r="D20" s="26">
        <v>0.75</v>
      </c>
      <c r="E20" s="26">
        <v>0.75</v>
      </c>
      <c r="F20" s="9" t="s">
        <v>1656</v>
      </c>
      <c r="G20" s="10"/>
      <c r="H20" s="10"/>
      <c r="I20" s="10"/>
      <c r="J20" s="10"/>
      <c r="K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hidden="1">
      <c r="A21" s="5" t="s">
        <v>17154</v>
      </c>
      <c r="B21" s="9">
        <v>14659.0</v>
      </c>
      <c r="C21" s="9" t="s">
        <v>17153</v>
      </c>
      <c r="D21" s="26">
        <v>0.75</v>
      </c>
      <c r="E21" s="26">
        <v>0.75</v>
      </c>
      <c r="F21" s="9" t="s">
        <v>1656</v>
      </c>
      <c r="G21" s="10"/>
      <c r="H21" s="10"/>
      <c r="I21" s="10"/>
      <c r="J21" s="10"/>
      <c r="K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hidden="1">
      <c r="A22" s="5" t="s">
        <v>11012</v>
      </c>
      <c r="B22" s="9">
        <v>14590.0</v>
      </c>
      <c r="C22" s="9" t="s">
        <v>17153</v>
      </c>
      <c r="D22" s="26">
        <v>0.9</v>
      </c>
      <c r="E22" s="26">
        <v>0.9</v>
      </c>
      <c r="F22" s="9" t="s">
        <v>1656</v>
      </c>
      <c r="G22" s="10"/>
      <c r="H22" s="10"/>
      <c r="I22" s="10"/>
      <c r="K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hidden="1">
      <c r="A23" s="5" t="s">
        <v>11024</v>
      </c>
      <c r="B23" s="9">
        <v>14590.0</v>
      </c>
      <c r="C23" s="9" t="s">
        <v>17153</v>
      </c>
      <c r="D23" s="26">
        <v>0.9</v>
      </c>
      <c r="E23" s="26">
        <v>0.9</v>
      </c>
      <c r="F23" s="9" t="s">
        <v>1656</v>
      </c>
      <c r="G23" s="10"/>
      <c r="H23" s="10"/>
      <c r="I23" s="10"/>
      <c r="J23" s="10"/>
      <c r="K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hidden="1">
      <c r="A24" s="5" t="s">
        <v>11036</v>
      </c>
      <c r="B24" s="9">
        <v>14590.0</v>
      </c>
      <c r="C24" s="9" t="s">
        <v>17153</v>
      </c>
      <c r="D24" s="26">
        <v>0.9</v>
      </c>
      <c r="E24" s="26">
        <v>0.9</v>
      </c>
      <c r="F24" s="9" t="s">
        <v>1656</v>
      </c>
      <c r="G24" s="10"/>
      <c r="H24" s="10"/>
      <c r="I24" s="10"/>
      <c r="J24" s="10"/>
      <c r="K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hidden="1">
      <c r="A25" s="5" t="s">
        <v>11025</v>
      </c>
      <c r="B25" s="11">
        <v>6706.0</v>
      </c>
      <c r="C25" s="9" t="s">
        <v>17153</v>
      </c>
      <c r="D25" s="26">
        <v>0.75</v>
      </c>
      <c r="E25" s="26">
        <v>0.75</v>
      </c>
      <c r="F25" s="9" t="s">
        <v>1656</v>
      </c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hidden="1">
      <c r="A26" s="5" t="s">
        <v>11037</v>
      </c>
      <c r="B26" s="9">
        <v>5566.0</v>
      </c>
      <c r="C26" s="9" t="s">
        <v>17153</v>
      </c>
      <c r="D26" s="26">
        <v>0.93</v>
      </c>
      <c r="E26" s="26">
        <v>0.93</v>
      </c>
      <c r="F26" s="9" t="s">
        <v>1656</v>
      </c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hidden="1">
      <c r="A27" s="5" t="s">
        <v>11038</v>
      </c>
      <c r="B27" s="9">
        <v>14590.0</v>
      </c>
      <c r="C27" s="9" t="s">
        <v>17153</v>
      </c>
      <c r="D27" s="26">
        <v>0.9</v>
      </c>
      <c r="E27" s="26">
        <v>0.9</v>
      </c>
      <c r="F27" s="9" t="s">
        <v>1656</v>
      </c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hidden="1">
      <c r="A28" s="5" t="s">
        <v>11039</v>
      </c>
      <c r="B28" s="9">
        <v>14590.0</v>
      </c>
      <c r="C28" s="9" t="s">
        <v>17153</v>
      </c>
      <c r="D28" s="26">
        <v>0.9</v>
      </c>
      <c r="E28" s="26">
        <v>0.9</v>
      </c>
      <c r="F28" s="9" t="s">
        <v>1656</v>
      </c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hidden="1">
      <c r="A29" s="5" t="s">
        <v>11013</v>
      </c>
      <c r="B29" s="9">
        <v>14659.0</v>
      </c>
      <c r="C29" s="9" t="s">
        <v>17153</v>
      </c>
      <c r="D29" s="26">
        <v>0.75</v>
      </c>
      <c r="E29" s="26">
        <v>0.75</v>
      </c>
      <c r="F29" s="9" t="s">
        <v>1656</v>
      </c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hidden="1">
      <c r="A30" s="5" t="s">
        <v>11040</v>
      </c>
      <c r="B30" s="9">
        <v>14590.0</v>
      </c>
      <c r="C30" s="9" t="s">
        <v>17153</v>
      </c>
      <c r="D30" s="26">
        <v>0.9</v>
      </c>
      <c r="E30" s="26">
        <v>0.9</v>
      </c>
      <c r="F30" s="9" t="s">
        <v>1656</v>
      </c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hidden="1">
      <c r="A31" s="5" t="s">
        <v>11014</v>
      </c>
      <c r="B31" s="9">
        <v>14590.0</v>
      </c>
      <c r="C31" s="9" t="s">
        <v>17153</v>
      </c>
      <c r="D31" s="26">
        <v>0.9</v>
      </c>
      <c r="E31" s="26">
        <v>0.9</v>
      </c>
      <c r="F31" s="9" t="s">
        <v>1656</v>
      </c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hidden="1">
      <c r="A32" s="5" t="s">
        <v>11041</v>
      </c>
      <c r="B32" s="9">
        <v>6978.0</v>
      </c>
      <c r="C32" s="9" t="s">
        <v>17153</v>
      </c>
      <c r="D32" s="26">
        <v>0.75</v>
      </c>
      <c r="E32" s="26">
        <v>0.75</v>
      </c>
      <c r="F32" s="9" t="s">
        <v>1656</v>
      </c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hidden="1">
      <c r="A33" s="5" t="s">
        <v>11027</v>
      </c>
      <c r="B33" s="9">
        <v>14590.0</v>
      </c>
      <c r="C33" s="9" t="s">
        <v>17153</v>
      </c>
      <c r="D33" s="26">
        <v>0.9</v>
      </c>
      <c r="E33" s="26">
        <v>0.9</v>
      </c>
      <c r="F33" s="9" t="s">
        <v>1656</v>
      </c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hidden="1">
      <c r="A34" s="5" t="s">
        <v>17155</v>
      </c>
      <c r="B34" s="9">
        <v>14590.0</v>
      </c>
      <c r="C34" s="9" t="s">
        <v>17153</v>
      </c>
      <c r="D34" s="26">
        <v>0.9</v>
      </c>
      <c r="E34" s="26">
        <v>0.9</v>
      </c>
      <c r="F34" s="9" t="s">
        <v>1656</v>
      </c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hidden="1">
      <c r="A35" s="5" t="s">
        <v>17156</v>
      </c>
      <c r="B35" s="9">
        <v>14590.0</v>
      </c>
      <c r="C35" s="9" t="s">
        <v>17153</v>
      </c>
      <c r="D35" s="26">
        <v>0.9</v>
      </c>
      <c r="E35" s="26">
        <v>0.9</v>
      </c>
      <c r="F35" s="9" t="s">
        <v>1656</v>
      </c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hidden="1">
      <c r="A36" s="5" t="s">
        <v>17157</v>
      </c>
      <c r="B36" s="9">
        <v>14590.0</v>
      </c>
      <c r="C36" s="9" t="s">
        <v>17153</v>
      </c>
      <c r="D36" s="26">
        <v>0.9</v>
      </c>
      <c r="E36" s="26">
        <v>0.9</v>
      </c>
      <c r="F36" s="9" t="s">
        <v>1656</v>
      </c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hidden="1">
      <c r="A37" s="5" t="s">
        <v>17158</v>
      </c>
      <c r="B37" s="9">
        <v>6706.0</v>
      </c>
      <c r="C37" s="9" t="s">
        <v>17153</v>
      </c>
      <c r="D37" s="26">
        <v>0.75</v>
      </c>
      <c r="E37" s="26">
        <v>0.75</v>
      </c>
      <c r="F37" s="9" t="s">
        <v>1656</v>
      </c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hidden="1">
      <c r="A38" s="5" t="s">
        <v>17159</v>
      </c>
      <c r="B38" s="9">
        <v>6706.0</v>
      </c>
      <c r="C38" s="9" t="s">
        <v>17153</v>
      </c>
      <c r="D38" s="26">
        <v>0.75</v>
      </c>
      <c r="E38" s="26">
        <v>0.75</v>
      </c>
      <c r="F38" s="9" t="s">
        <v>1656</v>
      </c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hidden="1">
      <c r="A39" s="5" t="s">
        <v>17160</v>
      </c>
      <c r="B39" s="9">
        <v>6706.0</v>
      </c>
      <c r="C39" s="9" t="s">
        <v>17153</v>
      </c>
      <c r="D39" s="26">
        <v>0.75</v>
      </c>
      <c r="E39" s="26">
        <v>0.75</v>
      </c>
      <c r="F39" s="9" t="s">
        <v>1656</v>
      </c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hidden="1">
      <c r="A40" s="5" t="s">
        <v>17161</v>
      </c>
      <c r="B40" s="9">
        <v>14590.0</v>
      </c>
      <c r="C40" s="9" t="s">
        <v>17153</v>
      </c>
      <c r="D40" s="26">
        <v>0.9</v>
      </c>
      <c r="E40" s="26">
        <v>0.9</v>
      </c>
      <c r="F40" s="9" t="s">
        <v>1656</v>
      </c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hidden="1">
      <c r="A41" s="5" t="s">
        <v>17162</v>
      </c>
      <c r="B41" s="9">
        <v>14590.0</v>
      </c>
      <c r="C41" s="9" t="s">
        <v>17153</v>
      </c>
      <c r="D41" s="26">
        <v>0.9</v>
      </c>
      <c r="E41" s="26">
        <v>0.9</v>
      </c>
      <c r="F41" s="9" t="s">
        <v>1656</v>
      </c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hidden="1">
      <c r="A42" s="5" t="s">
        <v>17163</v>
      </c>
      <c r="B42" s="9">
        <v>14590.0</v>
      </c>
      <c r="C42" s="9" t="s">
        <v>17153</v>
      </c>
      <c r="D42" s="26">
        <v>0.9</v>
      </c>
      <c r="E42" s="26">
        <v>0.9</v>
      </c>
      <c r="F42" s="9" t="s">
        <v>1656</v>
      </c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hidden="1">
      <c r="A43" s="5" t="s">
        <v>17164</v>
      </c>
      <c r="B43" s="9">
        <v>14590.0</v>
      </c>
      <c r="C43" s="9" t="s">
        <v>17153</v>
      </c>
      <c r="D43" s="26">
        <v>0.9</v>
      </c>
      <c r="E43" s="26">
        <v>0.9</v>
      </c>
      <c r="F43" s="9" t="s">
        <v>1656</v>
      </c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hidden="1">
      <c r="A44" s="5" t="s">
        <v>17165</v>
      </c>
      <c r="B44" s="9">
        <v>3307.0</v>
      </c>
      <c r="C44" s="9" t="s">
        <v>17153</v>
      </c>
      <c r="D44" s="26">
        <v>0.75</v>
      </c>
      <c r="E44" s="26">
        <v>0.75</v>
      </c>
      <c r="F44" s="9" t="s">
        <v>1656</v>
      </c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hidden="1">
      <c r="A45" s="5" t="s">
        <v>17166</v>
      </c>
      <c r="B45" s="9">
        <v>6675.0</v>
      </c>
      <c r="C45" s="9" t="s">
        <v>17153</v>
      </c>
      <c r="D45" s="26">
        <v>0.75</v>
      </c>
      <c r="E45" s="26">
        <v>0.75</v>
      </c>
      <c r="F45" s="9" t="s">
        <v>1656</v>
      </c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hidden="1">
      <c r="A46" s="5" t="s">
        <v>17167</v>
      </c>
      <c r="B46" s="9">
        <v>6675.0</v>
      </c>
      <c r="C46" s="9" t="s">
        <v>17153</v>
      </c>
      <c r="D46" s="26">
        <v>0.75</v>
      </c>
      <c r="E46" s="26">
        <v>0.75</v>
      </c>
      <c r="F46" s="9" t="s">
        <v>1656</v>
      </c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hidden="1">
      <c r="A47" s="5" t="s">
        <v>17168</v>
      </c>
      <c r="B47" s="9">
        <v>14590.0</v>
      </c>
      <c r="C47" s="9" t="s">
        <v>17153</v>
      </c>
      <c r="D47" s="26">
        <v>0.9</v>
      </c>
      <c r="E47" s="26">
        <v>0.9</v>
      </c>
      <c r="F47" s="9" t="s">
        <v>1656</v>
      </c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hidden="1">
      <c r="A48" s="5" t="s">
        <v>17169</v>
      </c>
      <c r="B48" s="9">
        <v>7847.0</v>
      </c>
      <c r="C48" s="9" t="s">
        <v>17153</v>
      </c>
      <c r="D48" s="26">
        <v>0.75</v>
      </c>
      <c r="E48" s="26">
        <v>0.75</v>
      </c>
      <c r="F48" s="9" t="s">
        <v>1656</v>
      </c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hidden="1">
      <c r="A49" s="5" t="s">
        <v>17170</v>
      </c>
      <c r="B49" s="9">
        <v>7033.0</v>
      </c>
      <c r="C49" s="9" t="s">
        <v>17153</v>
      </c>
      <c r="D49" s="26">
        <v>0.75</v>
      </c>
      <c r="E49" s="26">
        <v>0.75</v>
      </c>
      <c r="F49" s="9" t="s">
        <v>1656</v>
      </c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hidden="1">
      <c r="A50" s="5" t="s">
        <v>17171</v>
      </c>
      <c r="B50" s="9">
        <v>12553.0</v>
      </c>
      <c r="C50" s="9" t="s">
        <v>17153</v>
      </c>
      <c r="D50" s="26">
        <v>0.75</v>
      </c>
      <c r="E50" s="26">
        <v>0.75</v>
      </c>
      <c r="F50" s="9" t="s">
        <v>1656</v>
      </c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hidden="1">
      <c r="A51" s="5" t="s">
        <v>17172</v>
      </c>
      <c r="B51" s="9">
        <v>14590.0</v>
      </c>
      <c r="C51" s="9" t="s">
        <v>17153</v>
      </c>
      <c r="D51" s="26">
        <v>0.9</v>
      </c>
      <c r="E51" s="26">
        <v>0.9</v>
      </c>
      <c r="F51" s="9" t="s">
        <v>1656</v>
      </c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hidden="1">
      <c r="A52" s="5" t="s">
        <v>17173</v>
      </c>
      <c r="B52" s="16">
        <v>14732.0</v>
      </c>
      <c r="C52" s="9" t="s">
        <v>17153</v>
      </c>
      <c r="D52" s="26">
        <v>0.75</v>
      </c>
      <c r="E52" s="26">
        <v>0.75</v>
      </c>
      <c r="F52" s="9" t="s">
        <v>1656</v>
      </c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hidden="1">
      <c r="A53" s="5" t="s">
        <v>17174</v>
      </c>
      <c r="B53" s="10"/>
      <c r="C53" s="9" t="s">
        <v>17153</v>
      </c>
      <c r="D53" s="26">
        <v>0.75</v>
      </c>
      <c r="E53" s="26">
        <v>0.75</v>
      </c>
      <c r="F53" s="9" t="s">
        <v>1656</v>
      </c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hidden="1">
      <c r="A54" s="5" t="s">
        <v>17175</v>
      </c>
      <c r="B54" s="10"/>
      <c r="C54" s="9" t="s">
        <v>17153</v>
      </c>
      <c r="D54" s="26">
        <v>0.75</v>
      </c>
      <c r="E54" s="26">
        <v>0.75</v>
      </c>
      <c r="F54" s="9" t="s">
        <v>1656</v>
      </c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hidden="1">
      <c r="A55" s="5" t="s">
        <v>17176</v>
      </c>
      <c r="B55" s="9">
        <v>499.0</v>
      </c>
      <c r="C55" s="9" t="s">
        <v>17153</v>
      </c>
      <c r="D55" s="26">
        <v>0.75</v>
      </c>
      <c r="E55" s="26">
        <v>0.75</v>
      </c>
      <c r="F55" s="9" t="s">
        <v>1656</v>
      </c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hidden="1">
      <c r="A56" s="5" t="s">
        <v>17177</v>
      </c>
      <c r="B56" s="9"/>
      <c r="C56" s="9" t="s">
        <v>17153</v>
      </c>
      <c r="D56" s="26">
        <v>0.75</v>
      </c>
      <c r="E56" s="26">
        <v>0.75</v>
      </c>
      <c r="F56" s="9" t="s">
        <v>1656</v>
      </c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hidden="1">
      <c r="A57" s="5" t="s">
        <v>17178</v>
      </c>
      <c r="B57" s="9">
        <v>14590.0</v>
      </c>
      <c r="C57" s="9" t="s">
        <v>17153</v>
      </c>
      <c r="D57" s="26">
        <v>0.9</v>
      </c>
      <c r="E57" s="26">
        <v>0.9</v>
      </c>
      <c r="F57" s="9" t="s">
        <v>1656</v>
      </c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hidden="1">
      <c r="A58" s="5" t="s">
        <v>17179</v>
      </c>
      <c r="B58" s="9">
        <v>14590.0</v>
      </c>
      <c r="C58" s="9" t="s">
        <v>17153</v>
      </c>
      <c r="D58" s="26">
        <v>0.9</v>
      </c>
      <c r="E58" s="26">
        <v>0.9</v>
      </c>
      <c r="F58" s="9" t="s">
        <v>1656</v>
      </c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hidden="1">
      <c r="A59" s="5" t="s">
        <v>17180</v>
      </c>
      <c r="B59" s="9">
        <v>14590.0</v>
      </c>
      <c r="C59" s="9" t="s">
        <v>17153</v>
      </c>
      <c r="D59" s="26">
        <v>0.9</v>
      </c>
      <c r="E59" s="26">
        <v>0.9</v>
      </c>
      <c r="F59" s="9" t="s">
        <v>1656</v>
      </c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hidden="1">
      <c r="A60" s="5" t="s">
        <v>17181</v>
      </c>
      <c r="B60" s="9">
        <v>14590.0</v>
      </c>
      <c r="C60" s="9" t="s">
        <v>17153</v>
      </c>
      <c r="D60" s="26">
        <v>0.9</v>
      </c>
      <c r="E60" s="26">
        <v>0.9</v>
      </c>
      <c r="F60" s="9" t="s">
        <v>1656</v>
      </c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hidden="1">
      <c r="A61" s="5" t="s">
        <v>17182</v>
      </c>
      <c r="B61" s="10"/>
      <c r="C61" s="9" t="s">
        <v>17153</v>
      </c>
      <c r="D61" s="26">
        <v>0.75</v>
      </c>
      <c r="E61" s="26">
        <v>0.75</v>
      </c>
      <c r="F61" s="9" t="s">
        <v>1656</v>
      </c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hidden="1">
      <c r="A62" s="5" t="s">
        <v>17183</v>
      </c>
      <c r="B62" s="10"/>
      <c r="C62" s="9" t="s">
        <v>17153</v>
      </c>
      <c r="D62" s="26">
        <v>0.75</v>
      </c>
      <c r="E62" s="26">
        <v>0.75</v>
      </c>
      <c r="F62" s="9" t="s">
        <v>1656</v>
      </c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hidden="1">
      <c r="A63" s="5" t="s">
        <v>17184</v>
      </c>
      <c r="B63" s="10"/>
      <c r="C63" s="9" t="s">
        <v>17153</v>
      </c>
      <c r="D63" s="26">
        <v>0.75</v>
      </c>
      <c r="E63" s="26">
        <v>0.75</v>
      </c>
      <c r="F63" s="9" t="s">
        <v>1656</v>
      </c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hidden="1">
      <c r="A64" s="5" t="s">
        <v>17185</v>
      </c>
      <c r="B64" s="9">
        <v>14590.0</v>
      </c>
      <c r="C64" s="9" t="s">
        <v>17153</v>
      </c>
      <c r="D64" s="26">
        <v>0.9</v>
      </c>
      <c r="E64" s="26">
        <v>0.9</v>
      </c>
      <c r="F64" s="9" t="s">
        <v>1656</v>
      </c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hidden="1">
      <c r="A65" s="5" t="s">
        <v>17186</v>
      </c>
      <c r="B65" s="9">
        <v>14590.0</v>
      </c>
      <c r="C65" s="9" t="s">
        <v>17153</v>
      </c>
      <c r="D65" s="26">
        <v>0.9</v>
      </c>
      <c r="E65" s="26">
        <v>0.9</v>
      </c>
      <c r="F65" s="9" t="s">
        <v>1656</v>
      </c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hidden="1">
      <c r="A66" s="5" t="s">
        <v>17187</v>
      </c>
      <c r="B66" s="9">
        <v>14590.0</v>
      </c>
      <c r="C66" s="9" t="s">
        <v>17153</v>
      </c>
      <c r="D66" s="26">
        <v>0.9</v>
      </c>
      <c r="E66" s="26">
        <v>0.9</v>
      </c>
      <c r="F66" s="9" t="s">
        <v>1656</v>
      </c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hidden="1">
      <c r="A67" s="5" t="s">
        <v>17188</v>
      </c>
      <c r="B67" s="9">
        <v>3404.0</v>
      </c>
      <c r="C67" s="9" t="s">
        <v>17153</v>
      </c>
      <c r="D67" s="26">
        <v>0.75</v>
      </c>
      <c r="E67" s="26">
        <v>0.75</v>
      </c>
      <c r="F67" s="9" t="s">
        <v>1656</v>
      </c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hidden="1">
      <c r="A68" s="5" t="s">
        <v>17189</v>
      </c>
      <c r="B68" s="9">
        <v>3616.0</v>
      </c>
      <c r="C68" s="9" t="s">
        <v>17153</v>
      </c>
      <c r="D68" s="26">
        <v>0.75</v>
      </c>
      <c r="E68" s="26">
        <v>0.75</v>
      </c>
      <c r="F68" s="9" t="s">
        <v>1656</v>
      </c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hidden="1">
      <c r="A69" s="5" t="s">
        <v>17190</v>
      </c>
      <c r="B69" s="10"/>
      <c r="C69" s="9" t="s">
        <v>17153</v>
      </c>
      <c r="D69" s="26">
        <v>0.75</v>
      </c>
      <c r="E69" s="26">
        <v>0.75</v>
      </c>
      <c r="F69" s="9" t="s">
        <v>1656</v>
      </c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hidden="1">
      <c r="A70" s="5" t="s">
        <v>17191</v>
      </c>
      <c r="B70" s="9">
        <v>14590.0</v>
      </c>
      <c r="C70" s="9" t="s">
        <v>17153</v>
      </c>
      <c r="D70" s="26">
        <v>0.9</v>
      </c>
      <c r="E70" s="26">
        <v>0.9</v>
      </c>
      <c r="F70" s="9" t="s">
        <v>1656</v>
      </c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hidden="1">
      <c r="A71" s="5" t="s">
        <v>17192</v>
      </c>
      <c r="B71" s="10"/>
      <c r="C71" s="9" t="s">
        <v>17153</v>
      </c>
      <c r="D71" s="26">
        <v>0.75</v>
      </c>
      <c r="E71" s="26">
        <v>0.75</v>
      </c>
      <c r="F71" s="9" t="s">
        <v>1656</v>
      </c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hidden="1">
      <c r="A72" s="5" t="s">
        <v>17193</v>
      </c>
      <c r="B72" s="10"/>
      <c r="C72" s="9" t="s">
        <v>17153</v>
      </c>
      <c r="D72" s="26">
        <v>0.75</v>
      </c>
      <c r="E72" s="26">
        <v>0.75</v>
      </c>
      <c r="F72" s="9" t="s">
        <v>1656</v>
      </c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hidden="1">
      <c r="A73" s="5" t="s">
        <v>17194</v>
      </c>
      <c r="B73" s="10"/>
      <c r="C73" s="9" t="s">
        <v>17153</v>
      </c>
      <c r="D73" s="26">
        <v>0.75</v>
      </c>
      <c r="E73" s="26">
        <v>0.75</v>
      </c>
      <c r="F73" s="9" t="s">
        <v>1656</v>
      </c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hidden="1">
      <c r="A74" s="5" t="s">
        <v>17195</v>
      </c>
      <c r="B74" s="10"/>
      <c r="C74" s="9" t="s">
        <v>17153</v>
      </c>
      <c r="D74" s="26">
        <v>0.75</v>
      </c>
      <c r="E74" s="26">
        <v>0.75</v>
      </c>
      <c r="F74" s="9" t="s">
        <v>1656</v>
      </c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hidden="1">
      <c r="A75" s="5" t="s">
        <v>17196</v>
      </c>
      <c r="B75" s="9">
        <v>14590.0</v>
      </c>
      <c r="C75" s="9" t="s">
        <v>17153</v>
      </c>
      <c r="D75" s="26">
        <v>0.9</v>
      </c>
      <c r="E75" s="26">
        <v>0.9</v>
      </c>
      <c r="F75" s="9" t="s">
        <v>1656</v>
      </c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hidden="1">
      <c r="A76" s="5" t="s">
        <v>17197</v>
      </c>
      <c r="B76" s="9">
        <v>14590.0</v>
      </c>
      <c r="C76" s="9" t="s">
        <v>17153</v>
      </c>
      <c r="D76" s="26">
        <v>0.9</v>
      </c>
      <c r="E76" s="26">
        <v>0.9</v>
      </c>
      <c r="F76" s="9" t="s">
        <v>1656</v>
      </c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hidden="1">
      <c r="A77" s="5" t="s">
        <v>17198</v>
      </c>
      <c r="B77" s="9">
        <v>14590.0</v>
      </c>
      <c r="C77" s="9" t="s">
        <v>17153</v>
      </c>
      <c r="D77" s="26">
        <v>0.9</v>
      </c>
      <c r="E77" s="26">
        <v>0.9</v>
      </c>
      <c r="F77" s="9" t="s">
        <v>1656</v>
      </c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hidden="1">
      <c r="A78" s="5" t="s">
        <v>17199</v>
      </c>
      <c r="B78" s="9">
        <v>14590.0</v>
      </c>
      <c r="C78" s="9" t="s">
        <v>17153</v>
      </c>
      <c r="D78" s="26">
        <v>0.9</v>
      </c>
      <c r="E78" s="26">
        <v>0.9</v>
      </c>
      <c r="F78" s="9" t="s">
        <v>1656</v>
      </c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hidden="1">
      <c r="A79" s="5" t="s">
        <v>17200</v>
      </c>
      <c r="B79" s="9">
        <v>14590.0</v>
      </c>
      <c r="C79" s="9" t="s">
        <v>17153</v>
      </c>
      <c r="D79" s="26">
        <v>0.9</v>
      </c>
      <c r="E79" s="26">
        <v>0.9</v>
      </c>
      <c r="F79" s="9" t="s">
        <v>1656</v>
      </c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hidden="1">
      <c r="A80" s="5" t="s">
        <v>17201</v>
      </c>
      <c r="B80" s="10"/>
      <c r="C80" s="9" t="s">
        <v>17153</v>
      </c>
      <c r="D80" s="26">
        <v>0.75</v>
      </c>
      <c r="E80" s="26">
        <v>0.75</v>
      </c>
      <c r="F80" s="9" t="s">
        <v>1656</v>
      </c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hidden="1">
      <c r="A81" s="5" t="s">
        <v>17202</v>
      </c>
      <c r="B81" s="9">
        <v>14482.0</v>
      </c>
      <c r="C81" s="9" t="s">
        <v>17153</v>
      </c>
      <c r="D81" s="26">
        <v>0.75</v>
      </c>
      <c r="E81" s="26">
        <v>0.75</v>
      </c>
      <c r="F81" s="9" t="s">
        <v>1656</v>
      </c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hidden="1">
      <c r="A82" s="5" t="s">
        <v>17203</v>
      </c>
      <c r="B82" s="195">
        <v>14646.0</v>
      </c>
      <c r="C82" s="9" t="s">
        <v>17153</v>
      </c>
      <c r="D82" s="26">
        <v>0.75</v>
      </c>
      <c r="E82" s="26">
        <v>0.75</v>
      </c>
      <c r="F82" s="9" t="s">
        <v>1656</v>
      </c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hidden="1">
      <c r="A83" s="5" t="s">
        <v>17204</v>
      </c>
      <c r="B83" s="10"/>
      <c r="C83" s="9" t="s">
        <v>17153</v>
      </c>
      <c r="D83" s="26">
        <v>0.75</v>
      </c>
      <c r="E83" s="26">
        <v>0.75</v>
      </c>
      <c r="F83" s="9" t="s">
        <v>1656</v>
      </c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hidden="1">
      <c r="A84" s="5" t="s">
        <v>17205</v>
      </c>
      <c r="B84" s="10"/>
      <c r="C84" s="9" t="s">
        <v>17153</v>
      </c>
      <c r="D84" s="26">
        <v>0.75</v>
      </c>
      <c r="E84" s="26">
        <v>0.75</v>
      </c>
      <c r="F84" s="9" t="s">
        <v>1656</v>
      </c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hidden="1">
      <c r="A85" s="5" t="s">
        <v>17206</v>
      </c>
      <c r="B85" s="10"/>
      <c r="C85" s="9" t="s">
        <v>17153</v>
      </c>
      <c r="D85" s="26">
        <v>0.75</v>
      </c>
      <c r="E85" s="26">
        <v>0.75</v>
      </c>
      <c r="F85" s="9" t="s">
        <v>1656</v>
      </c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hidden="1">
      <c r="A86" s="5" t="s">
        <v>17207</v>
      </c>
      <c r="B86" s="9">
        <v>11875.0</v>
      </c>
      <c r="C86" s="9" t="s">
        <v>17153</v>
      </c>
      <c r="D86" s="26">
        <v>0.75</v>
      </c>
      <c r="E86" s="26">
        <v>0.75</v>
      </c>
      <c r="F86" s="9" t="s">
        <v>1656</v>
      </c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hidden="1">
      <c r="A87" s="5" t="s">
        <v>17208</v>
      </c>
      <c r="B87" s="9">
        <v>6132.0</v>
      </c>
      <c r="C87" s="9" t="s">
        <v>17153</v>
      </c>
      <c r="D87" s="26">
        <v>0.75</v>
      </c>
      <c r="E87" s="26">
        <v>0.75</v>
      </c>
      <c r="F87" s="9" t="s">
        <v>1656</v>
      </c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hidden="1">
      <c r="A88" s="5" t="s">
        <v>17209</v>
      </c>
      <c r="B88" s="10"/>
      <c r="C88" s="9" t="s">
        <v>17153</v>
      </c>
      <c r="D88" s="26">
        <v>0.75</v>
      </c>
      <c r="E88" s="26">
        <v>0.75</v>
      </c>
      <c r="F88" s="9" t="s">
        <v>1656</v>
      </c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hidden="1">
      <c r="A89" s="5" t="s">
        <v>17210</v>
      </c>
      <c r="B89" s="9">
        <v>2345.0</v>
      </c>
      <c r="C89" s="9" t="s">
        <v>17153</v>
      </c>
      <c r="D89" s="26">
        <v>0.9</v>
      </c>
      <c r="E89" s="26">
        <v>0.9</v>
      </c>
      <c r="F89" s="9" t="s">
        <v>1656</v>
      </c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hidden="1">
      <c r="A90" s="5" t="s">
        <v>17211</v>
      </c>
      <c r="B90" s="9">
        <v>7142.0</v>
      </c>
      <c r="C90" s="9" t="s">
        <v>17153</v>
      </c>
      <c r="D90" s="26">
        <v>0.75</v>
      </c>
      <c r="E90" s="26">
        <v>0.75</v>
      </c>
      <c r="F90" s="9" t="s">
        <v>1656</v>
      </c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hidden="1">
      <c r="A91" s="5" t="s">
        <v>17212</v>
      </c>
      <c r="B91" s="9">
        <v>3607.0</v>
      </c>
      <c r="C91" s="9" t="s">
        <v>17153</v>
      </c>
      <c r="D91" s="26">
        <v>0.75</v>
      </c>
      <c r="E91" s="26">
        <v>0.75</v>
      </c>
      <c r="F91" s="9" t="s">
        <v>1656</v>
      </c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hidden="1">
      <c r="A92" s="5" t="s">
        <v>17213</v>
      </c>
      <c r="B92" s="9">
        <v>3607.0</v>
      </c>
      <c r="C92" s="9" t="s">
        <v>17153</v>
      </c>
      <c r="D92" s="26">
        <v>0.75</v>
      </c>
      <c r="E92" s="26">
        <v>0.75</v>
      </c>
      <c r="F92" s="9" t="s">
        <v>1656</v>
      </c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hidden="1">
      <c r="A93" s="5" t="s">
        <v>17214</v>
      </c>
      <c r="B93" s="9">
        <v>3607.0</v>
      </c>
      <c r="C93" s="9" t="s">
        <v>17153</v>
      </c>
      <c r="D93" s="26">
        <v>0.75</v>
      </c>
      <c r="E93" s="26">
        <v>0.75</v>
      </c>
      <c r="F93" s="9" t="s">
        <v>1656</v>
      </c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hidden="1">
      <c r="A94" s="5" t="s">
        <v>17215</v>
      </c>
      <c r="B94" s="9">
        <v>3607.0</v>
      </c>
      <c r="C94" s="9" t="s">
        <v>17153</v>
      </c>
      <c r="D94" s="26">
        <v>0.75</v>
      </c>
      <c r="E94" s="26">
        <v>0.75</v>
      </c>
      <c r="F94" s="9" t="s">
        <v>1656</v>
      </c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hidden="1">
      <c r="A95" s="5" t="s">
        <v>17216</v>
      </c>
      <c r="B95" s="9">
        <v>3607.0</v>
      </c>
      <c r="C95" s="9" t="s">
        <v>17153</v>
      </c>
      <c r="D95" s="26">
        <v>0.75</v>
      </c>
      <c r="E95" s="26">
        <v>0.75</v>
      </c>
      <c r="F95" s="9" t="s">
        <v>1656</v>
      </c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hidden="1">
      <c r="A96" s="5" t="s">
        <v>17217</v>
      </c>
      <c r="B96" s="9">
        <v>3607.0</v>
      </c>
      <c r="C96" s="9" t="s">
        <v>17153</v>
      </c>
      <c r="D96" s="26">
        <v>0.75</v>
      </c>
      <c r="E96" s="26">
        <v>0.75</v>
      </c>
      <c r="F96" s="9" t="s">
        <v>1656</v>
      </c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hidden="1">
      <c r="A97" s="5" t="s">
        <v>17218</v>
      </c>
      <c r="B97" s="9">
        <v>3607.0</v>
      </c>
      <c r="C97" s="9" t="s">
        <v>17153</v>
      </c>
      <c r="D97" s="26">
        <v>0.75</v>
      </c>
      <c r="E97" s="26">
        <v>0.75</v>
      </c>
      <c r="F97" s="9" t="s">
        <v>1656</v>
      </c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hidden="1">
      <c r="A98" s="5" t="s">
        <v>17219</v>
      </c>
      <c r="B98" s="9">
        <v>3607.0</v>
      </c>
      <c r="C98" s="9" t="s">
        <v>17153</v>
      </c>
      <c r="D98" s="26">
        <v>0.75</v>
      </c>
      <c r="E98" s="26">
        <v>0.75</v>
      </c>
      <c r="F98" s="9" t="s">
        <v>1656</v>
      </c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hidden="1">
      <c r="A99" s="5" t="s">
        <v>17220</v>
      </c>
      <c r="B99" s="9">
        <v>3607.0</v>
      </c>
      <c r="C99" s="9" t="s">
        <v>17153</v>
      </c>
      <c r="D99" s="26">
        <v>0.75</v>
      </c>
      <c r="E99" s="26">
        <v>0.75</v>
      </c>
      <c r="F99" s="9" t="s">
        <v>1656</v>
      </c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hidden="1">
      <c r="A100" s="5" t="s">
        <v>17221</v>
      </c>
      <c r="B100" s="9">
        <v>3607.0</v>
      </c>
      <c r="C100" s="9" t="s">
        <v>17153</v>
      </c>
      <c r="D100" s="26">
        <v>0.75</v>
      </c>
      <c r="E100" s="26">
        <v>0.75</v>
      </c>
      <c r="F100" s="9" t="s">
        <v>1656</v>
      </c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hidden="1">
      <c r="A101" s="5" t="s">
        <v>17222</v>
      </c>
      <c r="B101" s="579">
        <v>12268.0</v>
      </c>
      <c r="C101" s="9" t="s">
        <v>17153</v>
      </c>
      <c r="D101" s="26">
        <v>0.75</v>
      </c>
      <c r="E101" s="26">
        <v>0.75</v>
      </c>
      <c r="F101" s="9" t="s">
        <v>1656</v>
      </c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hidden="1">
      <c r="A102" s="9" t="s">
        <v>1823</v>
      </c>
      <c r="B102" s="9">
        <v>6924.0</v>
      </c>
      <c r="C102" s="9" t="s">
        <v>17153</v>
      </c>
      <c r="D102" s="26">
        <v>0.75</v>
      </c>
      <c r="E102" s="26">
        <v>0.75</v>
      </c>
      <c r="F102" s="9" t="s">
        <v>1656</v>
      </c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hidden="1">
      <c r="A103" s="9" t="s">
        <v>1808</v>
      </c>
      <c r="B103" s="9">
        <v>6924.0</v>
      </c>
      <c r="C103" s="9" t="s">
        <v>17153</v>
      </c>
      <c r="D103" s="26">
        <v>0.75</v>
      </c>
      <c r="E103" s="26">
        <v>0.75</v>
      </c>
      <c r="F103" s="9" t="s">
        <v>1656</v>
      </c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hidden="1">
      <c r="A104" s="9" t="s">
        <v>1809</v>
      </c>
      <c r="B104" s="5">
        <v>14638.0</v>
      </c>
      <c r="C104" s="9" t="s">
        <v>17153</v>
      </c>
      <c r="D104" s="26">
        <v>0.75</v>
      </c>
      <c r="E104" s="26">
        <v>0.75</v>
      </c>
      <c r="F104" s="9" t="s">
        <v>1656</v>
      </c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hidden="1">
      <c r="A105" s="9" t="s">
        <v>1810</v>
      </c>
      <c r="B105" s="9">
        <v>14638.0</v>
      </c>
      <c r="C105" s="9" t="s">
        <v>17153</v>
      </c>
      <c r="D105" s="26">
        <v>0.75</v>
      </c>
      <c r="E105" s="26">
        <v>0.75</v>
      </c>
      <c r="F105" s="9" t="s">
        <v>1656</v>
      </c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hidden="1">
      <c r="A106" s="9" t="s">
        <v>1812</v>
      </c>
      <c r="B106" s="9">
        <v>6675.0</v>
      </c>
      <c r="C106" s="9" t="s">
        <v>17153</v>
      </c>
      <c r="D106" s="26">
        <v>0.75</v>
      </c>
      <c r="E106" s="26">
        <v>0.75</v>
      </c>
      <c r="F106" s="9" t="s">
        <v>1656</v>
      </c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hidden="1">
      <c r="A107" s="9" t="s">
        <v>1813</v>
      </c>
      <c r="B107" s="9">
        <v>14525.0</v>
      </c>
      <c r="C107" s="9" t="s">
        <v>17153</v>
      </c>
      <c r="D107" s="26">
        <v>0.75</v>
      </c>
      <c r="E107" s="26">
        <v>0.75</v>
      </c>
      <c r="F107" s="9" t="s">
        <v>1656</v>
      </c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hidden="1">
      <c r="A108" s="9" t="s">
        <v>1830</v>
      </c>
      <c r="B108" s="9">
        <v>7083.0</v>
      </c>
      <c r="C108" s="9" t="s">
        <v>17153</v>
      </c>
      <c r="D108" s="26">
        <v>0.75</v>
      </c>
      <c r="E108" s="26">
        <v>0.75</v>
      </c>
      <c r="F108" s="9" t="s">
        <v>1656</v>
      </c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hidden="1">
      <c r="A109" s="9" t="s">
        <v>1814</v>
      </c>
      <c r="B109" s="9">
        <v>663.0</v>
      </c>
      <c r="C109" s="9" t="s">
        <v>17153</v>
      </c>
      <c r="D109" s="26">
        <v>0.75</v>
      </c>
      <c r="E109" s="26">
        <v>0.75</v>
      </c>
      <c r="F109" s="9" t="s">
        <v>1656</v>
      </c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hidden="1">
      <c r="A110" s="9" t="s">
        <v>1815</v>
      </c>
      <c r="B110" s="9">
        <v>663.0</v>
      </c>
      <c r="C110" s="9" t="s">
        <v>17153</v>
      </c>
      <c r="D110" s="26">
        <v>0.75</v>
      </c>
      <c r="E110" s="26">
        <v>0.75</v>
      </c>
      <c r="F110" s="9" t="s">
        <v>1656</v>
      </c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hidden="1">
      <c r="A111" s="9" t="s">
        <v>1816</v>
      </c>
      <c r="B111" s="9">
        <v>14465.0</v>
      </c>
      <c r="C111" s="9" t="s">
        <v>17153</v>
      </c>
      <c r="D111" s="26">
        <v>0.75</v>
      </c>
      <c r="E111" s="26">
        <v>0.75</v>
      </c>
      <c r="F111" s="9" t="s">
        <v>1656</v>
      </c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hidden="1">
      <c r="A112" s="9" t="s">
        <v>1817</v>
      </c>
      <c r="B112" s="10"/>
      <c r="C112" s="9" t="s">
        <v>17153</v>
      </c>
      <c r="D112" s="26">
        <v>0.75</v>
      </c>
      <c r="E112" s="26">
        <v>0.75</v>
      </c>
      <c r="F112" s="9" t="s">
        <v>1656</v>
      </c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hidden="1">
      <c r="A113" s="9" t="s">
        <v>1818</v>
      </c>
      <c r="B113" s="16">
        <v>14734.0</v>
      </c>
      <c r="C113" s="9" t="s">
        <v>17153</v>
      </c>
      <c r="D113" s="26">
        <v>0.75</v>
      </c>
      <c r="E113" s="26">
        <v>0.75</v>
      </c>
      <c r="F113" s="9" t="s">
        <v>1656</v>
      </c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hidden="1">
      <c r="A114" s="9" t="s">
        <v>1819</v>
      </c>
      <c r="B114" s="10"/>
      <c r="C114" s="9" t="s">
        <v>17153</v>
      </c>
      <c r="D114" s="26">
        <v>0.75</v>
      </c>
      <c r="E114" s="26">
        <v>0.75</v>
      </c>
      <c r="F114" s="9" t="s">
        <v>1656</v>
      </c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hidden="1">
      <c r="A115" s="9" t="s">
        <v>1820</v>
      </c>
      <c r="B115" s="9">
        <v>5458.0</v>
      </c>
      <c r="C115" s="9" t="s">
        <v>17153</v>
      </c>
      <c r="D115" s="26">
        <v>0.75</v>
      </c>
      <c r="E115" s="26">
        <v>0.75</v>
      </c>
      <c r="F115" s="9" t="s">
        <v>1656</v>
      </c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hidden="1">
      <c r="A116" s="9" t="s">
        <v>1821</v>
      </c>
      <c r="B116" s="11">
        <v>5458.0</v>
      </c>
      <c r="C116" s="9" t="s">
        <v>17153</v>
      </c>
      <c r="D116" s="26">
        <v>0.75</v>
      </c>
      <c r="E116" s="26">
        <v>0.75</v>
      </c>
      <c r="F116" s="9" t="s">
        <v>1656</v>
      </c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hidden="1">
      <c r="A117" s="9" t="s">
        <v>1840</v>
      </c>
      <c r="B117" s="9">
        <v>7033.0</v>
      </c>
      <c r="C117" s="9" t="s">
        <v>17153</v>
      </c>
      <c r="D117" s="26">
        <v>0.75</v>
      </c>
      <c r="E117" s="26">
        <v>0.75</v>
      </c>
      <c r="F117" s="9" t="s">
        <v>1656</v>
      </c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hidden="1">
      <c r="A118" s="9" t="s">
        <v>1822</v>
      </c>
      <c r="B118" s="9">
        <v>7033.0</v>
      </c>
      <c r="C118" s="9" t="s">
        <v>17153</v>
      </c>
      <c r="D118" s="26">
        <v>0.75</v>
      </c>
      <c r="E118" s="26">
        <v>0.75</v>
      </c>
      <c r="F118" s="9" t="s">
        <v>1656</v>
      </c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hidden="1">
      <c r="A119" s="9" t="s">
        <v>1824</v>
      </c>
      <c r="B119" s="10"/>
      <c r="C119" s="9" t="s">
        <v>17153</v>
      </c>
      <c r="D119" s="26">
        <v>0.75</v>
      </c>
      <c r="E119" s="26">
        <v>0.75</v>
      </c>
      <c r="F119" s="9" t="s">
        <v>1656</v>
      </c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hidden="1">
      <c r="A120" s="9" t="s">
        <v>1825</v>
      </c>
      <c r="B120" s="9">
        <v>6947.0</v>
      </c>
      <c r="C120" s="9" t="s">
        <v>17153</v>
      </c>
      <c r="D120" s="26">
        <v>0.75</v>
      </c>
      <c r="E120" s="26">
        <v>0.75</v>
      </c>
      <c r="F120" s="9" t="s">
        <v>1656</v>
      </c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hidden="1">
      <c r="A121" s="9" t="s">
        <v>1826</v>
      </c>
      <c r="B121" s="9">
        <v>14727.0</v>
      </c>
      <c r="C121" s="9" t="s">
        <v>17153</v>
      </c>
      <c r="D121" s="26">
        <v>0.75</v>
      </c>
      <c r="E121" s="26">
        <v>0.75</v>
      </c>
      <c r="F121" s="9" t="s">
        <v>1656</v>
      </c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hidden="1">
      <c r="A122" s="9" t="s">
        <v>1827</v>
      </c>
      <c r="B122" s="10"/>
      <c r="C122" s="9" t="s">
        <v>17153</v>
      </c>
      <c r="D122" s="26">
        <v>0.75</v>
      </c>
      <c r="E122" s="26">
        <v>0.75</v>
      </c>
      <c r="F122" s="9" t="s">
        <v>1656</v>
      </c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hidden="1">
      <c r="A123" s="9" t="s">
        <v>1828</v>
      </c>
      <c r="B123" s="9">
        <v>7023.0</v>
      </c>
      <c r="C123" s="9" t="s">
        <v>17153</v>
      </c>
      <c r="D123" s="26">
        <v>0.75</v>
      </c>
      <c r="E123" s="26">
        <v>0.75</v>
      </c>
      <c r="F123" s="9" t="s">
        <v>1656</v>
      </c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hidden="1">
      <c r="A124" s="9" t="s">
        <v>1829</v>
      </c>
      <c r="B124" s="10"/>
      <c r="C124" s="9" t="s">
        <v>17153</v>
      </c>
      <c r="D124" s="26">
        <v>0.75</v>
      </c>
      <c r="E124" s="26">
        <v>0.75</v>
      </c>
      <c r="F124" s="9" t="s">
        <v>1656</v>
      </c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hidden="1">
      <c r="A125" s="9" t="s">
        <v>1831</v>
      </c>
      <c r="B125" s="10"/>
      <c r="C125" s="9" t="s">
        <v>17153</v>
      </c>
      <c r="D125" s="26">
        <v>0.75</v>
      </c>
      <c r="E125" s="26">
        <v>0.75</v>
      </c>
      <c r="F125" s="9" t="s">
        <v>1656</v>
      </c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hidden="1">
      <c r="A126" s="9" t="s">
        <v>1832</v>
      </c>
      <c r="B126" s="9">
        <v>283.0</v>
      </c>
      <c r="C126" s="9" t="s">
        <v>17153</v>
      </c>
      <c r="D126" s="26">
        <v>0.75</v>
      </c>
      <c r="E126" s="26">
        <v>0.75</v>
      </c>
      <c r="F126" s="9" t="s">
        <v>1656</v>
      </c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hidden="1">
      <c r="A127" s="9" t="s">
        <v>1833</v>
      </c>
      <c r="B127" s="10"/>
      <c r="C127" s="9" t="s">
        <v>17153</v>
      </c>
      <c r="D127" s="26">
        <v>0.75</v>
      </c>
      <c r="E127" s="26">
        <v>0.75</v>
      </c>
      <c r="F127" s="9" t="s">
        <v>1656</v>
      </c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hidden="1">
      <c r="A128" s="9" t="s">
        <v>1834</v>
      </c>
      <c r="B128" s="10"/>
      <c r="C128" s="9" t="s">
        <v>17153</v>
      </c>
      <c r="D128" s="26">
        <v>0.75</v>
      </c>
      <c r="E128" s="26">
        <v>0.75</v>
      </c>
      <c r="F128" s="9" t="s">
        <v>1656</v>
      </c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hidden="1">
      <c r="A129" s="9" t="s">
        <v>1853</v>
      </c>
      <c r="B129" s="10"/>
      <c r="C129" s="9" t="s">
        <v>17153</v>
      </c>
      <c r="D129" s="26">
        <v>0.75</v>
      </c>
      <c r="E129" s="26">
        <v>0.75</v>
      </c>
      <c r="F129" s="9" t="s">
        <v>1656</v>
      </c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hidden="1">
      <c r="A130" s="9" t="s">
        <v>1835</v>
      </c>
      <c r="B130" s="10"/>
      <c r="C130" s="9" t="s">
        <v>17153</v>
      </c>
      <c r="D130" s="26">
        <v>0.75</v>
      </c>
      <c r="E130" s="26">
        <v>0.75</v>
      </c>
      <c r="F130" s="9" t="s">
        <v>1656</v>
      </c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hidden="1">
      <c r="A131" s="9" t="s">
        <v>1856</v>
      </c>
      <c r="B131" s="9">
        <v>283.0</v>
      </c>
      <c r="C131" s="9" t="s">
        <v>17153</v>
      </c>
      <c r="D131" s="26">
        <v>0.75</v>
      </c>
      <c r="E131" s="26">
        <v>0.75</v>
      </c>
      <c r="F131" s="9" t="s">
        <v>1656</v>
      </c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hidden="1">
      <c r="A132" s="9" t="s">
        <v>1836</v>
      </c>
      <c r="B132" s="10"/>
      <c r="C132" s="9" t="s">
        <v>17153</v>
      </c>
      <c r="D132" s="26">
        <v>0.75</v>
      </c>
      <c r="E132" s="26">
        <v>0.75</v>
      </c>
      <c r="F132" s="9" t="s">
        <v>1656</v>
      </c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hidden="1">
      <c r="A133" s="9" t="s">
        <v>1837</v>
      </c>
      <c r="B133" s="10"/>
      <c r="C133" s="9" t="s">
        <v>17153</v>
      </c>
      <c r="D133" s="26">
        <v>0.75</v>
      </c>
      <c r="E133" s="26">
        <v>0.75</v>
      </c>
      <c r="F133" s="9" t="s">
        <v>1656</v>
      </c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hidden="1">
      <c r="A134" s="9" t="s">
        <v>1838</v>
      </c>
      <c r="B134" s="9">
        <v>13945.0</v>
      </c>
      <c r="C134" s="9" t="s">
        <v>17153</v>
      </c>
      <c r="D134" s="26">
        <v>0.8</v>
      </c>
      <c r="E134" s="26">
        <v>0.8</v>
      </c>
      <c r="F134" s="9" t="s">
        <v>1656</v>
      </c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hidden="1">
      <c r="A135" s="9" t="s">
        <v>1839</v>
      </c>
      <c r="B135" s="10"/>
      <c r="C135" s="9" t="s">
        <v>17153</v>
      </c>
      <c r="D135" s="26">
        <v>0.75</v>
      </c>
      <c r="E135" s="26">
        <v>0.75</v>
      </c>
      <c r="F135" s="9" t="s">
        <v>1656</v>
      </c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hidden="1">
      <c r="A136" s="9" t="s">
        <v>1841</v>
      </c>
      <c r="B136" s="9">
        <v>14575.0</v>
      </c>
      <c r="C136" s="9" t="s">
        <v>17153</v>
      </c>
      <c r="D136" s="26">
        <v>0.85</v>
      </c>
      <c r="E136" s="26">
        <v>0.85</v>
      </c>
      <c r="F136" s="9" t="s">
        <v>1656</v>
      </c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hidden="1">
      <c r="A137" s="9" t="s">
        <v>1842</v>
      </c>
      <c r="B137" s="10"/>
      <c r="C137" s="9" t="s">
        <v>17153</v>
      </c>
      <c r="D137" s="26">
        <v>0.75</v>
      </c>
      <c r="E137" s="26">
        <v>0.75</v>
      </c>
      <c r="F137" s="9" t="s">
        <v>1656</v>
      </c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hidden="1">
      <c r="A138" s="9" t="s">
        <v>1843</v>
      </c>
      <c r="B138" s="10"/>
      <c r="C138" s="9" t="s">
        <v>17153</v>
      </c>
      <c r="D138" s="26">
        <v>0.75</v>
      </c>
      <c r="E138" s="26">
        <v>0.75</v>
      </c>
      <c r="F138" s="9" t="s">
        <v>1656</v>
      </c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hidden="1">
      <c r="A139" s="9" t="s">
        <v>1844</v>
      </c>
      <c r="B139" s="10"/>
      <c r="C139" s="9" t="s">
        <v>17153</v>
      </c>
      <c r="D139" s="26">
        <v>0.75</v>
      </c>
      <c r="E139" s="26">
        <v>0.75</v>
      </c>
      <c r="F139" s="9" t="s">
        <v>1656</v>
      </c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hidden="1">
      <c r="A140" s="9" t="s">
        <v>1845</v>
      </c>
      <c r="B140" s="10"/>
      <c r="C140" s="9" t="s">
        <v>17153</v>
      </c>
      <c r="D140" s="26">
        <v>0.75</v>
      </c>
      <c r="E140" s="26">
        <v>0.75</v>
      </c>
      <c r="F140" s="9" t="s">
        <v>1656</v>
      </c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hidden="1">
      <c r="A141" s="9" t="s">
        <v>1846</v>
      </c>
      <c r="B141" s="10"/>
      <c r="C141" s="9" t="s">
        <v>17153</v>
      </c>
      <c r="D141" s="26">
        <v>0.75</v>
      </c>
      <c r="E141" s="26">
        <v>0.75</v>
      </c>
      <c r="F141" s="9" t="s">
        <v>1656</v>
      </c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hidden="1">
      <c r="A142" s="9" t="s">
        <v>1847</v>
      </c>
      <c r="B142" s="10"/>
      <c r="C142" s="9" t="s">
        <v>17153</v>
      </c>
      <c r="D142" s="26">
        <v>0.75</v>
      </c>
      <c r="E142" s="26">
        <v>0.75</v>
      </c>
      <c r="F142" s="9" t="s">
        <v>1656</v>
      </c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hidden="1">
      <c r="A143" s="9" t="s">
        <v>1848</v>
      </c>
      <c r="B143" s="10"/>
      <c r="C143" s="9" t="s">
        <v>17153</v>
      </c>
      <c r="D143" s="26">
        <v>0.75</v>
      </c>
      <c r="E143" s="26">
        <v>0.75</v>
      </c>
      <c r="F143" s="9" t="s">
        <v>1656</v>
      </c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hidden="1">
      <c r="A144" s="9" t="s">
        <v>1870</v>
      </c>
      <c r="B144" s="10"/>
      <c r="C144" s="9" t="s">
        <v>17153</v>
      </c>
      <c r="D144" s="26">
        <v>0.75</v>
      </c>
      <c r="E144" s="26">
        <v>0.75</v>
      </c>
      <c r="F144" s="9" t="s">
        <v>1656</v>
      </c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hidden="1">
      <c r="A145" s="9" t="s">
        <v>1849</v>
      </c>
      <c r="B145" s="9">
        <v>6772.0</v>
      </c>
      <c r="C145" s="9" t="s">
        <v>17153</v>
      </c>
      <c r="D145" s="26">
        <v>0.75</v>
      </c>
      <c r="E145" s="26">
        <v>0.75</v>
      </c>
      <c r="F145" s="9" t="s">
        <v>1656</v>
      </c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hidden="1">
      <c r="A146" s="9" t="s">
        <v>1850</v>
      </c>
      <c r="B146" s="9">
        <v>10856.0</v>
      </c>
      <c r="C146" s="9" t="s">
        <v>17153</v>
      </c>
      <c r="D146" s="26">
        <v>0.75</v>
      </c>
      <c r="E146" s="26">
        <v>0.75</v>
      </c>
      <c r="F146" s="9" t="s">
        <v>1656</v>
      </c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hidden="1">
      <c r="A147" s="9" t="s">
        <v>1851</v>
      </c>
      <c r="B147" s="10"/>
      <c r="C147" s="9" t="s">
        <v>17153</v>
      </c>
      <c r="D147" s="26">
        <v>0.75</v>
      </c>
      <c r="E147" s="26">
        <v>0.75</v>
      </c>
      <c r="F147" s="9" t="s">
        <v>1656</v>
      </c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hidden="1">
      <c r="A148" s="9" t="s">
        <v>1852</v>
      </c>
      <c r="B148" s="10"/>
      <c r="C148" s="9" t="s">
        <v>17153</v>
      </c>
      <c r="D148" s="26">
        <v>0.75</v>
      </c>
      <c r="E148" s="26">
        <v>0.75</v>
      </c>
      <c r="F148" s="9" t="s">
        <v>1656</v>
      </c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hidden="1">
      <c r="A149" s="9" t="s">
        <v>1854</v>
      </c>
      <c r="B149" s="10"/>
      <c r="C149" s="9" t="s">
        <v>17153</v>
      </c>
      <c r="D149" s="26">
        <v>0.75</v>
      </c>
      <c r="E149" s="26">
        <v>0.75</v>
      </c>
      <c r="F149" s="9" t="s">
        <v>1656</v>
      </c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hidden="1">
      <c r="A150" s="9" t="s">
        <v>1877</v>
      </c>
      <c r="B150" s="10"/>
      <c r="C150" s="9" t="s">
        <v>17153</v>
      </c>
      <c r="D150" s="26">
        <v>0.75</v>
      </c>
      <c r="E150" s="26">
        <v>0.75</v>
      </c>
      <c r="F150" s="9" t="s">
        <v>1656</v>
      </c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hidden="1">
      <c r="A151" s="9" t="s">
        <v>1855</v>
      </c>
      <c r="B151" s="10"/>
      <c r="C151" s="9" t="s">
        <v>17153</v>
      </c>
      <c r="D151" s="26">
        <v>0.75</v>
      </c>
      <c r="E151" s="26">
        <v>0.75</v>
      </c>
      <c r="F151" s="9" t="s">
        <v>1656</v>
      </c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hidden="1">
      <c r="A152" s="9" t="s">
        <v>1857</v>
      </c>
      <c r="B152" s="11">
        <v>10861.0</v>
      </c>
      <c r="C152" s="9" t="s">
        <v>17153</v>
      </c>
      <c r="D152" s="26">
        <v>0.75</v>
      </c>
      <c r="E152" s="26">
        <v>0.75</v>
      </c>
      <c r="F152" s="9" t="s">
        <v>1656</v>
      </c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hidden="1">
      <c r="A153" s="9" t="s">
        <v>1858</v>
      </c>
      <c r="B153" s="10"/>
      <c r="C153" s="9" t="s">
        <v>17153</v>
      </c>
      <c r="D153" s="26">
        <v>0.75</v>
      </c>
      <c r="E153" s="26">
        <v>0.75</v>
      </c>
      <c r="F153" s="9" t="s">
        <v>1656</v>
      </c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hidden="1">
      <c r="A154" s="9" t="s">
        <v>1859</v>
      </c>
      <c r="B154" s="10"/>
      <c r="C154" s="9" t="s">
        <v>17153</v>
      </c>
      <c r="D154" s="26">
        <v>0.75</v>
      </c>
      <c r="E154" s="26">
        <v>0.75</v>
      </c>
      <c r="F154" s="9" t="s">
        <v>1656</v>
      </c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hidden="1">
      <c r="A155" s="9" t="s">
        <v>1883</v>
      </c>
      <c r="B155" s="10"/>
      <c r="C155" s="9" t="s">
        <v>17153</v>
      </c>
      <c r="D155" s="26">
        <v>0.75</v>
      </c>
      <c r="E155" s="26">
        <v>0.75</v>
      </c>
      <c r="F155" s="9" t="s">
        <v>1656</v>
      </c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hidden="1">
      <c r="A156" s="9" t="s">
        <v>1860</v>
      </c>
      <c r="B156" s="9">
        <v>7142.0</v>
      </c>
      <c r="C156" s="9" t="s">
        <v>17153</v>
      </c>
      <c r="D156" s="26">
        <v>0.75</v>
      </c>
      <c r="E156" s="26">
        <v>0.75</v>
      </c>
      <c r="F156" s="9" t="s">
        <v>1656</v>
      </c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hidden="1">
      <c r="A157" s="9" t="s">
        <v>1729</v>
      </c>
      <c r="B157" s="9">
        <v>14727.0</v>
      </c>
      <c r="C157" s="9" t="s">
        <v>17153</v>
      </c>
      <c r="D157" s="26">
        <v>0.75</v>
      </c>
      <c r="E157" s="26">
        <v>0.75</v>
      </c>
      <c r="F157" s="9" t="s">
        <v>1656</v>
      </c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hidden="1">
      <c r="A158" s="9" t="s">
        <v>1730</v>
      </c>
      <c r="B158" s="9">
        <v>14727.0</v>
      </c>
      <c r="C158" s="9" t="s">
        <v>17153</v>
      </c>
      <c r="D158" s="26">
        <v>0.75</v>
      </c>
      <c r="E158" s="26">
        <v>0.75</v>
      </c>
      <c r="F158" s="9" t="s">
        <v>1656</v>
      </c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hidden="1">
      <c r="A159" s="9" t="s">
        <v>17223</v>
      </c>
      <c r="B159" s="9">
        <v>14663.0</v>
      </c>
      <c r="C159" s="9" t="s">
        <v>17153</v>
      </c>
      <c r="D159" s="26">
        <v>0.75</v>
      </c>
      <c r="E159" s="26">
        <v>0.75</v>
      </c>
      <c r="F159" s="9" t="s">
        <v>1656</v>
      </c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hidden="1">
      <c r="A160" s="9" t="s">
        <v>11</v>
      </c>
      <c r="B160" s="9">
        <v>6675.0</v>
      </c>
      <c r="C160" s="9" t="s">
        <v>17153</v>
      </c>
      <c r="D160" s="26">
        <v>0.75</v>
      </c>
      <c r="E160" s="26">
        <v>0.75</v>
      </c>
      <c r="F160" s="9" t="s">
        <v>1656</v>
      </c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hidden="1">
      <c r="A161" s="9" t="s">
        <v>17224</v>
      </c>
      <c r="B161" s="9">
        <v>6675.0</v>
      </c>
      <c r="C161" s="9" t="s">
        <v>17153</v>
      </c>
      <c r="D161" s="26">
        <v>0.75</v>
      </c>
      <c r="E161" s="26">
        <v>0.75</v>
      </c>
      <c r="F161" s="9" t="s">
        <v>1656</v>
      </c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hidden="1">
      <c r="A162" s="9" t="s">
        <v>6274</v>
      </c>
      <c r="B162" s="9">
        <v>6675.0</v>
      </c>
      <c r="C162" s="9" t="s">
        <v>17153</v>
      </c>
      <c r="D162" s="26">
        <v>0.75</v>
      </c>
      <c r="E162" s="26">
        <v>0.75</v>
      </c>
      <c r="F162" s="9" t="s">
        <v>1656</v>
      </c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hidden="1">
      <c r="A163" s="9" t="s">
        <v>17225</v>
      </c>
      <c r="B163" s="9">
        <v>6675.0</v>
      </c>
      <c r="C163" s="9" t="s">
        <v>17153</v>
      </c>
      <c r="D163" s="26">
        <v>0.75</v>
      </c>
      <c r="E163" s="26">
        <v>0.75</v>
      </c>
      <c r="F163" s="9" t="s">
        <v>1656</v>
      </c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hidden="1">
      <c r="A164" s="9" t="s">
        <v>1798</v>
      </c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hidden="1">
      <c r="A165" s="9" t="s">
        <v>1800</v>
      </c>
      <c r="B165" s="9">
        <v>6675.0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hidden="1">
      <c r="A166" s="9" t="s">
        <v>1788</v>
      </c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hidden="1">
      <c r="A167" s="9" t="s">
        <v>1803</v>
      </c>
      <c r="B167" s="9">
        <v>14465.0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hidden="1">
      <c r="A168" s="9" t="s">
        <v>1805</v>
      </c>
      <c r="B168" s="133">
        <v>13945.0</v>
      </c>
      <c r="C168" s="10"/>
      <c r="D168" s="26">
        <v>0.8</v>
      </c>
      <c r="E168" s="26">
        <v>0.8</v>
      </c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hidden="1">
      <c r="A169" s="9" t="s">
        <v>1789</v>
      </c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hidden="1">
      <c r="A170" s="9" t="s">
        <v>1790</v>
      </c>
      <c r="B170" s="9">
        <v>10856.0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hidden="1">
      <c r="A171" s="9" t="s">
        <v>1791</v>
      </c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hidden="1">
      <c r="A172" s="9" t="s">
        <v>1792</v>
      </c>
      <c r="B172" s="9">
        <v>2345.0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>
      <c r="A173" s="9" t="s">
        <v>1811</v>
      </c>
      <c r="B173" s="81">
        <v>6729.0</v>
      </c>
      <c r="C173" s="9" t="s">
        <v>17153</v>
      </c>
      <c r="D173" s="26">
        <v>0.85</v>
      </c>
      <c r="E173" s="26">
        <v>0.85</v>
      </c>
      <c r="F173" s="9" t="s">
        <v>1656</v>
      </c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hidden="1">
      <c r="A174" s="9" t="s">
        <v>1793</v>
      </c>
      <c r="B174" s="9">
        <v>14769.0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hidden="1">
      <c r="A175" s="9" t="s">
        <v>1794</v>
      </c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hidden="1">
      <c r="A176" s="9" t="s">
        <v>1795</v>
      </c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hidden="1">
      <c r="A177" s="9" t="s">
        <v>1797</v>
      </c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hidden="1">
      <c r="A178" s="9" t="s">
        <v>1799</v>
      </c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hidden="1">
      <c r="A179" s="9" t="s">
        <v>1801</v>
      </c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hidden="1">
      <c r="A180" s="9" t="s">
        <v>1802</v>
      </c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hidden="1">
      <c r="A181" s="9" t="s">
        <v>1804</v>
      </c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hidden="1">
      <c r="A182" s="9" t="s">
        <v>1806</v>
      </c>
      <c r="B182" s="9">
        <v>189.0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hidden="1">
      <c r="A183" s="9" t="s">
        <v>1807</v>
      </c>
      <c r="B183" s="9">
        <v>189.0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</sheetData>
  <autoFilter ref="$A$1:$F$183">
    <filterColumn colId="1">
      <filters>
        <filter val="14076"/>
        <filter val="6729"/>
      </filters>
    </filterColumn>
  </autoFilter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27.25"/>
    <col customWidth="1" min="4" max="4" width="12.0"/>
    <col customWidth="1" min="5" max="5" width="26.13"/>
    <col hidden="1" min="10" max="15" width="12.63"/>
    <col customWidth="1" hidden="1" min="16" max="16" width="22.75"/>
    <col customWidth="1" hidden="1" min="17" max="17" width="27.25"/>
    <col customWidth="1" hidden="1" min="18" max="18" width="12.0"/>
    <col hidden="1" min="19" max="19" width="12.63"/>
  </cols>
  <sheetData>
    <row r="1">
      <c r="A1" s="358" t="s">
        <v>44</v>
      </c>
      <c r="B1" s="25" t="s">
        <v>1</v>
      </c>
      <c r="C1" s="57" t="s">
        <v>294</v>
      </c>
      <c r="D1" s="55" t="s">
        <v>248</v>
      </c>
      <c r="E1" s="348" t="s">
        <v>249</v>
      </c>
      <c r="F1" s="349" t="s">
        <v>250</v>
      </c>
      <c r="G1" s="580"/>
      <c r="H1" s="580"/>
      <c r="I1" s="580"/>
      <c r="J1" s="581"/>
      <c r="K1" s="581"/>
      <c r="L1" s="581"/>
      <c r="M1" s="581"/>
      <c r="N1" s="194" t="s">
        <v>2</v>
      </c>
      <c r="O1" s="582" t="s">
        <v>1</v>
      </c>
      <c r="P1" s="583" t="s">
        <v>17226</v>
      </c>
      <c r="Q1" s="279"/>
      <c r="R1" s="11" t="str">
        <f>"Empty codes:"&amp; COUNTBLANK(O2:O112)</f>
        <v>Empty codes:4</v>
      </c>
      <c r="S1" s="581"/>
    </row>
    <row r="2">
      <c r="A2" s="25" t="s">
        <v>17227</v>
      </c>
      <c r="B2" s="25">
        <v>6924.0</v>
      </c>
      <c r="C2" s="584">
        <v>0.05</v>
      </c>
      <c r="D2" s="585">
        <v>0.8</v>
      </c>
      <c r="E2" s="585">
        <v>0.8</v>
      </c>
      <c r="F2" s="348" t="s">
        <v>1656</v>
      </c>
      <c r="G2" s="45"/>
      <c r="H2" s="45"/>
      <c r="I2" s="45"/>
      <c r="J2" s="65"/>
      <c r="K2" s="65"/>
      <c r="L2" s="65"/>
      <c r="M2" s="65"/>
      <c r="N2" s="13" t="s">
        <v>17227</v>
      </c>
      <c r="O2" s="586">
        <v>6924.0</v>
      </c>
      <c r="P2" s="587">
        <v>0.05</v>
      </c>
      <c r="Q2" s="467"/>
      <c r="S2" s="65"/>
    </row>
    <row r="3">
      <c r="A3" s="175" t="s">
        <v>17228</v>
      </c>
      <c r="B3" s="25">
        <v>6924.0</v>
      </c>
      <c r="C3" s="584">
        <v>0.05</v>
      </c>
      <c r="D3" s="585">
        <v>0.8</v>
      </c>
      <c r="E3" s="585">
        <v>0.8</v>
      </c>
      <c r="F3" s="348" t="s">
        <v>1656</v>
      </c>
      <c r="G3" s="45"/>
      <c r="H3" s="45"/>
      <c r="I3" s="45"/>
      <c r="J3" s="65"/>
      <c r="K3" s="65"/>
      <c r="L3" s="65"/>
      <c r="M3" s="65"/>
      <c r="N3" s="13" t="s">
        <v>17228</v>
      </c>
      <c r="O3" s="586">
        <v>6924.0</v>
      </c>
      <c r="P3" s="587">
        <v>0.05</v>
      </c>
      <c r="Q3" s="588"/>
      <c r="S3" s="65"/>
    </row>
    <row r="4">
      <c r="A4" s="25" t="s">
        <v>17229</v>
      </c>
      <c r="B4" s="25">
        <v>6924.0</v>
      </c>
      <c r="C4" s="584">
        <v>0.05</v>
      </c>
      <c r="D4" s="585">
        <v>0.8</v>
      </c>
      <c r="E4" s="585">
        <v>0.8</v>
      </c>
      <c r="F4" s="348" t="s">
        <v>1656</v>
      </c>
      <c r="G4" s="45"/>
      <c r="H4" s="45"/>
      <c r="I4" s="45"/>
      <c r="J4" s="65"/>
      <c r="K4" s="65"/>
      <c r="L4" s="65"/>
      <c r="M4" s="65"/>
      <c r="N4" s="35" t="s">
        <v>17229</v>
      </c>
      <c r="O4" s="109">
        <v>189.0</v>
      </c>
      <c r="P4" s="589">
        <v>0.05</v>
      </c>
      <c r="Q4" s="590"/>
      <c r="R4" s="36"/>
      <c r="S4" s="65"/>
    </row>
    <row r="5">
      <c r="A5" s="175" t="s">
        <v>17230</v>
      </c>
      <c r="B5" s="25">
        <v>6947.0</v>
      </c>
      <c r="C5" s="584">
        <v>0.05</v>
      </c>
      <c r="D5" s="585">
        <v>0.75</v>
      </c>
      <c r="E5" s="585">
        <v>0.75</v>
      </c>
      <c r="F5" s="348" t="s">
        <v>1656</v>
      </c>
      <c r="G5" s="45"/>
      <c r="H5" s="45"/>
      <c r="I5" s="45"/>
      <c r="J5" s="65"/>
      <c r="K5" s="65"/>
      <c r="L5" s="65"/>
      <c r="M5" s="65"/>
      <c r="N5" s="13" t="s">
        <v>17230</v>
      </c>
      <c r="O5" s="586">
        <v>6947.0</v>
      </c>
      <c r="P5" s="587">
        <v>0.05</v>
      </c>
      <c r="Q5" s="588"/>
      <c r="S5" s="65"/>
    </row>
    <row r="6">
      <c r="A6" s="25" t="s">
        <v>17231</v>
      </c>
      <c r="B6" s="25">
        <v>6132.0</v>
      </c>
      <c r="C6" s="584">
        <v>0.05</v>
      </c>
      <c r="D6" s="585">
        <v>0.75</v>
      </c>
      <c r="E6" s="585">
        <v>0.75</v>
      </c>
      <c r="F6" s="348" t="s">
        <v>1656</v>
      </c>
      <c r="G6" s="45"/>
      <c r="H6" s="45"/>
      <c r="I6" s="45"/>
      <c r="J6" s="65"/>
      <c r="K6" s="65"/>
      <c r="L6" s="65"/>
      <c r="M6" s="65"/>
      <c r="N6" s="13" t="s">
        <v>17231</v>
      </c>
      <c r="O6" s="586">
        <v>6132.0</v>
      </c>
      <c r="P6" s="587">
        <v>0.05</v>
      </c>
      <c r="Q6" s="588"/>
      <c r="S6" s="65"/>
    </row>
    <row r="7">
      <c r="A7" s="25" t="s">
        <v>17232</v>
      </c>
      <c r="B7" s="252">
        <v>6697.0</v>
      </c>
      <c r="C7" s="584">
        <v>0.05</v>
      </c>
      <c r="D7" s="585">
        <v>0.75</v>
      </c>
      <c r="E7" s="585">
        <v>0.75</v>
      </c>
      <c r="F7" s="348" t="s">
        <v>1656</v>
      </c>
      <c r="G7" s="45"/>
      <c r="H7" s="45"/>
      <c r="I7" s="45"/>
      <c r="J7" s="65"/>
      <c r="K7" s="65"/>
      <c r="L7" s="65"/>
      <c r="M7" s="65"/>
      <c r="N7" s="35" t="s">
        <v>17232</v>
      </c>
      <c r="O7" s="591">
        <v>6697.0</v>
      </c>
      <c r="P7" s="589">
        <v>0.05</v>
      </c>
      <c r="Q7" s="592"/>
      <c r="R7" s="36"/>
      <c r="S7" s="65"/>
    </row>
    <row r="8">
      <c r="A8" s="25" t="s">
        <v>17233</v>
      </c>
      <c r="B8" s="25">
        <v>6675.0</v>
      </c>
      <c r="C8" s="584">
        <v>0.05</v>
      </c>
      <c r="D8" s="585">
        <v>0.9</v>
      </c>
      <c r="E8" s="585">
        <v>0.9</v>
      </c>
      <c r="F8" s="348" t="s">
        <v>1656</v>
      </c>
      <c r="G8" s="45"/>
      <c r="H8" s="45"/>
      <c r="I8" s="45"/>
      <c r="J8" s="65"/>
      <c r="K8" s="65"/>
      <c r="L8" s="65"/>
      <c r="M8" s="65"/>
      <c r="N8" s="13" t="s">
        <v>17233</v>
      </c>
      <c r="O8" s="586">
        <v>6675.0</v>
      </c>
      <c r="P8" s="587">
        <v>0.05</v>
      </c>
      <c r="Q8" s="588"/>
      <c r="S8" s="65"/>
    </row>
    <row r="9">
      <c r="A9" s="25" t="s">
        <v>17234</v>
      </c>
      <c r="B9" s="25">
        <v>14529.0</v>
      </c>
      <c r="C9" s="584">
        <v>0.05</v>
      </c>
      <c r="D9" s="585">
        <v>0.75</v>
      </c>
      <c r="E9" s="585">
        <v>0.75</v>
      </c>
      <c r="F9" s="348" t="s">
        <v>1656</v>
      </c>
      <c r="G9" s="45"/>
      <c r="H9" s="45"/>
      <c r="I9" s="45"/>
      <c r="J9" s="65"/>
      <c r="K9" s="65"/>
      <c r="L9" s="65"/>
      <c r="M9" s="65"/>
      <c r="N9" s="35" t="s">
        <v>17234</v>
      </c>
      <c r="O9" s="109">
        <v>6772.0</v>
      </c>
      <c r="P9" s="589">
        <v>0.05</v>
      </c>
      <c r="Q9" s="592"/>
      <c r="R9" s="36"/>
      <c r="S9" s="65"/>
    </row>
    <row r="10">
      <c r="A10" s="175" t="s">
        <v>17235</v>
      </c>
      <c r="B10" s="25">
        <v>3607.0</v>
      </c>
      <c r="C10" s="584">
        <v>0.05</v>
      </c>
      <c r="D10" s="585">
        <v>0.8</v>
      </c>
      <c r="E10" s="585">
        <v>0.8</v>
      </c>
      <c r="F10" s="348" t="s">
        <v>1656</v>
      </c>
      <c r="G10" s="45"/>
      <c r="H10" s="45"/>
      <c r="I10" s="45"/>
      <c r="J10" s="65"/>
      <c r="K10" s="65"/>
      <c r="L10" s="65"/>
      <c r="M10" s="65"/>
      <c r="N10" s="13" t="s">
        <v>17235</v>
      </c>
      <c r="O10" s="586">
        <v>3607.0</v>
      </c>
      <c r="P10" s="587">
        <v>0.05</v>
      </c>
      <c r="Q10" s="467"/>
      <c r="S10" s="65"/>
    </row>
    <row r="11">
      <c r="A11" s="25" t="s">
        <v>17236</v>
      </c>
      <c r="B11" s="25">
        <v>986.0</v>
      </c>
      <c r="C11" s="584">
        <v>0.05</v>
      </c>
      <c r="D11" s="593">
        <v>0.83</v>
      </c>
      <c r="E11" s="593">
        <v>0.83</v>
      </c>
      <c r="F11" s="348" t="s">
        <v>1656</v>
      </c>
      <c r="G11" s="45"/>
      <c r="H11" s="45"/>
      <c r="I11" s="45"/>
      <c r="J11" s="65"/>
      <c r="K11" s="65"/>
      <c r="L11" s="65"/>
      <c r="M11" s="65"/>
      <c r="N11" s="35" t="s">
        <v>17236</v>
      </c>
      <c r="O11" s="109">
        <v>986.0</v>
      </c>
      <c r="P11" s="589">
        <v>0.05</v>
      </c>
      <c r="Q11" s="590"/>
      <c r="R11" s="335">
        <v>3607.0</v>
      </c>
      <c r="S11" s="65"/>
    </row>
    <row r="12">
      <c r="A12" s="25" t="s">
        <v>17237</v>
      </c>
      <c r="B12" s="25">
        <v>986.0</v>
      </c>
      <c r="C12" s="25" t="s">
        <v>17238</v>
      </c>
      <c r="D12" s="593">
        <v>0.83</v>
      </c>
      <c r="E12" s="593">
        <v>0.83</v>
      </c>
      <c r="F12" s="348" t="s">
        <v>1656</v>
      </c>
      <c r="G12" s="45"/>
      <c r="H12" s="45"/>
      <c r="I12" s="45"/>
      <c r="J12" s="65"/>
      <c r="K12" s="65"/>
      <c r="L12" s="65"/>
      <c r="M12" s="65"/>
      <c r="N12" s="35" t="s">
        <v>17237</v>
      </c>
      <c r="O12" s="109">
        <v>986.0</v>
      </c>
      <c r="P12" s="589">
        <v>0.05</v>
      </c>
      <c r="Q12" s="590"/>
      <c r="R12" s="36"/>
      <c r="S12" s="65"/>
    </row>
    <row r="13">
      <c r="A13" s="25" t="s">
        <v>17239</v>
      </c>
      <c r="B13" s="25">
        <v>7033.0</v>
      </c>
      <c r="C13" s="584">
        <v>0.05</v>
      </c>
      <c r="D13" s="585">
        <v>0.75</v>
      </c>
      <c r="E13" s="585">
        <v>0.75</v>
      </c>
      <c r="F13" s="348" t="s">
        <v>1656</v>
      </c>
      <c r="G13" s="45"/>
      <c r="H13" s="45"/>
      <c r="I13" s="45"/>
      <c r="J13" s="65"/>
      <c r="K13" s="65"/>
      <c r="L13" s="65"/>
      <c r="M13" s="65"/>
      <c r="N13" s="13" t="s">
        <v>17239</v>
      </c>
      <c r="O13" s="586">
        <v>7033.0</v>
      </c>
      <c r="P13" s="587">
        <v>0.05</v>
      </c>
      <c r="Q13" s="588"/>
      <c r="S13" s="65"/>
    </row>
    <row r="14">
      <c r="A14" s="25" t="s">
        <v>17240</v>
      </c>
      <c r="B14" s="25">
        <v>7747.0</v>
      </c>
      <c r="C14" s="584">
        <v>0.05</v>
      </c>
      <c r="D14" s="585">
        <v>0.75</v>
      </c>
      <c r="E14" s="585">
        <v>0.75</v>
      </c>
      <c r="F14" s="348" t="s">
        <v>1656</v>
      </c>
      <c r="G14" s="45"/>
      <c r="H14" s="45"/>
      <c r="I14" s="45"/>
      <c r="J14" s="65"/>
      <c r="K14" s="65"/>
      <c r="L14" s="65"/>
      <c r="M14" s="65"/>
      <c r="N14" s="35" t="s">
        <v>17240</v>
      </c>
      <c r="O14" s="109">
        <v>10923.0</v>
      </c>
      <c r="P14" s="589">
        <v>0.05</v>
      </c>
      <c r="Q14" s="592"/>
      <c r="R14" s="36"/>
      <c r="S14" s="65"/>
    </row>
    <row r="15">
      <c r="A15" s="25" t="s">
        <v>17241</v>
      </c>
      <c r="B15" s="37">
        <v>7010.0</v>
      </c>
      <c r="C15" s="584">
        <v>0.05</v>
      </c>
      <c r="D15" s="585">
        <v>0.8</v>
      </c>
      <c r="E15" s="585">
        <v>0.8</v>
      </c>
      <c r="F15" s="348" t="s">
        <v>1656</v>
      </c>
      <c r="G15" s="45"/>
      <c r="H15" s="45"/>
      <c r="I15" s="45"/>
      <c r="J15" s="65"/>
      <c r="K15" s="65"/>
      <c r="L15" s="65"/>
      <c r="M15" s="65"/>
      <c r="N15" s="35" t="s">
        <v>17241</v>
      </c>
      <c r="O15" s="109">
        <v>6671.0</v>
      </c>
      <c r="P15" s="589">
        <v>0.05</v>
      </c>
      <c r="Q15" s="592"/>
      <c r="R15" s="36"/>
      <c r="S15" s="65"/>
    </row>
    <row r="16">
      <c r="A16" s="25" t="s">
        <v>17242</v>
      </c>
      <c r="B16" s="252">
        <v>7100.0</v>
      </c>
      <c r="C16" s="584">
        <v>0.05</v>
      </c>
      <c r="D16" s="585">
        <v>0.75</v>
      </c>
      <c r="E16" s="585">
        <v>0.75</v>
      </c>
      <c r="F16" s="348" t="s">
        <v>1656</v>
      </c>
      <c r="G16" s="45"/>
      <c r="H16" s="45"/>
      <c r="I16" s="45"/>
      <c r="J16" s="65"/>
      <c r="K16" s="65"/>
      <c r="L16" s="65"/>
      <c r="M16" s="65"/>
      <c r="N16" s="13" t="s">
        <v>17242</v>
      </c>
      <c r="O16" s="594">
        <v>7100.0</v>
      </c>
      <c r="P16" s="587">
        <v>0.05</v>
      </c>
      <c r="Q16" s="588"/>
      <c r="S16" s="65"/>
    </row>
    <row r="17">
      <c r="A17" s="25" t="s">
        <v>17243</v>
      </c>
      <c r="B17" s="25">
        <v>14516.0</v>
      </c>
      <c r="C17" s="584">
        <v>0.05</v>
      </c>
      <c r="D17" s="585">
        <v>0.75</v>
      </c>
      <c r="E17" s="585">
        <v>0.75</v>
      </c>
      <c r="F17" s="348" t="s">
        <v>1656</v>
      </c>
      <c r="G17" s="45"/>
      <c r="H17" s="45"/>
      <c r="I17" s="45"/>
      <c r="J17" s="65"/>
      <c r="K17" s="65"/>
      <c r="L17" s="65"/>
      <c r="M17" s="65"/>
      <c r="N17" s="13" t="s">
        <v>17243</v>
      </c>
      <c r="O17" s="586">
        <v>6658.0</v>
      </c>
      <c r="P17" s="587">
        <v>0.05</v>
      </c>
      <c r="Q17" s="588"/>
      <c r="S17" s="65"/>
    </row>
    <row r="18">
      <c r="A18" s="25" t="s">
        <v>17244</v>
      </c>
      <c r="B18" s="25">
        <v>3607.0</v>
      </c>
      <c r="C18" s="584">
        <v>0.05</v>
      </c>
      <c r="D18" s="585">
        <v>0.8</v>
      </c>
      <c r="E18" s="585">
        <v>0.8</v>
      </c>
      <c r="F18" s="348" t="s">
        <v>1656</v>
      </c>
      <c r="G18" s="45"/>
      <c r="H18" s="45"/>
      <c r="I18" s="45"/>
      <c r="J18" s="65"/>
      <c r="K18" s="65"/>
      <c r="L18" s="65"/>
      <c r="M18" s="65"/>
      <c r="N18" s="35" t="s">
        <v>17244</v>
      </c>
      <c r="O18" s="109">
        <v>6949.0</v>
      </c>
      <c r="P18" s="589">
        <v>0.05</v>
      </c>
      <c r="Q18" s="592"/>
      <c r="R18" s="36"/>
      <c r="S18" s="65"/>
    </row>
    <row r="19">
      <c r="A19" s="175" t="s">
        <v>17245</v>
      </c>
      <c r="B19" s="25">
        <v>3607.0</v>
      </c>
      <c r="C19" s="584">
        <v>0.05</v>
      </c>
      <c r="D19" s="585">
        <v>0.8</v>
      </c>
      <c r="E19" s="585">
        <v>0.8</v>
      </c>
      <c r="F19" s="348" t="s">
        <v>1656</v>
      </c>
      <c r="G19" s="45"/>
      <c r="H19" s="45"/>
      <c r="I19" s="45"/>
      <c r="J19" s="65"/>
      <c r="K19" s="65"/>
      <c r="L19" s="65"/>
      <c r="M19" s="65"/>
      <c r="N19" s="13" t="s">
        <v>17245</v>
      </c>
      <c r="O19" s="586">
        <v>3607.0</v>
      </c>
      <c r="P19" s="587">
        <v>0.05</v>
      </c>
      <c r="Q19" s="588"/>
      <c r="R19" s="11">
        <v>6802.0</v>
      </c>
      <c r="S19" s="65"/>
    </row>
    <row r="20">
      <c r="A20" s="106" t="s">
        <v>17246</v>
      </c>
      <c r="B20" s="45"/>
      <c r="C20" s="25" t="s">
        <v>17238</v>
      </c>
      <c r="D20" s="585">
        <v>0.75</v>
      </c>
      <c r="E20" s="585">
        <v>0.75</v>
      </c>
      <c r="F20" s="348" t="s">
        <v>1656</v>
      </c>
      <c r="G20" s="45"/>
      <c r="H20" s="45"/>
      <c r="I20" s="45"/>
      <c r="J20" s="595"/>
      <c r="K20" s="595"/>
      <c r="L20" s="595"/>
      <c r="M20" s="595"/>
      <c r="N20" s="192" t="s">
        <v>17246</v>
      </c>
      <c r="O20" s="596">
        <v>7022.0</v>
      </c>
      <c r="P20" s="597">
        <v>0.05</v>
      </c>
      <c r="Q20" s="598"/>
      <c r="R20" s="223" t="str">
        <f>VLOOKUP(O20,#REF!,2,FALSE)</f>
        <v>#REF!</v>
      </c>
      <c r="S20" s="595"/>
    </row>
    <row r="21">
      <c r="A21" s="25" t="s">
        <v>17247</v>
      </c>
      <c r="B21" s="25">
        <v>6675.0</v>
      </c>
      <c r="C21" s="584">
        <v>0.07</v>
      </c>
      <c r="D21" s="585">
        <v>0.9</v>
      </c>
      <c r="E21" s="585">
        <v>0.9</v>
      </c>
      <c r="F21" s="348" t="s">
        <v>1656</v>
      </c>
      <c r="G21" s="45"/>
      <c r="H21" s="45"/>
      <c r="I21" s="45"/>
      <c r="J21" s="65"/>
      <c r="K21" s="65"/>
      <c r="L21" s="65"/>
      <c r="M21" s="65"/>
      <c r="N21" s="13" t="s">
        <v>17247</v>
      </c>
      <c r="O21" s="586">
        <v>6675.0</v>
      </c>
      <c r="P21" s="587">
        <v>0.07</v>
      </c>
      <c r="Q21" s="588"/>
      <c r="S21" s="65"/>
    </row>
    <row r="22">
      <c r="A22" s="25" t="s">
        <v>17248</v>
      </c>
      <c r="B22" s="25">
        <v>6829.0</v>
      </c>
      <c r="C22" s="584">
        <v>0.07</v>
      </c>
      <c r="D22" s="585">
        <v>0.75</v>
      </c>
      <c r="E22" s="585">
        <v>0.75</v>
      </c>
      <c r="F22" s="348" t="s">
        <v>1656</v>
      </c>
      <c r="G22" s="45"/>
      <c r="H22" s="45"/>
      <c r="I22" s="45"/>
      <c r="J22" s="65"/>
      <c r="K22" s="65"/>
      <c r="L22" s="65"/>
      <c r="M22" s="65"/>
      <c r="N22" s="35" t="s">
        <v>17248</v>
      </c>
      <c r="O22" s="109">
        <v>986.0</v>
      </c>
      <c r="P22" s="589">
        <v>0.07</v>
      </c>
      <c r="Q22" s="592"/>
      <c r="R22" s="36"/>
      <c r="S22" s="65"/>
    </row>
    <row r="23">
      <c r="A23" s="25" t="s">
        <v>17249</v>
      </c>
      <c r="B23" s="25">
        <v>986.0</v>
      </c>
      <c r="C23" s="584">
        <v>0.07</v>
      </c>
      <c r="D23" s="593">
        <v>0.83</v>
      </c>
      <c r="E23" s="593">
        <v>0.83</v>
      </c>
      <c r="F23" s="348" t="s">
        <v>1656</v>
      </c>
      <c r="G23" s="45"/>
      <c r="H23" s="45"/>
      <c r="I23" s="45"/>
      <c r="J23" s="65"/>
      <c r="K23" s="65"/>
      <c r="L23" s="65"/>
      <c r="M23" s="65"/>
      <c r="N23" s="35" t="s">
        <v>17249</v>
      </c>
      <c r="O23" s="109">
        <v>986.0</v>
      </c>
      <c r="P23" s="589">
        <v>0.07</v>
      </c>
      <c r="Q23" s="590"/>
      <c r="R23" s="36"/>
      <c r="S23" s="65"/>
    </row>
    <row r="24">
      <c r="A24" s="25" t="s">
        <v>17250</v>
      </c>
      <c r="B24" s="25">
        <v>986.0</v>
      </c>
      <c r="C24" s="584">
        <v>0.07</v>
      </c>
      <c r="D24" s="593">
        <v>0.83</v>
      </c>
      <c r="E24" s="593">
        <v>0.83</v>
      </c>
      <c r="F24" s="348" t="s">
        <v>1656</v>
      </c>
      <c r="G24" s="45"/>
      <c r="H24" s="45"/>
      <c r="I24" s="45"/>
      <c r="J24" s="65"/>
      <c r="K24" s="65"/>
      <c r="L24" s="65"/>
      <c r="M24" s="65"/>
      <c r="N24" s="35" t="s">
        <v>17250</v>
      </c>
      <c r="O24" s="109">
        <v>986.0</v>
      </c>
      <c r="P24" s="589">
        <v>0.07</v>
      </c>
      <c r="Q24" s="590"/>
      <c r="R24" s="36"/>
      <c r="S24" s="65"/>
    </row>
    <row r="25">
      <c r="A25" s="106" t="s">
        <v>17251</v>
      </c>
      <c r="B25" s="25">
        <v>986.0</v>
      </c>
      <c r="C25" s="584">
        <v>0.07</v>
      </c>
      <c r="D25" s="593">
        <v>0.83</v>
      </c>
      <c r="E25" s="593">
        <v>0.83</v>
      </c>
      <c r="F25" s="348" t="s">
        <v>1656</v>
      </c>
      <c r="G25" s="45"/>
      <c r="H25" s="45"/>
      <c r="I25" s="45"/>
      <c r="J25" s="65"/>
      <c r="K25" s="65"/>
      <c r="L25" s="65"/>
      <c r="M25" s="65"/>
      <c r="N25" s="35" t="s">
        <v>17251</v>
      </c>
      <c r="O25" s="109">
        <v>986.0</v>
      </c>
      <c r="P25" s="589">
        <v>0.07</v>
      </c>
      <c r="Q25" s="590"/>
      <c r="R25" s="36"/>
      <c r="S25" s="65"/>
    </row>
    <row r="26">
      <c r="A26" s="25" t="s">
        <v>17252</v>
      </c>
      <c r="B26" s="25">
        <v>7033.0</v>
      </c>
      <c r="C26" s="584">
        <v>0.07</v>
      </c>
      <c r="D26" s="585">
        <v>0.75</v>
      </c>
      <c r="E26" s="585">
        <v>0.75</v>
      </c>
      <c r="F26" s="348" t="s">
        <v>1656</v>
      </c>
      <c r="G26" s="45"/>
      <c r="H26" s="45"/>
      <c r="I26" s="45"/>
      <c r="J26" s="65"/>
      <c r="K26" s="65"/>
      <c r="L26" s="65"/>
      <c r="M26" s="65"/>
      <c r="N26" s="13" t="s">
        <v>17252</v>
      </c>
      <c r="O26" s="586">
        <v>7033.0</v>
      </c>
      <c r="P26" s="587">
        <v>0.07</v>
      </c>
      <c r="Q26" s="588"/>
      <c r="S26" s="65"/>
    </row>
    <row r="27">
      <c r="A27" s="25" t="s">
        <v>17253</v>
      </c>
      <c r="B27" s="25">
        <v>8002.0</v>
      </c>
      <c r="C27" s="584">
        <v>0.07</v>
      </c>
      <c r="D27" s="585">
        <v>0.75</v>
      </c>
      <c r="E27" s="585">
        <v>0.75</v>
      </c>
      <c r="F27" s="348" t="s">
        <v>1656</v>
      </c>
      <c r="G27" s="45"/>
      <c r="H27" s="45"/>
      <c r="I27" s="45"/>
      <c r="J27" s="65"/>
      <c r="K27" s="65"/>
      <c r="L27" s="65"/>
      <c r="M27" s="65"/>
      <c r="N27" s="35" t="s">
        <v>17253</v>
      </c>
      <c r="O27" s="35">
        <v>3067.0</v>
      </c>
      <c r="P27" s="589">
        <v>0.07</v>
      </c>
      <c r="Q27" s="592"/>
      <c r="R27" s="36"/>
      <c r="S27" s="65"/>
    </row>
    <row r="28">
      <c r="A28" s="25" t="s">
        <v>17254</v>
      </c>
      <c r="B28" s="25">
        <v>189.0</v>
      </c>
      <c r="C28" s="584">
        <v>0.07</v>
      </c>
      <c r="D28" s="585">
        <v>0.8</v>
      </c>
      <c r="E28" s="585">
        <v>0.8</v>
      </c>
      <c r="F28" s="348" t="s">
        <v>1656</v>
      </c>
      <c r="G28" s="45"/>
      <c r="H28" s="45"/>
      <c r="I28" s="45"/>
      <c r="J28" s="65"/>
      <c r="K28" s="65"/>
      <c r="L28" s="65"/>
      <c r="M28" s="65"/>
      <c r="N28" s="13" t="s">
        <v>17254</v>
      </c>
      <c r="O28" s="586">
        <v>189.0</v>
      </c>
      <c r="P28" s="587">
        <v>0.07</v>
      </c>
      <c r="Q28" s="588"/>
      <c r="S28" s="65"/>
    </row>
    <row r="29">
      <c r="A29" s="25" t="s">
        <v>17255</v>
      </c>
      <c r="B29" s="25">
        <v>189.0</v>
      </c>
      <c r="C29" s="584">
        <v>0.07</v>
      </c>
      <c r="D29" s="585">
        <v>0.8</v>
      </c>
      <c r="E29" s="585">
        <v>0.8</v>
      </c>
      <c r="F29" s="348" t="s">
        <v>1656</v>
      </c>
      <c r="G29" s="45"/>
      <c r="H29" s="45"/>
      <c r="I29" s="45"/>
      <c r="J29" s="65"/>
      <c r="K29" s="65"/>
      <c r="L29" s="65"/>
      <c r="M29" s="65"/>
      <c r="N29" s="13" t="s">
        <v>17255</v>
      </c>
      <c r="O29" s="586">
        <v>189.0</v>
      </c>
      <c r="P29" s="587">
        <v>0.07</v>
      </c>
      <c r="Q29" s="467"/>
      <c r="S29" s="65"/>
    </row>
    <row r="30">
      <c r="A30" s="175" t="s">
        <v>17256</v>
      </c>
      <c r="B30" s="25">
        <v>7040.0</v>
      </c>
      <c r="C30" s="25" t="s">
        <v>17238</v>
      </c>
      <c r="D30" s="585">
        <v>0.75</v>
      </c>
      <c r="E30" s="585">
        <v>0.75</v>
      </c>
      <c r="F30" s="348" t="s">
        <v>1656</v>
      </c>
      <c r="G30" s="45"/>
      <c r="H30" s="45"/>
      <c r="I30" s="45"/>
      <c r="J30" s="65"/>
      <c r="K30" s="65"/>
      <c r="L30" s="65"/>
      <c r="M30" s="65"/>
      <c r="N30" s="279" t="s">
        <v>17256</v>
      </c>
      <c r="O30" s="280"/>
      <c r="P30" s="599">
        <v>189.0</v>
      </c>
      <c r="Q30" s="588"/>
      <c r="S30" s="65"/>
    </row>
    <row r="31">
      <c r="A31" s="25" t="s">
        <v>17257</v>
      </c>
      <c r="B31" s="25">
        <v>189.0</v>
      </c>
      <c r="C31" s="584">
        <v>0.07</v>
      </c>
      <c r="D31" s="585">
        <v>0.8</v>
      </c>
      <c r="E31" s="585">
        <v>0.8</v>
      </c>
      <c r="F31" s="348" t="s">
        <v>1656</v>
      </c>
      <c r="G31" s="45"/>
      <c r="H31" s="45"/>
      <c r="I31" s="45"/>
      <c r="J31" s="65"/>
      <c r="K31" s="65"/>
      <c r="L31" s="65"/>
      <c r="M31" s="65"/>
      <c r="N31" s="13" t="s">
        <v>17257</v>
      </c>
      <c r="O31" s="586">
        <v>189.0</v>
      </c>
      <c r="P31" s="587">
        <v>0.07</v>
      </c>
      <c r="Q31" s="588"/>
      <c r="S31" s="65"/>
    </row>
    <row r="32">
      <c r="A32" s="106" t="s">
        <v>17258</v>
      </c>
      <c r="B32" s="45"/>
      <c r="C32" s="584">
        <v>0.07</v>
      </c>
      <c r="D32" s="585">
        <v>0.75</v>
      </c>
      <c r="E32" s="585">
        <v>0.75</v>
      </c>
      <c r="F32" s="348" t="s">
        <v>1656</v>
      </c>
      <c r="G32" s="45"/>
      <c r="H32" s="45"/>
      <c r="I32" s="45"/>
      <c r="J32" s="65"/>
      <c r="K32" s="65"/>
      <c r="L32" s="65"/>
      <c r="M32" s="65"/>
      <c r="N32" s="13" t="s">
        <v>17258</v>
      </c>
      <c r="O32" s="586">
        <v>6887.0</v>
      </c>
      <c r="P32" s="587">
        <v>0.07</v>
      </c>
      <c r="Q32" s="588"/>
      <c r="S32" s="65"/>
    </row>
    <row r="33">
      <c r="A33" s="25" t="s">
        <v>17259</v>
      </c>
      <c r="B33" s="25">
        <v>14535.0</v>
      </c>
      <c r="C33" s="584">
        <v>0.07</v>
      </c>
      <c r="D33" s="585">
        <v>0.75</v>
      </c>
      <c r="E33" s="585">
        <v>0.75</v>
      </c>
      <c r="F33" s="348" t="s">
        <v>1656</v>
      </c>
      <c r="G33" s="45"/>
      <c r="H33" s="45"/>
      <c r="I33" s="45"/>
      <c r="J33" s="65"/>
      <c r="K33" s="65"/>
      <c r="L33" s="65"/>
      <c r="M33" s="65"/>
      <c r="N33" s="35" t="s">
        <v>17259</v>
      </c>
      <c r="O33" s="109">
        <v>6658.0</v>
      </c>
      <c r="P33" s="589">
        <v>0.07</v>
      </c>
      <c r="Q33" s="592"/>
      <c r="R33" s="36"/>
      <c r="S33" s="65"/>
    </row>
    <row r="34">
      <c r="A34" s="25" t="s">
        <v>17260</v>
      </c>
      <c r="B34" s="25">
        <v>13945.0</v>
      </c>
      <c r="C34" s="584">
        <v>0.07</v>
      </c>
      <c r="D34" s="585">
        <v>0.75</v>
      </c>
      <c r="E34" s="585">
        <v>0.75</v>
      </c>
      <c r="F34" s="348" t="s">
        <v>1656</v>
      </c>
      <c r="G34" s="45"/>
      <c r="H34" s="45"/>
      <c r="I34" s="45"/>
      <c r="J34" s="65"/>
      <c r="K34" s="65"/>
      <c r="L34" s="65"/>
      <c r="M34" s="65"/>
      <c r="N34" s="13" t="s">
        <v>17260</v>
      </c>
      <c r="O34" s="586">
        <v>13945.0</v>
      </c>
      <c r="P34" s="587">
        <v>0.07</v>
      </c>
      <c r="Q34" s="467"/>
      <c r="R34" s="586">
        <v>986.0</v>
      </c>
      <c r="S34" s="65"/>
    </row>
    <row r="35">
      <c r="A35" s="175" t="s">
        <v>17261</v>
      </c>
      <c r="B35" s="25">
        <v>5458.0</v>
      </c>
      <c r="C35" s="584">
        <v>0.07</v>
      </c>
      <c r="D35" s="585">
        <v>0.75</v>
      </c>
      <c r="E35" s="585">
        <v>0.75</v>
      </c>
      <c r="F35" s="348" t="s">
        <v>1656</v>
      </c>
      <c r="G35" s="45"/>
      <c r="H35" s="45"/>
      <c r="I35" s="45"/>
      <c r="J35" s="65"/>
      <c r="K35" s="65"/>
      <c r="L35" s="65"/>
      <c r="M35" s="65"/>
      <c r="N35" s="13" t="s">
        <v>17261</v>
      </c>
      <c r="O35" s="586">
        <v>5458.0</v>
      </c>
      <c r="P35" s="587">
        <v>0.07</v>
      </c>
      <c r="Q35" s="467"/>
      <c r="S35" s="65"/>
    </row>
    <row r="36">
      <c r="A36" s="25" t="s">
        <v>17262</v>
      </c>
      <c r="B36" s="25">
        <v>6463.0</v>
      </c>
      <c r="C36" s="584">
        <v>0.07</v>
      </c>
      <c r="D36" s="585">
        <v>0.75</v>
      </c>
      <c r="E36" s="585">
        <v>0.75</v>
      </c>
      <c r="F36" s="348" t="s">
        <v>1656</v>
      </c>
      <c r="G36" s="45"/>
      <c r="H36" s="45"/>
      <c r="I36" s="45"/>
      <c r="J36" s="65"/>
      <c r="K36" s="65"/>
      <c r="L36" s="65"/>
      <c r="M36" s="65"/>
      <c r="N36" s="13" t="s">
        <v>17262</v>
      </c>
      <c r="O36" s="11">
        <v>6463.0</v>
      </c>
      <c r="P36" s="587">
        <v>0.07</v>
      </c>
      <c r="Q36" s="588"/>
      <c r="S36" s="65"/>
    </row>
    <row r="37">
      <c r="A37" s="25" t="s">
        <v>17263</v>
      </c>
      <c r="B37" s="25">
        <v>5458.0</v>
      </c>
      <c r="C37" s="584">
        <v>0.07</v>
      </c>
      <c r="D37" s="585">
        <v>0.75</v>
      </c>
      <c r="E37" s="585">
        <v>0.75</v>
      </c>
      <c r="F37" s="348" t="s">
        <v>1656</v>
      </c>
      <c r="G37" s="45"/>
      <c r="H37" s="45"/>
      <c r="I37" s="45"/>
      <c r="J37" s="65"/>
      <c r="K37" s="65"/>
      <c r="L37" s="65"/>
      <c r="M37" s="65"/>
      <c r="N37" s="13" t="s">
        <v>17263</v>
      </c>
      <c r="O37" s="586">
        <v>5458.0</v>
      </c>
      <c r="P37" s="587">
        <v>0.07</v>
      </c>
      <c r="Q37" s="467"/>
      <c r="S37" s="65"/>
    </row>
    <row r="38">
      <c r="A38" s="25" t="s">
        <v>17264</v>
      </c>
      <c r="B38" s="25">
        <v>3307.0</v>
      </c>
      <c r="C38" s="584">
        <v>0.07</v>
      </c>
      <c r="D38" s="585">
        <v>0.75</v>
      </c>
      <c r="E38" s="585">
        <v>0.75</v>
      </c>
      <c r="F38" s="348" t="s">
        <v>1656</v>
      </c>
      <c r="G38" s="45"/>
      <c r="H38" s="45"/>
      <c r="I38" s="45"/>
      <c r="J38" s="65"/>
      <c r="K38" s="65"/>
      <c r="L38" s="65"/>
      <c r="M38" s="65"/>
      <c r="N38" s="13" t="s">
        <v>17264</v>
      </c>
      <c r="O38" s="11">
        <v>3307.0</v>
      </c>
      <c r="P38" s="587">
        <v>0.07</v>
      </c>
      <c r="Q38" s="588"/>
      <c r="R38" s="158"/>
      <c r="S38" s="65"/>
    </row>
    <row r="39">
      <c r="A39" s="175" t="s">
        <v>17265</v>
      </c>
      <c r="B39" s="25">
        <v>6729.0</v>
      </c>
      <c r="C39" s="584">
        <v>0.07</v>
      </c>
      <c r="D39" s="600">
        <v>0.85</v>
      </c>
      <c r="E39" s="600">
        <v>0.85</v>
      </c>
      <c r="F39" s="348" t="s">
        <v>1656</v>
      </c>
      <c r="G39" s="45"/>
      <c r="H39" s="45"/>
      <c r="I39" s="45"/>
      <c r="J39" s="65"/>
      <c r="K39" s="65"/>
      <c r="L39" s="65"/>
      <c r="M39" s="65"/>
      <c r="N39" s="13" t="s">
        <v>17265</v>
      </c>
      <c r="O39" s="586">
        <v>6729.0</v>
      </c>
      <c r="P39" s="587">
        <v>0.07</v>
      </c>
      <c r="Q39" s="588"/>
      <c r="S39" s="65"/>
    </row>
    <row r="40">
      <c r="A40" s="25" t="s">
        <v>17266</v>
      </c>
      <c r="B40" s="25">
        <v>6557.0</v>
      </c>
      <c r="C40" s="584">
        <v>0.07</v>
      </c>
      <c r="D40" s="585">
        <v>0.75</v>
      </c>
      <c r="E40" s="585">
        <v>0.75</v>
      </c>
      <c r="F40" s="348" t="s">
        <v>1656</v>
      </c>
      <c r="G40" s="45"/>
      <c r="H40" s="45"/>
      <c r="I40" s="45"/>
      <c r="J40" s="65"/>
      <c r="K40" s="65"/>
      <c r="L40" s="65"/>
      <c r="M40" s="65"/>
      <c r="N40" s="13" t="s">
        <v>17266</v>
      </c>
      <c r="O40" s="586">
        <v>6557.0</v>
      </c>
      <c r="P40" s="587">
        <v>0.07</v>
      </c>
      <c r="Q40" s="588"/>
      <c r="S40" s="65"/>
    </row>
    <row r="41">
      <c r="A41" s="25" t="s">
        <v>17267</v>
      </c>
      <c r="B41" s="37">
        <v>6697.0</v>
      </c>
      <c r="C41" s="584">
        <v>0.07</v>
      </c>
      <c r="D41" s="585">
        <v>0.75</v>
      </c>
      <c r="E41" s="585">
        <v>0.75</v>
      </c>
      <c r="F41" s="348" t="s">
        <v>1656</v>
      </c>
      <c r="G41" s="45"/>
      <c r="H41" s="45"/>
      <c r="I41" s="45"/>
      <c r="J41" s="65"/>
      <c r="K41" s="65"/>
      <c r="L41" s="65"/>
      <c r="M41" s="65"/>
      <c r="N41" s="35" t="s">
        <v>17267</v>
      </c>
      <c r="O41" s="109">
        <v>663.0</v>
      </c>
      <c r="P41" s="589">
        <v>0.07</v>
      </c>
      <c r="Q41" s="590"/>
      <c r="R41" s="36"/>
      <c r="S41" s="65"/>
    </row>
    <row r="42">
      <c r="A42" s="25" t="s">
        <v>17268</v>
      </c>
      <c r="B42" s="25">
        <v>8002.0</v>
      </c>
      <c r="C42" s="584">
        <v>0.07</v>
      </c>
      <c r="D42" s="585">
        <v>0.75</v>
      </c>
      <c r="E42" s="585">
        <v>0.75</v>
      </c>
      <c r="F42" s="348" t="s">
        <v>1656</v>
      </c>
      <c r="G42" s="45"/>
      <c r="H42" s="45"/>
      <c r="I42" s="45"/>
      <c r="J42" s="65"/>
      <c r="K42" s="65"/>
      <c r="L42" s="65"/>
      <c r="M42" s="65"/>
      <c r="N42" s="35" t="s">
        <v>17268</v>
      </c>
      <c r="O42" s="109">
        <v>6675.0</v>
      </c>
      <c r="P42" s="589">
        <v>0.07</v>
      </c>
      <c r="Q42" s="592"/>
      <c r="R42" s="36"/>
      <c r="S42" s="65"/>
    </row>
    <row r="43">
      <c r="A43" s="25" t="s">
        <v>17269</v>
      </c>
      <c r="B43" s="25">
        <v>7040.0</v>
      </c>
      <c r="C43" s="584">
        <v>0.07</v>
      </c>
      <c r="D43" s="585">
        <v>0.75</v>
      </c>
      <c r="E43" s="585">
        <v>0.75</v>
      </c>
      <c r="F43" s="348" t="s">
        <v>1656</v>
      </c>
      <c r="G43" s="45"/>
      <c r="H43" s="45"/>
      <c r="I43" s="45"/>
      <c r="J43" s="65"/>
      <c r="K43" s="65"/>
      <c r="L43" s="65"/>
      <c r="M43" s="65"/>
      <c r="N43" s="13" t="s">
        <v>17269</v>
      </c>
      <c r="O43" s="11">
        <v>7040.0</v>
      </c>
      <c r="P43" s="587">
        <v>0.07</v>
      </c>
      <c r="Q43" s="467"/>
      <c r="R43" s="158"/>
      <c r="S43" s="65"/>
    </row>
    <row r="44">
      <c r="A44" s="175" t="s">
        <v>17270</v>
      </c>
      <c r="B44" s="25">
        <v>3607.0</v>
      </c>
      <c r="C44" s="584">
        <v>0.07</v>
      </c>
      <c r="D44" s="585">
        <v>0.8</v>
      </c>
      <c r="E44" s="585">
        <v>0.8</v>
      </c>
      <c r="F44" s="348" t="s">
        <v>1656</v>
      </c>
      <c r="G44" s="45"/>
      <c r="H44" s="45"/>
      <c r="I44" s="45"/>
      <c r="J44" s="65"/>
      <c r="K44" s="65"/>
      <c r="L44" s="65"/>
      <c r="M44" s="65"/>
      <c r="N44" s="13" t="s">
        <v>17270</v>
      </c>
      <c r="O44" s="11">
        <v>3607.0</v>
      </c>
      <c r="P44" s="587">
        <v>0.07</v>
      </c>
      <c r="Q44" s="588"/>
      <c r="S44" s="65"/>
    </row>
    <row r="45">
      <c r="A45" s="25" t="s">
        <v>17271</v>
      </c>
      <c r="B45" s="37">
        <v>7023.0</v>
      </c>
      <c r="C45" s="584">
        <v>0.07</v>
      </c>
      <c r="D45" s="585">
        <v>0.75</v>
      </c>
      <c r="E45" s="585">
        <v>0.75</v>
      </c>
      <c r="F45" s="348" t="s">
        <v>1656</v>
      </c>
      <c r="G45" s="45"/>
      <c r="H45" s="45"/>
      <c r="I45" s="45"/>
      <c r="J45" s="65"/>
      <c r="K45" s="65"/>
      <c r="L45" s="65"/>
      <c r="M45" s="65"/>
      <c r="N45" s="35" t="s">
        <v>17271</v>
      </c>
      <c r="O45" s="109">
        <v>6658.0</v>
      </c>
      <c r="P45" s="589">
        <v>0.07</v>
      </c>
      <c r="Q45" s="592"/>
      <c r="R45" s="36"/>
      <c r="S45" s="65"/>
    </row>
    <row r="46">
      <c r="A46" s="25" t="s">
        <v>17272</v>
      </c>
      <c r="B46" s="37">
        <v>986.0</v>
      </c>
      <c r="C46" s="584">
        <v>0.07</v>
      </c>
      <c r="D46" s="593">
        <v>0.83</v>
      </c>
      <c r="E46" s="593">
        <v>0.83</v>
      </c>
      <c r="F46" s="348" t="s">
        <v>1656</v>
      </c>
      <c r="G46" s="45"/>
      <c r="H46" s="45"/>
      <c r="I46" s="45"/>
      <c r="J46" s="65"/>
      <c r="K46" s="65"/>
      <c r="L46" s="65"/>
      <c r="M46" s="65"/>
      <c r="N46" s="13" t="s">
        <v>17272</v>
      </c>
      <c r="O46" s="11">
        <v>986.0</v>
      </c>
      <c r="P46" s="587">
        <v>0.07</v>
      </c>
      <c r="Q46" s="467"/>
      <c r="S46" s="65"/>
    </row>
    <row r="47">
      <c r="A47" s="25" t="s">
        <v>17273</v>
      </c>
      <c r="B47" s="37">
        <v>6772.0</v>
      </c>
      <c r="C47" s="584">
        <v>0.07</v>
      </c>
      <c r="D47" s="585">
        <v>0.75</v>
      </c>
      <c r="E47" s="585">
        <v>0.75</v>
      </c>
      <c r="F47" s="348" t="s">
        <v>1656</v>
      </c>
      <c r="G47" s="45"/>
      <c r="H47" s="45"/>
      <c r="I47" s="45"/>
      <c r="J47" s="65"/>
      <c r="K47" s="65"/>
      <c r="L47" s="65"/>
      <c r="M47" s="65"/>
      <c r="N47" s="35" t="s">
        <v>17273</v>
      </c>
      <c r="O47" s="35">
        <v>7492.0</v>
      </c>
      <c r="P47" s="589">
        <v>0.07</v>
      </c>
      <c r="Q47" s="590"/>
      <c r="R47" s="36"/>
      <c r="S47" s="65"/>
    </row>
    <row r="48">
      <c r="A48" s="25" t="s">
        <v>17274</v>
      </c>
      <c r="B48" s="37">
        <v>6668.0</v>
      </c>
      <c r="C48" s="584">
        <v>0.07</v>
      </c>
      <c r="D48" s="585">
        <v>0.75</v>
      </c>
      <c r="E48" s="585">
        <v>0.75</v>
      </c>
      <c r="F48" s="348" t="s">
        <v>1656</v>
      </c>
      <c r="G48" s="45"/>
      <c r="H48" s="45"/>
      <c r="I48" s="45"/>
      <c r="J48" s="65"/>
      <c r="K48" s="65"/>
      <c r="L48" s="65"/>
      <c r="M48" s="65"/>
      <c r="N48" s="35" t="s">
        <v>17274</v>
      </c>
      <c r="O48" s="11">
        <v>6893.0</v>
      </c>
      <c r="P48" s="589">
        <v>0.07</v>
      </c>
      <c r="Q48" s="109">
        <v>2345.0</v>
      </c>
      <c r="R48" s="36"/>
      <c r="S48" s="65"/>
    </row>
    <row r="49">
      <c r="A49" s="25" t="s">
        <v>17275</v>
      </c>
      <c r="B49" s="37">
        <v>767.0</v>
      </c>
      <c r="C49" s="25" t="s">
        <v>17238</v>
      </c>
      <c r="D49" s="585">
        <v>0.75</v>
      </c>
      <c r="E49" s="585">
        <v>0.75</v>
      </c>
      <c r="F49" s="348" t="s">
        <v>1656</v>
      </c>
      <c r="G49" s="45"/>
      <c r="H49" s="45"/>
      <c r="I49" s="45"/>
      <c r="J49" s="65"/>
      <c r="K49" s="65"/>
      <c r="L49" s="65"/>
      <c r="M49" s="65"/>
      <c r="N49" s="13" t="s">
        <v>17275</v>
      </c>
      <c r="O49" s="586">
        <v>767.0</v>
      </c>
      <c r="P49" s="586">
        <v>2345.0</v>
      </c>
      <c r="Q49" s="467"/>
      <c r="S49" s="65"/>
    </row>
    <row r="50">
      <c r="A50" s="25" t="s">
        <v>17276</v>
      </c>
      <c r="B50" s="37">
        <v>6936.0</v>
      </c>
      <c r="C50" s="584">
        <v>0.07</v>
      </c>
      <c r="D50" s="585">
        <v>0.75</v>
      </c>
      <c r="E50" s="585">
        <v>0.75</v>
      </c>
      <c r="F50" s="348" t="s">
        <v>1656</v>
      </c>
      <c r="G50" s="45"/>
      <c r="H50" s="45"/>
      <c r="I50" s="45"/>
      <c r="J50" s="65"/>
      <c r="K50" s="65"/>
      <c r="L50" s="65"/>
      <c r="M50" s="65"/>
      <c r="N50" s="35" t="s">
        <v>17276</v>
      </c>
      <c r="O50" s="109">
        <v>2345.0</v>
      </c>
      <c r="P50" s="589">
        <v>0.07</v>
      </c>
      <c r="Q50" s="592"/>
      <c r="R50" s="36"/>
      <c r="S50" s="65"/>
    </row>
    <row r="51">
      <c r="A51" s="25" t="s">
        <v>17277</v>
      </c>
      <c r="B51" s="37">
        <v>6675.0</v>
      </c>
      <c r="C51" s="584">
        <v>0.07</v>
      </c>
      <c r="D51" s="585">
        <v>0.9</v>
      </c>
      <c r="E51" s="585">
        <v>0.9</v>
      </c>
      <c r="F51" s="348" t="s">
        <v>1656</v>
      </c>
      <c r="G51" s="45"/>
      <c r="H51" s="45"/>
      <c r="I51" s="45"/>
      <c r="J51" s="65"/>
      <c r="K51" s="65"/>
      <c r="L51" s="65"/>
      <c r="M51" s="65"/>
      <c r="N51" s="279" t="s">
        <v>17278</v>
      </c>
      <c r="O51" s="280"/>
      <c r="P51" s="599">
        <v>2345.0</v>
      </c>
      <c r="Q51" s="467"/>
      <c r="S51" s="65"/>
    </row>
    <row r="52">
      <c r="A52" s="25" t="s">
        <v>17279</v>
      </c>
      <c r="B52" s="37">
        <v>7031.0</v>
      </c>
      <c r="C52" s="584">
        <v>0.07</v>
      </c>
      <c r="D52" s="585">
        <v>0.75</v>
      </c>
      <c r="E52" s="585">
        <v>0.75</v>
      </c>
      <c r="F52" s="348" t="s">
        <v>1656</v>
      </c>
      <c r="G52" s="45"/>
      <c r="H52" s="45"/>
      <c r="I52" s="45"/>
      <c r="J52" s="65"/>
      <c r="K52" s="65"/>
      <c r="L52" s="65"/>
      <c r="M52" s="65"/>
      <c r="N52" s="279" t="s">
        <v>17280</v>
      </c>
      <c r="O52" s="280"/>
      <c r="P52" s="599">
        <v>7142.0</v>
      </c>
      <c r="Q52" s="588"/>
      <c r="S52" s="65"/>
    </row>
    <row r="53">
      <c r="A53" s="175" t="s">
        <v>17281</v>
      </c>
      <c r="B53" s="37">
        <v>14659.0</v>
      </c>
      <c r="C53" s="584">
        <v>0.07</v>
      </c>
      <c r="D53" s="585">
        <v>0.75</v>
      </c>
      <c r="E53" s="585">
        <v>0.75</v>
      </c>
      <c r="F53" s="348" t="s">
        <v>1656</v>
      </c>
      <c r="G53" s="45"/>
      <c r="H53" s="45"/>
      <c r="I53" s="45"/>
      <c r="J53" s="65"/>
      <c r="K53" s="65"/>
      <c r="L53" s="65"/>
      <c r="M53" s="65"/>
      <c r="N53" s="13" t="s">
        <v>17281</v>
      </c>
      <c r="O53" s="586">
        <v>6557.0</v>
      </c>
      <c r="P53" s="587">
        <v>0.07</v>
      </c>
      <c r="Q53" s="588"/>
      <c r="S53" s="65"/>
    </row>
    <row r="54">
      <c r="A54" s="25" t="s">
        <v>17282</v>
      </c>
      <c r="B54" s="37">
        <v>14465.0</v>
      </c>
      <c r="C54" s="584">
        <v>0.07</v>
      </c>
      <c r="D54" s="585">
        <v>0.75</v>
      </c>
      <c r="E54" s="585">
        <v>0.75</v>
      </c>
      <c r="F54" s="348" t="s">
        <v>1656</v>
      </c>
      <c r="G54" s="45"/>
      <c r="H54" s="45"/>
      <c r="I54" s="45"/>
      <c r="J54" s="65"/>
      <c r="K54" s="65"/>
      <c r="L54" s="65"/>
      <c r="M54" s="65"/>
      <c r="N54" s="35" t="s">
        <v>17282</v>
      </c>
      <c r="O54" s="35">
        <v>6675.0</v>
      </c>
      <c r="P54" s="589">
        <v>0.07</v>
      </c>
      <c r="Q54" s="592"/>
      <c r="R54" s="35">
        <v>6133.0</v>
      </c>
      <c r="S54" s="65"/>
    </row>
    <row r="55">
      <c r="A55" s="25" t="s">
        <v>17283</v>
      </c>
      <c r="B55" s="37">
        <v>14607.0</v>
      </c>
      <c r="C55" s="584">
        <v>0.07</v>
      </c>
      <c r="D55" s="585">
        <v>0.75</v>
      </c>
      <c r="E55" s="585">
        <v>0.75</v>
      </c>
      <c r="F55" s="348" t="s">
        <v>1656</v>
      </c>
      <c r="G55" s="45"/>
      <c r="H55" s="45"/>
      <c r="I55" s="45"/>
      <c r="J55" s="65"/>
      <c r="K55" s="65"/>
      <c r="L55" s="65"/>
      <c r="M55" s="65"/>
      <c r="N55" s="35" t="s">
        <v>17277</v>
      </c>
      <c r="O55" s="109">
        <v>6675.0</v>
      </c>
      <c r="P55" s="589">
        <v>0.07</v>
      </c>
      <c r="Q55" s="592"/>
      <c r="R55" s="109">
        <v>6133.0</v>
      </c>
      <c r="S55" s="65"/>
    </row>
    <row r="56">
      <c r="A56" s="25" t="s">
        <v>17284</v>
      </c>
      <c r="B56" s="37">
        <v>7003.0</v>
      </c>
      <c r="C56" s="584">
        <v>0.07</v>
      </c>
      <c r="D56" s="585">
        <v>0.75</v>
      </c>
      <c r="E56" s="585">
        <v>0.75</v>
      </c>
      <c r="F56" s="348" t="s">
        <v>1656</v>
      </c>
      <c r="G56" s="45"/>
      <c r="H56" s="45"/>
      <c r="I56" s="45"/>
      <c r="J56" s="65"/>
      <c r="K56" s="65"/>
      <c r="L56" s="65"/>
      <c r="M56" s="65"/>
      <c r="N56" s="13" t="s">
        <v>17279</v>
      </c>
      <c r="O56" s="586">
        <v>7031.0</v>
      </c>
      <c r="P56" s="587">
        <v>0.07</v>
      </c>
      <c r="Q56" s="588"/>
      <c r="S56" s="65"/>
    </row>
    <row r="57">
      <c r="A57" s="175" t="s">
        <v>17285</v>
      </c>
      <c r="B57" s="37">
        <v>3607.0</v>
      </c>
      <c r="C57" s="584">
        <v>0.07</v>
      </c>
      <c r="D57" s="585">
        <v>0.8</v>
      </c>
      <c r="E57" s="585">
        <v>0.8</v>
      </c>
      <c r="F57" s="348" t="s">
        <v>1656</v>
      </c>
      <c r="G57" s="45"/>
      <c r="H57" s="45"/>
      <c r="I57" s="45"/>
      <c r="J57" s="65"/>
      <c r="K57" s="65"/>
      <c r="L57" s="65"/>
      <c r="M57" s="65"/>
      <c r="N57" s="13" t="s">
        <v>17285</v>
      </c>
      <c r="O57" s="11">
        <v>3607.0</v>
      </c>
      <c r="P57" s="587">
        <v>0.07</v>
      </c>
      <c r="Q57" s="588"/>
      <c r="S57" s="65"/>
    </row>
    <row r="58">
      <c r="A58" s="175" t="s">
        <v>17286</v>
      </c>
      <c r="B58" s="37">
        <v>6675.0</v>
      </c>
      <c r="C58" s="584">
        <v>0.07</v>
      </c>
      <c r="D58" s="585">
        <v>0.9</v>
      </c>
      <c r="E58" s="585">
        <v>0.9</v>
      </c>
      <c r="F58" s="348" t="s">
        <v>1656</v>
      </c>
      <c r="G58" s="45"/>
      <c r="H58" s="45"/>
      <c r="I58" s="45"/>
      <c r="J58" s="65"/>
      <c r="K58" s="65"/>
      <c r="L58" s="65"/>
      <c r="M58" s="65"/>
      <c r="N58" s="13" t="s">
        <v>17286</v>
      </c>
      <c r="O58" s="586">
        <v>6675.0</v>
      </c>
      <c r="P58" s="587">
        <v>0.07</v>
      </c>
      <c r="Q58" s="588"/>
      <c r="S58" s="65"/>
    </row>
    <row r="59">
      <c r="A59" s="175" t="s">
        <v>17287</v>
      </c>
      <c r="B59" s="37">
        <v>3607.0</v>
      </c>
      <c r="C59" s="584">
        <v>0.07</v>
      </c>
      <c r="D59" s="585">
        <v>0.8</v>
      </c>
      <c r="E59" s="585">
        <v>0.8</v>
      </c>
      <c r="F59" s="348" t="s">
        <v>1656</v>
      </c>
      <c r="G59" s="45"/>
      <c r="H59" s="45"/>
      <c r="I59" s="45"/>
      <c r="J59" s="65"/>
      <c r="K59" s="65"/>
      <c r="L59" s="65"/>
      <c r="M59" s="65"/>
      <c r="N59" s="13" t="s">
        <v>17287</v>
      </c>
      <c r="O59" s="11">
        <v>3607.0</v>
      </c>
      <c r="P59" s="587">
        <v>0.07</v>
      </c>
      <c r="Q59" s="467"/>
      <c r="S59" s="65"/>
    </row>
    <row r="60">
      <c r="A60" s="175" t="s">
        <v>17288</v>
      </c>
      <c r="B60" s="37">
        <v>7010.0</v>
      </c>
      <c r="C60" s="584">
        <v>0.07</v>
      </c>
      <c r="D60" s="585">
        <v>0.8</v>
      </c>
      <c r="E60" s="585">
        <v>0.8</v>
      </c>
      <c r="F60" s="348" t="s">
        <v>1656</v>
      </c>
      <c r="G60" s="45"/>
      <c r="H60" s="45"/>
      <c r="I60" s="45"/>
      <c r="J60" s="65"/>
      <c r="K60" s="65"/>
      <c r="L60" s="65"/>
      <c r="M60" s="65"/>
      <c r="N60" s="13" t="s">
        <v>17288</v>
      </c>
      <c r="O60" s="586">
        <v>7010.0</v>
      </c>
      <c r="P60" s="587">
        <v>0.07</v>
      </c>
      <c r="Q60" s="588"/>
      <c r="S60" s="65"/>
    </row>
    <row r="61">
      <c r="A61" s="106" t="s">
        <v>17289</v>
      </c>
      <c r="B61" s="45"/>
      <c r="C61" s="584">
        <v>0.07</v>
      </c>
      <c r="D61" s="585">
        <v>0.75</v>
      </c>
      <c r="E61" s="585">
        <v>0.75</v>
      </c>
      <c r="F61" s="348" t="s">
        <v>1656</v>
      </c>
      <c r="G61" s="45"/>
      <c r="H61" s="45"/>
      <c r="I61" s="45"/>
      <c r="J61" s="65"/>
      <c r="K61" s="65"/>
      <c r="L61" s="65"/>
      <c r="M61" s="65"/>
      <c r="N61" s="35" t="s">
        <v>17289</v>
      </c>
      <c r="O61" s="35">
        <v>8199.0</v>
      </c>
      <c r="P61" s="589">
        <v>0.07</v>
      </c>
      <c r="Q61" s="592"/>
      <c r="R61" s="36"/>
      <c r="S61" s="65"/>
    </row>
    <row r="62">
      <c r="A62" s="25" t="s">
        <v>17290</v>
      </c>
      <c r="B62" s="37">
        <v>283.0</v>
      </c>
      <c r="C62" s="584">
        <v>0.07</v>
      </c>
      <c r="D62" s="585">
        <v>0.75</v>
      </c>
      <c r="E62" s="585">
        <v>0.75</v>
      </c>
      <c r="F62" s="348" t="s">
        <v>1656</v>
      </c>
      <c r="G62" s="45"/>
      <c r="H62" s="45"/>
      <c r="I62" s="45"/>
      <c r="J62" s="65"/>
      <c r="K62" s="65"/>
      <c r="L62" s="65"/>
      <c r="M62" s="65"/>
      <c r="N62" s="35" t="s">
        <v>17290</v>
      </c>
      <c r="O62" s="109">
        <v>9307.0</v>
      </c>
      <c r="P62" s="589">
        <v>0.07</v>
      </c>
      <c r="Q62" s="592"/>
      <c r="R62" s="36"/>
      <c r="S62" s="65"/>
    </row>
    <row r="63">
      <c r="A63" s="106" t="s">
        <v>17291</v>
      </c>
      <c r="B63" s="45"/>
      <c r="C63" s="584">
        <v>0.07</v>
      </c>
      <c r="D63" s="585">
        <v>0.75</v>
      </c>
      <c r="E63" s="585">
        <v>0.75</v>
      </c>
      <c r="F63" s="348" t="s">
        <v>1656</v>
      </c>
      <c r="G63" s="45"/>
      <c r="H63" s="45"/>
      <c r="I63" s="45"/>
      <c r="J63" s="65"/>
      <c r="K63" s="65"/>
      <c r="L63" s="65"/>
      <c r="M63" s="65"/>
      <c r="N63" s="35" t="s">
        <v>17291</v>
      </c>
      <c r="O63" s="109">
        <v>2345.0</v>
      </c>
      <c r="P63" s="589">
        <v>0.07</v>
      </c>
      <c r="Q63" s="592"/>
      <c r="R63" s="36"/>
      <c r="S63" s="65"/>
    </row>
    <row r="64">
      <c r="A64" s="106" t="s">
        <v>17292</v>
      </c>
      <c r="B64" s="45"/>
      <c r="C64" s="584">
        <v>0.07</v>
      </c>
      <c r="D64" s="585">
        <v>0.75</v>
      </c>
      <c r="E64" s="585">
        <v>0.75</v>
      </c>
      <c r="F64" s="348" t="s">
        <v>1656</v>
      </c>
      <c r="G64" s="45"/>
      <c r="H64" s="45"/>
      <c r="I64" s="45"/>
      <c r="J64" s="65"/>
      <c r="K64" s="65"/>
      <c r="L64" s="65"/>
      <c r="M64" s="65"/>
      <c r="N64" s="35" t="s">
        <v>17292</v>
      </c>
      <c r="O64" s="109">
        <v>2345.0</v>
      </c>
      <c r="P64" s="589">
        <v>0.07</v>
      </c>
      <c r="Q64" s="592"/>
      <c r="R64" s="36"/>
      <c r="S64" s="65"/>
    </row>
    <row r="65">
      <c r="A65" s="25" t="s">
        <v>17293</v>
      </c>
      <c r="B65" s="37">
        <v>3607.0</v>
      </c>
      <c r="C65" s="584">
        <v>0.07</v>
      </c>
      <c r="D65" s="585">
        <v>0.8</v>
      </c>
      <c r="E65" s="585">
        <v>0.8</v>
      </c>
      <c r="F65" s="348" t="s">
        <v>1656</v>
      </c>
      <c r="G65" s="45"/>
      <c r="H65" s="45"/>
      <c r="I65" s="45"/>
      <c r="J65" s="65"/>
      <c r="K65" s="65"/>
      <c r="L65" s="65"/>
      <c r="M65" s="65"/>
      <c r="N65" s="13" t="s">
        <v>17283</v>
      </c>
      <c r="O65" s="586">
        <v>2345.0</v>
      </c>
      <c r="P65" s="587">
        <v>0.07</v>
      </c>
      <c r="Q65" s="588"/>
      <c r="S65" s="65"/>
    </row>
    <row r="66">
      <c r="A66" s="25" t="s">
        <v>17294</v>
      </c>
      <c r="B66" s="37">
        <v>14534.0</v>
      </c>
      <c r="C66" s="584">
        <v>0.07</v>
      </c>
      <c r="D66" s="585">
        <v>0.75</v>
      </c>
      <c r="E66" s="585">
        <v>0.75</v>
      </c>
      <c r="F66" s="348" t="s">
        <v>1656</v>
      </c>
      <c r="G66" s="45"/>
      <c r="H66" s="45"/>
      <c r="I66" s="45"/>
      <c r="J66" s="65"/>
      <c r="K66" s="65"/>
      <c r="L66" s="65"/>
      <c r="M66" s="65"/>
      <c r="N66" s="35" t="s">
        <v>17294</v>
      </c>
      <c r="O66" s="109">
        <v>2345.0</v>
      </c>
      <c r="P66" s="589">
        <v>0.07</v>
      </c>
      <c r="Q66" s="592"/>
      <c r="R66" s="36"/>
      <c r="S66" s="65"/>
    </row>
    <row r="67">
      <c r="A67" s="25" t="s">
        <v>17295</v>
      </c>
      <c r="B67" s="37">
        <v>14534.0</v>
      </c>
      <c r="C67" s="584">
        <v>0.07</v>
      </c>
      <c r="D67" s="585">
        <v>0.75</v>
      </c>
      <c r="E67" s="585">
        <v>0.75</v>
      </c>
      <c r="F67" s="348" t="s">
        <v>1656</v>
      </c>
      <c r="G67" s="45"/>
      <c r="H67" s="45"/>
      <c r="I67" s="45"/>
      <c r="J67" s="65"/>
      <c r="K67" s="65"/>
      <c r="L67" s="65"/>
      <c r="M67" s="65"/>
      <c r="N67" s="13" t="s">
        <v>17295</v>
      </c>
      <c r="O67" s="586">
        <v>5389.0</v>
      </c>
      <c r="P67" s="587">
        <v>0.07</v>
      </c>
      <c r="Q67" s="588"/>
      <c r="S67" s="65"/>
    </row>
    <row r="68">
      <c r="A68" s="25" t="s">
        <v>17296</v>
      </c>
      <c r="B68" s="45"/>
      <c r="C68" s="584">
        <v>0.07</v>
      </c>
      <c r="D68" s="585">
        <v>0.75</v>
      </c>
      <c r="E68" s="585">
        <v>0.75</v>
      </c>
      <c r="F68" s="348" t="s">
        <v>1656</v>
      </c>
      <c r="G68" s="45"/>
      <c r="H68" s="45"/>
      <c r="I68" s="45"/>
      <c r="J68" s="65"/>
      <c r="K68" s="65"/>
      <c r="L68" s="65"/>
      <c r="M68" s="65"/>
      <c r="N68" s="35" t="s">
        <v>17296</v>
      </c>
      <c r="O68" s="601">
        <v>7023.0</v>
      </c>
      <c r="P68" s="589">
        <v>0.07</v>
      </c>
      <c r="Q68" s="592"/>
      <c r="R68" s="36"/>
      <c r="S68" s="65"/>
    </row>
    <row r="69">
      <c r="A69" s="25" t="s">
        <v>17297</v>
      </c>
      <c r="B69" s="37">
        <v>6797.0</v>
      </c>
      <c r="C69" s="584">
        <v>0.07</v>
      </c>
      <c r="D69" s="585">
        <v>0.75</v>
      </c>
      <c r="E69" s="585">
        <v>0.75</v>
      </c>
      <c r="F69" s="348" t="s">
        <v>1656</v>
      </c>
      <c r="G69" s="45"/>
      <c r="H69" s="45"/>
      <c r="I69" s="45"/>
      <c r="J69" s="65"/>
      <c r="K69" s="65"/>
      <c r="L69" s="65"/>
      <c r="M69" s="65"/>
      <c r="N69" s="13" t="s">
        <v>17284</v>
      </c>
      <c r="O69" s="586">
        <v>7003.0</v>
      </c>
      <c r="P69" s="587">
        <v>0.07</v>
      </c>
      <c r="Q69" s="588"/>
      <c r="R69" s="586">
        <v>6697.0</v>
      </c>
      <c r="S69" s="65"/>
    </row>
    <row r="70">
      <c r="A70" s="25" t="s">
        <v>17298</v>
      </c>
      <c r="B70" s="37">
        <v>3607.0</v>
      </c>
      <c r="C70" s="584">
        <v>0.07</v>
      </c>
      <c r="D70" s="585">
        <v>0.8</v>
      </c>
      <c r="E70" s="585">
        <v>0.8</v>
      </c>
      <c r="F70" s="348" t="s">
        <v>1656</v>
      </c>
      <c r="G70" s="45"/>
      <c r="H70" s="45"/>
      <c r="I70" s="45"/>
      <c r="J70" s="65"/>
      <c r="K70" s="65"/>
      <c r="L70" s="65"/>
      <c r="M70" s="65"/>
      <c r="N70" s="13" t="s">
        <v>17293</v>
      </c>
      <c r="O70" s="586">
        <v>3607.0</v>
      </c>
      <c r="P70" s="587">
        <v>0.07</v>
      </c>
      <c r="Q70" s="588"/>
      <c r="R70" s="586">
        <v>6772.0</v>
      </c>
      <c r="S70" s="65"/>
    </row>
    <row r="71">
      <c r="A71" s="25" t="s">
        <v>17299</v>
      </c>
      <c r="B71" s="37">
        <v>3607.0</v>
      </c>
      <c r="C71" s="25" t="s">
        <v>17238</v>
      </c>
      <c r="D71" s="585">
        <v>0.8</v>
      </c>
      <c r="E71" s="585">
        <v>0.8</v>
      </c>
      <c r="F71" s="348" t="s">
        <v>1656</v>
      </c>
      <c r="G71" s="45"/>
      <c r="H71" s="45"/>
      <c r="I71" s="45"/>
      <c r="J71" s="65"/>
      <c r="K71" s="65"/>
      <c r="L71" s="65"/>
      <c r="M71" s="65"/>
      <c r="N71" s="35" t="s">
        <v>17299</v>
      </c>
      <c r="O71" s="35">
        <v>14440.0</v>
      </c>
      <c r="P71" s="109">
        <v>2345.0</v>
      </c>
      <c r="Q71" s="592"/>
      <c r="R71" s="36"/>
      <c r="S71" s="65"/>
    </row>
    <row r="72">
      <c r="A72" s="25" t="s">
        <v>17300</v>
      </c>
      <c r="B72" s="37">
        <v>14480.0</v>
      </c>
      <c r="C72" s="25" t="s">
        <v>17238</v>
      </c>
      <c r="D72" s="585">
        <v>0.75</v>
      </c>
      <c r="E72" s="585">
        <v>0.75</v>
      </c>
      <c r="F72" s="348" t="s">
        <v>1656</v>
      </c>
      <c r="G72" s="45"/>
      <c r="H72" s="45"/>
      <c r="I72" s="45"/>
      <c r="J72" s="65"/>
      <c r="K72" s="65"/>
      <c r="L72" s="65"/>
      <c r="M72" s="65"/>
      <c r="N72" s="35" t="s">
        <v>17300</v>
      </c>
      <c r="O72" s="35">
        <v>14337.0</v>
      </c>
      <c r="P72" s="109">
        <v>6732.0</v>
      </c>
      <c r="Q72" s="592"/>
      <c r="R72" s="36"/>
      <c r="S72" s="65"/>
    </row>
    <row r="73">
      <c r="A73" s="175" t="s">
        <v>17301</v>
      </c>
      <c r="B73" s="37">
        <v>6706.0</v>
      </c>
      <c r="C73" s="584">
        <v>0.07</v>
      </c>
      <c r="D73" s="585">
        <v>0.75</v>
      </c>
      <c r="E73" s="585">
        <v>0.75</v>
      </c>
      <c r="F73" s="348" t="s">
        <v>1656</v>
      </c>
      <c r="G73" s="45"/>
      <c r="H73" s="45"/>
      <c r="I73" s="45"/>
      <c r="J73" s="65"/>
      <c r="K73" s="65"/>
      <c r="L73" s="65"/>
      <c r="M73" s="65"/>
      <c r="N73" s="13" t="s">
        <v>17301</v>
      </c>
      <c r="O73" s="11">
        <v>6706.0</v>
      </c>
      <c r="P73" s="587">
        <v>0.07</v>
      </c>
      <c r="Q73" s="588"/>
      <c r="R73" s="586">
        <v>4514.0</v>
      </c>
      <c r="S73" s="65"/>
    </row>
    <row r="74">
      <c r="A74" s="25" t="s">
        <v>17302</v>
      </c>
      <c r="B74" s="37">
        <v>3607.0</v>
      </c>
      <c r="C74" s="584">
        <v>0.07</v>
      </c>
      <c r="D74" s="585">
        <v>0.8</v>
      </c>
      <c r="E74" s="585">
        <v>0.8</v>
      </c>
      <c r="F74" s="348" t="s">
        <v>1656</v>
      </c>
      <c r="G74" s="45"/>
      <c r="H74" s="45"/>
      <c r="I74" s="45"/>
      <c r="J74" s="65"/>
      <c r="K74" s="65"/>
      <c r="L74" s="65"/>
      <c r="M74" s="65"/>
      <c r="N74" s="13" t="s">
        <v>17302</v>
      </c>
      <c r="O74" s="11">
        <v>10856.0</v>
      </c>
      <c r="P74" s="587">
        <v>0.07</v>
      </c>
      <c r="Q74" s="588"/>
      <c r="S74" s="65"/>
    </row>
    <row r="75">
      <c r="A75" s="25" t="s">
        <v>17303</v>
      </c>
      <c r="B75" s="37">
        <v>7030.0</v>
      </c>
      <c r="C75" s="584">
        <v>0.07</v>
      </c>
      <c r="D75" s="585">
        <v>0.75</v>
      </c>
      <c r="E75" s="585">
        <v>0.75</v>
      </c>
      <c r="F75" s="348" t="s">
        <v>1656</v>
      </c>
      <c r="G75" s="45"/>
      <c r="H75" s="45"/>
      <c r="I75" s="45"/>
      <c r="J75" s="65"/>
      <c r="K75" s="65"/>
      <c r="L75" s="65"/>
      <c r="M75" s="65"/>
      <c r="N75" s="279" t="s">
        <v>17304</v>
      </c>
      <c r="O75" s="280"/>
      <c r="P75" s="599">
        <v>2345.0</v>
      </c>
      <c r="Q75" s="467"/>
      <c r="S75" s="65"/>
    </row>
    <row r="76">
      <c r="A76" s="25" t="s">
        <v>17305</v>
      </c>
      <c r="B76" s="45"/>
      <c r="C76" s="584">
        <v>0.07</v>
      </c>
      <c r="D76" s="585">
        <v>0.75</v>
      </c>
      <c r="E76" s="585">
        <v>0.75</v>
      </c>
      <c r="F76" s="348" t="s">
        <v>1656</v>
      </c>
      <c r="G76" s="45"/>
      <c r="H76" s="45"/>
      <c r="I76" s="45"/>
      <c r="J76" s="65"/>
      <c r="K76" s="65"/>
      <c r="L76" s="65"/>
      <c r="M76" s="65"/>
      <c r="N76" s="35" t="s">
        <v>17305</v>
      </c>
      <c r="O76" s="109">
        <v>2345.0</v>
      </c>
      <c r="P76" s="589">
        <v>0.07</v>
      </c>
      <c r="Q76" s="592"/>
      <c r="R76" s="36"/>
      <c r="S76" s="65"/>
    </row>
    <row r="77">
      <c r="A77" s="106" t="s">
        <v>17306</v>
      </c>
      <c r="B77" s="45"/>
      <c r="C77" s="25" t="s">
        <v>17238</v>
      </c>
      <c r="D77" s="585">
        <v>0.75</v>
      </c>
      <c r="E77" s="585">
        <v>0.75</v>
      </c>
      <c r="F77" s="348" t="s">
        <v>1656</v>
      </c>
      <c r="G77" s="45"/>
      <c r="H77" s="45"/>
      <c r="I77" s="45"/>
      <c r="J77" s="65"/>
      <c r="K77" s="65"/>
      <c r="L77" s="65"/>
      <c r="M77" s="65"/>
      <c r="N77" s="35" t="s">
        <v>17306</v>
      </c>
      <c r="O77" s="109">
        <v>2345.0</v>
      </c>
      <c r="P77" s="109"/>
      <c r="Q77" s="592"/>
      <c r="R77" s="36"/>
      <c r="S77" s="65"/>
    </row>
    <row r="78">
      <c r="A78" s="25" t="s">
        <v>17307</v>
      </c>
      <c r="B78" s="45"/>
      <c r="C78" s="25" t="s">
        <v>17238</v>
      </c>
      <c r="D78" s="585">
        <v>0.75</v>
      </c>
      <c r="E78" s="585">
        <v>0.75</v>
      </c>
      <c r="F78" s="348" t="s">
        <v>1656</v>
      </c>
      <c r="G78" s="45"/>
      <c r="H78" s="45"/>
      <c r="I78" s="45"/>
      <c r="J78" s="65"/>
      <c r="K78" s="65"/>
      <c r="L78" s="65"/>
      <c r="M78" s="65"/>
      <c r="N78" s="35" t="s">
        <v>17307</v>
      </c>
      <c r="O78" s="109">
        <v>2345.0</v>
      </c>
      <c r="P78" s="109"/>
      <c r="Q78" s="592"/>
      <c r="R78" s="36"/>
      <c r="S78" s="65"/>
    </row>
    <row r="79">
      <c r="A79" s="25" t="s">
        <v>17308</v>
      </c>
      <c r="B79" s="45"/>
      <c r="C79" s="584">
        <v>0.07</v>
      </c>
      <c r="D79" s="585">
        <v>0.75</v>
      </c>
      <c r="E79" s="585">
        <v>0.75</v>
      </c>
      <c r="F79" s="348" t="s">
        <v>1656</v>
      </c>
      <c r="G79" s="45"/>
      <c r="H79" s="45"/>
      <c r="I79" s="45"/>
      <c r="J79" s="65"/>
      <c r="K79" s="65"/>
      <c r="L79" s="65"/>
      <c r="M79" s="65"/>
      <c r="N79" s="13" t="s">
        <v>17308</v>
      </c>
      <c r="O79" s="586">
        <v>2345.0</v>
      </c>
      <c r="P79" s="587">
        <v>0.07</v>
      </c>
      <c r="Q79" s="588"/>
      <c r="S79" s="65"/>
    </row>
    <row r="80">
      <c r="A80" s="25" t="s">
        <v>17309</v>
      </c>
      <c r="B80" s="37">
        <v>3607.0</v>
      </c>
      <c r="C80" s="584">
        <v>0.07</v>
      </c>
      <c r="D80" s="585">
        <v>0.8</v>
      </c>
      <c r="E80" s="585">
        <v>0.8</v>
      </c>
      <c r="F80" s="348" t="s">
        <v>1656</v>
      </c>
      <c r="G80" s="45"/>
      <c r="H80" s="45"/>
      <c r="I80" s="45"/>
      <c r="J80" s="65"/>
      <c r="K80" s="65"/>
      <c r="L80" s="65"/>
      <c r="M80" s="65"/>
      <c r="N80" s="13" t="s">
        <v>17297</v>
      </c>
      <c r="O80" s="586">
        <v>6797.0</v>
      </c>
      <c r="P80" s="587">
        <v>0.07</v>
      </c>
      <c r="Q80" s="588"/>
      <c r="S80" s="65"/>
    </row>
    <row r="81">
      <c r="A81" s="25" t="s">
        <v>17310</v>
      </c>
      <c r="B81" s="45"/>
      <c r="C81" s="584">
        <v>0.07</v>
      </c>
      <c r="D81" s="585">
        <v>0.75</v>
      </c>
      <c r="E81" s="585">
        <v>0.75</v>
      </c>
      <c r="F81" s="348" t="s">
        <v>1656</v>
      </c>
      <c r="G81" s="45"/>
      <c r="H81" s="45"/>
      <c r="I81" s="45"/>
      <c r="J81" s="65"/>
      <c r="K81" s="65"/>
      <c r="L81" s="65"/>
      <c r="M81" s="65"/>
      <c r="N81" s="35" t="s">
        <v>17310</v>
      </c>
      <c r="O81" s="109">
        <v>2345.0</v>
      </c>
      <c r="P81" s="589">
        <v>0.07</v>
      </c>
      <c r="Q81" s="592"/>
      <c r="R81" s="36"/>
      <c r="S81" s="65"/>
    </row>
    <row r="82">
      <c r="A82" s="25" t="s">
        <v>17311</v>
      </c>
      <c r="B82" s="37">
        <v>14638.0</v>
      </c>
      <c r="C82" s="584">
        <v>0.07</v>
      </c>
      <c r="D82" s="585">
        <v>0.75</v>
      </c>
      <c r="E82" s="585">
        <v>0.75</v>
      </c>
      <c r="F82" s="348" t="s">
        <v>1656</v>
      </c>
      <c r="G82" s="45"/>
      <c r="H82" s="45"/>
      <c r="I82" s="45"/>
      <c r="J82" s="65"/>
      <c r="K82" s="65"/>
      <c r="L82" s="65"/>
      <c r="M82" s="65"/>
      <c r="N82" s="35" t="s">
        <v>17311</v>
      </c>
      <c r="O82" s="109">
        <v>2345.0</v>
      </c>
      <c r="P82" s="589">
        <v>0.07</v>
      </c>
      <c r="Q82" s="590"/>
      <c r="R82" s="36"/>
      <c r="S82" s="65"/>
    </row>
    <row r="83">
      <c r="A83" s="25" t="s">
        <v>17312</v>
      </c>
      <c r="B83" s="37">
        <v>14734.0</v>
      </c>
      <c r="C83" s="584">
        <v>0.07</v>
      </c>
      <c r="D83" s="585">
        <v>0.75</v>
      </c>
      <c r="E83" s="585">
        <v>0.75</v>
      </c>
      <c r="F83" s="348" t="s">
        <v>1656</v>
      </c>
      <c r="G83" s="45"/>
      <c r="H83" s="45"/>
      <c r="I83" s="45"/>
      <c r="J83" s="65"/>
      <c r="K83" s="65"/>
      <c r="L83" s="65"/>
      <c r="M83" s="65"/>
      <c r="N83" s="35" t="s">
        <v>17312</v>
      </c>
      <c r="O83" s="109">
        <v>2345.0</v>
      </c>
      <c r="P83" s="589">
        <v>0.07</v>
      </c>
      <c r="Q83" s="592"/>
      <c r="R83" s="36"/>
      <c r="S83" s="65"/>
    </row>
    <row r="84">
      <c r="A84" s="25" t="s">
        <v>17313</v>
      </c>
      <c r="B84" s="45"/>
      <c r="C84" s="584">
        <v>0.07</v>
      </c>
      <c r="D84" s="585">
        <v>0.75</v>
      </c>
      <c r="E84" s="585">
        <v>0.75</v>
      </c>
      <c r="F84" s="348" t="s">
        <v>1656</v>
      </c>
      <c r="G84" s="45"/>
      <c r="H84" s="45"/>
      <c r="I84" s="45"/>
      <c r="J84" s="65"/>
      <c r="K84" s="65"/>
      <c r="L84" s="65"/>
      <c r="M84" s="65"/>
      <c r="N84" s="35" t="s">
        <v>17313</v>
      </c>
      <c r="O84" s="109">
        <v>2345.0</v>
      </c>
      <c r="P84" s="589">
        <v>0.07</v>
      </c>
      <c r="Q84" s="592"/>
      <c r="R84" s="36"/>
      <c r="S84" s="65"/>
    </row>
    <row r="85">
      <c r="A85" s="25" t="s">
        <v>17314</v>
      </c>
      <c r="B85" s="45"/>
      <c r="C85" s="584">
        <v>0.07</v>
      </c>
      <c r="D85" s="585">
        <v>0.75</v>
      </c>
      <c r="E85" s="585">
        <v>0.75</v>
      </c>
      <c r="F85" s="348" t="s">
        <v>1656</v>
      </c>
      <c r="G85" s="45"/>
      <c r="H85" s="45"/>
      <c r="I85" s="45"/>
      <c r="J85" s="65"/>
      <c r="K85" s="65"/>
      <c r="L85" s="65"/>
      <c r="M85" s="65"/>
      <c r="N85" s="35" t="s">
        <v>17314</v>
      </c>
      <c r="O85" s="109">
        <v>2345.0</v>
      </c>
      <c r="P85" s="589">
        <v>0.07</v>
      </c>
      <c r="Q85" s="592"/>
      <c r="R85" s="36"/>
      <c r="S85" s="65"/>
    </row>
    <row r="86">
      <c r="A86" s="25" t="s">
        <v>17315</v>
      </c>
      <c r="B86" s="37">
        <v>14575.0</v>
      </c>
      <c r="C86" s="584">
        <v>0.07</v>
      </c>
      <c r="D86" s="600">
        <v>0.85</v>
      </c>
      <c r="E86" s="600">
        <v>0.85</v>
      </c>
      <c r="F86" s="348" t="s">
        <v>1656</v>
      </c>
      <c r="G86" s="45"/>
      <c r="H86" s="45"/>
      <c r="I86" s="45"/>
      <c r="J86" s="65"/>
      <c r="K86" s="65"/>
      <c r="L86" s="65"/>
      <c r="M86" s="65"/>
      <c r="N86" s="35" t="s">
        <v>17315</v>
      </c>
      <c r="O86" s="109">
        <v>5389.0</v>
      </c>
      <c r="P86" s="589">
        <v>0.07</v>
      </c>
      <c r="Q86" s="592"/>
      <c r="R86" s="36"/>
      <c r="S86" s="65"/>
    </row>
    <row r="87">
      <c r="A87" s="106" t="s">
        <v>17316</v>
      </c>
      <c r="B87" s="45"/>
      <c r="C87" s="584">
        <v>0.07</v>
      </c>
      <c r="D87" s="585">
        <v>0.75</v>
      </c>
      <c r="E87" s="585">
        <v>0.75</v>
      </c>
      <c r="F87" s="348" t="s">
        <v>1656</v>
      </c>
      <c r="G87" s="45"/>
      <c r="H87" s="45"/>
      <c r="I87" s="45"/>
      <c r="J87" s="65"/>
      <c r="K87" s="65"/>
      <c r="L87" s="65"/>
      <c r="M87" s="65"/>
      <c r="N87" s="35" t="s">
        <v>17316</v>
      </c>
      <c r="O87" s="109">
        <v>6736.0</v>
      </c>
      <c r="P87" s="589">
        <v>0.07</v>
      </c>
      <c r="Q87" s="592"/>
      <c r="R87" s="602"/>
      <c r="S87" s="65"/>
    </row>
    <row r="88">
      <c r="A88" s="25" t="s">
        <v>17317</v>
      </c>
      <c r="B88" s="37">
        <v>6947.0</v>
      </c>
      <c r="C88" s="584">
        <v>0.07</v>
      </c>
      <c r="D88" s="585">
        <v>0.75</v>
      </c>
      <c r="E88" s="585">
        <v>0.75</v>
      </c>
      <c r="F88" s="348" t="s">
        <v>1656</v>
      </c>
      <c r="G88" s="203"/>
      <c r="H88" s="203"/>
      <c r="I88" s="203"/>
      <c r="J88" s="65"/>
      <c r="K88" s="65"/>
      <c r="L88" s="65"/>
      <c r="M88" s="65"/>
      <c r="N88" s="35" t="s">
        <v>17317</v>
      </c>
      <c r="O88" s="109">
        <v>7022.0</v>
      </c>
      <c r="P88" s="589">
        <v>0.07</v>
      </c>
      <c r="Q88" s="592"/>
      <c r="R88" s="602"/>
      <c r="S88" s="65"/>
    </row>
    <row r="89">
      <c r="A89" s="25" t="s">
        <v>17318</v>
      </c>
      <c r="B89" s="37">
        <v>7142.0</v>
      </c>
      <c r="C89" s="584">
        <v>0.07</v>
      </c>
      <c r="D89" s="585">
        <v>0.75</v>
      </c>
      <c r="E89" s="585">
        <v>0.75</v>
      </c>
      <c r="F89" s="348" t="s">
        <v>1656</v>
      </c>
      <c r="G89" s="203"/>
      <c r="H89" s="203"/>
      <c r="I89" s="203"/>
      <c r="J89" s="65"/>
      <c r="K89" s="65"/>
      <c r="L89" s="65"/>
      <c r="M89" s="65"/>
      <c r="N89" s="13" t="s">
        <v>17298</v>
      </c>
      <c r="O89" s="586">
        <v>3607.0</v>
      </c>
      <c r="P89" s="587">
        <v>0.07</v>
      </c>
      <c r="Q89" s="588"/>
      <c r="R89" s="603">
        <v>7104.0</v>
      </c>
      <c r="S89" s="65"/>
    </row>
    <row r="90">
      <c r="A90" s="25" t="s">
        <v>17319</v>
      </c>
      <c r="B90" s="37">
        <v>6924.0</v>
      </c>
      <c r="C90" s="584">
        <v>0.07</v>
      </c>
      <c r="D90" s="585">
        <v>0.8</v>
      </c>
      <c r="E90" s="585">
        <v>0.8</v>
      </c>
      <c r="F90" s="348" t="s">
        <v>1656</v>
      </c>
      <c r="G90" s="203"/>
      <c r="H90" s="203"/>
      <c r="I90" s="203"/>
      <c r="J90" s="65"/>
      <c r="K90" s="65"/>
      <c r="L90" s="65"/>
      <c r="M90" s="65"/>
      <c r="N90" s="13" t="s">
        <v>17303</v>
      </c>
      <c r="O90" s="586">
        <v>7030.0</v>
      </c>
      <c r="P90" s="587">
        <v>0.07</v>
      </c>
      <c r="Q90" s="588"/>
      <c r="R90" s="236"/>
      <c r="S90" s="65"/>
    </row>
    <row r="91">
      <c r="A91" s="25" t="s">
        <v>17320</v>
      </c>
      <c r="B91" s="37">
        <v>3607.0</v>
      </c>
      <c r="C91" s="584">
        <v>0.07</v>
      </c>
      <c r="D91" s="585">
        <v>0.8</v>
      </c>
      <c r="E91" s="585">
        <v>0.8</v>
      </c>
      <c r="F91" s="348" t="s">
        <v>1656</v>
      </c>
      <c r="G91" s="203"/>
      <c r="H91" s="203"/>
      <c r="I91" s="203"/>
      <c r="J91" s="65"/>
      <c r="K91" s="65"/>
      <c r="L91" s="65"/>
      <c r="M91" s="65"/>
      <c r="N91" s="35" t="s">
        <v>17320</v>
      </c>
      <c r="O91" s="109">
        <v>3607.0</v>
      </c>
      <c r="P91" s="589">
        <v>0.07</v>
      </c>
      <c r="Q91" s="592"/>
      <c r="R91" s="602"/>
      <c r="S91" s="65"/>
    </row>
    <row r="92">
      <c r="A92" s="175" t="s">
        <v>17321</v>
      </c>
      <c r="B92" s="37">
        <v>3607.0</v>
      </c>
      <c r="C92" s="584">
        <v>0.07</v>
      </c>
      <c r="D92" s="585">
        <v>0.8</v>
      </c>
      <c r="E92" s="585">
        <v>0.8</v>
      </c>
      <c r="F92" s="348" t="s">
        <v>1656</v>
      </c>
      <c r="G92" s="203"/>
      <c r="H92" s="203"/>
      <c r="I92" s="203"/>
      <c r="J92" s="65"/>
      <c r="K92" s="65"/>
      <c r="L92" s="65"/>
      <c r="M92" s="65"/>
      <c r="N92" s="13" t="s">
        <v>17321</v>
      </c>
      <c r="O92" s="586">
        <v>3607.0</v>
      </c>
      <c r="P92" s="587">
        <v>0.07</v>
      </c>
      <c r="Q92" s="588"/>
      <c r="R92" s="236"/>
      <c r="S92" s="65"/>
    </row>
    <row r="93">
      <c r="A93" s="25" t="s">
        <v>17322</v>
      </c>
      <c r="B93" s="37">
        <v>6831.0</v>
      </c>
      <c r="C93" s="584">
        <v>0.07</v>
      </c>
      <c r="D93" s="585">
        <v>0.75</v>
      </c>
      <c r="E93" s="585">
        <v>0.75</v>
      </c>
      <c r="F93" s="348" t="s">
        <v>1656</v>
      </c>
      <c r="G93" s="202"/>
      <c r="H93" s="202"/>
      <c r="I93" s="202"/>
      <c r="J93" s="7"/>
      <c r="K93" s="7"/>
      <c r="L93" s="7"/>
      <c r="M93" s="7"/>
      <c r="N93" s="35" t="s">
        <v>17322</v>
      </c>
      <c r="O93" s="109">
        <v>11708.0</v>
      </c>
      <c r="P93" s="589">
        <v>0.07</v>
      </c>
      <c r="Q93" s="592"/>
      <c r="R93" s="335">
        <v>3607.0</v>
      </c>
      <c r="S93" s="7"/>
    </row>
    <row r="94">
      <c r="A94" s="175" t="s">
        <v>17323</v>
      </c>
      <c r="B94" s="37">
        <v>3607.0</v>
      </c>
      <c r="C94" s="584">
        <v>0.07</v>
      </c>
      <c r="D94" s="585">
        <v>0.8</v>
      </c>
      <c r="E94" s="585">
        <v>0.8</v>
      </c>
      <c r="F94" s="348" t="s">
        <v>1656</v>
      </c>
      <c r="G94" s="202"/>
      <c r="H94" s="202"/>
      <c r="I94" s="202"/>
      <c r="J94" s="7"/>
      <c r="K94" s="7"/>
      <c r="L94" s="7"/>
      <c r="M94" s="7"/>
      <c r="N94" s="13" t="s">
        <v>17323</v>
      </c>
      <c r="O94" s="586">
        <v>3607.0</v>
      </c>
      <c r="P94" s="587">
        <v>0.07</v>
      </c>
      <c r="Q94" s="588"/>
      <c r="R94" s="236"/>
      <c r="S94" s="7"/>
    </row>
    <row r="95">
      <c r="A95" s="175" t="s">
        <v>17324</v>
      </c>
      <c r="B95" s="37">
        <v>3607.0</v>
      </c>
      <c r="C95" s="584">
        <v>0.07</v>
      </c>
      <c r="D95" s="585">
        <v>0.8</v>
      </c>
      <c r="E95" s="585">
        <v>0.8</v>
      </c>
      <c r="F95" s="348" t="s">
        <v>1656</v>
      </c>
      <c r="G95" s="202"/>
      <c r="H95" s="202"/>
      <c r="I95" s="202"/>
      <c r="J95" s="7"/>
      <c r="K95" s="7"/>
      <c r="L95" s="7"/>
      <c r="M95" s="7"/>
      <c r="N95" s="13" t="s">
        <v>17324</v>
      </c>
      <c r="O95" s="604">
        <v>3607.0</v>
      </c>
      <c r="P95" s="587">
        <v>0.07</v>
      </c>
      <c r="Q95" s="588"/>
      <c r="R95" s="236"/>
      <c r="S95" s="7"/>
    </row>
    <row r="96">
      <c r="A96" s="106" t="s">
        <v>17325</v>
      </c>
      <c r="B96" s="45"/>
      <c r="C96" s="584">
        <v>0.07</v>
      </c>
      <c r="D96" s="585">
        <v>0.75</v>
      </c>
      <c r="E96" s="585">
        <v>0.75</v>
      </c>
      <c r="F96" s="348" t="s">
        <v>1656</v>
      </c>
      <c r="G96" s="202"/>
      <c r="H96" s="202"/>
      <c r="I96" s="202"/>
      <c r="J96" s="7"/>
      <c r="K96" s="7"/>
      <c r="L96" s="7"/>
      <c r="M96" s="7"/>
      <c r="N96" s="13" t="s">
        <v>17325</v>
      </c>
      <c r="O96" s="586">
        <v>3607.0</v>
      </c>
      <c r="P96" s="587">
        <v>0.07</v>
      </c>
      <c r="Q96" s="467"/>
      <c r="R96" s="236"/>
      <c r="S96" s="7"/>
    </row>
    <row r="97">
      <c r="A97" s="106" t="s">
        <v>17326</v>
      </c>
      <c r="B97" s="45"/>
      <c r="C97" s="584">
        <v>0.07</v>
      </c>
      <c r="D97" s="585">
        <v>0.75</v>
      </c>
      <c r="E97" s="585">
        <v>0.75</v>
      </c>
      <c r="F97" s="348" t="s">
        <v>1656</v>
      </c>
      <c r="G97" s="202"/>
      <c r="H97" s="202"/>
      <c r="I97" s="202"/>
      <c r="J97" s="7"/>
      <c r="K97" s="7"/>
      <c r="L97" s="7"/>
      <c r="M97" s="7"/>
      <c r="N97" s="35" t="s">
        <v>17326</v>
      </c>
      <c r="O97" s="109">
        <v>3607.0</v>
      </c>
      <c r="P97" s="589">
        <v>0.07</v>
      </c>
      <c r="Q97" s="592"/>
      <c r="R97" s="36"/>
      <c r="S97" s="7"/>
    </row>
    <row r="98">
      <c r="A98" s="25" t="s">
        <v>17327</v>
      </c>
      <c r="B98" s="37">
        <v>3607.0</v>
      </c>
      <c r="C98" s="584">
        <v>0.07</v>
      </c>
      <c r="D98" s="585">
        <v>0.8</v>
      </c>
      <c r="E98" s="585">
        <v>0.8</v>
      </c>
      <c r="F98" s="348" t="s">
        <v>1656</v>
      </c>
      <c r="G98" s="202"/>
      <c r="H98" s="202"/>
      <c r="I98" s="202"/>
      <c r="J98" s="7"/>
      <c r="K98" s="7"/>
      <c r="L98" s="7"/>
      <c r="M98" s="7"/>
      <c r="N98" s="35" t="s">
        <v>17327</v>
      </c>
      <c r="O98" s="109">
        <v>3607.0</v>
      </c>
      <c r="P98" s="589">
        <v>0.07</v>
      </c>
      <c r="Q98" s="592"/>
      <c r="R98" s="36"/>
      <c r="S98" s="7"/>
    </row>
    <row r="99">
      <c r="A99" s="25" t="s">
        <v>17328</v>
      </c>
      <c r="B99" s="37">
        <v>3607.0</v>
      </c>
      <c r="C99" s="584">
        <v>0.07</v>
      </c>
      <c r="D99" s="585">
        <v>0.8</v>
      </c>
      <c r="E99" s="585">
        <v>0.8</v>
      </c>
      <c r="F99" s="348" t="s">
        <v>1656</v>
      </c>
      <c r="G99" s="202"/>
      <c r="H99" s="202"/>
      <c r="I99" s="202"/>
      <c r="J99" s="7"/>
      <c r="K99" s="7"/>
      <c r="L99" s="7"/>
      <c r="M99" s="7"/>
      <c r="N99" s="35" t="s">
        <v>17328</v>
      </c>
      <c r="O99" s="109">
        <v>3607.0</v>
      </c>
      <c r="P99" s="589">
        <v>0.07</v>
      </c>
      <c r="Q99" s="592"/>
      <c r="R99" s="36"/>
      <c r="S99" s="7"/>
    </row>
    <row r="100">
      <c r="A100" s="25" t="s">
        <v>17329</v>
      </c>
      <c r="B100" s="37">
        <v>6671.0</v>
      </c>
      <c r="C100" s="25" t="s">
        <v>17238</v>
      </c>
      <c r="D100" s="585">
        <v>0.8</v>
      </c>
      <c r="E100" s="585">
        <v>0.8</v>
      </c>
      <c r="F100" s="348" t="s">
        <v>1656</v>
      </c>
      <c r="G100" s="202"/>
      <c r="H100" s="202"/>
      <c r="I100" s="202"/>
      <c r="J100" s="7"/>
      <c r="K100" s="7"/>
      <c r="L100" s="7"/>
      <c r="M100" s="7"/>
      <c r="N100" s="13" t="s">
        <v>17309</v>
      </c>
      <c r="O100" s="586">
        <v>3607.0</v>
      </c>
      <c r="P100" s="587">
        <v>0.07</v>
      </c>
      <c r="Q100" s="467"/>
      <c r="S100" s="7"/>
    </row>
    <row r="101">
      <c r="A101" s="25" t="s">
        <v>17330</v>
      </c>
      <c r="B101" s="37">
        <v>3607.0</v>
      </c>
      <c r="C101" s="584">
        <v>0.07</v>
      </c>
      <c r="D101" s="585">
        <v>0.8</v>
      </c>
      <c r="E101" s="585">
        <v>0.8</v>
      </c>
      <c r="F101" s="348" t="s">
        <v>1656</v>
      </c>
      <c r="G101" s="202"/>
      <c r="H101" s="202"/>
      <c r="I101" s="202"/>
      <c r="J101" s="7"/>
      <c r="K101" s="7"/>
      <c r="L101" s="7"/>
      <c r="M101" s="7"/>
      <c r="N101" s="35" t="s">
        <v>17330</v>
      </c>
      <c r="O101" s="109">
        <v>3607.0</v>
      </c>
      <c r="P101" s="589">
        <v>0.07</v>
      </c>
      <c r="Q101" s="592"/>
      <c r="R101" s="36"/>
      <c r="S101" s="7"/>
    </row>
    <row r="102">
      <c r="A102" s="106" t="s">
        <v>17331</v>
      </c>
      <c r="B102" s="45"/>
      <c r="C102" s="584">
        <v>0.07</v>
      </c>
      <c r="D102" s="585">
        <v>0.75</v>
      </c>
      <c r="E102" s="585">
        <v>0.75</v>
      </c>
      <c r="F102" s="348" t="s">
        <v>1656</v>
      </c>
      <c r="G102" s="202"/>
      <c r="H102" s="202"/>
      <c r="I102" s="202"/>
      <c r="J102" s="7"/>
      <c r="K102" s="7"/>
      <c r="L102" s="7"/>
      <c r="M102" s="7"/>
      <c r="N102" s="13" t="s">
        <v>17331</v>
      </c>
      <c r="O102" s="586">
        <v>3607.0</v>
      </c>
      <c r="P102" s="587">
        <v>0.07</v>
      </c>
      <c r="Q102" s="467"/>
      <c r="S102" s="7"/>
    </row>
    <row r="103">
      <c r="A103" s="175" t="s">
        <v>17332</v>
      </c>
      <c r="B103" s="37">
        <v>3607.0</v>
      </c>
      <c r="C103" s="584">
        <v>0.07</v>
      </c>
      <c r="D103" s="585">
        <v>0.8</v>
      </c>
      <c r="E103" s="585">
        <v>0.8</v>
      </c>
      <c r="F103" s="348" t="s">
        <v>1656</v>
      </c>
      <c r="G103" s="202"/>
      <c r="H103" s="202"/>
      <c r="I103" s="202"/>
      <c r="J103" s="7"/>
      <c r="K103" s="7"/>
      <c r="L103" s="7"/>
      <c r="M103" s="7"/>
      <c r="N103" s="35" t="s">
        <v>17332</v>
      </c>
      <c r="O103" s="109">
        <v>3607.0</v>
      </c>
      <c r="P103" s="589">
        <v>0.07</v>
      </c>
      <c r="Q103" s="592"/>
      <c r="R103" s="36"/>
      <c r="S103" s="7"/>
    </row>
    <row r="104">
      <c r="A104" s="175" t="s">
        <v>17333</v>
      </c>
      <c r="B104" s="37">
        <v>3607.0</v>
      </c>
      <c r="C104" s="584">
        <v>0.07</v>
      </c>
      <c r="D104" s="585">
        <v>0.8</v>
      </c>
      <c r="E104" s="585">
        <v>0.8</v>
      </c>
      <c r="F104" s="348" t="s">
        <v>1656</v>
      </c>
      <c r="G104" s="202"/>
      <c r="H104" s="202"/>
      <c r="I104" s="202"/>
      <c r="J104" s="7"/>
      <c r="K104" s="7"/>
      <c r="L104" s="7"/>
      <c r="M104" s="7"/>
      <c r="N104" s="13" t="s">
        <v>17333</v>
      </c>
      <c r="O104" s="586">
        <v>3607.0</v>
      </c>
      <c r="P104" s="587">
        <v>0.07</v>
      </c>
      <c r="Q104" s="467"/>
      <c r="S104" s="7"/>
    </row>
    <row r="105">
      <c r="A105" s="25" t="s">
        <v>17334</v>
      </c>
      <c r="B105" s="37">
        <v>14292.0</v>
      </c>
      <c r="C105" s="584">
        <v>0.07</v>
      </c>
      <c r="D105" s="585">
        <v>0.75</v>
      </c>
      <c r="E105" s="585">
        <v>0.75</v>
      </c>
      <c r="F105" s="348" t="s">
        <v>1656</v>
      </c>
      <c r="G105" s="202"/>
      <c r="H105" s="202"/>
      <c r="I105" s="202"/>
      <c r="J105" s="7"/>
      <c r="K105" s="7"/>
      <c r="L105" s="7"/>
      <c r="M105" s="7"/>
      <c r="N105" s="13" t="s">
        <v>17318</v>
      </c>
      <c r="O105" s="586">
        <v>7142.0</v>
      </c>
      <c r="P105" s="587">
        <v>0.07</v>
      </c>
      <c r="Q105" s="588"/>
      <c r="S105" s="7"/>
    </row>
    <row r="106">
      <c r="A106" s="25" t="s">
        <v>17335</v>
      </c>
      <c r="B106" s="37">
        <v>14552.0</v>
      </c>
      <c r="C106" s="584">
        <v>0.07</v>
      </c>
      <c r="D106" s="585">
        <v>0.75</v>
      </c>
      <c r="E106" s="585">
        <v>0.75</v>
      </c>
      <c r="F106" s="348" t="s">
        <v>1656</v>
      </c>
      <c r="G106" s="202"/>
      <c r="H106" s="202"/>
      <c r="I106" s="202"/>
      <c r="J106" s="7"/>
      <c r="K106" s="7"/>
      <c r="L106" s="7"/>
      <c r="M106" s="7"/>
      <c r="N106" s="35" t="s">
        <v>17335</v>
      </c>
      <c r="O106" s="109">
        <v>6924.0</v>
      </c>
      <c r="P106" s="589">
        <v>0.07</v>
      </c>
      <c r="Q106" s="592"/>
      <c r="R106" s="36"/>
      <c r="S106" s="7"/>
    </row>
    <row r="107">
      <c r="A107" s="175" t="s">
        <v>17336</v>
      </c>
      <c r="B107" s="37">
        <v>5125.0</v>
      </c>
      <c r="C107" s="584">
        <v>0.07</v>
      </c>
      <c r="D107" s="585">
        <v>0.75</v>
      </c>
      <c r="E107" s="585">
        <v>0.75</v>
      </c>
      <c r="F107" s="348" t="s">
        <v>1656</v>
      </c>
      <c r="G107" s="202"/>
      <c r="H107" s="202"/>
      <c r="I107" s="202"/>
      <c r="J107" s="7"/>
      <c r="K107" s="7"/>
      <c r="L107" s="7"/>
      <c r="M107" s="7"/>
      <c r="N107" s="13" t="s">
        <v>17336</v>
      </c>
      <c r="O107" s="586">
        <v>5125.0</v>
      </c>
      <c r="P107" s="587">
        <v>0.07</v>
      </c>
      <c r="Q107" s="588"/>
      <c r="S107" s="7"/>
    </row>
    <row r="108">
      <c r="A108" s="106" t="s">
        <v>17337</v>
      </c>
      <c r="B108" s="45"/>
      <c r="C108" s="584">
        <v>0.07</v>
      </c>
      <c r="D108" s="585">
        <v>0.75</v>
      </c>
      <c r="E108" s="585">
        <v>0.75</v>
      </c>
      <c r="F108" s="348" t="s">
        <v>1656</v>
      </c>
      <c r="G108" s="202"/>
      <c r="H108" s="202"/>
      <c r="I108" s="202"/>
      <c r="J108" s="7"/>
      <c r="K108" s="7"/>
      <c r="L108" s="7"/>
      <c r="M108" s="7"/>
      <c r="N108" s="13" t="s">
        <v>17337</v>
      </c>
      <c r="O108" s="605">
        <v>6143.0</v>
      </c>
      <c r="P108" s="587">
        <v>0.07</v>
      </c>
      <c r="Q108" s="588"/>
      <c r="S108" s="7"/>
    </row>
    <row r="109">
      <c r="A109" s="106" t="s">
        <v>17338</v>
      </c>
      <c r="B109" s="45"/>
      <c r="C109" s="584">
        <v>0.07</v>
      </c>
      <c r="D109" s="585">
        <v>0.75</v>
      </c>
      <c r="E109" s="585">
        <v>0.75</v>
      </c>
      <c r="F109" s="348" t="s">
        <v>1656</v>
      </c>
      <c r="G109" s="202"/>
      <c r="H109" s="202"/>
      <c r="I109" s="202"/>
      <c r="J109" s="7"/>
      <c r="K109" s="7"/>
      <c r="L109" s="7"/>
      <c r="M109" s="7"/>
      <c r="N109" s="35" t="s">
        <v>17338</v>
      </c>
      <c r="O109" s="109">
        <v>6726.0</v>
      </c>
      <c r="P109" s="589">
        <v>0.07</v>
      </c>
      <c r="Q109" s="592"/>
      <c r="R109" s="36"/>
      <c r="S109" s="7"/>
    </row>
    <row r="110">
      <c r="A110" s="25" t="s">
        <v>17339</v>
      </c>
      <c r="B110" s="45"/>
      <c r="C110" s="584">
        <v>0.07</v>
      </c>
      <c r="D110" s="585">
        <v>0.75</v>
      </c>
      <c r="E110" s="585">
        <v>0.75</v>
      </c>
      <c r="F110" s="348" t="s">
        <v>1656</v>
      </c>
      <c r="G110" s="202"/>
      <c r="H110" s="202"/>
      <c r="I110" s="202"/>
      <c r="J110" s="7"/>
      <c r="K110" s="7"/>
      <c r="L110" s="7"/>
      <c r="M110" s="7"/>
      <c r="N110" s="35" t="s">
        <v>17339</v>
      </c>
      <c r="O110" s="35">
        <v>7492.0</v>
      </c>
      <c r="P110" s="589">
        <v>0.07</v>
      </c>
      <c r="Q110" s="592"/>
      <c r="R110" s="35">
        <v>84.0</v>
      </c>
      <c r="S110" s="7"/>
    </row>
    <row r="111">
      <c r="A111" s="25" t="s">
        <v>17340</v>
      </c>
      <c r="B111" s="37">
        <v>6728.0</v>
      </c>
      <c r="C111" s="584">
        <v>0.07</v>
      </c>
      <c r="D111" s="585">
        <v>0.8</v>
      </c>
      <c r="E111" s="585">
        <v>0.8</v>
      </c>
      <c r="F111" s="348" t="s">
        <v>1656</v>
      </c>
      <c r="G111" s="202"/>
      <c r="H111" s="202"/>
      <c r="I111" s="202"/>
      <c r="J111" s="7"/>
      <c r="K111" s="7"/>
      <c r="L111" s="7"/>
      <c r="M111" s="7"/>
      <c r="N111" s="35" t="s">
        <v>17340</v>
      </c>
      <c r="O111" s="109">
        <v>9363.0</v>
      </c>
      <c r="P111" s="589">
        <v>0.07</v>
      </c>
      <c r="Q111" s="592"/>
      <c r="R111" s="35"/>
      <c r="S111" s="7"/>
    </row>
    <row r="112">
      <c r="A112" s="25" t="s">
        <v>17341</v>
      </c>
      <c r="B112" s="37">
        <v>7492.0</v>
      </c>
      <c r="C112" s="25" t="s">
        <v>17238</v>
      </c>
      <c r="D112" s="585">
        <v>0.8</v>
      </c>
      <c r="E112" s="585">
        <v>0.8</v>
      </c>
      <c r="F112" s="348" t="s">
        <v>1656</v>
      </c>
      <c r="G112" s="202"/>
      <c r="H112" s="202"/>
      <c r="I112" s="202"/>
      <c r="J112" s="7"/>
      <c r="K112" s="7"/>
      <c r="L112" s="7"/>
      <c r="M112" s="7"/>
      <c r="N112" s="13" t="s">
        <v>17319</v>
      </c>
      <c r="O112" s="586">
        <v>6924.0</v>
      </c>
      <c r="P112" s="587">
        <v>0.07</v>
      </c>
      <c r="Q112" s="588"/>
      <c r="S112" s="7"/>
    </row>
    <row r="113">
      <c r="A113" s="25" t="s">
        <v>17342</v>
      </c>
      <c r="B113" s="37">
        <v>8161.0</v>
      </c>
      <c r="C113" s="584">
        <v>0.07</v>
      </c>
      <c r="D113" s="585">
        <v>0.75</v>
      </c>
      <c r="E113" s="585">
        <v>0.75</v>
      </c>
      <c r="F113" s="348" t="s">
        <v>1656</v>
      </c>
      <c r="G113" s="202"/>
      <c r="H113" s="202"/>
      <c r="I113" s="202"/>
      <c r="J113" s="7"/>
      <c r="K113" s="7"/>
      <c r="L113" s="7"/>
      <c r="M113" s="7"/>
      <c r="N113" s="35" t="s">
        <v>17342</v>
      </c>
      <c r="O113" s="109">
        <v>8161.0</v>
      </c>
      <c r="P113" s="589">
        <v>0.07</v>
      </c>
      <c r="Q113" s="590"/>
      <c r="R113" s="36"/>
      <c r="S113" s="7"/>
    </row>
    <row r="114">
      <c r="A114" s="25" t="s">
        <v>7331</v>
      </c>
      <c r="B114" s="37">
        <v>8524.0</v>
      </c>
      <c r="C114" s="25" t="s">
        <v>17238</v>
      </c>
      <c r="D114" s="585">
        <v>0.75</v>
      </c>
      <c r="E114" s="585">
        <v>0.75</v>
      </c>
      <c r="F114" s="348" t="s">
        <v>1656</v>
      </c>
      <c r="G114" s="202"/>
      <c r="H114" s="202"/>
      <c r="I114" s="202"/>
      <c r="J114" s="7"/>
      <c r="K114" s="7"/>
      <c r="L114" s="7"/>
      <c r="M114" s="7"/>
      <c r="N114" s="35" t="s">
        <v>7331</v>
      </c>
      <c r="O114" s="35">
        <v>8524.0</v>
      </c>
      <c r="P114" s="36"/>
      <c r="Q114" s="592"/>
      <c r="R114" s="36"/>
      <c r="S114" s="7"/>
    </row>
    <row r="115">
      <c r="A115" s="25" t="s">
        <v>4861</v>
      </c>
      <c r="B115" s="37"/>
      <c r="C115" s="25" t="s">
        <v>17238</v>
      </c>
      <c r="D115" s="585">
        <v>0.75</v>
      </c>
      <c r="E115" s="585">
        <v>0.75</v>
      </c>
      <c r="F115" s="348" t="s">
        <v>1656</v>
      </c>
      <c r="G115" s="202"/>
      <c r="H115" s="202"/>
      <c r="I115" s="202"/>
      <c r="J115" s="7"/>
      <c r="K115" s="7"/>
      <c r="L115" s="7"/>
      <c r="M115" s="7"/>
      <c r="N115" s="35" t="s">
        <v>4861</v>
      </c>
      <c r="O115" s="35">
        <v>7492.0</v>
      </c>
      <c r="P115" s="36"/>
      <c r="Q115" s="592"/>
      <c r="R115" s="36"/>
      <c r="S115" s="7"/>
    </row>
    <row r="116">
      <c r="A116" s="25" t="s">
        <v>4863</v>
      </c>
      <c r="B116" s="25">
        <v>3607.0</v>
      </c>
      <c r="C116" s="25" t="s">
        <v>17238</v>
      </c>
      <c r="D116" s="585">
        <v>0.8</v>
      </c>
      <c r="E116" s="585">
        <v>0.8</v>
      </c>
      <c r="F116" s="348" t="s">
        <v>1656</v>
      </c>
      <c r="G116" s="202"/>
      <c r="H116" s="202"/>
      <c r="I116" s="202"/>
      <c r="J116" s="7"/>
      <c r="K116" s="7"/>
      <c r="L116" s="7"/>
      <c r="M116" s="7"/>
      <c r="N116" s="35" t="s">
        <v>4863</v>
      </c>
      <c r="O116" s="35">
        <v>7492.0</v>
      </c>
      <c r="P116" s="36"/>
      <c r="Q116" s="592"/>
      <c r="R116" s="36"/>
      <c r="S116" s="7"/>
    </row>
    <row r="117">
      <c r="A117" s="25" t="s">
        <v>4864</v>
      </c>
      <c r="B117" s="25">
        <v>3607.0</v>
      </c>
      <c r="C117" s="25" t="s">
        <v>17238</v>
      </c>
      <c r="D117" s="585">
        <v>0.8</v>
      </c>
      <c r="E117" s="585">
        <v>0.8</v>
      </c>
      <c r="F117" s="348" t="s">
        <v>1656</v>
      </c>
      <c r="G117" s="202"/>
      <c r="H117" s="202"/>
      <c r="I117" s="202"/>
      <c r="J117" s="7"/>
      <c r="K117" s="7"/>
      <c r="L117" s="7"/>
      <c r="M117" s="7"/>
      <c r="N117" s="35" t="s">
        <v>4864</v>
      </c>
      <c r="O117" s="35">
        <v>7492.0</v>
      </c>
      <c r="P117" s="36"/>
      <c r="Q117" s="592"/>
      <c r="R117" s="36"/>
      <c r="S117" s="7"/>
    </row>
    <row r="118">
      <c r="A118" s="25" t="s">
        <v>4865</v>
      </c>
      <c r="B118" s="25">
        <v>3607.0</v>
      </c>
      <c r="C118" s="25" t="s">
        <v>17238</v>
      </c>
      <c r="D118" s="585">
        <v>0.8</v>
      </c>
      <c r="E118" s="585">
        <v>0.8</v>
      </c>
      <c r="F118" s="348" t="s">
        <v>1656</v>
      </c>
      <c r="G118" s="202"/>
      <c r="H118" s="202"/>
      <c r="I118" s="202"/>
      <c r="J118" s="7"/>
      <c r="K118" s="7"/>
      <c r="L118" s="7"/>
      <c r="M118" s="7"/>
      <c r="N118" s="11" t="s">
        <v>4865</v>
      </c>
      <c r="O118" s="11">
        <v>7492.0</v>
      </c>
      <c r="Q118" s="588"/>
      <c r="S118" s="7"/>
    </row>
    <row r="119">
      <c r="A119" s="25" t="s">
        <v>4866</v>
      </c>
      <c r="B119" s="25">
        <v>3607.0</v>
      </c>
      <c r="C119" s="25" t="s">
        <v>17238</v>
      </c>
      <c r="D119" s="585">
        <v>0.8</v>
      </c>
      <c r="E119" s="585">
        <v>0.8</v>
      </c>
      <c r="F119" s="348" t="s">
        <v>1656</v>
      </c>
      <c r="G119" s="202"/>
      <c r="H119" s="202"/>
      <c r="I119" s="202"/>
      <c r="J119" s="7"/>
      <c r="K119" s="7"/>
      <c r="L119" s="7"/>
      <c r="M119" s="7"/>
      <c r="N119" s="35" t="s">
        <v>4866</v>
      </c>
      <c r="O119" s="35">
        <v>7492.0</v>
      </c>
      <c r="P119" s="36"/>
      <c r="Q119" s="592"/>
      <c r="R119" s="36"/>
      <c r="S119" s="7"/>
    </row>
    <row r="120">
      <c r="A120" s="175" t="s">
        <v>4867</v>
      </c>
      <c r="B120" s="25">
        <v>6675.0</v>
      </c>
      <c r="C120" s="25" t="s">
        <v>17238</v>
      </c>
      <c r="D120" s="585">
        <v>0.9</v>
      </c>
      <c r="E120" s="585">
        <v>0.9</v>
      </c>
      <c r="F120" s="348" t="s">
        <v>1656</v>
      </c>
      <c r="G120" s="202"/>
      <c r="H120" s="202"/>
      <c r="I120" s="202"/>
      <c r="J120" s="7"/>
      <c r="K120" s="7"/>
      <c r="L120" s="7"/>
      <c r="M120" s="7"/>
      <c r="N120" s="11" t="s">
        <v>4867</v>
      </c>
      <c r="O120" s="11">
        <v>6675.0</v>
      </c>
      <c r="Q120" s="588"/>
      <c r="S120" s="7"/>
    </row>
    <row r="121">
      <c r="A121" s="175" t="s">
        <v>4868</v>
      </c>
      <c r="B121" s="25">
        <v>7083.0</v>
      </c>
      <c r="C121" s="25" t="s">
        <v>17238</v>
      </c>
      <c r="D121" s="585">
        <v>0.75</v>
      </c>
      <c r="E121" s="585">
        <v>0.75</v>
      </c>
      <c r="F121" s="348" t="s">
        <v>1656</v>
      </c>
      <c r="G121" s="202"/>
      <c r="H121" s="202"/>
      <c r="I121" s="202"/>
      <c r="J121" s="7"/>
      <c r="K121" s="7"/>
      <c r="L121" s="7"/>
      <c r="M121" s="7"/>
      <c r="N121" s="11" t="s">
        <v>4868</v>
      </c>
      <c r="O121" s="11">
        <v>7083.0</v>
      </c>
      <c r="Q121" s="588"/>
      <c r="S121" s="7"/>
    </row>
    <row r="122">
      <c r="A122" s="25" t="s">
        <v>4870</v>
      </c>
      <c r="B122" s="25">
        <v>7492.0</v>
      </c>
      <c r="C122" s="25" t="s">
        <v>17238</v>
      </c>
      <c r="D122" s="585">
        <v>0.8</v>
      </c>
      <c r="E122" s="585">
        <v>0.8</v>
      </c>
      <c r="F122" s="348" t="s">
        <v>1656</v>
      </c>
      <c r="G122" s="202"/>
      <c r="H122" s="202"/>
      <c r="I122" s="202"/>
      <c r="J122" s="7"/>
      <c r="K122" s="7"/>
      <c r="L122" s="7"/>
      <c r="M122" s="7"/>
      <c r="N122" s="11" t="s">
        <v>17329</v>
      </c>
      <c r="O122" s="11">
        <v>6671.0</v>
      </c>
      <c r="Q122" s="588"/>
      <c r="S122" s="7"/>
    </row>
    <row r="123">
      <c r="A123" s="78" t="s">
        <v>11092</v>
      </c>
      <c r="B123" s="25">
        <v>13952.0</v>
      </c>
      <c r="C123" s="11" t="s">
        <v>17343</v>
      </c>
      <c r="D123" s="585">
        <v>0.75</v>
      </c>
      <c r="E123" s="585">
        <v>0.75</v>
      </c>
      <c r="F123" s="348" t="s">
        <v>1656</v>
      </c>
      <c r="G123" s="263"/>
      <c r="H123" s="263"/>
      <c r="I123" s="263" t="s">
        <v>17344</v>
      </c>
      <c r="J123" s="7"/>
      <c r="K123" s="7"/>
      <c r="L123" s="7"/>
      <c r="M123" s="7"/>
      <c r="N123" s="11" t="s">
        <v>17334</v>
      </c>
      <c r="O123" s="11">
        <v>14292.0</v>
      </c>
      <c r="P123" s="11">
        <v>6669.0</v>
      </c>
      <c r="Q123" s="467"/>
      <c r="S123" s="7"/>
    </row>
    <row r="124">
      <c r="A124" s="175" t="s">
        <v>17345</v>
      </c>
      <c r="B124" s="25">
        <v>6143.0</v>
      </c>
      <c r="C124" s="25" t="s">
        <v>17238</v>
      </c>
      <c r="D124" s="585">
        <v>0.8</v>
      </c>
      <c r="E124" s="585">
        <v>0.8</v>
      </c>
      <c r="F124" s="348" t="s">
        <v>1656</v>
      </c>
      <c r="G124" s="78"/>
      <c r="H124" s="78"/>
      <c r="I124" s="78"/>
      <c r="J124" s="7"/>
      <c r="K124" s="7"/>
      <c r="L124" s="7"/>
      <c r="M124" s="7"/>
      <c r="N124" s="11" t="s">
        <v>17345</v>
      </c>
      <c r="O124" s="11">
        <v>6143.0</v>
      </c>
      <c r="Q124" s="588"/>
      <c r="S124" s="7"/>
    </row>
    <row r="125">
      <c r="A125" s="78" t="s">
        <v>17346</v>
      </c>
      <c r="B125" s="25">
        <v>3607.0</v>
      </c>
      <c r="C125" s="11" t="s">
        <v>17343</v>
      </c>
      <c r="D125" s="585">
        <v>0.8</v>
      </c>
      <c r="E125" s="585">
        <v>0.8</v>
      </c>
      <c r="F125" s="348" t="s">
        <v>1656</v>
      </c>
      <c r="G125" s="263"/>
      <c r="H125" s="263"/>
      <c r="I125" s="263" t="s">
        <v>17344</v>
      </c>
      <c r="J125" s="7"/>
      <c r="K125" s="7"/>
      <c r="L125" s="7"/>
      <c r="M125" s="7"/>
      <c r="N125" s="11" t="s">
        <v>17341</v>
      </c>
      <c r="O125" s="11">
        <v>7492.0</v>
      </c>
      <c r="Q125" s="588"/>
      <c r="S125" s="7"/>
    </row>
    <row r="126">
      <c r="A126" s="25" t="s">
        <v>17347</v>
      </c>
      <c r="B126" s="25">
        <v>6779.0</v>
      </c>
      <c r="C126" s="25" t="s">
        <v>17238</v>
      </c>
      <c r="D126" s="585">
        <v>0.75</v>
      </c>
      <c r="E126" s="585">
        <v>0.75</v>
      </c>
      <c r="F126" s="348" t="s">
        <v>1656</v>
      </c>
      <c r="G126" s="78"/>
      <c r="H126" s="78"/>
      <c r="I126" s="78"/>
      <c r="J126" s="7"/>
      <c r="K126" s="7"/>
      <c r="L126" s="7"/>
      <c r="M126" s="7"/>
      <c r="N126" s="35" t="s">
        <v>17347</v>
      </c>
      <c r="O126" s="35">
        <v>7492.0</v>
      </c>
      <c r="P126" s="36"/>
      <c r="Q126" s="592"/>
      <c r="R126" s="36"/>
      <c r="S126" s="7"/>
    </row>
    <row r="127">
      <c r="A127" s="25" t="s">
        <v>4869</v>
      </c>
      <c r="B127" s="37">
        <v>12932.0</v>
      </c>
      <c r="C127" s="25" t="s">
        <v>17238</v>
      </c>
      <c r="D127" s="585">
        <v>0.75</v>
      </c>
      <c r="E127" s="585">
        <v>0.75</v>
      </c>
      <c r="F127" s="348" t="s">
        <v>1656</v>
      </c>
      <c r="G127" s="78"/>
      <c r="H127" s="78"/>
      <c r="I127" s="78"/>
      <c r="J127" s="7"/>
      <c r="K127" s="7"/>
      <c r="L127" s="7"/>
      <c r="M127" s="7"/>
      <c r="N127" s="35" t="s">
        <v>4869</v>
      </c>
      <c r="O127" s="35">
        <v>7492.0</v>
      </c>
      <c r="P127" s="36"/>
      <c r="Q127" s="592"/>
      <c r="R127" s="36"/>
      <c r="S127" s="7"/>
    </row>
    <row r="128">
      <c r="A128" s="78" t="s">
        <v>25</v>
      </c>
      <c r="B128" s="25">
        <v>7227.0</v>
      </c>
      <c r="C128" s="11" t="s">
        <v>17343</v>
      </c>
      <c r="D128" s="585">
        <v>0.8</v>
      </c>
      <c r="E128" s="585">
        <v>0.8</v>
      </c>
      <c r="F128" s="348" t="s">
        <v>1656</v>
      </c>
      <c r="G128" s="263"/>
      <c r="H128" s="263"/>
      <c r="I128" s="263" t="s">
        <v>17344</v>
      </c>
      <c r="J128" s="7"/>
      <c r="K128" s="7"/>
      <c r="L128" s="7"/>
      <c r="M128" s="7"/>
      <c r="N128" s="11" t="s">
        <v>4870</v>
      </c>
      <c r="O128" s="11">
        <v>7492.0</v>
      </c>
      <c r="Q128" s="467"/>
      <c r="S128" s="7"/>
    </row>
    <row r="129">
      <c r="A129" s="25" t="s">
        <v>4871</v>
      </c>
      <c r="B129" s="25">
        <v>14478.0</v>
      </c>
      <c r="C129" s="25" t="s">
        <v>17238</v>
      </c>
      <c r="D129" s="585">
        <v>0.75</v>
      </c>
      <c r="E129" s="585">
        <v>0.75</v>
      </c>
      <c r="F129" s="348" t="s">
        <v>1656</v>
      </c>
      <c r="G129" s="202"/>
      <c r="H129" s="202"/>
      <c r="I129" s="202"/>
      <c r="J129" s="7"/>
      <c r="K129" s="7"/>
      <c r="L129" s="7"/>
      <c r="M129" s="7"/>
      <c r="N129" s="11" t="s">
        <v>4871</v>
      </c>
      <c r="O129" s="11">
        <v>7492.0</v>
      </c>
      <c r="Q129" s="588"/>
      <c r="S129" s="7"/>
    </row>
    <row r="130">
      <c r="A130" s="25" t="s">
        <v>4872</v>
      </c>
      <c r="B130" s="25">
        <v>2345.0</v>
      </c>
      <c r="C130" s="25" t="s">
        <v>17238</v>
      </c>
      <c r="D130" s="585">
        <v>0.9</v>
      </c>
      <c r="E130" s="585">
        <v>0.9</v>
      </c>
      <c r="F130" s="348" t="s">
        <v>1656</v>
      </c>
      <c r="G130" s="202"/>
      <c r="H130" s="202"/>
      <c r="I130" s="202"/>
      <c r="J130" s="7"/>
      <c r="K130" s="7"/>
      <c r="L130" s="7"/>
      <c r="M130" s="7"/>
      <c r="N130" s="35" t="s">
        <v>4872</v>
      </c>
      <c r="O130" s="35">
        <v>7492.0</v>
      </c>
      <c r="P130" s="36"/>
      <c r="Q130" s="592"/>
      <c r="R130" s="36"/>
      <c r="S130" s="7"/>
    </row>
    <row r="131">
      <c r="A131" s="25" t="s">
        <v>4873</v>
      </c>
      <c r="B131" s="25">
        <v>7157.0</v>
      </c>
      <c r="C131" s="25" t="s">
        <v>17238</v>
      </c>
      <c r="D131" s="585">
        <v>0.75</v>
      </c>
      <c r="E131" s="585">
        <v>0.75</v>
      </c>
      <c r="F131" s="348" t="s">
        <v>1656</v>
      </c>
      <c r="G131" s="202"/>
      <c r="H131" s="202"/>
      <c r="I131" s="202"/>
      <c r="J131" s="7"/>
      <c r="K131" s="7"/>
      <c r="L131" s="7"/>
      <c r="M131" s="7"/>
      <c r="N131" s="35" t="s">
        <v>4873</v>
      </c>
      <c r="O131" s="35">
        <v>7492.0</v>
      </c>
      <c r="P131" s="36"/>
      <c r="Q131" s="592"/>
      <c r="R131" s="36"/>
      <c r="S131" s="7"/>
    </row>
    <row r="132">
      <c r="A132" s="25" t="s">
        <v>4874</v>
      </c>
      <c r="B132" s="37">
        <v>11708.0</v>
      </c>
      <c r="C132" s="25" t="s">
        <v>17238</v>
      </c>
      <c r="D132" s="585">
        <v>0.75</v>
      </c>
      <c r="E132" s="585">
        <v>0.75</v>
      </c>
      <c r="F132" s="348" t="s">
        <v>1656</v>
      </c>
      <c r="G132" s="202"/>
      <c r="H132" s="202"/>
      <c r="I132" s="202"/>
      <c r="J132" s="7"/>
      <c r="K132" s="7"/>
      <c r="L132" s="7"/>
      <c r="M132" s="7"/>
      <c r="N132" s="35" t="s">
        <v>4874</v>
      </c>
      <c r="O132" s="35">
        <v>7492.0</v>
      </c>
      <c r="P132" s="36"/>
      <c r="Q132" s="592"/>
      <c r="R132" s="36"/>
      <c r="S132" s="7"/>
    </row>
    <row r="133">
      <c r="A133" s="25" t="s">
        <v>4875</v>
      </c>
      <c r="B133" s="37">
        <v>6875.0</v>
      </c>
      <c r="C133" s="25" t="s">
        <v>17238</v>
      </c>
      <c r="D133" s="585">
        <v>0.75</v>
      </c>
      <c r="E133" s="585">
        <v>0.75</v>
      </c>
      <c r="F133" s="348" t="s">
        <v>1656</v>
      </c>
      <c r="G133" s="202"/>
      <c r="H133" s="202"/>
      <c r="I133" s="202"/>
      <c r="J133" s="7"/>
      <c r="K133" s="7"/>
      <c r="L133" s="7"/>
      <c r="M133" s="7"/>
      <c r="N133" s="35" t="s">
        <v>4875</v>
      </c>
      <c r="O133" s="35">
        <v>9701.0</v>
      </c>
      <c r="P133" s="36"/>
      <c r="Q133" s="590"/>
      <c r="R133" s="36"/>
      <c r="S133" s="7"/>
    </row>
    <row r="134">
      <c r="A134" s="175" t="s">
        <v>4876</v>
      </c>
      <c r="B134" s="25">
        <v>3607.0</v>
      </c>
      <c r="C134" s="25" t="s">
        <v>17238</v>
      </c>
      <c r="D134" s="585">
        <v>0.8</v>
      </c>
      <c r="E134" s="585">
        <v>0.8</v>
      </c>
      <c r="F134" s="348" t="s">
        <v>1656</v>
      </c>
      <c r="G134" s="202"/>
      <c r="H134" s="202"/>
      <c r="I134" s="202"/>
      <c r="J134" s="7"/>
      <c r="K134" s="7"/>
      <c r="L134" s="7"/>
      <c r="M134" s="7"/>
      <c r="N134" s="11" t="s">
        <v>4876</v>
      </c>
      <c r="O134" s="11">
        <v>3607.0</v>
      </c>
      <c r="P134" s="11">
        <v>8002.0</v>
      </c>
      <c r="Q134" s="588"/>
      <c r="S134" s="7"/>
    </row>
    <row r="135">
      <c r="A135" s="175" t="s">
        <v>4877</v>
      </c>
      <c r="B135" s="25">
        <v>3607.0</v>
      </c>
      <c r="C135" s="25" t="s">
        <v>17238</v>
      </c>
      <c r="D135" s="585">
        <v>0.8</v>
      </c>
      <c r="E135" s="585">
        <v>0.8</v>
      </c>
      <c r="F135" s="348" t="s">
        <v>1656</v>
      </c>
      <c r="G135" s="202"/>
      <c r="H135" s="202"/>
      <c r="I135" s="202"/>
      <c r="J135" s="7"/>
      <c r="K135" s="7"/>
      <c r="L135" s="7"/>
      <c r="M135" s="7"/>
      <c r="N135" s="11" t="s">
        <v>4877</v>
      </c>
      <c r="O135" s="11">
        <v>3607.0</v>
      </c>
      <c r="P135" s="11">
        <v>8002.0</v>
      </c>
      <c r="Q135" s="467"/>
      <c r="S135" s="7"/>
    </row>
    <row r="136">
      <c r="A136" s="25" t="s">
        <v>2030</v>
      </c>
      <c r="B136" s="254">
        <v>12078.0</v>
      </c>
      <c r="C136" s="25" t="s">
        <v>17238</v>
      </c>
      <c r="D136" s="585">
        <v>0.75</v>
      </c>
      <c r="E136" s="585">
        <v>0.75</v>
      </c>
      <c r="F136" s="348" t="s">
        <v>1656</v>
      </c>
      <c r="G136" s="202"/>
      <c r="H136" s="202"/>
      <c r="I136" s="202"/>
      <c r="J136" s="7"/>
      <c r="K136" s="7"/>
      <c r="L136" s="7"/>
      <c r="M136" s="7"/>
      <c r="N136" s="35" t="s">
        <v>2030</v>
      </c>
      <c r="O136" s="127">
        <v>12078.0</v>
      </c>
      <c r="P136" s="36"/>
      <c r="Q136" s="592"/>
      <c r="R136" s="36"/>
      <c r="S136" s="7"/>
    </row>
    <row r="137">
      <c r="A137" s="25" t="s">
        <v>2011</v>
      </c>
      <c r="B137" s="25">
        <v>3689.0</v>
      </c>
      <c r="C137" s="25" t="s">
        <v>17238</v>
      </c>
      <c r="D137" s="585">
        <v>0.75</v>
      </c>
      <c r="E137" s="585">
        <v>0.75</v>
      </c>
      <c r="F137" s="348" t="s">
        <v>1656</v>
      </c>
      <c r="G137" s="202"/>
      <c r="H137" s="202"/>
      <c r="I137" s="202"/>
      <c r="J137" s="7"/>
      <c r="K137" s="7"/>
      <c r="L137" s="7"/>
      <c r="M137" s="7"/>
      <c r="N137" s="35" t="s">
        <v>2011</v>
      </c>
      <c r="O137" s="35">
        <v>3689.0</v>
      </c>
      <c r="P137" s="36"/>
      <c r="Q137" s="592"/>
      <c r="R137" s="36"/>
      <c r="S137" s="7"/>
    </row>
    <row r="138">
      <c r="A138" s="606" t="s">
        <v>17348</v>
      </c>
      <c r="B138" s="607">
        <v>14337.0</v>
      </c>
      <c r="C138" s="11" t="s">
        <v>17343</v>
      </c>
      <c r="D138" s="585">
        <v>0.75</v>
      </c>
      <c r="E138" s="585">
        <v>0.75</v>
      </c>
      <c r="F138" s="348" t="s">
        <v>1656</v>
      </c>
      <c r="G138" s="263"/>
      <c r="H138" s="263"/>
      <c r="I138" s="263" t="s">
        <v>17344</v>
      </c>
      <c r="J138" s="7"/>
      <c r="K138" s="7"/>
      <c r="L138" s="7"/>
      <c r="M138" s="7"/>
      <c r="N138" s="376" t="s">
        <v>17348</v>
      </c>
      <c r="O138" s="98">
        <v>14337.0</v>
      </c>
      <c r="P138" s="608" t="s">
        <v>17344</v>
      </c>
      <c r="Q138" s="36"/>
      <c r="R138" s="36"/>
      <c r="S138" s="7"/>
    </row>
    <row r="139">
      <c r="A139" s="606" t="s">
        <v>17349</v>
      </c>
      <c r="B139" s="607">
        <v>8486.0</v>
      </c>
      <c r="C139" s="11" t="s">
        <v>17343</v>
      </c>
      <c r="D139" s="585">
        <v>0.8</v>
      </c>
      <c r="E139" s="585">
        <v>0.8</v>
      </c>
      <c r="F139" s="348" t="s">
        <v>1656</v>
      </c>
      <c r="G139" s="263"/>
      <c r="H139" s="263"/>
      <c r="I139" s="263" t="s">
        <v>17344</v>
      </c>
      <c r="J139" s="7"/>
      <c r="K139" s="7"/>
      <c r="L139" s="7"/>
      <c r="M139" s="7"/>
      <c r="N139" s="317" t="s">
        <v>11092</v>
      </c>
      <c r="O139" s="97">
        <v>13952.0</v>
      </c>
      <c r="P139" s="609" t="s">
        <v>17344</v>
      </c>
      <c r="Q139" s="11">
        <v>189.0</v>
      </c>
      <c r="S139" s="7"/>
    </row>
    <row r="140">
      <c r="A140" s="610" t="s">
        <v>18</v>
      </c>
      <c r="B140" s="606">
        <v>6729.0</v>
      </c>
      <c r="C140" s="11" t="s">
        <v>17343</v>
      </c>
      <c r="D140" s="600">
        <v>0.85</v>
      </c>
      <c r="E140" s="600">
        <v>0.85</v>
      </c>
      <c r="F140" s="348" t="s">
        <v>1656</v>
      </c>
      <c r="G140" s="263"/>
      <c r="H140" s="263"/>
      <c r="I140" s="263" t="s">
        <v>17344</v>
      </c>
      <c r="J140" s="7"/>
      <c r="K140" s="7"/>
      <c r="L140" s="7"/>
      <c r="M140" s="7"/>
      <c r="N140" s="317" t="s">
        <v>18</v>
      </c>
      <c r="O140" s="317">
        <v>6729.0</v>
      </c>
      <c r="P140" s="609" t="s">
        <v>17344</v>
      </c>
      <c r="S140" s="7"/>
    </row>
    <row r="141">
      <c r="A141" s="606" t="s">
        <v>17350</v>
      </c>
      <c r="B141" s="607">
        <v>14033.0</v>
      </c>
      <c r="C141" s="11" t="s">
        <v>17343</v>
      </c>
      <c r="D141" s="585">
        <v>0.75</v>
      </c>
      <c r="E141" s="585">
        <v>0.75</v>
      </c>
      <c r="F141" s="348" t="s">
        <v>1656</v>
      </c>
      <c r="G141" s="263"/>
      <c r="H141" s="263"/>
      <c r="I141" s="263" t="s">
        <v>17344</v>
      </c>
      <c r="J141" s="7"/>
      <c r="K141" s="7"/>
      <c r="L141" s="7"/>
      <c r="M141" s="7"/>
      <c r="N141" s="376" t="s">
        <v>17346</v>
      </c>
      <c r="O141" s="98">
        <v>3607.0</v>
      </c>
      <c r="P141" s="608" t="s">
        <v>17344</v>
      </c>
      <c r="Q141" s="36"/>
      <c r="R141" s="36"/>
      <c r="S141" s="7"/>
    </row>
    <row r="142">
      <c r="A142" s="611" t="s">
        <v>17351</v>
      </c>
      <c r="B142" s="611">
        <v>6143.0</v>
      </c>
      <c r="C142" s="25" t="s">
        <v>17238</v>
      </c>
      <c r="D142" s="585">
        <v>0.8</v>
      </c>
      <c r="E142" s="585">
        <v>0.8</v>
      </c>
      <c r="F142" s="348" t="s">
        <v>1656</v>
      </c>
      <c r="G142" s="78"/>
      <c r="H142" s="78"/>
      <c r="I142" s="78"/>
      <c r="J142" s="7"/>
      <c r="K142" s="7"/>
      <c r="L142" s="7"/>
      <c r="M142" s="7"/>
      <c r="N142" s="317" t="s">
        <v>25</v>
      </c>
      <c r="O142" s="97">
        <v>7227.0</v>
      </c>
      <c r="P142" s="609" t="s">
        <v>17344</v>
      </c>
      <c r="S142" s="7"/>
    </row>
    <row r="143">
      <c r="A143" s="606" t="s">
        <v>17352</v>
      </c>
      <c r="B143" s="607">
        <v>7227.0</v>
      </c>
      <c r="C143" s="11" t="s">
        <v>17343</v>
      </c>
      <c r="D143" s="585">
        <v>0.8</v>
      </c>
      <c r="E143" s="585">
        <v>0.8</v>
      </c>
      <c r="F143" s="348" t="s">
        <v>1656</v>
      </c>
      <c r="G143" s="263"/>
      <c r="H143" s="263"/>
      <c r="I143" s="263" t="s">
        <v>17344</v>
      </c>
      <c r="J143" s="7"/>
      <c r="K143" s="7"/>
      <c r="L143" s="7"/>
      <c r="M143" s="7"/>
      <c r="N143" s="376" t="s">
        <v>17352</v>
      </c>
      <c r="O143" s="98">
        <v>7227.0</v>
      </c>
      <c r="P143" s="608" t="s">
        <v>17344</v>
      </c>
      <c r="Q143" s="36"/>
      <c r="R143" s="36"/>
      <c r="S143" s="7"/>
    </row>
    <row r="144">
      <c r="A144" s="611" t="s">
        <v>17353</v>
      </c>
      <c r="B144" s="611">
        <v>3607.0</v>
      </c>
      <c r="C144" s="25" t="s">
        <v>17238</v>
      </c>
      <c r="D144" s="585">
        <v>0.8</v>
      </c>
      <c r="E144" s="585">
        <v>0.8</v>
      </c>
      <c r="F144" s="348" t="s">
        <v>1656</v>
      </c>
      <c r="G144" s="612"/>
      <c r="H144" s="612"/>
      <c r="I144" s="612" t="s">
        <v>17354</v>
      </c>
      <c r="J144" s="7"/>
      <c r="K144" s="7"/>
      <c r="L144" s="7"/>
      <c r="M144" s="7"/>
      <c r="N144" s="317" t="s">
        <v>17349</v>
      </c>
      <c r="O144" s="97">
        <v>8486.0</v>
      </c>
      <c r="P144" s="609" t="s">
        <v>17344</v>
      </c>
      <c r="S144" s="7"/>
    </row>
    <row r="145">
      <c r="A145" s="610" t="s">
        <v>17355</v>
      </c>
      <c r="B145" s="607">
        <v>8486.0</v>
      </c>
      <c r="C145" s="11" t="s">
        <v>17343</v>
      </c>
      <c r="D145" s="585">
        <v>0.8</v>
      </c>
      <c r="E145" s="585">
        <v>0.8</v>
      </c>
      <c r="F145" s="348" t="s">
        <v>1656</v>
      </c>
      <c r="G145" s="263"/>
      <c r="H145" s="263"/>
      <c r="I145" s="263" t="s">
        <v>17344</v>
      </c>
      <c r="J145" s="7"/>
      <c r="K145" s="7"/>
      <c r="L145" s="7"/>
      <c r="M145" s="7"/>
      <c r="N145" s="317" t="s">
        <v>17355</v>
      </c>
      <c r="O145" s="97">
        <v>8486.0</v>
      </c>
      <c r="P145" s="609" t="s">
        <v>17344</v>
      </c>
      <c r="S145" s="7"/>
    </row>
    <row r="146">
      <c r="A146" s="611" t="s">
        <v>3951</v>
      </c>
      <c r="B146" s="409">
        <v>7227.0</v>
      </c>
      <c r="C146" s="25" t="s">
        <v>17238</v>
      </c>
      <c r="D146" s="585">
        <v>0.8</v>
      </c>
      <c r="E146" s="585">
        <v>0.8</v>
      </c>
      <c r="F146" s="348" t="s">
        <v>1656</v>
      </c>
      <c r="G146" s="613"/>
      <c r="H146" s="613"/>
      <c r="I146" s="613" t="s">
        <v>17356</v>
      </c>
      <c r="J146" s="7"/>
      <c r="K146" s="7"/>
      <c r="L146" s="7"/>
      <c r="M146" s="7"/>
      <c r="N146" s="317" t="s">
        <v>17350</v>
      </c>
      <c r="O146" s="97">
        <v>14033.0</v>
      </c>
      <c r="P146" s="609" t="s">
        <v>17344</v>
      </c>
      <c r="S146" s="7"/>
    </row>
    <row r="147">
      <c r="A147" s="606" t="s">
        <v>17357</v>
      </c>
      <c r="B147" s="607">
        <v>14033.0</v>
      </c>
      <c r="C147" s="11" t="s">
        <v>17343</v>
      </c>
      <c r="D147" s="585">
        <v>0.75</v>
      </c>
      <c r="E147" s="585">
        <v>0.75</v>
      </c>
      <c r="F147" s="348" t="s">
        <v>1656</v>
      </c>
      <c r="G147" s="263"/>
      <c r="H147" s="263"/>
      <c r="I147" s="263" t="s">
        <v>17344</v>
      </c>
      <c r="J147" s="7"/>
      <c r="K147" s="7"/>
      <c r="L147" s="7"/>
      <c r="M147" s="7"/>
      <c r="N147" s="376" t="s">
        <v>17357</v>
      </c>
      <c r="O147" s="98">
        <v>14033.0</v>
      </c>
      <c r="P147" s="608" t="s">
        <v>17344</v>
      </c>
      <c r="Q147" s="36"/>
      <c r="R147" s="36"/>
      <c r="S147" s="7"/>
    </row>
    <row r="148">
      <c r="A148" s="398" t="s">
        <v>15399</v>
      </c>
      <c r="B148" s="607">
        <v>6675.0</v>
      </c>
      <c r="C148" s="11" t="s">
        <v>17343</v>
      </c>
      <c r="D148" s="585">
        <v>0.9</v>
      </c>
      <c r="E148" s="585">
        <v>0.9</v>
      </c>
      <c r="F148" s="348" t="s">
        <v>1656</v>
      </c>
      <c r="G148" s="263"/>
      <c r="H148" s="263"/>
      <c r="I148" s="263" t="s">
        <v>17344</v>
      </c>
      <c r="J148" s="7"/>
      <c r="K148" s="7"/>
      <c r="L148" s="7"/>
      <c r="M148" s="7"/>
      <c r="N148" s="614" t="s">
        <v>15399</v>
      </c>
      <c r="O148" s="614">
        <v>6675.0</v>
      </c>
      <c r="P148" s="609" t="s">
        <v>17344</v>
      </c>
      <c r="Q148" s="11" t="s">
        <v>17358</v>
      </c>
      <c r="S148" s="7"/>
    </row>
    <row r="149">
      <c r="A149" s="398" t="s">
        <v>17359</v>
      </c>
      <c r="B149" s="607">
        <v>6706.0</v>
      </c>
      <c r="C149" s="25" t="s">
        <v>17238</v>
      </c>
      <c r="D149" s="585">
        <v>0.75</v>
      </c>
      <c r="E149" s="585">
        <v>0.75</v>
      </c>
      <c r="F149" s="348" t="s">
        <v>1656</v>
      </c>
      <c r="G149" s="78"/>
      <c r="H149" s="78"/>
      <c r="I149" s="615"/>
      <c r="J149" s="7"/>
      <c r="K149" s="7"/>
      <c r="L149" s="7"/>
      <c r="M149" s="7"/>
      <c r="N149" s="97" t="s">
        <v>17359</v>
      </c>
      <c r="O149" s="97">
        <v>6706.0</v>
      </c>
      <c r="P149" s="317"/>
      <c r="S149" s="7"/>
    </row>
    <row r="150">
      <c r="A150" s="101" t="s">
        <v>17360</v>
      </c>
      <c r="B150" s="101">
        <v>6143.0</v>
      </c>
      <c r="C150" s="25" t="s">
        <v>17238</v>
      </c>
      <c r="D150" s="585">
        <v>0.8</v>
      </c>
      <c r="E150" s="585">
        <v>0.8</v>
      </c>
      <c r="F150" s="348" t="s">
        <v>1656</v>
      </c>
      <c r="G150" s="78"/>
      <c r="H150" s="78"/>
      <c r="I150" s="78"/>
      <c r="J150" s="7"/>
      <c r="K150" s="7"/>
      <c r="L150" s="7"/>
      <c r="M150" s="7"/>
      <c r="N150" s="144" t="s">
        <v>17360</v>
      </c>
      <c r="O150" s="144">
        <v>6143.0</v>
      </c>
      <c r="P150" s="36"/>
      <c r="Q150" s="36"/>
      <c r="R150" s="36"/>
      <c r="S150" s="7"/>
    </row>
    <row r="151">
      <c r="A151" s="106" t="s">
        <v>17278</v>
      </c>
      <c r="B151" s="25" t="s">
        <v>6157</v>
      </c>
      <c r="C151" s="25" t="s">
        <v>17238</v>
      </c>
      <c r="D151" s="585">
        <v>0.75</v>
      </c>
      <c r="E151" s="585">
        <v>0.75</v>
      </c>
      <c r="F151" s="348" t="s">
        <v>1656</v>
      </c>
      <c r="G151" s="25"/>
      <c r="H151" s="25"/>
      <c r="I151" s="25">
        <v>2345.0</v>
      </c>
      <c r="J151" s="7"/>
      <c r="K151" s="7"/>
      <c r="L151" s="7"/>
      <c r="M151" s="7"/>
      <c r="N151" s="144" t="s">
        <v>17351</v>
      </c>
      <c r="O151" s="144">
        <v>6143.0</v>
      </c>
      <c r="P151" s="36"/>
      <c r="Q151" s="36"/>
      <c r="R151" s="36"/>
      <c r="S151" s="7"/>
    </row>
    <row r="152">
      <c r="A152" s="106" t="s">
        <v>17280</v>
      </c>
      <c r="B152" s="25" t="s">
        <v>6157</v>
      </c>
      <c r="C152" s="25" t="s">
        <v>17238</v>
      </c>
      <c r="D152" s="585">
        <v>0.75</v>
      </c>
      <c r="E152" s="585">
        <v>0.75</v>
      </c>
      <c r="F152" s="348" t="s">
        <v>1656</v>
      </c>
      <c r="G152" s="25"/>
      <c r="H152" s="25"/>
      <c r="I152" s="616">
        <v>7142.0</v>
      </c>
      <c r="J152" s="7"/>
      <c r="K152" s="7"/>
      <c r="L152" s="7"/>
      <c r="M152" s="7"/>
      <c r="N152" s="144" t="s">
        <v>17353</v>
      </c>
      <c r="O152" s="144">
        <v>3607.0</v>
      </c>
      <c r="P152" s="617" t="s">
        <v>17354</v>
      </c>
      <c r="Q152" s="36"/>
      <c r="R152" s="36"/>
      <c r="S152" s="7"/>
    </row>
    <row r="153">
      <c r="A153" s="101" t="s">
        <v>17361</v>
      </c>
      <c r="B153" s="101">
        <v>3607.0</v>
      </c>
      <c r="C153" s="25" t="s">
        <v>17238</v>
      </c>
      <c r="D153" s="585">
        <v>0.8</v>
      </c>
      <c r="E153" s="585">
        <v>0.8</v>
      </c>
      <c r="F153" s="348" t="s">
        <v>1656</v>
      </c>
      <c r="G153" s="612"/>
      <c r="H153" s="612"/>
      <c r="I153" s="618" t="s">
        <v>17362</v>
      </c>
      <c r="J153" s="7"/>
      <c r="K153" s="7"/>
      <c r="L153" s="7"/>
      <c r="M153" s="7"/>
      <c r="N153" s="144" t="s">
        <v>17361</v>
      </c>
      <c r="O153" s="144">
        <v>3607.0</v>
      </c>
      <c r="P153" s="617" t="s">
        <v>17362</v>
      </c>
      <c r="Q153" s="36"/>
      <c r="R153" s="36"/>
      <c r="S153" s="7"/>
    </row>
    <row r="154">
      <c r="A154" s="457" t="s">
        <v>3949</v>
      </c>
      <c r="B154" s="101">
        <v>3607.0</v>
      </c>
      <c r="C154" s="25" t="s">
        <v>17238</v>
      </c>
      <c r="D154" s="585">
        <v>0.8</v>
      </c>
      <c r="E154" s="585">
        <v>0.8</v>
      </c>
      <c r="F154" s="348" t="s">
        <v>1656</v>
      </c>
      <c r="G154" s="612"/>
      <c r="H154" s="612"/>
      <c r="I154" s="618" t="s">
        <v>17363</v>
      </c>
      <c r="J154" s="7"/>
      <c r="K154" s="7"/>
      <c r="L154" s="7"/>
      <c r="M154" s="7"/>
      <c r="N154" s="144" t="s">
        <v>3949</v>
      </c>
      <c r="O154" s="144">
        <v>3607.0</v>
      </c>
      <c r="P154" s="617" t="s">
        <v>17363</v>
      </c>
      <c r="Q154" s="36"/>
      <c r="R154" s="36"/>
      <c r="S154" s="7"/>
    </row>
    <row r="155">
      <c r="A155" s="106" t="s">
        <v>17304</v>
      </c>
      <c r="B155" s="25" t="s">
        <v>6157</v>
      </c>
      <c r="C155" s="25" t="s">
        <v>17238</v>
      </c>
      <c r="D155" s="585">
        <v>0.75</v>
      </c>
      <c r="E155" s="585">
        <v>0.75</v>
      </c>
      <c r="F155" s="348" t="s">
        <v>1656</v>
      </c>
      <c r="G155" s="25"/>
      <c r="H155" s="25"/>
      <c r="I155" s="616">
        <v>2345.0</v>
      </c>
      <c r="J155" s="7"/>
      <c r="K155" s="7"/>
      <c r="L155" s="7"/>
      <c r="M155" s="7"/>
      <c r="N155" s="5" t="s">
        <v>3951</v>
      </c>
      <c r="O155" s="195">
        <v>7227.0</v>
      </c>
      <c r="P155" s="619" t="s">
        <v>17356</v>
      </c>
      <c r="Q155" s="7"/>
      <c r="R155" s="7"/>
      <c r="S155" s="7"/>
    </row>
    <row r="156">
      <c r="A156" s="457" t="s">
        <v>17364</v>
      </c>
      <c r="B156" s="57">
        <v>8486.0</v>
      </c>
      <c r="C156" s="25" t="s">
        <v>17238</v>
      </c>
      <c r="D156" s="585">
        <v>0.8</v>
      </c>
      <c r="E156" s="585">
        <v>0.8</v>
      </c>
      <c r="F156" s="348" t="s">
        <v>1656</v>
      </c>
      <c r="G156" s="612"/>
      <c r="H156" s="612"/>
      <c r="I156" s="618" t="s">
        <v>17365</v>
      </c>
      <c r="J156" s="7"/>
      <c r="K156" s="7"/>
      <c r="L156" s="7"/>
      <c r="M156" s="7"/>
      <c r="N156" s="5" t="s">
        <v>17364</v>
      </c>
      <c r="O156" s="195">
        <v>8486.0</v>
      </c>
      <c r="P156" s="620" t="s">
        <v>17365</v>
      </c>
      <c r="Q156" s="7"/>
      <c r="R156" s="7"/>
      <c r="S156" s="7"/>
    </row>
    <row r="157">
      <c r="A157" s="175" t="s">
        <v>17366</v>
      </c>
      <c r="B157" s="25">
        <v>5566.0</v>
      </c>
      <c r="C157" s="25" t="s">
        <v>17238</v>
      </c>
      <c r="D157" s="585">
        <v>0.75</v>
      </c>
      <c r="E157" s="585">
        <v>0.75</v>
      </c>
      <c r="F157" s="348" t="s">
        <v>1656</v>
      </c>
      <c r="G157" s="202"/>
      <c r="H157" s="202"/>
      <c r="I157" s="202"/>
      <c r="J157" s="7"/>
      <c r="K157" s="7"/>
      <c r="L157" s="7"/>
      <c r="M157" s="7"/>
      <c r="N157" s="11" t="s">
        <v>17366</v>
      </c>
      <c r="O157" s="11">
        <v>5566.0</v>
      </c>
      <c r="S157" s="7"/>
    </row>
    <row r="158">
      <c r="A158" s="175" t="s">
        <v>20</v>
      </c>
      <c r="B158" s="25">
        <v>14298.0</v>
      </c>
      <c r="C158" s="25" t="s">
        <v>17238</v>
      </c>
      <c r="D158" s="585">
        <v>0.75</v>
      </c>
      <c r="E158" s="585">
        <v>0.75</v>
      </c>
      <c r="F158" s="348" t="s">
        <v>1656</v>
      </c>
      <c r="G158" s="202"/>
      <c r="H158" s="202"/>
      <c r="I158" s="202"/>
      <c r="J158" s="7"/>
      <c r="K158" s="7"/>
      <c r="L158" s="7"/>
      <c r="M158" s="7"/>
      <c r="N158" s="11" t="s">
        <v>20</v>
      </c>
      <c r="O158" s="11">
        <v>14298.0</v>
      </c>
      <c r="S158" s="7"/>
    </row>
    <row r="159">
      <c r="A159" s="5" t="s">
        <v>17367</v>
      </c>
      <c r="B159" s="51">
        <v>7519.0</v>
      </c>
      <c r="C159" s="25" t="s">
        <v>17238</v>
      </c>
      <c r="D159" s="585">
        <v>0.75</v>
      </c>
      <c r="E159" s="585">
        <v>0.75</v>
      </c>
      <c r="F159" s="348" t="s">
        <v>1656</v>
      </c>
      <c r="G159" s="195"/>
      <c r="H159" s="195"/>
      <c r="I159" s="195" t="s">
        <v>10980</v>
      </c>
      <c r="J159" s="7"/>
      <c r="K159" s="7"/>
      <c r="L159" s="7"/>
      <c r="M159" s="7"/>
      <c r="S159" s="7"/>
    </row>
    <row r="160">
      <c r="A160" s="5" t="s">
        <v>17368</v>
      </c>
      <c r="B160" s="51">
        <v>7543.0</v>
      </c>
      <c r="C160" s="25" t="s">
        <v>17238</v>
      </c>
      <c r="D160" s="585">
        <v>0.75</v>
      </c>
      <c r="E160" s="585">
        <v>0.75</v>
      </c>
      <c r="F160" s="348" t="s">
        <v>1656</v>
      </c>
      <c r="G160" s="195"/>
      <c r="H160" s="195"/>
      <c r="I160" s="195" t="s">
        <v>10980</v>
      </c>
      <c r="J160" s="7"/>
      <c r="K160" s="7"/>
      <c r="L160" s="7"/>
      <c r="M160" s="7"/>
      <c r="S160" s="7"/>
    </row>
    <row r="161">
      <c r="A161" s="5" t="s">
        <v>17369</v>
      </c>
      <c r="B161" s="51">
        <v>8163.0</v>
      </c>
      <c r="C161" s="25" t="s">
        <v>17238</v>
      </c>
      <c r="D161" s="585">
        <v>0.75</v>
      </c>
      <c r="E161" s="585">
        <v>0.75</v>
      </c>
      <c r="F161" s="348" t="s">
        <v>1656</v>
      </c>
      <c r="G161" s="195"/>
      <c r="H161" s="195"/>
      <c r="I161" s="195" t="s">
        <v>10980</v>
      </c>
      <c r="J161" s="7"/>
      <c r="K161" s="7"/>
      <c r="L161" s="7"/>
      <c r="M161" s="7"/>
      <c r="S161" s="7"/>
    </row>
    <row r="162">
      <c r="A162" s="5" t="s">
        <v>17370</v>
      </c>
      <c r="B162" s="186">
        <v>8537.0</v>
      </c>
      <c r="C162" s="25" t="s">
        <v>17238</v>
      </c>
      <c r="D162" s="585">
        <v>0.75</v>
      </c>
      <c r="E162" s="585">
        <v>0.75</v>
      </c>
      <c r="F162" s="348" t="s">
        <v>1656</v>
      </c>
      <c r="G162" s="195"/>
      <c r="H162" s="195"/>
      <c r="I162" s="195" t="s">
        <v>10980</v>
      </c>
      <c r="J162" s="7"/>
      <c r="K162" s="7"/>
      <c r="L162" s="7"/>
      <c r="M162" s="7"/>
      <c r="S162" s="7"/>
    </row>
    <row r="163">
      <c r="A163" s="5" t="s">
        <v>17371</v>
      </c>
      <c r="B163" s="51">
        <v>8531.0</v>
      </c>
      <c r="C163" s="25" t="s">
        <v>17238</v>
      </c>
      <c r="D163" s="585">
        <v>0.75</v>
      </c>
      <c r="E163" s="585">
        <v>0.75</v>
      </c>
      <c r="F163" s="348" t="s">
        <v>1656</v>
      </c>
      <c r="G163" s="195"/>
      <c r="H163" s="195"/>
      <c r="I163" s="195" t="s">
        <v>10980</v>
      </c>
      <c r="J163" s="7"/>
      <c r="K163" s="7"/>
      <c r="L163" s="7"/>
      <c r="M163" s="7"/>
      <c r="S163" s="7"/>
    </row>
    <row r="164">
      <c r="A164" s="5" t="s">
        <v>471</v>
      </c>
      <c r="B164" s="51">
        <v>7862.0</v>
      </c>
      <c r="C164" s="25" t="s">
        <v>17238</v>
      </c>
      <c r="D164" s="585">
        <v>0.75</v>
      </c>
      <c r="E164" s="585">
        <v>0.75</v>
      </c>
      <c r="F164" s="348" t="s">
        <v>1656</v>
      </c>
      <c r="G164" s="195"/>
      <c r="H164" s="195"/>
      <c r="I164" s="195" t="s">
        <v>10980</v>
      </c>
      <c r="J164" s="7"/>
      <c r="K164" s="7"/>
      <c r="L164" s="7"/>
      <c r="M164" s="7"/>
      <c r="S164" s="7"/>
    </row>
    <row r="165">
      <c r="A165" s="5" t="s">
        <v>17372</v>
      </c>
      <c r="B165" s="51">
        <v>8623.0</v>
      </c>
      <c r="C165" s="25" t="s">
        <v>17238</v>
      </c>
      <c r="D165" s="585">
        <v>0.8</v>
      </c>
      <c r="E165" s="585">
        <v>0.8</v>
      </c>
      <c r="F165" s="348" t="s">
        <v>1656</v>
      </c>
      <c r="G165" s="195"/>
      <c r="H165" s="195"/>
      <c r="I165" s="195" t="s">
        <v>10980</v>
      </c>
      <c r="J165" s="7"/>
      <c r="K165" s="7"/>
      <c r="L165" s="7"/>
      <c r="M165" s="7"/>
      <c r="S165" s="7"/>
    </row>
    <row r="166">
      <c r="A166" s="5" t="s">
        <v>17373</v>
      </c>
      <c r="B166" s="51">
        <v>9596.0</v>
      </c>
      <c r="C166" s="25" t="s">
        <v>17238</v>
      </c>
      <c r="D166" s="585">
        <v>0.75</v>
      </c>
      <c r="E166" s="585">
        <v>0.75</v>
      </c>
      <c r="F166" s="348" t="s">
        <v>1656</v>
      </c>
      <c r="G166" s="195"/>
      <c r="H166" s="195"/>
      <c r="I166" s="195" t="s">
        <v>10980</v>
      </c>
      <c r="J166" s="7"/>
      <c r="K166" s="7"/>
      <c r="L166" s="7"/>
      <c r="M166" s="7"/>
      <c r="S166" s="7"/>
    </row>
    <row r="167">
      <c r="A167" s="5" t="s">
        <v>11085</v>
      </c>
      <c r="B167" s="51">
        <v>9602.0</v>
      </c>
      <c r="C167" s="25" t="s">
        <v>17238</v>
      </c>
      <c r="D167" s="585">
        <v>0.75</v>
      </c>
      <c r="E167" s="585">
        <v>0.75</v>
      </c>
      <c r="F167" s="348" t="s">
        <v>1656</v>
      </c>
      <c r="G167" s="195"/>
      <c r="H167" s="195"/>
      <c r="I167" s="195" t="s">
        <v>10980</v>
      </c>
      <c r="J167" s="7"/>
      <c r="K167" s="7"/>
      <c r="L167" s="7"/>
      <c r="M167" s="7"/>
      <c r="S167" s="7"/>
    </row>
    <row r="168">
      <c r="A168" s="5" t="s">
        <v>17374</v>
      </c>
      <c r="B168" s="51">
        <v>13837.0</v>
      </c>
      <c r="C168" s="25" t="s">
        <v>17238</v>
      </c>
      <c r="D168" s="585">
        <v>0.75</v>
      </c>
      <c r="E168" s="585">
        <v>0.75</v>
      </c>
      <c r="F168" s="348" t="s">
        <v>1656</v>
      </c>
      <c r="G168" s="195"/>
      <c r="H168" s="195"/>
      <c r="I168" s="195" t="s">
        <v>10980</v>
      </c>
      <c r="J168" s="7"/>
      <c r="K168" s="7"/>
      <c r="L168" s="7"/>
      <c r="M168" s="7"/>
      <c r="S168" s="7"/>
    </row>
    <row r="169">
      <c r="A169" s="5" t="s">
        <v>17375</v>
      </c>
      <c r="B169" s="51">
        <v>13955.0</v>
      </c>
      <c r="C169" s="25" t="s">
        <v>17238</v>
      </c>
      <c r="D169" s="585">
        <v>0.75</v>
      </c>
      <c r="E169" s="585">
        <v>0.75</v>
      </c>
      <c r="F169" s="348" t="s">
        <v>1656</v>
      </c>
      <c r="G169" s="195"/>
      <c r="H169" s="195"/>
      <c r="I169" s="195" t="s">
        <v>10980</v>
      </c>
      <c r="J169" s="7"/>
      <c r="K169" s="7"/>
      <c r="L169" s="7"/>
      <c r="M169" s="7"/>
      <c r="S169" s="7"/>
    </row>
    <row r="170">
      <c r="A170" s="5" t="s">
        <v>17376</v>
      </c>
      <c r="B170" s="51">
        <v>11271.0</v>
      </c>
      <c r="C170" s="25" t="s">
        <v>17238</v>
      </c>
      <c r="D170" s="585">
        <v>0.75</v>
      </c>
      <c r="E170" s="585">
        <v>0.75</v>
      </c>
      <c r="F170" s="348" t="s">
        <v>1656</v>
      </c>
      <c r="G170" s="195"/>
      <c r="H170" s="195"/>
      <c r="I170" s="195" t="s">
        <v>10980</v>
      </c>
      <c r="J170" s="7"/>
      <c r="K170" s="7"/>
      <c r="L170" s="7"/>
      <c r="M170" s="7"/>
      <c r="S170" s="7"/>
    </row>
    <row r="171">
      <c r="A171" s="5" t="s">
        <v>17377</v>
      </c>
      <c r="B171" s="112">
        <v>14571.0</v>
      </c>
      <c r="C171" s="25" t="s">
        <v>17238</v>
      </c>
      <c r="D171" s="585">
        <v>0.75</v>
      </c>
      <c r="E171" s="585">
        <v>0.75</v>
      </c>
      <c r="F171" s="348" t="s">
        <v>1656</v>
      </c>
      <c r="G171" s="195"/>
      <c r="H171" s="195"/>
      <c r="I171" s="195" t="s">
        <v>10980</v>
      </c>
      <c r="J171" s="7"/>
      <c r="K171" s="7"/>
      <c r="L171" s="7"/>
      <c r="M171" s="7"/>
      <c r="S171" s="7"/>
    </row>
    <row r="172">
      <c r="A172" s="5" t="s">
        <v>3950</v>
      </c>
      <c r="B172" s="51">
        <v>9796.0</v>
      </c>
      <c r="C172" s="25" t="s">
        <v>17238</v>
      </c>
      <c r="D172" s="585">
        <v>0.75</v>
      </c>
      <c r="E172" s="585">
        <v>0.75</v>
      </c>
      <c r="F172" s="348" t="s">
        <v>1656</v>
      </c>
      <c r="G172" s="195"/>
      <c r="H172" s="195"/>
      <c r="I172" s="195" t="s">
        <v>10980</v>
      </c>
      <c r="J172" s="7"/>
      <c r="K172" s="7"/>
      <c r="L172" s="7"/>
      <c r="M172" s="7"/>
      <c r="S172" s="7"/>
    </row>
    <row r="173">
      <c r="A173" s="5" t="s">
        <v>17378</v>
      </c>
      <c r="B173" s="621">
        <v>10861.0</v>
      </c>
      <c r="C173" s="25" t="s">
        <v>17238</v>
      </c>
      <c r="D173" s="585">
        <v>0.75</v>
      </c>
      <c r="E173" s="585">
        <v>0.75</v>
      </c>
      <c r="F173" s="348" t="s">
        <v>1656</v>
      </c>
      <c r="G173" s="195"/>
      <c r="H173" s="195"/>
      <c r="I173" s="195" t="s">
        <v>10980</v>
      </c>
      <c r="J173" s="7"/>
      <c r="K173" s="7"/>
      <c r="L173" s="7"/>
      <c r="M173" s="7"/>
      <c r="S173" s="7"/>
    </row>
    <row r="174">
      <c r="A174" s="5" t="s">
        <v>3952</v>
      </c>
      <c r="B174" s="51">
        <v>12163.0</v>
      </c>
      <c r="C174" s="25" t="s">
        <v>17238</v>
      </c>
      <c r="D174" s="585">
        <v>0.75</v>
      </c>
      <c r="E174" s="585">
        <v>0.75</v>
      </c>
      <c r="F174" s="348" t="s">
        <v>1656</v>
      </c>
      <c r="G174" s="195"/>
      <c r="H174" s="195"/>
      <c r="I174" s="195" t="s">
        <v>10980</v>
      </c>
      <c r="J174" s="7"/>
      <c r="K174" s="7"/>
      <c r="L174" s="7"/>
      <c r="M174" s="7"/>
      <c r="S174" s="7"/>
    </row>
    <row r="175">
      <c r="A175" s="5" t="s">
        <v>3953</v>
      </c>
      <c r="B175" s="112">
        <v>14594.0</v>
      </c>
      <c r="C175" s="25" t="s">
        <v>17238</v>
      </c>
      <c r="D175" s="585">
        <v>0.75</v>
      </c>
      <c r="E175" s="585">
        <v>0.75</v>
      </c>
      <c r="F175" s="348" t="s">
        <v>1656</v>
      </c>
      <c r="G175" s="195"/>
      <c r="H175" s="195"/>
      <c r="I175" s="195" t="s">
        <v>10980</v>
      </c>
      <c r="J175" s="7"/>
      <c r="K175" s="7"/>
      <c r="L175" s="7"/>
      <c r="M175" s="7"/>
      <c r="S175" s="7"/>
    </row>
    <row r="176">
      <c r="A176" s="5" t="s">
        <v>11969</v>
      </c>
      <c r="B176" s="51">
        <v>11775.0</v>
      </c>
      <c r="C176" s="25" t="s">
        <v>17238</v>
      </c>
      <c r="D176" s="585">
        <v>0.75</v>
      </c>
      <c r="E176" s="585">
        <v>0.75</v>
      </c>
      <c r="F176" s="348" t="s">
        <v>1656</v>
      </c>
      <c r="G176" s="195"/>
      <c r="H176" s="195"/>
      <c r="I176" s="195" t="s">
        <v>10980</v>
      </c>
      <c r="J176" s="7"/>
      <c r="K176" s="7"/>
      <c r="L176" s="7"/>
      <c r="M176" s="7"/>
      <c r="S176" s="7"/>
    </row>
    <row r="177">
      <c r="A177" s="5" t="s">
        <v>3954</v>
      </c>
      <c r="B177" s="51">
        <v>12277.0</v>
      </c>
      <c r="C177" s="25" t="s">
        <v>17238</v>
      </c>
      <c r="D177" s="585">
        <v>0.75</v>
      </c>
      <c r="E177" s="585">
        <v>0.75</v>
      </c>
      <c r="F177" s="348" t="s">
        <v>1656</v>
      </c>
      <c r="G177" s="195"/>
      <c r="H177" s="195"/>
      <c r="I177" s="195" t="s">
        <v>10980</v>
      </c>
      <c r="J177" s="7"/>
      <c r="K177" s="7"/>
      <c r="L177" s="7"/>
      <c r="M177" s="7"/>
      <c r="S177" s="7"/>
    </row>
    <row r="178">
      <c r="A178" s="5" t="s">
        <v>17048</v>
      </c>
      <c r="B178" s="51">
        <v>7523.0</v>
      </c>
      <c r="C178" s="25" t="s">
        <v>17238</v>
      </c>
      <c r="D178" s="585">
        <v>0.75</v>
      </c>
      <c r="E178" s="585">
        <v>0.75</v>
      </c>
      <c r="F178" s="348" t="s">
        <v>1656</v>
      </c>
      <c r="G178" s="195"/>
      <c r="H178" s="195"/>
      <c r="I178" s="195" t="s">
        <v>10980</v>
      </c>
      <c r="J178" s="7"/>
      <c r="K178" s="7"/>
      <c r="L178" s="7"/>
      <c r="M178" s="7"/>
      <c r="S178" s="7"/>
    </row>
    <row r="179">
      <c r="A179" s="5" t="s">
        <v>17049</v>
      </c>
      <c r="B179" s="51">
        <v>12575.0</v>
      </c>
      <c r="C179" s="25" t="s">
        <v>17238</v>
      </c>
      <c r="D179" s="585">
        <v>0.75</v>
      </c>
      <c r="E179" s="585">
        <v>0.75</v>
      </c>
      <c r="F179" s="348" t="s">
        <v>1656</v>
      </c>
      <c r="G179" s="195"/>
      <c r="H179" s="195"/>
      <c r="I179" s="195" t="s">
        <v>10980</v>
      </c>
      <c r="J179" s="7"/>
      <c r="K179" s="7"/>
      <c r="L179" s="7"/>
      <c r="M179" s="7"/>
      <c r="S179" s="7"/>
    </row>
    <row r="180">
      <c r="A180" s="5" t="s">
        <v>17050</v>
      </c>
      <c r="B180" s="51">
        <v>12572.0</v>
      </c>
      <c r="C180" s="25" t="s">
        <v>17238</v>
      </c>
      <c r="D180" s="585">
        <v>0.75</v>
      </c>
      <c r="E180" s="585">
        <v>0.75</v>
      </c>
      <c r="F180" s="348" t="s">
        <v>1656</v>
      </c>
      <c r="G180" s="195"/>
      <c r="H180" s="195"/>
      <c r="I180" s="195" t="s">
        <v>10980</v>
      </c>
      <c r="J180" s="7"/>
      <c r="K180" s="7"/>
      <c r="L180" s="7"/>
      <c r="M180" s="7"/>
      <c r="S180" s="7"/>
    </row>
    <row r="181">
      <c r="A181" s="5" t="s">
        <v>17379</v>
      </c>
      <c r="B181" s="191">
        <v>14054.0</v>
      </c>
      <c r="C181" s="25" t="s">
        <v>17238</v>
      </c>
      <c r="D181" s="585">
        <v>0.75</v>
      </c>
      <c r="E181" s="585">
        <v>0.75</v>
      </c>
      <c r="F181" s="348" t="s">
        <v>1656</v>
      </c>
      <c r="G181" s="195"/>
      <c r="H181" s="195"/>
      <c r="I181" s="195" t="s">
        <v>10980</v>
      </c>
      <c r="J181" s="7"/>
      <c r="K181" s="7"/>
      <c r="L181" s="7"/>
      <c r="M181" s="7"/>
      <c r="S181" s="7"/>
    </row>
    <row r="182">
      <c r="A182" s="5" t="s">
        <v>6295</v>
      </c>
      <c r="B182" s="51">
        <v>13987.0</v>
      </c>
      <c r="C182" s="25" t="s">
        <v>17238</v>
      </c>
      <c r="D182" s="585">
        <v>0.75</v>
      </c>
      <c r="E182" s="585">
        <v>0.75</v>
      </c>
      <c r="F182" s="348" t="s">
        <v>1656</v>
      </c>
      <c r="G182" s="195"/>
      <c r="H182" s="195"/>
      <c r="I182" s="195" t="s">
        <v>10980</v>
      </c>
      <c r="J182" s="7"/>
      <c r="K182" s="7"/>
      <c r="L182" s="7"/>
      <c r="M182" s="7"/>
      <c r="S182" s="7"/>
    </row>
    <row r="183">
      <c r="A183" s="5" t="s">
        <v>17380</v>
      </c>
      <c r="B183" s="51">
        <v>13988.0</v>
      </c>
      <c r="C183" s="25" t="s">
        <v>17238</v>
      </c>
      <c r="D183" s="585">
        <v>0.75</v>
      </c>
      <c r="E183" s="585">
        <v>0.75</v>
      </c>
      <c r="F183" s="348" t="s">
        <v>1656</v>
      </c>
      <c r="G183" s="195"/>
      <c r="H183" s="195"/>
      <c r="I183" s="195" t="s">
        <v>10980</v>
      </c>
      <c r="J183" s="7"/>
      <c r="K183" s="7"/>
      <c r="L183" s="7"/>
      <c r="M183" s="7"/>
      <c r="S183" s="7"/>
    </row>
    <row r="184">
      <c r="A184" s="5" t="s">
        <v>6298</v>
      </c>
      <c r="B184" s="51">
        <v>13866.0</v>
      </c>
      <c r="C184" s="25" t="s">
        <v>17238</v>
      </c>
      <c r="D184" s="585">
        <v>0.75</v>
      </c>
      <c r="E184" s="585">
        <v>0.75</v>
      </c>
      <c r="F184" s="348" t="s">
        <v>1656</v>
      </c>
      <c r="G184" s="195"/>
      <c r="H184" s="195"/>
      <c r="I184" s="195" t="s">
        <v>10980</v>
      </c>
      <c r="J184" s="7"/>
      <c r="K184" s="7"/>
      <c r="L184" s="7"/>
      <c r="M184" s="7"/>
      <c r="S184" s="7"/>
    </row>
    <row r="185">
      <c r="A185" s="5" t="s">
        <v>17381</v>
      </c>
      <c r="B185" s="51">
        <v>14076.0</v>
      </c>
      <c r="C185" s="25" t="s">
        <v>17238</v>
      </c>
      <c r="D185" s="585">
        <v>0.75</v>
      </c>
      <c r="E185" s="585">
        <v>0.75</v>
      </c>
      <c r="F185" s="348" t="s">
        <v>1656</v>
      </c>
      <c r="G185" s="195"/>
      <c r="H185" s="195"/>
      <c r="I185" s="195" t="s">
        <v>10980</v>
      </c>
      <c r="J185" s="7"/>
      <c r="K185" s="7"/>
      <c r="L185" s="7"/>
      <c r="M185" s="7"/>
      <c r="S185" s="7"/>
    </row>
    <row r="186">
      <c r="A186" s="5" t="s">
        <v>17382</v>
      </c>
      <c r="B186" s="191">
        <v>8696.0</v>
      </c>
      <c r="C186" s="25" t="s">
        <v>17238</v>
      </c>
      <c r="D186" s="585">
        <v>0.75</v>
      </c>
      <c r="E186" s="585">
        <v>0.75</v>
      </c>
      <c r="F186" s="348" t="s">
        <v>1656</v>
      </c>
      <c r="G186" s="195"/>
      <c r="H186" s="195"/>
      <c r="I186" s="195" t="s">
        <v>10980</v>
      </c>
      <c r="J186" s="7"/>
      <c r="K186" s="7"/>
      <c r="L186" s="7"/>
      <c r="M186" s="7"/>
      <c r="S186" s="7"/>
    </row>
    <row r="187">
      <c r="A187" s="5" t="s">
        <v>17383</v>
      </c>
      <c r="B187" s="622">
        <v>14253.0</v>
      </c>
      <c r="C187" s="25" t="s">
        <v>17238</v>
      </c>
      <c r="D187" s="585">
        <v>0.75</v>
      </c>
      <c r="E187" s="585">
        <v>0.75</v>
      </c>
      <c r="F187" s="348" t="s">
        <v>1656</v>
      </c>
      <c r="G187" s="195"/>
      <c r="H187" s="195"/>
      <c r="I187" s="195" t="s">
        <v>10980</v>
      </c>
      <c r="J187" s="7"/>
      <c r="K187" s="7"/>
      <c r="L187" s="7"/>
      <c r="M187" s="7"/>
      <c r="S187" s="7"/>
    </row>
    <row r="188">
      <c r="A188" s="5" t="s">
        <v>17384</v>
      </c>
      <c r="B188" s="51">
        <v>13975.0</v>
      </c>
      <c r="C188" s="25" t="s">
        <v>17238</v>
      </c>
      <c r="D188" s="585">
        <v>0.75</v>
      </c>
      <c r="E188" s="585">
        <v>0.75</v>
      </c>
      <c r="F188" s="348" t="s">
        <v>1656</v>
      </c>
      <c r="G188" s="195"/>
      <c r="H188" s="195"/>
      <c r="I188" s="195" t="s">
        <v>10980</v>
      </c>
      <c r="J188" s="7"/>
      <c r="K188" s="7"/>
      <c r="L188" s="7"/>
      <c r="M188" s="7"/>
      <c r="S188" s="7"/>
    </row>
    <row r="189">
      <c r="A189" s="5" t="s">
        <v>17385</v>
      </c>
      <c r="B189" s="51">
        <v>14021.0</v>
      </c>
      <c r="C189" s="25" t="s">
        <v>17238</v>
      </c>
      <c r="D189" s="585">
        <v>0.75</v>
      </c>
      <c r="E189" s="585">
        <v>0.75</v>
      </c>
      <c r="F189" s="348" t="s">
        <v>1656</v>
      </c>
      <c r="G189" s="195"/>
      <c r="H189" s="195"/>
      <c r="I189" s="195" t="s">
        <v>10980</v>
      </c>
      <c r="J189" s="7"/>
      <c r="K189" s="7"/>
      <c r="L189" s="7"/>
      <c r="M189" s="7"/>
      <c r="S189" s="7"/>
    </row>
    <row r="190">
      <c r="A190" s="5" t="s">
        <v>7380</v>
      </c>
      <c r="B190" s="51">
        <v>14015.0</v>
      </c>
      <c r="C190" s="25" t="s">
        <v>17238</v>
      </c>
      <c r="D190" s="585">
        <v>0.75</v>
      </c>
      <c r="E190" s="585">
        <v>0.75</v>
      </c>
      <c r="F190" s="348" t="s">
        <v>1656</v>
      </c>
      <c r="G190" s="195"/>
      <c r="H190" s="195"/>
      <c r="I190" s="195" t="s">
        <v>10980</v>
      </c>
      <c r="J190" s="7"/>
      <c r="K190" s="7"/>
      <c r="L190" s="7"/>
      <c r="M190" s="7"/>
      <c r="S190" s="7"/>
    </row>
    <row r="191">
      <c r="A191" s="175" t="s">
        <v>220</v>
      </c>
      <c r="B191" s="25">
        <v>14663.0</v>
      </c>
      <c r="C191" s="25" t="s">
        <v>17238</v>
      </c>
      <c r="D191" s="585">
        <v>0.75</v>
      </c>
      <c r="E191" s="585">
        <v>0.75</v>
      </c>
      <c r="F191" s="348" t="s">
        <v>1656</v>
      </c>
      <c r="G191" s="7"/>
      <c r="H191" s="7"/>
      <c r="I191" s="7"/>
      <c r="J191" s="7"/>
      <c r="K191" s="7"/>
      <c r="L191" s="7"/>
      <c r="M191" s="7"/>
      <c r="S191" s="7"/>
    </row>
    <row r="192">
      <c r="A192" s="175" t="s">
        <v>43</v>
      </c>
      <c r="B192" s="25">
        <v>14727.0</v>
      </c>
      <c r="C192" s="25" t="s">
        <v>17238</v>
      </c>
      <c r="D192" s="585">
        <v>0.75</v>
      </c>
      <c r="E192" s="585">
        <v>0.75</v>
      </c>
      <c r="F192" s="348" t="s">
        <v>1656</v>
      </c>
      <c r="G192" s="7"/>
      <c r="H192" s="7"/>
      <c r="I192" s="7"/>
      <c r="J192" s="7"/>
      <c r="K192" s="7"/>
      <c r="L192" s="7"/>
      <c r="M192" s="7"/>
      <c r="S192" s="7"/>
    </row>
    <row r="193">
      <c r="A193" s="175" t="s">
        <v>1729</v>
      </c>
      <c r="B193" s="25">
        <v>14727.0</v>
      </c>
      <c r="C193" s="25" t="s">
        <v>17238</v>
      </c>
      <c r="D193" s="585">
        <v>0.75</v>
      </c>
      <c r="E193" s="585">
        <v>0.75</v>
      </c>
      <c r="F193" s="348" t="s">
        <v>1656</v>
      </c>
      <c r="G193" s="7"/>
      <c r="H193" s="7"/>
      <c r="I193" s="7"/>
      <c r="J193" s="7"/>
      <c r="K193" s="7"/>
      <c r="L193" s="7"/>
      <c r="M193" s="7"/>
      <c r="S193" s="7"/>
    </row>
    <row r="194">
      <c r="A194" s="175" t="s">
        <v>1730</v>
      </c>
      <c r="B194" s="25">
        <v>14727.0</v>
      </c>
      <c r="C194" s="25" t="s">
        <v>17238</v>
      </c>
      <c r="D194" s="585">
        <v>0.75</v>
      </c>
      <c r="E194" s="585">
        <v>0.75</v>
      </c>
      <c r="F194" s="348" t="s">
        <v>1656</v>
      </c>
      <c r="G194" s="7"/>
      <c r="H194" s="7"/>
      <c r="I194" s="7"/>
      <c r="J194" s="7"/>
      <c r="K194" s="7"/>
      <c r="L194" s="7"/>
      <c r="M194" s="7"/>
      <c r="S194" s="7"/>
    </row>
    <row r="195">
      <c r="A195" s="231"/>
      <c r="B195" s="78"/>
      <c r="C195" s="623"/>
      <c r="D195" s="624"/>
      <c r="E195" s="66"/>
      <c r="F195" s="625"/>
      <c r="G195" s="7"/>
      <c r="H195" s="7"/>
      <c r="I195" s="7"/>
      <c r="J195" s="7"/>
      <c r="K195" s="7"/>
      <c r="L195" s="7"/>
      <c r="M195" s="7"/>
      <c r="S195" s="7"/>
    </row>
    <row r="196">
      <c r="A196" s="231"/>
      <c r="B196" s="78"/>
      <c r="C196" s="623"/>
      <c r="D196" s="624"/>
      <c r="E196" s="626"/>
      <c r="F196" s="7"/>
      <c r="G196" s="7"/>
      <c r="H196" s="7"/>
      <c r="I196" s="7"/>
      <c r="J196" s="7"/>
      <c r="K196" s="7"/>
      <c r="L196" s="7"/>
      <c r="M196" s="7"/>
      <c r="S196" s="7"/>
    </row>
    <row r="197">
      <c r="A197" s="231"/>
      <c r="B197" s="78"/>
      <c r="C197" s="623"/>
      <c r="D197" s="624"/>
      <c r="E197" s="626"/>
      <c r="F197" s="7"/>
      <c r="G197" s="7"/>
      <c r="H197" s="7"/>
      <c r="I197" s="7"/>
      <c r="J197" s="7"/>
      <c r="K197" s="7"/>
      <c r="L197" s="7"/>
      <c r="M197" s="7"/>
      <c r="S197" s="7"/>
    </row>
    <row r="198">
      <c r="A198" s="231"/>
      <c r="B198" s="78"/>
      <c r="C198" s="623"/>
      <c r="D198" s="624"/>
      <c r="E198" s="626"/>
      <c r="F198" s="7"/>
      <c r="G198" s="7"/>
      <c r="H198" s="7"/>
      <c r="I198" s="7"/>
      <c r="J198" s="7"/>
      <c r="K198" s="7"/>
      <c r="L198" s="7"/>
      <c r="M198" s="7"/>
      <c r="S198" s="7"/>
    </row>
    <row r="199">
      <c r="A199" s="231"/>
      <c r="B199" s="78"/>
      <c r="C199" s="623"/>
      <c r="D199" s="624"/>
      <c r="E199" s="66"/>
      <c r="F199" s="7"/>
      <c r="G199" s="7"/>
      <c r="H199" s="7"/>
      <c r="I199" s="7"/>
      <c r="J199" s="7"/>
      <c r="K199" s="7"/>
      <c r="L199" s="7"/>
      <c r="M199" s="7"/>
      <c r="S199" s="7"/>
    </row>
    <row r="200">
      <c r="A200" s="231"/>
      <c r="B200" s="78"/>
      <c r="C200" s="623"/>
      <c r="D200" s="624"/>
      <c r="E200" s="66"/>
      <c r="F200" s="7"/>
      <c r="G200" s="7"/>
      <c r="H200" s="7"/>
      <c r="I200" s="7"/>
      <c r="J200" s="7"/>
      <c r="K200" s="7"/>
      <c r="L200" s="7"/>
      <c r="M200" s="7"/>
      <c r="S200" s="7"/>
    </row>
    <row r="201">
      <c r="A201" s="231"/>
      <c r="B201" s="78"/>
      <c r="C201" s="623"/>
      <c r="D201" s="624"/>
      <c r="E201" s="66"/>
      <c r="F201" s="7"/>
      <c r="G201" s="7"/>
      <c r="H201" s="7"/>
      <c r="I201" s="7"/>
      <c r="J201" s="7"/>
      <c r="K201" s="7"/>
      <c r="L201" s="7"/>
      <c r="M201" s="7"/>
      <c r="S201" s="7"/>
    </row>
    <row r="202">
      <c r="A202" s="231"/>
      <c r="B202" s="78"/>
      <c r="C202" s="623"/>
      <c r="D202" s="624"/>
      <c r="E202" s="66"/>
      <c r="F202" s="7"/>
      <c r="G202" s="7"/>
      <c r="H202" s="7"/>
      <c r="I202" s="7"/>
      <c r="J202" s="7"/>
      <c r="K202" s="7"/>
      <c r="L202" s="7"/>
      <c r="M202" s="7"/>
      <c r="S202" s="7"/>
    </row>
    <row r="203">
      <c r="A203" s="231"/>
      <c r="B203" s="78"/>
      <c r="C203" s="623"/>
      <c r="D203" s="624"/>
      <c r="E203" s="66"/>
      <c r="F203" s="7"/>
      <c r="G203" s="7"/>
      <c r="H203" s="7"/>
      <c r="I203" s="7"/>
      <c r="J203" s="7"/>
      <c r="K203" s="7"/>
      <c r="L203" s="7"/>
      <c r="M203" s="7"/>
      <c r="S203" s="7"/>
    </row>
    <row r="204">
      <c r="A204" s="231"/>
      <c r="B204" s="78"/>
      <c r="C204" s="623"/>
      <c r="D204" s="624"/>
      <c r="E204" s="66"/>
      <c r="F204" s="7"/>
      <c r="G204" s="7"/>
      <c r="H204" s="7"/>
      <c r="I204" s="7"/>
      <c r="J204" s="7"/>
      <c r="K204" s="7"/>
      <c r="L204" s="7"/>
      <c r="M204" s="7"/>
      <c r="S204" s="7"/>
    </row>
    <row r="205">
      <c r="A205" s="231"/>
      <c r="B205" s="78"/>
      <c r="C205" s="623"/>
      <c r="D205" s="624"/>
      <c r="E205" s="66"/>
      <c r="F205" s="7"/>
      <c r="G205" s="7"/>
      <c r="H205" s="7"/>
      <c r="I205" s="7"/>
      <c r="J205" s="7"/>
      <c r="K205" s="7"/>
      <c r="L205" s="7"/>
      <c r="M205" s="7"/>
      <c r="S205" s="7"/>
    </row>
    <row r="206">
      <c r="A206" s="231"/>
      <c r="B206" s="78"/>
      <c r="C206" s="623"/>
      <c r="D206" s="624"/>
      <c r="E206" s="66"/>
      <c r="F206" s="7"/>
      <c r="G206" s="7"/>
      <c r="H206" s="7"/>
      <c r="I206" s="7"/>
      <c r="J206" s="7"/>
      <c r="K206" s="7"/>
      <c r="L206" s="7"/>
      <c r="M206" s="7"/>
      <c r="S206" s="7"/>
    </row>
    <row r="207">
      <c r="A207" s="231"/>
      <c r="B207" s="78"/>
      <c r="C207" s="623"/>
      <c r="D207" s="624"/>
      <c r="E207" s="66"/>
      <c r="F207" s="7"/>
      <c r="G207" s="7"/>
      <c r="H207" s="7"/>
      <c r="I207" s="7"/>
      <c r="J207" s="7"/>
      <c r="K207" s="7"/>
      <c r="L207" s="7"/>
      <c r="M207" s="7"/>
      <c r="S207" s="7"/>
    </row>
    <row r="208">
      <c r="A208" s="231"/>
      <c r="B208" s="78"/>
      <c r="C208" s="623"/>
      <c r="D208" s="624"/>
      <c r="E208" s="66"/>
      <c r="F208" s="7"/>
      <c r="G208" s="7"/>
      <c r="H208" s="7"/>
      <c r="I208" s="7"/>
      <c r="J208" s="7"/>
      <c r="K208" s="7"/>
      <c r="L208" s="7"/>
      <c r="M208" s="7"/>
      <c r="S208" s="7"/>
    </row>
    <row r="209">
      <c r="A209" s="231"/>
      <c r="B209" s="78"/>
      <c r="C209" s="623"/>
      <c r="D209" s="624"/>
      <c r="E209" s="66"/>
      <c r="F209" s="7"/>
      <c r="G209" s="7"/>
      <c r="H209" s="7"/>
      <c r="I209" s="7"/>
      <c r="J209" s="7"/>
      <c r="K209" s="7"/>
      <c r="L209" s="7"/>
      <c r="M209" s="7"/>
      <c r="S209" s="7"/>
    </row>
    <row r="210">
      <c r="A210" s="231"/>
      <c r="B210" s="78"/>
      <c r="C210" s="623"/>
      <c r="D210" s="624"/>
      <c r="E210" s="626"/>
      <c r="F210" s="7"/>
      <c r="G210" s="7"/>
      <c r="H210" s="7"/>
      <c r="I210" s="7"/>
      <c r="J210" s="7"/>
      <c r="K210" s="7"/>
      <c r="L210" s="7"/>
      <c r="M210" s="7"/>
      <c r="S210" s="7"/>
    </row>
    <row r="211">
      <c r="A211" s="231"/>
      <c r="B211" s="78"/>
      <c r="C211" s="623"/>
      <c r="D211" s="624"/>
      <c r="E211" s="66"/>
      <c r="F211" s="7"/>
      <c r="G211" s="7"/>
      <c r="H211" s="7"/>
      <c r="I211" s="7"/>
      <c r="J211" s="7"/>
      <c r="K211" s="7"/>
      <c r="L211" s="7"/>
      <c r="M211" s="7"/>
      <c r="S211" s="7"/>
    </row>
    <row r="212">
      <c r="A212" s="231"/>
      <c r="B212" s="78"/>
      <c r="C212" s="623"/>
      <c r="D212" s="624"/>
      <c r="E212" s="66"/>
      <c r="F212" s="7"/>
      <c r="G212" s="7"/>
      <c r="H212" s="7"/>
      <c r="I212" s="7"/>
      <c r="J212" s="7"/>
      <c r="K212" s="7"/>
      <c r="L212" s="7"/>
      <c r="M212" s="7"/>
      <c r="S212" s="7"/>
    </row>
    <row r="213">
      <c r="A213" s="231"/>
      <c r="B213" s="78"/>
      <c r="C213" s="623"/>
      <c r="D213" s="624"/>
      <c r="E213" s="66"/>
      <c r="F213" s="7"/>
      <c r="G213" s="7"/>
      <c r="H213" s="7"/>
      <c r="I213" s="7"/>
      <c r="J213" s="7"/>
      <c r="K213" s="7"/>
      <c r="L213" s="7"/>
      <c r="M213" s="7"/>
      <c r="S213" s="7"/>
    </row>
    <row r="214">
      <c r="A214" s="231"/>
      <c r="B214" s="78"/>
      <c r="C214" s="623"/>
      <c r="D214" s="624"/>
      <c r="E214" s="66"/>
      <c r="F214" s="7"/>
      <c r="G214" s="7"/>
      <c r="H214" s="7"/>
      <c r="I214" s="7"/>
      <c r="J214" s="7"/>
      <c r="K214" s="7"/>
      <c r="L214" s="7"/>
      <c r="M214" s="7"/>
      <c r="S214" s="7"/>
    </row>
    <row r="215">
      <c r="A215" s="231"/>
      <c r="B215" s="78"/>
      <c r="C215" s="623"/>
      <c r="D215" s="624"/>
      <c r="E215" s="66"/>
      <c r="F215" s="7"/>
      <c r="G215" s="7"/>
      <c r="H215" s="7"/>
      <c r="I215" s="7"/>
      <c r="J215" s="7"/>
      <c r="K215" s="7"/>
      <c r="L215" s="7"/>
      <c r="M215" s="7"/>
      <c r="S215" s="7"/>
    </row>
    <row r="216">
      <c r="A216" s="231"/>
      <c r="B216" s="78"/>
      <c r="C216" s="623"/>
      <c r="D216" s="624"/>
      <c r="E216" s="66"/>
      <c r="F216" s="7"/>
      <c r="G216" s="7"/>
      <c r="H216" s="7"/>
      <c r="I216" s="7"/>
      <c r="J216" s="7"/>
      <c r="K216" s="7"/>
      <c r="L216" s="7"/>
      <c r="M216" s="7"/>
      <c r="S216" s="7"/>
    </row>
    <row r="217">
      <c r="A217" s="231"/>
      <c r="B217" s="78"/>
      <c r="C217" s="623"/>
      <c r="D217" s="624"/>
      <c r="E217" s="66"/>
      <c r="F217" s="7"/>
      <c r="G217" s="7"/>
      <c r="H217" s="7"/>
      <c r="I217" s="7"/>
      <c r="J217" s="7"/>
      <c r="K217" s="7"/>
      <c r="L217" s="7"/>
      <c r="M217" s="7"/>
      <c r="S217" s="7"/>
    </row>
    <row r="218">
      <c r="A218" s="231"/>
      <c r="B218" s="78"/>
      <c r="C218" s="623"/>
      <c r="D218" s="624"/>
      <c r="E218" s="66"/>
      <c r="F218" s="7"/>
      <c r="G218" s="7"/>
      <c r="H218" s="7"/>
      <c r="I218" s="7"/>
      <c r="J218" s="7"/>
      <c r="K218" s="7"/>
      <c r="L218" s="7"/>
      <c r="M218" s="7"/>
      <c r="S218" s="7"/>
    </row>
    <row r="219">
      <c r="A219" s="231"/>
      <c r="B219" s="78"/>
      <c r="C219" s="623"/>
      <c r="D219" s="624"/>
      <c r="E219" s="66"/>
      <c r="F219" s="7"/>
      <c r="G219" s="7"/>
      <c r="H219" s="7"/>
      <c r="I219" s="7"/>
      <c r="J219" s="7"/>
      <c r="K219" s="7"/>
      <c r="L219" s="7"/>
      <c r="M219" s="7"/>
      <c r="S219" s="7"/>
    </row>
    <row r="220">
      <c r="A220" s="231"/>
      <c r="B220" s="78"/>
      <c r="C220" s="623"/>
      <c r="D220" s="624"/>
      <c r="E220" s="627"/>
      <c r="F220" s="7"/>
      <c r="G220" s="7"/>
      <c r="H220" s="7"/>
      <c r="I220" s="7"/>
      <c r="J220" s="7"/>
      <c r="K220" s="7"/>
      <c r="L220" s="7"/>
      <c r="M220" s="7"/>
      <c r="S220" s="7"/>
    </row>
    <row r="221">
      <c r="A221" s="231"/>
      <c r="B221" s="78"/>
      <c r="C221" s="623"/>
      <c r="D221" s="624"/>
      <c r="E221" s="627"/>
      <c r="F221" s="7"/>
      <c r="G221" s="7"/>
      <c r="H221" s="7"/>
      <c r="I221" s="7"/>
      <c r="J221" s="7"/>
      <c r="K221" s="7"/>
      <c r="L221" s="7"/>
      <c r="M221" s="7"/>
      <c r="S221" s="7"/>
    </row>
    <row r="222">
      <c r="A222" s="231"/>
      <c r="B222" s="78"/>
      <c r="C222" s="623"/>
      <c r="D222" s="624"/>
      <c r="E222" s="627"/>
      <c r="F222" s="7"/>
      <c r="G222" s="7"/>
      <c r="H222" s="7"/>
      <c r="I222" s="7"/>
      <c r="J222" s="7"/>
      <c r="K222" s="7"/>
      <c r="L222" s="7"/>
      <c r="M222" s="7"/>
      <c r="S222" s="7"/>
    </row>
    <row r="223">
      <c r="A223" s="231"/>
      <c r="B223" s="78"/>
      <c r="C223" s="623"/>
      <c r="D223" s="624"/>
      <c r="E223" s="627"/>
      <c r="F223" s="7"/>
      <c r="G223" s="7"/>
      <c r="H223" s="7"/>
      <c r="I223" s="7"/>
      <c r="J223" s="7"/>
      <c r="K223" s="7"/>
      <c r="L223" s="7"/>
      <c r="M223" s="7"/>
      <c r="S223" s="7"/>
    </row>
    <row r="224">
      <c r="A224" s="231"/>
      <c r="B224" s="78"/>
      <c r="C224" s="623"/>
      <c r="D224" s="624"/>
      <c r="E224" s="66"/>
      <c r="F224" s="7"/>
      <c r="G224" s="7"/>
      <c r="H224" s="7"/>
      <c r="I224" s="7"/>
      <c r="J224" s="7"/>
      <c r="K224" s="7"/>
      <c r="L224" s="7"/>
      <c r="M224" s="7"/>
      <c r="S224" s="7"/>
    </row>
    <row r="225">
      <c r="A225" s="231"/>
      <c r="B225" s="78"/>
      <c r="C225" s="623"/>
      <c r="D225" s="624"/>
      <c r="E225" s="66"/>
      <c r="F225" s="7"/>
      <c r="G225" s="7"/>
      <c r="H225" s="7"/>
      <c r="I225" s="7"/>
      <c r="J225" s="7"/>
      <c r="K225" s="7"/>
      <c r="L225" s="7"/>
      <c r="M225" s="7"/>
      <c r="S225" s="7"/>
    </row>
    <row r="226">
      <c r="A226" s="231"/>
      <c r="B226" s="78"/>
      <c r="C226" s="623"/>
      <c r="D226" s="624"/>
      <c r="E226" s="66"/>
      <c r="F226" s="7"/>
      <c r="G226" s="7"/>
      <c r="H226" s="7"/>
      <c r="I226" s="7"/>
      <c r="J226" s="7"/>
      <c r="K226" s="7"/>
      <c r="L226" s="7"/>
      <c r="M226" s="7"/>
      <c r="S226" s="7"/>
    </row>
    <row r="227">
      <c r="A227" s="231"/>
      <c r="B227" s="78"/>
      <c r="C227" s="623"/>
      <c r="D227" s="624"/>
      <c r="E227" s="66"/>
      <c r="F227" s="7"/>
      <c r="G227" s="7"/>
      <c r="H227" s="7"/>
      <c r="I227" s="7"/>
      <c r="J227" s="7"/>
      <c r="K227" s="7"/>
      <c r="L227" s="7"/>
      <c r="M227" s="7"/>
      <c r="S227" s="7"/>
    </row>
    <row r="228">
      <c r="A228" s="231"/>
      <c r="B228" s="78"/>
      <c r="C228" s="623"/>
      <c r="D228" s="624"/>
      <c r="E228" s="66"/>
      <c r="F228" s="7"/>
      <c r="G228" s="7"/>
      <c r="H228" s="7"/>
      <c r="I228" s="7"/>
      <c r="J228" s="7"/>
      <c r="K228" s="7"/>
      <c r="L228" s="7"/>
      <c r="M228" s="7"/>
      <c r="S228" s="7"/>
    </row>
    <row r="229">
      <c r="A229" s="231"/>
      <c r="B229" s="78"/>
      <c r="C229" s="623"/>
      <c r="D229" s="624"/>
      <c r="E229" s="66"/>
      <c r="F229" s="7"/>
      <c r="G229" s="7"/>
      <c r="H229" s="7"/>
      <c r="I229" s="7"/>
      <c r="J229" s="7"/>
      <c r="K229" s="7"/>
      <c r="L229" s="7"/>
      <c r="M229" s="7"/>
      <c r="S229" s="7"/>
    </row>
    <row r="230">
      <c r="A230" s="231"/>
      <c r="B230" s="78"/>
      <c r="C230" s="623"/>
      <c r="D230" s="624"/>
      <c r="E230" s="66"/>
      <c r="F230" s="7"/>
      <c r="G230" s="7"/>
      <c r="H230" s="7"/>
      <c r="I230" s="7"/>
      <c r="J230" s="7"/>
      <c r="K230" s="7"/>
      <c r="L230" s="7"/>
      <c r="M230" s="7"/>
      <c r="S230" s="7"/>
    </row>
    <row r="231">
      <c r="A231" s="231"/>
      <c r="B231" s="78"/>
      <c r="C231" s="623"/>
      <c r="D231" s="624"/>
      <c r="E231" s="66"/>
      <c r="F231" s="7"/>
      <c r="G231" s="7"/>
      <c r="H231" s="7"/>
      <c r="I231" s="7"/>
      <c r="J231" s="7"/>
      <c r="K231" s="7"/>
      <c r="L231" s="7"/>
      <c r="M231" s="7"/>
      <c r="S231" s="7"/>
    </row>
    <row r="232">
      <c r="A232" s="231"/>
      <c r="B232" s="78"/>
      <c r="C232" s="623"/>
      <c r="D232" s="624"/>
      <c r="E232" s="66"/>
      <c r="F232" s="7"/>
      <c r="G232" s="7"/>
      <c r="H232" s="7"/>
      <c r="I232" s="7"/>
      <c r="J232" s="7"/>
      <c r="K232" s="7"/>
      <c r="L232" s="7"/>
      <c r="M232" s="7"/>
      <c r="S232" s="7"/>
    </row>
    <row r="233">
      <c r="A233" s="231"/>
      <c r="B233" s="78"/>
      <c r="C233" s="623"/>
      <c r="D233" s="624"/>
      <c r="E233" s="66"/>
      <c r="F233" s="7"/>
      <c r="G233" s="7"/>
      <c r="H233" s="7"/>
      <c r="I233" s="7"/>
      <c r="J233" s="7"/>
      <c r="K233" s="7"/>
      <c r="L233" s="7"/>
      <c r="M233" s="7"/>
      <c r="S233" s="7"/>
    </row>
    <row r="234">
      <c r="A234" s="231"/>
      <c r="B234" s="78"/>
      <c r="C234" s="623"/>
      <c r="D234" s="624"/>
      <c r="E234" s="66"/>
      <c r="F234" s="7"/>
      <c r="G234" s="7"/>
      <c r="H234" s="7"/>
      <c r="I234" s="7"/>
      <c r="J234" s="7"/>
      <c r="K234" s="7"/>
      <c r="L234" s="7"/>
      <c r="M234" s="7"/>
      <c r="S234" s="7"/>
    </row>
    <row r="235">
      <c r="A235" s="231"/>
      <c r="B235" s="78"/>
      <c r="C235" s="623"/>
      <c r="D235" s="624"/>
      <c r="E235" s="66"/>
      <c r="F235" s="7"/>
      <c r="G235" s="7"/>
      <c r="H235" s="7"/>
      <c r="I235" s="7"/>
      <c r="J235" s="7"/>
      <c r="K235" s="7"/>
      <c r="L235" s="7"/>
      <c r="M235" s="7"/>
      <c r="S235" s="7"/>
    </row>
    <row r="236">
      <c r="A236" s="231"/>
      <c r="B236" s="78"/>
      <c r="C236" s="623"/>
      <c r="D236" s="624"/>
      <c r="E236" s="66"/>
      <c r="F236" s="7"/>
      <c r="G236" s="7"/>
      <c r="H236" s="7"/>
      <c r="I236" s="7"/>
      <c r="J236" s="7"/>
      <c r="K236" s="7"/>
      <c r="L236" s="7"/>
      <c r="M236" s="7"/>
      <c r="S236" s="7"/>
    </row>
    <row r="237">
      <c r="A237" s="231"/>
      <c r="B237" s="78"/>
      <c r="C237" s="623"/>
      <c r="D237" s="624"/>
      <c r="E237" s="66"/>
      <c r="F237" s="7"/>
      <c r="G237" s="7"/>
      <c r="H237" s="7"/>
      <c r="I237" s="7"/>
      <c r="J237" s="7"/>
      <c r="K237" s="7"/>
      <c r="L237" s="7"/>
      <c r="M237" s="7"/>
      <c r="S237" s="7"/>
    </row>
    <row r="238">
      <c r="A238" s="231"/>
      <c r="B238" s="78"/>
      <c r="C238" s="623"/>
      <c r="D238" s="624"/>
      <c r="E238" s="66"/>
      <c r="F238" s="7"/>
      <c r="G238" s="7"/>
      <c r="H238" s="7"/>
      <c r="I238" s="7"/>
      <c r="J238" s="7"/>
      <c r="K238" s="7"/>
      <c r="L238" s="7"/>
      <c r="M238" s="7"/>
      <c r="S238" s="7"/>
    </row>
    <row r="239">
      <c r="A239" s="231"/>
      <c r="B239" s="78"/>
      <c r="C239" s="623"/>
      <c r="D239" s="624"/>
      <c r="E239" s="66"/>
      <c r="F239" s="7"/>
      <c r="G239" s="7"/>
      <c r="H239" s="7"/>
      <c r="I239" s="7"/>
      <c r="J239" s="7"/>
      <c r="K239" s="7"/>
      <c r="L239" s="7"/>
      <c r="M239" s="7"/>
      <c r="S239" s="7"/>
    </row>
    <row r="240">
      <c r="A240" s="231"/>
      <c r="B240" s="78"/>
      <c r="C240" s="623"/>
      <c r="D240" s="624"/>
      <c r="E240" s="66"/>
      <c r="F240" s="7"/>
      <c r="G240" s="7"/>
      <c r="H240" s="7"/>
      <c r="I240" s="7"/>
      <c r="J240" s="7"/>
      <c r="K240" s="7"/>
      <c r="L240" s="7"/>
      <c r="M240" s="7"/>
      <c r="S240" s="7"/>
    </row>
    <row r="241">
      <c r="A241" s="231"/>
      <c r="B241" s="78"/>
      <c r="C241" s="623"/>
      <c r="D241" s="624"/>
      <c r="E241" s="66"/>
      <c r="F241" s="7"/>
      <c r="G241" s="7"/>
      <c r="H241" s="7"/>
      <c r="I241" s="7"/>
      <c r="J241" s="7"/>
      <c r="K241" s="7"/>
      <c r="L241" s="7"/>
      <c r="M241" s="7"/>
      <c r="S241" s="7"/>
    </row>
    <row r="242">
      <c r="A242" s="231"/>
      <c r="B242" s="78"/>
      <c r="C242" s="623"/>
      <c r="D242" s="624"/>
      <c r="E242" s="66"/>
      <c r="F242" s="7"/>
      <c r="G242" s="7"/>
      <c r="H242" s="7"/>
      <c r="I242" s="7"/>
      <c r="J242" s="7"/>
      <c r="K242" s="7"/>
      <c r="L242" s="7"/>
      <c r="M242" s="7"/>
      <c r="S242" s="7"/>
    </row>
    <row r="243">
      <c r="A243" s="231"/>
      <c r="B243" s="78"/>
      <c r="C243" s="623"/>
      <c r="D243" s="624"/>
      <c r="E243" s="66"/>
      <c r="F243" s="7"/>
      <c r="G243" s="7"/>
      <c r="H243" s="7"/>
      <c r="I243" s="7"/>
      <c r="J243" s="7"/>
      <c r="K243" s="7"/>
      <c r="L243" s="7"/>
      <c r="M243" s="7"/>
      <c r="S243" s="7"/>
    </row>
    <row r="244">
      <c r="A244" s="231"/>
      <c r="B244" s="78"/>
      <c r="C244" s="623"/>
      <c r="D244" s="624"/>
      <c r="E244" s="66"/>
      <c r="F244" s="7"/>
      <c r="G244" s="7"/>
      <c r="H244" s="7"/>
      <c r="I244" s="7"/>
      <c r="J244" s="7"/>
      <c r="K244" s="7"/>
      <c r="L244" s="7"/>
      <c r="M244" s="7"/>
      <c r="S244" s="7"/>
    </row>
    <row r="245">
      <c r="A245" s="231"/>
      <c r="B245" s="78"/>
      <c r="C245" s="623"/>
      <c r="D245" s="624"/>
      <c r="E245" s="66"/>
      <c r="F245" s="7"/>
      <c r="G245" s="7"/>
      <c r="H245" s="7"/>
      <c r="I245" s="7"/>
      <c r="J245" s="7"/>
      <c r="K245" s="7"/>
      <c r="L245" s="7"/>
      <c r="M245" s="7"/>
      <c r="S245" s="7"/>
    </row>
    <row r="246">
      <c r="A246" s="231"/>
      <c r="B246" s="78"/>
      <c r="C246" s="623"/>
      <c r="D246" s="624"/>
      <c r="E246" s="66"/>
      <c r="F246" s="7"/>
      <c r="G246" s="7"/>
      <c r="H246" s="7"/>
      <c r="I246" s="7"/>
      <c r="J246" s="7"/>
      <c r="K246" s="7"/>
      <c r="L246" s="7"/>
      <c r="M246" s="7"/>
      <c r="S246" s="7"/>
    </row>
    <row r="247">
      <c r="A247" s="231"/>
      <c r="B247" s="78"/>
      <c r="C247" s="623"/>
      <c r="D247" s="624"/>
      <c r="E247" s="66"/>
      <c r="F247" s="7"/>
      <c r="G247" s="7"/>
      <c r="H247" s="7"/>
      <c r="I247" s="7"/>
      <c r="J247" s="7"/>
      <c r="K247" s="7"/>
      <c r="L247" s="7"/>
      <c r="M247" s="7"/>
      <c r="S247" s="7"/>
    </row>
    <row r="248">
      <c r="A248" s="231"/>
      <c r="B248" s="78"/>
      <c r="C248" s="623"/>
      <c r="D248" s="624"/>
      <c r="E248" s="66"/>
      <c r="F248" s="7"/>
      <c r="G248" s="7"/>
      <c r="H248" s="7"/>
      <c r="I248" s="7"/>
      <c r="J248" s="7"/>
      <c r="K248" s="7"/>
      <c r="L248" s="7"/>
      <c r="M248" s="7"/>
      <c r="S248" s="7"/>
    </row>
    <row r="249">
      <c r="A249" s="231"/>
      <c r="B249" s="78"/>
      <c r="C249" s="623"/>
      <c r="D249" s="624"/>
      <c r="E249" s="66"/>
      <c r="F249" s="7"/>
      <c r="G249" s="7"/>
      <c r="H249" s="7"/>
      <c r="I249" s="7"/>
      <c r="J249" s="7"/>
      <c r="K249" s="7"/>
      <c r="L249" s="7"/>
      <c r="M249" s="7"/>
      <c r="S249" s="7"/>
    </row>
    <row r="250">
      <c r="A250" s="231"/>
      <c r="B250" s="78"/>
      <c r="C250" s="623"/>
      <c r="D250" s="624"/>
      <c r="E250" s="66"/>
      <c r="F250" s="7"/>
      <c r="G250" s="7"/>
      <c r="H250" s="7"/>
      <c r="I250" s="7"/>
      <c r="J250" s="7"/>
      <c r="K250" s="7"/>
      <c r="L250" s="7"/>
      <c r="M250" s="7"/>
      <c r="S250" s="7"/>
    </row>
    <row r="251">
      <c r="A251" s="231"/>
      <c r="B251" s="78"/>
      <c r="C251" s="623"/>
      <c r="D251" s="624"/>
      <c r="E251" s="66"/>
      <c r="F251" s="7"/>
      <c r="G251" s="7"/>
      <c r="H251" s="7"/>
      <c r="I251" s="7"/>
      <c r="J251" s="7"/>
      <c r="K251" s="7"/>
      <c r="L251" s="7"/>
      <c r="M251" s="7"/>
      <c r="S251" s="7"/>
    </row>
    <row r="252">
      <c r="A252" s="231"/>
      <c r="B252" s="78"/>
      <c r="C252" s="623"/>
      <c r="D252" s="624"/>
      <c r="E252" s="66"/>
      <c r="F252" s="7"/>
      <c r="G252" s="7"/>
      <c r="H252" s="7"/>
      <c r="I252" s="7"/>
      <c r="J252" s="7"/>
      <c r="K252" s="7"/>
      <c r="L252" s="7"/>
      <c r="M252" s="7"/>
      <c r="S252" s="7"/>
    </row>
    <row r="253">
      <c r="A253" s="231"/>
      <c r="B253" s="78"/>
      <c r="C253" s="623"/>
      <c r="D253" s="624"/>
      <c r="E253" s="66"/>
      <c r="F253" s="7"/>
      <c r="G253" s="7"/>
      <c r="H253" s="7"/>
      <c r="I253" s="7"/>
      <c r="J253" s="7"/>
      <c r="K253" s="7"/>
      <c r="L253" s="7"/>
      <c r="M253" s="7"/>
      <c r="S253" s="7"/>
    </row>
    <row r="254">
      <c r="A254" s="231"/>
      <c r="B254" s="78"/>
      <c r="C254" s="623"/>
      <c r="D254" s="624"/>
      <c r="E254" s="66"/>
      <c r="F254" s="7"/>
      <c r="G254" s="7"/>
      <c r="H254" s="7"/>
      <c r="I254" s="7"/>
      <c r="J254" s="7"/>
      <c r="K254" s="7"/>
      <c r="L254" s="7"/>
      <c r="M254" s="7"/>
      <c r="S254" s="7"/>
    </row>
    <row r="255">
      <c r="A255" s="231"/>
      <c r="B255" s="78"/>
      <c r="C255" s="623"/>
      <c r="D255" s="624"/>
      <c r="E255" s="66"/>
      <c r="F255" s="7"/>
      <c r="G255" s="7"/>
      <c r="H255" s="7"/>
      <c r="I255" s="7"/>
      <c r="J255" s="7"/>
      <c r="K255" s="7"/>
      <c r="L255" s="7"/>
      <c r="M255" s="7"/>
      <c r="S255" s="7"/>
    </row>
    <row r="256">
      <c r="A256" s="231"/>
      <c r="B256" s="78"/>
      <c r="C256" s="623"/>
      <c r="D256" s="624"/>
      <c r="E256" s="66"/>
      <c r="F256" s="7"/>
      <c r="G256" s="7"/>
      <c r="H256" s="7"/>
      <c r="I256" s="7"/>
      <c r="J256" s="7"/>
      <c r="K256" s="7"/>
      <c r="L256" s="7"/>
      <c r="M256" s="7"/>
      <c r="S256" s="7"/>
    </row>
    <row r="257">
      <c r="A257" s="231"/>
      <c r="B257" s="78"/>
      <c r="C257" s="623"/>
      <c r="D257" s="624"/>
      <c r="E257" s="66"/>
      <c r="F257" s="7"/>
      <c r="G257" s="7"/>
      <c r="H257" s="7"/>
      <c r="I257" s="7"/>
      <c r="J257" s="7"/>
      <c r="K257" s="7"/>
      <c r="L257" s="7"/>
      <c r="M257" s="7"/>
      <c r="S257" s="7"/>
    </row>
    <row r="258">
      <c r="A258" s="231"/>
      <c r="B258" s="78"/>
      <c r="C258" s="623"/>
      <c r="D258" s="624"/>
      <c r="E258" s="66"/>
      <c r="F258" s="7"/>
      <c r="G258" s="7"/>
      <c r="H258" s="7"/>
      <c r="I258" s="7"/>
      <c r="J258" s="7"/>
      <c r="K258" s="7"/>
      <c r="L258" s="7"/>
      <c r="M258" s="7"/>
      <c r="S258" s="7"/>
    </row>
    <row r="259">
      <c r="A259" s="231"/>
      <c r="B259" s="78"/>
      <c r="C259" s="623"/>
      <c r="D259" s="624"/>
      <c r="E259" s="66"/>
      <c r="F259" s="7"/>
      <c r="G259" s="7"/>
      <c r="H259" s="7"/>
      <c r="I259" s="7"/>
      <c r="J259" s="7"/>
      <c r="K259" s="7"/>
      <c r="L259" s="7"/>
      <c r="M259" s="7"/>
      <c r="S259" s="7"/>
    </row>
    <row r="260">
      <c r="A260" s="231"/>
      <c r="B260" s="78"/>
      <c r="C260" s="623"/>
      <c r="D260" s="624"/>
      <c r="E260" s="66"/>
      <c r="F260" s="7"/>
      <c r="G260" s="7"/>
      <c r="H260" s="7"/>
      <c r="I260" s="7"/>
      <c r="J260" s="7"/>
      <c r="K260" s="7"/>
      <c r="L260" s="7"/>
      <c r="M260" s="7"/>
      <c r="S260" s="7"/>
    </row>
    <row r="261">
      <c r="A261" s="231"/>
      <c r="B261" s="78"/>
      <c r="C261" s="623"/>
      <c r="D261" s="624"/>
      <c r="E261" s="66"/>
      <c r="F261" s="7"/>
      <c r="G261" s="7"/>
      <c r="H261" s="7"/>
      <c r="I261" s="7"/>
      <c r="J261" s="7"/>
      <c r="K261" s="7"/>
      <c r="L261" s="7"/>
      <c r="M261" s="7"/>
      <c r="S261" s="7"/>
    </row>
    <row r="262">
      <c r="A262" s="231"/>
      <c r="B262" s="78"/>
      <c r="C262" s="623"/>
      <c r="D262" s="624"/>
      <c r="E262" s="66"/>
      <c r="F262" s="7"/>
      <c r="G262" s="7"/>
      <c r="H262" s="7"/>
      <c r="I262" s="7"/>
      <c r="J262" s="7"/>
      <c r="K262" s="7"/>
      <c r="L262" s="7"/>
      <c r="M262" s="7"/>
      <c r="S262" s="7"/>
    </row>
    <row r="263">
      <c r="A263" s="231"/>
      <c r="B263" s="78"/>
      <c r="C263" s="623"/>
      <c r="D263" s="624"/>
      <c r="E263" s="66"/>
      <c r="F263" s="7"/>
      <c r="G263" s="7"/>
      <c r="H263" s="7"/>
      <c r="I263" s="7"/>
      <c r="J263" s="7"/>
      <c r="K263" s="7"/>
      <c r="L263" s="7"/>
      <c r="M263" s="7"/>
      <c r="S263" s="7"/>
    </row>
    <row r="264">
      <c r="A264" s="231"/>
      <c r="B264" s="78"/>
      <c r="C264" s="623"/>
      <c r="D264" s="624"/>
      <c r="E264" s="66"/>
      <c r="F264" s="7"/>
      <c r="G264" s="7"/>
      <c r="H264" s="7"/>
      <c r="I264" s="7"/>
      <c r="J264" s="7"/>
      <c r="K264" s="7"/>
      <c r="L264" s="7"/>
      <c r="M264" s="7"/>
      <c r="S264" s="7"/>
    </row>
    <row r="265">
      <c r="A265" s="231"/>
      <c r="B265" s="78"/>
      <c r="C265" s="623"/>
      <c r="D265" s="624"/>
      <c r="E265" s="66"/>
      <c r="F265" s="7"/>
      <c r="G265" s="7"/>
      <c r="H265" s="7"/>
      <c r="I265" s="7"/>
      <c r="J265" s="7"/>
      <c r="K265" s="7"/>
      <c r="L265" s="7"/>
      <c r="M265" s="7"/>
      <c r="S265" s="7"/>
    </row>
    <row r="266">
      <c r="A266" s="231"/>
      <c r="B266" s="78"/>
      <c r="C266" s="623"/>
      <c r="D266" s="624"/>
      <c r="E266" s="66"/>
      <c r="F266" s="7"/>
      <c r="G266" s="7"/>
      <c r="H266" s="7"/>
      <c r="I266" s="7"/>
      <c r="J266" s="7"/>
      <c r="K266" s="7"/>
      <c r="L266" s="7"/>
      <c r="M266" s="7"/>
      <c r="S266" s="7"/>
    </row>
    <row r="267">
      <c r="A267" s="231"/>
      <c r="B267" s="78"/>
      <c r="C267" s="623"/>
      <c r="D267" s="624"/>
      <c r="E267" s="66"/>
      <c r="F267" s="7"/>
      <c r="G267" s="7"/>
      <c r="H267" s="7"/>
      <c r="I267" s="7"/>
      <c r="J267" s="7"/>
      <c r="K267" s="7"/>
      <c r="L267" s="7"/>
      <c r="M267" s="7"/>
      <c r="S267" s="7"/>
    </row>
    <row r="268">
      <c r="A268" s="231"/>
      <c r="B268" s="78"/>
      <c r="C268" s="623"/>
      <c r="D268" s="624"/>
      <c r="E268" s="66"/>
      <c r="F268" s="7"/>
      <c r="G268" s="7"/>
      <c r="H268" s="7"/>
      <c r="I268" s="7"/>
      <c r="J268" s="7"/>
      <c r="K268" s="7"/>
      <c r="L268" s="7"/>
      <c r="M268" s="7"/>
      <c r="S268" s="7"/>
    </row>
    <row r="269">
      <c r="A269" s="231"/>
      <c r="B269" s="78"/>
      <c r="C269" s="623"/>
      <c r="D269" s="624"/>
      <c r="E269" s="66"/>
      <c r="F269" s="7"/>
      <c r="G269" s="7"/>
      <c r="H269" s="7"/>
      <c r="I269" s="7"/>
      <c r="J269" s="7"/>
      <c r="K269" s="7"/>
      <c r="L269" s="7"/>
      <c r="M269" s="7"/>
      <c r="S269" s="7"/>
    </row>
    <row r="270">
      <c r="A270" s="231"/>
      <c r="B270" s="78"/>
      <c r="C270" s="623"/>
      <c r="D270" s="624"/>
      <c r="E270" s="66"/>
      <c r="F270" s="7"/>
      <c r="G270" s="7"/>
      <c r="H270" s="7"/>
      <c r="I270" s="7"/>
      <c r="J270" s="7"/>
      <c r="K270" s="7"/>
      <c r="L270" s="7"/>
      <c r="M270" s="7"/>
      <c r="S270" s="7"/>
    </row>
    <row r="271">
      <c r="A271" s="231"/>
      <c r="B271" s="78"/>
      <c r="C271" s="623"/>
      <c r="D271" s="624"/>
      <c r="E271" s="66"/>
      <c r="F271" s="7"/>
      <c r="G271" s="7"/>
      <c r="H271" s="7"/>
      <c r="I271" s="7"/>
      <c r="J271" s="7"/>
      <c r="K271" s="7"/>
      <c r="L271" s="7"/>
      <c r="M271" s="7"/>
      <c r="S271" s="7"/>
    </row>
    <row r="272">
      <c r="A272" s="231"/>
      <c r="B272" s="78"/>
      <c r="C272" s="623"/>
      <c r="D272" s="624"/>
      <c r="E272" s="66"/>
      <c r="F272" s="7"/>
      <c r="G272" s="7"/>
      <c r="H272" s="7"/>
      <c r="I272" s="7"/>
      <c r="J272" s="7"/>
      <c r="K272" s="7"/>
      <c r="L272" s="7"/>
      <c r="M272" s="7"/>
      <c r="S272" s="7"/>
    </row>
    <row r="273">
      <c r="A273" s="231"/>
      <c r="B273" s="78"/>
      <c r="C273" s="623"/>
      <c r="D273" s="624"/>
      <c r="E273" s="66"/>
      <c r="F273" s="7"/>
      <c r="G273" s="7"/>
      <c r="H273" s="7"/>
      <c r="I273" s="7"/>
      <c r="J273" s="7"/>
      <c r="K273" s="7"/>
      <c r="L273" s="7"/>
      <c r="M273" s="7"/>
      <c r="S273" s="7"/>
    </row>
    <row r="274">
      <c r="A274" s="231"/>
      <c r="B274" s="78"/>
      <c r="C274" s="623"/>
      <c r="D274" s="624"/>
      <c r="E274" s="66"/>
      <c r="F274" s="7"/>
      <c r="G274" s="7"/>
      <c r="H274" s="7"/>
      <c r="I274" s="7"/>
      <c r="J274" s="7"/>
      <c r="K274" s="7"/>
      <c r="L274" s="7"/>
      <c r="M274" s="7"/>
      <c r="S274" s="7"/>
    </row>
    <row r="275">
      <c r="A275" s="231"/>
      <c r="B275" s="78"/>
      <c r="C275" s="623"/>
      <c r="D275" s="624"/>
      <c r="E275" s="66"/>
      <c r="F275" s="7"/>
      <c r="G275" s="7"/>
      <c r="H275" s="7"/>
      <c r="I275" s="7"/>
      <c r="J275" s="7"/>
      <c r="K275" s="7"/>
      <c r="L275" s="7"/>
      <c r="M275" s="7"/>
      <c r="S275" s="7"/>
    </row>
    <row r="276">
      <c r="A276" s="231"/>
      <c r="B276" s="78"/>
      <c r="C276" s="623"/>
      <c r="D276" s="624"/>
      <c r="E276" s="66"/>
      <c r="F276" s="7"/>
      <c r="G276" s="7"/>
      <c r="H276" s="7"/>
      <c r="I276" s="7"/>
      <c r="J276" s="7"/>
      <c r="K276" s="7"/>
      <c r="L276" s="7"/>
      <c r="M276" s="7"/>
      <c r="S276" s="7"/>
    </row>
    <row r="277">
      <c r="A277" s="231"/>
      <c r="B277" s="78"/>
      <c r="C277" s="623"/>
      <c r="D277" s="624"/>
      <c r="E277" s="66"/>
      <c r="F277" s="7"/>
      <c r="G277" s="7"/>
      <c r="H277" s="7"/>
      <c r="I277" s="7"/>
      <c r="J277" s="7"/>
      <c r="K277" s="7"/>
      <c r="L277" s="7"/>
      <c r="M277" s="7"/>
      <c r="S277" s="7"/>
    </row>
    <row r="278">
      <c r="A278" s="231"/>
      <c r="B278" s="78"/>
      <c r="C278" s="623"/>
      <c r="D278" s="624"/>
      <c r="E278" s="66"/>
      <c r="F278" s="628"/>
      <c r="G278" s="7"/>
      <c r="H278" s="7"/>
      <c r="I278" s="7"/>
      <c r="J278" s="7"/>
      <c r="K278" s="7"/>
      <c r="L278" s="7"/>
      <c r="M278" s="7"/>
      <c r="S278" s="7"/>
    </row>
    <row r="279">
      <c r="A279" s="231"/>
      <c r="B279" s="78"/>
      <c r="C279" s="623"/>
      <c r="D279" s="624"/>
      <c r="E279" s="66"/>
      <c r="F279" s="7"/>
      <c r="G279" s="7"/>
      <c r="H279" s="7"/>
      <c r="I279" s="7"/>
      <c r="J279" s="7"/>
      <c r="K279" s="7"/>
      <c r="L279" s="7"/>
      <c r="M279" s="7"/>
      <c r="S279" s="7"/>
    </row>
    <row r="280">
      <c r="A280" s="231"/>
      <c r="B280" s="78"/>
      <c r="C280" s="623"/>
      <c r="D280" s="624"/>
      <c r="E280" s="66"/>
      <c r="F280" s="7"/>
      <c r="G280" s="7"/>
      <c r="H280" s="7"/>
      <c r="I280" s="7"/>
      <c r="J280" s="7"/>
      <c r="K280" s="7"/>
      <c r="L280" s="7"/>
      <c r="M280" s="7"/>
      <c r="S280" s="7"/>
    </row>
    <row r="281">
      <c r="A281" s="231"/>
      <c r="B281" s="78"/>
      <c r="C281" s="623"/>
      <c r="D281" s="624"/>
      <c r="E281" s="66"/>
      <c r="F281" s="7"/>
      <c r="G281" s="7"/>
      <c r="H281" s="7"/>
      <c r="I281" s="7"/>
      <c r="J281" s="7"/>
      <c r="K281" s="7"/>
      <c r="L281" s="7"/>
      <c r="M281" s="7"/>
      <c r="S281" s="7"/>
    </row>
    <row r="282">
      <c r="A282" s="231"/>
      <c r="B282" s="78"/>
      <c r="C282" s="623"/>
      <c r="D282" s="624"/>
      <c r="E282" s="66"/>
      <c r="F282" s="7"/>
      <c r="G282" s="7"/>
      <c r="H282" s="7"/>
      <c r="I282" s="7"/>
      <c r="J282" s="7"/>
      <c r="K282" s="7"/>
      <c r="L282" s="7"/>
      <c r="M282" s="7"/>
      <c r="S282" s="7"/>
    </row>
    <row r="283">
      <c r="A283" s="231"/>
      <c r="B283" s="78"/>
      <c r="C283" s="623"/>
      <c r="D283" s="624"/>
      <c r="E283" s="66"/>
      <c r="F283" s="7"/>
      <c r="G283" s="7"/>
      <c r="H283" s="7"/>
      <c r="I283" s="7"/>
      <c r="J283" s="7"/>
      <c r="K283" s="7"/>
      <c r="L283" s="7"/>
      <c r="M283" s="7"/>
      <c r="S283" s="7"/>
    </row>
    <row r="284">
      <c r="A284" s="231"/>
      <c r="B284" s="78"/>
      <c r="C284" s="623"/>
      <c r="D284" s="624"/>
      <c r="E284" s="66"/>
      <c r="F284" s="7"/>
      <c r="G284" s="7"/>
      <c r="H284" s="7"/>
      <c r="I284" s="7"/>
      <c r="J284" s="7"/>
      <c r="K284" s="7"/>
      <c r="L284" s="7"/>
      <c r="M284" s="7"/>
      <c r="S284" s="7"/>
    </row>
    <row r="285">
      <c r="A285" s="231"/>
      <c r="B285" s="78"/>
      <c r="C285" s="623"/>
      <c r="D285" s="624"/>
      <c r="E285" s="66"/>
      <c r="F285" s="7"/>
      <c r="G285" s="7"/>
      <c r="H285" s="7"/>
      <c r="I285" s="7"/>
      <c r="J285" s="7"/>
      <c r="K285" s="7"/>
      <c r="L285" s="7"/>
      <c r="M285" s="7"/>
      <c r="S285" s="7"/>
    </row>
    <row r="286">
      <c r="A286" s="231"/>
      <c r="B286" s="78"/>
      <c r="C286" s="623"/>
      <c r="D286" s="624"/>
      <c r="E286" s="66"/>
      <c r="F286" s="7"/>
      <c r="G286" s="7"/>
      <c r="H286" s="7"/>
      <c r="I286" s="7"/>
      <c r="J286" s="7"/>
      <c r="K286" s="7"/>
      <c r="L286" s="7"/>
      <c r="M286" s="7"/>
      <c r="S286" s="7"/>
    </row>
    <row r="287">
      <c r="A287" s="231"/>
      <c r="B287" s="78"/>
      <c r="C287" s="623"/>
      <c r="D287" s="624"/>
      <c r="E287" s="66"/>
      <c r="F287" s="7"/>
      <c r="G287" s="7"/>
      <c r="H287" s="7"/>
      <c r="I287" s="7"/>
      <c r="J287" s="7"/>
      <c r="K287" s="7"/>
      <c r="L287" s="7"/>
      <c r="M287" s="7"/>
      <c r="S287" s="7"/>
    </row>
    <row r="288">
      <c r="A288" s="231"/>
      <c r="B288" s="78"/>
      <c r="C288" s="623"/>
      <c r="D288" s="624"/>
      <c r="E288" s="66"/>
      <c r="F288" s="7"/>
      <c r="G288" s="7"/>
      <c r="H288" s="7"/>
      <c r="I288" s="7"/>
      <c r="J288" s="7"/>
      <c r="K288" s="7"/>
      <c r="L288" s="7"/>
      <c r="M288" s="7"/>
      <c r="S288" s="7"/>
    </row>
    <row r="289">
      <c r="A289" s="231"/>
      <c r="B289" s="78"/>
      <c r="C289" s="623"/>
      <c r="D289" s="624"/>
      <c r="E289" s="66"/>
      <c r="F289" s="7"/>
      <c r="G289" s="7"/>
      <c r="H289" s="7"/>
      <c r="I289" s="7"/>
      <c r="J289" s="7"/>
      <c r="K289" s="7"/>
      <c r="L289" s="7"/>
      <c r="M289" s="7"/>
      <c r="S289" s="7"/>
    </row>
    <row r="290">
      <c r="A290" s="231"/>
      <c r="B290" s="78"/>
      <c r="C290" s="623"/>
      <c r="D290" s="624"/>
      <c r="E290" s="66"/>
      <c r="F290" s="7"/>
      <c r="G290" s="7"/>
      <c r="H290" s="7"/>
      <c r="I290" s="7"/>
      <c r="J290" s="7"/>
      <c r="K290" s="7"/>
      <c r="L290" s="7"/>
      <c r="M290" s="7"/>
      <c r="S290" s="7"/>
    </row>
    <row r="291">
      <c r="A291" s="231"/>
      <c r="B291" s="78"/>
      <c r="C291" s="623"/>
      <c r="D291" s="624"/>
      <c r="E291" s="66"/>
      <c r="F291" s="7"/>
      <c r="G291" s="7"/>
      <c r="H291" s="7"/>
      <c r="I291" s="7"/>
      <c r="J291" s="7"/>
      <c r="K291" s="7"/>
      <c r="L291" s="7"/>
      <c r="M291" s="7"/>
      <c r="S291" s="7"/>
    </row>
    <row r="292">
      <c r="A292" s="231"/>
      <c r="B292" s="78"/>
      <c r="C292" s="623"/>
      <c r="D292" s="624"/>
      <c r="E292" s="66"/>
      <c r="F292" s="7"/>
      <c r="G292" s="7"/>
      <c r="H292" s="7"/>
      <c r="I292" s="7"/>
      <c r="J292" s="7"/>
      <c r="K292" s="7"/>
      <c r="L292" s="7"/>
      <c r="M292" s="7"/>
      <c r="S292" s="7"/>
    </row>
    <row r="293">
      <c r="A293" s="231"/>
      <c r="B293" s="78"/>
      <c r="C293" s="623"/>
      <c r="D293" s="624"/>
      <c r="E293" s="66"/>
      <c r="F293" s="7"/>
      <c r="G293" s="7"/>
      <c r="H293" s="7"/>
      <c r="I293" s="7"/>
      <c r="J293" s="7"/>
      <c r="K293" s="7"/>
      <c r="L293" s="7"/>
      <c r="M293" s="7"/>
      <c r="S293" s="7"/>
    </row>
    <row r="294">
      <c r="A294" s="231"/>
      <c r="B294" s="78"/>
      <c r="C294" s="623"/>
      <c r="D294" s="624"/>
      <c r="E294" s="66"/>
      <c r="F294" s="7"/>
      <c r="G294" s="7"/>
      <c r="H294" s="7"/>
      <c r="I294" s="7"/>
      <c r="J294" s="7"/>
      <c r="K294" s="7"/>
      <c r="L294" s="7"/>
      <c r="M294" s="7"/>
      <c r="S294" s="7"/>
    </row>
    <row r="295">
      <c r="A295" s="231"/>
      <c r="B295" s="78"/>
      <c r="C295" s="623"/>
      <c r="D295" s="624"/>
      <c r="E295" s="66"/>
      <c r="F295" s="7"/>
      <c r="G295" s="7"/>
      <c r="H295" s="7"/>
      <c r="I295" s="7"/>
      <c r="J295" s="7"/>
      <c r="K295" s="7"/>
      <c r="L295" s="7"/>
      <c r="M295" s="7"/>
      <c r="S295" s="7"/>
    </row>
    <row r="296">
      <c r="A296" s="231"/>
      <c r="B296" s="78"/>
      <c r="C296" s="623"/>
      <c r="D296" s="624"/>
      <c r="E296" s="66"/>
      <c r="F296" s="7"/>
      <c r="G296" s="7"/>
      <c r="H296" s="7"/>
      <c r="I296" s="7"/>
      <c r="J296" s="7"/>
      <c r="K296" s="7"/>
      <c r="L296" s="7"/>
      <c r="M296" s="7"/>
      <c r="S296" s="7"/>
    </row>
    <row r="297">
      <c r="A297" s="231"/>
      <c r="B297" s="78"/>
      <c r="C297" s="623"/>
      <c r="D297" s="624"/>
      <c r="E297" s="66"/>
      <c r="F297" s="7"/>
      <c r="G297" s="7"/>
      <c r="H297" s="7"/>
      <c r="I297" s="7"/>
      <c r="J297" s="7"/>
      <c r="K297" s="7"/>
      <c r="L297" s="7"/>
      <c r="M297" s="7"/>
      <c r="S297" s="7"/>
    </row>
    <row r="298">
      <c r="A298" s="231"/>
      <c r="B298" s="78"/>
      <c r="C298" s="623"/>
      <c r="D298" s="624"/>
      <c r="E298" s="66"/>
      <c r="F298" s="7"/>
      <c r="G298" s="7"/>
      <c r="H298" s="7"/>
      <c r="I298" s="7"/>
      <c r="J298" s="7"/>
      <c r="K298" s="7"/>
      <c r="L298" s="7"/>
      <c r="M298" s="7"/>
      <c r="S298" s="7"/>
    </row>
    <row r="299">
      <c r="A299" s="231"/>
      <c r="B299" s="78"/>
      <c r="C299" s="623"/>
      <c r="D299" s="624"/>
      <c r="E299" s="66"/>
      <c r="F299" s="7"/>
      <c r="G299" s="7"/>
      <c r="H299" s="7"/>
      <c r="I299" s="7"/>
      <c r="J299" s="7"/>
      <c r="K299" s="7"/>
      <c r="L299" s="7"/>
      <c r="M299" s="7"/>
      <c r="S299" s="7"/>
    </row>
    <row r="300">
      <c r="A300" s="231"/>
      <c r="B300" s="78"/>
      <c r="C300" s="623"/>
      <c r="D300" s="624"/>
      <c r="E300" s="66"/>
      <c r="F300" s="7"/>
      <c r="G300" s="7"/>
      <c r="H300" s="7"/>
      <c r="I300" s="7"/>
      <c r="J300" s="7"/>
      <c r="K300" s="7"/>
      <c r="L300" s="7"/>
      <c r="M300" s="7"/>
      <c r="S300" s="7"/>
    </row>
    <row r="301">
      <c r="A301" s="231"/>
      <c r="B301" s="78"/>
      <c r="C301" s="623"/>
      <c r="D301" s="624"/>
      <c r="E301" s="66"/>
      <c r="F301" s="7"/>
      <c r="G301" s="7"/>
      <c r="H301" s="7"/>
      <c r="I301" s="7"/>
      <c r="J301" s="7"/>
      <c r="K301" s="7"/>
      <c r="L301" s="7"/>
      <c r="M301" s="7"/>
      <c r="S301" s="7"/>
    </row>
    <row r="302">
      <c r="A302" s="231"/>
      <c r="B302" s="78"/>
      <c r="C302" s="623"/>
      <c r="D302" s="624"/>
      <c r="E302" s="66"/>
      <c r="F302" s="7"/>
      <c r="G302" s="7"/>
      <c r="H302" s="7"/>
      <c r="I302" s="7"/>
      <c r="J302" s="7"/>
      <c r="K302" s="7"/>
      <c r="L302" s="7"/>
      <c r="M302" s="7"/>
      <c r="S302" s="7"/>
    </row>
    <row r="303">
      <c r="A303" s="231"/>
      <c r="B303" s="78"/>
      <c r="C303" s="623"/>
      <c r="D303" s="624"/>
      <c r="E303" s="66"/>
      <c r="F303" s="7"/>
      <c r="G303" s="7"/>
      <c r="H303" s="7"/>
      <c r="I303" s="7"/>
      <c r="J303" s="7"/>
      <c r="K303" s="7"/>
      <c r="L303" s="7"/>
      <c r="M303" s="7"/>
      <c r="S303" s="7"/>
    </row>
    <row r="304">
      <c r="A304" s="231"/>
      <c r="B304" s="78"/>
      <c r="C304" s="623"/>
      <c r="D304" s="624"/>
      <c r="E304" s="66"/>
      <c r="F304" s="7"/>
      <c r="G304" s="7"/>
      <c r="H304" s="7"/>
      <c r="I304" s="7"/>
      <c r="J304" s="7"/>
      <c r="K304" s="7"/>
      <c r="L304" s="7"/>
      <c r="M304" s="7"/>
      <c r="S304" s="7"/>
    </row>
    <row r="305">
      <c r="A305" s="231"/>
      <c r="B305" s="78"/>
      <c r="C305" s="623"/>
      <c r="D305" s="624"/>
      <c r="E305" s="66"/>
      <c r="F305" s="7"/>
      <c r="G305" s="7"/>
      <c r="H305" s="7"/>
      <c r="I305" s="7"/>
      <c r="J305" s="7"/>
      <c r="K305" s="7"/>
      <c r="L305" s="7"/>
      <c r="M305" s="7"/>
      <c r="S305" s="7"/>
    </row>
    <row r="306">
      <c r="A306" s="231"/>
      <c r="B306" s="78"/>
      <c r="C306" s="623"/>
      <c r="D306" s="624"/>
      <c r="E306" s="66"/>
      <c r="F306" s="7"/>
      <c r="G306" s="7"/>
      <c r="H306" s="7"/>
      <c r="I306" s="7"/>
      <c r="J306" s="7"/>
      <c r="K306" s="7"/>
      <c r="L306" s="7"/>
      <c r="M306" s="7"/>
      <c r="S306" s="7"/>
    </row>
    <row r="307">
      <c r="A307" s="231"/>
      <c r="B307" s="78"/>
      <c r="C307" s="623"/>
      <c r="D307" s="624"/>
      <c r="E307" s="66"/>
      <c r="F307" s="7"/>
      <c r="G307" s="7"/>
      <c r="H307" s="7"/>
      <c r="I307" s="7"/>
      <c r="J307" s="7"/>
      <c r="K307" s="7"/>
      <c r="L307" s="7"/>
      <c r="M307" s="7"/>
      <c r="S307" s="7"/>
    </row>
    <row r="308">
      <c r="A308" s="231"/>
      <c r="B308" s="78"/>
      <c r="C308" s="623"/>
      <c r="D308" s="624"/>
      <c r="E308" s="66"/>
      <c r="F308" s="629"/>
      <c r="G308" s="7"/>
      <c r="H308" s="7"/>
      <c r="I308" s="7"/>
      <c r="J308" s="7"/>
      <c r="K308" s="7"/>
      <c r="L308" s="7"/>
      <c r="M308" s="7"/>
      <c r="S308" s="7"/>
    </row>
    <row r="309">
      <c r="A309" s="231"/>
      <c r="B309" s="78"/>
      <c r="C309" s="623"/>
      <c r="D309" s="624"/>
      <c r="E309" s="66"/>
      <c r="F309" s="7"/>
      <c r="G309" s="7"/>
      <c r="H309" s="7"/>
      <c r="I309" s="7"/>
      <c r="J309" s="7"/>
      <c r="K309" s="7"/>
      <c r="L309" s="7"/>
      <c r="M309" s="7"/>
      <c r="S309" s="7"/>
    </row>
    <row r="310">
      <c r="A310" s="231"/>
      <c r="B310" s="78"/>
      <c r="C310" s="623"/>
      <c r="D310" s="624"/>
      <c r="E310" s="66"/>
      <c r="F310" s="7"/>
      <c r="G310" s="7"/>
      <c r="H310" s="7"/>
      <c r="I310" s="7"/>
      <c r="J310" s="7"/>
      <c r="K310" s="7"/>
      <c r="L310" s="7"/>
      <c r="M310" s="7"/>
      <c r="S310" s="7"/>
    </row>
    <row r="311">
      <c r="A311" s="231"/>
      <c r="B311" s="78"/>
      <c r="C311" s="623"/>
      <c r="D311" s="624"/>
      <c r="E311" s="66"/>
      <c r="F311" s="7"/>
      <c r="G311" s="7"/>
      <c r="H311" s="7"/>
      <c r="I311" s="7"/>
      <c r="J311" s="7"/>
      <c r="K311" s="7"/>
      <c r="L311" s="7"/>
      <c r="M311" s="7"/>
      <c r="S311" s="7"/>
    </row>
    <row r="312">
      <c r="A312" s="231"/>
      <c r="B312" s="78"/>
      <c r="C312" s="623"/>
      <c r="D312" s="624"/>
      <c r="E312" s="66"/>
      <c r="F312" s="7"/>
      <c r="G312" s="7"/>
      <c r="H312" s="7"/>
      <c r="I312" s="7"/>
      <c r="J312" s="7"/>
      <c r="K312" s="7"/>
      <c r="L312" s="7"/>
      <c r="M312" s="7"/>
      <c r="S312" s="7"/>
    </row>
    <row r="313">
      <c r="A313" s="231"/>
      <c r="B313" s="78"/>
      <c r="C313" s="623"/>
      <c r="D313" s="624"/>
      <c r="E313" s="66"/>
      <c r="F313" s="7"/>
      <c r="G313" s="7"/>
      <c r="H313" s="7"/>
      <c r="I313" s="7"/>
      <c r="J313" s="7"/>
      <c r="K313" s="7"/>
      <c r="L313" s="7"/>
      <c r="M313" s="7"/>
      <c r="S313" s="7"/>
    </row>
    <row r="314">
      <c r="A314" s="231"/>
      <c r="B314" s="78"/>
      <c r="C314" s="623"/>
      <c r="D314" s="624"/>
      <c r="E314" s="66"/>
      <c r="F314" s="7"/>
      <c r="G314" s="7"/>
      <c r="H314" s="7"/>
      <c r="I314" s="7"/>
      <c r="J314" s="7"/>
      <c r="K314" s="7"/>
      <c r="L314" s="7"/>
      <c r="M314" s="7"/>
      <c r="S314" s="7"/>
    </row>
    <row r="315">
      <c r="A315" s="231"/>
      <c r="B315" s="78"/>
      <c r="C315" s="623"/>
      <c r="D315" s="624"/>
      <c r="E315" s="66"/>
      <c r="F315" s="7"/>
      <c r="G315" s="7"/>
      <c r="H315" s="7"/>
      <c r="I315" s="7"/>
      <c r="J315" s="7"/>
      <c r="K315" s="7"/>
      <c r="L315" s="7"/>
      <c r="M315" s="7"/>
      <c r="S315" s="7"/>
    </row>
    <row r="316">
      <c r="A316" s="231"/>
      <c r="B316" s="78"/>
      <c r="C316" s="623"/>
      <c r="D316" s="624"/>
      <c r="E316" s="66"/>
      <c r="F316" s="7"/>
      <c r="G316" s="7"/>
      <c r="H316" s="7"/>
      <c r="I316" s="7"/>
      <c r="J316" s="7"/>
      <c r="K316" s="7"/>
      <c r="L316" s="7"/>
      <c r="M316" s="7"/>
      <c r="S316" s="7"/>
    </row>
    <row r="317">
      <c r="A317" s="231"/>
      <c r="B317" s="78"/>
      <c r="C317" s="623"/>
      <c r="D317" s="624"/>
      <c r="E317" s="66"/>
      <c r="F317" s="7"/>
      <c r="G317" s="7"/>
      <c r="H317" s="7"/>
      <c r="I317" s="7"/>
      <c r="J317" s="7"/>
      <c r="K317" s="7"/>
      <c r="L317" s="7"/>
      <c r="M317" s="7"/>
      <c r="S317" s="7"/>
    </row>
    <row r="318">
      <c r="A318" s="231"/>
      <c r="B318" s="78"/>
      <c r="C318" s="623"/>
      <c r="D318" s="624"/>
      <c r="E318" s="66"/>
      <c r="F318" s="7"/>
      <c r="G318" s="7"/>
      <c r="H318" s="7"/>
      <c r="I318" s="7"/>
      <c r="J318" s="7"/>
      <c r="K318" s="7"/>
      <c r="L318" s="7"/>
      <c r="M318" s="7"/>
      <c r="S318" s="7"/>
    </row>
    <row r="319">
      <c r="A319" s="231"/>
      <c r="B319" s="78"/>
      <c r="C319" s="623"/>
      <c r="D319" s="624"/>
      <c r="E319" s="66"/>
      <c r="F319" s="7"/>
      <c r="G319" s="7"/>
      <c r="H319" s="7"/>
      <c r="I319" s="7"/>
      <c r="J319" s="7"/>
      <c r="K319" s="7"/>
      <c r="L319" s="7"/>
      <c r="M319" s="7"/>
      <c r="S319" s="7"/>
    </row>
    <row r="320">
      <c r="A320" s="231"/>
      <c r="B320" s="78"/>
      <c r="C320" s="623"/>
      <c r="D320" s="624"/>
      <c r="E320" s="66"/>
      <c r="F320" s="7"/>
      <c r="G320" s="7"/>
      <c r="H320" s="7"/>
      <c r="I320" s="7"/>
      <c r="J320" s="7"/>
      <c r="K320" s="7"/>
      <c r="L320" s="7"/>
      <c r="M320" s="7"/>
      <c r="S320" s="7"/>
    </row>
    <row r="321">
      <c r="A321" s="231"/>
      <c r="B321" s="78"/>
      <c r="C321" s="623"/>
      <c r="D321" s="624"/>
      <c r="E321" s="66"/>
      <c r="F321" s="7"/>
      <c r="G321" s="7"/>
      <c r="H321" s="7"/>
      <c r="I321" s="7"/>
      <c r="J321" s="7"/>
      <c r="K321" s="7"/>
      <c r="L321" s="7"/>
      <c r="M321" s="7"/>
      <c r="S321" s="7"/>
    </row>
    <row r="322">
      <c r="A322" s="231"/>
      <c r="B322" s="78"/>
      <c r="C322" s="623"/>
      <c r="D322" s="624"/>
      <c r="E322" s="66"/>
      <c r="F322" s="7"/>
      <c r="G322" s="7"/>
      <c r="H322" s="7"/>
      <c r="I322" s="7"/>
      <c r="J322" s="7"/>
      <c r="K322" s="7"/>
      <c r="L322" s="7"/>
      <c r="M322" s="7"/>
      <c r="S322" s="7"/>
    </row>
    <row r="323">
      <c r="A323" s="231"/>
      <c r="B323" s="78"/>
      <c r="C323" s="623"/>
      <c r="D323" s="624"/>
      <c r="E323" s="66"/>
      <c r="F323" s="7"/>
      <c r="G323" s="7"/>
      <c r="H323" s="7"/>
      <c r="I323" s="7"/>
      <c r="J323" s="7"/>
      <c r="K323" s="7"/>
      <c r="L323" s="7"/>
      <c r="M323" s="7"/>
      <c r="S323" s="7"/>
    </row>
    <row r="324">
      <c r="A324" s="231"/>
      <c r="B324" s="78"/>
      <c r="C324" s="623"/>
      <c r="D324" s="624"/>
      <c r="E324" s="66"/>
      <c r="F324" s="7"/>
      <c r="G324" s="7"/>
      <c r="H324" s="7"/>
      <c r="I324" s="7"/>
      <c r="J324" s="7"/>
      <c r="K324" s="7"/>
      <c r="L324" s="7"/>
      <c r="M324" s="7"/>
      <c r="S324" s="7"/>
    </row>
    <row r="325">
      <c r="A325" s="231"/>
      <c r="B325" s="78"/>
      <c r="C325" s="623"/>
      <c r="D325" s="624"/>
      <c r="E325" s="66"/>
      <c r="F325" s="7"/>
      <c r="G325" s="7"/>
      <c r="H325" s="7"/>
      <c r="I325" s="7"/>
      <c r="J325" s="7"/>
      <c r="K325" s="7"/>
      <c r="L325" s="7"/>
      <c r="M325" s="7"/>
      <c r="S325" s="7"/>
    </row>
    <row r="326">
      <c r="A326" s="231"/>
      <c r="B326" s="78"/>
      <c r="C326" s="623"/>
      <c r="D326" s="624"/>
      <c r="E326" s="66"/>
      <c r="F326" s="7"/>
      <c r="G326" s="7"/>
      <c r="H326" s="7"/>
      <c r="I326" s="7"/>
      <c r="J326" s="7"/>
      <c r="K326" s="7"/>
      <c r="L326" s="7"/>
      <c r="M326" s="7"/>
      <c r="S326" s="7"/>
    </row>
    <row r="327">
      <c r="A327" s="231"/>
      <c r="B327" s="78"/>
      <c r="C327" s="623"/>
      <c r="D327" s="624"/>
      <c r="E327" s="66"/>
      <c r="F327" s="7"/>
      <c r="G327" s="7"/>
      <c r="H327" s="7"/>
      <c r="I327" s="7"/>
      <c r="J327" s="7"/>
      <c r="K327" s="7"/>
      <c r="L327" s="7"/>
      <c r="M327" s="7"/>
      <c r="S327" s="7"/>
    </row>
    <row r="328">
      <c r="A328" s="231"/>
      <c r="B328" s="78"/>
      <c r="C328" s="623"/>
      <c r="D328" s="624"/>
      <c r="E328" s="66"/>
      <c r="F328" s="7"/>
      <c r="G328" s="7"/>
      <c r="H328" s="7"/>
      <c r="I328" s="7"/>
      <c r="J328" s="7"/>
      <c r="K328" s="7"/>
      <c r="L328" s="7"/>
      <c r="M328" s="7"/>
      <c r="S328" s="7"/>
    </row>
    <row r="329">
      <c r="A329" s="231"/>
      <c r="B329" s="78"/>
      <c r="C329" s="623"/>
      <c r="D329" s="624"/>
      <c r="E329" s="630"/>
      <c r="F329" s="7"/>
      <c r="G329" s="7"/>
      <c r="H329" s="7"/>
      <c r="I329" s="7"/>
      <c r="J329" s="7"/>
      <c r="K329" s="7"/>
      <c r="L329" s="7"/>
      <c r="M329" s="7"/>
      <c r="S329" s="7"/>
    </row>
    <row r="330">
      <c r="A330" s="231"/>
      <c r="B330" s="78"/>
      <c r="C330" s="623"/>
      <c r="D330" s="624"/>
      <c r="E330" s="66"/>
      <c r="F330" s="7"/>
      <c r="G330" s="7"/>
      <c r="H330" s="7"/>
      <c r="I330" s="7"/>
      <c r="J330" s="7"/>
      <c r="K330" s="7"/>
      <c r="L330" s="7"/>
      <c r="M330" s="7"/>
      <c r="S330" s="7"/>
    </row>
    <row r="331">
      <c r="A331" s="231"/>
      <c r="B331" s="78"/>
      <c r="C331" s="623"/>
      <c r="D331" s="624"/>
      <c r="E331" s="66"/>
      <c r="F331" s="7"/>
      <c r="G331" s="7"/>
      <c r="H331" s="7"/>
      <c r="I331" s="7"/>
      <c r="J331" s="7"/>
      <c r="K331" s="7"/>
      <c r="L331" s="7"/>
      <c r="M331" s="7"/>
      <c r="S331" s="7"/>
    </row>
    <row r="332">
      <c r="A332" s="231"/>
      <c r="B332" s="78"/>
      <c r="C332" s="623"/>
      <c r="D332" s="624"/>
      <c r="E332" s="66"/>
      <c r="F332" s="7"/>
      <c r="G332" s="7"/>
      <c r="H332" s="7"/>
      <c r="I332" s="7"/>
      <c r="J332" s="7"/>
      <c r="K332" s="7"/>
      <c r="L332" s="7"/>
      <c r="M332" s="7"/>
      <c r="S332" s="7"/>
    </row>
    <row r="333">
      <c r="A333" s="231"/>
      <c r="B333" s="78"/>
      <c r="C333" s="623"/>
      <c r="D333" s="624"/>
      <c r="E333" s="66"/>
      <c r="F333" s="7"/>
      <c r="G333" s="7"/>
      <c r="H333" s="7"/>
      <c r="I333" s="7"/>
      <c r="J333" s="7"/>
      <c r="K333" s="7"/>
      <c r="L333" s="7"/>
      <c r="M333" s="7"/>
      <c r="S333" s="7"/>
    </row>
    <row r="334">
      <c r="A334" s="231"/>
      <c r="B334" s="78"/>
      <c r="C334" s="623"/>
      <c r="D334" s="624"/>
      <c r="E334" s="66"/>
      <c r="F334" s="7"/>
      <c r="G334" s="7"/>
      <c r="H334" s="7"/>
      <c r="I334" s="7"/>
      <c r="J334" s="7"/>
      <c r="K334" s="7"/>
      <c r="L334" s="7"/>
      <c r="M334" s="7"/>
      <c r="S334" s="7"/>
    </row>
    <row r="335">
      <c r="A335" s="231"/>
      <c r="B335" s="78"/>
      <c r="C335" s="623"/>
      <c r="D335" s="624"/>
      <c r="E335" s="66"/>
      <c r="F335" s="7"/>
      <c r="G335" s="7"/>
      <c r="H335" s="7"/>
      <c r="I335" s="7"/>
      <c r="J335" s="7"/>
      <c r="K335" s="7"/>
      <c r="L335" s="7"/>
      <c r="M335" s="7"/>
      <c r="S335" s="7"/>
    </row>
    <row r="336">
      <c r="A336" s="231"/>
      <c r="B336" s="78"/>
      <c r="C336" s="623"/>
      <c r="D336" s="624"/>
      <c r="E336" s="66"/>
      <c r="F336" s="7"/>
      <c r="G336" s="7"/>
      <c r="H336" s="7"/>
      <c r="I336" s="7"/>
      <c r="J336" s="7"/>
      <c r="K336" s="7"/>
      <c r="L336" s="7"/>
      <c r="M336" s="7"/>
      <c r="S336" s="7"/>
    </row>
    <row r="337">
      <c r="A337" s="231"/>
      <c r="B337" s="78"/>
      <c r="C337" s="623"/>
      <c r="D337" s="624"/>
      <c r="E337" s="66"/>
      <c r="F337" s="7"/>
      <c r="G337" s="7"/>
      <c r="H337" s="7"/>
      <c r="I337" s="7"/>
      <c r="J337" s="7"/>
      <c r="K337" s="7"/>
      <c r="L337" s="7"/>
      <c r="M337" s="7"/>
      <c r="S337" s="7"/>
    </row>
    <row r="338">
      <c r="A338" s="231"/>
      <c r="B338" s="78"/>
      <c r="C338" s="623"/>
      <c r="D338" s="624"/>
      <c r="E338" s="66"/>
      <c r="F338" s="7"/>
      <c r="G338" s="7"/>
      <c r="H338" s="7"/>
      <c r="I338" s="7"/>
      <c r="J338" s="7"/>
      <c r="K338" s="7"/>
      <c r="L338" s="7"/>
      <c r="M338" s="7"/>
      <c r="S338" s="7"/>
    </row>
    <row r="339">
      <c r="A339" s="231"/>
      <c r="B339" s="78"/>
      <c r="C339" s="623"/>
      <c r="D339" s="624"/>
      <c r="E339" s="66"/>
      <c r="F339" s="7"/>
      <c r="G339" s="7"/>
      <c r="H339" s="7"/>
      <c r="I339" s="7"/>
      <c r="J339" s="7"/>
      <c r="K339" s="7"/>
      <c r="L339" s="7"/>
      <c r="M339" s="7"/>
      <c r="S339" s="7"/>
    </row>
    <row r="340">
      <c r="A340" s="231"/>
      <c r="B340" s="78"/>
      <c r="C340" s="623"/>
      <c r="D340" s="624"/>
      <c r="E340" s="66"/>
      <c r="F340" s="7"/>
      <c r="G340" s="7"/>
      <c r="H340" s="7"/>
      <c r="I340" s="7"/>
      <c r="J340" s="7"/>
      <c r="K340" s="7"/>
      <c r="L340" s="7"/>
      <c r="M340" s="7"/>
      <c r="S340" s="7"/>
    </row>
    <row r="341">
      <c r="A341" s="231"/>
      <c r="B341" s="78"/>
      <c r="C341" s="623"/>
      <c r="D341" s="624"/>
      <c r="E341" s="66"/>
      <c r="F341" s="7"/>
      <c r="G341" s="7"/>
      <c r="H341" s="7"/>
      <c r="I341" s="7"/>
      <c r="J341" s="7"/>
      <c r="K341" s="7"/>
      <c r="L341" s="7"/>
      <c r="M341" s="7"/>
      <c r="S341" s="7"/>
    </row>
    <row r="342">
      <c r="A342" s="231"/>
      <c r="B342" s="78"/>
      <c r="C342" s="623"/>
      <c r="D342" s="624"/>
      <c r="E342" s="66"/>
      <c r="F342" s="7"/>
      <c r="G342" s="7"/>
      <c r="H342" s="7"/>
      <c r="I342" s="7"/>
      <c r="J342" s="7"/>
      <c r="K342" s="7"/>
      <c r="L342" s="7"/>
      <c r="M342" s="7"/>
      <c r="S342" s="7"/>
    </row>
    <row r="343">
      <c r="A343" s="231"/>
      <c r="B343" s="78"/>
      <c r="C343" s="623"/>
      <c r="D343" s="624"/>
      <c r="E343" s="66"/>
      <c r="F343" s="7"/>
      <c r="G343" s="7"/>
      <c r="H343" s="7"/>
      <c r="I343" s="7"/>
      <c r="J343" s="7"/>
      <c r="K343" s="7"/>
      <c r="L343" s="7"/>
      <c r="M343" s="7"/>
      <c r="S343" s="7"/>
    </row>
    <row r="344">
      <c r="A344" s="231"/>
      <c r="B344" s="78"/>
      <c r="C344" s="623"/>
      <c r="D344" s="624"/>
      <c r="E344" s="66"/>
      <c r="F344" s="7"/>
      <c r="G344" s="7"/>
      <c r="H344" s="7"/>
      <c r="I344" s="7"/>
      <c r="J344" s="7"/>
      <c r="K344" s="7"/>
      <c r="L344" s="7"/>
      <c r="M344" s="7"/>
      <c r="S344" s="7"/>
    </row>
    <row r="345">
      <c r="A345" s="231"/>
      <c r="B345" s="78"/>
      <c r="C345" s="623"/>
      <c r="D345" s="624"/>
      <c r="E345" s="66"/>
      <c r="F345" s="7"/>
      <c r="G345" s="7"/>
      <c r="H345" s="7"/>
      <c r="I345" s="7"/>
      <c r="J345" s="7"/>
      <c r="K345" s="7"/>
      <c r="L345" s="7"/>
      <c r="M345" s="7"/>
      <c r="S345" s="7"/>
    </row>
    <row r="346">
      <c r="A346" s="231"/>
      <c r="B346" s="78"/>
      <c r="C346" s="623"/>
      <c r="D346" s="624"/>
      <c r="E346" s="66"/>
      <c r="F346" s="7"/>
      <c r="G346" s="7"/>
      <c r="H346" s="7"/>
      <c r="I346" s="7"/>
      <c r="J346" s="7"/>
      <c r="K346" s="7"/>
      <c r="L346" s="7"/>
      <c r="M346" s="7"/>
      <c r="S346" s="7"/>
    </row>
    <row r="347">
      <c r="A347" s="231"/>
      <c r="B347" s="78"/>
      <c r="C347" s="623"/>
      <c r="D347" s="624"/>
      <c r="E347" s="66"/>
      <c r="F347" s="7"/>
      <c r="G347" s="7"/>
      <c r="H347" s="7"/>
      <c r="I347" s="7"/>
      <c r="J347" s="7"/>
      <c r="K347" s="7"/>
      <c r="L347" s="7"/>
      <c r="M347" s="7"/>
      <c r="S347" s="7"/>
    </row>
    <row r="348">
      <c r="A348" s="231"/>
      <c r="B348" s="78"/>
      <c r="C348" s="623"/>
      <c r="D348" s="624"/>
      <c r="E348" s="66"/>
      <c r="F348" s="7"/>
      <c r="G348" s="7"/>
      <c r="H348" s="7"/>
      <c r="I348" s="7"/>
      <c r="J348" s="7"/>
      <c r="K348" s="7"/>
      <c r="L348" s="7"/>
      <c r="M348" s="7"/>
      <c r="S348" s="7"/>
    </row>
    <row r="349">
      <c r="A349" s="231"/>
      <c r="B349" s="78"/>
      <c r="C349" s="623"/>
      <c r="D349" s="624"/>
      <c r="E349" s="66"/>
      <c r="F349" s="7"/>
      <c r="G349" s="7"/>
      <c r="H349" s="7"/>
      <c r="I349" s="7"/>
      <c r="J349" s="7"/>
      <c r="K349" s="7"/>
      <c r="L349" s="7"/>
      <c r="M349" s="7"/>
      <c r="S349" s="7"/>
    </row>
    <row r="350">
      <c r="A350" s="231"/>
      <c r="B350" s="78"/>
      <c r="C350" s="623"/>
      <c r="D350" s="624"/>
      <c r="E350" s="66"/>
      <c r="F350" s="7"/>
      <c r="G350" s="7"/>
      <c r="H350" s="7"/>
      <c r="I350" s="7"/>
      <c r="J350" s="7"/>
      <c r="K350" s="7"/>
      <c r="L350" s="7"/>
      <c r="M350" s="7"/>
      <c r="S350" s="7"/>
    </row>
    <row r="351">
      <c r="A351" s="231"/>
      <c r="B351" s="78"/>
      <c r="C351" s="623"/>
      <c r="D351" s="624"/>
      <c r="E351" s="66"/>
      <c r="F351" s="7"/>
      <c r="G351" s="7"/>
      <c r="H351" s="7"/>
      <c r="I351" s="7"/>
      <c r="J351" s="7"/>
      <c r="K351" s="7"/>
      <c r="L351" s="7"/>
      <c r="M351" s="7"/>
      <c r="S351" s="7"/>
    </row>
    <row r="352">
      <c r="A352" s="231"/>
      <c r="B352" s="78"/>
      <c r="C352" s="623"/>
      <c r="D352" s="624"/>
      <c r="E352" s="66"/>
      <c r="F352" s="7"/>
      <c r="G352" s="7"/>
      <c r="H352" s="7"/>
      <c r="I352" s="7"/>
      <c r="J352" s="7"/>
      <c r="K352" s="7"/>
      <c r="L352" s="7"/>
      <c r="M352" s="7"/>
      <c r="S352" s="7"/>
    </row>
    <row r="353">
      <c r="A353" s="231"/>
      <c r="B353" s="78"/>
      <c r="C353" s="623"/>
      <c r="D353" s="624"/>
      <c r="E353" s="66"/>
      <c r="F353" s="7"/>
      <c r="G353" s="7"/>
      <c r="H353" s="7"/>
      <c r="I353" s="7"/>
      <c r="J353" s="7"/>
      <c r="K353" s="7"/>
      <c r="L353" s="7"/>
      <c r="M353" s="7"/>
      <c r="S353" s="7"/>
    </row>
    <row r="354">
      <c r="A354" s="231"/>
      <c r="B354" s="78"/>
      <c r="C354" s="623"/>
      <c r="D354" s="624"/>
      <c r="E354" s="66"/>
      <c r="F354" s="7"/>
      <c r="G354" s="7"/>
      <c r="H354" s="7"/>
      <c r="I354" s="7"/>
      <c r="J354" s="7"/>
      <c r="K354" s="7"/>
      <c r="L354" s="7"/>
      <c r="M354" s="7"/>
      <c r="S354" s="7"/>
    </row>
    <row r="355">
      <c r="A355" s="231"/>
      <c r="B355" s="78"/>
      <c r="C355" s="623"/>
      <c r="D355" s="624"/>
      <c r="E355" s="66"/>
      <c r="F355" s="7"/>
      <c r="G355" s="7"/>
      <c r="H355" s="7"/>
      <c r="I355" s="7"/>
      <c r="J355" s="7"/>
      <c r="K355" s="7"/>
      <c r="L355" s="7"/>
      <c r="M355" s="7"/>
      <c r="S355" s="7"/>
    </row>
    <row r="356">
      <c r="A356" s="231"/>
      <c r="B356" s="78"/>
      <c r="C356" s="623"/>
      <c r="D356" s="624"/>
      <c r="E356" s="66"/>
      <c r="F356" s="7"/>
      <c r="G356" s="7"/>
      <c r="H356" s="7"/>
      <c r="I356" s="7"/>
      <c r="J356" s="7"/>
      <c r="K356" s="7"/>
      <c r="L356" s="7"/>
      <c r="M356" s="7"/>
      <c r="S356" s="7"/>
    </row>
    <row r="357">
      <c r="A357" s="231"/>
      <c r="B357" s="78"/>
      <c r="C357" s="623"/>
      <c r="D357" s="624"/>
      <c r="E357" s="66"/>
      <c r="F357" s="7"/>
      <c r="G357" s="7"/>
      <c r="H357" s="7"/>
      <c r="I357" s="7"/>
      <c r="J357" s="7"/>
      <c r="K357" s="7"/>
      <c r="L357" s="7"/>
      <c r="M357" s="7"/>
      <c r="S357" s="7"/>
    </row>
    <row r="358">
      <c r="A358" s="231"/>
      <c r="B358" s="78"/>
      <c r="C358" s="623"/>
      <c r="D358" s="624"/>
      <c r="E358" s="66"/>
      <c r="F358" s="7"/>
      <c r="G358" s="7"/>
      <c r="H358" s="7"/>
      <c r="I358" s="7"/>
      <c r="J358" s="7"/>
      <c r="K358" s="7"/>
      <c r="L358" s="7"/>
      <c r="M358" s="7"/>
      <c r="S358" s="7"/>
    </row>
    <row r="359">
      <c r="A359" s="231"/>
      <c r="B359" s="78"/>
      <c r="C359" s="623"/>
      <c r="D359" s="624"/>
      <c r="E359" s="66"/>
      <c r="F359" s="7"/>
      <c r="G359" s="7"/>
      <c r="H359" s="7"/>
      <c r="I359" s="7"/>
      <c r="J359" s="7"/>
      <c r="K359" s="7"/>
      <c r="L359" s="7"/>
      <c r="M359" s="7"/>
      <c r="S359" s="7"/>
    </row>
    <row r="360">
      <c r="A360" s="231"/>
      <c r="B360" s="78"/>
      <c r="C360" s="623"/>
      <c r="D360" s="624"/>
      <c r="E360" s="66"/>
      <c r="F360" s="7"/>
      <c r="G360" s="7"/>
      <c r="H360" s="7"/>
      <c r="I360" s="7"/>
      <c r="J360" s="7"/>
      <c r="K360" s="7"/>
      <c r="L360" s="7"/>
      <c r="M360" s="7"/>
      <c r="S360" s="7"/>
    </row>
    <row r="361">
      <c r="A361" s="231"/>
      <c r="B361" s="78"/>
      <c r="C361" s="623"/>
      <c r="D361" s="624"/>
      <c r="E361" s="66"/>
      <c r="F361" s="7"/>
      <c r="G361" s="7"/>
      <c r="H361" s="7"/>
      <c r="I361" s="7"/>
      <c r="J361" s="7"/>
      <c r="K361" s="7"/>
      <c r="L361" s="7"/>
      <c r="M361" s="7"/>
      <c r="S361" s="7"/>
    </row>
    <row r="362">
      <c r="A362" s="231"/>
      <c r="B362" s="78"/>
      <c r="C362" s="623"/>
      <c r="D362" s="624"/>
      <c r="E362" s="66"/>
      <c r="F362" s="7"/>
      <c r="G362" s="7"/>
      <c r="H362" s="7"/>
      <c r="I362" s="7"/>
      <c r="J362" s="7"/>
      <c r="K362" s="7"/>
      <c r="L362" s="7"/>
      <c r="M362" s="7"/>
      <c r="S362" s="7"/>
    </row>
    <row r="363">
      <c r="A363" s="231"/>
      <c r="B363" s="78"/>
      <c r="C363" s="623"/>
      <c r="D363" s="624"/>
      <c r="E363" s="66"/>
      <c r="F363" s="7"/>
      <c r="G363" s="7"/>
      <c r="H363" s="7"/>
      <c r="I363" s="7"/>
      <c r="J363" s="7"/>
      <c r="K363" s="7"/>
      <c r="L363" s="7"/>
      <c r="M363" s="7"/>
      <c r="S363" s="7"/>
    </row>
    <row r="364">
      <c r="A364" s="231"/>
      <c r="B364" s="78"/>
      <c r="C364" s="623"/>
      <c r="D364" s="624"/>
      <c r="E364" s="66"/>
      <c r="F364" s="7"/>
      <c r="G364" s="7"/>
      <c r="H364" s="7"/>
      <c r="I364" s="7"/>
      <c r="J364" s="7"/>
      <c r="K364" s="7"/>
      <c r="L364" s="7"/>
      <c r="M364" s="7"/>
      <c r="S364" s="7"/>
    </row>
    <row r="365">
      <c r="A365" s="231"/>
      <c r="B365" s="78"/>
      <c r="C365" s="623"/>
      <c r="D365" s="624"/>
      <c r="E365" s="66"/>
      <c r="F365" s="7"/>
      <c r="G365" s="7"/>
      <c r="H365" s="7"/>
      <c r="I365" s="7"/>
      <c r="J365" s="7"/>
      <c r="K365" s="7"/>
      <c r="L365" s="7"/>
      <c r="M365" s="7"/>
      <c r="S365" s="7"/>
    </row>
    <row r="366">
      <c r="A366" s="231"/>
      <c r="B366" s="78"/>
      <c r="C366" s="623"/>
      <c r="D366" s="624"/>
      <c r="E366" s="66"/>
      <c r="F366" s="7"/>
      <c r="G366" s="7"/>
      <c r="H366" s="7"/>
      <c r="I366" s="7"/>
      <c r="J366" s="7"/>
      <c r="K366" s="7"/>
      <c r="L366" s="7"/>
      <c r="M366" s="7"/>
      <c r="S366" s="7"/>
    </row>
    <row r="367">
      <c r="A367" s="231"/>
      <c r="B367" s="78"/>
      <c r="C367" s="623"/>
      <c r="D367" s="624"/>
      <c r="E367" s="66"/>
      <c r="F367" s="7"/>
      <c r="G367" s="7"/>
      <c r="H367" s="7"/>
      <c r="I367" s="7"/>
      <c r="J367" s="7"/>
      <c r="K367" s="7"/>
      <c r="L367" s="7"/>
      <c r="M367" s="7"/>
      <c r="S367" s="7"/>
    </row>
    <row r="368">
      <c r="A368" s="231"/>
      <c r="B368" s="78"/>
      <c r="C368" s="623"/>
      <c r="D368" s="624"/>
      <c r="E368" s="66"/>
      <c r="F368" s="7"/>
      <c r="G368" s="7"/>
      <c r="H368" s="7"/>
      <c r="I368" s="7"/>
      <c r="J368" s="7"/>
      <c r="K368" s="7"/>
      <c r="L368" s="7"/>
      <c r="M368" s="7"/>
      <c r="S368" s="7"/>
    </row>
    <row r="369">
      <c r="A369" s="231"/>
      <c r="B369" s="78"/>
      <c r="C369" s="623"/>
      <c r="D369" s="624"/>
      <c r="E369" s="66"/>
      <c r="F369" s="7"/>
      <c r="G369" s="7"/>
      <c r="H369" s="7"/>
      <c r="I369" s="7"/>
      <c r="J369" s="7"/>
      <c r="K369" s="7"/>
      <c r="L369" s="7"/>
      <c r="M369" s="7"/>
      <c r="S369" s="7"/>
    </row>
    <row r="370">
      <c r="A370" s="231"/>
      <c r="B370" s="78"/>
      <c r="C370" s="623"/>
      <c r="D370" s="624"/>
      <c r="E370" s="66"/>
      <c r="F370" s="7"/>
      <c r="G370" s="7"/>
      <c r="H370" s="7"/>
      <c r="I370" s="7"/>
      <c r="J370" s="7"/>
      <c r="K370" s="7"/>
      <c r="L370" s="7"/>
      <c r="M370" s="7"/>
      <c r="S370" s="7"/>
    </row>
    <row r="371">
      <c r="A371" s="231"/>
      <c r="B371" s="78"/>
      <c r="C371" s="623"/>
      <c r="D371" s="624"/>
      <c r="E371" s="66"/>
      <c r="F371" s="7"/>
      <c r="G371" s="7"/>
      <c r="H371" s="7"/>
      <c r="I371" s="7"/>
      <c r="J371" s="7"/>
      <c r="K371" s="7"/>
      <c r="L371" s="7"/>
      <c r="M371" s="7"/>
      <c r="S371" s="7"/>
    </row>
    <row r="372">
      <c r="A372" s="231"/>
      <c r="B372" s="78"/>
      <c r="C372" s="623"/>
      <c r="D372" s="624"/>
      <c r="E372" s="66"/>
      <c r="F372" s="7"/>
      <c r="G372" s="7"/>
      <c r="H372" s="7"/>
      <c r="I372" s="7"/>
      <c r="J372" s="7"/>
      <c r="K372" s="7"/>
      <c r="L372" s="7"/>
      <c r="M372" s="7"/>
      <c r="S372" s="7"/>
    </row>
    <row r="373">
      <c r="A373" s="231"/>
      <c r="B373" s="78"/>
      <c r="C373" s="623"/>
      <c r="D373" s="624"/>
      <c r="E373" s="66"/>
      <c r="F373" s="7"/>
      <c r="G373" s="7"/>
      <c r="H373" s="7"/>
      <c r="I373" s="7"/>
      <c r="J373" s="7"/>
      <c r="K373" s="7"/>
      <c r="L373" s="7"/>
      <c r="M373" s="7"/>
      <c r="S373" s="7"/>
    </row>
    <row r="374">
      <c r="A374" s="231"/>
      <c r="B374" s="78"/>
      <c r="C374" s="623"/>
      <c r="D374" s="624"/>
      <c r="E374" s="66"/>
      <c r="F374" s="7"/>
      <c r="G374" s="7"/>
      <c r="H374" s="7"/>
      <c r="I374" s="7"/>
      <c r="J374" s="7"/>
      <c r="K374" s="7"/>
      <c r="L374" s="7"/>
      <c r="M374" s="7"/>
      <c r="S374" s="7"/>
    </row>
    <row r="375">
      <c r="A375" s="231"/>
      <c r="B375" s="78"/>
      <c r="C375" s="623"/>
      <c r="D375" s="624"/>
      <c r="E375" s="66"/>
      <c r="F375" s="7"/>
      <c r="G375" s="7"/>
      <c r="H375" s="7"/>
      <c r="I375" s="7"/>
      <c r="J375" s="7"/>
      <c r="K375" s="7"/>
      <c r="L375" s="7"/>
      <c r="M375" s="7"/>
      <c r="S375" s="7"/>
    </row>
    <row r="376">
      <c r="A376" s="231"/>
      <c r="B376" s="78"/>
      <c r="C376" s="623"/>
      <c r="D376" s="624"/>
      <c r="E376" s="66"/>
      <c r="F376" s="7"/>
      <c r="G376" s="7"/>
      <c r="H376" s="7"/>
      <c r="I376" s="7"/>
      <c r="J376" s="7"/>
      <c r="K376" s="7"/>
      <c r="L376" s="7"/>
      <c r="M376" s="7"/>
      <c r="S376" s="7"/>
    </row>
    <row r="377">
      <c r="A377" s="231"/>
      <c r="B377" s="78"/>
      <c r="C377" s="623"/>
      <c r="D377" s="624"/>
      <c r="E377" s="66"/>
      <c r="F377" s="7"/>
      <c r="G377" s="7"/>
      <c r="H377" s="7"/>
      <c r="I377" s="7"/>
      <c r="J377" s="7"/>
      <c r="K377" s="7"/>
      <c r="L377" s="7"/>
      <c r="M377" s="7"/>
      <c r="S377" s="7"/>
    </row>
    <row r="378">
      <c r="A378" s="231"/>
      <c r="B378" s="78"/>
      <c r="C378" s="623"/>
      <c r="D378" s="624"/>
      <c r="E378" s="66"/>
      <c r="F378" s="7"/>
      <c r="G378" s="7"/>
      <c r="H378" s="7"/>
      <c r="I378" s="7"/>
      <c r="J378" s="7"/>
      <c r="K378" s="7"/>
      <c r="L378" s="7"/>
      <c r="M378" s="7"/>
      <c r="S378" s="7"/>
    </row>
    <row r="379">
      <c r="A379" s="231"/>
      <c r="B379" s="78"/>
      <c r="C379" s="623"/>
      <c r="D379" s="624"/>
      <c r="E379" s="66"/>
      <c r="F379" s="7"/>
      <c r="G379" s="7"/>
      <c r="H379" s="7"/>
      <c r="I379" s="7"/>
      <c r="J379" s="7"/>
      <c r="K379" s="7"/>
      <c r="L379" s="7"/>
      <c r="M379" s="7"/>
      <c r="S379" s="7"/>
    </row>
    <row r="380">
      <c r="A380" s="231"/>
      <c r="B380" s="78"/>
      <c r="C380" s="623"/>
      <c r="D380" s="624"/>
      <c r="E380" s="66"/>
      <c r="F380" s="7"/>
      <c r="G380" s="7"/>
      <c r="H380" s="7"/>
      <c r="I380" s="7"/>
      <c r="J380" s="7"/>
      <c r="K380" s="7"/>
      <c r="L380" s="7"/>
      <c r="M380" s="7"/>
      <c r="S380" s="7"/>
    </row>
    <row r="381">
      <c r="A381" s="231"/>
      <c r="B381" s="78"/>
      <c r="C381" s="623"/>
      <c r="D381" s="624"/>
      <c r="E381" s="66"/>
      <c r="F381" s="7"/>
      <c r="G381" s="7"/>
      <c r="H381" s="7"/>
      <c r="I381" s="7"/>
      <c r="J381" s="7"/>
      <c r="K381" s="7"/>
      <c r="L381" s="7"/>
      <c r="M381" s="7"/>
      <c r="S381" s="7"/>
    </row>
    <row r="382">
      <c r="A382" s="231"/>
      <c r="B382" s="78"/>
      <c r="C382" s="623"/>
      <c r="D382" s="624"/>
      <c r="E382" s="66"/>
      <c r="F382" s="7"/>
      <c r="G382" s="7"/>
      <c r="H382" s="7"/>
      <c r="I382" s="7"/>
      <c r="J382" s="7"/>
      <c r="K382" s="7"/>
      <c r="L382" s="7"/>
      <c r="M382" s="7"/>
      <c r="S382" s="7"/>
    </row>
    <row r="383">
      <c r="A383" s="231"/>
      <c r="B383" s="78"/>
      <c r="C383" s="623"/>
      <c r="D383" s="624"/>
      <c r="E383" s="66"/>
      <c r="F383" s="7"/>
      <c r="G383" s="7"/>
      <c r="H383" s="7"/>
      <c r="I383" s="7"/>
      <c r="J383" s="7"/>
      <c r="K383" s="7"/>
      <c r="L383" s="7"/>
      <c r="M383" s="7"/>
      <c r="S383" s="7"/>
    </row>
    <row r="384">
      <c r="A384" s="231"/>
      <c r="B384" s="78"/>
      <c r="C384" s="623"/>
      <c r="D384" s="624"/>
      <c r="E384" s="66"/>
      <c r="F384" s="7"/>
      <c r="G384" s="7"/>
      <c r="H384" s="7"/>
      <c r="I384" s="7"/>
      <c r="J384" s="7"/>
      <c r="K384" s="7"/>
      <c r="L384" s="7"/>
      <c r="M384" s="7"/>
      <c r="S384" s="7"/>
    </row>
    <row r="385">
      <c r="A385" s="231"/>
      <c r="B385" s="78"/>
      <c r="C385" s="623"/>
      <c r="D385" s="624"/>
      <c r="E385" s="66"/>
      <c r="F385" s="7"/>
      <c r="G385" s="7"/>
      <c r="H385" s="7"/>
      <c r="I385" s="7"/>
      <c r="J385" s="7"/>
      <c r="K385" s="7"/>
      <c r="L385" s="7"/>
      <c r="M385" s="7"/>
      <c r="S385" s="7"/>
    </row>
    <row r="386">
      <c r="A386" s="231"/>
      <c r="B386" s="78"/>
      <c r="C386" s="623"/>
      <c r="D386" s="624"/>
      <c r="E386" s="66"/>
      <c r="F386" s="7"/>
      <c r="G386" s="7"/>
      <c r="H386" s="7"/>
      <c r="I386" s="7"/>
      <c r="J386" s="7"/>
      <c r="K386" s="7"/>
      <c r="L386" s="7"/>
      <c r="M386" s="7"/>
      <c r="S386" s="7"/>
    </row>
    <row r="387">
      <c r="A387" s="231"/>
      <c r="B387" s="78"/>
      <c r="C387" s="623"/>
      <c r="D387" s="624"/>
      <c r="E387" s="66"/>
      <c r="F387" s="7"/>
      <c r="G387" s="7"/>
      <c r="H387" s="7"/>
      <c r="I387" s="7"/>
      <c r="J387" s="7"/>
      <c r="K387" s="7"/>
      <c r="L387" s="7"/>
      <c r="M387" s="7"/>
      <c r="S387" s="7"/>
    </row>
    <row r="388">
      <c r="A388" s="231"/>
      <c r="B388" s="78"/>
      <c r="C388" s="623"/>
      <c r="D388" s="624"/>
      <c r="E388" s="66"/>
      <c r="F388" s="7"/>
      <c r="G388" s="7"/>
      <c r="H388" s="7"/>
      <c r="I388" s="7"/>
      <c r="J388" s="7"/>
      <c r="K388" s="7"/>
      <c r="L388" s="7"/>
      <c r="M388" s="7"/>
      <c r="S388" s="7"/>
    </row>
    <row r="389">
      <c r="A389" s="231"/>
      <c r="B389" s="78"/>
      <c r="C389" s="623"/>
      <c r="D389" s="624"/>
      <c r="E389" s="66"/>
      <c r="F389" s="7"/>
      <c r="G389" s="7"/>
      <c r="H389" s="7"/>
      <c r="I389" s="7"/>
      <c r="J389" s="7"/>
      <c r="K389" s="7"/>
      <c r="L389" s="7"/>
      <c r="M389" s="7"/>
      <c r="S389" s="7"/>
    </row>
    <row r="390">
      <c r="A390" s="231"/>
      <c r="B390" s="78"/>
      <c r="C390" s="623"/>
      <c r="D390" s="624"/>
      <c r="E390" s="66"/>
      <c r="F390" s="7"/>
      <c r="G390" s="7"/>
      <c r="H390" s="7"/>
      <c r="I390" s="7"/>
      <c r="J390" s="7"/>
      <c r="K390" s="7"/>
      <c r="L390" s="7"/>
      <c r="M390" s="7"/>
      <c r="S390" s="7"/>
    </row>
    <row r="391">
      <c r="A391" s="231"/>
      <c r="B391" s="78"/>
      <c r="C391" s="623"/>
      <c r="D391" s="624"/>
      <c r="E391" s="66"/>
      <c r="F391" s="7"/>
      <c r="G391" s="7"/>
      <c r="H391" s="7"/>
      <c r="I391" s="7"/>
      <c r="J391" s="7"/>
      <c r="K391" s="7"/>
      <c r="L391" s="7"/>
      <c r="M391" s="7"/>
      <c r="S391" s="7"/>
    </row>
    <row r="392">
      <c r="A392" s="231"/>
      <c r="B392" s="78"/>
      <c r="C392" s="623"/>
      <c r="D392" s="624"/>
      <c r="E392" s="66"/>
      <c r="F392" s="7"/>
      <c r="G392" s="7"/>
      <c r="H392" s="7"/>
      <c r="I392" s="7"/>
      <c r="J392" s="7"/>
      <c r="K392" s="7"/>
      <c r="L392" s="7"/>
      <c r="M392" s="7"/>
      <c r="S392" s="7"/>
    </row>
    <row r="393">
      <c r="A393" s="231"/>
      <c r="B393" s="78"/>
      <c r="C393" s="623"/>
      <c r="D393" s="624"/>
      <c r="E393" s="66"/>
      <c r="F393" s="7"/>
      <c r="G393" s="7"/>
      <c r="H393" s="7"/>
      <c r="I393" s="7"/>
      <c r="J393" s="7"/>
      <c r="K393" s="7"/>
      <c r="L393" s="7"/>
      <c r="M393" s="7"/>
      <c r="S393" s="7"/>
    </row>
    <row r="394">
      <c r="A394" s="231"/>
      <c r="B394" s="78"/>
      <c r="C394" s="623"/>
      <c r="D394" s="624"/>
      <c r="E394" s="66"/>
      <c r="F394" s="7"/>
      <c r="G394" s="7"/>
      <c r="H394" s="7"/>
      <c r="I394" s="7"/>
      <c r="J394" s="7"/>
      <c r="K394" s="7"/>
      <c r="L394" s="7"/>
      <c r="M394" s="7"/>
      <c r="S394" s="7"/>
    </row>
    <row r="395">
      <c r="A395" s="231"/>
      <c r="B395" s="78"/>
      <c r="C395" s="623"/>
      <c r="D395" s="624"/>
      <c r="E395" s="66"/>
      <c r="F395" s="7"/>
      <c r="G395" s="7"/>
      <c r="H395" s="7"/>
      <c r="I395" s="7"/>
      <c r="J395" s="7"/>
      <c r="K395" s="7"/>
      <c r="L395" s="7"/>
      <c r="M395" s="7"/>
      <c r="S395" s="7"/>
    </row>
    <row r="396">
      <c r="A396" s="231"/>
      <c r="B396" s="78"/>
      <c r="C396" s="623"/>
      <c r="D396" s="624"/>
      <c r="E396" s="66"/>
      <c r="F396" s="7"/>
      <c r="G396" s="7"/>
      <c r="H396" s="7"/>
      <c r="I396" s="7"/>
      <c r="J396" s="7"/>
      <c r="K396" s="7"/>
      <c r="L396" s="7"/>
      <c r="M396" s="7"/>
      <c r="S396" s="7"/>
    </row>
    <row r="397">
      <c r="A397" s="231"/>
      <c r="B397" s="78"/>
      <c r="C397" s="623"/>
      <c r="D397" s="624"/>
      <c r="E397" s="66"/>
      <c r="F397" s="7"/>
      <c r="G397" s="7"/>
      <c r="H397" s="7"/>
      <c r="I397" s="7"/>
      <c r="J397" s="7"/>
      <c r="K397" s="7"/>
      <c r="L397" s="7"/>
      <c r="M397" s="7"/>
      <c r="S397" s="7"/>
    </row>
    <row r="398">
      <c r="A398" s="231"/>
      <c r="B398" s="78"/>
      <c r="C398" s="623"/>
      <c r="D398" s="624"/>
      <c r="E398" s="66"/>
      <c r="F398" s="7"/>
      <c r="G398" s="7"/>
      <c r="H398" s="7"/>
      <c r="I398" s="7"/>
      <c r="J398" s="7"/>
      <c r="K398" s="7"/>
      <c r="L398" s="7"/>
      <c r="M398" s="7"/>
      <c r="S398" s="7"/>
    </row>
    <row r="399">
      <c r="A399" s="231"/>
      <c r="B399" s="78"/>
      <c r="C399" s="623"/>
      <c r="D399" s="624"/>
      <c r="E399" s="66"/>
      <c r="F399" s="7"/>
      <c r="G399" s="7"/>
      <c r="H399" s="7"/>
      <c r="I399" s="7"/>
      <c r="J399" s="7"/>
      <c r="K399" s="7"/>
      <c r="L399" s="7"/>
      <c r="M399" s="7"/>
      <c r="S399" s="7"/>
    </row>
    <row r="400">
      <c r="A400" s="231"/>
      <c r="B400" s="78"/>
      <c r="C400" s="623"/>
      <c r="D400" s="624"/>
      <c r="E400" s="66"/>
      <c r="F400" s="7"/>
      <c r="G400" s="7"/>
      <c r="H400" s="7"/>
      <c r="I400" s="7"/>
      <c r="J400" s="7"/>
      <c r="K400" s="7"/>
      <c r="L400" s="7"/>
      <c r="M400" s="7"/>
      <c r="S400" s="7"/>
    </row>
    <row r="401">
      <c r="A401" s="231"/>
      <c r="B401" s="78"/>
      <c r="C401" s="623"/>
      <c r="D401" s="624"/>
      <c r="E401" s="66"/>
      <c r="F401" s="7"/>
      <c r="G401" s="7"/>
      <c r="H401" s="7"/>
      <c r="I401" s="7"/>
      <c r="J401" s="7"/>
      <c r="K401" s="7"/>
      <c r="L401" s="7"/>
      <c r="M401" s="7"/>
      <c r="S401" s="7"/>
    </row>
    <row r="402">
      <c r="A402" s="231"/>
      <c r="B402" s="78"/>
      <c r="C402" s="623"/>
      <c r="D402" s="624"/>
      <c r="E402" s="66"/>
      <c r="F402" s="7"/>
      <c r="G402" s="7"/>
      <c r="H402" s="7"/>
      <c r="I402" s="7"/>
      <c r="J402" s="7"/>
      <c r="K402" s="7"/>
      <c r="L402" s="7"/>
      <c r="M402" s="7"/>
      <c r="S402" s="7"/>
    </row>
    <row r="403">
      <c r="A403" s="231"/>
      <c r="B403" s="78"/>
      <c r="C403" s="623"/>
      <c r="D403" s="624"/>
      <c r="E403" s="66"/>
      <c r="F403" s="7"/>
      <c r="G403" s="7"/>
      <c r="H403" s="7"/>
      <c r="I403" s="7"/>
      <c r="J403" s="7"/>
      <c r="K403" s="7"/>
      <c r="L403" s="7"/>
      <c r="M403" s="7"/>
      <c r="S403" s="7"/>
    </row>
    <row r="404">
      <c r="A404" s="231"/>
      <c r="B404" s="78"/>
      <c r="C404" s="623"/>
      <c r="D404" s="624"/>
      <c r="E404" s="66"/>
      <c r="F404" s="7"/>
      <c r="G404" s="7"/>
      <c r="H404" s="7"/>
      <c r="I404" s="7"/>
      <c r="J404" s="7"/>
      <c r="K404" s="7"/>
      <c r="L404" s="7"/>
      <c r="M404" s="7"/>
      <c r="S404" s="7"/>
    </row>
    <row r="405">
      <c r="A405" s="231"/>
      <c r="B405" s="78"/>
      <c r="C405" s="623"/>
      <c r="D405" s="624"/>
      <c r="E405" s="66"/>
      <c r="F405" s="7"/>
      <c r="G405" s="7"/>
      <c r="H405" s="7"/>
      <c r="I405" s="7"/>
      <c r="J405" s="7"/>
      <c r="K405" s="7"/>
      <c r="L405" s="7"/>
      <c r="M405" s="7"/>
      <c r="S405" s="7"/>
    </row>
    <row r="406">
      <c r="A406" s="231"/>
      <c r="B406" s="78"/>
      <c r="C406" s="623"/>
      <c r="D406" s="624"/>
      <c r="E406" s="66"/>
      <c r="F406" s="7"/>
      <c r="G406" s="7"/>
      <c r="H406" s="7"/>
      <c r="I406" s="7"/>
      <c r="J406" s="7"/>
      <c r="K406" s="7"/>
      <c r="L406" s="7"/>
      <c r="M406" s="7"/>
      <c r="S406" s="7"/>
    </row>
    <row r="407">
      <c r="A407" s="231"/>
      <c r="B407" s="78"/>
      <c r="C407" s="623"/>
      <c r="D407" s="624"/>
      <c r="E407" s="66"/>
      <c r="F407" s="7"/>
      <c r="G407" s="7"/>
      <c r="H407" s="7"/>
      <c r="I407" s="7"/>
      <c r="J407" s="7"/>
      <c r="K407" s="7"/>
      <c r="L407" s="7"/>
      <c r="M407" s="7"/>
      <c r="S407" s="7"/>
    </row>
    <row r="408">
      <c r="A408" s="231"/>
      <c r="B408" s="78"/>
      <c r="C408" s="623"/>
      <c r="D408" s="624"/>
      <c r="E408" s="66"/>
      <c r="F408" s="7"/>
      <c r="G408" s="7"/>
      <c r="H408" s="7"/>
      <c r="I408" s="7"/>
      <c r="J408" s="7"/>
      <c r="K408" s="7"/>
      <c r="L408" s="7"/>
      <c r="M408" s="7"/>
      <c r="S408" s="7"/>
    </row>
    <row r="409">
      <c r="A409" s="231"/>
      <c r="B409" s="78"/>
      <c r="C409" s="623"/>
      <c r="D409" s="624"/>
      <c r="E409" s="66"/>
      <c r="F409" s="7"/>
      <c r="G409" s="7"/>
      <c r="H409" s="7"/>
      <c r="I409" s="7"/>
      <c r="J409" s="7"/>
      <c r="K409" s="7"/>
      <c r="L409" s="7"/>
      <c r="M409" s="7"/>
      <c r="S409" s="7"/>
    </row>
    <row r="410">
      <c r="A410" s="231"/>
      <c r="B410" s="78"/>
      <c r="C410" s="623"/>
      <c r="D410" s="624"/>
      <c r="E410" s="66"/>
      <c r="F410" s="7"/>
      <c r="G410" s="7"/>
      <c r="H410" s="7"/>
      <c r="I410" s="7"/>
      <c r="J410" s="631"/>
      <c r="K410" s="631"/>
      <c r="L410" s="631"/>
      <c r="M410" s="631"/>
      <c r="S410" s="631"/>
    </row>
    <row r="411">
      <c r="A411" s="231"/>
      <c r="B411" s="78"/>
      <c r="C411" s="623"/>
      <c r="D411" s="624"/>
      <c r="E411" s="66"/>
      <c r="F411" s="7"/>
      <c r="G411" s="7"/>
      <c r="H411" s="7"/>
      <c r="I411" s="7"/>
      <c r="J411" s="631"/>
      <c r="K411" s="631"/>
      <c r="L411" s="631"/>
      <c r="M411" s="631"/>
      <c r="S411" s="631"/>
    </row>
    <row r="412">
      <c r="A412" s="231"/>
      <c r="B412" s="78"/>
      <c r="C412" s="623"/>
      <c r="D412" s="624"/>
      <c r="E412" s="66"/>
      <c r="F412" s="7"/>
      <c r="G412" s="7"/>
      <c r="H412" s="7"/>
      <c r="I412" s="7"/>
      <c r="J412" s="631"/>
      <c r="K412" s="631"/>
      <c r="L412" s="631"/>
      <c r="M412" s="631"/>
      <c r="S412" s="631"/>
    </row>
    <row r="413">
      <c r="A413" s="231"/>
      <c r="B413" s="78"/>
      <c r="C413" s="623"/>
      <c r="D413" s="624"/>
      <c r="E413" s="66"/>
      <c r="F413" s="7"/>
      <c r="G413" s="7"/>
      <c r="H413" s="7"/>
      <c r="I413" s="7"/>
      <c r="J413" s="7"/>
      <c r="K413" s="7"/>
      <c r="L413" s="7"/>
      <c r="M413" s="7"/>
      <c r="S413" s="7"/>
    </row>
    <row r="414">
      <c r="A414" s="231"/>
      <c r="B414" s="78"/>
      <c r="C414" s="623"/>
      <c r="D414" s="624"/>
      <c r="E414" s="66"/>
      <c r="F414" s="7"/>
      <c r="G414" s="7"/>
      <c r="H414" s="7"/>
      <c r="I414" s="7"/>
      <c r="J414" s="7"/>
      <c r="K414" s="7"/>
      <c r="L414" s="7"/>
      <c r="M414" s="7"/>
      <c r="S414" s="7"/>
    </row>
    <row r="415">
      <c r="A415" s="231"/>
      <c r="B415" s="78"/>
      <c r="C415" s="623"/>
      <c r="D415" s="624"/>
      <c r="E415" s="66"/>
      <c r="F415" s="7"/>
      <c r="G415" s="7"/>
      <c r="H415" s="7"/>
      <c r="I415" s="7"/>
      <c r="J415" s="7"/>
      <c r="K415" s="7"/>
      <c r="L415" s="7"/>
      <c r="M415" s="7"/>
      <c r="S415" s="7"/>
    </row>
    <row r="416">
      <c r="A416" s="231"/>
      <c r="B416" s="78"/>
      <c r="C416" s="623"/>
      <c r="D416" s="624"/>
      <c r="E416" s="66"/>
      <c r="F416" s="7"/>
      <c r="G416" s="7"/>
      <c r="H416" s="7"/>
      <c r="I416" s="7"/>
      <c r="J416" s="7"/>
      <c r="K416" s="7"/>
      <c r="L416" s="7"/>
      <c r="M416" s="7"/>
      <c r="S416" s="7"/>
    </row>
    <row r="417">
      <c r="A417" s="231"/>
      <c r="B417" s="78"/>
      <c r="C417" s="623"/>
      <c r="D417" s="624"/>
      <c r="E417" s="66"/>
      <c r="F417" s="7"/>
      <c r="G417" s="7"/>
      <c r="H417" s="7"/>
      <c r="I417" s="7"/>
      <c r="J417" s="7"/>
      <c r="K417" s="7"/>
      <c r="L417" s="7"/>
      <c r="M417" s="7"/>
      <c r="S417" s="7"/>
    </row>
    <row r="418">
      <c r="A418" s="231"/>
      <c r="B418" s="78"/>
      <c r="C418" s="623"/>
      <c r="D418" s="624"/>
      <c r="E418" s="66"/>
      <c r="F418" s="7"/>
      <c r="G418" s="7"/>
      <c r="H418" s="7"/>
      <c r="I418" s="7"/>
      <c r="J418" s="7"/>
      <c r="K418" s="7"/>
      <c r="L418" s="7"/>
      <c r="M418" s="7"/>
      <c r="S418" s="7"/>
    </row>
    <row r="419">
      <c r="A419" s="231"/>
      <c r="B419" s="78"/>
      <c r="C419" s="623"/>
      <c r="D419" s="624"/>
      <c r="E419" s="66"/>
      <c r="F419" s="7"/>
      <c r="G419" s="7"/>
      <c r="H419" s="7"/>
      <c r="I419" s="7"/>
      <c r="J419" s="7"/>
      <c r="K419" s="7"/>
      <c r="L419" s="7"/>
      <c r="M419" s="7"/>
      <c r="S419" s="7"/>
    </row>
    <row r="420">
      <c r="A420" s="231"/>
      <c r="B420" s="78"/>
      <c r="C420" s="623"/>
      <c r="D420" s="624"/>
      <c r="E420" s="66"/>
      <c r="F420" s="7"/>
      <c r="G420" s="7"/>
      <c r="H420" s="7"/>
      <c r="I420" s="7"/>
      <c r="J420" s="7"/>
      <c r="K420" s="7"/>
      <c r="L420" s="7"/>
      <c r="M420" s="7"/>
      <c r="S420" s="7"/>
    </row>
    <row r="421">
      <c r="A421" s="231"/>
      <c r="B421" s="78"/>
      <c r="C421" s="623"/>
      <c r="D421" s="624"/>
      <c r="E421" s="66"/>
      <c r="F421" s="7"/>
      <c r="G421" s="7"/>
      <c r="H421" s="7"/>
      <c r="I421" s="7"/>
      <c r="J421" s="7"/>
      <c r="K421" s="7"/>
      <c r="L421" s="7"/>
      <c r="M421" s="7"/>
      <c r="S421" s="7"/>
    </row>
    <row r="422">
      <c r="A422" s="231"/>
      <c r="B422" s="78"/>
      <c r="C422" s="623"/>
      <c r="D422" s="624"/>
      <c r="E422" s="66"/>
      <c r="F422" s="7"/>
      <c r="G422" s="7"/>
      <c r="H422" s="7"/>
      <c r="I422" s="7"/>
      <c r="J422" s="7"/>
      <c r="K422" s="7"/>
      <c r="L422" s="7"/>
      <c r="M422" s="7"/>
      <c r="S422" s="7"/>
    </row>
    <row r="423">
      <c r="A423" s="231"/>
      <c r="B423" s="78"/>
      <c r="C423" s="623"/>
      <c r="D423" s="624"/>
      <c r="E423" s="66"/>
      <c r="F423" s="7"/>
      <c r="G423" s="7"/>
      <c r="H423" s="7"/>
      <c r="I423" s="7"/>
      <c r="J423" s="7"/>
      <c r="K423" s="7"/>
      <c r="L423" s="7"/>
      <c r="M423" s="7"/>
      <c r="S423" s="7"/>
    </row>
    <row r="424">
      <c r="A424" s="231"/>
      <c r="B424" s="78"/>
      <c r="C424" s="623"/>
      <c r="D424" s="624"/>
      <c r="E424" s="66"/>
      <c r="F424" s="7"/>
      <c r="G424" s="7"/>
      <c r="H424" s="7"/>
      <c r="I424" s="7"/>
      <c r="J424" s="7"/>
      <c r="K424" s="7"/>
      <c r="L424" s="7"/>
      <c r="M424" s="7"/>
      <c r="S424" s="7"/>
    </row>
    <row r="425">
      <c r="A425" s="231"/>
      <c r="B425" s="78"/>
      <c r="C425" s="623"/>
      <c r="D425" s="624"/>
      <c r="E425" s="66"/>
      <c r="F425" s="7"/>
      <c r="G425" s="7"/>
      <c r="H425" s="7"/>
      <c r="I425" s="7"/>
      <c r="J425" s="7"/>
      <c r="K425" s="7"/>
      <c r="L425" s="7"/>
      <c r="M425" s="7"/>
      <c r="S425" s="7"/>
    </row>
    <row r="426">
      <c r="A426" s="231"/>
      <c r="B426" s="78"/>
      <c r="C426" s="623"/>
      <c r="D426" s="624"/>
      <c r="E426" s="66"/>
      <c r="F426" s="7"/>
      <c r="G426" s="7"/>
      <c r="H426" s="7"/>
      <c r="I426" s="7"/>
      <c r="J426" s="7"/>
      <c r="K426" s="7"/>
      <c r="L426" s="7"/>
      <c r="M426" s="7"/>
      <c r="S426" s="7"/>
    </row>
    <row r="427">
      <c r="A427" s="231"/>
      <c r="B427" s="78"/>
      <c r="C427" s="623"/>
      <c r="D427" s="624"/>
      <c r="E427" s="66"/>
      <c r="F427" s="7"/>
      <c r="G427" s="7"/>
      <c r="H427" s="7"/>
      <c r="I427" s="7"/>
      <c r="J427" s="7"/>
      <c r="K427" s="7"/>
      <c r="L427" s="7"/>
      <c r="M427" s="7"/>
      <c r="S427" s="7"/>
    </row>
    <row r="428">
      <c r="A428" s="231"/>
      <c r="B428" s="78"/>
      <c r="C428" s="623"/>
      <c r="D428" s="624"/>
      <c r="E428" s="66"/>
      <c r="F428" s="7"/>
      <c r="G428" s="7"/>
      <c r="H428" s="7"/>
      <c r="I428" s="7"/>
      <c r="J428" s="7"/>
      <c r="K428" s="7"/>
      <c r="L428" s="7"/>
      <c r="M428" s="7"/>
      <c r="S428" s="7"/>
    </row>
    <row r="429">
      <c r="A429" s="231"/>
      <c r="B429" s="78"/>
      <c r="C429" s="623"/>
      <c r="D429" s="624"/>
      <c r="E429" s="66"/>
      <c r="F429" s="7"/>
      <c r="G429" s="7"/>
      <c r="H429" s="7"/>
      <c r="I429" s="7"/>
      <c r="J429" s="7"/>
      <c r="K429" s="7"/>
      <c r="L429" s="7"/>
      <c r="M429" s="7"/>
      <c r="S429" s="7"/>
    </row>
    <row r="430">
      <c r="A430" s="231"/>
      <c r="B430" s="78"/>
      <c r="C430" s="623"/>
      <c r="D430" s="624"/>
      <c r="E430" s="66"/>
      <c r="F430" s="7"/>
      <c r="G430" s="7"/>
      <c r="H430" s="7"/>
      <c r="I430" s="7"/>
      <c r="J430" s="7"/>
      <c r="K430" s="7"/>
      <c r="L430" s="7"/>
      <c r="M430" s="7"/>
      <c r="S430" s="7"/>
    </row>
    <row r="431">
      <c r="A431" s="231"/>
      <c r="B431" s="78"/>
      <c r="C431" s="623"/>
      <c r="D431" s="624"/>
      <c r="E431" s="66"/>
      <c r="F431" s="7"/>
      <c r="G431" s="7"/>
      <c r="H431" s="7"/>
      <c r="I431" s="7"/>
      <c r="J431" s="7"/>
      <c r="K431" s="7"/>
      <c r="L431" s="7"/>
      <c r="M431" s="7"/>
      <c r="S431" s="7"/>
    </row>
    <row r="432">
      <c r="A432" s="231"/>
      <c r="B432" s="78"/>
      <c r="C432" s="623"/>
      <c r="D432" s="624"/>
      <c r="E432" s="66"/>
      <c r="F432" s="7"/>
      <c r="G432" s="7"/>
      <c r="H432" s="7"/>
      <c r="I432" s="7"/>
      <c r="J432" s="7"/>
      <c r="K432" s="7"/>
      <c r="L432" s="7"/>
      <c r="M432" s="7"/>
      <c r="S432" s="7"/>
    </row>
    <row r="433">
      <c r="A433" s="231"/>
      <c r="B433" s="78"/>
      <c r="C433" s="623"/>
      <c r="D433" s="624"/>
      <c r="E433" s="66"/>
      <c r="F433" s="7"/>
      <c r="G433" s="7"/>
      <c r="H433" s="7"/>
      <c r="I433" s="7"/>
      <c r="J433" s="7"/>
      <c r="K433" s="7"/>
      <c r="L433" s="7"/>
      <c r="M433" s="7"/>
      <c r="S433" s="7"/>
    </row>
    <row r="434">
      <c r="A434" s="231"/>
      <c r="B434" s="78"/>
      <c r="C434" s="623"/>
      <c r="D434" s="624"/>
      <c r="E434" s="66"/>
      <c r="F434" s="7"/>
      <c r="G434" s="7"/>
      <c r="H434" s="7"/>
      <c r="I434" s="7"/>
      <c r="J434" s="7"/>
      <c r="K434" s="7"/>
      <c r="L434" s="7"/>
      <c r="M434" s="7"/>
      <c r="S434" s="7"/>
    </row>
    <row r="435">
      <c r="A435" s="231"/>
      <c r="B435" s="78"/>
      <c r="C435" s="623"/>
      <c r="D435" s="624"/>
      <c r="E435" s="66"/>
      <c r="F435" s="7"/>
      <c r="G435" s="7"/>
      <c r="H435" s="7"/>
      <c r="I435" s="7"/>
      <c r="J435" s="7"/>
      <c r="K435" s="7"/>
      <c r="L435" s="7"/>
      <c r="M435" s="7"/>
      <c r="S435" s="7"/>
    </row>
    <row r="436">
      <c r="A436" s="231"/>
      <c r="B436" s="78"/>
      <c r="C436" s="623"/>
      <c r="D436" s="624"/>
      <c r="E436" s="66"/>
      <c r="F436" s="7"/>
      <c r="G436" s="7"/>
      <c r="H436" s="7"/>
      <c r="I436" s="7"/>
      <c r="J436" s="7"/>
      <c r="K436" s="7"/>
      <c r="L436" s="7"/>
      <c r="M436" s="7"/>
      <c r="S436" s="7"/>
    </row>
    <row r="437">
      <c r="A437" s="231"/>
      <c r="B437" s="78"/>
      <c r="C437" s="623"/>
      <c r="D437" s="624"/>
      <c r="E437" s="66"/>
      <c r="F437" s="7"/>
      <c r="G437" s="7"/>
      <c r="H437" s="7"/>
      <c r="I437" s="7"/>
      <c r="J437" s="7"/>
      <c r="K437" s="7"/>
      <c r="L437" s="7"/>
      <c r="M437" s="7"/>
      <c r="S437" s="7"/>
    </row>
    <row r="438">
      <c r="A438" s="231"/>
      <c r="B438" s="78"/>
      <c r="C438" s="623"/>
      <c r="D438" s="624"/>
      <c r="E438" s="66"/>
      <c r="F438" s="7"/>
      <c r="G438" s="7"/>
      <c r="H438" s="7"/>
      <c r="I438" s="7"/>
      <c r="J438" s="7"/>
      <c r="K438" s="7"/>
      <c r="L438" s="7"/>
      <c r="M438" s="7"/>
      <c r="S438" s="7"/>
    </row>
    <row r="439">
      <c r="A439" s="231"/>
      <c r="B439" s="78"/>
      <c r="C439" s="623"/>
      <c r="D439" s="624"/>
      <c r="E439" s="66"/>
      <c r="F439" s="7"/>
      <c r="G439" s="7"/>
      <c r="H439" s="7"/>
      <c r="I439" s="7"/>
      <c r="J439" s="7"/>
      <c r="K439" s="7"/>
      <c r="L439" s="7"/>
      <c r="M439" s="7"/>
      <c r="S439" s="7"/>
    </row>
    <row r="440">
      <c r="A440" s="231"/>
      <c r="B440" s="78"/>
      <c r="C440" s="623"/>
      <c r="D440" s="624"/>
      <c r="E440" s="66"/>
      <c r="F440" s="7"/>
      <c r="G440" s="7"/>
      <c r="H440" s="7"/>
      <c r="I440" s="7"/>
      <c r="J440" s="7"/>
      <c r="K440" s="7"/>
      <c r="L440" s="7"/>
      <c r="M440" s="7"/>
      <c r="S440" s="7"/>
    </row>
    <row r="441">
      <c r="A441" s="231"/>
      <c r="B441" s="78"/>
      <c r="C441" s="623"/>
      <c r="D441" s="624"/>
      <c r="E441" s="66"/>
      <c r="F441" s="7"/>
      <c r="G441" s="7"/>
      <c r="H441" s="7"/>
      <c r="I441" s="7"/>
      <c r="J441" s="7"/>
      <c r="K441" s="7"/>
      <c r="L441" s="7"/>
      <c r="M441" s="7"/>
      <c r="S441" s="7"/>
    </row>
    <row r="442">
      <c r="A442" s="231"/>
      <c r="B442" s="78"/>
      <c r="C442" s="623"/>
      <c r="D442" s="624"/>
      <c r="E442" s="66"/>
      <c r="F442" s="7"/>
      <c r="G442" s="7"/>
      <c r="H442" s="7"/>
      <c r="I442" s="7"/>
      <c r="J442" s="7"/>
      <c r="K442" s="7"/>
      <c r="L442" s="7"/>
      <c r="M442" s="7"/>
      <c r="S442" s="7"/>
    </row>
    <row r="443">
      <c r="A443" s="231"/>
      <c r="B443" s="78"/>
      <c r="C443" s="623"/>
      <c r="D443" s="624"/>
      <c r="E443" s="66"/>
      <c r="F443" s="7"/>
      <c r="G443" s="7"/>
      <c r="H443" s="7"/>
      <c r="I443" s="7"/>
      <c r="J443" s="7"/>
      <c r="K443" s="7"/>
      <c r="L443" s="7"/>
      <c r="M443" s="7"/>
      <c r="S443" s="7"/>
    </row>
    <row r="444">
      <c r="A444" s="231"/>
      <c r="B444" s="78"/>
      <c r="C444" s="623"/>
      <c r="D444" s="624"/>
      <c r="E444" s="66"/>
      <c r="F444" s="7"/>
      <c r="G444" s="7"/>
      <c r="H444" s="7"/>
      <c r="I444" s="7"/>
      <c r="J444" s="7"/>
      <c r="K444" s="7"/>
      <c r="L444" s="7"/>
      <c r="M444" s="7"/>
      <c r="S444" s="7"/>
    </row>
    <row r="445">
      <c r="A445" s="231"/>
      <c r="B445" s="78"/>
      <c r="C445" s="623"/>
      <c r="D445" s="624"/>
      <c r="E445" s="66"/>
      <c r="F445" s="7"/>
      <c r="G445" s="7"/>
      <c r="H445" s="7"/>
      <c r="I445" s="7"/>
      <c r="J445" s="7"/>
      <c r="K445" s="7"/>
      <c r="L445" s="7"/>
      <c r="M445" s="7"/>
      <c r="S445" s="7"/>
    </row>
    <row r="446">
      <c r="A446" s="231"/>
      <c r="B446" s="78"/>
      <c r="C446" s="623"/>
      <c r="D446" s="624"/>
      <c r="E446" s="66"/>
      <c r="F446" s="7"/>
      <c r="G446" s="7"/>
      <c r="H446" s="7"/>
      <c r="I446" s="7"/>
      <c r="J446" s="7"/>
      <c r="K446" s="7"/>
      <c r="L446" s="7"/>
      <c r="M446" s="7"/>
      <c r="S446" s="7"/>
    </row>
    <row r="447">
      <c r="A447" s="231"/>
      <c r="B447" s="78"/>
      <c r="C447" s="623"/>
      <c r="D447" s="624"/>
      <c r="E447" s="66"/>
      <c r="F447" s="7"/>
      <c r="G447" s="7"/>
      <c r="H447" s="7"/>
      <c r="I447" s="7"/>
      <c r="J447" s="7"/>
      <c r="K447" s="7"/>
      <c r="L447" s="7"/>
      <c r="M447" s="7"/>
      <c r="S447" s="7"/>
    </row>
    <row r="448">
      <c r="A448" s="231"/>
      <c r="B448" s="78"/>
      <c r="C448" s="623"/>
      <c r="D448" s="624"/>
      <c r="E448" s="66"/>
      <c r="F448" s="7"/>
      <c r="G448" s="7"/>
      <c r="H448" s="7"/>
      <c r="I448" s="7"/>
      <c r="J448" s="7"/>
      <c r="K448" s="7"/>
      <c r="L448" s="7"/>
      <c r="M448" s="7"/>
      <c r="S448" s="7"/>
    </row>
    <row r="449">
      <c r="A449" s="231"/>
      <c r="B449" s="78"/>
      <c r="C449" s="623"/>
      <c r="D449" s="624"/>
      <c r="E449" s="66"/>
      <c r="F449" s="7"/>
      <c r="G449" s="7"/>
      <c r="H449" s="7"/>
      <c r="I449" s="7"/>
      <c r="J449" s="7"/>
      <c r="K449" s="7"/>
      <c r="L449" s="7"/>
      <c r="M449" s="7"/>
      <c r="S449" s="7"/>
    </row>
    <row r="450">
      <c r="A450" s="231"/>
      <c r="B450" s="78"/>
      <c r="C450" s="623"/>
      <c r="D450" s="624"/>
      <c r="E450" s="66"/>
      <c r="F450" s="7"/>
      <c r="G450" s="7"/>
      <c r="H450" s="7"/>
      <c r="I450" s="7"/>
      <c r="J450" s="7"/>
      <c r="K450" s="7"/>
      <c r="L450" s="7"/>
      <c r="M450" s="7"/>
      <c r="S450" s="7"/>
    </row>
    <row r="451">
      <c r="A451" s="231"/>
      <c r="B451" s="78"/>
      <c r="C451" s="623"/>
      <c r="D451" s="624"/>
      <c r="E451" s="66"/>
      <c r="F451" s="7"/>
      <c r="G451" s="7"/>
      <c r="H451" s="7"/>
      <c r="I451" s="7"/>
      <c r="J451" s="7"/>
      <c r="K451" s="7"/>
      <c r="L451" s="7"/>
      <c r="M451" s="7"/>
      <c r="S451" s="7"/>
    </row>
    <row r="452">
      <c r="A452" s="231"/>
      <c r="B452" s="78"/>
      <c r="C452" s="623"/>
      <c r="D452" s="624"/>
      <c r="E452" s="66"/>
      <c r="F452" s="7"/>
      <c r="G452" s="7"/>
      <c r="H452" s="7"/>
      <c r="I452" s="7"/>
      <c r="J452" s="7"/>
      <c r="K452" s="7"/>
      <c r="L452" s="7"/>
      <c r="M452" s="7"/>
      <c r="S452" s="7"/>
    </row>
    <row r="453">
      <c r="A453" s="231"/>
      <c r="B453" s="78"/>
      <c r="C453" s="623"/>
      <c r="D453" s="624"/>
      <c r="E453" s="66"/>
      <c r="F453" s="7"/>
      <c r="G453" s="7"/>
      <c r="H453" s="7"/>
      <c r="I453" s="7"/>
      <c r="J453" s="7"/>
      <c r="K453" s="7"/>
      <c r="L453" s="7"/>
      <c r="M453" s="7"/>
      <c r="S453" s="7"/>
    </row>
    <row r="454">
      <c r="A454" s="231"/>
      <c r="B454" s="78"/>
      <c r="C454" s="623"/>
      <c r="D454" s="624"/>
      <c r="E454" s="66"/>
      <c r="F454" s="7"/>
      <c r="G454" s="7"/>
      <c r="H454" s="7"/>
      <c r="I454" s="7"/>
      <c r="J454" s="7"/>
      <c r="K454" s="7"/>
      <c r="L454" s="7"/>
      <c r="M454" s="7"/>
      <c r="S454" s="7"/>
    </row>
    <row r="455">
      <c r="A455" s="231"/>
      <c r="B455" s="78"/>
      <c r="C455" s="623"/>
      <c r="D455" s="624"/>
      <c r="E455" s="66"/>
      <c r="F455" s="7"/>
      <c r="G455" s="7"/>
      <c r="H455" s="7"/>
      <c r="I455" s="7"/>
      <c r="J455" s="7"/>
      <c r="K455" s="7"/>
      <c r="L455" s="7"/>
      <c r="M455" s="7"/>
      <c r="S455" s="7"/>
    </row>
    <row r="456">
      <c r="A456" s="231"/>
      <c r="B456" s="78"/>
      <c r="C456" s="623"/>
      <c r="D456" s="624"/>
      <c r="E456" s="66"/>
      <c r="F456" s="7"/>
      <c r="G456" s="7"/>
      <c r="H456" s="7"/>
      <c r="I456" s="7"/>
      <c r="J456" s="7"/>
      <c r="K456" s="7"/>
      <c r="L456" s="7"/>
      <c r="M456" s="7"/>
      <c r="S456" s="7"/>
    </row>
    <row r="457">
      <c r="A457" s="231"/>
      <c r="B457" s="78"/>
      <c r="C457" s="623"/>
      <c r="D457" s="624"/>
      <c r="E457" s="66"/>
      <c r="F457" s="7"/>
      <c r="G457" s="7"/>
      <c r="H457" s="7"/>
      <c r="I457" s="7"/>
      <c r="J457" s="7"/>
      <c r="K457" s="7"/>
      <c r="L457" s="7"/>
      <c r="M457" s="7"/>
      <c r="S457" s="7"/>
    </row>
    <row r="458">
      <c r="A458" s="231"/>
      <c r="B458" s="78"/>
      <c r="C458" s="623"/>
      <c r="D458" s="624"/>
      <c r="E458" s="66"/>
      <c r="F458" s="7"/>
      <c r="G458" s="7"/>
      <c r="H458" s="7"/>
      <c r="I458" s="7"/>
      <c r="J458" s="7"/>
      <c r="K458" s="7"/>
      <c r="L458" s="7"/>
      <c r="M458" s="7"/>
      <c r="S458" s="7"/>
    </row>
    <row r="459">
      <c r="A459" s="231"/>
      <c r="B459" s="78"/>
      <c r="C459" s="623"/>
      <c r="D459" s="624"/>
      <c r="E459" s="66"/>
      <c r="F459" s="7"/>
      <c r="G459" s="7"/>
      <c r="H459" s="7"/>
      <c r="I459" s="7"/>
      <c r="J459" s="7"/>
      <c r="K459" s="7"/>
      <c r="L459" s="7"/>
      <c r="M459" s="7"/>
      <c r="S459" s="7"/>
    </row>
    <row r="460">
      <c r="A460" s="231"/>
      <c r="B460" s="78"/>
      <c r="C460" s="623"/>
      <c r="D460" s="624"/>
      <c r="E460" s="66"/>
      <c r="F460" s="7"/>
      <c r="G460" s="7"/>
      <c r="H460" s="7"/>
      <c r="I460" s="7"/>
      <c r="J460" s="7"/>
      <c r="K460" s="7"/>
      <c r="L460" s="7"/>
      <c r="M460" s="7"/>
      <c r="S460" s="7"/>
    </row>
    <row r="461">
      <c r="A461" s="231"/>
      <c r="B461" s="78"/>
      <c r="C461" s="623"/>
      <c r="D461" s="624"/>
      <c r="E461" s="66"/>
      <c r="F461" s="7"/>
      <c r="G461" s="7"/>
      <c r="H461" s="7"/>
      <c r="I461" s="7"/>
      <c r="J461" s="7"/>
      <c r="K461" s="7"/>
      <c r="L461" s="7"/>
      <c r="M461" s="7"/>
      <c r="S461" s="7"/>
    </row>
    <row r="462">
      <c r="A462" s="231"/>
      <c r="B462" s="78"/>
      <c r="C462" s="623"/>
      <c r="D462" s="624"/>
      <c r="E462" s="66"/>
      <c r="F462" s="7"/>
      <c r="G462" s="7"/>
      <c r="H462" s="7"/>
      <c r="I462" s="7"/>
      <c r="J462" s="7"/>
      <c r="K462" s="7"/>
      <c r="L462" s="7"/>
      <c r="M462" s="7"/>
      <c r="S462" s="7"/>
    </row>
    <row r="463">
      <c r="A463" s="231"/>
      <c r="B463" s="78"/>
      <c r="C463" s="623"/>
      <c r="D463" s="624"/>
      <c r="E463" s="66"/>
      <c r="F463" s="7"/>
      <c r="G463" s="7"/>
      <c r="H463" s="7"/>
      <c r="I463" s="7"/>
      <c r="J463" s="7"/>
      <c r="K463" s="7"/>
      <c r="L463" s="7"/>
      <c r="M463" s="7"/>
      <c r="S463" s="7"/>
    </row>
    <row r="464">
      <c r="A464" s="231"/>
      <c r="B464" s="78"/>
      <c r="C464" s="623"/>
      <c r="D464" s="624"/>
      <c r="E464" s="66"/>
      <c r="F464" s="7"/>
      <c r="G464" s="7"/>
      <c r="H464" s="7"/>
      <c r="I464" s="7"/>
      <c r="J464" s="7"/>
      <c r="K464" s="7"/>
      <c r="L464" s="7"/>
      <c r="M464" s="7"/>
      <c r="S464" s="7"/>
    </row>
    <row r="465">
      <c r="A465" s="231"/>
      <c r="B465" s="78"/>
      <c r="C465" s="623"/>
      <c r="D465" s="624"/>
      <c r="E465" s="66"/>
      <c r="F465" s="7"/>
      <c r="G465" s="7"/>
      <c r="H465" s="7"/>
      <c r="I465" s="7"/>
      <c r="J465" s="7"/>
      <c r="K465" s="7"/>
      <c r="L465" s="7"/>
      <c r="M465" s="7"/>
      <c r="S465" s="7"/>
    </row>
    <row r="466">
      <c r="A466" s="231"/>
      <c r="B466" s="78"/>
      <c r="C466" s="623"/>
      <c r="D466" s="624"/>
      <c r="E466" s="66"/>
      <c r="F466" s="7"/>
      <c r="G466" s="7"/>
      <c r="H466" s="7"/>
      <c r="I466" s="7"/>
      <c r="J466" s="7"/>
      <c r="K466" s="7"/>
      <c r="L466" s="7"/>
      <c r="M466" s="7"/>
      <c r="S466" s="7"/>
    </row>
    <row r="467">
      <c r="A467" s="231"/>
      <c r="B467" s="78"/>
      <c r="C467" s="623"/>
      <c r="D467" s="624"/>
      <c r="E467" s="66"/>
      <c r="F467" s="7"/>
      <c r="G467" s="7"/>
      <c r="H467" s="7"/>
      <c r="I467" s="7"/>
      <c r="J467" s="7"/>
      <c r="K467" s="7"/>
      <c r="L467" s="7"/>
      <c r="M467" s="7"/>
      <c r="S467" s="7"/>
    </row>
    <row r="468">
      <c r="A468" s="231"/>
      <c r="B468" s="78"/>
      <c r="C468" s="623"/>
      <c r="D468" s="624"/>
      <c r="E468" s="66"/>
      <c r="F468" s="7"/>
      <c r="G468" s="7"/>
      <c r="H468" s="7"/>
      <c r="I468" s="7"/>
      <c r="J468" s="7"/>
      <c r="K468" s="7"/>
      <c r="L468" s="7"/>
      <c r="M468" s="7"/>
      <c r="S468" s="7"/>
    </row>
    <row r="469">
      <c r="A469" s="231"/>
      <c r="B469" s="78"/>
      <c r="C469" s="623"/>
      <c r="D469" s="624"/>
      <c r="E469" s="66"/>
      <c r="F469" s="7"/>
      <c r="G469" s="7"/>
      <c r="H469" s="7"/>
      <c r="I469" s="7"/>
      <c r="J469" s="7"/>
      <c r="K469" s="7"/>
      <c r="L469" s="7"/>
      <c r="M469" s="7"/>
      <c r="S469" s="7"/>
    </row>
    <row r="470">
      <c r="A470" s="231"/>
      <c r="B470" s="78"/>
      <c r="C470" s="623"/>
      <c r="D470" s="624"/>
      <c r="E470" s="66"/>
      <c r="F470" s="7"/>
      <c r="G470" s="7"/>
      <c r="H470" s="7"/>
      <c r="I470" s="7"/>
      <c r="J470" s="7"/>
      <c r="K470" s="7"/>
      <c r="L470" s="7"/>
      <c r="M470" s="7"/>
      <c r="S470" s="7"/>
    </row>
    <row r="471">
      <c r="A471" s="231"/>
      <c r="B471" s="78"/>
      <c r="C471" s="623"/>
      <c r="D471" s="624"/>
      <c r="E471" s="66"/>
      <c r="F471" s="7"/>
      <c r="G471" s="7"/>
      <c r="H471" s="7"/>
      <c r="I471" s="7"/>
      <c r="J471" s="7"/>
      <c r="K471" s="7"/>
      <c r="L471" s="7"/>
      <c r="M471" s="7"/>
      <c r="S471" s="7"/>
    </row>
    <row r="472">
      <c r="A472" s="231"/>
      <c r="B472" s="78"/>
      <c r="C472" s="623"/>
      <c r="D472" s="624"/>
      <c r="E472" s="66"/>
      <c r="F472" s="7"/>
      <c r="G472" s="7"/>
      <c r="H472" s="7"/>
      <c r="I472" s="7"/>
      <c r="J472" s="7"/>
      <c r="K472" s="7"/>
      <c r="L472" s="7"/>
      <c r="M472" s="7"/>
      <c r="S472" s="7"/>
    </row>
    <row r="473">
      <c r="A473" s="231"/>
      <c r="B473" s="78"/>
      <c r="C473" s="623"/>
      <c r="D473" s="624"/>
      <c r="E473" s="66"/>
      <c r="F473" s="7"/>
      <c r="G473" s="7"/>
      <c r="H473" s="7"/>
      <c r="I473" s="7"/>
      <c r="J473" s="7"/>
      <c r="K473" s="7"/>
      <c r="L473" s="7"/>
      <c r="M473" s="7"/>
      <c r="S473" s="7"/>
    </row>
    <row r="474">
      <c r="A474" s="231"/>
      <c r="B474" s="78"/>
      <c r="C474" s="623"/>
      <c r="D474" s="624"/>
      <c r="E474" s="66"/>
      <c r="F474" s="7"/>
      <c r="G474" s="7"/>
      <c r="H474" s="7"/>
      <c r="I474" s="7"/>
      <c r="J474" s="7"/>
      <c r="K474" s="7"/>
      <c r="L474" s="7"/>
      <c r="M474" s="7"/>
      <c r="S474" s="7"/>
    </row>
    <row r="475">
      <c r="A475" s="231"/>
      <c r="B475" s="78"/>
      <c r="C475" s="623"/>
      <c r="D475" s="624"/>
      <c r="E475" s="66"/>
      <c r="F475" s="7"/>
      <c r="G475" s="7"/>
      <c r="H475" s="7"/>
      <c r="I475" s="7"/>
      <c r="J475" s="7"/>
      <c r="K475" s="7"/>
      <c r="L475" s="7"/>
      <c r="M475" s="7"/>
      <c r="S475" s="7"/>
    </row>
    <row r="476">
      <c r="A476" s="231"/>
      <c r="B476" s="78"/>
      <c r="C476" s="623"/>
      <c r="D476" s="624"/>
      <c r="E476" s="66"/>
      <c r="F476" s="7"/>
      <c r="G476" s="7"/>
      <c r="H476" s="7"/>
      <c r="I476" s="7"/>
      <c r="J476" s="7"/>
      <c r="K476" s="7"/>
      <c r="L476" s="7"/>
      <c r="M476" s="7"/>
      <c r="S476" s="7"/>
    </row>
    <row r="477">
      <c r="A477" s="231"/>
      <c r="B477" s="78"/>
      <c r="C477" s="623"/>
      <c r="D477" s="624"/>
      <c r="E477" s="66"/>
      <c r="F477" s="7"/>
      <c r="G477" s="7"/>
      <c r="H477" s="7"/>
      <c r="I477" s="7"/>
      <c r="J477" s="7"/>
      <c r="K477" s="7"/>
      <c r="L477" s="7"/>
      <c r="M477" s="7"/>
      <c r="S477" s="7"/>
    </row>
    <row r="478">
      <c r="A478" s="231"/>
      <c r="B478" s="78"/>
      <c r="C478" s="623"/>
      <c r="D478" s="624"/>
      <c r="E478" s="66"/>
      <c r="F478" s="7"/>
      <c r="G478" s="7"/>
      <c r="H478" s="7"/>
      <c r="I478" s="7"/>
      <c r="J478" s="7"/>
      <c r="K478" s="7"/>
      <c r="L478" s="7"/>
      <c r="M478" s="7"/>
      <c r="S478" s="7"/>
    </row>
    <row r="479">
      <c r="A479" s="231"/>
      <c r="B479" s="78"/>
      <c r="C479" s="623"/>
      <c r="D479" s="624"/>
      <c r="E479" s="66"/>
      <c r="F479" s="7"/>
      <c r="G479" s="7"/>
      <c r="H479" s="7"/>
      <c r="I479" s="7"/>
      <c r="J479" s="7"/>
      <c r="K479" s="7"/>
      <c r="L479" s="7"/>
      <c r="M479" s="7"/>
      <c r="S479" s="7"/>
    </row>
    <row r="480">
      <c r="A480" s="231"/>
      <c r="B480" s="78"/>
      <c r="C480" s="623"/>
      <c r="D480" s="624"/>
      <c r="E480" s="66"/>
      <c r="F480" s="7"/>
      <c r="G480" s="7"/>
      <c r="H480" s="7"/>
      <c r="I480" s="7"/>
      <c r="J480" s="7"/>
      <c r="K480" s="7"/>
      <c r="L480" s="7"/>
      <c r="M480" s="7"/>
      <c r="S480" s="7"/>
    </row>
    <row r="481">
      <c r="A481" s="231"/>
      <c r="B481" s="78"/>
      <c r="C481" s="623"/>
      <c r="D481" s="624"/>
      <c r="E481" s="66"/>
      <c r="F481" s="7"/>
      <c r="G481" s="7"/>
      <c r="H481" s="7"/>
      <c r="I481" s="7"/>
      <c r="J481" s="7"/>
      <c r="K481" s="7"/>
      <c r="L481" s="7"/>
      <c r="M481" s="7"/>
      <c r="S481" s="7"/>
    </row>
    <row r="482">
      <c r="A482" s="231"/>
      <c r="B482" s="78"/>
      <c r="C482" s="623"/>
      <c r="D482" s="624"/>
      <c r="E482" s="66"/>
      <c r="F482" s="7"/>
      <c r="G482" s="7"/>
      <c r="H482" s="7"/>
      <c r="I482" s="7"/>
      <c r="J482" s="7"/>
      <c r="K482" s="7"/>
      <c r="L482" s="7"/>
      <c r="M482" s="7"/>
      <c r="S482" s="7"/>
    </row>
    <row r="483">
      <c r="A483" s="231"/>
      <c r="B483" s="78"/>
      <c r="C483" s="623"/>
      <c r="D483" s="624"/>
      <c r="E483" s="66"/>
      <c r="F483" s="7"/>
      <c r="G483" s="7"/>
      <c r="H483" s="7"/>
      <c r="I483" s="7"/>
      <c r="J483" s="7"/>
      <c r="K483" s="7"/>
      <c r="L483" s="7"/>
      <c r="M483" s="7"/>
      <c r="S483" s="7"/>
    </row>
    <row r="484">
      <c r="A484" s="231"/>
      <c r="B484" s="78"/>
      <c r="C484" s="623"/>
      <c r="D484" s="624"/>
      <c r="E484" s="66"/>
      <c r="F484" s="7"/>
      <c r="G484" s="7"/>
      <c r="H484" s="7"/>
      <c r="I484" s="7"/>
      <c r="J484" s="7"/>
      <c r="K484" s="7"/>
      <c r="L484" s="7"/>
      <c r="M484" s="7"/>
      <c r="S484" s="7"/>
    </row>
    <row r="485">
      <c r="A485" s="231"/>
      <c r="B485" s="78"/>
      <c r="C485" s="623"/>
      <c r="D485" s="624"/>
      <c r="E485" s="66"/>
      <c r="F485" s="7"/>
      <c r="G485" s="7"/>
      <c r="H485" s="7"/>
      <c r="I485" s="7"/>
      <c r="J485" s="7"/>
      <c r="K485" s="7"/>
      <c r="L485" s="7"/>
      <c r="M485" s="7"/>
      <c r="S485" s="7"/>
    </row>
    <row r="486">
      <c r="A486" s="231"/>
      <c r="B486" s="78"/>
      <c r="C486" s="623"/>
      <c r="D486" s="624"/>
      <c r="E486" s="66"/>
      <c r="F486" s="7"/>
      <c r="G486" s="7"/>
      <c r="H486" s="7"/>
      <c r="I486" s="7"/>
      <c r="J486" s="7"/>
      <c r="K486" s="7"/>
      <c r="L486" s="7"/>
      <c r="M486" s="7"/>
      <c r="S486" s="7"/>
    </row>
    <row r="487">
      <c r="A487" s="231"/>
      <c r="B487" s="78"/>
      <c r="C487" s="623"/>
      <c r="D487" s="624"/>
      <c r="E487" s="66"/>
      <c r="F487" s="7"/>
      <c r="G487" s="7"/>
      <c r="H487" s="7"/>
      <c r="I487" s="7"/>
      <c r="J487" s="7"/>
      <c r="K487" s="7"/>
      <c r="L487" s="7"/>
      <c r="M487" s="7"/>
      <c r="S487" s="7"/>
    </row>
    <row r="488">
      <c r="A488" s="231"/>
      <c r="B488" s="78"/>
      <c r="C488" s="623"/>
      <c r="D488" s="624"/>
      <c r="E488" s="66"/>
      <c r="F488" s="7"/>
      <c r="G488" s="7"/>
      <c r="H488" s="7"/>
      <c r="I488" s="7"/>
      <c r="J488" s="7"/>
      <c r="K488" s="7"/>
      <c r="L488" s="7"/>
      <c r="M488" s="7"/>
      <c r="S488" s="7"/>
    </row>
    <row r="489">
      <c r="A489" s="231"/>
      <c r="B489" s="78"/>
      <c r="C489" s="623"/>
      <c r="D489" s="624"/>
      <c r="E489" s="66"/>
      <c r="F489" s="7"/>
      <c r="G489" s="7"/>
      <c r="H489" s="7"/>
      <c r="I489" s="7"/>
      <c r="J489" s="7"/>
      <c r="K489" s="7"/>
      <c r="L489" s="7"/>
      <c r="M489" s="7"/>
      <c r="S489" s="7"/>
    </row>
    <row r="490">
      <c r="A490" s="231"/>
      <c r="B490" s="78"/>
      <c r="C490" s="623"/>
      <c r="D490" s="624"/>
      <c r="E490" s="66"/>
      <c r="F490" s="7"/>
      <c r="G490" s="7"/>
      <c r="H490" s="7"/>
      <c r="I490" s="7"/>
      <c r="J490" s="7"/>
      <c r="K490" s="7"/>
      <c r="L490" s="7"/>
      <c r="M490" s="7"/>
      <c r="S490" s="7"/>
    </row>
    <row r="491">
      <c r="A491" s="231"/>
      <c r="B491" s="78"/>
      <c r="C491" s="623"/>
      <c r="D491" s="624"/>
      <c r="E491" s="66"/>
      <c r="F491" s="7"/>
      <c r="G491" s="7"/>
      <c r="H491" s="7"/>
      <c r="I491" s="7"/>
      <c r="J491" s="7"/>
      <c r="K491" s="7"/>
      <c r="L491" s="7"/>
      <c r="M491" s="7"/>
      <c r="S491" s="7"/>
    </row>
    <row r="492">
      <c r="A492" s="231"/>
      <c r="B492" s="78"/>
      <c r="C492" s="623"/>
      <c r="D492" s="624"/>
      <c r="E492" s="66"/>
      <c r="F492" s="7"/>
      <c r="G492" s="7"/>
      <c r="H492" s="7"/>
      <c r="I492" s="7"/>
      <c r="J492" s="7"/>
      <c r="K492" s="7"/>
      <c r="L492" s="7"/>
      <c r="M492" s="7"/>
      <c r="S492" s="7"/>
    </row>
    <row r="493">
      <c r="A493" s="231"/>
      <c r="B493" s="78"/>
      <c r="C493" s="623"/>
      <c r="D493" s="624"/>
      <c r="E493" s="66"/>
      <c r="F493" s="7"/>
      <c r="G493" s="7"/>
      <c r="H493" s="7"/>
      <c r="I493" s="7"/>
      <c r="J493" s="7"/>
      <c r="K493" s="7"/>
      <c r="L493" s="7"/>
      <c r="M493" s="7"/>
      <c r="S493" s="7"/>
    </row>
    <row r="494">
      <c r="A494" s="231"/>
      <c r="B494" s="78"/>
      <c r="C494" s="623"/>
      <c r="D494" s="624"/>
      <c r="E494" s="66"/>
      <c r="F494" s="7"/>
      <c r="G494" s="7"/>
      <c r="H494" s="7"/>
      <c r="I494" s="7"/>
      <c r="J494" s="7"/>
      <c r="K494" s="7"/>
      <c r="L494" s="7"/>
      <c r="M494" s="7"/>
      <c r="S494" s="7"/>
    </row>
    <row r="495">
      <c r="A495" s="231"/>
      <c r="B495" s="78"/>
      <c r="C495" s="623"/>
      <c r="D495" s="624"/>
      <c r="E495" s="66"/>
      <c r="F495" s="7"/>
      <c r="G495" s="7"/>
      <c r="H495" s="7"/>
      <c r="I495" s="7"/>
      <c r="J495" s="7"/>
      <c r="K495" s="7"/>
      <c r="L495" s="7"/>
      <c r="M495" s="7"/>
      <c r="S495" s="7"/>
    </row>
    <row r="496">
      <c r="A496" s="231"/>
      <c r="B496" s="78"/>
      <c r="C496" s="623"/>
      <c r="D496" s="624"/>
      <c r="E496" s="66"/>
      <c r="F496" s="7"/>
      <c r="G496" s="7"/>
      <c r="H496" s="7"/>
      <c r="I496" s="7"/>
      <c r="J496" s="7"/>
      <c r="K496" s="7"/>
      <c r="L496" s="7"/>
      <c r="M496" s="7"/>
      <c r="S496" s="7"/>
    </row>
    <row r="497">
      <c r="A497" s="231"/>
      <c r="B497" s="78"/>
      <c r="C497" s="623"/>
      <c r="D497" s="624"/>
      <c r="E497" s="66"/>
      <c r="F497" s="7"/>
      <c r="G497" s="7"/>
      <c r="H497" s="7"/>
      <c r="I497" s="7"/>
      <c r="J497" s="7"/>
      <c r="K497" s="7"/>
      <c r="L497" s="7"/>
      <c r="M497" s="7"/>
      <c r="S497" s="7"/>
    </row>
    <row r="498">
      <c r="A498" s="231"/>
      <c r="B498" s="78"/>
      <c r="C498" s="623"/>
      <c r="D498" s="624"/>
      <c r="E498" s="66"/>
      <c r="F498" s="7"/>
      <c r="G498" s="7"/>
      <c r="H498" s="7"/>
      <c r="I498" s="7"/>
      <c r="J498" s="7"/>
      <c r="K498" s="7"/>
      <c r="L498" s="7"/>
      <c r="M498" s="7"/>
      <c r="S498" s="7"/>
    </row>
    <row r="499">
      <c r="A499" s="231"/>
      <c r="B499" s="78"/>
      <c r="C499" s="623"/>
      <c r="D499" s="624"/>
      <c r="E499" s="66"/>
      <c r="F499" s="7"/>
      <c r="G499" s="7"/>
      <c r="H499" s="7"/>
      <c r="I499" s="7"/>
      <c r="J499" s="7"/>
      <c r="K499" s="7"/>
      <c r="L499" s="7"/>
      <c r="M499" s="7"/>
      <c r="S499" s="7"/>
    </row>
    <row r="500">
      <c r="A500" s="231"/>
      <c r="B500" s="78"/>
      <c r="C500" s="623"/>
      <c r="D500" s="624"/>
      <c r="E500" s="66"/>
      <c r="F500" s="7"/>
      <c r="G500" s="7"/>
      <c r="H500" s="7"/>
      <c r="I500" s="7"/>
      <c r="J500" s="7"/>
      <c r="K500" s="7"/>
      <c r="L500" s="7"/>
      <c r="M500" s="7"/>
      <c r="S500" s="7"/>
    </row>
    <row r="501">
      <c r="A501" s="231"/>
      <c r="B501" s="78"/>
      <c r="C501" s="623"/>
      <c r="D501" s="624"/>
      <c r="E501" s="66"/>
      <c r="F501" s="7"/>
      <c r="G501" s="7"/>
      <c r="H501" s="7"/>
      <c r="I501" s="7"/>
      <c r="J501" s="7"/>
      <c r="K501" s="7"/>
      <c r="L501" s="7"/>
      <c r="M501" s="7"/>
      <c r="S501" s="7"/>
    </row>
    <row r="502">
      <c r="A502" s="231"/>
      <c r="B502" s="78"/>
      <c r="C502" s="623"/>
      <c r="D502" s="624"/>
      <c r="E502" s="66"/>
      <c r="F502" s="7"/>
      <c r="G502" s="7"/>
      <c r="H502" s="7"/>
      <c r="I502" s="7"/>
      <c r="J502" s="7"/>
      <c r="K502" s="7"/>
      <c r="L502" s="7"/>
      <c r="M502" s="7"/>
      <c r="O502" s="160"/>
      <c r="P502" s="10"/>
      <c r="S502" s="7"/>
    </row>
    <row r="503">
      <c r="A503" s="231"/>
      <c r="B503" s="78"/>
      <c r="C503" s="623"/>
      <c r="D503" s="624"/>
      <c r="E503" s="66"/>
      <c r="F503" s="7"/>
      <c r="G503" s="7"/>
      <c r="H503" s="7"/>
      <c r="I503" s="7"/>
      <c r="J503" s="7"/>
      <c r="K503" s="7"/>
      <c r="L503" s="7"/>
      <c r="M503" s="7"/>
      <c r="O503" s="160"/>
      <c r="P503" s="10"/>
      <c r="S503" s="7"/>
    </row>
    <row r="504">
      <c r="A504" s="231"/>
      <c r="B504" s="78"/>
      <c r="C504" s="623"/>
      <c r="D504" s="624"/>
      <c r="E504" s="66"/>
      <c r="F504" s="7"/>
      <c r="G504" s="7"/>
      <c r="H504" s="7"/>
      <c r="I504" s="7"/>
      <c r="J504" s="7"/>
      <c r="K504" s="7"/>
      <c r="L504" s="7"/>
      <c r="M504" s="7"/>
      <c r="O504" s="160"/>
      <c r="P504" s="10"/>
      <c r="S504" s="7"/>
    </row>
    <row r="505">
      <c r="A505" s="231"/>
      <c r="B505" s="78"/>
      <c r="C505" s="623"/>
      <c r="D505" s="624"/>
      <c r="E505" s="66"/>
      <c r="F505" s="7"/>
      <c r="G505" s="7"/>
      <c r="H505" s="7"/>
      <c r="I505" s="7"/>
      <c r="J505" s="7"/>
      <c r="K505" s="7"/>
      <c r="L505" s="7"/>
      <c r="M505" s="7"/>
      <c r="O505" s="160"/>
      <c r="P505" s="10"/>
      <c r="S505" s="7"/>
    </row>
    <row r="506">
      <c r="A506" s="231"/>
      <c r="B506" s="78"/>
      <c r="C506" s="623"/>
      <c r="D506" s="624"/>
      <c r="E506" s="66"/>
      <c r="F506" s="7"/>
      <c r="G506" s="7"/>
      <c r="H506" s="7"/>
      <c r="I506" s="7"/>
      <c r="J506" s="7"/>
      <c r="K506" s="7"/>
      <c r="L506" s="7"/>
      <c r="M506" s="7"/>
      <c r="O506" s="160"/>
      <c r="P506" s="10"/>
      <c r="S506" s="7"/>
    </row>
    <row r="507">
      <c r="A507" s="231"/>
      <c r="B507" s="78"/>
      <c r="C507" s="623"/>
      <c r="D507" s="624"/>
      <c r="E507" s="66"/>
      <c r="F507" s="7"/>
      <c r="G507" s="7"/>
      <c r="H507" s="7"/>
      <c r="I507" s="7"/>
      <c r="J507" s="7"/>
      <c r="K507" s="7"/>
      <c r="L507" s="7"/>
      <c r="M507" s="7"/>
      <c r="O507" s="160"/>
      <c r="P507" s="10"/>
      <c r="S507" s="7"/>
    </row>
    <row r="508">
      <c r="A508" s="231"/>
      <c r="B508" s="78"/>
      <c r="C508" s="623"/>
      <c r="D508" s="624"/>
      <c r="E508" s="66"/>
      <c r="F508" s="7"/>
      <c r="G508" s="7"/>
      <c r="H508" s="7"/>
      <c r="I508" s="7"/>
      <c r="J508" s="7"/>
      <c r="K508" s="7"/>
      <c r="L508" s="7"/>
      <c r="M508" s="7"/>
      <c r="O508" s="160"/>
      <c r="P508" s="10"/>
      <c r="S508" s="7"/>
    </row>
    <row r="509">
      <c r="A509" s="231"/>
      <c r="B509" s="78"/>
      <c r="C509" s="623"/>
      <c r="D509" s="624"/>
      <c r="E509" s="66"/>
      <c r="F509" s="7"/>
      <c r="G509" s="7"/>
      <c r="H509" s="7"/>
      <c r="I509" s="7"/>
      <c r="J509" s="7"/>
      <c r="K509" s="7"/>
      <c r="L509" s="7"/>
      <c r="M509" s="7"/>
      <c r="O509" s="160"/>
      <c r="P509" s="10"/>
      <c r="S509" s="7"/>
    </row>
    <row r="510">
      <c r="A510" s="231"/>
      <c r="B510" s="78"/>
      <c r="C510" s="623"/>
      <c r="D510" s="624"/>
      <c r="E510" s="66"/>
      <c r="F510" s="7"/>
      <c r="G510" s="7"/>
      <c r="H510" s="7"/>
      <c r="I510" s="7"/>
      <c r="J510" s="7"/>
      <c r="K510" s="7"/>
      <c r="L510" s="7"/>
      <c r="M510" s="7"/>
      <c r="O510" s="160"/>
      <c r="P510" s="10"/>
      <c r="S510" s="7"/>
    </row>
    <row r="511">
      <c r="A511" s="231"/>
      <c r="B511" s="78"/>
      <c r="C511" s="623"/>
      <c r="D511" s="624"/>
      <c r="E511" s="66"/>
      <c r="F511" s="7"/>
      <c r="G511" s="7"/>
      <c r="H511" s="7"/>
      <c r="I511" s="7"/>
      <c r="J511" s="7"/>
      <c r="K511" s="7"/>
      <c r="L511" s="7"/>
      <c r="M511" s="7"/>
      <c r="O511" s="160"/>
      <c r="P511" s="10"/>
      <c r="S511" s="7"/>
    </row>
    <row r="512">
      <c r="A512" s="231"/>
      <c r="B512" s="78"/>
      <c r="C512" s="623"/>
      <c r="D512" s="624"/>
      <c r="E512" s="66"/>
      <c r="F512" s="7"/>
      <c r="G512" s="7"/>
      <c r="H512" s="7"/>
      <c r="I512" s="7"/>
      <c r="J512" s="7"/>
      <c r="K512" s="7"/>
      <c r="L512" s="7"/>
      <c r="M512" s="7"/>
      <c r="O512" s="160"/>
      <c r="P512" s="10"/>
      <c r="S512" s="7"/>
    </row>
    <row r="513">
      <c r="A513" s="231"/>
      <c r="B513" s="78"/>
      <c r="C513" s="623"/>
      <c r="D513" s="624"/>
      <c r="E513" s="66"/>
      <c r="F513" s="7"/>
      <c r="G513" s="7"/>
      <c r="H513" s="7"/>
      <c r="I513" s="7"/>
      <c r="J513" s="7"/>
      <c r="K513" s="7"/>
      <c r="L513" s="7"/>
      <c r="M513" s="7"/>
      <c r="O513" s="160"/>
      <c r="P513" s="10"/>
      <c r="S513" s="7"/>
    </row>
    <row r="514">
      <c r="A514" s="231"/>
      <c r="B514" s="78"/>
      <c r="C514" s="623"/>
      <c r="D514" s="624"/>
      <c r="E514" s="66"/>
      <c r="F514" s="7"/>
      <c r="G514" s="7"/>
      <c r="H514" s="7"/>
      <c r="I514" s="7"/>
      <c r="J514" s="7"/>
      <c r="K514" s="7"/>
      <c r="L514" s="7"/>
      <c r="M514" s="7"/>
      <c r="O514" s="160"/>
      <c r="P514" s="10"/>
      <c r="S514" s="7"/>
    </row>
    <row r="515">
      <c r="A515" s="231"/>
      <c r="B515" s="78"/>
      <c r="C515" s="623"/>
      <c r="D515" s="624"/>
      <c r="E515" s="66"/>
      <c r="F515" s="7"/>
      <c r="G515" s="7"/>
      <c r="H515" s="7"/>
      <c r="I515" s="7"/>
      <c r="J515" s="7"/>
      <c r="K515" s="7"/>
      <c r="L515" s="7"/>
      <c r="M515" s="7"/>
      <c r="O515" s="160"/>
      <c r="P515" s="10"/>
      <c r="S515" s="7"/>
    </row>
    <row r="516">
      <c r="A516" s="231"/>
      <c r="B516" s="78"/>
      <c r="C516" s="623"/>
      <c r="D516" s="624"/>
      <c r="E516" s="66"/>
      <c r="F516" s="7"/>
      <c r="G516" s="7"/>
      <c r="H516" s="7"/>
      <c r="I516" s="7"/>
      <c r="J516" s="7"/>
      <c r="K516" s="7"/>
      <c r="L516" s="7"/>
      <c r="M516" s="7"/>
      <c r="O516" s="160"/>
      <c r="P516" s="10"/>
      <c r="S516" s="7"/>
    </row>
    <row r="517">
      <c r="A517" s="231"/>
      <c r="B517" s="78"/>
      <c r="C517" s="623"/>
      <c r="D517" s="624"/>
      <c r="E517" s="66"/>
      <c r="F517" s="7"/>
      <c r="G517" s="7"/>
      <c r="H517" s="7"/>
      <c r="I517" s="7"/>
      <c r="J517" s="7"/>
      <c r="K517" s="7"/>
      <c r="L517" s="7"/>
      <c r="M517" s="7"/>
      <c r="O517" s="160"/>
      <c r="P517" s="10"/>
      <c r="S517" s="7"/>
    </row>
    <row r="518">
      <c r="A518" s="231"/>
      <c r="B518" s="78"/>
      <c r="C518" s="623"/>
      <c r="D518" s="624"/>
      <c r="E518" s="66"/>
      <c r="F518" s="7"/>
      <c r="G518" s="7"/>
      <c r="H518" s="7"/>
      <c r="I518" s="7"/>
      <c r="J518" s="7"/>
      <c r="K518" s="7"/>
      <c r="L518" s="7"/>
      <c r="M518" s="7"/>
      <c r="O518" s="160"/>
      <c r="P518" s="10"/>
      <c r="S518" s="7"/>
    </row>
    <row r="519">
      <c r="A519" s="231"/>
      <c r="B519" s="78"/>
      <c r="C519" s="623"/>
      <c r="D519" s="624"/>
      <c r="E519" s="66"/>
      <c r="F519" s="7"/>
      <c r="G519" s="7"/>
      <c r="H519" s="7"/>
      <c r="I519" s="7"/>
      <c r="J519" s="7"/>
      <c r="K519" s="7"/>
      <c r="L519" s="7"/>
      <c r="M519" s="7"/>
      <c r="O519" s="160"/>
      <c r="P519" s="10"/>
      <c r="S519" s="7"/>
    </row>
    <row r="520">
      <c r="A520" s="231"/>
      <c r="B520" s="78"/>
      <c r="C520" s="623"/>
      <c r="D520" s="624"/>
      <c r="E520" s="66"/>
      <c r="F520" s="7"/>
      <c r="G520" s="7"/>
      <c r="H520" s="7"/>
      <c r="I520" s="7"/>
      <c r="J520" s="7"/>
      <c r="K520" s="7"/>
      <c r="L520" s="7"/>
      <c r="M520" s="7"/>
      <c r="O520" s="160"/>
      <c r="P520" s="10"/>
      <c r="S520" s="7"/>
    </row>
    <row r="521">
      <c r="A521" s="231"/>
      <c r="B521" s="78"/>
      <c r="C521" s="623"/>
      <c r="D521" s="624"/>
      <c r="E521" s="66"/>
      <c r="F521" s="7"/>
      <c r="G521" s="7"/>
      <c r="H521" s="7"/>
      <c r="I521" s="7"/>
      <c r="J521" s="7"/>
      <c r="K521" s="7"/>
      <c r="L521" s="7"/>
      <c r="M521" s="7"/>
      <c r="O521" s="160"/>
      <c r="P521" s="10"/>
      <c r="S521" s="7"/>
    </row>
    <row r="522">
      <c r="A522" s="231"/>
      <c r="B522" s="78"/>
      <c r="C522" s="623"/>
      <c r="D522" s="624"/>
      <c r="E522" s="66"/>
      <c r="F522" s="7"/>
      <c r="G522" s="7"/>
      <c r="H522" s="7"/>
      <c r="I522" s="7"/>
      <c r="J522" s="7"/>
      <c r="K522" s="7"/>
      <c r="L522" s="7"/>
      <c r="M522" s="7"/>
      <c r="O522" s="160"/>
      <c r="P522" s="10"/>
      <c r="S522" s="7"/>
    </row>
    <row r="523">
      <c r="A523" s="231"/>
      <c r="B523" s="78"/>
      <c r="C523" s="623"/>
      <c r="D523" s="624"/>
      <c r="E523" s="66"/>
      <c r="F523" s="7"/>
      <c r="G523" s="7"/>
      <c r="H523" s="7"/>
      <c r="I523" s="7"/>
      <c r="J523" s="7"/>
      <c r="K523" s="7"/>
      <c r="L523" s="7"/>
      <c r="M523" s="7"/>
      <c r="O523" s="160"/>
      <c r="P523" s="10"/>
      <c r="S523" s="7"/>
    </row>
    <row r="524">
      <c r="A524" s="231"/>
      <c r="B524" s="78"/>
      <c r="C524" s="623"/>
      <c r="D524" s="624"/>
      <c r="E524" s="66"/>
      <c r="F524" s="7"/>
      <c r="G524" s="7"/>
      <c r="H524" s="7"/>
      <c r="I524" s="7"/>
      <c r="J524" s="7"/>
      <c r="K524" s="7"/>
      <c r="L524" s="7"/>
      <c r="M524" s="7"/>
      <c r="O524" s="160"/>
      <c r="P524" s="10"/>
      <c r="S524" s="7"/>
    </row>
    <row r="525">
      <c r="A525" s="231"/>
      <c r="B525" s="78"/>
      <c r="C525" s="623"/>
      <c r="D525" s="624"/>
      <c r="E525" s="66"/>
      <c r="F525" s="7"/>
      <c r="G525" s="7"/>
      <c r="H525" s="7"/>
      <c r="I525" s="7"/>
      <c r="J525" s="7"/>
      <c r="K525" s="7"/>
      <c r="L525" s="7"/>
      <c r="M525" s="7"/>
      <c r="O525" s="160"/>
      <c r="P525" s="10"/>
      <c r="S525" s="7"/>
    </row>
    <row r="526">
      <c r="A526" s="231"/>
      <c r="B526" s="78"/>
      <c r="C526" s="623"/>
      <c r="D526" s="624"/>
      <c r="E526" s="631"/>
      <c r="F526" s="631"/>
      <c r="G526" s="7"/>
      <c r="H526" s="7"/>
      <c r="I526" s="7"/>
      <c r="J526" s="7"/>
      <c r="K526" s="7"/>
      <c r="L526" s="7"/>
      <c r="M526" s="7"/>
      <c r="O526" s="160"/>
      <c r="P526" s="10"/>
      <c r="S526" s="7"/>
    </row>
    <row r="527">
      <c r="A527" s="231"/>
      <c r="B527" s="78"/>
      <c r="C527" s="623"/>
      <c r="D527" s="624"/>
      <c r="E527" s="631"/>
      <c r="F527" s="631"/>
      <c r="G527" s="7"/>
      <c r="H527" s="7"/>
      <c r="I527" s="7"/>
      <c r="J527" s="7"/>
      <c r="K527" s="7"/>
      <c r="L527" s="7"/>
      <c r="M527" s="7"/>
      <c r="O527" s="160"/>
      <c r="P527" s="10"/>
      <c r="S527" s="7"/>
    </row>
    <row r="528">
      <c r="A528" s="231"/>
      <c r="B528" s="78"/>
      <c r="C528" s="623"/>
      <c r="D528" s="624"/>
      <c r="E528" s="631"/>
      <c r="F528" s="631"/>
      <c r="G528" s="7"/>
      <c r="H528" s="7"/>
      <c r="I528" s="7"/>
      <c r="J528" s="7"/>
      <c r="K528" s="7"/>
      <c r="L528" s="7"/>
      <c r="M528" s="7"/>
      <c r="O528" s="160"/>
      <c r="P528" s="10"/>
      <c r="S528" s="7"/>
    </row>
    <row r="529">
      <c r="A529" s="231"/>
      <c r="B529" s="78"/>
      <c r="C529" s="623"/>
      <c r="D529" s="624"/>
      <c r="E529" s="631"/>
      <c r="F529" s="5"/>
      <c r="G529" s="7"/>
      <c r="H529" s="7"/>
      <c r="I529" s="7"/>
      <c r="J529" s="7"/>
      <c r="K529" s="7"/>
      <c r="L529" s="7"/>
      <c r="M529" s="7"/>
      <c r="O529" s="160"/>
      <c r="P529" s="10"/>
      <c r="S529" s="7"/>
    </row>
    <row r="530">
      <c r="A530" s="231"/>
      <c r="B530" s="78"/>
      <c r="C530" s="623"/>
      <c r="D530" s="624"/>
      <c r="E530" s="631"/>
      <c r="F530" s="631"/>
      <c r="G530" s="7"/>
      <c r="H530" s="7"/>
      <c r="I530" s="7"/>
      <c r="J530" s="7"/>
      <c r="K530" s="7"/>
      <c r="L530" s="7"/>
      <c r="M530" s="7"/>
      <c r="O530" s="160"/>
      <c r="P530" s="10"/>
      <c r="S530" s="7"/>
    </row>
    <row r="531">
      <c r="A531" s="231"/>
      <c r="B531" s="78"/>
      <c r="C531" s="623"/>
      <c r="D531" s="624"/>
      <c r="E531" s="631"/>
      <c r="F531" s="631"/>
      <c r="G531" s="7"/>
      <c r="H531" s="7"/>
      <c r="I531" s="7"/>
      <c r="J531" s="7"/>
      <c r="K531" s="7"/>
      <c r="L531" s="7"/>
      <c r="M531" s="7"/>
      <c r="O531" s="160"/>
      <c r="P531" s="10"/>
      <c r="S531" s="7"/>
    </row>
    <row r="532">
      <c r="A532" s="231"/>
      <c r="B532" s="78"/>
      <c r="C532" s="623"/>
      <c r="D532" s="624"/>
      <c r="E532" s="631"/>
      <c r="F532" s="632"/>
      <c r="G532" s="7"/>
      <c r="H532" s="7"/>
      <c r="I532" s="7"/>
      <c r="J532" s="7"/>
      <c r="K532" s="7"/>
      <c r="L532" s="7"/>
      <c r="M532" s="7"/>
      <c r="O532" s="160"/>
      <c r="P532" s="10"/>
      <c r="S532" s="7"/>
    </row>
    <row r="533">
      <c r="A533" s="231"/>
      <c r="B533" s="78"/>
      <c r="C533" s="623"/>
      <c r="D533" s="624"/>
      <c r="E533" s="631"/>
      <c r="F533" s="632"/>
      <c r="G533" s="7"/>
      <c r="H533" s="7"/>
      <c r="I533" s="7"/>
      <c r="J533" s="7"/>
      <c r="K533" s="7"/>
      <c r="L533" s="7"/>
      <c r="M533" s="7"/>
      <c r="O533" s="160"/>
      <c r="P533" s="10"/>
      <c r="S533" s="7"/>
    </row>
    <row r="534">
      <c r="A534" s="231"/>
      <c r="B534" s="78"/>
      <c r="C534" s="623"/>
      <c r="D534" s="624"/>
      <c r="E534" s="631"/>
      <c r="F534" s="632"/>
      <c r="G534" s="7"/>
      <c r="H534" s="7"/>
      <c r="I534" s="7"/>
      <c r="J534" s="7"/>
      <c r="K534" s="7"/>
      <c r="L534" s="7"/>
      <c r="M534" s="7"/>
      <c r="O534" s="160"/>
      <c r="P534" s="10"/>
      <c r="S534" s="7"/>
    </row>
    <row r="535">
      <c r="A535" s="231"/>
      <c r="B535" s="78"/>
      <c r="C535" s="623"/>
      <c r="D535" s="624"/>
      <c r="E535" s="631"/>
      <c r="F535" s="631"/>
      <c r="G535" s="7"/>
      <c r="H535" s="7"/>
      <c r="I535" s="7"/>
      <c r="J535" s="7"/>
      <c r="K535" s="7"/>
      <c r="L535" s="7"/>
      <c r="M535" s="7"/>
      <c r="O535" s="160"/>
      <c r="P535" s="10"/>
      <c r="S535" s="7"/>
    </row>
    <row r="536">
      <c r="A536" s="231"/>
      <c r="B536" s="78"/>
      <c r="C536" s="623"/>
      <c r="D536" s="624"/>
      <c r="E536" s="631"/>
      <c r="F536" s="631"/>
      <c r="G536" s="7"/>
      <c r="H536" s="7"/>
      <c r="I536" s="7"/>
      <c r="J536" s="7"/>
      <c r="K536" s="7"/>
      <c r="L536" s="7"/>
      <c r="M536" s="7"/>
      <c r="O536" s="160"/>
      <c r="P536" s="10"/>
      <c r="S536" s="7"/>
    </row>
    <row r="537">
      <c r="A537" s="231"/>
      <c r="B537" s="78"/>
      <c r="C537" s="623"/>
      <c r="D537" s="624"/>
      <c r="E537" s="631"/>
      <c r="F537" s="631"/>
      <c r="G537" s="7"/>
      <c r="H537" s="7"/>
      <c r="I537" s="7"/>
      <c r="J537" s="7"/>
      <c r="K537" s="7"/>
      <c r="L537" s="7"/>
      <c r="M537" s="7"/>
      <c r="O537" s="160"/>
      <c r="P537" s="10"/>
      <c r="S537" s="7"/>
    </row>
    <row r="538">
      <c r="A538" s="231"/>
      <c r="B538" s="78"/>
      <c r="C538" s="623"/>
      <c r="D538" s="624"/>
      <c r="E538" s="631"/>
      <c r="F538" s="631"/>
      <c r="G538" s="7"/>
      <c r="H538" s="7"/>
      <c r="I538" s="7"/>
      <c r="J538" s="7"/>
      <c r="K538" s="7"/>
      <c r="L538" s="7"/>
      <c r="M538" s="7"/>
      <c r="O538" s="160"/>
      <c r="P538" s="10"/>
      <c r="S538" s="7"/>
    </row>
    <row r="539">
      <c r="A539" s="231"/>
      <c r="B539" s="78"/>
      <c r="C539" s="623"/>
      <c r="D539" s="624"/>
      <c r="E539" s="631"/>
      <c r="F539" s="631"/>
      <c r="G539" s="7"/>
      <c r="H539" s="7"/>
      <c r="I539" s="7"/>
      <c r="J539" s="7"/>
      <c r="K539" s="7"/>
      <c r="L539" s="7"/>
      <c r="M539" s="7"/>
      <c r="O539" s="160"/>
      <c r="P539" s="10"/>
      <c r="S539" s="7"/>
    </row>
    <row r="540">
      <c r="A540" s="231"/>
      <c r="B540" s="78"/>
      <c r="C540" s="623"/>
      <c r="D540" s="624"/>
      <c r="E540" s="631"/>
      <c r="F540" s="631"/>
      <c r="G540" s="7"/>
      <c r="H540" s="7"/>
      <c r="I540" s="7"/>
      <c r="J540" s="7"/>
      <c r="K540" s="7"/>
      <c r="L540" s="7"/>
      <c r="M540" s="7"/>
      <c r="O540" s="160"/>
      <c r="P540" s="10"/>
      <c r="S540" s="7"/>
    </row>
    <row r="541">
      <c r="A541" s="231"/>
      <c r="B541" s="78"/>
      <c r="C541" s="623"/>
      <c r="D541" s="624"/>
      <c r="E541" s="631"/>
      <c r="F541" s="631"/>
      <c r="G541" s="7"/>
      <c r="H541" s="7"/>
      <c r="I541" s="7"/>
      <c r="J541" s="7"/>
      <c r="K541" s="7"/>
      <c r="L541" s="7"/>
      <c r="M541" s="7"/>
      <c r="O541" s="160"/>
      <c r="P541" s="10"/>
      <c r="S541" s="7"/>
    </row>
    <row r="542">
      <c r="A542" s="231"/>
      <c r="B542" s="78"/>
      <c r="C542" s="623"/>
      <c r="D542" s="624"/>
      <c r="E542" s="631"/>
      <c r="F542" s="631"/>
      <c r="G542" s="631"/>
      <c r="H542" s="631"/>
      <c r="I542" s="631"/>
      <c r="J542" s="631"/>
      <c r="K542" s="631"/>
      <c r="L542" s="631"/>
      <c r="M542" s="631"/>
      <c r="O542" s="160"/>
      <c r="P542" s="10"/>
      <c r="S542" s="631"/>
    </row>
    <row r="543">
      <c r="A543" s="231"/>
      <c r="B543" s="78"/>
      <c r="C543" s="623"/>
      <c r="D543" s="624"/>
      <c r="E543" s="631"/>
      <c r="F543" s="631"/>
      <c r="G543" s="631"/>
      <c r="H543" s="631"/>
      <c r="I543" s="631"/>
      <c r="J543" s="631"/>
      <c r="K543" s="631"/>
      <c r="L543" s="631"/>
      <c r="M543" s="631"/>
      <c r="O543" s="160"/>
      <c r="P543" s="10"/>
      <c r="S543" s="631"/>
    </row>
    <row r="544">
      <c r="A544" s="231"/>
      <c r="B544" s="78"/>
      <c r="C544" s="623"/>
      <c r="D544" s="624"/>
      <c r="E544" s="631"/>
      <c r="F544" s="631"/>
      <c r="G544" s="631"/>
      <c r="H544" s="631"/>
      <c r="I544" s="631"/>
      <c r="J544" s="631"/>
      <c r="K544" s="631"/>
      <c r="L544" s="631"/>
      <c r="M544" s="631"/>
      <c r="O544" s="160"/>
      <c r="P544" s="10"/>
      <c r="S544" s="631"/>
    </row>
    <row r="545">
      <c r="A545" s="231"/>
      <c r="B545" s="78"/>
      <c r="C545" s="623"/>
      <c r="D545" s="624"/>
      <c r="E545" s="633"/>
      <c r="F545" s="631"/>
      <c r="G545" s="631"/>
      <c r="H545" s="631"/>
      <c r="I545" s="631"/>
      <c r="J545" s="631"/>
      <c r="K545" s="631"/>
      <c r="L545" s="631"/>
      <c r="M545" s="631"/>
      <c r="O545" s="160"/>
      <c r="P545" s="10"/>
      <c r="S545" s="631"/>
    </row>
    <row r="546">
      <c r="A546" s="231"/>
      <c r="B546" s="78"/>
      <c r="C546" s="623"/>
      <c r="D546" s="624"/>
      <c r="E546" s="631"/>
      <c r="F546" s="631"/>
      <c r="G546" s="631"/>
      <c r="H546" s="631"/>
      <c r="I546" s="631"/>
      <c r="J546" s="631"/>
      <c r="K546" s="631"/>
      <c r="L546" s="631"/>
      <c r="M546" s="631"/>
      <c r="O546" s="160"/>
      <c r="P546" s="10"/>
      <c r="S546" s="631"/>
    </row>
    <row r="547">
      <c r="A547" s="231"/>
      <c r="B547" s="78"/>
      <c r="C547" s="623"/>
      <c r="D547" s="624"/>
      <c r="E547" s="631"/>
      <c r="F547" s="631"/>
      <c r="G547" s="631"/>
      <c r="H547" s="631"/>
      <c r="I547" s="631"/>
      <c r="J547" s="631"/>
      <c r="K547" s="631"/>
      <c r="L547" s="631"/>
      <c r="M547" s="631"/>
      <c r="O547" s="160"/>
      <c r="P547" s="10"/>
      <c r="S547" s="631"/>
    </row>
    <row r="548">
      <c r="A548" s="231"/>
      <c r="B548" s="78"/>
      <c r="C548" s="623"/>
      <c r="D548" s="624"/>
      <c r="E548" s="631"/>
      <c r="F548" s="631"/>
      <c r="G548" s="631"/>
      <c r="H548" s="631"/>
      <c r="I548" s="631"/>
      <c r="J548" s="631"/>
      <c r="K548" s="631"/>
      <c r="L548" s="631"/>
      <c r="M548" s="631"/>
      <c r="O548" s="160"/>
      <c r="P548" s="10"/>
      <c r="S548" s="631"/>
    </row>
    <row r="549">
      <c r="A549" s="231"/>
      <c r="B549" s="78"/>
      <c r="C549" s="623"/>
      <c r="D549" s="624"/>
      <c r="E549" s="631"/>
      <c r="F549" s="631"/>
      <c r="G549" s="631"/>
      <c r="H549" s="631"/>
      <c r="I549" s="631"/>
      <c r="J549" s="631"/>
      <c r="K549" s="631"/>
      <c r="L549" s="631"/>
      <c r="M549" s="631"/>
      <c r="O549" s="160"/>
      <c r="P549" s="10"/>
      <c r="S549" s="631"/>
    </row>
    <row r="550">
      <c r="A550" s="231"/>
      <c r="B550" s="78"/>
      <c r="C550" s="623"/>
      <c r="D550" s="624"/>
      <c r="E550" s="631"/>
      <c r="F550" s="631"/>
      <c r="G550" s="631"/>
      <c r="H550" s="631"/>
      <c r="I550" s="631"/>
      <c r="J550" s="631"/>
      <c r="K550" s="631"/>
      <c r="L550" s="631"/>
      <c r="M550" s="631"/>
      <c r="O550" s="160"/>
      <c r="P550" s="10"/>
      <c r="S550" s="631"/>
    </row>
    <row r="551">
      <c r="A551" s="231"/>
      <c r="B551" s="78"/>
      <c r="C551" s="623"/>
      <c r="D551" s="624"/>
      <c r="E551" s="631"/>
      <c r="F551" s="631"/>
      <c r="G551" s="631"/>
      <c r="H551" s="631"/>
      <c r="I551" s="631"/>
      <c r="J551" s="631"/>
      <c r="K551" s="631"/>
      <c r="L551" s="631"/>
      <c r="M551" s="631"/>
      <c r="O551" s="160"/>
      <c r="P551" s="10"/>
      <c r="S551" s="631"/>
    </row>
    <row r="552">
      <c r="A552" s="231"/>
      <c r="B552" s="78"/>
      <c r="C552" s="623"/>
      <c r="D552" s="624"/>
      <c r="E552" s="631"/>
      <c r="F552" s="631"/>
      <c r="G552" s="631"/>
      <c r="H552" s="631"/>
      <c r="I552" s="631"/>
      <c r="J552" s="631"/>
      <c r="K552" s="631"/>
      <c r="L552" s="631"/>
      <c r="M552" s="631"/>
      <c r="O552" s="160"/>
      <c r="P552" s="10"/>
      <c r="S552" s="631"/>
    </row>
    <row r="553">
      <c r="A553" s="231"/>
      <c r="B553" s="78"/>
      <c r="C553" s="623"/>
      <c r="D553" s="624"/>
      <c r="E553" s="631"/>
      <c r="F553" s="631"/>
      <c r="G553" s="631"/>
      <c r="H553" s="631"/>
      <c r="I553" s="631"/>
      <c r="J553" s="631"/>
      <c r="K553" s="631"/>
      <c r="L553" s="631"/>
      <c r="M553" s="631"/>
      <c r="O553" s="160"/>
      <c r="P553" s="10"/>
      <c r="S553" s="631"/>
    </row>
    <row r="554">
      <c r="A554" s="231"/>
      <c r="B554" s="78"/>
      <c r="C554" s="623"/>
      <c r="D554" s="624"/>
      <c r="E554" s="631"/>
      <c r="F554" s="631"/>
      <c r="G554" s="631"/>
      <c r="H554" s="631"/>
      <c r="I554" s="631"/>
      <c r="J554" s="631"/>
      <c r="K554" s="631"/>
      <c r="L554" s="631"/>
      <c r="M554" s="631"/>
      <c r="O554" s="160"/>
      <c r="P554" s="10"/>
      <c r="S554" s="631"/>
    </row>
    <row r="555">
      <c r="A555" s="231"/>
      <c r="B555" s="78"/>
      <c r="C555" s="623"/>
      <c r="D555" s="624"/>
      <c r="E555" s="631"/>
      <c r="F555" s="631"/>
      <c r="G555" s="631"/>
      <c r="H555" s="631"/>
      <c r="I555" s="631"/>
      <c r="J555" s="631"/>
      <c r="K555" s="631"/>
      <c r="L555" s="631"/>
      <c r="M555" s="631"/>
      <c r="O555" s="160"/>
      <c r="P555" s="10"/>
      <c r="S555" s="631"/>
    </row>
    <row r="556">
      <c r="A556" s="231"/>
      <c r="B556" s="78"/>
      <c r="C556" s="623"/>
      <c r="D556" s="624"/>
      <c r="E556" s="631"/>
      <c r="F556" s="631"/>
      <c r="G556" s="631"/>
      <c r="H556" s="631"/>
      <c r="I556" s="631"/>
      <c r="J556" s="631"/>
      <c r="K556" s="631"/>
      <c r="L556" s="631"/>
      <c r="M556" s="631"/>
      <c r="O556" s="160"/>
      <c r="P556" s="10"/>
      <c r="S556" s="631"/>
    </row>
    <row r="557">
      <c r="A557" s="231"/>
      <c r="B557" s="78"/>
      <c r="C557" s="623"/>
      <c r="D557" s="624"/>
      <c r="E557" s="631"/>
      <c r="F557" s="5"/>
      <c r="G557" s="631"/>
      <c r="H557" s="631"/>
      <c r="I557" s="631"/>
      <c r="J557" s="631"/>
      <c r="K557" s="631"/>
      <c r="L557" s="631"/>
      <c r="M557" s="631"/>
      <c r="O557" s="160"/>
      <c r="P557" s="10"/>
      <c r="S557" s="631"/>
    </row>
    <row r="558">
      <c r="A558" s="231"/>
      <c r="B558" s="78"/>
      <c r="C558" s="623"/>
      <c r="D558" s="624"/>
      <c r="E558" s="631"/>
      <c r="F558" s="631"/>
      <c r="G558" s="631"/>
      <c r="H558" s="631"/>
      <c r="I558" s="631"/>
      <c r="J558" s="631"/>
      <c r="K558" s="631"/>
      <c r="L558" s="631"/>
      <c r="M558" s="631"/>
      <c r="O558" s="160"/>
      <c r="P558" s="10"/>
      <c r="S558" s="631"/>
    </row>
    <row r="559">
      <c r="A559" s="231"/>
      <c r="B559" s="78"/>
      <c r="C559" s="623"/>
      <c r="D559" s="624"/>
      <c r="E559" s="634"/>
      <c r="F559" s="631"/>
      <c r="G559" s="631"/>
      <c r="H559" s="631"/>
      <c r="I559" s="631"/>
      <c r="J559" s="631"/>
      <c r="K559" s="631"/>
      <c r="L559" s="631"/>
      <c r="M559" s="631"/>
      <c r="O559" s="160"/>
      <c r="P559" s="10"/>
      <c r="S559" s="631"/>
    </row>
    <row r="560">
      <c r="A560" s="231"/>
      <c r="B560" s="78"/>
      <c r="C560" s="623"/>
      <c r="D560" s="624"/>
      <c r="E560" s="631"/>
      <c r="F560" s="631"/>
      <c r="G560" s="631"/>
      <c r="H560" s="631"/>
      <c r="I560" s="631"/>
      <c r="J560" s="631"/>
      <c r="K560" s="631"/>
      <c r="L560" s="631"/>
      <c r="M560" s="631"/>
      <c r="O560" s="160"/>
      <c r="P560" s="10"/>
      <c r="S560" s="631"/>
    </row>
    <row r="561">
      <c r="A561" s="231"/>
      <c r="B561" s="78"/>
      <c r="C561" s="623"/>
      <c r="D561" s="624"/>
      <c r="E561" s="631"/>
      <c r="F561" s="631"/>
      <c r="G561" s="631"/>
      <c r="H561" s="631"/>
      <c r="I561" s="631"/>
      <c r="J561" s="631"/>
      <c r="K561" s="631"/>
      <c r="L561" s="631"/>
      <c r="M561" s="631"/>
      <c r="O561" s="160"/>
      <c r="P561" s="10"/>
      <c r="S561" s="631"/>
    </row>
    <row r="562">
      <c r="A562" s="231"/>
      <c r="B562" s="78"/>
      <c r="C562" s="623"/>
      <c r="D562" s="624"/>
      <c r="E562" s="631"/>
      <c r="F562" s="631"/>
      <c r="G562" s="631"/>
      <c r="H562" s="631"/>
      <c r="I562" s="631"/>
      <c r="J562" s="631"/>
      <c r="K562" s="631"/>
      <c r="L562" s="631"/>
      <c r="M562" s="631"/>
      <c r="O562" s="160"/>
      <c r="P562" s="10"/>
      <c r="S562" s="631"/>
    </row>
    <row r="563">
      <c r="A563" s="231"/>
      <c r="B563" s="78"/>
      <c r="C563" s="623"/>
      <c r="D563" s="624"/>
      <c r="E563" s="631"/>
      <c r="F563" s="631"/>
      <c r="G563" s="631"/>
      <c r="H563" s="631"/>
      <c r="I563" s="631"/>
      <c r="J563" s="631"/>
      <c r="K563" s="631"/>
      <c r="L563" s="631"/>
      <c r="M563" s="631"/>
      <c r="O563" s="160"/>
      <c r="P563" s="10"/>
      <c r="S563" s="631"/>
    </row>
    <row r="564">
      <c r="A564" s="231"/>
      <c r="B564" s="78"/>
      <c r="C564" s="623"/>
      <c r="D564" s="624"/>
      <c r="E564" s="631"/>
      <c r="F564" s="631"/>
      <c r="G564" s="631"/>
      <c r="H564" s="631"/>
      <c r="I564" s="631"/>
      <c r="J564" s="631"/>
      <c r="K564" s="631"/>
      <c r="L564" s="631"/>
      <c r="M564" s="631"/>
      <c r="O564" s="160"/>
      <c r="P564" s="10"/>
      <c r="S564" s="631"/>
    </row>
    <row r="565">
      <c r="A565" s="231"/>
      <c r="B565" s="78"/>
      <c r="C565" s="623"/>
      <c r="D565" s="624"/>
      <c r="E565" s="631"/>
      <c r="F565" s="631"/>
      <c r="G565" s="631"/>
      <c r="H565" s="631"/>
      <c r="I565" s="631"/>
      <c r="J565" s="631"/>
      <c r="K565" s="631"/>
      <c r="L565" s="631"/>
      <c r="M565" s="631"/>
      <c r="O565" s="160"/>
      <c r="P565" s="10"/>
      <c r="S565" s="631"/>
    </row>
    <row r="566">
      <c r="A566" s="231"/>
      <c r="B566" s="78"/>
      <c r="C566" s="623"/>
      <c r="D566" s="624"/>
      <c r="E566" s="631"/>
      <c r="F566" s="631"/>
      <c r="G566" s="631"/>
      <c r="H566" s="631"/>
      <c r="I566" s="631"/>
      <c r="J566" s="631"/>
      <c r="K566" s="631"/>
      <c r="L566" s="631"/>
      <c r="M566" s="631"/>
      <c r="O566" s="160"/>
      <c r="P566" s="10"/>
      <c r="S566" s="631"/>
    </row>
    <row r="567">
      <c r="A567" s="231"/>
      <c r="B567" s="78"/>
      <c r="C567" s="623"/>
      <c r="D567" s="624"/>
      <c r="E567" s="631"/>
      <c r="F567" s="631"/>
      <c r="G567" s="631"/>
      <c r="H567" s="631"/>
      <c r="I567" s="631"/>
      <c r="J567" s="631"/>
      <c r="K567" s="631"/>
      <c r="L567" s="631"/>
      <c r="M567" s="631"/>
      <c r="O567" s="160"/>
      <c r="P567" s="10"/>
      <c r="S567" s="631"/>
    </row>
    <row r="568">
      <c r="A568" s="231"/>
      <c r="B568" s="78"/>
      <c r="C568" s="623"/>
      <c r="D568" s="624"/>
      <c r="E568" s="631"/>
      <c r="F568" s="631"/>
      <c r="G568" s="631"/>
      <c r="H568" s="631"/>
      <c r="I568" s="631"/>
      <c r="J568" s="631"/>
      <c r="K568" s="631"/>
      <c r="L568" s="631"/>
      <c r="M568" s="631"/>
      <c r="O568" s="160"/>
      <c r="P568" s="10"/>
      <c r="S568" s="631"/>
    </row>
    <row r="569">
      <c r="A569" s="231"/>
      <c r="B569" s="78"/>
      <c r="C569" s="623"/>
      <c r="D569" s="624"/>
      <c r="E569" s="631"/>
      <c r="F569" s="631"/>
      <c r="G569" s="631"/>
      <c r="H569" s="631"/>
      <c r="I569" s="631"/>
      <c r="J569" s="631"/>
      <c r="K569" s="631"/>
      <c r="L569" s="631"/>
      <c r="M569" s="631"/>
      <c r="O569" s="160"/>
      <c r="P569" s="10"/>
      <c r="S569" s="631"/>
    </row>
    <row r="570">
      <c r="A570" s="231"/>
      <c r="B570" s="78"/>
      <c r="C570" s="623"/>
      <c r="D570" s="624"/>
      <c r="E570" s="631"/>
      <c r="F570" s="631"/>
      <c r="G570" s="631"/>
      <c r="H570" s="631"/>
      <c r="I570" s="631"/>
      <c r="J570" s="631"/>
      <c r="K570" s="631"/>
      <c r="L570" s="631"/>
      <c r="M570" s="631"/>
      <c r="O570" s="160"/>
      <c r="P570" s="10"/>
      <c r="S570" s="631"/>
    </row>
    <row r="571">
      <c r="A571" s="231"/>
      <c r="B571" s="78"/>
      <c r="C571" s="623"/>
      <c r="D571" s="624"/>
      <c r="E571" s="631"/>
      <c r="F571" s="631"/>
      <c r="G571" s="631"/>
      <c r="H571" s="631"/>
      <c r="I571" s="631"/>
      <c r="J571" s="631"/>
      <c r="K571" s="631"/>
      <c r="L571" s="631"/>
      <c r="M571" s="631"/>
      <c r="O571" s="160"/>
      <c r="P571" s="10"/>
      <c r="S571" s="631"/>
    </row>
    <row r="572">
      <c r="A572" s="231"/>
      <c r="B572" s="78"/>
      <c r="C572" s="623"/>
      <c r="D572" s="624"/>
      <c r="E572" s="631"/>
      <c r="F572" s="631"/>
      <c r="G572" s="631"/>
      <c r="H572" s="631"/>
      <c r="I572" s="631"/>
      <c r="J572" s="631"/>
      <c r="K572" s="631"/>
      <c r="L572" s="631"/>
      <c r="M572" s="631"/>
      <c r="O572" s="160"/>
      <c r="P572" s="10"/>
      <c r="S572" s="631"/>
    </row>
    <row r="573">
      <c r="A573" s="231"/>
      <c r="B573" s="78"/>
      <c r="C573" s="623"/>
      <c r="D573" s="624"/>
      <c r="E573" s="631"/>
      <c r="F573" s="631"/>
      <c r="G573" s="631"/>
      <c r="H573" s="631"/>
      <c r="I573" s="631"/>
      <c r="J573" s="631"/>
      <c r="K573" s="631"/>
      <c r="L573" s="631"/>
      <c r="M573" s="631"/>
      <c r="O573" s="160"/>
      <c r="P573" s="10"/>
      <c r="S573" s="631"/>
    </row>
    <row r="574">
      <c r="A574" s="231"/>
      <c r="B574" s="78"/>
      <c r="C574" s="623"/>
      <c r="D574" s="624"/>
      <c r="E574" s="631"/>
      <c r="F574" s="631"/>
      <c r="G574" s="631"/>
      <c r="H574" s="631"/>
      <c r="I574" s="631"/>
      <c r="J574" s="631"/>
      <c r="K574" s="631"/>
      <c r="L574" s="631"/>
      <c r="M574" s="631"/>
      <c r="O574" s="160"/>
      <c r="P574" s="10"/>
      <c r="S574" s="631"/>
    </row>
    <row r="575">
      <c r="A575" s="231"/>
      <c r="B575" s="78"/>
      <c r="C575" s="623"/>
      <c r="D575" s="624"/>
      <c r="E575" s="631"/>
      <c r="F575" s="631"/>
      <c r="G575" s="631"/>
      <c r="H575" s="631"/>
      <c r="I575" s="631"/>
      <c r="J575" s="631"/>
      <c r="K575" s="631"/>
      <c r="L575" s="631"/>
      <c r="M575" s="631"/>
      <c r="O575" s="160"/>
      <c r="P575" s="10"/>
      <c r="S575" s="631"/>
    </row>
    <row r="576">
      <c r="A576" s="231"/>
      <c r="B576" s="78"/>
      <c r="C576" s="623"/>
      <c r="D576" s="624"/>
      <c r="E576" s="631"/>
      <c r="F576" s="631"/>
      <c r="G576" s="631"/>
      <c r="H576" s="631"/>
      <c r="I576" s="631"/>
      <c r="J576" s="631"/>
      <c r="K576" s="631"/>
      <c r="L576" s="631"/>
      <c r="M576" s="631"/>
      <c r="O576" s="160"/>
      <c r="P576" s="10"/>
      <c r="S576" s="631"/>
    </row>
    <row r="577">
      <c r="A577" s="231"/>
      <c r="B577" s="78"/>
      <c r="C577" s="623"/>
      <c r="D577" s="624"/>
      <c r="E577" s="631"/>
      <c r="F577" s="631"/>
      <c r="G577" s="631"/>
      <c r="H577" s="631"/>
      <c r="I577" s="631"/>
      <c r="J577" s="631"/>
      <c r="K577" s="631"/>
      <c r="L577" s="631"/>
      <c r="M577" s="631"/>
      <c r="O577" s="160"/>
      <c r="P577" s="10"/>
      <c r="S577" s="631"/>
    </row>
    <row r="578">
      <c r="A578" s="231"/>
      <c r="B578" s="78"/>
      <c r="C578" s="623"/>
      <c r="D578" s="624"/>
      <c r="E578" s="631"/>
      <c r="F578" s="631"/>
      <c r="G578" s="631"/>
      <c r="H578" s="631"/>
      <c r="I578" s="631"/>
      <c r="J578" s="631"/>
      <c r="K578" s="631"/>
      <c r="L578" s="631"/>
      <c r="M578" s="631"/>
      <c r="O578" s="160"/>
      <c r="P578" s="10"/>
      <c r="S578" s="631"/>
    </row>
    <row r="579">
      <c r="A579" s="231"/>
      <c r="B579" s="78"/>
      <c r="C579" s="623"/>
      <c r="D579" s="624"/>
      <c r="E579" s="631"/>
      <c r="F579" s="631"/>
      <c r="G579" s="631"/>
      <c r="H579" s="631"/>
      <c r="I579" s="631"/>
      <c r="J579" s="631"/>
      <c r="K579" s="631"/>
      <c r="L579" s="631"/>
      <c r="M579" s="631"/>
      <c r="O579" s="160"/>
      <c r="P579" s="10"/>
      <c r="S579" s="631"/>
    </row>
    <row r="580">
      <c r="A580" s="231"/>
      <c r="B580" s="78"/>
      <c r="C580" s="623"/>
      <c r="D580" s="624"/>
      <c r="E580" s="631"/>
      <c r="F580" s="631"/>
      <c r="G580" s="631"/>
      <c r="H580" s="631"/>
      <c r="I580" s="631"/>
      <c r="J580" s="631"/>
      <c r="K580" s="631"/>
      <c r="L580" s="631"/>
      <c r="M580" s="631"/>
      <c r="O580" s="160"/>
      <c r="P580" s="10"/>
      <c r="S580" s="631"/>
    </row>
    <row r="581">
      <c r="A581" s="231"/>
      <c r="B581" s="78"/>
      <c r="C581" s="623"/>
      <c r="D581" s="624"/>
      <c r="E581" s="631"/>
      <c r="F581" s="631"/>
      <c r="G581" s="631"/>
      <c r="H581" s="631"/>
      <c r="I581" s="631"/>
      <c r="J581" s="631"/>
      <c r="K581" s="631"/>
      <c r="L581" s="631"/>
      <c r="M581" s="631"/>
      <c r="O581" s="160"/>
      <c r="P581" s="10"/>
      <c r="S581" s="631"/>
    </row>
    <row r="582">
      <c r="A582" s="231"/>
      <c r="B582" s="78"/>
      <c r="C582" s="623"/>
      <c r="D582" s="624"/>
      <c r="E582" s="631"/>
      <c r="F582" s="631"/>
      <c r="G582" s="631"/>
      <c r="H582" s="631"/>
      <c r="I582" s="631"/>
      <c r="J582" s="631"/>
      <c r="K582" s="631"/>
      <c r="L582" s="631"/>
      <c r="M582" s="631"/>
      <c r="O582" s="160"/>
      <c r="P582" s="10"/>
      <c r="S582" s="631"/>
    </row>
    <row r="583">
      <c r="A583" s="231"/>
      <c r="B583" s="78"/>
      <c r="C583" s="623"/>
      <c r="D583" s="624"/>
      <c r="E583" s="631"/>
      <c r="F583" s="631"/>
      <c r="G583" s="631"/>
      <c r="H583" s="631"/>
      <c r="I583" s="631"/>
      <c r="J583" s="631"/>
      <c r="K583" s="631"/>
      <c r="L583" s="631"/>
      <c r="M583" s="631"/>
      <c r="O583" s="160"/>
      <c r="P583" s="10"/>
      <c r="S583" s="631"/>
    </row>
    <row r="584">
      <c r="A584" s="231"/>
      <c r="B584" s="78"/>
      <c r="C584" s="623"/>
      <c r="D584" s="624"/>
      <c r="E584" s="631"/>
      <c r="F584" s="631"/>
      <c r="G584" s="631"/>
      <c r="H584" s="631"/>
      <c r="I584" s="631"/>
      <c r="J584" s="631"/>
      <c r="K584" s="631"/>
      <c r="L584" s="631"/>
      <c r="M584" s="631"/>
      <c r="O584" s="160"/>
      <c r="P584" s="10"/>
      <c r="S584" s="631"/>
    </row>
    <row r="585">
      <c r="A585" s="231"/>
      <c r="B585" s="78"/>
      <c r="C585" s="623"/>
      <c r="D585" s="624"/>
      <c r="E585" s="631"/>
      <c r="F585" s="631"/>
      <c r="G585" s="631"/>
      <c r="H585" s="631"/>
      <c r="I585" s="631"/>
      <c r="J585" s="631"/>
      <c r="K585" s="631"/>
      <c r="L585" s="631"/>
      <c r="M585" s="631"/>
      <c r="O585" s="160"/>
      <c r="P585" s="10"/>
      <c r="S585" s="631"/>
    </row>
    <row r="586">
      <c r="A586" s="231"/>
      <c r="B586" s="78"/>
      <c r="C586" s="623"/>
      <c r="D586" s="624"/>
      <c r="E586" s="631"/>
      <c r="F586" s="631"/>
      <c r="G586" s="631"/>
      <c r="H586" s="631"/>
      <c r="I586" s="631"/>
      <c r="J586" s="631"/>
      <c r="K586" s="631"/>
      <c r="L586" s="631"/>
      <c r="M586" s="631"/>
      <c r="O586" s="160"/>
      <c r="P586" s="10"/>
      <c r="S586" s="631"/>
    </row>
    <row r="587">
      <c r="A587" s="231"/>
      <c r="B587" s="78"/>
      <c r="C587" s="623"/>
      <c r="D587" s="624"/>
      <c r="E587" s="631"/>
      <c r="F587" s="631"/>
      <c r="G587" s="631"/>
      <c r="H587" s="631"/>
      <c r="I587" s="631"/>
      <c r="J587" s="631"/>
      <c r="K587" s="631"/>
      <c r="L587" s="631"/>
      <c r="M587" s="631"/>
      <c r="O587" s="160"/>
      <c r="P587" s="10"/>
      <c r="S587" s="631"/>
    </row>
    <row r="588">
      <c r="A588" s="231"/>
      <c r="B588" s="78"/>
      <c r="C588" s="623"/>
      <c r="D588" s="624"/>
      <c r="E588" s="631"/>
      <c r="F588" s="631"/>
      <c r="G588" s="631"/>
      <c r="H588" s="631"/>
      <c r="I588" s="631"/>
      <c r="J588" s="631"/>
      <c r="K588" s="631"/>
      <c r="L588" s="631"/>
      <c r="M588" s="631"/>
      <c r="O588" s="160"/>
      <c r="P588" s="10"/>
      <c r="S588" s="631"/>
    </row>
    <row r="589">
      <c r="A589" s="231"/>
      <c r="B589" s="78"/>
      <c r="C589" s="623"/>
      <c r="D589" s="624"/>
      <c r="E589" s="631"/>
      <c r="F589" s="631"/>
      <c r="G589" s="631"/>
      <c r="H589" s="631"/>
      <c r="I589" s="631"/>
      <c r="J589" s="631"/>
      <c r="K589" s="631"/>
      <c r="L589" s="631"/>
      <c r="M589" s="631"/>
      <c r="O589" s="160"/>
      <c r="P589" s="10"/>
      <c r="S589" s="631"/>
    </row>
    <row r="590">
      <c r="A590" s="231"/>
      <c r="B590" s="78"/>
      <c r="C590" s="623"/>
      <c r="D590" s="624"/>
      <c r="E590" s="631"/>
      <c r="F590" s="631"/>
      <c r="G590" s="631"/>
      <c r="H590" s="631"/>
      <c r="I590" s="631"/>
      <c r="J590" s="7"/>
      <c r="K590" s="7"/>
      <c r="L590" s="7"/>
      <c r="M590" s="7"/>
      <c r="O590" s="160"/>
      <c r="P590" s="10"/>
      <c r="S590" s="7"/>
    </row>
    <row r="591">
      <c r="A591" s="231"/>
      <c r="B591" s="78"/>
      <c r="C591" s="623"/>
      <c r="D591" s="624"/>
      <c r="E591" s="631"/>
      <c r="F591" s="631"/>
      <c r="G591" s="631"/>
      <c r="H591" s="631"/>
      <c r="I591" s="631"/>
      <c r="J591" s="7"/>
      <c r="K591" s="7"/>
      <c r="L591" s="7"/>
      <c r="M591" s="7"/>
      <c r="O591" s="160"/>
      <c r="P591" s="10"/>
      <c r="S591" s="7"/>
    </row>
    <row r="592">
      <c r="A592" s="231"/>
      <c r="B592" s="78"/>
      <c r="C592" s="623"/>
      <c r="D592" s="624"/>
      <c r="E592" s="631"/>
      <c r="F592" s="631"/>
      <c r="G592" s="631"/>
      <c r="H592" s="631"/>
      <c r="I592" s="631"/>
      <c r="J592" s="7"/>
      <c r="K592" s="7"/>
      <c r="L592" s="7"/>
      <c r="M592" s="7"/>
      <c r="O592" s="160"/>
      <c r="P592" s="10"/>
      <c r="S592" s="7"/>
    </row>
    <row r="593">
      <c r="A593" s="231"/>
      <c r="B593" s="78"/>
      <c r="C593" s="623"/>
      <c r="D593" s="624"/>
      <c r="E593" s="631"/>
      <c r="F593" s="631"/>
      <c r="G593" s="631"/>
      <c r="H593" s="631"/>
      <c r="I593" s="631"/>
      <c r="J593" s="7"/>
      <c r="K593" s="7"/>
      <c r="L593" s="7"/>
      <c r="M593" s="7"/>
      <c r="O593" s="160"/>
      <c r="P593" s="10"/>
      <c r="S593" s="7"/>
    </row>
    <row r="594">
      <c r="A594" s="231"/>
      <c r="B594" s="78"/>
      <c r="C594" s="623"/>
      <c r="D594" s="624"/>
      <c r="E594" s="631"/>
      <c r="F594" s="631"/>
      <c r="G594" s="631"/>
      <c r="H594" s="631"/>
      <c r="I594" s="631"/>
      <c r="J594" s="7"/>
      <c r="K594" s="7"/>
      <c r="L594" s="7"/>
      <c r="M594" s="7"/>
      <c r="O594" s="160"/>
      <c r="P594" s="10"/>
      <c r="S594" s="7"/>
    </row>
    <row r="595">
      <c r="A595" s="231"/>
      <c r="B595" s="78"/>
      <c r="C595" s="623"/>
      <c r="D595" s="624"/>
      <c r="E595" s="631"/>
      <c r="F595" s="631"/>
      <c r="G595" s="631"/>
      <c r="H595" s="631"/>
      <c r="I595" s="631"/>
      <c r="J595" s="7"/>
      <c r="K595" s="7"/>
      <c r="L595" s="7"/>
      <c r="M595" s="7"/>
      <c r="O595" s="160"/>
      <c r="P595" s="10"/>
      <c r="S595" s="7"/>
    </row>
    <row r="596">
      <c r="A596" s="231"/>
      <c r="B596" s="78"/>
      <c r="C596" s="623"/>
      <c r="D596" s="624"/>
      <c r="E596" s="631"/>
      <c r="F596" s="631"/>
      <c r="G596" s="631"/>
      <c r="H596" s="631"/>
      <c r="I596" s="631"/>
      <c r="J596" s="7"/>
      <c r="K596" s="7"/>
      <c r="L596" s="7"/>
      <c r="M596" s="7"/>
      <c r="O596" s="160"/>
      <c r="P596" s="10"/>
      <c r="S596" s="7"/>
    </row>
    <row r="597">
      <c r="A597" s="231"/>
      <c r="B597" s="78"/>
      <c r="C597" s="623"/>
      <c r="D597" s="624"/>
      <c r="E597" s="631"/>
      <c r="F597" s="631"/>
      <c r="G597" s="631"/>
      <c r="H597" s="631"/>
      <c r="I597" s="631"/>
      <c r="J597" s="7"/>
      <c r="K597" s="7"/>
      <c r="L597" s="7"/>
      <c r="M597" s="7"/>
      <c r="O597" s="160"/>
      <c r="P597" s="10"/>
      <c r="S597" s="7"/>
    </row>
    <row r="598">
      <c r="A598" s="231"/>
      <c r="B598" s="78"/>
      <c r="C598" s="623"/>
      <c r="D598" s="624"/>
      <c r="E598" s="631"/>
      <c r="F598" s="631"/>
      <c r="G598" s="631"/>
      <c r="H598" s="631"/>
      <c r="I598" s="631"/>
      <c r="J598" s="7"/>
      <c r="K598" s="7"/>
      <c r="L598" s="7"/>
      <c r="M598" s="7"/>
      <c r="O598" s="160"/>
      <c r="P598" s="10"/>
      <c r="S598" s="7"/>
    </row>
    <row r="599">
      <c r="A599" s="231"/>
      <c r="B599" s="78"/>
      <c r="C599" s="623"/>
      <c r="D599" s="624"/>
      <c r="E599" s="631"/>
      <c r="F599" s="631"/>
      <c r="G599" s="631"/>
      <c r="H599" s="631"/>
      <c r="I599" s="631"/>
      <c r="J599" s="7"/>
      <c r="K599" s="7"/>
      <c r="L599" s="7"/>
      <c r="M599" s="7"/>
      <c r="O599" s="160"/>
      <c r="P599" s="10"/>
      <c r="S599" s="7"/>
    </row>
    <row r="600">
      <c r="A600" s="231"/>
      <c r="B600" s="78"/>
      <c r="C600" s="623"/>
      <c r="D600" s="624"/>
      <c r="E600" s="631"/>
      <c r="F600" s="631"/>
      <c r="G600" s="631"/>
      <c r="H600" s="631"/>
      <c r="I600" s="631"/>
      <c r="J600" s="7"/>
      <c r="K600" s="7"/>
      <c r="L600" s="7"/>
      <c r="M600" s="7"/>
      <c r="O600" s="160"/>
      <c r="P600" s="10"/>
      <c r="S600" s="7"/>
    </row>
    <row r="601">
      <c r="A601" s="231"/>
      <c r="B601" s="78"/>
      <c r="C601" s="623"/>
      <c r="D601" s="624"/>
      <c r="E601" s="631"/>
      <c r="F601" s="7"/>
      <c r="G601" s="631"/>
      <c r="H601" s="631"/>
      <c r="I601" s="631"/>
      <c r="J601" s="7"/>
      <c r="K601" s="7"/>
      <c r="L601" s="7"/>
      <c r="M601" s="7"/>
      <c r="O601" s="160"/>
      <c r="P601" s="10"/>
      <c r="S601" s="7"/>
    </row>
    <row r="602">
      <c r="A602" s="231"/>
      <c r="B602" s="78"/>
      <c r="C602" s="623"/>
      <c r="D602" s="624"/>
      <c r="G602" s="631"/>
      <c r="H602" s="631"/>
      <c r="I602" s="631"/>
      <c r="J602" s="7"/>
      <c r="K602" s="7"/>
      <c r="L602" s="7"/>
      <c r="M602" s="7"/>
      <c r="O602" s="160"/>
      <c r="P602" s="10"/>
      <c r="S602" s="7"/>
    </row>
    <row r="603">
      <c r="A603" s="231"/>
      <c r="B603" s="78"/>
      <c r="C603" s="623"/>
      <c r="D603" s="624"/>
      <c r="G603" s="631"/>
      <c r="H603" s="631"/>
      <c r="I603" s="631"/>
      <c r="J603" s="7"/>
      <c r="K603" s="7"/>
      <c r="L603" s="7"/>
      <c r="M603" s="7"/>
      <c r="O603" s="160"/>
      <c r="P603" s="10"/>
      <c r="S603" s="7"/>
    </row>
    <row r="604">
      <c r="A604" s="231"/>
      <c r="B604" s="78"/>
      <c r="C604" s="623"/>
      <c r="D604" s="624"/>
      <c r="G604" s="631"/>
      <c r="H604" s="631"/>
      <c r="I604" s="631"/>
      <c r="J604" s="7"/>
      <c r="K604" s="7"/>
      <c r="L604" s="7"/>
      <c r="M604" s="7"/>
      <c r="O604" s="160"/>
      <c r="P604" s="10"/>
      <c r="S604" s="7"/>
    </row>
    <row r="605">
      <c r="A605" s="231"/>
      <c r="B605" s="78"/>
      <c r="C605" s="623"/>
      <c r="D605" s="624"/>
      <c r="G605" s="631"/>
      <c r="H605" s="631"/>
      <c r="I605" s="631"/>
      <c r="J605" s="7"/>
      <c r="K605" s="7"/>
      <c r="L605" s="7"/>
      <c r="M605" s="7"/>
      <c r="O605" s="160"/>
      <c r="P605" s="10"/>
      <c r="S605" s="7"/>
    </row>
    <row r="606">
      <c r="A606" s="231"/>
      <c r="B606" s="78"/>
      <c r="C606" s="623"/>
      <c r="D606" s="624"/>
      <c r="G606" s="631"/>
      <c r="H606" s="631"/>
      <c r="I606" s="631"/>
      <c r="J606" s="7"/>
      <c r="K606" s="7"/>
      <c r="L606" s="7"/>
      <c r="M606" s="7"/>
      <c r="O606" s="160"/>
      <c r="P606" s="10"/>
      <c r="S606" s="7"/>
    </row>
    <row r="607">
      <c r="A607" s="231"/>
      <c r="B607" s="78"/>
      <c r="C607" s="623"/>
      <c r="D607" s="624"/>
      <c r="G607" s="631"/>
      <c r="H607" s="631"/>
      <c r="I607" s="631"/>
      <c r="J607" s="7"/>
      <c r="K607" s="7"/>
      <c r="L607" s="7"/>
      <c r="M607" s="7"/>
      <c r="O607" s="160"/>
      <c r="P607" s="10"/>
      <c r="S607" s="7"/>
    </row>
    <row r="608">
      <c r="A608" s="231"/>
      <c r="B608" s="78"/>
      <c r="C608" s="623"/>
      <c r="D608" s="624"/>
      <c r="G608" s="631"/>
      <c r="H608" s="631"/>
      <c r="I608" s="631"/>
      <c r="J608" s="7"/>
      <c r="K608" s="7"/>
      <c r="L608" s="7"/>
      <c r="M608" s="7"/>
      <c r="O608" s="160"/>
      <c r="P608" s="10"/>
      <c r="S608" s="7"/>
    </row>
    <row r="609">
      <c r="A609" s="231"/>
      <c r="B609" s="78"/>
      <c r="C609" s="623"/>
      <c r="D609" s="624"/>
      <c r="G609" s="631"/>
      <c r="H609" s="631"/>
      <c r="I609" s="631"/>
      <c r="J609" s="7"/>
      <c r="K609" s="7"/>
      <c r="L609" s="7"/>
      <c r="M609" s="7"/>
      <c r="O609" s="160"/>
      <c r="P609" s="10"/>
      <c r="S609" s="7"/>
    </row>
    <row r="610">
      <c r="A610" s="231"/>
      <c r="B610" s="78"/>
      <c r="C610" s="623"/>
      <c r="D610" s="624"/>
      <c r="G610" s="631"/>
      <c r="H610" s="631"/>
      <c r="I610" s="631"/>
      <c r="J610" s="7"/>
      <c r="K610" s="7"/>
      <c r="L610" s="7"/>
      <c r="M610" s="7"/>
      <c r="O610" s="160"/>
      <c r="P610" s="10"/>
      <c r="S610" s="7"/>
    </row>
    <row r="611">
      <c r="A611" s="231"/>
      <c r="B611" s="78"/>
      <c r="C611" s="623"/>
      <c r="D611" s="624"/>
      <c r="G611" s="631"/>
      <c r="H611" s="631"/>
      <c r="I611" s="631"/>
      <c r="J611" s="7"/>
      <c r="K611" s="7"/>
      <c r="L611" s="7"/>
      <c r="M611" s="7"/>
      <c r="O611" s="160"/>
      <c r="P611" s="10"/>
      <c r="S611" s="7"/>
    </row>
    <row r="612">
      <c r="A612" s="231"/>
      <c r="B612" s="78"/>
      <c r="C612" s="623"/>
      <c r="D612" s="624"/>
      <c r="G612" s="631"/>
      <c r="H612" s="631"/>
      <c r="I612" s="631"/>
      <c r="J612" s="7"/>
      <c r="K612" s="7"/>
      <c r="L612" s="7"/>
      <c r="M612" s="7"/>
      <c r="O612" s="160"/>
      <c r="P612" s="10"/>
      <c r="S612" s="7"/>
    </row>
    <row r="613">
      <c r="A613" s="231"/>
      <c r="B613" s="78"/>
      <c r="C613" s="623"/>
      <c r="D613" s="624"/>
      <c r="G613" s="631"/>
      <c r="H613" s="631"/>
      <c r="I613" s="631"/>
      <c r="J613" s="7"/>
      <c r="K613" s="7"/>
      <c r="L613" s="7"/>
      <c r="M613" s="7"/>
      <c r="O613" s="160"/>
      <c r="P613" s="10"/>
      <c r="S613" s="7"/>
    </row>
    <row r="614">
      <c r="A614" s="231"/>
      <c r="B614" s="78"/>
      <c r="C614" s="623"/>
      <c r="D614" s="624"/>
      <c r="G614" s="631"/>
      <c r="H614" s="631"/>
      <c r="I614" s="631"/>
      <c r="J614" s="7"/>
      <c r="K614" s="7"/>
      <c r="L614" s="7"/>
      <c r="M614" s="7"/>
      <c r="O614" s="160"/>
      <c r="P614" s="10"/>
      <c r="S614" s="7"/>
    </row>
    <row r="615">
      <c r="A615" s="231"/>
      <c r="B615" s="78"/>
      <c r="C615" s="623"/>
      <c r="D615" s="624"/>
      <c r="G615" s="631"/>
      <c r="H615" s="631"/>
      <c r="I615" s="631"/>
      <c r="J615" s="7"/>
      <c r="K615" s="7"/>
      <c r="L615" s="7"/>
      <c r="M615" s="7"/>
      <c r="O615" s="160"/>
      <c r="P615" s="10"/>
      <c r="S615" s="7"/>
    </row>
    <row r="616">
      <c r="A616" s="231"/>
      <c r="B616" s="78"/>
      <c r="C616" s="623"/>
      <c r="D616" s="624"/>
      <c r="G616" s="631"/>
      <c r="H616" s="631"/>
      <c r="I616" s="631"/>
      <c r="J616" s="7"/>
      <c r="K616" s="7"/>
      <c r="L616" s="7"/>
      <c r="M616" s="7"/>
      <c r="O616" s="160"/>
      <c r="P616" s="10"/>
      <c r="S616" s="7"/>
    </row>
    <row r="617">
      <c r="A617" s="231"/>
      <c r="B617" s="78"/>
      <c r="C617" s="623"/>
      <c r="D617" s="624"/>
      <c r="G617" s="7"/>
      <c r="H617" s="7"/>
      <c r="I617" s="7"/>
      <c r="J617" s="7"/>
      <c r="K617" s="7"/>
      <c r="L617" s="7"/>
      <c r="M617" s="7"/>
      <c r="O617" s="160"/>
      <c r="P617" s="10"/>
      <c r="S617" s="7"/>
    </row>
    <row r="618">
      <c r="A618" s="231"/>
      <c r="B618" s="78"/>
      <c r="C618" s="623"/>
      <c r="D618" s="624"/>
      <c r="O618" s="160"/>
      <c r="P618" s="10"/>
    </row>
    <row r="619">
      <c r="A619" s="231"/>
      <c r="B619" s="78"/>
      <c r="C619" s="623"/>
      <c r="D619" s="624"/>
      <c r="O619" s="160"/>
      <c r="P619" s="10"/>
    </row>
    <row r="620">
      <c r="A620" s="231"/>
      <c r="B620" s="78"/>
      <c r="C620" s="623"/>
      <c r="D620" s="624"/>
      <c r="O620" s="160"/>
      <c r="P620" s="10"/>
    </row>
    <row r="621">
      <c r="A621" s="231"/>
      <c r="B621" s="78"/>
      <c r="C621" s="623"/>
      <c r="D621" s="624"/>
      <c r="O621" s="160"/>
      <c r="P621" s="10"/>
    </row>
    <row r="622">
      <c r="A622" s="231"/>
      <c r="B622" s="78"/>
      <c r="C622" s="623"/>
      <c r="D622" s="624"/>
      <c r="O622" s="160"/>
      <c r="P622" s="10"/>
    </row>
    <row r="623">
      <c r="A623" s="231"/>
      <c r="B623" s="78"/>
      <c r="C623" s="623"/>
      <c r="D623" s="624"/>
      <c r="O623" s="160"/>
      <c r="P623" s="10"/>
    </row>
    <row r="624">
      <c r="A624" s="231"/>
      <c r="B624" s="78"/>
      <c r="C624" s="623"/>
      <c r="D624" s="624"/>
      <c r="O624" s="160"/>
      <c r="P624" s="10"/>
    </row>
    <row r="625">
      <c r="A625" s="231"/>
      <c r="B625" s="78"/>
      <c r="C625" s="623"/>
      <c r="D625" s="624"/>
      <c r="O625" s="160"/>
      <c r="P625" s="10"/>
    </row>
    <row r="626">
      <c r="A626" s="231"/>
      <c r="B626" s="78"/>
      <c r="C626" s="623"/>
      <c r="D626" s="624"/>
      <c r="O626" s="160"/>
      <c r="P626" s="10"/>
    </row>
    <row r="627">
      <c r="A627" s="231"/>
      <c r="B627" s="78"/>
      <c r="C627" s="623"/>
      <c r="D627" s="624"/>
      <c r="O627" s="160"/>
      <c r="P627" s="10"/>
    </row>
    <row r="628">
      <c r="A628" s="231"/>
      <c r="B628" s="78"/>
      <c r="C628" s="623"/>
      <c r="D628" s="624"/>
      <c r="O628" s="160"/>
      <c r="P628" s="10"/>
    </row>
    <row r="629">
      <c r="A629" s="231"/>
      <c r="B629" s="78"/>
      <c r="C629" s="623"/>
      <c r="D629" s="624"/>
      <c r="O629" s="160"/>
      <c r="P629" s="10"/>
    </row>
    <row r="630">
      <c r="A630" s="231"/>
      <c r="B630" s="78"/>
      <c r="C630" s="623"/>
      <c r="D630" s="624"/>
      <c r="O630" s="160"/>
      <c r="P630" s="10"/>
    </row>
    <row r="631">
      <c r="A631" s="231"/>
      <c r="B631" s="78"/>
      <c r="C631" s="623"/>
      <c r="D631" s="624"/>
      <c r="O631" s="160"/>
      <c r="P631" s="10"/>
    </row>
    <row r="632">
      <c r="A632" s="231"/>
      <c r="B632" s="78"/>
      <c r="C632" s="623"/>
      <c r="D632" s="624"/>
      <c r="O632" s="160"/>
      <c r="P632" s="10"/>
    </row>
    <row r="633">
      <c r="A633" s="231"/>
      <c r="B633" s="78"/>
      <c r="C633" s="623"/>
      <c r="D633" s="624"/>
      <c r="O633" s="160"/>
      <c r="P633" s="10"/>
    </row>
    <row r="634">
      <c r="A634" s="231"/>
      <c r="B634" s="78"/>
      <c r="C634" s="623"/>
      <c r="D634" s="624"/>
      <c r="O634" s="160"/>
      <c r="P634" s="10"/>
    </row>
    <row r="635">
      <c r="A635" s="231"/>
      <c r="B635" s="78"/>
      <c r="C635" s="623"/>
      <c r="D635" s="624"/>
      <c r="O635" s="160"/>
      <c r="P635" s="10"/>
    </row>
    <row r="636">
      <c r="A636" s="231"/>
      <c r="B636" s="78"/>
      <c r="C636" s="623"/>
      <c r="D636" s="624"/>
      <c r="O636" s="160"/>
      <c r="P636" s="10"/>
    </row>
    <row r="637">
      <c r="A637" s="231"/>
      <c r="B637" s="78"/>
      <c r="C637" s="623"/>
      <c r="D637" s="624"/>
      <c r="O637" s="160"/>
      <c r="P637" s="10"/>
    </row>
    <row r="638">
      <c r="A638" s="231"/>
      <c r="B638" s="78"/>
      <c r="C638" s="623"/>
      <c r="D638" s="624"/>
      <c r="O638" s="160"/>
      <c r="P638" s="10"/>
    </row>
    <row r="639">
      <c r="A639" s="231"/>
      <c r="B639" s="78"/>
      <c r="C639" s="623"/>
      <c r="D639" s="624"/>
      <c r="O639" s="160"/>
      <c r="P639" s="10"/>
    </row>
    <row r="640">
      <c r="A640" s="231"/>
      <c r="B640" s="78"/>
      <c r="C640" s="623"/>
      <c r="D640" s="624"/>
      <c r="O640" s="160"/>
      <c r="P640" s="10"/>
    </row>
    <row r="641">
      <c r="A641" s="231"/>
      <c r="B641" s="78"/>
      <c r="C641" s="623"/>
      <c r="D641" s="624"/>
      <c r="O641" s="160"/>
      <c r="P641" s="10"/>
    </row>
    <row r="642">
      <c r="A642" s="231"/>
      <c r="B642" s="78"/>
      <c r="C642" s="623"/>
      <c r="D642" s="624"/>
      <c r="O642" s="160"/>
      <c r="P642" s="10"/>
    </row>
    <row r="643">
      <c r="A643" s="231"/>
      <c r="B643" s="78"/>
      <c r="C643" s="623"/>
      <c r="D643" s="624"/>
      <c r="O643" s="160"/>
      <c r="P643" s="10"/>
    </row>
    <row r="644">
      <c r="A644" s="231"/>
      <c r="B644" s="78"/>
      <c r="C644" s="623"/>
      <c r="D644" s="624"/>
      <c r="O644" s="160"/>
      <c r="P644" s="10"/>
    </row>
    <row r="645">
      <c r="A645" s="231"/>
      <c r="B645" s="78"/>
      <c r="C645" s="623"/>
      <c r="D645" s="624"/>
      <c r="O645" s="160"/>
      <c r="P645" s="10"/>
    </row>
    <row r="646">
      <c r="A646" s="231"/>
      <c r="B646" s="78"/>
      <c r="C646" s="623"/>
      <c r="D646" s="624"/>
      <c r="O646" s="160"/>
      <c r="P646" s="10"/>
    </row>
    <row r="647">
      <c r="A647" s="231"/>
      <c r="B647" s="78"/>
      <c r="C647" s="623"/>
      <c r="D647" s="624"/>
      <c r="O647" s="160"/>
      <c r="P647" s="10"/>
    </row>
    <row r="648">
      <c r="A648" s="231"/>
      <c r="B648" s="78"/>
      <c r="C648" s="623"/>
      <c r="D648" s="624"/>
      <c r="O648" s="160"/>
      <c r="P648" s="10"/>
    </row>
    <row r="649">
      <c r="A649" s="231"/>
      <c r="B649" s="78"/>
      <c r="C649" s="623"/>
      <c r="D649" s="624"/>
      <c r="O649" s="160"/>
      <c r="P649" s="10"/>
    </row>
    <row r="650">
      <c r="A650" s="231"/>
      <c r="B650" s="78"/>
      <c r="C650" s="623"/>
      <c r="D650" s="624"/>
      <c r="O650" s="160"/>
      <c r="P650" s="10"/>
    </row>
    <row r="651">
      <c r="A651" s="231"/>
      <c r="B651" s="78"/>
      <c r="C651" s="623"/>
      <c r="D651" s="624"/>
      <c r="O651" s="160"/>
      <c r="P651" s="10"/>
    </row>
    <row r="652">
      <c r="A652" s="231"/>
      <c r="B652" s="78"/>
      <c r="C652" s="623"/>
      <c r="D652" s="624"/>
      <c r="O652" s="160"/>
      <c r="P652" s="10"/>
    </row>
    <row r="653">
      <c r="A653" s="231"/>
      <c r="B653" s="78"/>
      <c r="C653" s="623"/>
      <c r="D653" s="624"/>
      <c r="O653" s="160"/>
      <c r="P653" s="10"/>
    </row>
    <row r="654">
      <c r="A654" s="231"/>
      <c r="B654" s="78"/>
      <c r="C654" s="623"/>
      <c r="D654" s="624"/>
      <c r="O654" s="160"/>
      <c r="P654" s="10"/>
    </row>
    <row r="655">
      <c r="A655" s="231"/>
      <c r="B655" s="78"/>
      <c r="C655" s="623"/>
      <c r="D655" s="624"/>
      <c r="O655" s="160"/>
      <c r="P655" s="10"/>
    </row>
    <row r="656">
      <c r="A656" s="231"/>
      <c r="B656" s="78"/>
      <c r="C656" s="623"/>
      <c r="D656" s="624"/>
      <c r="O656" s="160"/>
      <c r="P656" s="10"/>
    </row>
    <row r="657">
      <c r="A657" s="231"/>
      <c r="B657" s="78"/>
      <c r="C657" s="623"/>
      <c r="D657" s="624"/>
      <c r="O657" s="160"/>
      <c r="P657" s="10"/>
    </row>
    <row r="658">
      <c r="A658" s="231"/>
      <c r="B658" s="78"/>
      <c r="C658" s="623"/>
      <c r="D658" s="624"/>
      <c r="O658" s="160"/>
      <c r="P658" s="10"/>
    </row>
    <row r="659">
      <c r="A659" s="231"/>
      <c r="B659" s="78"/>
      <c r="C659" s="623"/>
      <c r="D659" s="624"/>
      <c r="O659" s="160"/>
      <c r="P659" s="10"/>
    </row>
    <row r="660">
      <c r="A660" s="231"/>
      <c r="B660" s="78"/>
      <c r="C660" s="623"/>
      <c r="D660" s="624"/>
      <c r="O660" s="160"/>
      <c r="P660" s="10"/>
    </row>
    <row r="661">
      <c r="A661" s="231"/>
      <c r="B661" s="78"/>
      <c r="C661" s="623"/>
      <c r="D661" s="624"/>
      <c r="O661" s="160"/>
      <c r="P661" s="10"/>
    </row>
    <row r="662">
      <c r="A662" s="231"/>
      <c r="B662" s="78"/>
      <c r="C662" s="623"/>
      <c r="D662" s="624"/>
      <c r="O662" s="160"/>
      <c r="P662" s="10"/>
    </row>
    <row r="663">
      <c r="A663" s="231"/>
      <c r="B663" s="78"/>
      <c r="C663" s="623"/>
      <c r="D663" s="624"/>
      <c r="O663" s="160"/>
      <c r="P663" s="10"/>
    </row>
    <row r="664">
      <c r="A664" s="231"/>
      <c r="B664" s="78"/>
      <c r="C664" s="623"/>
      <c r="D664" s="624"/>
      <c r="O664" s="160"/>
      <c r="P664" s="10"/>
    </row>
    <row r="665">
      <c r="A665" s="231"/>
      <c r="B665" s="78"/>
      <c r="C665" s="623"/>
      <c r="D665" s="624"/>
      <c r="O665" s="160"/>
      <c r="P665" s="10"/>
    </row>
    <row r="666">
      <c r="A666" s="231"/>
      <c r="B666" s="78"/>
      <c r="C666" s="623"/>
      <c r="D666" s="624"/>
      <c r="O666" s="160"/>
      <c r="P666" s="10"/>
    </row>
    <row r="667">
      <c r="A667" s="231"/>
      <c r="B667" s="78"/>
      <c r="C667" s="623"/>
      <c r="D667" s="624"/>
      <c r="O667" s="160"/>
      <c r="P667" s="10"/>
    </row>
    <row r="668">
      <c r="A668" s="231"/>
      <c r="B668" s="78"/>
      <c r="C668" s="623"/>
      <c r="D668" s="624"/>
      <c r="O668" s="160"/>
      <c r="P668" s="10"/>
    </row>
    <row r="669">
      <c r="A669" s="231"/>
      <c r="B669" s="78"/>
      <c r="C669" s="623"/>
      <c r="D669" s="624"/>
      <c r="O669" s="160"/>
      <c r="P669" s="10"/>
    </row>
    <row r="670">
      <c r="A670" s="231"/>
      <c r="B670" s="78"/>
      <c r="C670" s="623"/>
      <c r="D670" s="624"/>
      <c r="O670" s="160"/>
      <c r="P670" s="10"/>
    </row>
    <row r="671">
      <c r="A671" s="231"/>
      <c r="B671" s="78"/>
      <c r="C671" s="623"/>
      <c r="D671" s="624"/>
      <c r="O671" s="160"/>
      <c r="P671" s="10"/>
    </row>
    <row r="672">
      <c r="A672" s="231"/>
      <c r="B672" s="78"/>
      <c r="C672" s="623"/>
      <c r="D672" s="624"/>
      <c r="O672" s="160"/>
      <c r="P672" s="10"/>
    </row>
    <row r="673">
      <c r="A673" s="231"/>
      <c r="B673" s="78"/>
      <c r="C673" s="623"/>
      <c r="D673" s="624"/>
      <c r="O673" s="160"/>
      <c r="P673" s="10"/>
    </row>
    <row r="674">
      <c r="A674" s="231"/>
      <c r="B674" s="78"/>
      <c r="C674" s="623"/>
      <c r="D674" s="624"/>
      <c r="O674" s="160"/>
      <c r="P674" s="10"/>
    </row>
    <row r="675">
      <c r="A675" s="231"/>
      <c r="B675" s="78"/>
      <c r="C675" s="623"/>
      <c r="D675" s="624"/>
      <c r="O675" s="160"/>
      <c r="P675" s="10"/>
    </row>
    <row r="676">
      <c r="A676" s="231"/>
      <c r="B676" s="78"/>
      <c r="C676" s="623"/>
      <c r="D676" s="624"/>
      <c r="O676" s="160"/>
      <c r="P676" s="10"/>
    </row>
    <row r="677">
      <c r="A677" s="231"/>
      <c r="B677" s="78"/>
      <c r="C677" s="623"/>
      <c r="D677" s="624"/>
      <c r="O677" s="160"/>
      <c r="P677" s="10"/>
    </row>
    <row r="678">
      <c r="A678" s="231"/>
      <c r="B678" s="78"/>
      <c r="C678" s="623"/>
      <c r="D678" s="624"/>
      <c r="O678" s="160"/>
      <c r="P678" s="10"/>
    </row>
    <row r="679">
      <c r="A679" s="231"/>
      <c r="B679" s="78"/>
      <c r="C679" s="623"/>
      <c r="D679" s="624"/>
      <c r="O679" s="160"/>
      <c r="P679" s="10"/>
    </row>
    <row r="680">
      <c r="A680" s="231"/>
      <c r="B680" s="78"/>
      <c r="C680" s="623"/>
      <c r="D680" s="624"/>
      <c r="O680" s="160"/>
      <c r="P680" s="10"/>
    </row>
    <row r="681">
      <c r="A681" s="231"/>
      <c r="B681" s="78"/>
      <c r="C681" s="623"/>
      <c r="D681" s="624"/>
      <c r="O681" s="160"/>
      <c r="P681" s="10"/>
    </row>
    <row r="682">
      <c r="A682" s="231"/>
      <c r="B682" s="78"/>
      <c r="C682" s="623"/>
      <c r="D682" s="624"/>
      <c r="O682" s="160"/>
      <c r="P682" s="10"/>
    </row>
    <row r="683">
      <c r="A683" s="231"/>
      <c r="B683" s="78"/>
      <c r="C683" s="623"/>
      <c r="D683" s="624"/>
      <c r="O683" s="160"/>
      <c r="P683" s="10"/>
    </row>
    <row r="684">
      <c r="A684" s="231"/>
      <c r="B684" s="78"/>
      <c r="C684" s="623"/>
      <c r="D684" s="624"/>
      <c r="O684" s="160"/>
      <c r="P684" s="10"/>
    </row>
    <row r="685">
      <c r="A685" s="231"/>
      <c r="B685" s="78"/>
      <c r="C685" s="623"/>
      <c r="D685" s="624"/>
      <c r="O685" s="160"/>
      <c r="P685" s="10"/>
    </row>
    <row r="686">
      <c r="A686" s="231"/>
      <c r="B686" s="78"/>
      <c r="C686" s="623"/>
      <c r="D686" s="624"/>
      <c r="O686" s="160"/>
      <c r="P686" s="10"/>
    </row>
    <row r="687">
      <c r="A687" s="231"/>
      <c r="B687" s="78"/>
      <c r="C687" s="623"/>
      <c r="D687" s="624"/>
      <c r="O687" s="160"/>
      <c r="P687" s="10"/>
    </row>
    <row r="688">
      <c r="A688" s="231"/>
      <c r="B688" s="78"/>
      <c r="C688" s="623"/>
      <c r="D688" s="624"/>
      <c r="O688" s="160"/>
      <c r="P688" s="10"/>
    </row>
    <row r="689">
      <c r="A689" s="231"/>
      <c r="B689" s="78"/>
      <c r="C689" s="623"/>
      <c r="D689" s="624"/>
      <c r="O689" s="160"/>
      <c r="P689" s="10"/>
    </row>
    <row r="690">
      <c r="A690" s="231"/>
      <c r="B690" s="78"/>
      <c r="C690" s="623"/>
      <c r="D690" s="624"/>
      <c r="O690" s="160"/>
      <c r="P690" s="10"/>
    </row>
    <row r="691">
      <c r="A691" s="231"/>
      <c r="B691" s="78"/>
      <c r="C691" s="623"/>
      <c r="D691" s="624"/>
      <c r="O691" s="160"/>
      <c r="P691" s="10"/>
    </row>
    <row r="692">
      <c r="A692" s="231"/>
      <c r="B692" s="78"/>
      <c r="C692" s="623"/>
      <c r="D692" s="624"/>
      <c r="O692" s="160"/>
      <c r="P692" s="10"/>
    </row>
    <row r="693">
      <c r="A693" s="231"/>
      <c r="B693" s="78"/>
      <c r="C693" s="623"/>
      <c r="D693" s="624"/>
      <c r="O693" s="160"/>
      <c r="P693" s="10"/>
    </row>
    <row r="694">
      <c r="A694" s="231"/>
      <c r="B694" s="78"/>
      <c r="C694" s="623"/>
      <c r="D694" s="624"/>
      <c r="O694" s="160"/>
      <c r="P694" s="10"/>
    </row>
    <row r="695">
      <c r="A695" s="231"/>
      <c r="B695" s="78"/>
      <c r="C695" s="623"/>
      <c r="D695" s="624"/>
      <c r="O695" s="160"/>
      <c r="P695" s="10"/>
    </row>
    <row r="696">
      <c r="A696" s="231"/>
      <c r="B696" s="78"/>
      <c r="C696" s="623"/>
      <c r="D696" s="624"/>
      <c r="O696" s="160"/>
      <c r="P696" s="10"/>
    </row>
    <row r="697">
      <c r="A697" s="231"/>
      <c r="B697" s="78"/>
      <c r="C697" s="623"/>
      <c r="D697" s="624"/>
      <c r="O697" s="160"/>
      <c r="P697" s="10"/>
    </row>
    <row r="698">
      <c r="A698" s="231"/>
      <c r="B698" s="78"/>
      <c r="C698" s="623"/>
      <c r="D698" s="624"/>
      <c r="O698" s="160"/>
      <c r="P698" s="10"/>
    </row>
    <row r="699">
      <c r="A699" s="231"/>
      <c r="B699" s="78"/>
      <c r="C699" s="623"/>
      <c r="D699" s="624"/>
      <c r="O699" s="160"/>
      <c r="P699" s="10"/>
    </row>
    <row r="700">
      <c r="A700" s="231"/>
      <c r="B700" s="78"/>
      <c r="C700" s="623"/>
      <c r="D700" s="624"/>
      <c r="O700" s="160"/>
      <c r="P700" s="10"/>
    </row>
    <row r="701">
      <c r="A701" s="231"/>
      <c r="B701" s="78"/>
      <c r="C701" s="623"/>
      <c r="D701" s="624"/>
      <c r="O701" s="160"/>
      <c r="P701" s="10"/>
    </row>
    <row r="702">
      <c r="A702" s="231"/>
      <c r="B702" s="78"/>
      <c r="C702" s="623"/>
      <c r="D702" s="624"/>
      <c r="O702" s="160"/>
      <c r="P702" s="10"/>
    </row>
    <row r="703">
      <c r="A703" s="231"/>
      <c r="B703" s="78"/>
      <c r="C703" s="623"/>
      <c r="D703" s="624"/>
      <c r="O703" s="160"/>
      <c r="P703" s="10"/>
    </row>
    <row r="704">
      <c r="A704" s="231"/>
      <c r="B704" s="78"/>
      <c r="C704" s="623"/>
      <c r="D704" s="624"/>
      <c r="O704" s="160"/>
      <c r="P704" s="10"/>
    </row>
    <row r="705">
      <c r="A705" s="231"/>
      <c r="B705" s="78"/>
      <c r="C705" s="623"/>
      <c r="D705" s="624"/>
      <c r="O705" s="160"/>
      <c r="P705" s="10"/>
    </row>
    <row r="706">
      <c r="A706" s="231"/>
      <c r="B706" s="78"/>
      <c r="C706" s="623"/>
      <c r="D706" s="624"/>
      <c r="O706" s="160"/>
      <c r="P706" s="10"/>
    </row>
    <row r="707">
      <c r="A707" s="231"/>
      <c r="B707" s="78"/>
      <c r="C707" s="623"/>
      <c r="D707" s="624"/>
      <c r="O707" s="160"/>
      <c r="P707" s="10"/>
    </row>
    <row r="708">
      <c r="A708" s="231"/>
      <c r="B708" s="78"/>
      <c r="C708" s="623"/>
      <c r="D708" s="624"/>
      <c r="O708" s="160"/>
      <c r="P708" s="10"/>
    </row>
    <row r="709">
      <c r="A709" s="231"/>
      <c r="B709" s="78"/>
      <c r="C709" s="623"/>
      <c r="D709" s="624"/>
      <c r="O709" s="160"/>
      <c r="P709" s="10"/>
    </row>
    <row r="710">
      <c r="A710" s="231"/>
      <c r="B710" s="78"/>
      <c r="C710" s="623"/>
      <c r="D710" s="624"/>
      <c r="O710" s="160"/>
      <c r="P710" s="10"/>
    </row>
    <row r="711">
      <c r="A711" s="231"/>
      <c r="B711" s="78"/>
      <c r="C711" s="623"/>
      <c r="D711" s="624"/>
      <c r="O711" s="160"/>
      <c r="P711" s="10"/>
    </row>
    <row r="712">
      <c r="A712" s="231"/>
      <c r="B712" s="78"/>
      <c r="C712" s="623"/>
      <c r="D712" s="624"/>
      <c r="O712" s="160"/>
      <c r="P712" s="10"/>
    </row>
    <row r="713">
      <c r="A713" s="231"/>
      <c r="B713" s="78"/>
      <c r="C713" s="623"/>
      <c r="D713" s="624"/>
      <c r="O713" s="160"/>
      <c r="P713" s="10"/>
    </row>
    <row r="714">
      <c r="A714" s="231"/>
      <c r="B714" s="78"/>
      <c r="C714" s="623"/>
      <c r="D714" s="624"/>
      <c r="O714" s="160"/>
      <c r="P714" s="10"/>
    </row>
    <row r="715">
      <c r="A715" s="231"/>
      <c r="B715" s="78"/>
      <c r="C715" s="623"/>
      <c r="D715" s="624"/>
      <c r="O715" s="160"/>
      <c r="P715" s="10"/>
    </row>
    <row r="716">
      <c r="A716" s="231"/>
      <c r="B716" s="78"/>
      <c r="C716" s="623"/>
      <c r="D716" s="624"/>
      <c r="O716" s="160"/>
      <c r="P716" s="10"/>
    </row>
    <row r="717">
      <c r="A717" s="231"/>
      <c r="B717" s="78"/>
      <c r="C717" s="623"/>
      <c r="D717" s="624"/>
      <c r="O717" s="160"/>
      <c r="P717" s="10"/>
    </row>
    <row r="718">
      <c r="A718" s="231"/>
      <c r="B718" s="78"/>
      <c r="C718" s="623"/>
      <c r="D718" s="624"/>
      <c r="O718" s="160"/>
      <c r="P718" s="10"/>
    </row>
    <row r="719">
      <c r="A719" s="231"/>
      <c r="B719" s="78"/>
      <c r="C719" s="623"/>
      <c r="D719" s="624"/>
      <c r="O719" s="160"/>
      <c r="P719" s="10"/>
    </row>
    <row r="720">
      <c r="A720" s="231"/>
      <c r="B720" s="78"/>
      <c r="C720" s="623"/>
      <c r="D720" s="624"/>
      <c r="O720" s="160"/>
      <c r="P720" s="10"/>
    </row>
    <row r="721">
      <c r="A721" s="231"/>
      <c r="B721" s="78"/>
      <c r="C721" s="623"/>
      <c r="D721" s="624"/>
      <c r="O721" s="160"/>
      <c r="P721" s="10"/>
    </row>
    <row r="722">
      <c r="A722" s="231"/>
      <c r="B722" s="78"/>
      <c r="C722" s="623"/>
      <c r="D722" s="624"/>
      <c r="O722" s="160"/>
      <c r="P722" s="10"/>
    </row>
    <row r="723">
      <c r="A723" s="231"/>
      <c r="B723" s="78"/>
      <c r="C723" s="623"/>
      <c r="D723" s="624"/>
      <c r="O723" s="160"/>
      <c r="P723" s="10"/>
    </row>
    <row r="724">
      <c r="A724" s="231"/>
      <c r="B724" s="78"/>
      <c r="C724" s="623"/>
      <c r="D724" s="624"/>
      <c r="O724" s="160"/>
      <c r="P724" s="10"/>
    </row>
    <row r="725">
      <c r="A725" s="231"/>
      <c r="B725" s="78"/>
      <c r="C725" s="623"/>
      <c r="D725" s="624"/>
      <c r="O725" s="160"/>
      <c r="P725" s="10"/>
    </row>
    <row r="726">
      <c r="A726" s="231"/>
      <c r="B726" s="78"/>
      <c r="C726" s="623"/>
      <c r="D726" s="624"/>
      <c r="O726" s="160"/>
      <c r="P726" s="10"/>
    </row>
    <row r="727">
      <c r="A727" s="231"/>
      <c r="B727" s="78"/>
      <c r="C727" s="623"/>
      <c r="D727" s="624"/>
      <c r="O727" s="160"/>
      <c r="P727" s="10"/>
    </row>
    <row r="728">
      <c r="A728" s="231"/>
      <c r="B728" s="78"/>
      <c r="C728" s="623"/>
      <c r="D728" s="624"/>
      <c r="O728" s="160"/>
      <c r="P728" s="10"/>
    </row>
    <row r="729">
      <c r="A729" s="231"/>
      <c r="B729" s="78"/>
      <c r="C729" s="623"/>
      <c r="D729" s="624"/>
      <c r="O729" s="160"/>
      <c r="P729" s="10"/>
    </row>
    <row r="730">
      <c r="A730" s="231"/>
      <c r="B730" s="78"/>
      <c r="C730" s="623"/>
      <c r="D730" s="624"/>
      <c r="O730" s="160"/>
      <c r="P730" s="10"/>
    </row>
    <row r="731">
      <c r="A731" s="231"/>
      <c r="B731" s="78"/>
      <c r="C731" s="623"/>
      <c r="D731" s="624"/>
      <c r="O731" s="160"/>
      <c r="P731" s="10"/>
    </row>
    <row r="732">
      <c r="A732" s="231"/>
      <c r="B732" s="78"/>
      <c r="C732" s="623"/>
      <c r="D732" s="624"/>
      <c r="O732" s="160"/>
      <c r="P732" s="10"/>
    </row>
    <row r="733">
      <c r="A733" s="231"/>
      <c r="B733" s="78"/>
      <c r="C733" s="623"/>
      <c r="D733" s="624"/>
      <c r="O733" s="160"/>
      <c r="P733" s="10"/>
    </row>
    <row r="734">
      <c r="A734" s="231"/>
      <c r="B734" s="78"/>
      <c r="C734" s="623"/>
      <c r="D734" s="624"/>
      <c r="O734" s="160"/>
      <c r="P734" s="10"/>
    </row>
    <row r="735">
      <c r="A735" s="231"/>
      <c r="B735" s="78"/>
      <c r="C735" s="623"/>
      <c r="D735" s="624"/>
      <c r="O735" s="160"/>
      <c r="P735" s="10"/>
    </row>
    <row r="736">
      <c r="A736" s="231"/>
      <c r="B736" s="78"/>
      <c r="C736" s="623"/>
      <c r="D736" s="624"/>
      <c r="O736" s="160"/>
      <c r="P736" s="10"/>
    </row>
    <row r="737">
      <c r="A737" s="231"/>
      <c r="B737" s="78"/>
      <c r="C737" s="623"/>
      <c r="D737" s="624"/>
      <c r="O737" s="160"/>
      <c r="P737" s="10"/>
    </row>
    <row r="738">
      <c r="A738" s="231"/>
      <c r="B738" s="78"/>
      <c r="C738" s="623"/>
      <c r="D738" s="624"/>
      <c r="O738" s="160"/>
      <c r="P738" s="10"/>
    </row>
    <row r="739">
      <c r="A739" s="231"/>
      <c r="B739" s="78"/>
      <c r="C739" s="623"/>
      <c r="D739" s="624"/>
      <c r="O739" s="160"/>
      <c r="P739" s="10"/>
    </row>
    <row r="740">
      <c r="A740" s="231"/>
      <c r="B740" s="78"/>
      <c r="C740" s="623"/>
      <c r="D740" s="624"/>
      <c r="O740" s="160"/>
      <c r="P740" s="10"/>
    </row>
    <row r="741">
      <c r="A741" s="231"/>
      <c r="B741" s="78"/>
      <c r="C741" s="623"/>
      <c r="D741" s="624"/>
      <c r="O741" s="160"/>
      <c r="P741" s="10"/>
    </row>
    <row r="742">
      <c r="A742" s="231"/>
      <c r="B742" s="78"/>
      <c r="C742" s="623"/>
      <c r="D742" s="624"/>
      <c r="O742" s="160"/>
      <c r="P742" s="10"/>
    </row>
    <row r="743">
      <c r="A743" s="231"/>
      <c r="B743" s="78"/>
      <c r="C743" s="623"/>
      <c r="D743" s="624"/>
      <c r="O743" s="160"/>
      <c r="P743" s="10"/>
    </row>
    <row r="744">
      <c r="A744" s="231"/>
      <c r="B744" s="78"/>
      <c r="C744" s="623"/>
      <c r="D744" s="624"/>
      <c r="O744" s="160"/>
      <c r="P744" s="10"/>
    </row>
    <row r="745">
      <c r="A745" s="231"/>
      <c r="B745" s="78"/>
      <c r="C745" s="623"/>
      <c r="D745" s="624"/>
      <c r="O745" s="160"/>
      <c r="P745" s="10"/>
    </row>
    <row r="746">
      <c r="A746" s="231"/>
      <c r="B746" s="78"/>
      <c r="C746" s="623"/>
      <c r="D746" s="624"/>
      <c r="O746" s="160"/>
      <c r="P746" s="10"/>
    </row>
    <row r="747">
      <c r="A747" s="231"/>
      <c r="B747" s="78"/>
      <c r="C747" s="623"/>
      <c r="D747" s="624"/>
      <c r="O747" s="160"/>
      <c r="P747" s="10"/>
    </row>
    <row r="748">
      <c r="A748" s="231"/>
      <c r="B748" s="78"/>
      <c r="C748" s="623"/>
      <c r="D748" s="624"/>
      <c r="O748" s="160"/>
      <c r="P748" s="10"/>
    </row>
    <row r="749">
      <c r="A749" s="231"/>
      <c r="B749" s="78"/>
      <c r="C749" s="623"/>
      <c r="D749" s="624"/>
      <c r="O749" s="160"/>
      <c r="P749" s="10"/>
    </row>
    <row r="750">
      <c r="A750" s="231"/>
      <c r="B750" s="78"/>
      <c r="C750" s="623"/>
      <c r="D750" s="624"/>
      <c r="O750" s="160"/>
      <c r="P750" s="10"/>
    </row>
    <row r="751">
      <c r="A751" s="231"/>
      <c r="B751" s="78"/>
      <c r="C751" s="623"/>
      <c r="D751" s="624"/>
      <c r="O751" s="160"/>
      <c r="P751" s="10"/>
    </row>
    <row r="752">
      <c r="A752" s="231"/>
      <c r="B752" s="78"/>
      <c r="C752" s="623"/>
      <c r="D752" s="624"/>
      <c r="O752" s="160"/>
      <c r="P752" s="10"/>
    </row>
    <row r="753">
      <c r="A753" s="231"/>
      <c r="B753" s="78"/>
      <c r="C753" s="623"/>
      <c r="D753" s="624"/>
      <c r="O753" s="160"/>
      <c r="P753" s="10"/>
    </row>
    <row r="754">
      <c r="A754" s="231"/>
      <c r="B754" s="78"/>
      <c r="C754" s="623"/>
      <c r="D754" s="624"/>
      <c r="O754" s="160"/>
      <c r="P754" s="10"/>
    </row>
    <row r="755">
      <c r="A755" s="231"/>
      <c r="B755" s="78"/>
      <c r="C755" s="623"/>
      <c r="D755" s="624"/>
      <c r="O755" s="160"/>
      <c r="P755" s="10"/>
    </row>
    <row r="756">
      <c r="A756" s="231"/>
      <c r="B756" s="78"/>
      <c r="C756" s="623"/>
      <c r="D756" s="624"/>
      <c r="O756" s="160"/>
      <c r="P756" s="10"/>
    </row>
    <row r="757">
      <c r="A757" s="231"/>
      <c r="B757" s="78"/>
      <c r="C757" s="623"/>
      <c r="D757" s="624"/>
      <c r="O757" s="160"/>
      <c r="P757" s="10"/>
    </row>
    <row r="758">
      <c r="A758" s="231"/>
      <c r="B758" s="78"/>
      <c r="C758" s="623"/>
      <c r="D758" s="624"/>
      <c r="O758" s="160"/>
      <c r="P758" s="10"/>
    </row>
    <row r="759">
      <c r="A759" s="231"/>
      <c r="B759" s="78"/>
      <c r="C759" s="623"/>
      <c r="D759" s="624"/>
      <c r="O759" s="160"/>
      <c r="P759" s="10"/>
    </row>
    <row r="760">
      <c r="A760" s="231"/>
      <c r="B760" s="78"/>
      <c r="C760" s="623"/>
      <c r="D760" s="624"/>
      <c r="O760" s="160"/>
      <c r="P760" s="10"/>
    </row>
    <row r="761">
      <c r="A761" s="231"/>
      <c r="B761" s="78"/>
      <c r="C761" s="623"/>
      <c r="D761" s="624"/>
      <c r="O761" s="160"/>
      <c r="P761" s="10"/>
    </row>
    <row r="762">
      <c r="A762" s="231"/>
      <c r="B762" s="78"/>
      <c r="C762" s="623"/>
      <c r="D762" s="624"/>
      <c r="O762" s="160"/>
      <c r="P762" s="10"/>
    </row>
    <row r="763">
      <c r="A763" s="231"/>
      <c r="B763" s="78"/>
      <c r="C763" s="623"/>
      <c r="D763" s="624"/>
      <c r="O763" s="160"/>
      <c r="P763" s="10"/>
    </row>
    <row r="764">
      <c r="A764" s="231"/>
      <c r="B764" s="78"/>
      <c r="C764" s="623"/>
      <c r="D764" s="624"/>
      <c r="O764" s="160"/>
      <c r="P764" s="10"/>
    </row>
    <row r="765">
      <c r="A765" s="231"/>
      <c r="B765" s="78"/>
      <c r="C765" s="623"/>
      <c r="D765" s="624"/>
      <c r="O765" s="160"/>
      <c r="P765" s="10"/>
    </row>
    <row r="766">
      <c r="A766" s="231"/>
      <c r="B766" s="78"/>
      <c r="C766" s="623"/>
      <c r="D766" s="624"/>
      <c r="O766" s="160"/>
      <c r="P766" s="10"/>
    </row>
    <row r="767">
      <c r="A767" s="231"/>
      <c r="B767" s="78"/>
      <c r="C767" s="623"/>
      <c r="D767" s="624"/>
      <c r="O767" s="160"/>
      <c r="P767" s="10"/>
    </row>
    <row r="768">
      <c r="A768" s="231"/>
      <c r="B768" s="78"/>
      <c r="C768" s="623"/>
      <c r="D768" s="624"/>
      <c r="O768" s="160"/>
      <c r="P768" s="10"/>
    </row>
    <row r="769">
      <c r="A769" s="231"/>
      <c r="B769" s="78"/>
      <c r="C769" s="623"/>
      <c r="D769" s="624"/>
      <c r="O769" s="160"/>
      <c r="P769" s="10"/>
    </row>
    <row r="770">
      <c r="A770" s="231"/>
      <c r="B770" s="78"/>
      <c r="C770" s="623"/>
      <c r="D770" s="624"/>
      <c r="O770" s="160"/>
      <c r="P770" s="10"/>
    </row>
    <row r="771">
      <c r="A771" s="231"/>
      <c r="B771" s="78"/>
      <c r="C771" s="623"/>
      <c r="D771" s="624"/>
      <c r="O771" s="160"/>
      <c r="P771" s="10"/>
    </row>
    <row r="772">
      <c r="A772" s="231"/>
      <c r="B772" s="78"/>
      <c r="C772" s="623"/>
      <c r="D772" s="624"/>
      <c r="O772" s="160"/>
      <c r="P772" s="10"/>
    </row>
    <row r="773">
      <c r="A773" s="231"/>
      <c r="B773" s="78"/>
      <c r="C773" s="623"/>
      <c r="D773" s="624"/>
      <c r="O773" s="160"/>
      <c r="P773" s="10"/>
    </row>
    <row r="774">
      <c r="A774" s="231"/>
      <c r="B774" s="78"/>
      <c r="C774" s="623"/>
      <c r="D774" s="624"/>
      <c r="O774" s="160"/>
      <c r="P774" s="10"/>
    </row>
    <row r="775">
      <c r="A775" s="231"/>
      <c r="B775" s="78"/>
      <c r="C775" s="623"/>
      <c r="D775" s="624"/>
      <c r="O775" s="160"/>
      <c r="P775" s="10"/>
    </row>
    <row r="776">
      <c r="A776" s="231"/>
      <c r="B776" s="78"/>
      <c r="C776" s="623"/>
      <c r="D776" s="624"/>
      <c r="O776" s="160"/>
      <c r="P776" s="10"/>
    </row>
    <row r="777">
      <c r="A777" s="231"/>
      <c r="B777" s="78"/>
      <c r="C777" s="623"/>
      <c r="D777" s="624"/>
      <c r="O777" s="160"/>
      <c r="P777" s="10"/>
    </row>
    <row r="778">
      <c r="A778" s="231"/>
      <c r="B778" s="78"/>
      <c r="C778" s="623"/>
      <c r="D778" s="624"/>
      <c r="O778" s="160"/>
      <c r="P778" s="10"/>
    </row>
    <row r="779">
      <c r="A779" s="231"/>
      <c r="B779" s="78"/>
      <c r="C779" s="623"/>
      <c r="D779" s="624"/>
      <c r="O779" s="160"/>
      <c r="P779" s="10"/>
    </row>
    <row r="780">
      <c r="A780" s="231"/>
      <c r="B780" s="78"/>
      <c r="C780" s="623"/>
      <c r="D780" s="624"/>
      <c r="O780" s="160"/>
      <c r="P780" s="10"/>
    </row>
    <row r="781">
      <c r="A781" s="231"/>
      <c r="B781" s="78"/>
      <c r="C781" s="623"/>
      <c r="D781" s="624"/>
      <c r="O781" s="160"/>
      <c r="P781" s="10"/>
    </row>
    <row r="782">
      <c r="A782" s="231"/>
      <c r="B782" s="78"/>
      <c r="C782" s="623"/>
      <c r="D782" s="624"/>
      <c r="O782" s="160"/>
      <c r="P782" s="10"/>
    </row>
    <row r="783">
      <c r="A783" s="231"/>
      <c r="B783" s="78"/>
      <c r="C783" s="623"/>
      <c r="D783" s="624"/>
      <c r="O783" s="160"/>
      <c r="P783" s="10"/>
    </row>
    <row r="784">
      <c r="A784" s="231"/>
      <c r="B784" s="78"/>
      <c r="C784" s="623"/>
      <c r="D784" s="624"/>
      <c r="O784" s="160"/>
      <c r="P784" s="10"/>
    </row>
    <row r="785">
      <c r="A785" s="231"/>
      <c r="B785" s="78"/>
      <c r="C785" s="623"/>
      <c r="D785" s="624"/>
      <c r="O785" s="160"/>
      <c r="P785" s="10"/>
    </row>
    <row r="786">
      <c r="A786" s="231"/>
      <c r="B786" s="78"/>
      <c r="C786" s="623"/>
      <c r="D786" s="624"/>
      <c r="O786" s="160"/>
      <c r="P786" s="10"/>
    </row>
    <row r="787">
      <c r="A787" s="231"/>
      <c r="B787" s="78"/>
      <c r="C787" s="623"/>
      <c r="D787" s="624"/>
      <c r="O787" s="160"/>
      <c r="P787" s="10"/>
    </row>
    <row r="788">
      <c r="A788" s="231"/>
      <c r="B788" s="78"/>
      <c r="C788" s="623"/>
      <c r="D788" s="624"/>
      <c r="O788" s="160"/>
      <c r="P788" s="10"/>
    </row>
    <row r="789">
      <c r="A789" s="231"/>
      <c r="B789" s="78"/>
      <c r="C789" s="623"/>
      <c r="D789" s="624"/>
      <c r="O789" s="160"/>
      <c r="P789" s="10"/>
    </row>
    <row r="790">
      <c r="A790" s="231"/>
      <c r="B790" s="78"/>
      <c r="C790" s="623"/>
      <c r="D790" s="624"/>
      <c r="O790" s="160"/>
      <c r="P790" s="10"/>
    </row>
    <row r="791">
      <c r="A791" s="231"/>
      <c r="B791" s="78"/>
      <c r="C791" s="623"/>
      <c r="D791" s="624"/>
      <c r="O791" s="160"/>
      <c r="P791" s="10"/>
    </row>
    <row r="792">
      <c r="A792" s="231"/>
      <c r="B792" s="78"/>
      <c r="C792" s="623"/>
      <c r="D792" s="624"/>
      <c r="O792" s="160"/>
      <c r="P792" s="10"/>
    </row>
    <row r="793">
      <c r="A793" s="231"/>
      <c r="B793" s="78"/>
      <c r="C793" s="623"/>
      <c r="D793" s="624"/>
      <c r="O793" s="160"/>
      <c r="P793" s="10"/>
    </row>
    <row r="794">
      <c r="A794" s="231"/>
      <c r="B794" s="78"/>
      <c r="C794" s="623"/>
      <c r="D794" s="624"/>
      <c r="O794" s="160"/>
      <c r="P794" s="10"/>
    </row>
    <row r="795">
      <c r="A795" s="231"/>
      <c r="B795" s="78"/>
      <c r="C795" s="623"/>
      <c r="D795" s="624"/>
      <c r="O795" s="160"/>
      <c r="P795" s="10"/>
    </row>
    <row r="796">
      <c r="A796" s="231"/>
      <c r="B796" s="78"/>
      <c r="C796" s="623"/>
      <c r="D796" s="624"/>
      <c r="O796" s="160"/>
      <c r="P796" s="10"/>
    </row>
    <row r="797">
      <c r="A797" s="231"/>
      <c r="B797" s="78"/>
      <c r="C797" s="623"/>
      <c r="D797" s="624"/>
      <c r="O797" s="160"/>
      <c r="P797" s="10"/>
    </row>
    <row r="798">
      <c r="A798" s="231"/>
      <c r="B798" s="78"/>
      <c r="C798" s="623"/>
      <c r="D798" s="624"/>
      <c r="O798" s="160"/>
      <c r="P798" s="10"/>
    </row>
    <row r="799">
      <c r="A799" s="231"/>
      <c r="B799" s="78"/>
      <c r="C799" s="623"/>
      <c r="D799" s="624"/>
      <c r="O799" s="160"/>
      <c r="P799" s="10"/>
    </row>
    <row r="800">
      <c r="A800" s="231"/>
      <c r="B800" s="78"/>
      <c r="C800" s="623"/>
      <c r="D800" s="624"/>
      <c r="O800" s="160"/>
      <c r="P800" s="10"/>
    </row>
    <row r="801">
      <c r="A801" s="231"/>
      <c r="B801" s="78"/>
      <c r="C801" s="623"/>
      <c r="D801" s="624"/>
      <c r="O801" s="160"/>
      <c r="P801" s="10"/>
    </row>
    <row r="802">
      <c r="A802" s="231"/>
      <c r="B802" s="78"/>
      <c r="C802" s="623"/>
      <c r="D802" s="624"/>
      <c r="O802" s="160"/>
      <c r="P802" s="10"/>
    </row>
    <row r="803">
      <c r="A803" s="231"/>
      <c r="B803" s="78"/>
      <c r="C803" s="623"/>
      <c r="D803" s="624"/>
      <c r="O803" s="160"/>
      <c r="P803" s="10"/>
    </row>
    <row r="804">
      <c r="A804" s="231"/>
      <c r="B804" s="78"/>
      <c r="C804" s="623"/>
      <c r="D804" s="624"/>
      <c r="O804" s="160"/>
      <c r="P804" s="10"/>
    </row>
    <row r="805">
      <c r="A805" s="231"/>
      <c r="B805" s="78"/>
      <c r="C805" s="623"/>
      <c r="D805" s="624"/>
      <c r="O805" s="160"/>
      <c r="P805" s="10"/>
    </row>
    <row r="806">
      <c r="A806" s="231"/>
      <c r="B806" s="78"/>
      <c r="C806" s="623"/>
      <c r="D806" s="624"/>
      <c r="O806" s="160"/>
      <c r="P806" s="10"/>
    </row>
    <row r="807">
      <c r="A807" s="231"/>
      <c r="B807" s="78"/>
      <c r="C807" s="623"/>
      <c r="D807" s="624"/>
      <c r="O807" s="160"/>
      <c r="P807" s="10"/>
    </row>
    <row r="808">
      <c r="A808" s="231"/>
      <c r="B808" s="78"/>
      <c r="C808" s="623"/>
      <c r="D808" s="624"/>
      <c r="O808" s="160"/>
      <c r="P808" s="10"/>
    </row>
    <row r="809">
      <c r="A809" s="231"/>
      <c r="B809" s="78"/>
      <c r="C809" s="623"/>
      <c r="D809" s="624"/>
      <c r="O809" s="160"/>
      <c r="P809" s="10"/>
    </row>
    <row r="810">
      <c r="A810" s="231"/>
      <c r="B810" s="78"/>
      <c r="C810" s="623"/>
      <c r="D810" s="624"/>
      <c r="O810" s="160"/>
      <c r="P810" s="10"/>
    </row>
    <row r="811">
      <c r="A811" s="231"/>
      <c r="B811" s="78"/>
      <c r="C811" s="623"/>
      <c r="D811" s="624"/>
      <c r="O811" s="160"/>
      <c r="P811" s="10"/>
    </row>
    <row r="812">
      <c r="A812" s="231"/>
      <c r="B812" s="78"/>
      <c r="C812" s="623"/>
      <c r="D812" s="624"/>
      <c r="O812" s="160"/>
      <c r="P812" s="10"/>
    </row>
    <row r="813">
      <c r="A813" s="231"/>
      <c r="B813" s="78"/>
      <c r="C813" s="623"/>
      <c r="D813" s="624"/>
      <c r="O813" s="160"/>
      <c r="P813" s="10"/>
    </row>
    <row r="814">
      <c r="A814" s="231"/>
      <c r="B814" s="78"/>
      <c r="C814" s="623"/>
      <c r="D814" s="624"/>
      <c r="O814" s="160"/>
      <c r="P814" s="10"/>
    </row>
    <row r="815">
      <c r="A815" s="231"/>
      <c r="B815" s="78"/>
      <c r="C815" s="623"/>
      <c r="D815" s="624"/>
      <c r="O815" s="160"/>
      <c r="P815" s="10"/>
    </row>
    <row r="816">
      <c r="A816" s="231"/>
      <c r="B816" s="78"/>
      <c r="C816" s="623"/>
      <c r="D816" s="624"/>
      <c r="O816" s="160"/>
      <c r="P816" s="10"/>
    </row>
    <row r="817">
      <c r="A817" s="231"/>
      <c r="B817" s="78"/>
      <c r="C817" s="623"/>
      <c r="D817" s="624"/>
      <c r="O817" s="160"/>
      <c r="P817" s="10"/>
    </row>
    <row r="818">
      <c r="A818" s="231"/>
      <c r="B818" s="78"/>
      <c r="C818" s="623"/>
      <c r="D818" s="624"/>
      <c r="O818" s="160"/>
      <c r="P818" s="10"/>
    </row>
    <row r="819">
      <c r="A819" s="231"/>
      <c r="B819" s="78"/>
      <c r="C819" s="623"/>
      <c r="D819" s="624"/>
      <c r="O819" s="160"/>
      <c r="P819" s="10"/>
    </row>
    <row r="820">
      <c r="A820" s="231"/>
      <c r="B820" s="78"/>
      <c r="C820" s="623"/>
      <c r="D820" s="624"/>
      <c r="O820" s="160"/>
      <c r="P820" s="10"/>
    </row>
    <row r="821">
      <c r="A821" s="231"/>
      <c r="B821" s="78"/>
      <c r="C821" s="623"/>
      <c r="D821" s="624"/>
      <c r="O821" s="160"/>
      <c r="P821" s="10"/>
    </row>
    <row r="822">
      <c r="A822" s="231"/>
      <c r="B822" s="78"/>
      <c r="C822" s="623"/>
      <c r="D822" s="624"/>
      <c r="O822" s="160"/>
      <c r="P822" s="10"/>
    </row>
    <row r="823">
      <c r="A823" s="231"/>
      <c r="B823" s="78"/>
      <c r="C823" s="623"/>
      <c r="D823" s="624"/>
      <c r="O823" s="160"/>
      <c r="P823" s="10"/>
    </row>
    <row r="824">
      <c r="A824" s="231"/>
      <c r="B824" s="78"/>
      <c r="C824" s="623"/>
      <c r="D824" s="624"/>
      <c r="O824" s="160"/>
      <c r="P824" s="10"/>
    </row>
    <row r="825">
      <c r="A825" s="231"/>
      <c r="B825" s="78"/>
      <c r="C825" s="623"/>
      <c r="D825" s="624"/>
      <c r="O825" s="160"/>
      <c r="P825" s="10"/>
    </row>
    <row r="826">
      <c r="A826" s="231"/>
      <c r="B826" s="78"/>
      <c r="C826" s="623"/>
      <c r="D826" s="624"/>
      <c r="O826" s="160"/>
      <c r="P826" s="10"/>
    </row>
    <row r="827">
      <c r="A827" s="231"/>
      <c r="B827" s="78"/>
      <c r="C827" s="623"/>
      <c r="D827" s="624"/>
      <c r="O827" s="160"/>
      <c r="P827" s="10"/>
    </row>
    <row r="828">
      <c r="A828" s="231"/>
      <c r="B828" s="78"/>
      <c r="C828" s="623"/>
      <c r="D828" s="624"/>
      <c r="O828" s="160"/>
      <c r="P828" s="10"/>
    </row>
    <row r="829">
      <c r="A829" s="231"/>
      <c r="B829" s="78"/>
      <c r="C829" s="623"/>
      <c r="D829" s="624"/>
      <c r="O829" s="160"/>
      <c r="P829" s="10"/>
    </row>
    <row r="830">
      <c r="A830" s="231"/>
      <c r="B830" s="78"/>
      <c r="C830" s="623"/>
      <c r="D830" s="624"/>
      <c r="O830" s="160"/>
      <c r="P830" s="10"/>
    </row>
    <row r="831">
      <c r="A831" s="231"/>
      <c r="B831" s="78"/>
      <c r="C831" s="623"/>
      <c r="D831" s="624"/>
      <c r="O831" s="160"/>
      <c r="P831" s="10"/>
    </row>
    <row r="832">
      <c r="A832" s="231"/>
      <c r="B832" s="78"/>
      <c r="C832" s="623"/>
      <c r="D832" s="624"/>
      <c r="O832" s="160"/>
      <c r="P832" s="10"/>
    </row>
    <row r="833">
      <c r="A833" s="231"/>
      <c r="B833" s="78"/>
      <c r="C833" s="623"/>
      <c r="D833" s="624"/>
      <c r="O833" s="160"/>
      <c r="P833" s="10"/>
    </row>
    <row r="834">
      <c r="A834" s="231"/>
      <c r="B834" s="78"/>
      <c r="C834" s="623"/>
      <c r="D834" s="624"/>
      <c r="O834" s="160"/>
      <c r="P834" s="10"/>
    </row>
    <row r="835">
      <c r="A835" s="231"/>
      <c r="B835" s="78"/>
      <c r="C835" s="623"/>
      <c r="D835" s="624"/>
      <c r="O835" s="160"/>
      <c r="P835" s="10"/>
    </row>
    <row r="836">
      <c r="A836" s="231"/>
      <c r="B836" s="78"/>
      <c r="C836" s="623"/>
      <c r="D836" s="624"/>
      <c r="O836" s="160"/>
      <c r="P836" s="10"/>
    </row>
    <row r="837">
      <c r="A837" s="231"/>
      <c r="B837" s="78"/>
      <c r="C837" s="623"/>
      <c r="D837" s="624"/>
      <c r="O837" s="160"/>
      <c r="P837" s="10"/>
    </row>
    <row r="838">
      <c r="A838" s="231"/>
      <c r="B838" s="78"/>
      <c r="C838" s="623"/>
      <c r="D838" s="624"/>
      <c r="O838" s="160"/>
      <c r="P838" s="10"/>
    </row>
    <row r="839">
      <c r="A839" s="231"/>
      <c r="B839" s="78"/>
      <c r="C839" s="623"/>
      <c r="D839" s="624"/>
      <c r="O839" s="160"/>
      <c r="P839" s="10"/>
    </row>
    <row r="840">
      <c r="A840" s="231"/>
      <c r="B840" s="78"/>
      <c r="C840" s="623"/>
      <c r="D840" s="624"/>
      <c r="O840" s="160"/>
      <c r="P840" s="10"/>
    </row>
    <row r="841">
      <c r="A841" s="231"/>
      <c r="B841" s="78"/>
      <c r="C841" s="623"/>
      <c r="D841" s="624"/>
      <c r="O841" s="160"/>
      <c r="P841" s="10"/>
    </row>
    <row r="842">
      <c r="A842" s="231"/>
      <c r="B842" s="78"/>
      <c r="C842" s="623"/>
      <c r="D842" s="624"/>
      <c r="O842" s="160"/>
      <c r="P842" s="10"/>
    </row>
    <row r="843">
      <c r="A843" s="231"/>
      <c r="B843" s="78"/>
      <c r="C843" s="623"/>
      <c r="D843" s="624"/>
      <c r="O843" s="160"/>
      <c r="P843" s="10"/>
    </row>
    <row r="844">
      <c r="A844" s="231"/>
      <c r="B844" s="78"/>
      <c r="C844" s="623"/>
      <c r="D844" s="624"/>
      <c r="O844" s="160"/>
      <c r="P844" s="10"/>
    </row>
    <row r="845">
      <c r="A845" s="231"/>
      <c r="B845" s="78"/>
      <c r="C845" s="623"/>
      <c r="D845" s="624"/>
      <c r="O845" s="160"/>
      <c r="P845" s="10"/>
    </row>
    <row r="846">
      <c r="A846" s="231"/>
      <c r="B846" s="78"/>
      <c r="C846" s="623"/>
      <c r="D846" s="624"/>
      <c r="O846" s="160"/>
      <c r="P846" s="10"/>
    </row>
    <row r="847">
      <c r="A847" s="231"/>
      <c r="B847" s="78"/>
      <c r="C847" s="623"/>
      <c r="D847" s="624"/>
      <c r="O847" s="160"/>
      <c r="P847" s="10"/>
    </row>
    <row r="848">
      <c r="A848" s="231"/>
      <c r="B848" s="78"/>
      <c r="C848" s="623"/>
      <c r="D848" s="624"/>
      <c r="O848" s="160"/>
      <c r="P848" s="10"/>
    </row>
    <row r="849">
      <c r="A849" s="231"/>
      <c r="B849" s="78"/>
      <c r="C849" s="623"/>
      <c r="D849" s="624"/>
      <c r="O849" s="160"/>
      <c r="P849" s="10"/>
    </row>
    <row r="850">
      <c r="A850" s="231"/>
      <c r="B850" s="78"/>
      <c r="C850" s="623"/>
      <c r="D850" s="624"/>
      <c r="O850" s="160"/>
      <c r="P850" s="10"/>
    </row>
    <row r="851">
      <c r="A851" s="231"/>
      <c r="B851" s="78"/>
      <c r="C851" s="623"/>
      <c r="D851" s="624"/>
      <c r="O851" s="160"/>
      <c r="P851" s="10"/>
    </row>
    <row r="852">
      <c r="A852" s="231"/>
      <c r="B852" s="78"/>
      <c r="C852" s="623"/>
      <c r="D852" s="624"/>
      <c r="O852" s="160"/>
      <c r="P852" s="10"/>
    </row>
    <row r="853">
      <c r="A853" s="231"/>
      <c r="B853" s="78"/>
      <c r="C853" s="623"/>
      <c r="D853" s="624"/>
      <c r="O853" s="160"/>
      <c r="P853" s="10"/>
    </row>
    <row r="854">
      <c r="A854" s="231"/>
      <c r="B854" s="78"/>
      <c r="C854" s="623"/>
      <c r="D854" s="624"/>
      <c r="O854" s="160"/>
      <c r="P854" s="10"/>
    </row>
    <row r="855">
      <c r="A855" s="231"/>
      <c r="B855" s="78"/>
      <c r="C855" s="623"/>
      <c r="D855" s="624"/>
      <c r="O855" s="160"/>
      <c r="P855" s="10"/>
    </row>
    <row r="856">
      <c r="A856" s="231"/>
      <c r="B856" s="78"/>
      <c r="C856" s="623"/>
      <c r="D856" s="624"/>
      <c r="O856" s="160"/>
      <c r="P856" s="10"/>
    </row>
    <row r="857">
      <c r="A857" s="231"/>
      <c r="B857" s="78"/>
      <c r="C857" s="623"/>
      <c r="D857" s="624"/>
      <c r="O857" s="160"/>
      <c r="P857" s="10"/>
    </row>
    <row r="858">
      <c r="A858" s="231"/>
      <c r="B858" s="78"/>
      <c r="C858" s="623"/>
      <c r="D858" s="624"/>
      <c r="O858" s="160"/>
      <c r="P858" s="10"/>
    </row>
    <row r="859">
      <c r="A859" s="231"/>
      <c r="B859" s="78"/>
      <c r="C859" s="623"/>
      <c r="D859" s="624"/>
      <c r="O859" s="160"/>
      <c r="P859" s="10"/>
    </row>
    <row r="860">
      <c r="A860" s="231"/>
      <c r="B860" s="78"/>
      <c r="C860" s="623"/>
      <c r="D860" s="624"/>
      <c r="O860" s="160"/>
      <c r="P860" s="10"/>
    </row>
    <row r="861">
      <c r="A861" s="231"/>
      <c r="B861" s="78"/>
      <c r="C861" s="623"/>
      <c r="D861" s="624"/>
      <c r="O861" s="160"/>
      <c r="P861" s="10"/>
    </row>
    <row r="862">
      <c r="A862" s="231"/>
      <c r="B862" s="78"/>
      <c r="C862" s="623"/>
      <c r="D862" s="624"/>
      <c r="O862" s="160"/>
      <c r="P862" s="10"/>
    </row>
    <row r="863">
      <c r="A863" s="231"/>
      <c r="B863" s="78"/>
      <c r="C863" s="623"/>
      <c r="D863" s="624"/>
      <c r="O863" s="160"/>
      <c r="P863" s="10"/>
    </row>
    <row r="864">
      <c r="A864" s="231"/>
      <c r="B864" s="78"/>
      <c r="C864" s="623"/>
      <c r="D864" s="624"/>
      <c r="O864" s="160"/>
      <c r="P864" s="10"/>
    </row>
    <row r="865">
      <c r="A865" s="231"/>
      <c r="B865" s="78"/>
      <c r="C865" s="623"/>
      <c r="D865" s="624"/>
      <c r="O865" s="160"/>
      <c r="P865" s="10"/>
    </row>
    <row r="866">
      <c r="A866" s="231"/>
      <c r="B866" s="78"/>
      <c r="C866" s="623"/>
      <c r="D866" s="624"/>
      <c r="O866" s="160"/>
      <c r="P866" s="10"/>
    </row>
    <row r="867">
      <c r="A867" s="231"/>
      <c r="B867" s="78"/>
      <c r="C867" s="623"/>
      <c r="D867" s="624"/>
      <c r="O867" s="160"/>
      <c r="P867" s="10"/>
    </row>
    <row r="868">
      <c r="A868" s="231"/>
      <c r="B868" s="78"/>
      <c r="C868" s="623"/>
      <c r="D868" s="624"/>
      <c r="O868" s="160"/>
      <c r="P868" s="10"/>
    </row>
    <row r="869">
      <c r="A869" s="231"/>
      <c r="B869" s="78"/>
      <c r="C869" s="623"/>
      <c r="D869" s="624"/>
      <c r="O869" s="160"/>
      <c r="P869" s="10"/>
    </row>
    <row r="870">
      <c r="A870" s="231"/>
      <c r="B870" s="78"/>
      <c r="C870" s="623"/>
      <c r="D870" s="624"/>
      <c r="O870" s="160"/>
      <c r="P870" s="10"/>
    </row>
    <row r="871">
      <c r="A871" s="231"/>
      <c r="B871" s="78"/>
      <c r="C871" s="623"/>
      <c r="D871" s="624"/>
      <c r="O871" s="160"/>
      <c r="P871" s="10"/>
    </row>
    <row r="872">
      <c r="A872" s="231"/>
      <c r="B872" s="78"/>
      <c r="C872" s="623"/>
      <c r="D872" s="624"/>
      <c r="O872" s="160"/>
      <c r="P872" s="10"/>
    </row>
    <row r="873">
      <c r="A873" s="231"/>
      <c r="B873" s="78"/>
      <c r="C873" s="623"/>
      <c r="D873" s="624"/>
      <c r="O873" s="160"/>
      <c r="P873" s="10"/>
    </row>
    <row r="874">
      <c r="A874" s="231"/>
      <c r="B874" s="78"/>
      <c r="C874" s="623"/>
      <c r="D874" s="624"/>
      <c r="O874" s="160"/>
      <c r="P874" s="10"/>
    </row>
    <row r="875">
      <c r="A875" s="231"/>
      <c r="B875" s="78"/>
      <c r="C875" s="623"/>
      <c r="D875" s="624"/>
      <c r="O875" s="160"/>
      <c r="P875" s="10"/>
    </row>
    <row r="876">
      <c r="A876" s="231"/>
      <c r="B876" s="78"/>
      <c r="C876" s="623"/>
      <c r="D876" s="624"/>
      <c r="O876" s="160"/>
      <c r="P876" s="10"/>
    </row>
    <row r="877">
      <c r="A877" s="231"/>
      <c r="B877" s="78"/>
      <c r="C877" s="623"/>
      <c r="D877" s="624"/>
      <c r="O877" s="160"/>
      <c r="P877" s="10"/>
    </row>
    <row r="878">
      <c r="A878" s="231"/>
      <c r="B878" s="78"/>
      <c r="C878" s="623"/>
      <c r="D878" s="624"/>
      <c r="O878" s="160"/>
      <c r="P878" s="10"/>
    </row>
    <row r="879">
      <c r="A879" s="231"/>
      <c r="B879" s="78"/>
      <c r="C879" s="623"/>
      <c r="D879" s="624"/>
      <c r="O879" s="160"/>
      <c r="P879" s="10"/>
    </row>
    <row r="880">
      <c r="A880" s="231"/>
      <c r="B880" s="78"/>
      <c r="C880" s="623"/>
      <c r="D880" s="624"/>
      <c r="O880" s="160"/>
      <c r="P880" s="10"/>
    </row>
    <row r="881">
      <c r="A881" s="231"/>
      <c r="B881" s="78"/>
      <c r="C881" s="623"/>
      <c r="D881" s="624"/>
      <c r="O881" s="160"/>
      <c r="P881" s="10"/>
    </row>
    <row r="882">
      <c r="A882" s="231"/>
      <c r="B882" s="78"/>
      <c r="C882" s="623"/>
      <c r="D882" s="624"/>
      <c r="O882" s="160"/>
      <c r="P882" s="10"/>
    </row>
    <row r="883">
      <c r="A883" s="231"/>
      <c r="B883" s="78"/>
      <c r="C883" s="623"/>
      <c r="D883" s="624"/>
      <c r="O883" s="160"/>
      <c r="P883" s="10"/>
    </row>
    <row r="884">
      <c r="A884" s="231"/>
      <c r="B884" s="78"/>
      <c r="C884" s="623"/>
      <c r="D884" s="624"/>
      <c r="O884" s="160"/>
      <c r="P884" s="10"/>
    </row>
    <row r="885">
      <c r="A885" s="231"/>
      <c r="B885" s="78"/>
      <c r="C885" s="623"/>
      <c r="D885" s="624"/>
      <c r="O885" s="160"/>
      <c r="P885" s="10"/>
    </row>
    <row r="886">
      <c r="A886" s="231"/>
      <c r="B886" s="78"/>
      <c r="C886" s="623"/>
      <c r="D886" s="624"/>
      <c r="O886" s="160"/>
      <c r="P886" s="10"/>
    </row>
    <row r="887">
      <c r="A887" s="231"/>
      <c r="B887" s="78"/>
      <c r="C887" s="623"/>
      <c r="D887" s="624"/>
      <c r="O887" s="160"/>
      <c r="P887" s="10"/>
    </row>
    <row r="888">
      <c r="A888" s="231"/>
      <c r="B888" s="78"/>
      <c r="C888" s="623"/>
      <c r="D888" s="624"/>
      <c r="O888" s="160"/>
      <c r="P888" s="10"/>
    </row>
    <row r="889">
      <c r="A889" s="231"/>
      <c r="B889" s="78"/>
      <c r="C889" s="623"/>
      <c r="D889" s="624"/>
      <c r="O889" s="160"/>
      <c r="P889" s="10"/>
    </row>
    <row r="890">
      <c r="A890" s="231"/>
      <c r="B890" s="78"/>
      <c r="C890" s="623"/>
      <c r="D890" s="624"/>
      <c r="O890" s="160"/>
      <c r="P890" s="10"/>
    </row>
    <row r="891">
      <c r="A891" s="231"/>
      <c r="B891" s="78"/>
      <c r="C891" s="623"/>
      <c r="D891" s="624"/>
      <c r="O891" s="160"/>
      <c r="P891" s="10"/>
    </row>
    <row r="892">
      <c r="A892" s="231"/>
      <c r="B892" s="78"/>
      <c r="C892" s="623"/>
      <c r="D892" s="624"/>
      <c r="O892" s="160"/>
      <c r="P892" s="10"/>
    </row>
    <row r="893">
      <c r="A893" s="231"/>
      <c r="B893" s="78"/>
      <c r="C893" s="623"/>
      <c r="D893" s="624"/>
      <c r="O893" s="160"/>
      <c r="P893" s="10"/>
    </row>
    <row r="894">
      <c r="A894" s="231"/>
      <c r="B894" s="78"/>
      <c r="C894" s="623"/>
      <c r="D894" s="624"/>
      <c r="O894" s="160"/>
      <c r="P894" s="10"/>
    </row>
    <row r="895">
      <c r="A895" s="231"/>
      <c r="B895" s="78"/>
      <c r="C895" s="623"/>
      <c r="D895" s="624"/>
      <c r="O895" s="160"/>
      <c r="P895" s="10"/>
    </row>
    <row r="896">
      <c r="A896" s="231"/>
      <c r="B896" s="78"/>
      <c r="C896" s="623"/>
      <c r="D896" s="624"/>
      <c r="O896" s="160"/>
      <c r="P896" s="10"/>
    </row>
    <row r="897">
      <c r="A897" s="231"/>
      <c r="B897" s="78"/>
      <c r="C897" s="623"/>
      <c r="D897" s="624"/>
      <c r="O897" s="160"/>
      <c r="P897" s="10"/>
    </row>
    <row r="898">
      <c r="A898" s="231"/>
      <c r="B898" s="78"/>
      <c r="C898" s="623"/>
      <c r="D898" s="624"/>
      <c r="O898" s="160"/>
      <c r="P898" s="10"/>
    </row>
    <row r="899">
      <c r="A899" s="231"/>
      <c r="B899" s="78"/>
      <c r="C899" s="623"/>
      <c r="D899" s="624"/>
      <c r="O899" s="160"/>
      <c r="P899" s="10"/>
    </row>
    <row r="900">
      <c r="A900" s="231"/>
      <c r="B900" s="78"/>
      <c r="C900" s="623"/>
      <c r="D900" s="624"/>
      <c r="O900" s="160"/>
      <c r="P900" s="10"/>
    </row>
    <row r="901">
      <c r="A901" s="231"/>
      <c r="B901" s="78"/>
      <c r="C901" s="623"/>
      <c r="D901" s="624"/>
      <c r="O901" s="160"/>
      <c r="P901" s="10"/>
    </row>
    <row r="902">
      <c r="A902" s="231"/>
      <c r="B902" s="78"/>
      <c r="C902" s="623"/>
      <c r="D902" s="624"/>
      <c r="O902" s="160"/>
      <c r="P902" s="10"/>
    </row>
    <row r="903">
      <c r="A903" s="231"/>
      <c r="B903" s="78"/>
      <c r="C903" s="623"/>
      <c r="D903" s="624"/>
      <c r="O903" s="160"/>
      <c r="P903" s="10"/>
    </row>
    <row r="904">
      <c r="A904" s="231"/>
      <c r="B904" s="78"/>
      <c r="C904" s="623"/>
      <c r="D904" s="624"/>
      <c r="O904" s="160"/>
      <c r="P904" s="10"/>
    </row>
    <row r="905">
      <c r="A905" s="231"/>
      <c r="B905" s="78"/>
      <c r="C905" s="623"/>
      <c r="D905" s="624"/>
      <c r="O905" s="160"/>
      <c r="P905" s="10"/>
    </row>
    <row r="906">
      <c r="A906" s="231"/>
      <c r="B906" s="78"/>
      <c r="C906" s="623"/>
      <c r="D906" s="624"/>
      <c r="O906" s="160"/>
      <c r="P906" s="10"/>
    </row>
    <row r="907">
      <c r="A907" s="231"/>
      <c r="B907" s="78"/>
      <c r="C907" s="623"/>
      <c r="D907" s="624"/>
      <c r="O907" s="160"/>
      <c r="P907" s="10"/>
    </row>
    <row r="908">
      <c r="A908" s="231"/>
      <c r="B908" s="78"/>
      <c r="C908" s="623"/>
      <c r="D908" s="624"/>
      <c r="O908" s="160"/>
      <c r="P908" s="10"/>
    </row>
    <row r="909">
      <c r="A909" s="231"/>
      <c r="B909" s="78"/>
      <c r="C909" s="623"/>
      <c r="D909" s="624"/>
      <c r="O909" s="160"/>
      <c r="P909" s="10"/>
    </row>
    <row r="910">
      <c r="A910" s="231"/>
      <c r="B910" s="78"/>
      <c r="C910" s="623"/>
      <c r="D910" s="624"/>
      <c r="O910" s="160"/>
      <c r="P910" s="10"/>
    </row>
    <row r="911">
      <c r="A911" s="231"/>
      <c r="B911" s="78"/>
      <c r="C911" s="623"/>
      <c r="D911" s="624"/>
      <c r="O911" s="160"/>
      <c r="P911" s="10"/>
    </row>
    <row r="912">
      <c r="A912" s="231"/>
      <c r="B912" s="78"/>
      <c r="C912" s="623"/>
      <c r="D912" s="624"/>
      <c r="O912" s="160"/>
      <c r="P912" s="10"/>
    </row>
    <row r="913">
      <c r="A913" s="231"/>
      <c r="B913" s="78"/>
      <c r="C913" s="623"/>
      <c r="D913" s="624"/>
      <c r="O913" s="160"/>
      <c r="P913" s="10"/>
    </row>
    <row r="914">
      <c r="A914" s="231"/>
      <c r="B914" s="78"/>
      <c r="C914" s="623"/>
      <c r="D914" s="624"/>
      <c r="O914" s="160"/>
      <c r="P914" s="10"/>
    </row>
    <row r="915">
      <c r="A915" s="231"/>
      <c r="B915" s="78"/>
      <c r="C915" s="623"/>
      <c r="D915" s="624"/>
      <c r="O915" s="160"/>
      <c r="P915" s="10"/>
    </row>
    <row r="916">
      <c r="A916" s="231"/>
      <c r="B916" s="78"/>
      <c r="C916" s="623"/>
      <c r="D916" s="624"/>
      <c r="O916" s="160"/>
      <c r="P916" s="10"/>
    </row>
    <row r="917">
      <c r="A917" s="231"/>
      <c r="B917" s="78"/>
      <c r="C917" s="623"/>
      <c r="D917" s="624"/>
      <c r="O917" s="160"/>
      <c r="P917" s="10"/>
    </row>
    <row r="918">
      <c r="A918" s="231"/>
      <c r="B918" s="78"/>
      <c r="C918" s="623"/>
      <c r="D918" s="624"/>
      <c r="O918" s="160"/>
      <c r="P918" s="10"/>
    </row>
    <row r="919">
      <c r="A919" s="231"/>
      <c r="B919" s="78"/>
      <c r="C919" s="623"/>
      <c r="D919" s="624"/>
      <c r="O919" s="160"/>
      <c r="P919" s="10"/>
    </row>
    <row r="920">
      <c r="A920" s="231"/>
      <c r="B920" s="78"/>
      <c r="C920" s="623"/>
      <c r="D920" s="624"/>
      <c r="O920" s="160"/>
      <c r="P920" s="10"/>
    </row>
    <row r="921">
      <c r="A921" s="231"/>
      <c r="B921" s="78"/>
      <c r="C921" s="623"/>
      <c r="D921" s="624"/>
      <c r="O921" s="160"/>
      <c r="P921" s="10"/>
    </row>
    <row r="922">
      <c r="A922" s="231"/>
      <c r="B922" s="78"/>
      <c r="C922" s="623"/>
      <c r="D922" s="624"/>
      <c r="O922" s="160"/>
      <c r="P922" s="10"/>
    </row>
    <row r="923">
      <c r="A923" s="231"/>
      <c r="B923" s="78"/>
      <c r="C923" s="623"/>
      <c r="D923" s="624"/>
      <c r="O923" s="160"/>
      <c r="P923" s="10"/>
    </row>
    <row r="924">
      <c r="A924" s="231"/>
      <c r="B924" s="78"/>
      <c r="C924" s="623"/>
      <c r="D924" s="624"/>
      <c r="O924" s="160"/>
      <c r="P924" s="10"/>
    </row>
    <row r="925">
      <c r="A925" s="231"/>
      <c r="B925" s="78"/>
      <c r="C925" s="623"/>
      <c r="D925" s="624"/>
      <c r="O925" s="160"/>
      <c r="P925" s="10"/>
    </row>
    <row r="926">
      <c r="A926" s="231"/>
      <c r="B926" s="78"/>
      <c r="C926" s="623"/>
      <c r="D926" s="624"/>
      <c r="O926" s="160"/>
      <c r="P926" s="10"/>
    </row>
    <row r="927">
      <c r="A927" s="231"/>
      <c r="B927" s="78"/>
      <c r="C927" s="623"/>
      <c r="D927" s="624"/>
      <c r="O927" s="160"/>
      <c r="P927" s="10"/>
    </row>
    <row r="928">
      <c r="A928" s="231"/>
      <c r="B928" s="78"/>
      <c r="C928" s="623"/>
      <c r="D928" s="624"/>
      <c r="O928" s="160"/>
      <c r="P928" s="10"/>
    </row>
    <row r="929">
      <c r="A929" s="231"/>
      <c r="B929" s="78"/>
      <c r="C929" s="623"/>
      <c r="D929" s="624"/>
      <c r="O929" s="160"/>
      <c r="P929" s="10"/>
    </row>
    <row r="930">
      <c r="A930" s="231"/>
      <c r="B930" s="78"/>
      <c r="C930" s="623"/>
      <c r="D930" s="624"/>
      <c r="O930" s="160"/>
      <c r="P930" s="10"/>
    </row>
    <row r="931">
      <c r="A931" s="231"/>
      <c r="B931" s="78"/>
      <c r="C931" s="623"/>
      <c r="D931" s="624"/>
      <c r="O931" s="160"/>
      <c r="P931" s="10"/>
    </row>
    <row r="932">
      <c r="A932" s="231"/>
      <c r="B932" s="78"/>
      <c r="C932" s="623"/>
      <c r="D932" s="624"/>
      <c r="O932" s="160"/>
      <c r="P932" s="10"/>
    </row>
    <row r="933">
      <c r="A933" s="231"/>
      <c r="B933" s="78"/>
      <c r="C933" s="623"/>
      <c r="D933" s="624"/>
      <c r="O933" s="160"/>
      <c r="P933" s="10"/>
    </row>
    <row r="934">
      <c r="A934" s="231"/>
      <c r="B934" s="78"/>
      <c r="C934" s="623"/>
      <c r="D934" s="624"/>
      <c r="O934" s="160"/>
      <c r="P934" s="10"/>
    </row>
    <row r="935">
      <c r="A935" s="231"/>
      <c r="B935" s="78"/>
      <c r="C935" s="623"/>
      <c r="D935" s="624"/>
      <c r="O935" s="160"/>
      <c r="P935" s="10"/>
    </row>
    <row r="936">
      <c r="A936" s="231"/>
      <c r="B936" s="78"/>
      <c r="C936" s="623"/>
      <c r="D936" s="624"/>
      <c r="O936" s="160"/>
      <c r="P936" s="10"/>
    </row>
    <row r="937">
      <c r="A937" s="231"/>
      <c r="B937" s="78"/>
      <c r="C937" s="623"/>
      <c r="D937" s="624"/>
      <c r="O937" s="160"/>
      <c r="P937" s="10"/>
    </row>
    <row r="938">
      <c r="A938" s="231"/>
      <c r="B938" s="78"/>
      <c r="C938" s="623"/>
      <c r="D938" s="624"/>
      <c r="O938" s="160"/>
      <c r="P938" s="10"/>
    </row>
    <row r="939">
      <c r="A939" s="231"/>
      <c r="B939" s="78"/>
      <c r="C939" s="623"/>
      <c r="D939" s="624"/>
      <c r="O939" s="160"/>
      <c r="P939" s="10"/>
    </row>
    <row r="940">
      <c r="A940" s="231"/>
      <c r="B940" s="78"/>
      <c r="C940" s="623"/>
      <c r="D940" s="624"/>
      <c r="O940" s="160"/>
      <c r="P940" s="10"/>
    </row>
    <row r="941">
      <c r="A941" s="231"/>
      <c r="B941" s="78"/>
      <c r="C941" s="623"/>
      <c r="D941" s="624"/>
      <c r="O941" s="160"/>
      <c r="P941" s="10"/>
    </row>
    <row r="942">
      <c r="A942" s="231"/>
      <c r="B942" s="78"/>
      <c r="C942" s="623"/>
      <c r="D942" s="624"/>
      <c r="O942" s="160"/>
      <c r="P942" s="10"/>
    </row>
    <row r="943">
      <c r="A943" s="231"/>
      <c r="B943" s="78"/>
      <c r="C943" s="623"/>
      <c r="D943" s="624"/>
      <c r="O943" s="160"/>
      <c r="P943" s="10"/>
    </row>
    <row r="944">
      <c r="A944" s="231"/>
      <c r="B944" s="78"/>
      <c r="C944" s="623"/>
      <c r="D944" s="624"/>
      <c r="O944" s="160"/>
      <c r="P944" s="10"/>
    </row>
    <row r="945">
      <c r="A945" s="231"/>
      <c r="B945" s="78"/>
      <c r="C945" s="623"/>
      <c r="D945" s="624"/>
      <c r="O945" s="160"/>
      <c r="P945" s="10"/>
    </row>
    <row r="946">
      <c r="A946" s="231"/>
      <c r="B946" s="78"/>
      <c r="C946" s="623"/>
      <c r="D946" s="624"/>
      <c r="O946" s="160"/>
      <c r="P946" s="10"/>
    </row>
    <row r="947">
      <c r="A947" s="231"/>
      <c r="B947" s="78"/>
      <c r="C947" s="623"/>
      <c r="D947" s="624"/>
      <c r="O947" s="160"/>
      <c r="P947" s="10"/>
    </row>
    <row r="948">
      <c r="A948" s="231"/>
      <c r="B948" s="78"/>
      <c r="C948" s="623"/>
      <c r="D948" s="624"/>
      <c r="O948" s="160"/>
      <c r="P948" s="10"/>
    </row>
    <row r="949">
      <c r="A949" s="231"/>
      <c r="B949" s="78"/>
      <c r="C949" s="623"/>
      <c r="D949" s="624"/>
      <c r="O949" s="160"/>
      <c r="P949" s="10"/>
    </row>
    <row r="950">
      <c r="A950" s="231"/>
      <c r="B950" s="78"/>
      <c r="C950" s="623"/>
      <c r="D950" s="624"/>
      <c r="O950" s="160"/>
      <c r="P950" s="10"/>
    </row>
    <row r="951">
      <c r="A951" s="231"/>
      <c r="B951" s="78"/>
      <c r="C951" s="623"/>
      <c r="D951" s="624"/>
      <c r="O951" s="160"/>
      <c r="P951" s="10"/>
    </row>
    <row r="952">
      <c r="A952" s="231"/>
      <c r="B952" s="78"/>
      <c r="C952" s="623"/>
      <c r="D952" s="624"/>
      <c r="O952" s="160"/>
      <c r="P952" s="10"/>
    </row>
    <row r="953">
      <c r="A953" s="231"/>
      <c r="B953" s="78"/>
      <c r="C953" s="623"/>
      <c r="D953" s="624"/>
      <c r="O953" s="160"/>
      <c r="P953" s="10"/>
    </row>
    <row r="954">
      <c r="A954" s="231"/>
      <c r="B954" s="78"/>
      <c r="C954" s="623"/>
      <c r="D954" s="624"/>
      <c r="O954" s="160"/>
      <c r="P954" s="10"/>
    </row>
    <row r="955">
      <c r="A955" s="231"/>
      <c r="B955" s="78"/>
      <c r="C955" s="623"/>
      <c r="D955" s="624"/>
      <c r="O955" s="160"/>
      <c r="P955" s="10"/>
    </row>
    <row r="956">
      <c r="A956" s="231"/>
      <c r="B956" s="78"/>
      <c r="C956" s="623"/>
      <c r="D956" s="624"/>
      <c r="O956" s="160"/>
      <c r="P956" s="10"/>
    </row>
    <row r="957">
      <c r="A957" s="231"/>
      <c r="B957" s="78"/>
      <c r="C957" s="623"/>
      <c r="D957" s="624"/>
      <c r="O957" s="160"/>
      <c r="P957" s="10"/>
    </row>
    <row r="958">
      <c r="A958" s="231"/>
      <c r="B958" s="78"/>
      <c r="C958" s="623"/>
      <c r="D958" s="624"/>
      <c r="O958" s="160"/>
      <c r="P958" s="10"/>
    </row>
    <row r="959">
      <c r="A959" s="231"/>
      <c r="B959" s="78"/>
      <c r="C959" s="623"/>
      <c r="D959" s="624"/>
      <c r="O959" s="160"/>
      <c r="P959" s="10"/>
    </row>
    <row r="960">
      <c r="A960" s="231"/>
      <c r="B960" s="78"/>
      <c r="C960" s="623"/>
      <c r="D960" s="624"/>
      <c r="O960" s="160"/>
      <c r="P960" s="10"/>
    </row>
    <row r="961">
      <c r="A961" s="231"/>
      <c r="B961" s="78"/>
      <c r="C961" s="623"/>
      <c r="D961" s="624"/>
      <c r="O961" s="160"/>
      <c r="P961" s="10"/>
    </row>
    <row r="962">
      <c r="A962" s="231"/>
      <c r="B962" s="78"/>
      <c r="C962" s="623"/>
      <c r="D962" s="624"/>
      <c r="O962" s="160"/>
      <c r="P962" s="10"/>
    </row>
    <row r="963">
      <c r="A963" s="231"/>
      <c r="B963" s="78"/>
      <c r="C963" s="623"/>
      <c r="D963" s="624"/>
      <c r="O963" s="160"/>
      <c r="P963" s="10"/>
    </row>
    <row r="964">
      <c r="A964" s="231"/>
      <c r="B964" s="78"/>
      <c r="C964" s="623"/>
      <c r="D964" s="624"/>
      <c r="O964" s="160"/>
      <c r="P964" s="10"/>
    </row>
    <row r="965">
      <c r="A965" s="231"/>
      <c r="B965" s="78"/>
      <c r="C965" s="623"/>
      <c r="D965" s="624"/>
      <c r="O965" s="160"/>
      <c r="P965" s="10"/>
    </row>
    <row r="966">
      <c r="A966" s="231"/>
      <c r="B966" s="78"/>
      <c r="C966" s="623"/>
      <c r="D966" s="624"/>
      <c r="O966" s="160"/>
      <c r="P966" s="10"/>
    </row>
    <row r="967">
      <c r="A967" s="231"/>
      <c r="B967" s="78"/>
      <c r="C967" s="623"/>
      <c r="D967" s="624"/>
      <c r="O967" s="160"/>
      <c r="P967" s="10"/>
    </row>
    <row r="968">
      <c r="A968" s="231"/>
      <c r="B968" s="78"/>
      <c r="C968" s="623"/>
      <c r="D968" s="624"/>
      <c r="O968" s="160"/>
      <c r="P968" s="10"/>
    </row>
    <row r="969">
      <c r="A969" s="231"/>
      <c r="B969" s="78"/>
      <c r="C969" s="623"/>
      <c r="D969" s="624"/>
      <c r="O969" s="160"/>
      <c r="P969" s="10"/>
    </row>
    <row r="970">
      <c r="A970" s="231"/>
      <c r="B970" s="78"/>
      <c r="C970" s="623"/>
      <c r="D970" s="624"/>
      <c r="O970" s="160"/>
      <c r="P970" s="10"/>
    </row>
    <row r="971">
      <c r="A971" s="231"/>
      <c r="B971" s="78"/>
      <c r="C971" s="623"/>
      <c r="D971" s="624"/>
      <c r="O971" s="160"/>
      <c r="P971" s="10"/>
    </row>
    <row r="972">
      <c r="A972" s="231"/>
      <c r="B972" s="78"/>
      <c r="C972" s="623"/>
      <c r="D972" s="624"/>
      <c r="O972" s="160"/>
      <c r="P972" s="10"/>
    </row>
    <row r="973">
      <c r="A973" s="231"/>
      <c r="B973" s="78"/>
      <c r="C973" s="623"/>
      <c r="D973" s="624"/>
      <c r="O973" s="160"/>
      <c r="P973" s="10"/>
    </row>
    <row r="974">
      <c r="A974" s="231"/>
      <c r="B974" s="78"/>
      <c r="C974" s="623"/>
      <c r="D974" s="624"/>
      <c r="O974" s="160"/>
      <c r="P974" s="10"/>
    </row>
    <row r="975">
      <c r="A975" s="231"/>
      <c r="B975" s="78"/>
      <c r="C975" s="623"/>
      <c r="D975" s="624"/>
      <c r="O975" s="160"/>
      <c r="P975" s="10"/>
    </row>
    <row r="976">
      <c r="A976" s="231"/>
      <c r="B976" s="78"/>
      <c r="C976" s="623"/>
      <c r="D976" s="624"/>
      <c r="O976" s="160"/>
      <c r="P976" s="10"/>
    </row>
    <row r="977">
      <c r="A977" s="231"/>
      <c r="B977" s="78"/>
      <c r="C977" s="623"/>
      <c r="D977" s="624"/>
      <c r="O977" s="160"/>
      <c r="P977" s="10"/>
    </row>
    <row r="978">
      <c r="A978" s="231"/>
      <c r="B978" s="78"/>
      <c r="C978" s="623"/>
      <c r="D978" s="624"/>
      <c r="O978" s="160"/>
      <c r="P978" s="10"/>
    </row>
    <row r="979">
      <c r="A979" s="231"/>
      <c r="B979" s="78"/>
      <c r="C979" s="623"/>
      <c r="D979" s="624"/>
      <c r="O979" s="160"/>
      <c r="P979" s="10"/>
    </row>
    <row r="980">
      <c r="A980" s="231"/>
      <c r="B980" s="78"/>
      <c r="C980" s="623"/>
      <c r="D980" s="624"/>
      <c r="O980" s="160"/>
      <c r="P980" s="10"/>
    </row>
    <row r="981">
      <c r="A981" s="231"/>
      <c r="B981" s="78"/>
      <c r="C981" s="623"/>
      <c r="D981" s="624"/>
      <c r="O981" s="160"/>
      <c r="P981" s="10"/>
    </row>
    <row r="982">
      <c r="A982" s="231"/>
      <c r="B982" s="78"/>
      <c r="C982" s="623"/>
      <c r="D982" s="624"/>
      <c r="O982" s="160"/>
      <c r="P982" s="10"/>
    </row>
    <row r="983">
      <c r="A983" s="231"/>
      <c r="B983" s="78"/>
      <c r="C983" s="623"/>
      <c r="D983" s="624"/>
      <c r="O983" s="160"/>
      <c r="P983" s="10"/>
    </row>
    <row r="984">
      <c r="A984" s="231"/>
      <c r="B984" s="78"/>
      <c r="C984" s="623"/>
      <c r="D984" s="624"/>
      <c r="O984" s="160"/>
      <c r="P984" s="10"/>
    </row>
    <row r="985">
      <c r="A985" s="231"/>
      <c r="B985" s="78"/>
      <c r="C985" s="623"/>
      <c r="D985" s="624"/>
      <c r="O985" s="160"/>
      <c r="P985" s="10"/>
    </row>
    <row r="986">
      <c r="A986" s="231"/>
      <c r="B986" s="78"/>
      <c r="C986" s="623"/>
      <c r="D986" s="624"/>
      <c r="O986" s="160"/>
      <c r="P986" s="10"/>
    </row>
    <row r="987">
      <c r="A987" s="231"/>
      <c r="B987" s="78"/>
      <c r="C987" s="623"/>
      <c r="D987" s="624"/>
      <c r="O987" s="160"/>
      <c r="P987" s="10"/>
    </row>
    <row r="988">
      <c r="A988" s="231"/>
      <c r="B988" s="78"/>
      <c r="C988" s="623"/>
      <c r="D988" s="624"/>
      <c r="O988" s="160"/>
      <c r="P988" s="10"/>
    </row>
    <row r="989">
      <c r="A989" s="231"/>
      <c r="B989" s="78"/>
      <c r="C989" s="623"/>
      <c r="D989" s="624"/>
      <c r="O989" s="160"/>
      <c r="P989" s="10"/>
    </row>
    <row r="990">
      <c r="A990" s="231"/>
      <c r="B990" s="78"/>
      <c r="C990" s="623"/>
      <c r="D990" s="624"/>
      <c r="O990" s="160"/>
      <c r="P990" s="10"/>
    </row>
    <row r="991">
      <c r="A991" s="231"/>
      <c r="B991" s="78"/>
      <c r="C991" s="623"/>
      <c r="D991" s="624"/>
      <c r="O991" s="160"/>
      <c r="P991" s="10"/>
    </row>
    <row r="992">
      <c r="A992" s="231"/>
      <c r="B992" s="78"/>
      <c r="C992" s="623"/>
      <c r="D992" s="624"/>
      <c r="O992" s="160"/>
      <c r="P992" s="10"/>
    </row>
    <row r="993">
      <c r="A993" s="231"/>
      <c r="B993" s="78"/>
      <c r="C993" s="623"/>
      <c r="D993" s="624"/>
      <c r="O993" s="160"/>
      <c r="P993" s="10"/>
    </row>
    <row r="994">
      <c r="A994" s="231"/>
      <c r="B994" s="78"/>
      <c r="C994" s="623"/>
      <c r="D994" s="624"/>
      <c r="O994" s="160"/>
      <c r="P994" s="10"/>
    </row>
    <row r="995">
      <c r="A995" s="231"/>
      <c r="B995" s="78"/>
      <c r="C995" s="623"/>
      <c r="D995" s="624"/>
      <c r="O995" s="160"/>
      <c r="P995" s="10"/>
    </row>
    <row r="996">
      <c r="A996" s="231"/>
      <c r="B996" s="78"/>
      <c r="C996" s="623"/>
      <c r="D996" s="624"/>
      <c r="O996" s="160"/>
      <c r="P996" s="10"/>
    </row>
    <row r="997">
      <c r="A997" s="231"/>
      <c r="B997" s="78"/>
      <c r="C997" s="623"/>
      <c r="D997" s="624"/>
      <c r="O997" s="160"/>
      <c r="P997" s="10"/>
    </row>
    <row r="998">
      <c r="A998" s="231"/>
      <c r="B998" s="78"/>
      <c r="C998" s="623"/>
      <c r="D998" s="624"/>
      <c r="O998" s="160"/>
      <c r="P998" s="10"/>
    </row>
    <row r="999">
      <c r="A999" s="231"/>
      <c r="B999" s="78"/>
      <c r="C999" s="623"/>
      <c r="D999" s="624"/>
      <c r="O999" s="160"/>
      <c r="P999" s="10"/>
    </row>
    <row r="1000">
      <c r="A1000" s="231"/>
      <c r="B1000" s="78"/>
      <c r="C1000" s="623"/>
      <c r="D1000" s="624"/>
      <c r="O1000" s="160"/>
      <c r="P1000" s="10"/>
    </row>
    <row r="1001">
      <c r="A1001" s="231"/>
      <c r="B1001" s="78"/>
      <c r="C1001" s="623"/>
      <c r="D1001" s="624"/>
      <c r="O1001" s="160"/>
      <c r="P1001" s="10"/>
    </row>
    <row r="1002">
      <c r="A1002" s="231"/>
      <c r="B1002" s="78"/>
      <c r="C1002" s="623"/>
      <c r="D1002" s="624"/>
      <c r="O1002" s="160"/>
      <c r="P1002" s="10"/>
    </row>
    <row r="1003">
      <c r="A1003" s="231"/>
      <c r="B1003" s="78"/>
      <c r="C1003" s="623"/>
      <c r="D1003" s="624"/>
      <c r="O1003" s="160"/>
      <c r="P1003" s="10"/>
    </row>
    <row r="1004">
      <c r="A1004" s="231"/>
      <c r="B1004" s="78"/>
      <c r="C1004" s="623"/>
      <c r="D1004" s="624"/>
      <c r="O1004" s="160"/>
      <c r="P1004" s="10"/>
    </row>
    <row r="1005">
      <c r="A1005" s="231"/>
      <c r="B1005" s="78"/>
      <c r="C1005" s="623"/>
      <c r="D1005" s="624"/>
      <c r="O1005" s="160"/>
      <c r="P1005" s="10"/>
    </row>
    <row r="1006">
      <c r="A1006" s="231"/>
      <c r="B1006" s="78"/>
      <c r="C1006" s="623"/>
      <c r="D1006" s="624"/>
      <c r="O1006" s="160"/>
      <c r="P1006" s="10"/>
    </row>
    <row r="1007">
      <c r="A1007" s="231"/>
      <c r="B1007" s="78"/>
      <c r="C1007" s="623"/>
      <c r="D1007" s="624"/>
      <c r="O1007" s="160"/>
      <c r="P1007" s="10"/>
    </row>
    <row r="1008">
      <c r="A1008" s="231"/>
      <c r="B1008" s="78"/>
      <c r="C1008" s="623"/>
      <c r="D1008" s="624"/>
      <c r="O1008" s="160"/>
      <c r="P1008" s="10"/>
    </row>
    <row r="1009">
      <c r="A1009" s="231"/>
      <c r="B1009" s="78"/>
      <c r="C1009" s="623"/>
      <c r="D1009" s="624"/>
      <c r="O1009" s="160"/>
      <c r="P1009" s="10"/>
    </row>
    <row r="1010">
      <c r="A1010" s="231"/>
      <c r="B1010" s="78"/>
      <c r="C1010" s="623"/>
      <c r="D1010" s="624"/>
      <c r="O1010" s="160"/>
      <c r="P1010" s="10"/>
    </row>
    <row r="1011">
      <c r="A1011" s="231"/>
      <c r="B1011" s="78"/>
      <c r="C1011" s="623"/>
      <c r="D1011" s="624"/>
      <c r="O1011" s="160"/>
      <c r="P1011" s="10"/>
    </row>
    <row r="1012">
      <c r="A1012" s="231"/>
      <c r="B1012" s="78"/>
      <c r="C1012" s="623"/>
      <c r="D1012" s="624"/>
      <c r="O1012" s="160"/>
      <c r="P1012" s="10"/>
    </row>
    <row r="1013">
      <c r="A1013" s="231"/>
      <c r="B1013" s="78"/>
      <c r="C1013" s="623"/>
      <c r="D1013" s="624"/>
      <c r="O1013" s="160"/>
      <c r="P1013" s="10"/>
    </row>
    <row r="1014">
      <c r="A1014" s="231"/>
      <c r="B1014" s="78"/>
      <c r="C1014" s="623"/>
      <c r="D1014" s="624"/>
      <c r="O1014" s="160"/>
      <c r="P1014" s="10"/>
    </row>
    <row r="1015">
      <c r="A1015" s="231"/>
      <c r="B1015" s="78"/>
      <c r="C1015" s="623"/>
      <c r="D1015" s="624"/>
      <c r="O1015" s="160"/>
      <c r="P1015" s="10"/>
    </row>
    <row r="1016">
      <c r="A1016" s="231"/>
      <c r="B1016" s="78"/>
      <c r="C1016" s="623"/>
      <c r="D1016" s="624"/>
      <c r="O1016" s="160"/>
      <c r="P1016" s="10"/>
    </row>
    <row r="1017">
      <c r="A1017" s="231"/>
      <c r="B1017" s="78"/>
      <c r="C1017" s="623"/>
      <c r="D1017" s="624"/>
      <c r="O1017" s="160"/>
      <c r="P1017" s="10"/>
    </row>
    <row r="1018">
      <c r="A1018" s="231"/>
      <c r="B1018" s="78"/>
      <c r="C1018" s="623"/>
      <c r="D1018" s="624"/>
      <c r="O1018" s="160"/>
      <c r="P1018" s="10"/>
    </row>
    <row r="1019">
      <c r="A1019" s="231"/>
      <c r="B1019" s="78"/>
      <c r="C1019" s="623"/>
      <c r="D1019" s="624"/>
      <c r="O1019" s="160"/>
      <c r="P1019" s="10"/>
    </row>
    <row r="1020">
      <c r="A1020" s="231"/>
      <c r="B1020" s="78"/>
      <c r="C1020" s="623"/>
      <c r="D1020" s="624"/>
      <c r="O1020" s="160"/>
      <c r="P1020" s="10"/>
    </row>
    <row r="1021">
      <c r="A1021" s="231"/>
      <c r="B1021" s="78"/>
      <c r="C1021" s="623"/>
      <c r="D1021" s="624"/>
      <c r="O1021" s="160"/>
      <c r="P1021" s="10"/>
    </row>
    <row r="1022">
      <c r="A1022" s="231"/>
      <c r="B1022" s="78"/>
      <c r="C1022" s="623"/>
      <c r="D1022" s="624"/>
      <c r="O1022" s="160"/>
      <c r="P1022" s="10"/>
    </row>
    <row r="1023">
      <c r="A1023" s="231"/>
      <c r="B1023" s="78"/>
      <c r="C1023" s="623"/>
      <c r="D1023" s="624"/>
      <c r="O1023" s="160"/>
      <c r="P1023" s="10"/>
    </row>
    <row r="1024">
      <c r="A1024" s="231"/>
      <c r="B1024" s="78"/>
      <c r="C1024" s="623"/>
      <c r="D1024" s="624"/>
      <c r="O1024" s="160"/>
      <c r="P1024" s="10"/>
    </row>
    <row r="1025">
      <c r="A1025" s="231"/>
      <c r="B1025" s="78"/>
      <c r="C1025" s="623"/>
      <c r="D1025" s="624"/>
      <c r="O1025" s="160"/>
      <c r="P1025" s="10"/>
    </row>
    <row r="1026">
      <c r="A1026" s="231"/>
      <c r="B1026" s="78"/>
      <c r="C1026" s="623"/>
      <c r="D1026" s="624"/>
      <c r="O1026" s="160"/>
      <c r="P1026" s="10"/>
    </row>
    <row r="1027">
      <c r="A1027" s="231"/>
      <c r="B1027" s="78"/>
      <c r="C1027" s="623"/>
      <c r="D1027" s="624"/>
      <c r="O1027" s="160"/>
      <c r="P1027" s="10"/>
    </row>
    <row r="1028">
      <c r="A1028" s="231"/>
      <c r="B1028" s="78"/>
      <c r="C1028" s="623"/>
      <c r="D1028" s="624"/>
      <c r="O1028" s="160"/>
      <c r="P1028" s="10"/>
    </row>
    <row r="1029">
      <c r="A1029" s="231"/>
      <c r="B1029" s="78"/>
      <c r="C1029" s="623"/>
      <c r="D1029" s="624"/>
      <c r="O1029" s="160"/>
      <c r="P1029" s="10"/>
    </row>
    <row r="1030">
      <c r="A1030" s="231"/>
      <c r="B1030" s="78"/>
      <c r="C1030" s="623"/>
      <c r="D1030" s="624"/>
      <c r="O1030" s="160"/>
      <c r="P1030" s="10"/>
    </row>
    <row r="1031">
      <c r="A1031" s="231"/>
      <c r="B1031" s="78"/>
      <c r="C1031" s="623"/>
      <c r="D1031" s="624"/>
      <c r="O1031" s="160"/>
      <c r="P1031" s="10"/>
    </row>
    <row r="1032">
      <c r="A1032" s="231"/>
      <c r="B1032" s="78"/>
      <c r="C1032" s="623"/>
      <c r="D1032" s="624"/>
      <c r="O1032" s="160"/>
      <c r="P1032" s="10"/>
    </row>
    <row r="1033">
      <c r="A1033" s="231"/>
      <c r="B1033" s="78"/>
      <c r="C1033" s="623"/>
      <c r="D1033" s="624"/>
      <c r="O1033" s="160"/>
      <c r="P1033" s="10"/>
    </row>
    <row r="1034">
      <c r="A1034" s="231"/>
      <c r="B1034" s="78"/>
      <c r="C1034" s="623"/>
      <c r="D1034" s="624"/>
      <c r="O1034" s="160"/>
      <c r="P1034" s="10"/>
    </row>
    <row r="1035">
      <c r="A1035" s="231"/>
      <c r="B1035" s="78"/>
      <c r="C1035" s="623"/>
      <c r="D1035" s="624"/>
      <c r="O1035" s="160"/>
      <c r="P1035" s="10"/>
    </row>
    <row r="1036">
      <c r="A1036" s="231"/>
      <c r="B1036" s="78"/>
      <c r="C1036" s="623"/>
      <c r="D1036" s="624"/>
      <c r="O1036" s="160"/>
      <c r="P1036" s="10"/>
    </row>
    <row r="1037">
      <c r="A1037" s="231"/>
      <c r="B1037" s="78"/>
      <c r="C1037" s="623"/>
      <c r="D1037" s="624"/>
      <c r="O1037" s="160"/>
      <c r="P1037" s="10"/>
    </row>
    <row r="1038">
      <c r="A1038" s="231"/>
      <c r="B1038" s="78"/>
      <c r="C1038" s="623"/>
      <c r="D1038" s="624"/>
      <c r="O1038" s="160"/>
      <c r="P1038" s="10"/>
    </row>
    <row r="1039">
      <c r="A1039" s="231"/>
      <c r="B1039" s="78"/>
      <c r="C1039" s="623"/>
      <c r="D1039" s="624"/>
      <c r="O1039" s="160"/>
      <c r="P1039" s="10"/>
    </row>
    <row r="1040">
      <c r="A1040" s="231"/>
      <c r="B1040" s="78"/>
      <c r="C1040" s="623"/>
      <c r="D1040" s="624"/>
      <c r="O1040" s="160"/>
      <c r="P1040" s="10"/>
    </row>
    <row r="1041">
      <c r="A1041" s="231"/>
      <c r="B1041" s="78"/>
      <c r="C1041" s="623"/>
      <c r="D1041" s="624"/>
      <c r="O1041" s="160"/>
      <c r="P1041" s="10"/>
    </row>
    <row r="1042">
      <c r="A1042" s="231"/>
      <c r="B1042" s="78"/>
      <c r="C1042" s="623"/>
      <c r="D1042" s="624"/>
      <c r="O1042" s="160"/>
      <c r="P1042" s="10"/>
    </row>
    <row r="1043">
      <c r="A1043" s="231"/>
      <c r="B1043" s="78"/>
      <c r="C1043" s="623"/>
      <c r="D1043" s="624"/>
      <c r="O1043" s="160"/>
      <c r="P1043" s="10"/>
    </row>
    <row r="1044">
      <c r="A1044" s="231"/>
      <c r="B1044" s="78"/>
      <c r="C1044" s="623"/>
      <c r="D1044" s="624"/>
      <c r="O1044" s="160"/>
      <c r="P1044" s="10"/>
    </row>
    <row r="1045">
      <c r="A1045" s="231"/>
      <c r="B1045" s="78"/>
      <c r="C1045" s="623"/>
      <c r="D1045" s="624"/>
      <c r="O1045" s="160"/>
      <c r="P1045" s="10"/>
    </row>
    <row r="1046">
      <c r="A1046" s="231"/>
      <c r="B1046" s="78"/>
      <c r="C1046" s="623"/>
      <c r="D1046" s="624"/>
      <c r="O1046" s="160"/>
      <c r="P1046" s="10"/>
    </row>
    <row r="1047">
      <c r="A1047" s="231"/>
      <c r="B1047" s="78"/>
      <c r="C1047" s="623"/>
      <c r="D1047" s="624"/>
      <c r="O1047" s="160"/>
      <c r="P1047" s="10"/>
    </row>
    <row r="1048">
      <c r="A1048" s="231"/>
      <c r="B1048" s="78"/>
      <c r="C1048" s="623"/>
      <c r="D1048" s="624"/>
      <c r="O1048" s="160"/>
      <c r="P1048" s="10"/>
    </row>
    <row r="1049">
      <c r="A1049" s="231"/>
      <c r="B1049" s="78"/>
      <c r="C1049" s="623"/>
      <c r="D1049" s="624"/>
      <c r="O1049" s="160"/>
      <c r="P1049" s="10"/>
    </row>
    <row r="1050">
      <c r="A1050" s="231"/>
      <c r="B1050" s="78"/>
      <c r="C1050" s="623"/>
      <c r="D1050" s="624"/>
      <c r="O1050" s="160"/>
      <c r="P1050" s="10"/>
    </row>
    <row r="1051">
      <c r="A1051" s="231"/>
      <c r="B1051" s="78"/>
      <c r="C1051" s="623"/>
      <c r="D1051" s="624"/>
      <c r="O1051" s="160"/>
      <c r="P1051" s="10"/>
    </row>
    <row r="1052">
      <c r="A1052" s="231"/>
      <c r="B1052" s="78"/>
      <c r="C1052" s="623"/>
      <c r="D1052" s="624"/>
      <c r="O1052" s="160"/>
      <c r="P1052" s="10"/>
    </row>
    <row r="1053">
      <c r="A1053" s="231"/>
      <c r="B1053" s="78"/>
      <c r="C1053" s="623"/>
      <c r="D1053" s="624"/>
      <c r="O1053" s="160"/>
      <c r="P1053" s="10"/>
    </row>
    <row r="1054">
      <c r="A1054" s="231"/>
      <c r="B1054" s="78"/>
      <c r="C1054" s="623"/>
      <c r="D1054" s="624"/>
      <c r="O1054" s="160"/>
      <c r="P1054" s="10"/>
    </row>
    <row r="1055">
      <c r="A1055" s="231"/>
      <c r="B1055" s="78"/>
      <c r="C1055" s="623"/>
      <c r="D1055" s="624"/>
      <c r="O1055" s="160"/>
      <c r="P1055" s="10"/>
    </row>
    <row r="1056">
      <c r="A1056" s="231"/>
      <c r="B1056" s="78"/>
      <c r="C1056" s="623"/>
      <c r="D1056" s="624"/>
      <c r="O1056" s="160"/>
      <c r="P1056" s="10"/>
    </row>
    <row r="1057">
      <c r="A1057" s="231"/>
      <c r="B1057" s="78"/>
      <c r="C1057" s="623"/>
      <c r="D1057" s="624"/>
      <c r="O1057" s="160"/>
      <c r="P1057" s="10"/>
    </row>
    <row r="1058">
      <c r="A1058" s="231"/>
      <c r="B1058" s="78"/>
      <c r="C1058" s="623"/>
      <c r="D1058" s="624"/>
      <c r="O1058" s="160"/>
      <c r="P1058" s="10"/>
    </row>
    <row r="1059">
      <c r="A1059" s="231"/>
      <c r="B1059" s="78"/>
      <c r="C1059" s="623"/>
      <c r="D1059" s="624"/>
      <c r="O1059" s="160"/>
      <c r="P1059" s="10"/>
    </row>
    <row r="1060">
      <c r="A1060" s="231"/>
      <c r="B1060" s="78"/>
      <c r="C1060" s="623"/>
      <c r="D1060" s="624"/>
      <c r="O1060" s="160"/>
      <c r="P1060" s="10"/>
    </row>
    <row r="1061">
      <c r="A1061" s="231"/>
      <c r="B1061" s="78"/>
      <c r="C1061" s="623"/>
      <c r="D1061" s="624"/>
      <c r="O1061" s="160"/>
      <c r="P1061" s="10"/>
    </row>
    <row r="1062">
      <c r="A1062" s="231"/>
      <c r="B1062" s="78"/>
      <c r="C1062" s="623"/>
      <c r="D1062" s="624"/>
      <c r="O1062" s="160"/>
      <c r="P1062" s="10"/>
    </row>
    <row r="1063">
      <c r="A1063" s="231"/>
      <c r="B1063" s="78"/>
      <c r="C1063" s="623"/>
      <c r="D1063" s="624"/>
      <c r="O1063" s="160"/>
      <c r="P1063" s="10"/>
    </row>
    <row r="1064">
      <c r="A1064" s="231"/>
      <c r="B1064" s="78"/>
      <c r="C1064" s="623"/>
      <c r="D1064" s="624"/>
      <c r="O1064" s="160"/>
      <c r="P1064" s="10"/>
    </row>
    <row r="1065">
      <c r="A1065" s="231"/>
      <c r="B1065" s="78"/>
      <c r="C1065" s="623"/>
      <c r="D1065" s="624"/>
      <c r="O1065" s="160"/>
      <c r="P1065" s="10"/>
    </row>
    <row r="1066">
      <c r="A1066" s="231"/>
      <c r="B1066" s="78"/>
      <c r="C1066" s="623"/>
      <c r="D1066" s="624"/>
      <c r="O1066" s="160"/>
      <c r="P1066" s="10"/>
    </row>
    <row r="1067">
      <c r="A1067" s="231"/>
      <c r="B1067" s="78"/>
      <c r="C1067" s="623"/>
      <c r="D1067" s="624"/>
      <c r="O1067" s="160"/>
      <c r="P1067" s="10"/>
    </row>
    <row r="1068">
      <c r="A1068" s="231"/>
      <c r="B1068" s="78"/>
      <c r="C1068" s="623"/>
      <c r="D1068" s="624"/>
      <c r="O1068" s="160"/>
      <c r="P1068" s="10"/>
    </row>
    <row r="1069">
      <c r="A1069" s="231"/>
      <c r="B1069" s="78"/>
      <c r="C1069" s="623"/>
      <c r="D1069" s="624"/>
      <c r="O1069" s="160"/>
      <c r="P1069" s="10"/>
    </row>
    <row r="1070">
      <c r="A1070" s="231"/>
      <c r="B1070" s="78"/>
      <c r="C1070" s="623"/>
      <c r="D1070" s="624"/>
      <c r="O1070" s="160"/>
      <c r="P1070" s="10"/>
    </row>
    <row r="1071">
      <c r="A1071" s="231"/>
      <c r="B1071" s="78"/>
      <c r="C1071" s="623"/>
      <c r="D1071" s="624"/>
      <c r="O1071" s="160"/>
      <c r="P1071" s="10"/>
    </row>
    <row r="1072">
      <c r="A1072" s="231"/>
      <c r="B1072" s="78"/>
      <c r="C1072" s="623"/>
      <c r="D1072" s="624"/>
      <c r="O1072" s="160"/>
      <c r="P1072" s="10"/>
    </row>
    <row r="1073">
      <c r="A1073" s="231"/>
      <c r="B1073" s="78"/>
      <c r="C1073" s="623"/>
      <c r="D1073" s="624"/>
      <c r="O1073" s="160"/>
      <c r="P1073" s="10"/>
    </row>
    <row r="1074">
      <c r="A1074" s="231"/>
      <c r="B1074" s="78"/>
      <c r="C1074" s="623"/>
      <c r="D1074" s="624"/>
      <c r="O1074" s="160"/>
      <c r="P1074" s="10"/>
    </row>
    <row r="1075">
      <c r="A1075" s="231"/>
      <c r="B1075" s="78"/>
      <c r="C1075" s="623"/>
      <c r="D1075" s="624"/>
      <c r="O1075" s="160"/>
      <c r="P1075" s="10"/>
    </row>
    <row r="1076">
      <c r="A1076" s="231"/>
      <c r="B1076" s="78"/>
      <c r="C1076" s="623"/>
      <c r="D1076" s="624"/>
      <c r="O1076" s="160"/>
      <c r="P1076" s="10"/>
    </row>
    <row r="1077">
      <c r="A1077" s="231"/>
      <c r="B1077" s="78"/>
      <c r="C1077" s="623"/>
      <c r="D1077" s="624"/>
      <c r="O1077" s="160"/>
      <c r="P1077" s="10"/>
    </row>
    <row r="1078">
      <c r="A1078" s="231"/>
      <c r="B1078" s="78"/>
      <c r="C1078" s="623"/>
      <c r="D1078" s="624"/>
      <c r="O1078" s="160"/>
      <c r="P1078" s="10"/>
    </row>
    <row r="1079">
      <c r="A1079" s="231"/>
      <c r="B1079" s="78"/>
      <c r="C1079" s="623"/>
      <c r="D1079" s="624"/>
      <c r="O1079" s="160"/>
      <c r="P1079" s="10"/>
    </row>
    <row r="1080">
      <c r="A1080" s="231"/>
      <c r="B1080" s="78"/>
      <c r="C1080" s="623"/>
      <c r="D1080" s="624"/>
      <c r="O1080" s="160"/>
      <c r="P1080" s="10"/>
    </row>
    <row r="1081">
      <c r="A1081" s="231"/>
      <c r="B1081" s="78"/>
      <c r="C1081" s="623"/>
      <c r="D1081" s="624"/>
      <c r="O1081" s="160"/>
      <c r="P1081" s="10"/>
    </row>
    <row r="1082">
      <c r="A1082" s="231"/>
      <c r="B1082" s="78"/>
      <c r="C1082" s="623"/>
      <c r="D1082" s="624"/>
      <c r="O1082" s="160"/>
      <c r="P1082" s="10"/>
    </row>
    <row r="1083">
      <c r="A1083" s="231"/>
      <c r="B1083" s="78"/>
      <c r="C1083" s="623"/>
      <c r="D1083" s="624"/>
      <c r="O1083" s="160"/>
      <c r="P1083" s="10"/>
    </row>
    <row r="1084">
      <c r="A1084" s="231"/>
      <c r="B1084" s="78"/>
      <c r="C1084" s="623"/>
      <c r="D1084" s="624"/>
      <c r="O1084" s="160"/>
      <c r="P1084" s="10"/>
    </row>
    <row r="1085">
      <c r="A1085" s="231"/>
      <c r="B1085" s="78"/>
      <c r="C1085" s="623"/>
      <c r="D1085" s="624"/>
      <c r="O1085" s="160"/>
      <c r="P1085" s="10"/>
    </row>
    <row r="1086">
      <c r="A1086" s="231"/>
      <c r="B1086" s="78"/>
      <c r="C1086" s="623"/>
      <c r="D1086" s="624"/>
      <c r="O1086" s="160"/>
      <c r="P1086" s="10"/>
    </row>
    <row r="1087">
      <c r="A1087" s="231"/>
      <c r="B1087" s="78"/>
      <c r="C1087" s="623"/>
      <c r="D1087" s="624"/>
      <c r="O1087" s="160"/>
      <c r="P1087" s="10"/>
    </row>
    <row r="1088">
      <c r="A1088" s="231"/>
      <c r="B1088" s="78"/>
      <c r="C1088" s="623"/>
      <c r="D1088" s="624"/>
      <c r="O1088" s="160"/>
      <c r="P1088" s="10"/>
    </row>
    <row r="1089">
      <c r="A1089" s="231"/>
      <c r="B1089" s="78"/>
      <c r="C1089" s="623"/>
      <c r="D1089" s="624"/>
      <c r="O1089" s="160"/>
      <c r="P1089" s="10"/>
    </row>
    <row r="1090">
      <c r="A1090" s="231"/>
      <c r="B1090" s="78"/>
      <c r="C1090" s="623"/>
      <c r="D1090" s="624"/>
      <c r="O1090" s="160"/>
      <c r="P1090" s="10"/>
    </row>
    <row r="1091">
      <c r="A1091" s="231"/>
      <c r="B1091" s="78"/>
      <c r="C1091" s="623"/>
      <c r="D1091" s="624"/>
      <c r="O1091" s="160"/>
      <c r="P1091" s="10"/>
    </row>
    <row r="1092">
      <c r="A1092" s="231"/>
      <c r="B1092" s="78"/>
      <c r="C1092" s="623"/>
      <c r="D1092" s="624"/>
      <c r="O1092" s="160"/>
      <c r="P1092" s="10"/>
    </row>
    <row r="1093">
      <c r="A1093" s="231"/>
      <c r="B1093" s="78"/>
      <c r="C1093" s="623"/>
      <c r="D1093" s="624"/>
      <c r="O1093" s="160"/>
      <c r="P1093" s="10"/>
    </row>
    <row r="1094">
      <c r="A1094" s="231"/>
      <c r="B1094" s="78"/>
      <c r="C1094" s="623"/>
      <c r="D1094" s="624"/>
      <c r="O1094" s="160"/>
      <c r="P1094" s="10"/>
    </row>
    <row r="1095">
      <c r="A1095" s="231"/>
      <c r="B1095" s="78"/>
      <c r="C1095" s="623"/>
      <c r="D1095" s="624"/>
      <c r="O1095" s="160"/>
      <c r="P1095" s="10"/>
    </row>
    <row r="1096">
      <c r="A1096" s="231"/>
      <c r="B1096" s="78"/>
      <c r="C1096" s="623"/>
      <c r="D1096" s="624"/>
      <c r="O1096" s="160"/>
      <c r="P1096" s="10"/>
    </row>
    <row r="1097">
      <c r="A1097" s="231"/>
      <c r="B1097" s="78"/>
      <c r="C1097" s="623"/>
      <c r="D1097" s="624"/>
      <c r="O1097" s="160"/>
      <c r="P1097" s="10"/>
    </row>
    <row r="1098">
      <c r="A1098" s="231"/>
      <c r="B1098" s="78"/>
      <c r="C1098" s="623"/>
      <c r="D1098" s="624"/>
      <c r="O1098" s="160"/>
      <c r="P1098" s="10"/>
    </row>
    <row r="1099">
      <c r="A1099" s="231"/>
      <c r="B1099" s="78"/>
      <c r="C1099" s="623"/>
      <c r="D1099" s="624"/>
      <c r="O1099" s="160"/>
      <c r="P1099" s="10"/>
    </row>
    <row r="1100">
      <c r="A1100" s="231"/>
      <c r="B1100" s="78"/>
      <c r="C1100" s="623"/>
      <c r="D1100" s="624"/>
      <c r="O1100" s="160"/>
      <c r="P1100" s="10"/>
    </row>
    <row r="1101">
      <c r="A1101" s="231"/>
      <c r="B1101" s="78"/>
      <c r="C1101" s="623"/>
      <c r="D1101" s="624"/>
      <c r="O1101" s="160"/>
      <c r="P1101" s="10"/>
    </row>
    <row r="1102">
      <c r="A1102" s="231"/>
      <c r="B1102" s="78"/>
      <c r="C1102" s="623"/>
      <c r="D1102" s="624"/>
      <c r="O1102" s="160"/>
      <c r="P1102" s="10"/>
    </row>
    <row r="1103">
      <c r="A1103" s="231"/>
      <c r="B1103" s="78"/>
      <c r="C1103" s="623"/>
      <c r="D1103" s="624"/>
      <c r="O1103" s="160"/>
      <c r="P1103" s="10"/>
    </row>
    <row r="1104">
      <c r="A1104" s="231"/>
      <c r="B1104" s="78"/>
      <c r="C1104" s="623"/>
      <c r="D1104" s="624"/>
      <c r="O1104" s="160"/>
      <c r="P1104" s="10"/>
    </row>
    <row r="1105">
      <c r="A1105" s="231"/>
      <c r="B1105" s="78"/>
      <c r="C1105" s="623"/>
      <c r="D1105" s="624"/>
      <c r="O1105" s="160"/>
      <c r="P1105" s="10"/>
    </row>
    <row r="1106">
      <c r="A1106" s="231"/>
      <c r="B1106" s="78"/>
      <c r="C1106" s="623"/>
      <c r="D1106" s="624"/>
      <c r="O1106" s="160"/>
      <c r="P1106" s="10"/>
    </row>
    <row r="1107">
      <c r="A1107" s="231"/>
      <c r="B1107" s="78"/>
      <c r="C1107" s="623"/>
      <c r="D1107" s="624"/>
      <c r="O1107" s="160"/>
      <c r="P1107" s="10"/>
    </row>
    <row r="1108">
      <c r="A1108" s="231"/>
      <c r="B1108" s="78"/>
      <c r="C1108" s="623"/>
      <c r="D1108" s="624"/>
      <c r="O1108" s="160"/>
      <c r="P1108" s="10"/>
    </row>
    <row r="1109">
      <c r="A1109" s="231"/>
      <c r="B1109" s="78"/>
      <c r="C1109" s="623"/>
      <c r="D1109" s="624"/>
      <c r="O1109" s="160"/>
      <c r="P1109" s="10"/>
    </row>
    <row r="1110">
      <c r="A1110" s="231"/>
      <c r="B1110" s="78"/>
      <c r="C1110" s="623"/>
      <c r="D1110" s="624"/>
      <c r="O1110" s="160"/>
      <c r="P1110" s="10"/>
    </row>
    <row r="1111">
      <c r="A1111" s="231"/>
      <c r="B1111" s="78"/>
      <c r="C1111" s="623"/>
      <c r="D1111" s="624"/>
      <c r="O1111" s="160"/>
      <c r="P1111" s="10"/>
    </row>
    <row r="1112">
      <c r="A1112" s="231"/>
      <c r="B1112" s="78"/>
      <c r="C1112" s="623"/>
      <c r="D1112" s="624"/>
      <c r="O1112" s="160"/>
      <c r="P1112" s="10"/>
    </row>
    <row r="1113">
      <c r="A1113" s="231"/>
      <c r="B1113" s="78"/>
      <c r="C1113" s="623"/>
      <c r="D1113" s="624"/>
      <c r="O1113" s="160"/>
      <c r="P1113" s="10"/>
    </row>
    <row r="1114">
      <c r="A1114" s="231"/>
      <c r="B1114" s="78"/>
      <c r="C1114" s="623"/>
      <c r="D1114" s="624"/>
      <c r="O1114" s="160"/>
      <c r="P1114" s="10"/>
    </row>
    <row r="1115">
      <c r="A1115" s="231"/>
      <c r="B1115" s="78"/>
      <c r="C1115" s="623"/>
      <c r="D1115" s="624"/>
      <c r="O1115" s="160"/>
      <c r="P1115" s="10"/>
    </row>
    <row r="1116">
      <c r="A1116" s="231"/>
      <c r="B1116" s="78"/>
      <c r="C1116" s="623"/>
      <c r="D1116" s="624"/>
      <c r="O1116" s="160"/>
      <c r="P1116" s="10"/>
    </row>
    <row r="1117">
      <c r="A1117" s="231"/>
      <c r="B1117" s="78"/>
      <c r="C1117" s="623"/>
      <c r="D1117" s="624"/>
      <c r="O1117" s="160"/>
      <c r="P1117" s="10"/>
    </row>
    <row r="1118">
      <c r="A1118" s="231"/>
      <c r="B1118" s="78"/>
      <c r="C1118" s="623"/>
      <c r="D1118" s="624"/>
      <c r="O1118" s="160"/>
      <c r="P1118" s="10"/>
    </row>
    <row r="1119">
      <c r="A1119" s="231"/>
      <c r="B1119" s="78"/>
      <c r="C1119" s="623"/>
      <c r="D1119" s="624"/>
      <c r="O1119" s="160"/>
      <c r="P1119" s="10"/>
    </row>
    <row r="1120">
      <c r="A1120" s="231"/>
      <c r="B1120" s="78"/>
      <c r="C1120" s="623"/>
      <c r="D1120" s="624"/>
      <c r="O1120" s="160"/>
      <c r="P1120" s="10"/>
    </row>
    <row r="1121">
      <c r="A1121" s="231"/>
      <c r="B1121" s="78"/>
      <c r="C1121" s="623"/>
      <c r="D1121" s="624"/>
      <c r="O1121" s="160"/>
      <c r="P1121" s="10"/>
    </row>
    <row r="1122">
      <c r="A1122" s="231"/>
      <c r="B1122" s="78"/>
      <c r="C1122" s="623"/>
      <c r="D1122" s="624"/>
      <c r="O1122" s="160"/>
      <c r="P1122" s="10"/>
    </row>
    <row r="1123">
      <c r="A1123" s="231"/>
      <c r="B1123" s="78"/>
      <c r="C1123" s="623"/>
      <c r="D1123" s="624"/>
      <c r="O1123" s="160"/>
      <c r="P1123" s="10"/>
    </row>
    <row r="1124">
      <c r="A1124" s="231"/>
      <c r="B1124" s="78"/>
      <c r="C1124" s="623"/>
      <c r="D1124" s="624"/>
      <c r="O1124" s="160"/>
      <c r="P1124" s="10"/>
    </row>
    <row r="1125">
      <c r="A1125" s="231"/>
      <c r="B1125" s="78"/>
      <c r="C1125" s="623"/>
      <c r="D1125" s="624"/>
      <c r="O1125" s="160"/>
      <c r="P1125" s="10"/>
    </row>
    <row r="1126">
      <c r="A1126" s="231"/>
      <c r="B1126" s="78"/>
      <c r="C1126" s="623"/>
      <c r="D1126" s="624"/>
      <c r="O1126" s="160"/>
      <c r="P1126" s="10"/>
    </row>
    <row r="1127">
      <c r="A1127" s="231"/>
      <c r="B1127" s="78"/>
      <c r="C1127" s="623"/>
      <c r="D1127" s="624"/>
      <c r="O1127" s="160"/>
      <c r="P1127" s="10"/>
    </row>
    <row r="1128">
      <c r="A1128" s="231"/>
      <c r="B1128" s="78"/>
      <c r="C1128" s="623"/>
      <c r="D1128" s="624"/>
      <c r="O1128" s="160"/>
      <c r="P1128" s="10"/>
    </row>
    <row r="1129">
      <c r="A1129" s="231"/>
      <c r="B1129" s="78"/>
      <c r="C1129" s="623"/>
      <c r="D1129" s="624"/>
      <c r="O1129" s="160"/>
      <c r="P1129" s="10"/>
    </row>
    <row r="1130">
      <c r="A1130" s="231"/>
      <c r="B1130" s="78"/>
      <c r="C1130" s="623"/>
      <c r="D1130" s="624"/>
      <c r="O1130" s="160"/>
      <c r="P1130" s="10"/>
    </row>
    <row r="1131">
      <c r="A1131" s="231"/>
      <c r="B1131" s="78"/>
      <c r="C1131" s="623"/>
      <c r="D1131" s="624"/>
      <c r="O1131" s="160"/>
      <c r="P1131" s="10"/>
    </row>
    <row r="1132">
      <c r="A1132" s="231"/>
      <c r="B1132" s="78"/>
      <c r="C1132" s="623"/>
      <c r="D1132" s="624"/>
      <c r="O1132" s="160"/>
      <c r="P1132" s="10"/>
    </row>
    <row r="1133">
      <c r="A1133" s="231"/>
      <c r="B1133" s="78"/>
      <c r="C1133" s="623"/>
      <c r="D1133" s="624"/>
      <c r="O1133" s="160"/>
      <c r="P1133" s="10"/>
    </row>
    <row r="1134">
      <c r="A1134" s="231"/>
      <c r="B1134" s="78"/>
      <c r="C1134" s="623"/>
      <c r="D1134" s="624"/>
      <c r="O1134" s="160"/>
      <c r="P1134" s="10"/>
    </row>
    <row r="1135">
      <c r="A1135" s="231"/>
      <c r="B1135" s="78"/>
      <c r="C1135" s="623"/>
      <c r="D1135" s="624"/>
      <c r="O1135" s="160"/>
      <c r="P1135" s="10"/>
    </row>
    <row r="1136">
      <c r="A1136" s="231"/>
      <c r="B1136" s="78"/>
      <c r="C1136" s="623"/>
      <c r="D1136" s="624"/>
      <c r="O1136" s="160"/>
      <c r="P1136" s="10"/>
    </row>
    <row r="1137">
      <c r="A1137" s="231"/>
      <c r="B1137" s="78"/>
      <c r="C1137" s="623"/>
      <c r="D1137" s="624"/>
      <c r="O1137" s="160"/>
      <c r="P1137" s="10"/>
    </row>
    <row r="1138">
      <c r="A1138" s="231"/>
      <c r="B1138" s="78"/>
      <c r="C1138" s="623"/>
      <c r="D1138" s="624"/>
      <c r="O1138" s="160"/>
      <c r="P1138" s="10"/>
    </row>
    <row r="1139">
      <c r="A1139" s="231"/>
      <c r="B1139" s="78"/>
      <c r="C1139" s="623"/>
      <c r="D1139" s="624"/>
      <c r="O1139" s="160"/>
      <c r="P1139" s="10"/>
    </row>
    <row r="1140">
      <c r="A1140" s="231"/>
      <c r="B1140" s="78"/>
      <c r="C1140" s="623"/>
      <c r="D1140" s="624"/>
      <c r="O1140" s="160"/>
      <c r="P1140" s="10"/>
    </row>
    <row r="1141">
      <c r="A1141" s="231"/>
      <c r="B1141" s="78"/>
      <c r="C1141" s="623"/>
      <c r="D1141" s="624"/>
      <c r="O1141" s="160"/>
      <c r="P1141" s="10"/>
    </row>
    <row r="1142">
      <c r="A1142" s="231"/>
      <c r="B1142" s="78"/>
      <c r="C1142" s="623"/>
      <c r="D1142" s="624"/>
      <c r="O1142" s="160"/>
      <c r="P1142" s="10"/>
    </row>
    <row r="1143">
      <c r="A1143" s="231"/>
      <c r="B1143" s="78"/>
      <c r="C1143" s="623"/>
      <c r="D1143" s="624"/>
      <c r="O1143" s="160"/>
      <c r="P1143" s="10"/>
    </row>
    <row r="1144">
      <c r="A1144" s="231"/>
      <c r="B1144" s="78"/>
      <c r="C1144" s="623"/>
      <c r="D1144" s="624"/>
      <c r="O1144" s="160"/>
      <c r="P1144" s="10"/>
    </row>
    <row r="1145">
      <c r="A1145" s="231"/>
      <c r="B1145" s="78"/>
      <c r="C1145" s="623"/>
      <c r="D1145" s="624"/>
      <c r="O1145" s="160"/>
      <c r="P1145" s="10"/>
    </row>
    <row r="1146">
      <c r="A1146" s="231"/>
      <c r="B1146" s="78"/>
      <c r="C1146" s="623"/>
      <c r="D1146" s="624"/>
      <c r="O1146" s="160"/>
      <c r="P1146" s="10"/>
    </row>
    <row r="1147">
      <c r="A1147" s="231"/>
      <c r="B1147" s="78"/>
      <c r="C1147" s="623"/>
      <c r="D1147" s="624"/>
      <c r="O1147" s="160"/>
      <c r="P1147" s="10"/>
    </row>
    <row r="1148">
      <c r="A1148" s="231"/>
      <c r="B1148" s="78"/>
      <c r="C1148" s="623"/>
      <c r="D1148" s="624"/>
      <c r="O1148" s="160"/>
      <c r="P1148" s="10"/>
    </row>
    <row r="1149">
      <c r="A1149" s="231"/>
      <c r="B1149" s="78"/>
      <c r="C1149" s="623"/>
      <c r="D1149" s="624"/>
      <c r="O1149" s="160"/>
      <c r="P1149" s="10"/>
    </row>
    <row r="1150">
      <c r="A1150" s="231"/>
      <c r="B1150" s="78"/>
      <c r="C1150" s="623"/>
      <c r="D1150" s="624"/>
      <c r="O1150" s="160"/>
      <c r="P1150" s="10"/>
    </row>
    <row r="1151">
      <c r="A1151" s="231"/>
      <c r="B1151" s="78"/>
      <c r="C1151" s="623"/>
      <c r="D1151" s="624"/>
      <c r="O1151" s="160"/>
      <c r="P1151" s="10"/>
    </row>
    <row r="1152">
      <c r="A1152" s="231"/>
      <c r="B1152" s="78"/>
      <c r="C1152" s="623"/>
      <c r="D1152" s="624"/>
      <c r="O1152" s="160"/>
      <c r="P1152" s="10"/>
    </row>
    <row r="1153">
      <c r="A1153" s="231"/>
      <c r="B1153" s="78"/>
      <c r="C1153" s="623"/>
      <c r="D1153" s="624"/>
      <c r="O1153" s="160"/>
      <c r="P1153" s="10"/>
    </row>
    <row r="1154">
      <c r="A1154" s="231"/>
      <c r="B1154" s="78"/>
      <c r="C1154" s="623"/>
      <c r="D1154" s="624"/>
      <c r="O1154" s="160"/>
      <c r="P1154" s="10"/>
    </row>
    <row r="1155">
      <c r="A1155" s="231"/>
      <c r="B1155" s="78"/>
      <c r="C1155" s="623"/>
      <c r="D1155" s="624"/>
      <c r="O1155" s="160"/>
      <c r="P1155" s="10"/>
    </row>
    <row r="1156">
      <c r="A1156" s="231"/>
      <c r="B1156" s="78"/>
      <c r="C1156" s="623"/>
      <c r="D1156" s="624"/>
      <c r="O1156" s="160"/>
      <c r="P1156" s="10"/>
    </row>
    <row r="1157">
      <c r="A1157" s="231"/>
      <c r="B1157" s="78"/>
      <c r="C1157" s="623"/>
      <c r="D1157" s="624"/>
      <c r="O1157" s="160"/>
      <c r="P1157" s="10"/>
    </row>
    <row r="1158">
      <c r="A1158" s="231"/>
      <c r="B1158" s="78"/>
      <c r="C1158" s="623"/>
      <c r="D1158" s="624"/>
      <c r="O1158" s="160"/>
      <c r="P1158" s="10"/>
    </row>
    <row r="1159">
      <c r="A1159" s="231"/>
      <c r="B1159" s="78"/>
      <c r="C1159" s="623"/>
      <c r="D1159" s="624"/>
      <c r="O1159" s="160"/>
      <c r="P1159" s="10"/>
    </row>
    <row r="1160">
      <c r="A1160" s="231"/>
      <c r="B1160" s="78"/>
      <c r="C1160" s="623"/>
      <c r="D1160" s="624"/>
      <c r="O1160" s="160"/>
      <c r="P1160" s="10"/>
    </row>
    <row r="1161">
      <c r="A1161" s="231"/>
      <c r="B1161" s="78"/>
      <c r="C1161" s="623"/>
      <c r="D1161" s="624"/>
      <c r="O1161" s="160"/>
      <c r="P1161" s="10"/>
    </row>
    <row r="1162">
      <c r="A1162" s="231"/>
      <c r="B1162" s="78"/>
      <c r="C1162" s="623"/>
      <c r="D1162" s="624"/>
      <c r="O1162" s="160"/>
      <c r="P1162" s="10"/>
    </row>
    <row r="1163">
      <c r="A1163" s="231"/>
      <c r="B1163" s="78"/>
      <c r="C1163" s="623"/>
      <c r="D1163" s="624"/>
      <c r="O1163" s="160"/>
      <c r="P1163" s="10"/>
    </row>
    <row r="1164">
      <c r="A1164" s="231"/>
      <c r="B1164" s="78"/>
      <c r="C1164" s="623"/>
      <c r="D1164" s="624"/>
      <c r="O1164" s="160"/>
      <c r="P1164" s="10"/>
    </row>
    <row r="1165">
      <c r="A1165" s="231"/>
      <c r="B1165" s="78"/>
      <c r="C1165" s="623"/>
      <c r="D1165" s="624"/>
      <c r="O1165" s="160"/>
      <c r="P1165" s="10"/>
    </row>
    <row r="1166">
      <c r="A1166" s="231"/>
      <c r="B1166" s="78"/>
      <c r="C1166" s="623"/>
      <c r="D1166" s="624"/>
      <c r="O1166" s="160"/>
      <c r="P1166" s="10"/>
    </row>
    <row r="1167">
      <c r="A1167" s="231"/>
      <c r="B1167" s="78"/>
      <c r="C1167" s="623"/>
      <c r="D1167" s="624"/>
      <c r="O1167" s="160"/>
      <c r="P1167" s="10"/>
    </row>
    <row r="1168">
      <c r="A1168" s="231"/>
      <c r="B1168" s="78"/>
      <c r="C1168" s="623"/>
      <c r="D1168" s="624"/>
      <c r="O1168" s="160"/>
      <c r="P1168" s="10"/>
    </row>
    <row r="1169">
      <c r="A1169" s="231"/>
      <c r="B1169" s="78"/>
      <c r="C1169" s="623"/>
      <c r="D1169" s="624"/>
      <c r="O1169" s="160"/>
      <c r="P1169" s="10"/>
    </row>
    <row r="1170">
      <c r="A1170" s="231"/>
      <c r="B1170" s="78"/>
      <c r="C1170" s="623"/>
      <c r="D1170" s="624"/>
      <c r="O1170" s="160"/>
      <c r="P1170" s="10"/>
    </row>
    <row r="1171">
      <c r="A1171" s="231"/>
      <c r="B1171" s="78"/>
      <c r="C1171" s="623"/>
      <c r="D1171" s="624"/>
      <c r="O1171" s="160"/>
      <c r="P1171" s="10"/>
    </row>
    <row r="1172">
      <c r="A1172" s="231"/>
      <c r="B1172" s="78"/>
      <c r="C1172" s="623"/>
      <c r="D1172" s="624"/>
      <c r="O1172" s="160"/>
      <c r="P1172" s="10"/>
    </row>
    <row r="1173">
      <c r="A1173" s="231"/>
      <c r="B1173" s="78"/>
      <c r="C1173" s="623"/>
      <c r="D1173" s="624"/>
      <c r="O1173" s="160"/>
      <c r="P1173" s="10"/>
    </row>
    <row r="1174">
      <c r="A1174" s="231"/>
      <c r="B1174" s="78"/>
      <c r="C1174" s="623"/>
      <c r="D1174" s="624"/>
      <c r="O1174" s="160"/>
      <c r="P1174" s="10"/>
    </row>
    <row r="1175">
      <c r="A1175" s="231"/>
      <c r="B1175" s="78"/>
      <c r="C1175" s="623"/>
      <c r="D1175" s="624"/>
      <c r="O1175" s="160"/>
      <c r="P1175" s="10"/>
    </row>
    <row r="1176">
      <c r="A1176" s="231"/>
      <c r="B1176" s="78"/>
      <c r="C1176" s="623"/>
      <c r="D1176" s="624"/>
      <c r="O1176" s="160"/>
      <c r="P1176" s="10"/>
    </row>
    <row r="1177">
      <c r="A1177" s="231"/>
      <c r="B1177" s="78"/>
      <c r="C1177" s="623"/>
      <c r="D1177" s="624"/>
      <c r="O1177" s="160"/>
      <c r="P1177" s="10"/>
    </row>
    <row r="1178">
      <c r="A1178" s="231"/>
      <c r="B1178" s="78"/>
      <c r="C1178" s="623"/>
      <c r="D1178" s="624"/>
      <c r="O1178" s="160"/>
      <c r="P1178" s="10"/>
    </row>
    <row r="1179">
      <c r="A1179" s="231"/>
      <c r="B1179" s="78"/>
      <c r="C1179" s="623"/>
      <c r="D1179" s="624"/>
      <c r="O1179" s="160"/>
      <c r="P1179" s="10"/>
    </row>
    <row r="1180">
      <c r="A1180" s="231"/>
      <c r="B1180" s="78"/>
      <c r="C1180" s="623"/>
      <c r="D1180" s="624"/>
      <c r="O1180" s="160"/>
      <c r="P1180" s="10"/>
    </row>
    <row r="1181">
      <c r="A1181" s="231"/>
      <c r="B1181" s="78"/>
      <c r="C1181" s="623"/>
      <c r="D1181" s="624"/>
      <c r="O1181" s="160"/>
      <c r="P1181" s="10"/>
    </row>
    <row r="1182">
      <c r="A1182" s="231"/>
      <c r="B1182" s="78"/>
      <c r="C1182" s="623"/>
      <c r="D1182" s="624"/>
      <c r="O1182" s="160"/>
      <c r="P1182" s="10"/>
    </row>
    <row r="1183">
      <c r="A1183" s="231"/>
      <c r="B1183" s="78"/>
      <c r="C1183" s="623"/>
      <c r="D1183" s="624"/>
      <c r="O1183" s="160"/>
      <c r="P1183" s="10"/>
    </row>
    <row r="1184">
      <c r="A1184" s="231"/>
      <c r="B1184" s="78"/>
      <c r="C1184" s="623"/>
      <c r="D1184" s="624"/>
      <c r="O1184" s="160"/>
      <c r="P1184" s="10"/>
    </row>
    <row r="1185">
      <c r="A1185" s="231"/>
      <c r="B1185" s="78"/>
      <c r="C1185" s="623"/>
      <c r="D1185" s="624"/>
      <c r="O1185" s="160"/>
      <c r="P1185" s="10"/>
    </row>
    <row r="1186">
      <c r="A1186" s="231"/>
      <c r="B1186" s="78"/>
      <c r="C1186" s="623"/>
      <c r="D1186" s="624"/>
      <c r="O1186" s="160"/>
      <c r="P1186" s="10"/>
    </row>
    <row r="1187">
      <c r="A1187" s="231"/>
      <c r="B1187" s="78"/>
      <c r="C1187" s="623"/>
      <c r="D1187" s="624"/>
      <c r="O1187" s="160"/>
      <c r="P1187" s="10"/>
    </row>
    <row r="1188">
      <c r="A1188" s="231"/>
      <c r="B1188" s="78"/>
      <c r="C1188" s="623"/>
      <c r="D1188" s="624"/>
      <c r="O1188" s="160"/>
      <c r="P1188" s="10"/>
    </row>
    <row r="1189">
      <c r="A1189" s="231"/>
      <c r="B1189" s="78"/>
      <c r="C1189" s="623"/>
      <c r="D1189" s="624"/>
      <c r="O1189" s="160"/>
      <c r="P1189" s="10"/>
    </row>
    <row r="1190">
      <c r="A1190" s="231"/>
      <c r="B1190" s="78"/>
      <c r="C1190" s="623"/>
      <c r="D1190" s="624"/>
      <c r="O1190" s="160"/>
      <c r="P1190" s="10"/>
    </row>
    <row r="1191">
      <c r="A1191" s="231"/>
      <c r="B1191" s="78"/>
      <c r="C1191" s="623"/>
      <c r="D1191" s="624"/>
      <c r="O1191" s="160"/>
      <c r="P1191" s="10"/>
    </row>
    <row r="1192">
      <c r="A1192" s="231"/>
      <c r="B1192" s="78"/>
      <c r="C1192" s="623"/>
      <c r="D1192" s="624"/>
      <c r="O1192" s="160"/>
      <c r="P1192" s="10"/>
    </row>
    <row r="1193">
      <c r="A1193" s="231"/>
      <c r="B1193" s="78"/>
      <c r="C1193" s="623"/>
      <c r="D1193" s="624"/>
      <c r="O1193" s="160"/>
      <c r="P1193" s="10"/>
    </row>
    <row r="1194">
      <c r="A1194" s="231"/>
      <c r="B1194" s="78"/>
      <c r="C1194" s="623"/>
      <c r="D1194" s="624"/>
      <c r="O1194" s="160"/>
      <c r="P1194" s="10"/>
    </row>
    <row r="1195">
      <c r="A1195" s="231"/>
      <c r="B1195" s="78"/>
      <c r="C1195" s="623"/>
      <c r="D1195" s="624"/>
      <c r="O1195" s="160"/>
      <c r="P1195" s="10"/>
    </row>
    <row r="1196">
      <c r="A1196" s="231"/>
      <c r="B1196" s="78"/>
      <c r="C1196" s="623"/>
      <c r="D1196" s="624"/>
      <c r="O1196" s="160"/>
      <c r="P1196" s="10"/>
    </row>
    <row r="1197">
      <c r="A1197" s="231"/>
      <c r="B1197" s="78"/>
      <c r="C1197" s="623"/>
      <c r="D1197" s="624"/>
      <c r="O1197" s="160"/>
      <c r="P1197" s="10"/>
    </row>
    <row r="1198">
      <c r="A1198" s="231"/>
      <c r="B1198" s="78"/>
      <c r="C1198" s="623"/>
      <c r="D1198" s="624"/>
      <c r="O1198" s="160"/>
      <c r="P1198" s="10"/>
    </row>
    <row r="1199">
      <c r="A1199" s="231"/>
      <c r="B1199" s="78"/>
      <c r="C1199" s="623"/>
      <c r="D1199" s="624"/>
      <c r="O1199" s="160"/>
      <c r="P1199" s="10"/>
    </row>
    <row r="1200">
      <c r="A1200" s="231"/>
      <c r="B1200" s="78"/>
      <c r="C1200" s="623"/>
      <c r="D1200" s="624"/>
      <c r="O1200" s="160"/>
      <c r="P1200" s="10"/>
    </row>
    <row r="1201">
      <c r="A1201" s="231"/>
      <c r="B1201" s="78"/>
      <c r="C1201" s="623"/>
      <c r="D1201" s="624"/>
      <c r="O1201" s="160"/>
      <c r="P1201" s="10"/>
    </row>
    <row r="1202">
      <c r="A1202" s="231"/>
      <c r="B1202" s="78"/>
      <c r="C1202" s="623"/>
      <c r="D1202" s="624"/>
      <c r="O1202" s="160"/>
      <c r="P1202" s="10"/>
    </row>
    <row r="1203">
      <c r="A1203" s="231"/>
      <c r="B1203" s="78"/>
      <c r="C1203" s="623"/>
      <c r="D1203" s="624"/>
      <c r="O1203" s="160"/>
      <c r="P1203" s="10"/>
    </row>
    <row r="1204">
      <c r="A1204" s="231"/>
      <c r="B1204" s="78"/>
      <c r="C1204" s="623"/>
      <c r="D1204" s="624"/>
      <c r="O1204" s="160"/>
      <c r="P1204" s="10"/>
    </row>
    <row r="1205">
      <c r="A1205" s="231"/>
      <c r="B1205" s="78"/>
      <c r="C1205" s="623"/>
      <c r="D1205" s="624"/>
      <c r="O1205" s="160"/>
      <c r="P1205" s="10"/>
    </row>
    <row r="1206">
      <c r="A1206" s="231"/>
      <c r="B1206" s="78"/>
      <c r="C1206" s="623"/>
      <c r="D1206" s="624"/>
      <c r="O1206" s="160"/>
      <c r="P1206" s="10"/>
    </row>
    <row r="1207">
      <c r="A1207" s="231"/>
      <c r="B1207" s="78"/>
      <c r="C1207" s="623"/>
      <c r="D1207" s="624"/>
      <c r="O1207" s="160"/>
      <c r="P1207" s="10"/>
    </row>
    <row r="1208">
      <c r="A1208" s="231"/>
      <c r="B1208" s="78"/>
      <c r="C1208" s="623"/>
      <c r="D1208" s="624"/>
      <c r="O1208" s="160"/>
      <c r="P1208" s="10"/>
    </row>
    <row r="1209">
      <c r="A1209" s="231"/>
      <c r="B1209" s="78"/>
      <c r="C1209" s="623"/>
      <c r="D1209" s="624"/>
      <c r="O1209" s="160"/>
      <c r="P1209" s="10"/>
    </row>
    <row r="1210">
      <c r="A1210" s="231"/>
      <c r="B1210" s="78"/>
      <c r="C1210" s="623"/>
      <c r="D1210" s="624"/>
      <c r="O1210" s="160"/>
      <c r="P1210" s="10"/>
    </row>
    <row r="1211">
      <c r="A1211" s="231"/>
      <c r="B1211" s="78"/>
      <c r="C1211" s="623"/>
      <c r="D1211" s="624"/>
      <c r="O1211" s="160"/>
      <c r="P1211" s="10"/>
    </row>
    <row r="1212">
      <c r="A1212" s="231"/>
      <c r="B1212" s="78"/>
      <c r="C1212" s="623"/>
      <c r="D1212" s="624"/>
      <c r="O1212" s="160"/>
      <c r="P1212" s="10"/>
    </row>
    <row r="1213">
      <c r="A1213" s="231"/>
      <c r="B1213" s="78"/>
      <c r="C1213" s="623"/>
      <c r="D1213" s="624"/>
      <c r="O1213" s="160"/>
      <c r="P1213" s="10"/>
    </row>
    <row r="1214">
      <c r="A1214" s="231"/>
      <c r="B1214" s="78"/>
      <c r="C1214" s="623"/>
      <c r="D1214" s="624"/>
      <c r="O1214" s="160"/>
      <c r="P1214" s="10"/>
    </row>
    <row r="1215">
      <c r="A1215" s="231"/>
      <c r="B1215" s="78"/>
      <c r="C1215" s="623"/>
      <c r="D1215" s="624"/>
      <c r="O1215" s="160"/>
      <c r="P1215" s="10"/>
    </row>
    <row r="1216">
      <c r="A1216" s="231"/>
      <c r="B1216" s="78"/>
      <c r="C1216" s="623"/>
      <c r="D1216" s="624"/>
      <c r="O1216" s="160"/>
      <c r="P1216" s="10"/>
    </row>
    <row r="1217">
      <c r="A1217" s="231"/>
      <c r="B1217" s="78"/>
      <c r="C1217" s="623"/>
      <c r="D1217" s="624"/>
      <c r="O1217" s="160"/>
      <c r="P1217" s="10"/>
    </row>
    <row r="1218">
      <c r="A1218" s="231"/>
      <c r="B1218" s="78"/>
      <c r="C1218" s="623"/>
      <c r="D1218" s="624"/>
      <c r="O1218" s="160"/>
      <c r="P1218" s="10"/>
    </row>
    <row r="1219">
      <c r="A1219" s="231"/>
      <c r="B1219" s="78"/>
      <c r="C1219" s="623"/>
      <c r="D1219" s="624"/>
      <c r="O1219" s="160"/>
      <c r="P1219" s="10"/>
    </row>
    <row r="1220">
      <c r="A1220" s="231"/>
      <c r="B1220" s="78"/>
      <c r="C1220" s="623"/>
      <c r="D1220" s="624"/>
      <c r="O1220" s="160"/>
      <c r="P1220" s="10"/>
    </row>
    <row r="1221">
      <c r="A1221" s="231"/>
      <c r="B1221" s="78"/>
      <c r="C1221" s="623"/>
      <c r="D1221" s="624"/>
      <c r="O1221" s="160"/>
      <c r="P1221" s="10"/>
    </row>
    <row r="1222">
      <c r="A1222" s="231"/>
      <c r="B1222" s="78"/>
      <c r="C1222" s="623"/>
      <c r="D1222" s="624"/>
      <c r="O1222" s="160"/>
      <c r="P1222" s="10"/>
    </row>
    <row r="1223">
      <c r="A1223" s="231"/>
      <c r="B1223" s="78"/>
      <c r="C1223" s="623"/>
      <c r="D1223" s="624"/>
      <c r="O1223" s="160"/>
      <c r="P1223" s="10"/>
    </row>
    <row r="1224">
      <c r="A1224" s="231"/>
      <c r="B1224" s="78"/>
      <c r="C1224" s="623"/>
      <c r="D1224" s="624"/>
      <c r="O1224" s="160"/>
      <c r="P1224" s="10"/>
    </row>
    <row r="1225">
      <c r="A1225" s="231"/>
      <c r="B1225" s="78"/>
      <c r="C1225" s="623"/>
      <c r="D1225" s="624"/>
      <c r="O1225" s="160"/>
      <c r="P1225" s="10"/>
    </row>
    <row r="1226">
      <c r="A1226" s="231"/>
      <c r="B1226" s="78"/>
      <c r="C1226" s="623"/>
      <c r="D1226" s="624"/>
      <c r="O1226" s="160"/>
      <c r="P1226" s="10"/>
    </row>
    <row r="1227">
      <c r="A1227" s="231"/>
      <c r="B1227" s="78"/>
      <c r="C1227" s="623"/>
      <c r="D1227" s="624"/>
      <c r="O1227" s="160"/>
      <c r="P1227" s="10"/>
    </row>
    <row r="1228">
      <c r="A1228" s="231"/>
      <c r="B1228" s="78"/>
      <c r="C1228" s="623"/>
      <c r="D1228" s="624"/>
      <c r="O1228" s="160"/>
      <c r="P1228" s="10"/>
    </row>
    <row r="1229">
      <c r="A1229" s="231"/>
      <c r="B1229" s="78"/>
      <c r="C1229" s="623"/>
      <c r="D1229" s="624"/>
      <c r="O1229" s="160"/>
      <c r="P1229" s="10"/>
    </row>
    <row r="1230">
      <c r="A1230" s="231"/>
      <c r="B1230" s="78"/>
      <c r="C1230" s="623"/>
      <c r="D1230" s="624"/>
      <c r="O1230" s="160"/>
      <c r="P1230" s="10"/>
    </row>
    <row r="1231">
      <c r="A1231" s="231"/>
      <c r="B1231" s="78"/>
      <c r="C1231" s="623"/>
      <c r="D1231" s="624"/>
      <c r="O1231" s="160"/>
      <c r="P1231" s="10"/>
    </row>
    <row r="1232">
      <c r="A1232" s="231"/>
      <c r="B1232" s="78"/>
      <c r="C1232" s="623"/>
      <c r="D1232" s="624"/>
      <c r="O1232" s="160"/>
      <c r="P1232" s="10"/>
    </row>
    <row r="1233">
      <c r="A1233" s="231"/>
      <c r="B1233" s="78"/>
      <c r="C1233" s="623"/>
      <c r="D1233" s="624"/>
      <c r="O1233" s="160"/>
      <c r="P1233" s="10"/>
    </row>
    <row r="1234">
      <c r="A1234" s="231"/>
      <c r="B1234" s="78"/>
      <c r="C1234" s="623"/>
      <c r="D1234" s="624"/>
      <c r="O1234" s="160"/>
      <c r="P1234" s="10"/>
    </row>
    <row r="1235">
      <c r="A1235" s="231"/>
      <c r="B1235" s="78"/>
      <c r="C1235" s="623"/>
      <c r="D1235" s="624"/>
      <c r="O1235" s="160"/>
      <c r="P1235" s="10"/>
    </row>
    <row r="1236">
      <c r="A1236" s="231"/>
      <c r="B1236" s="78"/>
      <c r="C1236" s="623"/>
      <c r="D1236" s="624"/>
      <c r="O1236" s="160"/>
      <c r="P1236" s="10"/>
    </row>
    <row r="1237">
      <c r="A1237" s="231"/>
      <c r="B1237" s="78"/>
      <c r="C1237" s="623"/>
      <c r="D1237" s="624"/>
      <c r="O1237" s="160"/>
      <c r="P1237" s="10"/>
    </row>
    <row r="1238">
      <c r="A1238" s="231"/>
      <c r="B1238" s="78"/>
      <c r="C1238" s="623"/>
      <c r="D1238" s="624"/>
      <c r="O1238" s="160"/>
      <c r="P1238" s="10"/>
    </row>
    <row r="1239">
      <c r="A1239" s="231"/>
      <c r="B1239" s="78"/>
      <c r="C1239" s="623"/>
      <c r="D1239" s="624"/>
      <c r="O1239" s="160"/>
      <c r="P1239" s="10"/>
    </row>
    <row r="1240">
      <c r="A1240" s="231"/>
      <c r="B1240" s="78"/>
      <c r="C1240" s="623"/>
      <c r="D1240" s="624"/>
      <c r="O1240" s="160"/>
      <c r="P1240" s="10"/>
    </row>
    <row r="1241">
      <c r="A1241" s="231"/>
      <c r="B1241" s="78"/>
      <c r="C1241" s="623"/>
      <c r="D1241" s="624"/>
      <c r="O1241" s="160"/>
      <c r="P1241" s="10"/>
    </row>
    <row r="1242">
      <c r="A1242" s="231"/>
      <c r="B1242" s="78"/>
      <c r="C1242" s="623"/>
      <c r="D1242" s="624"/>
      <c r="O1242" s="160"/>
      <c r="P1242" s="10"/>
    </row>
    <row r="1243">
      <c r="A1243" s="231"/>
      <c r="B1243" s="78"/>
      <c r="C1243" s="623"/>
      <c r="D1243" s="624"/>
      <c r="O1243" s="160"/>
      <c r="P1243" s="10"/>
    </row>
    <row r="1244">
      <c r="A1244" s="231"/>
      <c r="B1244" s="78"/>
      <c r="C1244" s="623"/>
      <c r="D1244" s="624"/>
      <c r="O1244" s="160"/>
      <c r="P1244" s="10"/>
    </row>
    <row r="1245">
      <c r="A1245" s="231"/>
      <c r="B1245" s="78"/>
      <c r="C1245" s="623"/>
      <c r="D1245" s="624"/>
      <c r="O1245" s="160"/>
      <c r="P1245" s="10"/>
    </row>
    <row r="1246">
      <c r="A1246" s="231"/>
      <c r="B1246" s="78"/>
      <c r="C1246" s="623"/>
      <c r="D1246" s="624"/>
      <c r="O1246" s="160"/>
      <c r="P1246" s="10"/>
    </row>
    <row r="1247">
      <c r="A1247" s="231"/>
      <c r="B1247" s="78"/>
      <c r="C1247" s="623"/>
      <c r="D1247" s="624"/>
      <c r="O1247" s="160"/>
      <c r="P1247" s="10"/>
    </row>
    <row r="1248">
      <c r="A1248" s="231"/>
      <c r="B1248" s="78"/>
      <c r="C1248" s="623"/>
      <c r="D1248" s="624"/>
      <c r="O1248" s="160"/>
      <c r="P1248" s="10"/>
    </row>
    <row r="1249">
      <c r="A1249" s="231"/>
      <c r="B1249" s="78"/>
      <c r="C1249" s="623"/>
      <c r="D1249" s="624"/>
      <c r="O1249" s="160"/>
      <c r="P1249" s="10"/>
    </row>
    <row r="1250">
      <c r="A1250" s="231"/>
      <c r="B1250" s="78"/>
      <c r="C1250" s="623"/>
      <c r="D1250" s="624"/>
      <c r="O1250" s="160"/>
      <c r="P1250" s="10"/>
    </row>
    <row r="1251">
      <c r="A1251" s="231"/>
      <c r="B1251" s="78"/>
      <c r="C1251" s="623"/>
      <c r="D1251" s="624"/>
      <c r="O1251" s="160"/>
      <c r="P1251" s="10"/>
    </row>
    <row r="1252">
      <c r="A1252" s="231"/>
      <c r="B1252" s="78"/>
      <c r="C1252" s="623"/>
      <c r="D1252" s="624"/>
      <c r="O1252" s="160"/>
      <c r="P1252" s="10"/>
    </row>
    <row r="1253">
      <c r="A1253" s="231"/>
      <c r="B1253" s="78"/>
      <c r="C1253" s="623"/>
      <c r="D1253" s="624"/>
      <c r="O1253" s="160"/>
      <c r="P1253" s="10"/>
    </row>
    <row r="1254">
      <c r="A1254" s="231"/>
      <c r="B1254" s="78"/>
      <c r="C1254" s="623"/>
      <c r="D1254" s="624"/>
      <c r="O1254" s="160"/>
      <c r="P1254" s="10"/>
    </row>
    <row r="1255">
      <c r="A1255" s="231"/>
      <c r="B1255" s="78"/>
      <c r="C1255" s="623"/>
      <c r="D1255" s="624"/>
      <c r="O1255" s="160"/>
      <c r="P1255" s="10"/>
    </row>
    <row r="1256">
      <c r="A1256" s="231"/>
      <c r="B1256" s="78"/>
      <c r="C1256" s="623"/>
      <c r="D1256" s="624"/>
      <c r="O1256" s="160"/>
      <c r="P1256" s="10"/>
    </row>
    <row r="1257">
      <c r="A1257" s="231"/>
      <c r="B1257" s="78"/>
      <c r="C1257" s="623"/>
      <c r="D1257" s="624"/>
      <c r="O1257" s="160"/>
      <c r="P1257" s="10"/>
    </row>
    <row r="1258">
      <c r="A1258" s="231"/>
      <c r="B1258" s="78"/>
      <c r="C1258" s="623"/>
      <c r="D1258" s="624"/>
      <c r="O1258" s="160"/>
      <c r="P1258" s="10"/>
    </row>
    <row r="1259">
      <c r="A1259" s="231"/>
      <c r="B1259" s="78"/>
      <c r="C1259" s="623"/>
      <c r="D1259" s="624"/>
      <c r="O1259" s="160"/>
      <c r="P1259" s="10"/>
    </row>
    <row r="1260">
      <c r="A1260" s="231"/>
      <c r="B1260" s="78"/>
      <c r="C1260" s="623"/>
      <c r="D1260" s="624"/>
      <c r="O1260" s="160"/>
      <c r="P1260" s="10"/>
    </row>
    <row r="1261">
      <c r="A1261" s="231"/>
      <c r="B1261" s="78"/>
      <c r="C1261" s="623"/>
      <c r="D1261" s="624"/>
      <c r="O1261" s="160"/>
      <c r="P1261" s="10"/>
    </row>
    <row r="1262">
      <c r="A1262" s="231"/>
      <c r="B1262" s="78"/>
      <c r="C1262" s="623"/>
      <c r="D1262" s="624"/>
      <c r="O1262" s="160"/>
      <c r="P1262" s="10"/>
    </row>
    <row r="1263">
      <c r="A1263" s="231"/>
      <c r="B1263" s="78"/>
      <c r="C1263" s="623"/>
      <c r="D1263" s="624"/>
      <c r="O1263" s="160"/>
      <c r="P1263" s="10"/>
    </row>
    <row r="1264">
      <c r="A1264" s="231"/>
      <c r="B1264" s="78"/>
      <c r="C1264" s="623"/>
      <c r="D1264" s="624"/>
      <c r="O1264" s="160"/>
      <c r="P1264" s="10"/>
    </row>
    <row r="1265">
      <c r="A1265" s="231"/>
      <c r="B1265" s="78"/>
      <c r="C1265" s="623"/>
      <c r="D1265" s="624"/>
      <c r="O1265" s="160"/>
      <c r="P1265" s="10"/>
    </row>
    <row r="1266">
      <c r="A1266" s="231"/>
      <c r="B1266" s="78"/>
      <c r="C1266" s="623"/>
      <c r="D1266" s="624"/>
      <c r="O1266" s="160"/>
      <c r="P1266" s="10"/>
    </row>
    <row r="1267">
      <c r="A1267" s="231"/>
      <c r="B1267" s="78"/>
      <c r="C1267" s="623"/>
      <c r="D1267" s="624"/>
      <c r="O1267" s="160"/>
      <c r="P1267" s="10"/>
    </row>
    <row r="1268">
      <c r="A1268" s="231"/>
      <c r="B1268" s="78"/>
      <c r="C1268" s="623"/>
      <c r="D1268" s="624"/>
      <c r="O1268" s="160"/>
      <c r="P1268" s="10"/>
    </row>
    <row r="1269">
      <c r="A1269" s="231"/>
      <c r="B1269" s="78"/>
      <c r="C1269" s="623"/>
      <c r="D1269" s="624"/>
      <c r="O1269" s="160"/>
      <c r="P1269" s="10"/>
    </row>
    <row r="1270">
      <c r="A1270" s="231"/>
      <c r="B1270" s="78"/>
      <c r="C1270" s="623"/>
      <c r="D1270" s="624"/>
      <c r="O1270" s="160"/>
      <c r="P1270" s="10"/>
    </row>
    <row r="1271">
      <c r="A1271" s="231"/>
      <c r="B1271" s="78"/>
      <c r="C1271" s="623"/>
      <c r="D1271" s="624"/>
      <c r="O1271" s="160"/>
      <c r="P1271" s="10"/>
    </row>
    <row r="1272">
      <c r="A1272" s="231"/>
      <c r="B1272" s="78"/>
      <c r="C1272" s="623"/>
      <c r="D1272" s="624"/>
      <c r="O1272" s="160"/>
      <c r="P1272" s="10"/>
    </row>
    <row r="1273">
      <c r="A1273" s="231"/>
      <c r="B1273" s="78"/>
      <c r="C1273" s="623"/>
      <c r="D1273" s="624"/>
      <c r="O1273" s="160"/>
      <c r="P1273" s="10"/>
    </row>
    <row r="1274">
      <c r="A1274" s="231"/>
      <c r="B1274" s="78"/>
      <c r="C1274" s="623"/>
      <c r="D1274" s="624"/>
      <c r="O1274" s="160"/>
      <c r="P1274" s="10"/>
    </row>
    <row r="1275">
      <c r="A1275" s="231"/>
      <c r="B1275" s="78"/>
      <c r="C1275" s="623"/>
      <c r="D1275" s="624"/>
      <c r="O1275" s="160"/>
      <c r="P1275" s="10"/>
    </row>
    <row r="1276">
      <c r="A1276" s="231"/>
      <c r="B1276" s="78"/>
      <c r="C1276" s="623"/>
      <c r="D1276" s="624"/>
      <c r="O1276" s="160"/>
      <c r="P1276" s="10"/>
    </row>
    <row r="1277">
      <c r="A1277" s="231"/>
      <c r="B1277" s="78"/>
      <c r="C1277" s="623"/>
      <c r="D1277" s="624"/>
      <c r="O1277" s="160"/>
      <c r="P1277" s="10"/>
    </row>
    <row r="1278">
      <c r="A1278" s="231"/>
      <c r="B1278" s="78"/>
      <c r="C1278" s="623"/>
      <c r="D1278" s="624"/>
      <c r="O1278" s="160"/>
      <c r="P1278" s="10"/>
    </row>
    <row r="1279">
      <c r="A1279" s="231"/>
      <c r="B1279" s="78"/>
      <c r="C1279" s="623"/>
      <c r="D1279" s="624"/>
      <c r="O1279" s="160"/>
      <c r="P1279" s="10"/>
    </row>
    <row r="1280">
      <c r="A1280" s="231"/>
      <c r="B1280" s="78"/>
      <c r="C1280" s="623"/>
      <c r="D1280" s="624"/>
      <c r="O1280" s="160"/>
      <c r="P1280" s="10"/>
    </row>
    <row r="1281">
      <c r="A1281" s="231"/>
      <c r="B1281" s="78"/>
      <c r="C1281" s="623"/>
      <c r="D1281" s="624"/>
      <c r="O1281" s="160"/>
      <c r="P1281" s="10"/>
    </row>
    <row r="1282">
      <c r="A1282" s="231"/>
      <c r="B1282" s="78"/>
      <c r="C1282" s="623"/>
      <c r="D1282" s="624"/>
      <c r="O1282" s="160"/>
      <c r="P1282" s="10"/>
    </row>
    <row r="1283">
      <c r="A1283" s="231"/>
      <c r="B1283" s="78"/>
      <c r="C1283" s="623"/>
      <c r="D1283" s="624"/>
      <c r="O1283" s="160"/>
      <c r="P1283" s="10"/>
    </row>
    <row r="1284">
      <c r="A1284" s="231"/>
      <c r="B1284" s="78"/>
      <c r="C1284" s="623"/>
      <c r="D1284" s="624"/>
      <c r="O1284" s="160"/>
      <c r="P1284" s="10"/>
    </row>
    <row r="1285">
      <c r="A1285" s="231"/>
      <c r="B1285" s="78"/>
      <c r="C1285" s="623"/>
      <c r="D1285" s="624"/>
      <c r="O1285" s="160"/>
      <c r="P1285" s="10"/>
    </row>
    <row r="1286">
      <c r="A1286" s="231"/>
      <c r="B1286" s="78"/>
      <c r="C1286" s="623"/>
      <c r="D1286" s="624"/>
      <c r="O1286" s="160"/>
      <c r="P1286" s="10"/>
    </row>
    <row r="1287">
      <c r="A1287" s="231"/>
      <c r="B1287" s="78"/>
      <c r="C1287" s="623"/>
      <c r="D1287" s="624"/>
      <c r="O1287" s="160"/>
      <c r="P1287" s="10"/>
    </row>
    <row r="1288">
      <c r="A1288" s="231"/>
      <c r="B1288" s="78"/>
      <c r="C1288" s="623"/>
      <c r="D1288" s="624"/>
      <c r="O1288" s="160"/>
      <c r="P1288" s="10"/>
    </row>
    <row r="1289">
      <c r="A1289" s="231"/>
      <c r="B1289" s="78"/>
      <c r="C1289" s="623"/>
      <c r="D1289" s="624"/>
      <c r="O1289" s="160"/>
      <c r="P1289" s="10"/>
    </row>
    <row r="1290">
      <c r="A1290" s="231"/>
      <c r="B1290" s="78"/>
      <c r="C1290" s="623"/>
      <c r="D1290" s="624"/>
      <c r="O1290" s="160"/>
      <c r="P1290" s="10"/>
    </row>
    <row r="1291">
      <c r="A1291" s="231"/>
      <c r="B1291" s="78"/>
      <c r="C1291" s="623"/>
      <c r="D1291" s="624"/>
      <c r="O1291" s="160"/>
      <c r="P1291" s="10"/>
    </row>
    <row r="1292">
      <c r="A1292" s="231"/>
      <c r="B1292" s="78"/>
      <c r="C1292" s="623"/>
      <c r="D1292" s="624"/>
      <c r="O1292" s="160"/>
      <c r="P1292" s="10"/>
    </row>
    <row r="1293">
      <c r="A1293" s="231"/>
      <c r="B1293" s="78"/>
      <c r="C1293" s="623"/>
      <c r="D1293" s="624"/>
      <c r="O1293" s="160"/>
      <c r="P1293" s="10"/>
    </row>
    <row r="1294">
      <c r="A1294" s="231"/>
      <c r="B1294" s="78"/>
      <c r="C1294" s="623"/>
      <c r="D1294" s="624"/>
      <c r="O1294" s="160"/>
      <c r="P1294" s="10"/>
    </row>
    <row r="1295">
      <c r="A1295" s="231"/>
      <c r="B1295" s="78"/>
      <c r="C1295" s="623"/>
      <c r="D1295" s="624"/>
      <c r="O1295" s="160"/>
      <c r="P1295" s="10"/>
    </row>
    <row r="1296">
      <c r="A1296" s="231"/>
      <c r="B1296" s="78"/>
      <c r="C1296" s="623"/>
      <c r="D1296" s="624"/>
      <c r="O1296" s="160"/>
      <c r="P1296" s="10"/>
    </row>
    <row r="1297">
      <c r="A1297" s="231"/>
      <c r="B1297" s="78"/>
      <c r="C1297" s="623"/>
      <c r="D1297" s="624"/>
      <c r="O1297" s="160"/>
      <c r="P1297" s="10"/>
    </row>
    <row r="1298">
      <c r="A1298" s="231"/>
      <c r="B1298" s="78"/>
      <c r="C1298" s="623"/>
      <c r="D1298" s="624"/>
      <c r="O1298" s="160"/>
      <c r="P1298" s="10"/>
    </row>
    <row r="1299">
      <c r="A1299" s="231"/>
      <c r="B1299" s="78"/>
      <c r="C1299" s="623"/>
      <c r="D1299" s="624"/>
      <c r="O1299" s="160"/>
      <c r="P1299" s="10"/>
    </row>
    <row r="1300">
      <c r="A1300" s="231"/>
      <c r="B1300" s="78"/>
      <c r="C1300" s="623"/>
      <c r="D1300" s="624"/>
      <c r="O1300" s="160"/>
      <c r="P1300" s="10"/>
    </row>
    <row r="1301">
      <c r="A1301" s="231"/>
      <c r="B1301" s="78"/>
      <c r="C1301" s="623"/>
      <c r="D1301" s="624"/>
      <c r="O1301" s="160"/>
      <c r="P1301" s="10"/>
    </row>
    <row r="1302">
      <c r="A1302" s="231"/>
      <c r="B1302" s="78"/>
      <c r="C1302" s="623"/>
      <c r="D1302" s="624"/>
      <c r="O1302" s="160"/>
      <c r="P1302" s="10"/>
    </row>
    <row r="1303">
      <c r="A1303" s="231"/>
      <c r="B1303" s="78"/>
      <c r="C1303" s="623"/>
      <c r="D1303" s="624"/>
      <c r="O1303" s="160"/>
      <c r="P1303" s="10"/>
    </row>
    <row r="1304">
      <c r="A1304" s="231"/>
      <c r="B1304" s="78"/>
      <c r="C1304" s="623"/>
      <c r="D1304" s="624"/>
      <c r="O1304" s="160"/>
      <c r="P1304" s="10"/>
    </row>
    <row r="1305">
      <c r="A1305" s="231"/>
      <c r="B1305" s="78"/>
      <c r="C1305" s="623"/>
      <c r="D1305" s="624"/>
      <c r="O1305" s="160"/>
      <c r="P1305" s="10"/>
    </row>
    <row r="1306">
      <c r="A1306" s="231"/>
      <c r="B1306" s="78"/>
      <c r="C1306" s="623"/>
      <c r="D1306" s="624"/>
      <c r="O1306" s="160"/>
      <c r="P1306" s="10"/>
    </row>
    <row r="1307">
      <c r="A1307" s="231"/>
      <c r="B1307" s="78"/>
      <c r="C1307" s="623"/>
      <c r="D1307" s="624"/>
      <c r="O1307" s="160"/>
      <c r="P1307" s="10"/>
    </row>
    <row r="1308">
      <c r="A1308" s="231"/>
      <c r="B1308" s="78"/>
      <c r="C1308" s="623"/>
      <c r="D1308" s="624"/>
      <c r="O1308" s="160"/>
      <c r="P1308" s="10"/>
    </row>
    <row r="1309">
      <c r="A1309" s="231"/>
      <c r="B1309" s="78"/>
      <c r="C1309" s="623"/>
      <c r="D1309" s="624"/>
      <c r="O1309" s="160"/>
      <c r="P1309" s="10"/>
    </row>
    <row r="1310">
      <c r="A1310" s="231"/>
      <c r="B1310" s="78"/>
      <c r="C1310" s="623"/>
      <c r="D1310" s="624"/>
      <c r="O1310" s="160"/>
      <c r="P1310" s="10"/>
    </row>
    <row r="1311">
      <c r="A1311" s="231"/>
      <c r="B1311" s="78"/>
      <c r="C1311" s="623"/>
      <c r="D1311" s="624"/>
      <c r="O1311" s="160"/>
      <c r="P1311" s="10"/>
    </row>
    <row r="1312">
      <c r="A1312" s="231"/>
      <c r="B1312" s="78"/>
      <c r="C1312" s="623"/>
      <c r="D1312" s="624"/>
      <c r="O1312" s="160"/>
      <c r="P1312" s="10"/>
    </row>
    <row r="1313">
      <c r="A1313" s="231"/>
      <c r="B1313" s="78"/>
      <c r="C1313" s="623"/>
      <c r="D1313" s="624"/>
      <c r="O1313" s="160"/>
      <c r="P1313" s="10"/>
    </row>
    <row r="1314">
      <c r="A1314" s="231"/>
      <c r="B1314" s="78"/>
      <c r="C1314" s="623"/>
      <c r="D1314" s="624"/>
      <c r="O1314" s="160"/>
      <c r="P1314" s="10"/>
    </row>
    <row r="1315">
      <c r="A1315" s="231"/>
      <c r="B1315" s="78"/>
      <c r="C1315" s="623"/>
      <c r="D1315" s="624"/>
      <c r="O1315" s="160"/>
      <c r="P1315" s="10"/>
    </row>
    <row r="1316">
      <c r="A1316" s="231"/>
      <c r="B1316" s="78"/>
      <c r="C1316" s="623"/>
      <c r="D1316" s="624"/>
      <c r="O1316" s="160"/>
      <c r="P1316" s="10"/>
    </row>
    <row r="1317">
      <c r="A1317" s="231"/>
      <c r="B1317" s="78"/>
      <c r="C1317" s="623"/>
      <c r="D1317" s="624"/>
      <c r="O1317" s="160"/>
      <c r="P1317" s="10"/>
    </row>
    <row r="1318">
      <c r="A1318" s="231"/>
      <c r="B1318" s="78"/>
      <c r="C1318" s="623"/>
      <c r="D1318" s="624"/>
      <c r="O1318" s="160"/>
      <c r="P1318" s="10"/>
    </row>
    <row r="1319">
      <c r="A1319" s="231"/>
      <c r="B1319" s="78"/>
      <c r="C1319" s="623"/>
      <c r="D1319" s="624"/>
      <c r="O1319" s="160"/>
      <c r="P1319" s="10"/>
    </row>
    <row r="1320">
      <c r="A1320" s="231"/>
      <c r="B1320" s="78"/>
      <c r="C1320" s="623"/>
      <c r="D1320" s="624"/>
      <c r="O1320" s="160"/>
      <c r="P1320" s="10"/>
    </row>
    <row r="1321">
      <c r="A1321" s="231"/>
      <c r="B1321" s="78"/>
      <c r="C1321" s="623"/>
      <c r="D1321" s="624"/>
      <c r="O1321" s="160"/>
      <c r="P1321" s="10"/>
    </row>
    <row r="1322">
      <c r="A1322" s="231"/>
      <c r="B1322" s="78"/>
      <c r="C1322" s="623"/>
      <c r="D1322" s="624"/>
      <c r="O1322" s="160"/>
      <c r="P1322" s="10"/>
    </row>
    <row r="1323">
      <c r="A1323" s="231"/>
      <c r="B1323" s="78"/>
      <c r="C1323" s="623"/>
      <c r="D1323" s="624"/>
      <c r="O1323" s="160"/>
      <c r="P1323" s="10"/>
    </row>
    <row r="1324">
      <c r="A1324" s="231"/>
      <c r="B1324" s="78"/>
      <c r="C1324" s="623"/>
      <c r="D1324" s="624"/>
      <c r="O1324" s="160"/>
      <c r="P1324" s="10"/>
    </row>
    <row r="1325">
      <c r="A1325" s="231"/>
      <c r="B1325" s="78"/>
      <c r="C1325" s="623"/>
      <c r="D1325" s="624"/>
      <c r="O1325" s="160"/>
      <c r="P1325" s="10"/>
    </row>
    <row r="1326">
      <c r="A1326" s="231"/>
      <c r="B1326" s="78"/>
      <c r="C1326" s="623"/>
      <c r="D1326" s="624"/>
      <c r="O1326" s="160"/>
      <c r="P1326" s="10"/>
    </row>
    <row r="1327">
      <c r="A1327" s="231"/>
      <c r="B1327" s="78"/>
      <c r="C1327" s="623"/>
      <c r="D1327" s="624"/>
      <c r="O1327" s="160"/>
      <c r="P1327" s="10"/>
    </row>
    <row r="1328">
      <c r="A1328" s="231"/>
      <c r="B1328" s="78"/>
      <c r="C1328" s="623"/>
      <c r="D1328" s="624"/>
      <c r="O1328" s="160"/>
      <c r="P1328" s="10"/>
    </row>
    <row r="1329">
      <c r="A1329" s="231"/>
      <c r="B1329" s="78"/>
      <c r="C1329" s="623"/>
      <c r="D1329" s="624"/>
      <c r="O1329" s="160"/>
      <c r="P1329" s="10"/>
    </row>
    <row r="1330">
      <c r="A1330" s="231"/>
      <c r="B1330" s="78"/>
      <c r="C1330" s="623"/>
      <c r="D1330" s="624"/>
      <c r="O1330" s="160"/>
      <c r="P1330" s="10"/>
    </row>
    <row r="1331">
      <c r="A1331" s="231"/>
      <c r="B1331" s="78"/>
      <c r="C1331" s="623"/>
      <c r="D1331" s="624"/>
      <c r="O1331" s="160"/>
      <c r="P1331" s="10"/>
    </row>
    <row r="1332">
      <c r="A1332" s="231"/>
      <c r="B1332" s="78"/>
      <c r="C1332" s="623"/>
      <c r="D1332" s="624"/>
      <c r="O1332" s="160"/>
      <c r="P1332" s="10"/>
    </row>
    <row r="1333">
      <c r="A1333" s="231"/>
      <c r="B1333" s="78"/>
      <c r="C1333" s="623"/>
      <c r="D1333" s="624"/>
      <c r="O1333" s="160"/>
      <c r="P1333" s="10"/>
    </row>
    <row r="1334">
      <c r="A1334" s="231"/>
      <c r="B1334" s="78"/>
      <c r="C1334" s="623"/>
      <c r="D1334" s="624"/>
      <c r="O1334" s="160"/>
      <c r="P1334" s="10"/>
    </row>
    <row r="1335">
      <c r="A1335" s="231"/>
      <c r="B1335" s="78"/>
      <c r="C1335" s="623"/>
      <c r="D1335" s="624"/>
      <c r="O1335" s="160"/>
      <c r="P1335" s="10"/>
    </row>
    <row r="1336">
      <c r="A1336" s="231"/>
      <c r="B1336" s="78"/>
      <c r="C1336" s="623"/>
      <c r="D1336" s="624"/>
      <c r="O1336" s="160"/>
      <c r="P1336" s="10"/>
    </row>
    <row r="1337">
      <c r="A1337" s="231"/>
      <c r="B1337" s="78"/>
      <c r="C1337" s="623"/>
      <c r="D1337" s="624"/>
      <c r="O1337" s="160"/>
      <c r="P1337" s="10"/>
    </row>
    <row r="1338">
      <c r="A1338" s="231"/>
      <c r="B1338" s="78"/>
      <c r="C1338" s="623"/>
      <c r="D1338" s="624"/>
      <c r="O1338" s="160"/>
      <c r="P1338" s="10"/>
    </row>
    <row r="1339">
      <c r="A1339" s="231"/>
      <c r="B1339" s="78"/>
      <c r="C1339" s="623"/>
      <c r="D1339" s="624"/>
      <c r="O1339" s="160"/>
      <c r="P1339" s="10"/>
    </row>
    <row r="1340">
      <c r="A1340" s="231"/>
      <c r="B1340" s="78"/>
      <c r="C1340" s="623"/>
      <c r="D1340" s="624"/>
      <c r="O1340" s="160"/>
      <c r="P1340" s="10"/>
    </row>
    <row r="1341">
      <c r="A1341" s="231"/>
      <c r="B1341" s="78"/>
      <c r="C1341" s="623"/>
      <c r="D1341" s="624"/>
      <c r="O1341" s="160"/>
      <c r="P1341" s="10"/>
    </row>
    <row r="1342">
      <c r="A1342" s="231"/>
      <c r="B1342" s="78"/>
      <c r="C1342" s="623"/>
      <c r="D1342" s="624"/>
      <c r="O1342" s="160"/>
      <c r="P1342" s="10"/>
    </row>
    <row r="1343">
      <c r="A1343" s="231"/>
      <c r="B1343" s="78"/>
      <c r="C1343" s="623"/>
      <c r="D1343" s="624"/>
      <c r="O1343" s="160"/>
      <c r="P1343" s="10"/>
    </row>
    <row r="1344">
      <c r="A1344" s="231"/>
      <c r="B1344" s="78"/>
      <c r="C1344" s="623"/>
      <c r="D1344" s="624"/>
      <c r="O1344" s="160"/>
      <c r="P1344" s="10"/>
    </row>
    <row r="1345">
      <c r="A1345" s="231"/>
      <c r="B1345" s="78"/>
      <c r="C1345" s="623"/>
      <c r="D1345" s="624"/>
      <c r="O1345" s="160"/>
      <c r="P1345" s="10"/>
    </row>
    <row r="1346">
      <c r="A1346" s="231"/>
      <c r="B1346" s="78"/>
      <c r="C1346" s="623"/>
      <c r="D1346" s="624"/>
      <c r="O1346" s="160"/>
      <c r="P1346" s="10"/>
    </row>
    <row r="1347">
      <c r="A1347" s="231"/>
      <c r="B1347" s="78"/>
      <c r="C1347" s="623"/>
      <c r="D1347" s="624"/>
      <c r="O1347" s="160"/>
      <c r="P1347" s="10"/>
    </row>
    <row r="1348">
      <c r="A1348" s="231"/>
      <c r="B1348" s="78"/>
      <c r="C1348" s="623"/>
      <c r="D1348" s="624"/>
      <c r="O1348" s="160"/>
      <c r="P1348" s="10"/>
    </row>
    <row r="1349">
      <c r="A1349" s="231"/>
      <c r="B1349" s="78"/>
      <c r="C1349" s="623"/>
      <c r="D1349" s="624"/>
      <c r="O1349" s="160"/>
      <c r="P1349" s="10"/>
    </row>
    <row r="1350">
      <c r="A1350" s="231"/>
      <c r="B1350" s="78"/>
      <c r="C1350" s="623"/>
      <c r="D1350" s="624"/>
      <c r="O1350" s="160"/>
      <c r="P1350" s="10"/>
    </row>
    <row r="1351">
      <c r="A1351" s="231"/>
      <c r="B1351" s="78"/>
      <c r="C1351" s="623"/>
      <c r="D1351" s="624"/>
      <c r="O1351" s="160"/>
      <c r="P1351" s="10"/>
    </row>
    <row r="1352">
      <c r="A1352" s="231"/>
      <c r="B1352" s="78"/>
      <c r="C1352" s="623"/>
      <c r="D1352" s="624"/>
      <c r="O1352" s="160"/>
      <c r="P1352" s="10"/>
    </row>
    <row r="1353">
      <c r="A1353" s="231"/>
      <c r="B1353" s="78"/>
      <c r="C1353" s="623"/>
      <c r="D1353" s="624"/>
      <c r="O1353" s="160"/>
      <c r="P1353" s="10"/>
    </row>
    <row r="1354">
      <c r="A1354" s="231"/>
      <c r="B1354" s="78"/>
      <c r="C1354" s="623"/>
      <c r="D1354" s="624"/>
      <c r="O1354" s="160"/>
      <c r="P1354" s="10"/>
    </row>
    <row r="1355">
      <c r="A1355" s="231"/>
      <c r="B1355" s="78"/>
      <c r="C1355" s="623"/>
      <c r="D1355" s="624"/>
      <c r="O1355" s="160"/>
      <c r="P1355" s="10"/>
    </row>
    <row r="1356">
      <c r="A1356" s="231"/>
      <c r="B1356" s="78"/>
      <c r="C1356" s="623"/>
      <c r="D1356" s="624"/>
      <c r="O1356" s="160"/>
      <c r="P1356" s="10"/>
    </row>
    <row r="1357">
      <c r="A1357" s="231"/>
      <c r="B1357" s="78"/>
      <c r="C1357" s="623"/>
      <c r="D1357" s="624"/>
      <c r="O1357" s="160"/>
      <c r="P1357" s="10"/>
    </row>
    <row r="1358">
      <c r="A1358" s="231"/>
      <c r="B1358" s="78"/>
      <c r="C1358" s="623"/>
      <c r="D1358" s="624"/>
      <c r="O1358" s="160"/>
      <c r="P1358" s="10"/>
    </row>
    <row r="1359">
      <c r="A1359" s="231"/>
      <c r="B1359" s="78"/>
      <c r="C1359" s="623"/>
      <c r="D1359" s="624"/>
      <c r="O1359" s="160"/>
      <c r="P1359" s="10"/>
    </row>
    <row r="1360">
      <c r="A1360" s="231"/>
      <c r="B1360" s="78"/>
      <c r="C1360" s="623"/>
      <c r="D1360" s="624"/>
      <c r="O1360" s="160"/>
      <c r="P1360" s="10"/>
    </row>
    <row r="1361">
      <c r="A1361" s="231"/>
      <c r="B1361" s="78"/>
      <c r="C1361" s="623"/>
      <c r="D1361" s="624"/>
      <c r="O1361" s="160"/>
      <c r="P1361" s="10"/>
    </row>
    <row r="1362">
      <c r="A1362" s="231"/>
      <c r="B1362" s="78"/>
      <c r="C1362" s="623"/>
      <c r="D1362" s="624"/>
      <c r="O1362" s="160"/>
      <c r="P1362" s="10"/>
    </row>
    <row r="1363">
      <c r="A1363" s="231"/>
      <c r="B1363" s="78"/>
      <c r="C1363" s="623"/>
      <c r="D1363" s="624"/>
      <c r="O1363" s="160"/>
      <c r="P1363" s="10"/>
    </row>
    <row r="1364">
      <c r="A1364" s="231"/>
      <c r="B1364" s="78"/>
      <c r="C1364" s="623"/>
      <c r="D1364" s="624"/>
      <c r="O1364" s="160"/>
      <c r="P1364" s="10"/>
    </row>
    <row r="1365">
      <c r="A1365" s="231"/>
      <c r="B1365" s="78"/>
      <c r="C1365" s="623"/>
      <c r="D1365" s="624"/>
      <c r="O1365" s="160"/>
      <c r="P1365" s="10"/>
    </row>
    <row r="1366">
      <c r="A1366" s="231"/>
      <c r="B1366" s="78"/>
      <c r="C1366" s="623"/>
      <c r="D1366" s="624"/>
      <c r="O1366" s="160"/>
      <c r="P1366" s="10"/>
    </row>
    <row r="1367">
      <c r="A1367" s="231"/>
      <c r="B1367" s="78"/>
      <c r="C1367" s="623"/>
      <c r="D1367" s="624"/>
      <c r="O1367" s="160"/>
      <c r="P1367" s="10"/>
    </row>
    <row r="1368">
      <c r="A1368" s="231"/>
      <c r="B1368" s="78"/>
      <c r="C1368" s="623"/>
      <c r="D1368" s="624"/>
      <c r="O1368" s="160"/>
      <c r="P1368" s="10"/>
    </row>
    <row r="1369">
      <c r="A1369" s="231"/>
      <c r="B1369" s="78"/>
      <c r="C1369" s="623"/>
      <c r="D1369" s="624"/>
      <c r="O1369" s="160"/>
      <c r="P1369" s="10"/>
    </row>
    <row r="1370">
      <c r="A1370" s="231"/>
      <c r="B1370" s="78"/>
      <c r="C1370" s="623"/>
      <c r="D1370" s="624"/>
      <c r="O1370" s="160"/>
      <c r="P1370" s="10"/>
    </row>
    <row r="1371">
      <c r="A1371" s="231"/>
      <c r="B1371" s="78"/>
      <c r="C1371" s="623"/>
      <c r="D1371" s="624"/>
      <c r="O1371" s="160"/>
      <c r="P1371" s="10"/>
    </row>
    <row r="1372">
      <c r="A1372" s="231"/>
      <c r="B1372" s="78"/>
      <c r="C1372" s="623"/>
      <c r="D1372" s="624"/>
      <c r="O1372" s="160"/>
      <c r="P1372" s="10"/>
    </row>
    <row r="1373">
      <c r="A1373" s="231"/>
      <c r="B1373" s="78"/>
      <c r="C1373" s="623"/>
      <c r="D1373" s="624"/>
      <c r="O1373" s="160"/>
      <c r="P1373" s="10"/>
    </row>
    <row r="1374">
      <c r="A1374" s="231"/>
      <c r="B1374" s="78"/>
      <c r="C1374" s="623"/>
      <c r="D1374" s="624"/>
      <c r="O1374" s="160"/>
      <c r="P1374" s="10"/>
    </row>
    <row r="1375">
      <c r="A1375" s="231"/>
      <c r="B1375" s="78"/>
      <c r="C1375" s="623"/>
      <c r="D1375" s="624"/>
      <c r="O1375" s="160"/>
      <c r="P1375" s="10"/>
    </row>
    <row r="1376">
      <c r="A1376" s="231"/>
      <c r="B1376" s="78"/>
      <c r="C1376" s="623"/>
      <c r="D1376" s="624"/>
      <c r="O1376" s="160"/>
      <c r="P1376" s="10"/>
    </row>
    <row r="1377">
      <c r="A1377" s="231"/>
      <c r="B1377" s="78"/>
      <c r="C1377" s="623"/>
      <c r="D1377" s="624"/>
      <c r="O1377" s="160"/>
      <c r="P1377" s="10"/>
    </row>
    <row r="1378">
      <c r="A1378" s="231"/>
      <c r="B1378" s="78"/>
      <c r="C1378" s="623"/>
      <c r="D1378" s="624"/>
      <c r="O1378" s="160"/>
      <c r="P1378" s="10"/>
    </row>
    <row r="1379">
      <c r="A1379" s="231"/>
      <c r="B1379" s="78"/>
      <c r="C1379" s="623"/>
      <c r="D1379" s="624"/>
      <c r="O1379" s="160"/>
      <c r="P1379" s="10"/>
    </row>
    <row r="1380">
      <c r="A1380" s="231"/>
      <c r="B1380" s="78"/>
      <c r="C1380" s="623"/>
      <c r="D1380" s="624"/>
      <c r="O1380" s="160"/>
      <c r="P1380" s="10"/>
    </row>
    <row r="1381">
      <c r="A1381" s="231"/>
      <c r="B1381" s="78"/>
      <c r="C1381" s="623"/>
      <c r="D1381" s="624"/>
      <c r="O1381" s="160"/>
      <c r="P1381" s="10"/>
    </row>
    <row r="1382">
      <c r="A1382" s="231"/>
      <c r="B1382" s="78"/>
      <c r="C1382" s="623"/>
      <c r="D1382" s="624"/>
      <c r="O1382" s="160"/>
      <c r="P1382" s="10"/>
    </row>
    <row r="1383">
      <c r="A1383" s="231"/>
      <c r="B1383" s="78"/>
      <c r="C1383" s="623"/>
      <c r="D1383" s="624"/>
      <c r="O1383" s="160"/>
      <c r="P1383" s="10"/>
    </row>
    <row r="1384">
      <c r="A1384" s="231"/>
      <c r="B1384" s="78"/>
      <c r="C1384" s="623"/>
      <c r="D1384" s="624"/>
      <c r="O1384" s="160"/>
      <c r="P1384" s="10"/>
    </row>
    <row r="1385">
      <c r="A1385" s="231"/>
      <c r="B1385" s="78"/>
      <c r="C1385" s="623"/>
      <c r="D1385" s="624"/>
      <c r="O1385" s="160"/>
      <c r="P1385" s="10"/>
    </row>
    <row r="1386">
      <c r="A1386" s="231"/>
      <c r="B1386" s="78"/>
      <c r="C1386" s="623"/>
      <c r="D1386" s="624"/>
      <c r="O1386" s="160"/>
      <c r="P1386" s="10"/>
    </row>
    <row r="1387">
      <c r="A1387" s="231"/>
      <c r="B1387" s="78"/>
      <c r="C1387" s="623"/>
      <c r="D1387" s="624"/>
      <c r="O1387" s="160"/>
      <c r="P1387" s="10"/>
    </row>
    <row r="1388">
      <c r="A1388" s="231"/>
      <c r="B1388" s="78"/>
      <c r="C1388" s="623"/>
      <c r="D1388" s="624"/>
      <c r="O1388" s="160"/>
      <c r="P1388" s="10"/>
    </row>
    <row r="1389">
      <c r="A1389" s="231"/>
      <c r="B1389" s="78"/>
      <c r="C1389" s="623"/>
      <c r="D1389" s="624"/>
      <c r="O1389" s="160"/>
      <c r="P1389" s="10"/>
    </row>
    <row r="1390">
      <c r="A1390" s="231"/>
      <c r="B1390" s="78"/>
      <c r="C1390" s="623"/>
      <c r="D1390" s="624"/>
      <c r="O1390" s="160"/>
      <c r="P1390" s="10"/>
    </row>
    <row r="1391">
      <c r="A1391" s="231"/>
      <c r="B1391" s="78"/>
      <c r="C1391" s="623"/>
      <c r="D1391" s="624"/>
      <c r="O1391" s="160"/>
      <c r="P1391" s="10"/>
    </row>
    <row r="1392">
      <c r="A1392" s="231"/>
      <c r="B1392" s="78"/>
      <c r="C1392" s="623"/>
      <c r="D1392" s="624"/>
      <c r="O1392" s="160"/>
      <c r="P1392" s="10"/>
    </row>
    <row r="1393">
      <c r="A1393" s="231"/>
      <c r="B1393" s="78"/>
      <c r="C1393" s="623"/>
      <c r="D1393" s="624"/>
      <c r="O1393" s="160"/>
      <c r="P1393" s="10"/>
    </row>
    <row r="1394">
      <c r="A1394" s="231"/>
      <c r="B1394" s="78"/>
      <c r="C1394" s="623"/>
      <c r="D1394" s="624"/>
      <c r="O1394" s="160"/>
      <c r="P1394" s="10"/>
    </row>
    <row r="1395">
      <c r="A1395" s="231"/>
      <c r="B1395" s="78"/>
      <c r="C1395" s="623"/>
      <c r="D1395" s="624"/>
      <c r="O1395" s="160"/>
      <c r="P1395" s="10"/>
    </row>
    <row r="1396">
      <c r="A1396" s="231"/>
      <c r="B1396" s="78"/>
      <c r="C1396" s="623"/>
      <c r="D1396" s="624"/>
      <c r="O1396" s="160"/>
      <c r="P1396" s="10"/>
    </row>
    <row r="1397">
      <c r="A1397" s="231"/>
      <c r="B1397" s="78"/>
      <c r="C1397" s="623"/>
      <c r="D1397" s="624"/>
      <c r="O1397" s="160"/>
      <c r="P1397" s="10"/>
    </row>
    <row r="1398">
      <c r="A1398" s="231"/>
      <c r="B1398" s="78"/>
      <c r="C1398" s="623"/>
      <c r="D1398" s="624"/>
      <c r="O1398" s="160"/>
      <c r="P1398" s="10"/>
    </row>
    <row r="1399">
      <c r="A1399" s="231"/>
      <c r="B1399" s="78"/>
      <c r="C1399" s="623"/>
      <c r="D1399" s="624"/>
      <c r="O1399" s="160"/>
      <c r="P1399" s="10"/>
    </row>
    <row r="1400">
      <c r="A1400" s="231"/>
      <c r="B1400" s="78"/>
      <c r="C1400" s="623"/>
      <c r="D1400" s="624"/>
      <c r="O1400" s="160"/>
      <c r="P1400" s="10"/>
    </row>
    <row r="1401">
      <c r="A1401" s="231"/>
      <c r="B1401" s="78"/>
      <c r="C1401" s="623"/>
      <c r="D1401" s="624"/>
      <c r="O1401" s="160"/>
      <c r="P1401" s="10"/>
    </row>
    <row r="1402">
      <c r="A1402" s="231"/>
      <c r="B1402" s="78"/>
      <c r="C1402" s="623"/>
      <c r="D1402" s="624"/>
      <c r="O1402" s="160"/>
      <c r="P1402" s="10"/>
    </row>
    <row r="1403">
      <c r="A1403" s="231"/>
      <c r="B1403" s="78"/>
      <c r="C1403" s="623"/>
      <c r="D1403" s="624"/>
      <c r="O1403" s="160"/>
      <c r="P1403" s="10"/>
    </row>
    <row r="1404">
      <c r="A1404" s="231"/>
      <c r="B1404" s="78"/>
      <c r="C1404" s="623"/>
      <c r="D1404" s="624"/>
      <c r="O1404" s="160"/>
      <c r="P1404" s="10"/>
    </row>
    <row r="1405">
      <c r="A1405" s="231"/>
      <c r="B1405" s="78"/>
      <c r="C1405" s="623"/>
      <c r="D1405" s="624"/>
      <c r="O1405" s="160"/>
      <c r="P1405" s="10"/>
    </row>
    <row r="1406">
      <c r="A1406" s="231"/>
      <c r="B1406" s="78"/>
      <c r="C1406" s="623"/>
      <c r="D1406" s="624"/>
      <c r="O1406" s="160"/>
      <c r="P1406" s="10"/>
    </row>
    <row r="1407">
      <c r="A1407" s="231"/>
      <c r="B1407" s="78"/>
      <c r="C1407" s="623"/>
      <c r="D1407" s="624"/>
      <c r="O1407" s="160"/>
      <c r="P1407" s="10"/>
    </row>
    <row r="1408">
      <c r="A1408" s="231"/>
      <c r="B1408" s="78"/>
      <c r="C1408" s="623"/>
      <c r="D1408" s="624"/>
      <c r="O1408" s="160"/>
      <c r="P1408" s="10"/>
    </row>
    <row r="1409">
      <c r="A1409" s="231"/>
      <c r="B1409" s="78"/>
      <c r="C1409" s="623"/>
      <c r="D1409" s="624"/>
      <c r="O1409" s="160"/>
      <c r="P1409" s="10"/>
    </row>
    <row r="1410">
      <c r="A1410" s="231"/>
      <c r="B1410" s="78"/>
      <c r="C1410" s="623"/>
      <c r="D1410" s="624"/>
      <c r="O1410" s="160"/>
      <c r="P1410" s="10"/>
    </row>
    <row r="1411">
      <c r="A1411" s="231"/>
      <c r="B1411" s="78"/>
      <c r="C1411" s="623"/>
      <c r="D1411" s="624"/>
      <c r="O1411" s="160"/>
      <c r="P1411" s="10"/>
    </row>
    <row r="1412">
      <c r="A1412" s="231"/>
      <c r="B1412" s="78"/>
      <c r="C1412" s="623"/>
      <c r="D1412" s="624"/>
      <c r="O1412" s="160"/>
      <c r="P1412" s="10"/>
    </row>
    <row r="1413">
      <c r="A1413" s="231"/>
      <c r="B1413" s="78"/>
      <c r="C1413" s="623"/>
      <c r="D1413" s="624"/>
      <c r="O1413" s="160"/>
      <c r="P1413" s="10"/>
    </row>
    <row r="1414">
      <c r="A1414" s="231"/>
      <c r="B1414" s="78"/>
      <c r="C1414" s="623"/>
      <c r="D1414" s="624"/>
      <c r="O1414" s="160"/>
      <c r="P1414" s="10"/>
    </row>
    <row r="1415">
      <c r="A1415" s="231"/>
      <c r="B1415" s="78"/>
      <c r="C1415" s="623"/>
      <c r="D1415" s="624"/>
      <c r="O1415" s="160"/>
      <c r="P1415" s="10"/>
    </row>
    <row r="1416">
      <c r="A1416" s="231"/>
      <c r="B1416" s="78"/>
      <c r="C1416" s="623"/>
      <c r="D1416" s="624"/>
      <c r="O1416" s="160"/>
      <c r="P1416" s="10"/>
    </row>
    <row r="1417">
      <c r="A1417" s="231"/>
      <c r="B1417" s="78"/>
      <c r="C1417" s="623"/>
      <c r="D1417" s="624"/>
      <c r="O1417" s="160"/>
      <c r="P1417" s="10"/>
    </row>
    <row r="1418">
      <c r="A1418" s="231"/>
      <c r="B1418" s="78"/>
      <c r="C1418" s="623"/>
      <c r="D1418" s="624"/>
      <c r="O1418" s="160"/>
      <c r="P1418" s="10"/>
    </row>
    <row r="1419">
      <c r="A1419" s="231"/>
      <c r="B1419" s="78"/>
      <c r="C1419" s="623"/>
      <c r="D1419" s="624"/>
      <c r="O1419" s="160"/>
      <c r="P1419" s="10"/>
    </row>
    <row r="1420">
      <c r="A1420" s="231"/>
      <c r="B1420" s="78"/>
      <c r="C1420" s="623"/>
      <c r="D1420" s="624"/>
      <c r="O1420" s="160"/>
      <c r="P1420" s="10"/>
    </row>
    <row r="1421">
      <c r="A1421" s="231"/>
      <c r="B1421" s="78"/>
      <c r="C1421" s="623"/>
      <c r="D1421" s="624"/>
      <c r="O1421" s="160"/>
      <c r="P1421" s="10"/>
    </row>
    <row r="1422">
      <c r="A1422" s="231"/>
      <c r="B1422" s="78"/>
      <c r="C1422" s="623"/>
      <c r="D1422" s="624"/>
      <c r="O1422" s="160"/>
      <c r="P1422" s="10"/>
    </row>
    <row r="1423">
      <c r="A1423" s="231"/>
      <c r="B1423" s="78"/>
      <c r="C1423" s="623"/>
      <c r="D1423" s="624"/>
      <c r="O1423" s="160"/>
      <c r="P1423" s="10"/>
    </row>
    <row r="1424">
      <c r="A1424" s="231"/>
      <c r="B1424" s="78"/>
      <c r="C1424" s="623"/>
      <c r="D1424" s="624"/>
      <c r="O1424" s="160"/>
      <c r="P1424" s="10"/>
    </row>
    <row r="1425">
      <c r="A1425" s="231"/>
      <c r="B1425" s="78"/>
      <c r="C1425" s="623"/>
      <c r="D1425" s="624"/>
      <c r="O1425" s="160"/>
      <c r="P1425" s="10"/>
    </row>
    <row r="1426">
      <c r="A1426" s="231"/>
      <c r="B1426" s="78"/>
      <c r="C1426" s="623"/>
      <c r="D1426" s="624"/>
      <c r="O1426" s="160"/>
      <c r="P1426" s="10"/>
    </row>
    <row r="1427">
      <c r="A1427" s="231"/>
      <c r="B1427" s="78"/>
      <c r="C1427" s="623"/>
      <c r="D1427" s="624"/>
      <c r="O1427" s="160"/>
      <c r="P1427" s="10"/>
    </row>
    <row r="1428">
      <c r="A1428" s="231"/>
      <c r="B1428" s="78"/>
      <c r="C1428" s="623"/>
      <c r="D1428" s="624"/>
      <c r="O1428" s="160"/>
      <c r="P1428" s="10"/>
    </row>
    <row r="1429">
      <c r="A1429" s="231"/>
      <c r="B1429" s="78"/>
      <c r="C1429" s="623"/>
      <c r="D1429" s="624"/>
      <c r="O1429" s="160"/>
      <c r="P1429" s="10"/>
    </row>
    <row r="1430">
      <c r="A1430" s="231"/>
      <c r="B1430" s="78"/>
      <c r="C1430" s="623"/>
      <c r="D1430" s="624"/>
      <c r="O1430" s="160"/>
      <c r="P1430" s="10"/>
    </row>
    <row r="1431">
      <c r="A1431" s="231"/>
      <c r="B1431" s="78"/>
      <c r="C1431" s="623"/>
      <c r="D1431" s="624"/>
      <c r="O1431" s="160"/>
      <c r="P1431" s="10"/>
    </row>
    <row r="1432">
      <c r="A1432" s="231"/>
      <c r="B1432" s="78"/>
      <c r="C1432" s="623"/>
      <c r="D1432" s="624"/>
      <c r="O1432" s="160"/>
      <c r="P1432" s="10"/>
    </row>
    <row r="1433">
      <c r="A1433" s="231"/>
      <c r="B1433" s="78"/>
      <c r="C1433" s="623"/>
      <c r="D1433" s="624"/>
      <c r="O1433" s="160"/>
      <c r="P1433" s="10"/>
    </row>
    <row r="1434">
      <c r="A1434" s="231"/>
      <c r="B1434" s="78"/>
      <c r="C1434" s="623"/>
      <c r="D1434" s="624"/>
      <c r="O1434" s="160"/>
      <c r="P1434" s="10"/>
    </row>
    <row r="1435">
      <c r="A1435" s="231"/>
      <c r="B1435" s="78"/>
      <c r="C1435" s="623"/>
      <c r="D1435" s="624"/>
      <c r="O1435" s="160"/>
      <c r="P1435" s="10"/>
    </row>
    <row r="1436">
      <c r="A1436" s="231"/>
      <c r="B1436" s="78"/>
      <c r="C1436" s="623"/>
      <c r="D1436" s="624"/>
      <c r="O1436" s="160"/>
      <c r="P1436" s="10"/>
    </row>
    <row r="1437">
      <c r="A1437" s="231"/>
      <c r="B1437" s="78"/>
      <c r="C1437" s="623"/>
      <c r="D1437" s="624"/>
      <c r="O1437" s="160"/>
      <c r="P1437" s="10"/>
    </row>
    <row r="1438">
      <c r="A1438" s="231"/>
      <c r="B1438" s="78"/>
      <c r="C1438" s="623"/>
      <c r="D1438" s="624"/>
      <c r="O1438" s="160"/>
      <c r="P1438" s="10"/>
    </row>
    <row r="1439">
      <c r="A1439" s="231"/>
      <c r="B1439" s="78"/>
      <c r="C1439" s="623"/>
      <c r="D1439" s="624"/>
      <c r="O1439" s="160"/>
      <c r="P1439" s="10"/>
    </row>
    <row r="1440">
      <c r="A1440" s="231"/>
      <c r="B1440" s="78"/>
      <c r="C1440" s="623"/>
      <c r="D1440" s="624"/>
      <c r="O1440" s="160"/>
      <c r="P1440" s="10"/>
    </row>
    <row r="1441">
      <c r="A1441" s="231"/>
      <c r="B1441" s="78"/>
      <c r="C1441" s="623"/>
      <c r="D1441" s="624"/>
      <c r="O1441" s="160"/>
      <c r="P1441" s="10"/>
    </row>
    <row r="1442">
      <c r="A1442" s="231"/>
      <c r="B1442" s="78"/>
      <c r="C1442" s="623"/>
      <c r="D1442" s="624"/>
      <c r="O1442" s="160"/>
      <c r="P1442" s="10"/>
    </row>
    <row r="1443">
      <c r="A1443" s="231"/>
      <c r="B1443" s="78"/>
      <c r="C1443" s="623"/>
      <c r="D1443" s="624"/>
      <c r="O1443" s="160"/>
      <c r="P1443" s="10"/>
    </row>
    <row r="1444">
      <c r="A1444" s="231"/>
      <c r="B1444" s="78"/>
      <c r="C1444" s="623"/>
      <c r="D1444" s="624"/>
      <c r="O1444" s="160"/>
      <c r="P1444" s="10"/>
    </row>
    <row r="1445">
      <c r="A1445" s="231"/>
      <c r="B1445" s="78"/>
      <c r="C1445" s="623"/>
      <c r="D1445" s="624"/>
      <c r="O1445" s="160"/>
      <c r="P1445" s="10"/>
    </row>
    <row r="1446">
      <c r="A1446" s="231"/>
      <c r="B1446" s="78"/>
      <c r="C1446" s="623"/>
      <c r="D1446" s="624"/>
      <c r="O1446" s="160"/>
      <c r="P1446" s="10"/>
    </row>
    <row r="1447">
      <c r="A1447" s="231"/>
      <c r="B1447" s="78"/>
      <c r="C1447" s="623"/>
      <c r="D1447" s="624"/>
      <c r="O1447" s="160"/>
      <c r="P1447" s="10"/>
    </row>
    <row r="1448">
      <c r="A1448" s="231"/>
      <c r="B1448" s="78"/>
      <c r="C1448" s="623"/>
      <c r="D1448" s="624"/>
      <c r="O1448" s="160"/>
      <c r="P1448" s="10"/>
    </row>
    <row r="1449">
      <c r="A1449" s="231"/>
      <c r="B1449" s="78"/>
      <c r="C1449" s="623"/>
      <c r="D1449" s="624"/>
      <c r="O1449" s="160"/>
      <c r="P1449" s="10"/>
    </row>
    <row r="1450">
      <c r="A1450" s="231"/>
      <c r="B1450" s="78"/>
      <c r="C1450" s="623"/>
      <c r="D1450" s="624"/>
      <c r="O1450" s="160"/>
      <c r="P1450" s="10"/>
    </row>
    <row r="1451">
      <c r="A1451" s="231"/>
      <c r="B1451" s="78"/>
      <c r="C1451" s="623"/>
      <c r="D1451" s="624"/>
      <c r="O1451" s="160"/>
      <c r="P1451" s="10"/>
    </row>
    <row r="1452">
      <c r="A1452" s="231"/>
      <c r="B1452" s="78"/>
      <c r="C1452" s="623"/>
      <c r="D1452" s="624"/>
      <c r="O1452" s="160"/>
      <c r="P1452" s="10"/>
    </row>
    <row r="1453">
      <c r="A1453" s="231"/>
      <c r="B1453" s="78"/>
      <c r="C1453" s="623"/>
      <c r="D1453" s="624"/>
      <c r="O1453" s="160"/>
      <c r="P1453" s="10"/>
    </row>
    <row r="1454">
      <c r="A1454" s="231"/>
      <c r="B1454" s="78"/>
      <c r="C1454" s="623"/>
      <c r="D1454" s="624"/>
      <c r="O1454" s="160"/>
      <c r="P1454" s="10"/>
    </row>
    <row r="1455">
      <c r="A1455" s="231"/>
      <c r="B1455" s="78"/>
      <c r="C1455" s="623"/>
      <c r="D1455" s="624"/>
      <c r="O1455" s="160"/>
      <c r="P1455" s="10"/>
    </row>
    <row r="1456">
      <c r="A1456" s="231"/>
      <c r="B1456" s="78"/>
      <c r="C1456" s="623"/>
      <c r="D1456" s="624"/>
      <c r="O1456" s="160"/>
      <c r="P1456" s="10"/>
    </row>
    <row r="1457">
      <c r="A1457" s="231"/>
      <c r="B1457" s="78"/>
      <c r="C1457" s="623"/>
      <c r="D1457" s="624"/>
      <c r="O1457" s="160"/>
      <c r="P1457" s="10"/>
    </row>
    <row r="1458">
      <c r="A1458" s="231"/>
      <c r="B1458" s="78"/>
      <c r="C1458" s="623"/>
      <c r="D1458" s="624"/>
      <c r="O1458" s="160"/>
      <c r="P1458" s="10"/>
    </row>
    <row r="1459">
      <c r="A1459" s="231"/>
      <c r="B1459" s="78"/>
      <c r="C1459" s="623"/>
      <c r="D1459" s="624"/>
      <c r="O1459" s="160"/>
      <c r="P1459" s="10"/>
    </row>
    <row r="1460">
      <c r="A1460" s="231"/>
      <c r="B1460" s="78"/>
      <c r="C1460" s="623"/>
      <c r="D1460" s="624"/>
      <c r="O1460" s="160"/>
      <c r="P1460" s="10"/>
    </row>
    <row r="1461">
      <c r="A1461" s="231"/>
      <c r="B1461" s="78"/>
      <c r="C1461" s="623"/>
      <c r="D1461" s="624"/>
      <c r="O1461" s="160"/>
      <c r="P1461" s="10"/>
    </row>
    <row r="1462">
      <c r="A1462" s="231"/>
      <c r="B1462" s="78"/>
      <c r="C1462" s="623"/>
      <c r="D1462" s="624"/>
      <c r="O1462" s="160"/>
      <c r="P1462" s="10"/>
    </row>
    <row r="1463">
      <c r="A1463" s="231"/>
      <c r="B1463" s="78"/>
      <c r="C1463" s="623"/>
      <c r="D1463" s="624"/>
      <c r="O1463" s="160"/>
      <c r="P1463" s="10"/>
    </row>
    <row r="1464">
      <c r="A1464" s="231"/>
      <c r="B1464" s="78"/>
      <c r="C1464" s="623"/>
      <c r="D1464" s="624"/>
      <c r="O1464" s="160"/>
      <c r="P1464" s="10"/>
    </row>
    <row r="1465">
      <c r="A1465" s="231"/>
      <c r="B1465" s="78"/>
      <c r="C1465" s="623"/>
      <c r="D1465" s="624"/>
      <c r="O1465" s="160"/>
      <c r="P1465" s="10"/>
    </row>
    <row r="1466">
      <c r="A1466" s="231"/>
      <c r="B1466" s="78"/>
      <c r="C1466" s="623"/>
      <c r="D1466" s="624"/>
      <c r="O1466" s="160"/>
      <c r="P1466" s="10"/>
    </row>
    <row r="1467">
      <c r="A1467" s="231"/>
      <c r="B1467" s="78"/>
      <c r="C1467" s="623"/>
      <c r="D1467" s="624"/>
      <c r="O1467" s="160"/>
      <c r="P1467" s="10"/>
    </row>
    <row r="1468">
      <c r="A1468" s="231"/>
      <c r="B1468" s="78"/>
      <c r="C1468" s="623"/>
      <c r="D1468" s="624"/>
      <c r="O1468" s="160"/>
      <c r="P1468" s="10"/>
    </row>
    <row r="1469">
      <c r="A1469" s="231"/>
      <c r="B1469" s="78"/>
      <c r="C1469" s="623"/>
      <c r="D1469" s="624"/>
      <c r="O1469" s="160"/>
      <c r="P1469" s="10"/>
    </row>
    <row r="1470">
      <c r="A1470" s="231"/>
      <c r="B1470" s="78"/>
      <c r="C1470" s="623"/>
      <c r="D1470" s="624"/>
      <c r="O1470" s="160"/>
      <c r="P1470" s="10"/>
    </row>
    <row r="1471">
      <c r="A1471" s="231"/>
      <c r="B1471" s="78"/>
      <c r="C1471" s="623"/>
      <c r="D1471" s="624"/>
      <c r="O1471" s="160"/>
      <c r="P1471" s="10"/>
    </row>
    <row r="1472">
      <c r="A1472" s="231"/>
      <c r="B1472" s="78"/>
      <c r="C1472" s="623"/>
      <c r="D1472" s="624"/>
      <c r="O1472" s="160"/>
      <c r="P1472" s="10"/>
    </row>
    <row r="1473">
      <c r="A1473" s="231"/>
      <c r="B1473" s="78"/>
      <c r="C1473" s="623"/>
      <c r="D1473" s="624"/>
      <c r="O1473" s="160"/>
      <c r="P1473" s="10"/>
    </row>
    <row r="1474">
      <c r="A1474" s="231"/>
      <c r="B1474" s="78"/>
      <c r="C1474" s="623"/>
      <c r="D1474" s="624"/>
      <c r="O1474" s="160"/>
      <c r="P1474" s="10"/>
    </row>
    <row r="1475">
      <c r="A1475" s="231"/>
      <c r="B1475" s="78"/>
      <c r="C1475" s="623"/>
      <c r="D1475" s="624"/>
      <c r="O1475" s="160"/>
      <c r="P1475" s="10"/>
    </row>
    <row r="1476">
      <c r="A1476" s="231"/>
      <c r="B1476" s="78"/>
      <c r="C1476" s="623"/>
      <c r="D1476" s="624"/>
      <c r="O1476" s="160"/>
      <c r="P1476" s="10"/>
    </row>
    <row r="1477">
      <c r="A1477" s="231"/>
      <c r="B1477" s="78"/>
      <c r="C1477" s="623"/>
      <c r="D1477" s="624"/>
      <c r="O1477" s="160"/>
      <c r="P1477" s="10"/>
    </row>
    <row r="1478">
      <c r="A1478" s="231"/>
      <c r="B1478" s="78"/>
      <c r="C1478" s="623"/>
      <c r="D1478" s="624"/>
      <c r="O1478" s="160"/>
      <c r="P1478" s="10"/>
    </row>
    <row r="1479">
      <c r="A1479" s="231"/>
      <c r="B1479" s="78"/>
      <c r="C1479" s="623"/>
      <c r="D1479" s="624"/>
      <c r="O1479" s="160"/>
      <c r="P1479" s="10"/>
    </row>
    <row r="1480">
      <c r="A1480" s="231"/>
      <c r="B1480" s="78"/>
      <c r="C1480" s="623"/>
      <c r="D1480" s="624"/>
      <c r="O1480" s="160"/>
      <c r="P1480" s="10"/>
    </row>
    <row r="1481">
      <c r="A1481" s="231"/>
      <c r="B1481" s="78"/>
      <c r="C1481" s="623"/>
      <c r="D1481" s="624"/>
      <c r="O1481" s="160"/>
      <c r="P1481" s="10"/>
    </row>
    <row r="1482">
      <c r="A1482" s="231"/>
      <c r="B1482" s="78"/>
      <c r="C1482" s="623"/>
      <c r="D1482" s="624"/>
      <c r="O1482" s="160"/>
      <c r="P1482" s="10"/>
    </row>
    <row r="1483">
      <c r="A1483" s="231"/>
      <c r="B1483" s="78"/>
      <c r="C1483" s="623"/>
      <c r="D1483" s="624"/>
      <c r="O1483" s="160"/>
      <c r="P1483" s="10"/>
    </row>
    <row r="1484">
      <c r="A1484" s="231"/>
      <c r="B1484" s="78"/>
      <c r="C1484" s="623"/>
      <c r="D1484" s="624"/>
      <c r="O1484" s="160"/>
      <c r="P1484" s="10"/>
    </row>
    <row r="1485">
      <c r="A1485" s="231"/>
      <c r="B1485" s="78"/>
      <c r="C1485" s="623"/>
      <c r="D1485" s="624"/>
      <c r="O1485" s="160"/>
      <c r="P1485" s="10"/>
    </row>
    <row r="1486">
      <c r="A1486" s="231"/>
      <c r="B1486" s="78"/>
      <c r="C1486" s="623"/>
      <c r="D1486" s="624"/>
      <c r="O1486" s="160"/>
      <c r="P1486" s="10"/>
    </row>
    <row r="1487">
      <c r="A1487" s="231"/>
      <c r="B1487" s="78"/>
      <c r="C1487" s="623"/>
      <c r="D1487" s="624"/>
      <c r="O1487" s="160"/>
      <c r="P1487" s="10"/>
    </row>
    <row r="1488">
      <c r="A1488" s="231"/>
      <c r="B1488" s="78"/>
      <c r="C1488" s="623"/>
      <c r="D1488" s="624"/>
      <c r="O1488" s="160"/>
      <c r="P1488" s="10"/>
    </row>
    <row r="1489">
      <c r="A1489" s="231"/>
      <c r="B1489" s="78"/>
      <c r="C1489" s="623"/>
      <c r="D1489" s="624"/>
      <c r="O1489" s="160"/>
      <c r="P1489" s="10"/>
    </row>
    <row r="1490">
      <c r="A1490" s="231"/>
      <c r="B1490" s="78"/>
      <c r="C1490" s="623"/>
      <c r="D1490" s="624"/>
      <c r="O1490" s="160"/>
      <c r="P1490" s="10"/>
    </row>
    <row r="1491">
      <c r="A1491" s="231"/>
      <c r="B1491" s="78"/>
      <c r="C1491" s="623"/>
      <c r="D1491" s="624"/>
      <c r="O1491" s="160"/>
      <c r="P1491" s="10"/>
    </row>
    <row r="1492">
      <c r="A1492" s="231"/>
      <c r="B1492" s="78"/>
      <c r="C1492" s="623"/>
      <c r="D1492" s="624"/>
      <c r="O1492" s="160"/>
      <c r="P1492" s="10"/>
    </row>
    <row r="1493">
      <c r="A1493" s="231"/>
      <c r="B1493" s="78"/>
      <c r="C1493" s="623"/>
      <c r="D1493" s="624"/>
      <c r="O1493" s="160"/>
      <c r="P1493" s="10"/>
    </row>
    <row r="1494">
      <c r="A1494" s="231"/>
      <c r="B1494" s="78"/>
      <c r="C1494" s="623"/>
      <c r="D1494" s="624"/>
      <c r="O1494" s="160"/>
      <c r="P1494" s="10"/>
    </row>
    <row r="1495">
      <c r="A1495" s="231"/>
      <c r="B1495" s="78"/>
      <c r="C1495" s="623"/>
      <c r="D1495" s="624"/>
      <c r="O1495" s="160"/>
      <c r="P1495" s="10"/>
    </row>
    <row r="1496">
      <c r="A1496" s="231"/>
      <c r="B1496" s="78"/>
      <c r="C1496" s="623"/>
      <c r="D1496" s="624"/>
      <c r="O1496" s="160"/>
      <c r="P1496" s="10"/>
    </row>
    <row r="1497">
      <c r="A1497" s="231"/>
      <c r="B1497" s="78"/>
      <c r="C1497" s="623"/>
      <c r="D1497" s="624"/>
      <c r="O1497" s="160"/>
      <c r="P1497" s="10"/>
    </row>
    <row r="1498">
      <c r="A1498" s="231"/>
      <c r="B1498" s="78"/>
      <c r="C1498" s="623"/>
      <c r="D1498" s="624"/>
      <c r="O1498" s="160"/>
      <c r="P1498" s="10"/>
    </row>
    <row r="1499">
      <c r="A1499" s="231"/>
      <c r="B1499" s="78"/>
      <c r="C1499" s="623"/>
      <c r="D1499" s="624"/>
      <c r="O1499" s="160"/>
      <c r="P1499" s="10"/>
    </row>
    <row r="1500">
      <c r="A1500" s="231"/>
      <c r="B1500" s="78"/>
      <c r="C1500" s="623"/>
      <c r="D1500" s="624"/>
      <c r="O1500" s="160"/>
      <c r="P1500" s="10"/>
    </row>
    <row r="1501">
      <c r="A1501" s="231"/>
      <c r="B1501" s="78"/>
      <c r="C1501" s="623"/>
      <c r="D1501" s="624"/>
      <c r="O1501" s="160"/>
      <c r="P1501" s="10"/>
    </row>
    <row r="1502">
      <c r="A1502" s="231"/>
      <c r="B1502" s="78"/>
      <c r="C1502" s="623"/>
      <c r="D1502" s="624"/>
      <c r="O1502" s="160"/>
      <c r="P1502" s="10"/>
    </row>
    <row r="1503">
      <c r="A1503" s="231"/>
      <c r="B1503" s="78"/>
      <c r="C1503" s="623"/>
      <c r="D1503" s="624"/>
      <c r="O1503" s="160"/>
      <c r="P1503" s="10"/>
    </row>
    <row r="1504">
      <c r="A1504" s="231"/>
      <c r="B1504" s="78"/>
      <c r="C1504" s="623"/>
      <c r="D1504" s="624"/>
      <c r="O1504" s="160"/>
      <c r="P1504" s="10"/>
    </row>
    <row r="1505">
      <c r="A1505" s="231"/>
      <c r="B1505" s="78"/>
      <c r="C1505" s="623"/>
      <c r="D1505" s="624"/>
      <c r="O1505" s="160"/>
      <c r="P1505" s="10"/>
    </row>
    <row r="1506">
      <c r="A1506" s="231"/>
      <c r="B1506" s="78"/>
      <c r="C1506" s="623"/>
      <c r="D1506" s="624"/>
      <c r="O1506" s="160"/>
      <c r="P1506" s="10"/>
    </row>
    <row r="1507">
      <c r="A1507" s="231"/>
      <c r="B1507" s="78"/>
      <c r="C1507" s="623"/>
      <c r="D1507" s="624"/>
      <c r="O1507" s="160"/>
      <c r="P1507" s="10"/>
    </row>
    <row r="1508">
      <c r="A1508" s="231"/>
      <c r="B1508" s="78"/>
      <c r="C1508" s="623"/>
      <c r="D1508" s="624"/>
      <c r="O1508" s="160"/>
      <c r="P1508" s="10"/>
    </row>
    <row r="1509">
      <c r="A1509" s="231"/>
      <c r="B1509" s="78"/>
      <c r="C1509" s="623"/>
      <c r="D1509" s="624"/>
      <c r="O1509" s="160"/>
      <c r="P1509" s="10"/>
    </row>
    <row r="1510">
      <c r="A1510" s="231"/>
      <c r="B1510" s="78"/>
      <c r="C1510" s="623"/>
      <c r="D1510" s="624"/>
      <c r="O1510" s="160"/>
      <c r="P1510" s="10"/>
    </row>
    <row r="1511">
      <c r="A1511" s="231"/>
      <c r="B1511" s="78"/>
      <c r="C1511" s="623"/>
      <c r="D1511" s="624"/>
      <c r="O1511" s="160"/>
      <c r="P1511" s="10"/>
    </row>
    <row r="1512">
      <c r="A1512" s="231"/>
      <c r="B1512" s="78"/>
      <c r="C1512" s="623"/>
      <c r="D1512" s="624"/>
      <c r="O1512" s="160"/>
      <c r="P1512" s="10"/>
    </row>
    <row r="1513">
      <c r="A1513" s="231"/>
      <c r="B1513" s="78"/>
      <c r="C1513" s="623"/>
      <c r="D1513" s="624"/>
      <c r="O1513" s="160"/>
      <c r="P1513" s="10"/>
    </row>
    <row r="1514">
      <c r="A1514" s="231"/>
      <c r="B1514" s="78"/>
      <c r="C1514" s="623"/>
      <c r="D1514" s="624"/>
      <c r="O1514" s="160"/>
      <c r="P1514" s="10"/>
    </row>
    <row r="1515">
      <c r="A1515" s="231"/>
      <c r="B1515" s="78"/>
      <c r="C1515" s="623"/>
      <c r="D1515" s="624"/>
      <c r="O1515" s="160"/>
      <c r="P1515" s="10"/>
    </row>
    <row r="1516">
      <c r="A1516" s="231"/>
      <c r="B1516" s="78"/>
      <c r="C1516" s="623"/>
      <c r="D1516" s="624"/>
      <c r="O1516" s="160"/>
      <c r="P1516" s="10"/>
    </row>
    <row r="1517">
      <c r="A1517" s="231"/>
      <c r="B1517" s="78"/>
      <c r="C1517" s="623"/>
      <c r="D1517" s="624"/>
      <c r="O1517" s="160"/>
      <c r="P1517" s="10"/>
    </row>
    <row r="1518">
      <c r="A1518" s="231"/>
      <c r="B1518" s="78"/>
      <c r="C1518" s="623"/>
      <c r="D1518" s="624"/>
      <c r="O1518" s="160"/>
      <c r="P1518" s="10"/>
    </row>
    <row r="1519">
      <c r="A1519" s="231"/>
      <c r="B1519" s="78"/>
      <c r="C1519" s="623"/>
      <c r="D1519" s="624"/>
      <c r="O1519" s="160"/>
      <c r="P1519" s="10"/>
    </row>
    <row r="1520">
      <c r="A1520" s="231"/>
      <c r="B1520" s="78"/>
      <c r="C1520" s="623"/>
      <c r="D1520" s="624"/>
      <c r="O1520" s="160"/>
      <c r="P1520" s="10"/>
    </row>
    <row r="1521">
      <c r="A1521" s="231"/>
      <c r="B1521" s="78"/>
      <c r="C1521" s="623"/>
      <c r="D1521" s="624"/>
      <c r="O1521" s="160"/>
      <c r="P1521" s="10"/>
    </row>
    <row r="1522">
      <c r="A1522" s="231"/>
      <c r="B1522" s="78"/>
      <c r="C1522" s="623"/>
      <c r="D1522" s="624"/>
      <c r="O1522" s="160"/>
      <c r="P1522" s="10"/>
    </row>
    <row r="1523">
      <c r="A1523" s="231"/>
      <c r="B1523" s="78"/>
      <c r="C1523" s="623"/>
      <c r="D1523" s="624"/>
      <c r="O1523" s="160"/>
      <c r="P1523" s="10"/>
    </row>
    <row r="1524">
      <c r="A1524" s="231"/>
      <c r="B1524" s="78"/>
      <c r="C1524" s="623"/>
      <c r="D1524" s="624"/>
      <c r="O1524" s="160"/>
      <c r="P1524" s="10"/>
    </row>
    <row r="1525">
      <c r="A1525" s="231"/>
      <c r="B1525" s="78"/>
      <c r="C1525" s="623"/>
      <c r="D1525" s="624"/>
      <c r="O1525" s="160"/>
      <c r="P1525" s="10"/>
    </row>
    <row r="1526">
      <c r="A1526" s="231"/>
      <c r="B1526" s="78"/>
      <c r="C1526" s="623"/>
      <c r="D1526" s="624"/>
      <c r="O1526" s="160"/>
      <c r="P1526" s="10"/>
    </row>
    <row r="1527">
      <c r="A1527" s="231"/>
      <c r="B1527" s="78"/>
      <c r="C1527" s="623"/>
      <c r="D1527" s="624"/>
      <c r="O1527" s="160"/>
      <c r="P1527" s="10"/>
    </row>
    <row r="1528">
      <c r="A1528" s="231"/>
      <c r="B1528" s="78"/>
      <c r="C1528" s="623"/>
      <c r="D1528" s="624"/>
      <c r="O1528" s="160"/>
      <c r="P1528" s="10"/>
    </row>
    <row r="1529">
      <c r="A1529" s="231"/>
      <c r="B1529" s="78"/>
      <c r="C1529" s="623"/>
      <c r="D1529" s="624"/>
      <c r="O1529" s="160"/>
      <c r="P1529" s="10"/>
    </row>
    <row r="1530">
      <c r="A1530" s="231"/>
      <c r="B1530" s="78"/>
      <c r="C1530" s="623"/>
      <c r="D1530" s="624"/>
      <c r="O1530" s="160"/>
      <c r="P1530" s="10"/>
    </row>
    <row r="1531">
      <c r="A1531" s="231"/>
      <c r="B1531" s="78"/>
      <c r="C1531" s="623"/>
      <c r="D1531" s="624"/>
      <c r="O1531" s="160"/>
      <c r="P1531" s="10"/>
    </row>
    <row r="1532">
      <c r="A1532" s="231"/>
      <c r="B1532" s="78"/>
      <c r="C1532" s="623"/>
      <c r="D1532" s="624"/>
      <c r="O1532" s="160"/>
      <c r="P1532" s="10"/>
    </row>
    <row r="1533">
      <c r="A1533" s="231"/>
      <c r="B1533" s="78"/>
      <c r="C1533" s="623"/>
      <c r="D1533" s="624"/>
      <c r="O1533" s="160"/>
      <c r="P1533" s="10"/>
    </row>
    <row r="1534">
      <c r="A1534" s="231"/>
      <c r="B1534" s="78"/>
      <c r="C1534" s="623"/>
      <c r="D1534" s="624"/>
      <c r="O1534" s="160"/>
      <c r="P1534" s="10"/>
    </row>
    <row r="1535">
      <c r="A1535" s="231"/>
      <c r="B1535" s="78"/>
      <c r="C1535" s="623"/>
      <c r="D1535" s="624"/>
      <c r="O1535" s="160"/>
      <c r="P1535" s="10"/>
    </row>
    <row r="1536">
      <c r="A1536" s="231"/>
      <c r="B1536" s="78"/>
      <c r="C1536" s="623"/>
      <c r="D1536" s="624"/>
      <c r="O1536" s="160"/>
      <c r="P1536" s="10"/>
    </row>
    <row r="1537">
      <c r="A1537" s="231"/>
      <c r="B1537" s="78"/>
      <c r="C1537" s="623"/>
      <c r="D1537" s="624"/>
      <c r="O1537" s="160"/>
      <c r="P1537" s="10"/>
    </row>
    <row r="1538">
      <c r="A1538" s="231"/>
      <c r="B1538" s="78"/>
      <c r="C1538" s="623"/>
      <c r="D1538" s="624"/>
      <c r="O1538" s="160"/>
      <c r="P1538" s="10"/>
    </row>
    <row r="1539">
      <c r="A1539" s="231"/>
      <c r="B1539" s="78"/>
      <c r="C1539" s="623"/>
      <c r="D1539" s="624"/>
      <c r="O1539" s="160"/>
      <c r="P1539" s="10"/>
    </row>
    <row r="1540">
      <c r="A1540" s="231"/>
      <c r="B1540" s="78"/>
      <c r="C1540" s="623"/>
      <c r="D1540" s="624"/>
      <c r="O1540" s="160"/>
      <c r="P1540" s="10"/>
    </row>
    <row r="1541">
      <c r="A1541" s="231"/>
      <c r="B1541" s="78"/>
      <c r="C1541" s="623"/>
      <c r="D1541" s="624"/>
      <c r="O1541" s="160"/>
      <c r="P1541" s="10"/>
    </row>
    <row r="1542">
      <c r="A1542" s="231"/>
      <c r="B1542" s="78"/>
      <c r="C1542" s="623"/>
      <c r="D1542" s="624"/>
      <c r="O1542" s="160"/>
      <c r="P1542" s="10"/>
    </row>
    <row r="1543">
      <c r="A1543" s="231"/>
      <c r="B1543" s="78"/>
      <c r="C1543" s="623"/>
      <c r="D1543" s="624"/>
      <c r="O1543" s="160"/>
      <c r="P1543" s="10"/>
    </row>
    <row r="1544">
      <c r="A1544" s="231"/>
      <c r="B1544" s="78"/>
      <c r="C1544" s="623"/>
      <c r="D1544" s="624"/>
      <c r="O1544" s="160"/>
      <c r="P1544" s="10"/>
    </row>
    <row r="1545">
      <c r="A1545" s="231"/>
      <c r="B1545" s="78"/>
      <c r="C1545" s="623"/>
      <c r="D1545" s="624"/>
      <c r="O1545" s="160"/>
      <c r="P1545" s="10"/>
    </row>
    <row r="1546">
      <c r="A1546" s="231"/>
      <c r="B1546" s="78"/>
      <c r="C1546" s="623"/>
      <c r="D1546" s="624"/>
      <c r="O1546" s="160"/>
      <c r="P1546" s="10"/>
    </row>
    <row r="1547">
      <c r="A1547" s="231"/>
      <c r="B1547" s="78"/>
      <c r="C1547" s="623"/>
      <c r="D1547" s="624"/>
      <c r="O1547" s="160"/>
      <c r="P1547" s="10"/>
    </row>
    <row r="1548">
      <c r="A1548" s="231"/>
      <c r="B1548" s="78"/>
      <c r="C1548" s="623"/>
      <c r="D1548" s="624"/>
      <c r="O1548" s="160"/>
      <c r="P1548" s="10"/>
    </row>
    <row r="1549">
      <c r="A1549" s="231"/>
      <c r="B1549" s="78"/>
      <c r="C1549" s="623"/>
      <c r="D1549" s="624"/>
      <c r="O1549" s="160"/>
      <c r="P1549" s="10"/>
    </row>
    <row r="1550">
      <c r="A1550" s="231"/>
      <c r="B1550" s="78"/>
      <c r="C1550" s="623"/>
      <c r="D1550" s="624"/>
      <c r="O1550" s="160"/>
      <c r="P1550" s="10"/>
    </row>
    <row r="1551">
      <c r="A1551" s="231"/>
      <c r="B1551" s="78"/>
      <c r="C1551" s="623"/>
      <c r="D1551" s="624"/>
      <c r="O1551" s="160"/>
      <c r="P1551" s="10"/>
    </row>
    <row r="1552">
      <c r="A1552" s="231"/>
      <c r="B1552" s="78"/>
      <c r="C1552" s="623"/>
      <c r="D1552" s="624"/>
      <c r="O1552" s="160"/>
      <c r="P1552" s="10"/>
    </row>
    <row r="1553">
      <c r="A1553" s="231"/>
      <c r="B1553" s="78"/>
      <c r="C1553" s="623"/>
      <c r="D1553" s="624"/>
      <c r="O1553" s="160"/>
      <c r="P1553" s="10"/>
    </row>
    <row r="1554">
      <c r="A1554" s="231"/>
      <c r="B1554" s="78"/>
      <c r="C1554" s="623"/>
      <c r="D1554" s="624"/>
      <c r="O1554" s="160"/>
      <c r="P1554" s="10"/>
    </row>
    <row r="1555">
      <c r="A1555" s="231"/>
      <c r="B1555" s="78"/>
      <c r="C1555" s="623"/>
      <c r="D1555" s="624"/>
      <c r="O1555" s="160"/>
      <c r="P1555" s="10"/>
    </row>
    <row r="1556">
      <c r="A1556" s="231"/>
      <c r="B1556" s="78"/>
      <c r="C1556" s="623"/>
      <c r="D1556" s="624"/>
      <c r="O1556" s="160"/>
      <c r="P1556" s="10"/>
    </row>
    <row r="1557">
      <c r="A1557" s="231"/>
      <c r="B1557" s="78"/>
      <c r="C1557" s="623"/>
      <c r="D1557" s="624"/>
      <c r="O1557" s="160"/>
      <c r="P1557" s="10"/>
    </row>
    <row r="1558">
      <c r="A1558" s="231"/>
      <c r="B1558" s="78"/>
      <c r="C1558" s="623"/>
      <c r="D1558" s="624"/>
      <c r="O1558" s="160"/>
      <c r="P1558" s="10"/>
    </row>
    <row r="1559">
      <c r="A1559" s="231"/>
      <c r="B1559" s="78"/>
      <c r="C1559" s="623"/>
      <c r="D1559" s="624"/>
      <c r="O1559" s="160"/>
      <c r="P1559" s="10"/>
    </row>
    <row r="1560">
      <c r="A1560" s="231"/>
      <c r="B1560" s="78"/>
      <c r="C1560" s="623"/>
      <c r="D1560" s="624"/>
      <c r="O1560" s="160"/>
      <c r="P1560" s="10"/>
    </row>
    <row r="1561">
      <c r="A1561" s="231"/>
      <c r="B1561" s="78"/>
      <c r="C1561" s="623"/>
      <c r="D1561" s="624"/>
      <c r="O1561" s="160"/>
      <c r="P1561" s="10"/>
    </row>
    <row r="1562">
      <c r="A1562" s="231"/>
      <c r="B1562" s="78"/>
      <c r="C1562" s="623"/>
      <c r="D1562" s="624"/>
      <c r="O1562" s="160"/>
      <c r="P1562" s="10"/>
    </row>
    <row r="1563">
      <c r="A1563" s="231"/>
      <c r="B1563" s="78"/>
      <c r="C1563" s="623"/>
      <c r="D1563" s="624"/>
      <c r="O1563" s="160"/>
      <c r="P1563" s="10"/>
    </row>
    <row r="1564">
      <c r="A1564" s="231"/>
      <c r="B1564" s="78"/>
      <c r="C1564" s="623"/>
      <c r="D1564" s="624"/>
      <c r="O1564" s="160"/>
      <c r="P1564" s="10"/>
    </row>
    <row r="1565">
      <c r="A1565" s="231"/>
      <c r="B1565" s="78"/>
      <c r="C1565" s="623"/>
      <c r="D1565" s="624"/>
      <c r="O1565" s="160"/>
      <c r="P1565" s="10"/>
    </row>
    <row r="1566">
      <c r="A1566" s="231"/>
      <c r="B1566" s="78"/>
      <c r="C1566" s="623"/>
      <c r="D1566" s="624"/>
      <c r="O1566" s="160"/>
      <c r="P1566" s="10"/>
    </row>
    <row r="1567">
      <c r="A1567" s="231"/>
      <c r="B1567" s="78"/>
      <c r="C1567" s="623"/>
      <c r="D1567" s="624"/>
      <c r="O1567" s="160"/>
      <c r="P1567" s="10"/>
    </row>
    <row r="1568">
      <c r="A1568" s="231"/>
      <c r="B1568" s="78"/>
      <c r="C1568" s="623"/>
      <c r="D1568" s="624"/>
      <c r="O1568" s="160"/>
      <c r="P1568" s="10"/>
    </row>
    <row r="1569">
      <c r="A1569" s="231"/>
      <c r="B1569" s="78"/>
      <c r="C1569" s="623"/>
      <c r="D1569" s="624"/>
      <c r="O1569" s="160"/>
      <c r="P1569" s="10"/>
    </row>
    <row r="1570">
      <c r="A1570" s="231"/>
      <c r="B1570" s="78"/>
      <c r="C1570" s="623"/>
      <c r="D1570" s="624"/>
      <c r="O1570" s="160"/>
      <c r="P1570" s="10"/>
    </row>
    <row r="1571">
      <c r="A1571" s="231"/>
      <c r="B1571" s="78"/>
      <c r="C1571" s="623"/>
      <c r="D1571" s="624"/>
      <c r="O1571" s="160"/>
      <c r="P1571" s="10"/>
    </row>
    <row r="1572">
      <c r="A1572" s="231"/>
      <c r="B1572" s="78"/>
      <c r="C1572" s="623"/>
      <c r="D1572" s="624"/>
      <c r="O1572" s="160"/>
      <c r="P1572" s="10"/>
    </row>
    <row r="1573">
      <c r="A1573" s="231"/>
      <c r="B1573" s="78"/>
      <c r="C1573" s="623"/>
      <c r="D1573" s="624"/>
      <c r="O1573" s="160"/>
      <c r="P1573" s="10"/>
    </row>
    <row r="1574">
      <c r="A1574" s="231"/>
      <c r="B1574" s="78"/>
      <c r="C1574" s="623"/>
      <c r="D1574" s="624"/>
      <c r="O1574" s="160"/>
      <c r="P1574" s="10"/>
    </row>
    <row r="1575">
      <c r="A1575" s="231"/>
      <c r="B1575" s="78"/>
      <c r="C1575" s="623"/>
      <c r="D1575" s="624"/>
      <c r="O1575" s="160"/>
      <c r="P1575" s="10"/>
    </row>
    <row r="1576">
      <c r="A1576" s="231"/>
      <c r="B1576" s="78"/>
      <c r="C1576" s="623"/>
      <c r="D1576" s="624"/>
      <c r="O1576" s="160"/>
      <c r="P1576" s="10"/>
    </row>
    <row r="1577">
      <c r="A1577" s="231"/>
      <c r="B1577" s="78"/>
      <c r="C1577" s="623"/>
      <c r="D1577" s="624"/>
      <c r="O1577" s="160"/>
      <c r="P1577" s="10"/>
    </row>
    <row r="1578">
      <c r="A1578" s="231"/>
      <c r="B1578" s="78"/>
      <c r="C1578" s="623"/>
      <c r="D1578" s="624"/>
      <c r="O1578" s="160"/>
      <c r="P1578" s="10"/>
    </row>
    <row r="1579">
      <c r="A1579" s="231"/>
      <c r="B1579" s="78"/>
      <c r="C1579" s="623"/>
      <c r="D1579" s="624"/>
      <c r="O1579" s="160"/>
      <c r="P1579" s="10"/>
    </row>
    <row r="1580">
      <c r="A1580" s="231"/>
      <c r="B1580" s="78"/>
      <c r="C1580" s="623"/>
      <c r="D1580" s="624"/>
      <c r="O1580" s="160"/>
      <c r="P1580" s="10"/>
    </row>
    <row r="1581">
      <c r="A1581" s="231"/>
      <c r="B1581" s="78"/>
      <c r="C1581" s="623"/>
      <c r="D1581" s="624"/>
      <c r="O1581" s="160"/>
      <c r="P1581" s="10"/>
    </row>
    <row r="1582">
      <c r="A1582" s="231"/>
      <c r="B1582" s="78"/>
      <c r="C1582" s="623"/>
      <c r="D1582" s="624"/>
      <c r="O1582" s="160"/>
      <c r="P1582" s="10"/>
    </row>
    <row r="1583">
      <c r="A1583" s="231"/>
      <c r="B1583" s="78"/>
      <c r="C1583" s="623"/>
      <c r="D1583" s="624"/>
      <c r="O1583" s="160"/>
      <c r="P1583" s="10"/>
    </row>
    <row r="1584">
      <c r="A1584" s="231"/>
      <c r="B1584" s="78"/>
      <c r="C1584" s="623"/>
      <c r="D1584" s="624"/>
      <c r="O1584" s="160"/>
      <c r="P1584" s="10"/>
    </row>
    <row r="1585">
      <c r="A1585" s="231"/>
      <c r="B1585" s="78"/>
      <c r="C1585" s="623"/>
      <c r="D1585" s="624"/>
      <c r="O1585" s="160"/>
      <c r="P1585" s="10"/>
    </row>
    <row r="1586">
      <c r="A1586" s="231"/>
      <c r="B1586" s="78"/>
      <c r="C1586" s="623"/>
      <c r="D1586" s="624"/>
      <c r="O1586" s="160"/>
      <c r="P1586" s="10"/>
    </row>
    <row r="1587">
      <c r="A1587" s="231"/>
      <c r="B1587" s="78"/>
      <c r="C1587" s="623"/>
      <c r="D1587" s="624"/>
      <c r="O1587" s="160"/>
      <c r="P1587" s="10"/>
    </row>
    <row r="1588">
      <c r="A1588" s="231"/>
      <c r="B1588" s="78"/>
      <c r="C1588" s="623"/>
      <c r="D1588" s="624"/>
      <c r="O1588" s="160"/>
      <c r="P1588" s="10"/>
    </row>
    <row r="1589">
      <c r="A1589" s="231"/>
      <c r="B1589" s="78"/>
      <c r="C1589" s="623"/>
      <c r="D1589" s="624"/>
      <c r="O1589" s="160"/>
      <c r="P1589" s="10"/>
    </row>
    <row r="1590">
      <c r="A1590" s="231"/>
      <c r="B1590" s="78"/>
      <c r="C1590" s="623"/>
      <c r="D1590" s="624"/>
      <c r="O1590" s="160"/>
      <c r="P1590" s="10"/>
    </row>
    <row r="1591">
      <c r="A1591" s="231"/>
      <c r="B1591" s="78"/>
      <c r="C1591" s="623"/>
      <c r="D1591" s="624"/>
      <c r="O1591" s="160"/>
      <c r="P1591" s="10"/>
    </row>
    <row r="1592">
      <c r="A1592" s="231"/>
      <c r="B1592" s="78"/>
      <c r="C1592" s="623"/>
      <c r="D1592" s="624"/>
      <c r="O1592" s="160"/>
      <c r="P1592" s="10"/>
    </row>
    <row r="1593">
      <c r="A1593" s="231"/>
      <c r="B1593" s="78"/>
      <c r="C1593" s="623"/>
      <c r="D1593" s="624"/>
      <c r="O1593" s="160"/>
      <c r="P1593" s="10"/>
    </row>
    <row r="1594">
      <c r="A1594" s="231"/>
      <c r="B1594" s="78"/>
      <c r="C1594" s="623"/>
      <c r="D1594" s="624"/>
      <c r="O1594" s="160"/>
      <c r="P1594" s="10"/>
    </row>
    <row r="1595">
      <c r="A1595" s="231"/>
      <c r="B1595" s="78"/>
      <c r="C1595" s="623"/>
      <c r="D1595" s="624"/>
      <c r="O1595" s="160"/>
      <c r="P1595" s="10"/>
    </row>
    <row r="1596">
      <c r="A1596" s="231"/>
      <c r="B1596" s="78"/>
      <c r="C1596" s="623"/>
      <c r="D1596" s="624"/>
      <c r="O1596" s="160"/>
      <c r="P1596" s="10"/>
    </row>
    <row r="1597">
      <c r="A1597" s="231"/>
      <c r="B1597" s="78"/>
      <c r="C1597" s="623"/>
      <c r="D1597" s="624"/>
      <c r="O1597" s="160"/>
      <c r="P1597" s="10"/>
    </row>
    <row r="1598">
      <c r="A1598" s="231"/>
      <c r="B1598" s="78"/>
      <c r="C1598" s="623"/>
      <c r="D1598" s="624"/>
      <c r="O1598" s="160"/>
      <c r="P1598" s="10"/>
    </row>
    <row r="1599">
      <c r="A1599" s="231"/>
      <c r="B1599" s="78"/>
      <c r="C1599" s="623"/>
      <c r="D1599" s="624"/>
      <c r="O1599" s="160"/>
      <c r="P1599" s="10"/>
    </row>
    <row r="1600">
      <c r="A1600" s="231"/>
      <c r="B1600" s="78"/>
      <c r="C1600" s="623"/>
      <c r="D1600" s="624"/>
      <c r="O1600" s="160"/>
      <c r="P1600" s="10"/>
    </row>
    <row r="1601">
      <c r="A1601" s="231"/>
      <c r="B1601" s="78"/>
      <c r="C1601" s="623"/>
      <c r="D1601" s="624"/>
      <c r="O1601" s="160"/>
      <c r="P1601" s="10"/>
    </row>
    <row r="1602">
      <c r="A1602" s="231"/>
      <c r="B1602" s="78"/>
      <c r="C1602" s="623"/>
      <c r="D1602" s="624"/>
      <c r="O1602" s="160"/>
      <c r="P1602" s="10"/>
    </row>
    <row r="1603">
      <c r="A1603" s="231"/>
      <c r="B1603" s="78"/>
      <c r="C1603" s="623"/>
      <c r="D1603" s="624"/>
      <c r="O1603" s="160"/>
      <c r="P1603" s="10"/>
    </row>
    <row r="1604">
      <c r="A1604" s="231"/>
      <c r="B1604" s="78"/>
      <c r="C1604" s="623"/>
      <c r="D1604" s="624"/>
      <c r="O1604" s="160"/>
      <c r="P1604" s="10"/>
    </row>
    <row r="1605">
      <c r="A1605" s="231"/>
      <c r="B1605" s="78"/>
      <c r="C1605" s="623"/>
      <c r="D1605" s="624"/>
      <c r="O1605" s="160"/>
      <c r="P1605" s="10"/>
    </row>
    <row r="1606">
      <c r="A1606" s="231"/>
      <c r="B1606" s="78"/>
      <c r="C1606" s="623"/>
      <c r="D1606" s="624"/>
      <c r="O1606" s="160"/>
      <c r="P1606" s="10"/>
    </row>
    <row r="1607">
      <c r="A1607" s="231"/>
      <c r="B1607" s="78"/>
      <c r="C1607" s="623"/>
      <c r="D1607" s="624"/>
      <c r="O1607" s="160"/>
      <c r="P1607" s="10"/>
    </row>
    <row r="1608">
      <c r="A1608" s="231"/>
      <c r="B1608" s="78"/>
      <c r="C1608" s="623"/>
      <c r="D1608" s="624"/>
      <c r="O1608" s="160"/>
      <c r="P1608" s="10"/>
    </row>
    <row r="1609">
      <c r="A1609" s="231"/>
      <c r="B1609" s="78"/>
      <c r="C1609" s="623"/>
      <c r="D1609" s="624"/>
      <c r="O1609" s="160"/>
      <c r="P1609" s="10"/>
    </row>
    <row r="1610">
      <c r="A1610" s="231"/>
      <c r="B1610" s="78"/>
      <c r="C1610" s="623"/>
      <c r="D1610" s="624"/>
      <c r="O1610" s="160"/>
      <c r="P1610" s="10"/>
    </row>
    <row r="1611">
      <c r="A1611" s="231"/>
      <c r="B1611" s="78"/>
      <c r="C1611" s="623"/>
      <c r="D1611" s="624"/>
      <c r="O1611" s="160"/>
      <c r="P1611" s="10"/>
    </row>
    <row r="1612">
      <c r="A1612" s="231"/>
      <c r="B1612" s="78"/>
      <c r="C1612" s="623"/>
      <c r="D1612" s="624"/>
      <c r="O1612" s="160"/>
      <c r="P1612" s="10"/>
    </row>
    <row r="1613">
      <c r="A1613" s="231"/>
      <c r="B1613" s="78"/>
      <c r="C1613" s="623"/>
      <c r="D1613" s="624"/>
      <c r="O1613" s="160"/>
      <c r="P1613" s="10"/>
    </row>
    <row r="1614">
      <c r="A1614" s="231"/>
      <c r="B1614" s="78"/>
      <c r="C1614" s="623"/>
      <c r="D1614" s="624"/>
      <c r="O1614" s="160"/>
      <c r="P1614" s="10"/>
    </row>
    <row r="1615">
      <c r="A1615" s="231"/>
      <c r="B1615" s="78"/>
      <c r="C1615" s="623"/>
      <c r="D1615" s="624"/>
      <c r="O1615" s="160"/>
      <c r="P1615" s="10"/>
    </row>
    <row r="1616">
      <c r="A1616" s="231"/>
      <c r="B1616" s="78"/>
      <c r="C1616" s="623"/>
      <c r="D1616" s="624"/>
      <c r="O1616" s="160"/>
      <c r="P1616" s="10"/>
    </row>
    <row r="1617">
      <c r="A1617" s="231"/>
      <c r="B1617" s="78"/>
      <c r="C1617" s="623"/>
      <c r="D1617" s="624"/>
      <c r="O1617" s="160"/>
      <c r="P1617" s="10"/>
    </row>
    <row r="1618">
      <c r="A1618" s="231"/>
      <c r="B1618" s="78"/>
      <c r="C1618" s="623"/>
      <c r="D1618" s="624"/>
      <c r="O1618" s="160"/>
      <c r="P1618" s="10"/>
    </row>
    <row r="1619">
      <c r="A1619" s="231"/>
      <c r="B1619" s="78"/>
      <c r="C1619" s="623"/>
      <c r="D1619" s="624"/>
      <c r="O1619" s="160"/>
      <c r="P1619" s="10"/>
    </row>
    <row r="1620">
      <c r="A1620" s="231"/>
      <c r="B1620" s="78"/>
      <c r="C1620" s="623"/>
      <c r="D1620" s="624"/>
      <c r="O1620" s="160"/>
      <c r="P1620" s="10"/>
    </row>
    <row r="1621">
      <c r="A1621" s="231"/>
      <c r="B1621" s="78"/>
      <c r="C1621" s="623"/>
      <c r="D1621" s="624"/>
      <c r="O1621" s="160"/>
      <c r="P1621" s="10"/>
    </row>
    <row r="1622">
      <c r="A1622" s="231"/>
      <c r="B1622" s="78"/>
      <c r="C1622" s="623"/>
      <c r="D1622" s="624"/>
      <c r="O1622" s="160"/>
      <c r="P1622" s="10"/>
    </row>
    <row r="1623">
      <c r="A1623" s="231"/>
      <c r="B1623" s="78"/>
      <c r="C1623" s="623"/>
      <c r="D1623" s="624"/>
      <c r="O1623" s="160"/>
      <c r="P1623" s="10"/>
    </row>
    <row r="1624">
      <c r="A1624" s="231"/>
      <c r="B1624" s="78"/>
      <c r="C1624" s="623"/>
      <c r="D1624" s="624"/>
      <c r="O1624" s="160"/>
      <c r="P1624" s="10"/>
    </row>
    <row r="1625">
      <c r="A1625" s="231"/>
      <c r="B1625" s="78"/>
      <c r="C1625" s="623"/>
      <c r="D1625" s="624"/>
      <c r="O1625" s="160"/>
      <c r="P1625" s="10"/>
    </row>
    <row r="1626">
      <c r="A1626" s="231"/>
      <c r="B1626" s="78"/>
      <c r="C1626" s="623"/>
      <c r="D1626" s="624"/>
      <c r="O1626" s="160"/>
      <c r="P1626" s="10"/>
    </row>
    <row r="1627">
      <c r="A1627" s="231"/>
      <c r="B1627" s="78"/>
      <c r="C1627" s="623"/>
      <c r="D1627" s="624"/>
      <c r="O1627" s="160"/>
      <c r="P1627" s="10"/>
    </row>
    <row r="1628">
      <c r="A1628" s="231"/>
      <c r="B1628" s="78"/>
      <c r="C1628" s="623"/>
      <c r="D1628" s="624"/>
      <c r="O1628" s="160"/>
      <c r="P1628" s="10"/>
    </row>
    <row r="1629">
      <c r="A1629" s="231"/>
      <c r="B1629" s="78"/>
      <c r="C1629" s="623"/>
      <c r="D1629" s="624"/>
      <c r="O1629" s="160"/>
      <c r="P1629" s="10"/>
    </row>
    <row r="1630">
      <c r="A1630" s="231"/>
      <c r="B1630" s="78"/>
      <c r="C1630" s="623"/>
      <c r="D1630" s="624"/>
      <c r="O1630" s="160"/>
      <c r="P1630" s="10"/>
    </row>
    <row r="1631">
      <c r="A1631" s="231"/>
      <c r="B1631" s="78"/>
      <c r="C1631" s="623"/>
      <c r="D1631" s="624"/>
      <c r="O1631" s="160"/>
      <c r="P1631" s="10"/>
    </row>
    <row r="1632">
      <c r="A1632" s="231"/>
      <c r="B1632" s="78"/>
      <c r="C1632" s="623"/>
      <c r="D1632" s="624"/>
      <c r="O1632" s="160"/>
      <c r="P1632" s="10"/>
    </row>
    <row r="1633">
      <c r="A1633" s="231"/>
      <c r="B1633" s="78"/>
      <c r="C1633" s="623"/>
      <c r="D1633" s="624"/>
      <c r="O1633" s="160"/>
      <c r="P1633" s="10"/>
    </row>
    <row r="1634">
      <c r="A1634" s="231"/>
      <c r="B1634" s="78"/>
      <c r="C1634" s="623"/>
      <c r="D1634" s="624"/>
      <c r="O1634" s="160"/>
      <c r="P1634" s="10"/>
    </row>
    <row r="1635">
      <c r="A1635" s="231"/>
      <c r="B1635" s="78"/>
      <c r="C1635" s="623"/>
      <c r="D1635" s="624"/>
      <c r="O1635" s="160"/>
      <c r="P1635" s="10"/>
    </row>
    <row r="1636">
      <c r="A1636" s="231"/>
      <c r="B1636" s="78"/>
      <c r="C1636" s="623"/>
      <c r="D1636" s="624"/>
      <c r="O1636" s="160"/>
      <c r="P1636" s="10"/>
    </row>
    <row r="1637">
      <c r="A1637" s="231"/>
      <c r="B1637" s="78"/>
      <c r="C1637" s="623"/>
      <c r="D1637" s="624"/>
      <c r="O1637" s="160"/>
      <c r="P1637" s="10"/>
    </row>
    <row r="1638">
      <c r="A1638" s="231"/>
      <c r="B1638" s="78"/>
      <c r="C1638" s="623"/>
      <c r="D1638" s="624"/>
      <c r="O1638" s="160"/>
      <c r="P1638" s="10"/>
    </row>
    <row r="1639">
      <c r="A1639" s="231"/>
      <c r="B1639" s="78"/>
      <c r="C1639" s="623"/>
      <c r="D1639" s="624"/>
      <c r="O1639" s="160"/>
      <c r="P1639" s="10"/>
    </row>
    <row r="1640">
      <c r="A1640" s="231"/>
      <c r="B1640" s="78"/>
      <c r="C1640" s="623"/>
      <c r="D1640" s="624"/>
      <c r="O1640" s="160"/>
      <c r="P1640" s="10"/>
    </row>
    <row r="1641">
      <c r="A1641" s="231"/>
      <c r="B1641" s="78"/>
      <c r="C1641" s="623"/>
      <c r="D1641" s="624"/>
      <c r="O1641" s="160"/>
      <c r="P1641" s="10"/>
    </row>
    <row r="1642">
      <c r="A1642" s="231"/>
      <c r="B1642" s="78"/>
      <c r="C1642" s="623"/>
      <c r="D1642" s="624"/>
      <c r="O1642" s="160"/>
      <c r="P1642" s="10"/>
    </row>
    <row r="1643">
      <c r="A1643" s="231"/>
      <c r="B1643" s="78"/>
      <c r="C1643" s="623"/>
      <c r="D1643" s="624"/>
      <c r="O1643" s="160"/>
      <c r="P1643" s="10"/>
    </row>
    <row r="1644">
      <c r="A1644" s="231"/>
      <c r="B1644" s="78"/>
      <c r="C1644" s="623"/>
      <c r="D1644" s="624"/>
      <c r="O1644" s="160"/>
      <c r="P1644" s="10"/>
    </row>
    <row r="1645">
      <c r="A1645" s="231"/>
      <c r="B1645" s="78"/>
      <c r="C1645" s="623"/>
      <c r="D1645" s="624"/>
      <c r="O1645" s="160"/>
      <c r="P1645" s="10"/>
    </row>
    <row r="1646">
      <c r="A1646" s="231"/>
      <c r="B1646" s="78"/>
      <c r="C1646" s="623"/>
      <c r="D1646" s="624"/>
      <c r="O1646" s="160"/>
      <c r="P1646" s="10"/>
    </row>
    <row r="1647">
      <c r="A1647" s="231"/>
      <c r="B1647" s="78"/>
      <c r="C1647" s="623"/>
      <c r="D1647" s="624"/>
      <c r="O1647" s="160"/>
      <c r="P1647" s="10"/>
    </row>
    <row r="1648">
      <c r="A1648" s="231"/>
      <c r="B1648" s="78"/>
      <c r="C1648" s="623"/>
      <c r="D1648" s="624"/>
      <c r="O1648" s="160"/>
      <c r="P1648" s="10"/>
    </row>
    <row r="1649">
      <c r="A1649" s="231"/>
      <c r="B1649" s="78"/>
      <c r="C1649" s="623"/>
      <c r="D1649" s="624"/>
      <c r="O1649" s="160"/>
      <c r="P1649" s="10"/>
    </row>
    <row r="1650">
      <c r="A1650" s="231"/>
      <c r="B1650" s="78"/>
      <c r="C1650" s="623"/>
      <c r="D1650" s="624"/>
      <c r="O1650" s="160"/>
      <c r="P1650" s="10"/>
    </row>
    <row r="1651">
      <c r="A1651" s="231"/>
      <c r="B1651" s="78"/>
      <c r="C1651" s="623"/>
      <c r="D1651" s="624"/>
      <c r="O1651" s="160"/>
      <c r="P1651" s="10"/>
    </row>
    <row r="1652">
      <c r="A1652" s="231"/>
      <c r="B1652" s="78"/>
      <c r="C1652" s="623"/>
      <c r="D1652" s="624"/>
      <c r="O1652" s="160"/>
      <c r="P1652" s="10"/>
    </row>
    <row r="1653">
      <c r="A1653" s="231"/>
      <c r="B1653" s="78"/>
      <c r="C1653" s="623"/>
      <c r="D1653" s="624"/>
      <c r="O1653" s="160"/>
      <c r="P1653" s="10"/>
    </row>
    <row r="1654">
      <c r="A1654" s="231"/>
      <c r="B1654" s="78"/>
      <c r="C1654" s="623"/>
      <c r="D1654" s="624"/>
      <c r="O1654" s="160"/>
      <c r="P1654" s="10"/>
    </row>
    <row r="1655">
      <c r="A1655" s="231"/>
      <c r="B1655" s="78"/>
      <c r="C1655" s="623"/>
      <c r="D1655" s="624"/>
      <c r="O1655" s="160"/>
      <c r="P1655" s="10"/>
    </row>
    <row r="1656">
      <c r="A1656" s="231"/>
      <c r="B1656" s="78"/>
      <c r="C1656" s="623"/>
      <c r="D1656" s="624"/>
      <c r="O1656" s="160"/>
      <c r="P1656" s="10"/>
    </row>
    <row r="1657">
      <c r="A1657" s="231"/>
      <c r="B1657" s="78"/>
      <c r="C1657" s="623"/>
      <c r="D1657" s="624"/>
      <c r="O1657" s="160"/>
      <c r="P1657" s="10"/>
    </row>
    <row r="1658">
      <c r="A1658" s="231"/>
      <c r="B1658" s="78"/>
      <c r="C1658" s="623"/>
      <c r="D1658" s="624"/>
      <c r="O1658" s="160"/>
      <c r="P1658" s="10"/>
    </row>
    <row r="1659">
      <c r="A1659" s="231"/>
      <c r="B1659" s="78"/>
      <c r="C1659" s="623"/>
      <c r="D1659" s="624"/>
      <c r="O1659" s="160"/>
      <c r="P1659" s="10"/>
    </row>
    <row r="1660">
      <c r="A1660" s="231"/>
      <c r="B1660" s="78"/>
      <c r="C1660" s="623"/>
      <c r="D1660" s="624"/>
      <c r="O1660" s="160"/>
      <c r="P1660" s="10"/>
    </row>
    <row r="1661">
      <c r="A1661" s="231"/>
      <c r="B1661" s="78"/>
      <c r="C1661" s="623"/>
      <c r="D1661" s="624"/>
      <c r="O1661" s="160"/>
      <c r="P1661" s="10"/>
    </row>
    <row r="1662">
      <c r="A1662" s="231"/>
      <c r="B1662" s="78"/>
      <c r="C1662" s="623"/>
      <c r="D1662" s="624"/>
      <c r="O1662" s="160"/>
      <c r="P1662" s="10"/>
    </row>
    <row r="1663">
      <c r="A1663" s="231"/>
      <c r="B1663" s="78"/>
      <c r="C1663" s="623"/>
      <c r="D1663" s="624"/>
      <c r="O1663" s="160"/>
      <c r="P1663" s="10"/>
    </row>
    <row r="1664">
      <c r="A1664" s="231"/>
      <c r="B1664" s="78"/>
      <c r="C1664" s="623"/>
      <c r="D1664" s="624"/>
      <c r="O1664" s="160"/>
      <c r="P1664" s="10"/>
    </row>
    <row r="1665">
      <c r="A1665" s="231"/>
      <c r="B1665" s="78"/>
      <c r="C1665" s="623"/>
      <c r="D1665" s="624"/>
      <c r="O1665" s="160"/>
      <c r="P1665" s="10"/>
    </row>
    <row r="1666">
      <c r="A1666" s="231"/>
      <c r="B1666" s="78"/>
      <c r="C1666" s="623"/>
      <c r="D1666" s="624"/>
      <c r="O1666" s="160"/>
      <c r="P1666" s="10"/>
    </row>
    <row r="1667">
      <c r="A1667" s="231"/>
      <c r="B1667" s="78"/>
      <c r="C1667" s="623"/>
      <c r="D1667" s="624"/>
      <c r="O1667" s="160"/>
      <c r="P1667" s="10"/>
    </row>
    <row r="1668">
      <c r="A1668" s="231"/>
      <c r="B1668" s="78"/>
      <c r="C1668" s="623"/>
      <c r="D1668" s="624"/>
      <c r="O1668" s="160"/>
      <c r="P1668" s="10"/>
    </row>
    <row r="1669">
      <c r="A1669" s="231"/>
      <c r="B1669" s="78"/>
      <c r="C1669" s="623"/>
      <c r="D1669" s="624"/>
      <c r="O1669" s="160"/>
      <c r="P1669" s="10"/>
    </row>
    <row r="1670">
      <c r="A1670" s="231"/>
      <c r="B1670" s="78"/>
      <c r="C1670" s="623"/>
      <c r="D1670" s="624"/>
      <c r="O1670" s="160"/>
      <c r="P1670" s="10"/>
    </row>
    <row r="1671">
      <c r="A1671" s="231"/>
      <c r="B1671" s="78"/>
      <c r="C1671" s="623"/>
      <c r="D1671" s="624"/>
      <c r="O1671" s="160"/>
      <c r="P1671" s="10"/>
    </row>
    <row r="1672">
      <c r="A1672" s="231"/>
      <c r="B1672" s="78"/>
      <c r="C1672" s="623"/>
      <c r="D1672" s="624"/>
      <c r="O1672" s="160"/>
      <c r="P1672" s="10"/>
    </row>
    <row r="1673">
      <c r="A1673" s="231"/>
      <c r="B1673" s="78"/>
      <c r="C1673" s="623"/>
      <c r="D1673" s="624"/>
      <c r="O1673" s="160"/>
      <c r="P1673" s="10"/>
    </row>
    <row r="1674">
      <c r="A1674" s="231"/>
      <c r="B1674" s="78"/>
      <c r="C1674" s="623"/>
      <c r="D1674" s="624"/>
      <c r="O1674" s="160"/>
      <c r="P1674" s="10"/>
    </row>
    <row r="1675">
      <c r="A1675" s="231"/>
      <c r="B1675" s="78"/>
      <c r="C1675" s="623"/>
      <c r="D1675" s="624"/>
      <c r="O1675" s="160"/>
      <c r="P1675" s="10"/>
    </row>
    <row r="1676">
      <c r="A1676" s="231"/>
      <c r="B1676" s="78"/>
      <c r="C1676" s="623"/>
      <c r="D1676" s="624"/>
      <c r="O1676" s="160"/>
      <c r="P1676" s="10"/>
    </row>
    <row r="1677">
      <c r="A1677" s="231"/>
      <c r="B1677" s="78"/>
      <c r="C1677" s="623"/>
      <c r="D1677" s="624"/>
      <c r="O1677" s="160"/>
      <c r="P1677" s="10"/>
    </row>
    <row r="1678">
      <c r="A1678" s="231"/>
      <c r="B1678" s="78"/>
      <c r="C1678" s="623"/>
      <c r="D1678" s="624"/>
      <c r="O1678" s="160"/>
      <c r="P1678" s="10"/>
    </row>
    <row r="1679">
      <c r="A1679" s="231"/>
      <c r="B1679" s="78"/>
      <c r="C1679" s="623"/>
      <c r="D1679" s="624"/>
      <c r="O1679" s="160"/>
      <c r="P1679" s="10"/>
    </row>
    <row r="1680">
      <c r="A1680" s="231"/>
      <c r="B1680" s="78"/>
      <c r="C1680" s="623"/>
      <c r="D1680" s="624"/>
      <c r="O1680" s="160"/>
      <c r="P1680" s="10"/>
    </row>
    <row r="1681">
      <c r="A1681" s="231"/>
      <c r="B1681" s="78"/>
      <c r="C1681" s="623"/>
      <c r="D1681" s="624"/>
      <c r="O1681" s="160"/>
      <c r="P1681" s="10"/>
    </row>
    <row r="1682">
      <c r="A1682" s="231"/>
      <c r="B1682" s="78"/>
      <c r="C1682" s="623"/>
      <c r="D1682" s="624"/>
      <c r="O1682" s="160"/>
      <c r="P1682" s="10"/>
    </row>
    <row r="1683">
      <c r="A1683" s="231"/>
      <c r="B1683" s="78"/>
      <c r="C1683" s="623"/>
      <c r="D1683" s="624"/>
      <c r="O1683" s="160"/>
      <c r="P1683" s="10"/>
    </row>
    <row r="1684">
      <c r="A1684" s="231"/>
      <c r="B1684" s="78"/>
      <c r="C1684" s="623"/>
      <c r="D1684" s="624"/>
      <c r="O1684" s="160"/>
      <c r="P1684" s="10"/>
    </row>
    <row r="1685">
      <c r="A1685" s="231"/>
      <c r="B1685" s="78"/>
      <c r="C1685" s="623"/>
      <c r="D1685" s="624"/>
      <c r="O1685" s="160"/>
      <c r="P1685" s="10"/>
    </row>
    <row r="1686">
      <c r="A1686" s="231"/>
      <c r="B1686" s="78"/>
      <c r="C1686" s="623"/>
      <c r="D1686" s="624"/>
      <c r="O1686" s="160"/>
      <c r="P1686" s="10"/>
    </row>
    <row r="1687">
      <c r="A1687" s="231"/>
      <c r="B1687" s="78"/>
      <c r="C1687" s="623"/>
      <c r="D1687" s="624"/>
      <c r="O1687" s="160"/>
      <c r="P1687" s="10"/>
    </row>
    <row r="1688">
      <c r="A1688" s="231"/>
      <c r="B1688" s="78"/>
      <c r="C1688" s="623"/>
      <c r="D1688" s="624"/>
      <c r="O1688" s="160"/>
      <c r="P1688" s="10"/>
    </row>
    <row r="1689">
      <c r="A1689" s="231"/>
      <c r="B1689" s="78"/>
      <c r="C1689" s="623"/>
      <c r="D1689" s="624"/>
      <c r="O1689" s="160"/>
      <c r="P1689" s="10"/>
    </row>
    <row r="1690">
      <c r="A1690" s="231"/>
      <c r="B1690" s="78"/>
      <c r="C1690" s="623"/>
      <c r="D1690" s="624"/>
      <c r="O1690" s="160"/>
      <c r="P1690" s="10"/>
    </row>
    <row r="1691">
      <c r="A1691" s="231"/>
      <c r="B1691" s="78"/>
      <c r="C1691" s="623"/>
      <c r="D1691" s="624"/>
      <c r="O1691" s="160"/>
      <c r="P1691" s="10"/>
    </row>
    <row r="1692">
      <c r="A1692" s="231"/>
      <c r="B1692" s="78"/>
      <c r="C1692" s="623"/>
      <c r="D1692" s="624"/>
      <c r="O1692" s="160"/>
      <c r="P1692" s="10"/>
    </row>
    <row r="1693">
      <c r="A1693" s="231"/>
      <c r="B1693" s="78"/>
      <c r="C1693" s="623"/>
      <c r="D1693" s="624"/>
      <c r="O1693" s="160"/>
      <c r="P1693" s="10"/>
    </row>
    <row r="1694">
      <c r="A1694" s="231"/>
      <c r="B1694" s="78"/>
      <c r="C1694" s="623"/>
      <c r="D1694" s="624"/>
      <c r="O1694" s="160"/>
      <c r="P1694" s="10"/>
    </row>
    <row r="1695">
      <c r="A1695" s="231"/>
      <c r="B1695" s="78"/>
      <c r="C1695" s="623"/>
      <c r="D1695" s="624"/>
      <c r="O1695" s="160"/>
      <c r="P1695" s="10"/>
    </row>
    <row r="1696">
      <c r="A1696" s="231"/>
      <c r="B1696" s="78"/>
      <c r="C1696" s="623"/>
      <c r="D1696" s="624"/>
      <c r="O1696" s="160"/>
      <c r="P1696" s="10"/>
    </row>
    <row r="1697">
      <c r="A1697" s="231"/>
      <c r="B1697" s="78"/>
      <c r="C1697" s="623"/>
      <c r="D1697" s="624"/>
      <c r="O1697" s="160"/>
      <c r="P1697" s="10"/>
    </row>
    <row r="1698">
      <c r="A1698" s="231"/>
      <c r="B1698" s="78"/>
      <c r="C1698" s="623"/>
      <c r="D1698" s="624"/>
      <c r="O1698" s="160"/>
      <c r="P1698" s="10"/>
    </row>
    <row r="1699">
      <c r="A1699" s="231"/>
      <c r="B1699" s="78"/>
      <c r="C1699" s="623"/>
      <c r="D1699" s="624"/>
      <c r="O1699" s="160"/>
      <c r="P1699" s="10"/>
    </row>
    <row r="1700">
      <c r="A1700" s="231"/>
      <c r="B1700" s="78"/>
      <c r="C1700" s="623"/>
      <c r="D1700" s="624"/>
      <c r="O1700" s="160"/>
      <c r="P1700" s="10"/>
    </row>
    <row r="1701">
      <c r="A1701" s="231"/>
      <c r="B1701" s="78"/>
      <c r="C1701" s="623"/>
      <c r="D1701" s="624"/>
      <c r="O1701" s="160"/>
      <c r="P1701" s="10"/>
    </row>
    <row r="1702">
      <c r="A1702" s="231"/>
      <c r="B1702" s="78"/>
      <c r="C1702" s="623"/>
      <c r="D1702" s="624"/>
      <c r="O1702" s="160"/>
      <c r="P1702" s="10"/>
    </row>
    <row r="1703">
      <c r="A1703" s="231"/>
      <c r="B1703" s="78"/>
      <c r="C1703" s="623"/>
      <c r="D1703" s="624"/>
      <c r="O1703" s="160"/>
      <c r="P1703" s="10"/>
    </row>
    <row r="1704">
      <c r="A1704" s="231"/>
      <c r="B1704" s="78"/>
      <c r="C1704" s="623"/>
      <c r="D1704" s="624"/>
      <c r="O1704" s="160"/>
      <c r="P1704" s="10"/>
    </row>
    <row r="1705">
      <c r="A1705" s="231"/>
      <c r="B1705" s="78"/>
      <c r="C1705" s="623"/>
      <c r="D1705" s="624"/>
      <c r="O1705" s="160"/>
      <c r="P1705" s="10"/>
    </row>
    <row r="1706">
      <c r="A1706" s="231"/>
      <c r="B1706" s="78"/>
      <c r="C1706" s="623"/>
      <c r="D1706" s="624"/>
      <c r="O1706" s="160"/>
      <c r="P1706" s="10"/>
    </row>
    <row r="1707">
      <c r="A1707" s="231"/>
      <c r="B1707" s="78"/>
      <c r="C1707" s="623"/>
      <c r="D1707" s="624"/>
      <c r="O1707" s="160"/>
      <c r="P1707" s="10"/>
    </row>
    <row r="1708">
      <c r="A1708" s="231"/>
      <c r="B1708" s="78"/>
      <c r="C1708" s="623"/>
      <c r="D1708" s="624"/>
      <c r="O1708" s="160"/>
      <c r="P1708" s="10"/>
    </row>
    <row r="1709">
      <c r="A1709" s="231"/>
      <c r="B1709" s="78"/>
      <c r="C1709" s="623"/>
      <c r="D1709" s="624"/>
      <c r="O1709" s="160"/>
      <c r="P1709" s="10"/>
    </row>
    <row r="1710">
      <c r="A1710" s="231"/>
      <c r="B1710" s="78"/>
      <c r="C1710" s="623"/>
      <c r="D1710" s="624"/>
      <c r="O1710" s="160"/>
      <c r="P1710" s="10"/>
    </row>
    <row r="1711">
      <c r="A1711" s="231"/>
      <c r="B1711" s="78"/>
      <c r="C1711" s="623"/>
      <c r="D1711" s="624"/>
      <c r="O1711" s="160"/>
      <c r="P1711" s="10"/>
    </row>
    <row r="1712">
      <c r="A1712" s="231"/>
      <c r="B1712" s="78"/>
      <c r="C1712" s="623"/>
      <c r="D1712" s="624"/>
      <c r="O1712" s="160"/>
      <c r="P1712" s="10"/>
    </row>
    <row r="1713">
      <c r="A1713" s="231"/>
      <c r="B1713" s="78"/>
      <c r="C1713" s="623"/>
      <c r="D1713" s="624"/>
      <c r="O1713" s="160"/>
      <c r="P1713" s="10"/>
    </row>
    <row r="1714">
      <c r="A1714" s="231"/>
      <c r="B1714" s="78"/>
      <c r="C1714" s="623"/>
      <c r="D1714" s="624"/>
      <c r="O1714" s="160"/>
      <c r="P1714" s="10"/>
    </row>
    <row r="1715">
      <c r="A1715" s="231"/>
      <c r="B1715" s="78"/>
      <c r="C1715" s="623"/>
      <c r="D1715" s="624"/>
      <c r="O1715" s="160"/>
      <c r="P1715" s="10"/>
    </row>
    <row r="1716">
      <c r="A1716" s="231"/>
      <c r="B1716" s="78"/>
      <c r="C1716" s="623"/>
      <c r="D1716" s="624"/>
      <c r="O1716" s="160"/>
      <c r="P1716" s="10"/>
    </row>
    <row r="1717">
      <c r="A1717" s="231"/>
      <c r="B1717" s="78"/>
      <c r="C1717" s="623"/>
      <c r="D1717" s="624"/>
      <c r="O1717" s="160"/>
      <c r="P1717" s="10"/>
    </row>
    <row r="1718">
      <c r="A1718" s="231"/>
      <c r="B1718" s="78"/>
      <c r="C1718" s="623"/>
      <c r="D1718" s="624"/>
      <c r="O1718" s="160"/>
      <c r="P1718" s="10"/>
    </row>
    <row r="1719">
      <c r="A1719" s="231"/>
      <c r="B1719" s="78"/>
      <c r="C1719" s="623"/>
      <c r="D1719" s="624"/>
      <c r="O1719" s="160"/>
      <c r="P1719" s="10"/>
    </row>
    <row r="1720">
      <c r="A1720" s="231"/>
      <c r="B1720" s="78"/>
      <c r="C1720" s="623"/>
      <c r="D1720" s="624"/>
      <c r="O1720" s="160"/>
      <c r="P1720" s="10"/>
    </row>
    <row r="1721">
      <c r="A1721" s="231"/>
      <c r="B1721" s="78"/>
      <c r="C1721" s="623"/>
      <c r="D1721" s="624"/>
      <c r="O1721" s="160"/>
      <c r="P1721" s="10"/>
    </row>
    <row r="1722">
      <c r="A1722" s="231"/>
      <c r="B1722" s="78"/>
      <c r="C1722" s="623"/>
      <c r="D1722" s="624"/>
      <c r="O1722" s="160"/>
      <c r="P1722" s="10"/>
    </row>
    <row r="1723">
      <c r="A1723" s="231"/>
      <c r="B1723" s="78"/>
      <c r="C1723" s="623"/>
      <c r="D1723" s="624"/>
      <c r="O1723" s="160"/>
      <c r="P1723" s="10"/>
    </row>
    <row r="1724">
      <c r="A1724" s="231"/>
      <c r="B1724" s="78"/>
      <c r="C1724" s="623"/>
      <c r="D1724" s="624"/>
      <c r="O1724" s="160"/>
      <c r="P1724" s="10"/>
    </row>
    <row r="1725">
      <c r="A1725" s="231"/>
      <c r="B1725" s="78"/>
      <c r="C1725" s="623"/>
      <c r="D1725" s="624"/>
      <c r="O1725" s="160"/>
      <c r="P1725" s="10"/>
    </row>
    <row r="1726">
      <c r="A1726" s="231"/>
      <c r="B1726" s="78"/>
      <c r="C1726" s="623"/>
      <c r="D1726" s="624"/>
      <c r="O1726" s="160"/>
      <c r="P1726" s="10"/>
    </row>
    <row r="1727">
      <c r="A1727" s="231"/>
      <c r="B1727" s="78"/>
      <c r="C1727" s="623"/>
      <c r="D1727" s="624"/>
      <c r="O1727" s="160"/>
      <c r="P1727" s="10"/>
    </row>
    <row r="1728">
      <c r="A1728" s="231"/>
      <c r="B1728" s="78"/>
      <c r="C1728" s="623"/>
      <c r="D1728" s="624"/>
      <c r="O1728" s="160"/>
      <c r="P1728" s="10"/>
    </row>
    <row r="1729">
      <c r="A1729" s="231"/>
      <c r="B1729" s="78"/>
      <c r="C1729" s="623"/>
      <c r="D1729" s="624"/>
      <c r="O1729" s="160"/>
      <c r="P1729" s="10"/>
    </row>
    <row r="1730">
      <c r="A1730" s="231"/>
      <c r="B1730" s="78"/>
      <c r="C1730" s="623"/>
      <c r="D1730" s="624"/>
      <c r="O1730" s="160"/>
      <c r="P1730" s="10"/>
    </row>
    <row r="1731">
      <c r="A1731" s="231"/>
      <c r="B1731" s="78"/>
      <c r="C1731" s="623"/>
      <c r="D1731" s="624"/>
      <c r="O1731" s="160"/>
      <c r="P1731" s="10"/>
    </row>
    <row r="1732">
      <c r="A1732" s="231"/>
      <c r="B1732" s="78"/>
      <c r="C1732" s="623"/>
      <c r="D1732" s="624"/>
      <c r="O1732" s="160"/>
      <c r="P1732" s="10"/>
    </row>
    <row r="1733">
      <c r="A1733" s="231"/>
      <c r="B1733" s="78"/>
      <c r="C1733" s="623"/>
      <c r="D1733" s="624"/>
      <c r="O1733" s="160"/>
      <c r="P1733" s="10"/>
    </row>
    <row r="1734">
      <c r="A1734" s="231"/>
      <c r="B1734" s="78"/>
      <c r="C1734" s="623"/>
      <c r="D1734" s="624"/>
      <c r="O1734" s="160"/>
      <c r="P1734" s="10"/>
    </row>
    <row r="1735">
      <c r="A1735" s="231"/>
      <c r="B1735" s="78"/>
      <c r="C1735" s="623"/>
      <c r="D1735" s="624"/>
      <c r="O1735" s="160"/>
      <c r="P1735" s="10"/>
    </row>
    <row r="1736">
      <c r="A1736" s="231"/>
      <c r="B1736" s="78"/>
      <c r="C1736" s="623"/>
      <c r="D1736" s="624"/>
      <c r="O1736" s="160"/>
      <c r="P1736" s="10"/>
    </row>
    <row r="1737">
      <c r="A1737" s="231"/>
      <c r="B1737" s="78"/>
      <c r="C1737" s="623"/>
      <c r="D1737" s="624"/>
      <c r="O1737" s="160"/>
      <c r="P1737" s="10"/>
    </row>
    <row r="1738">
      <c r="A1738" s="231"/>
      <c r="B1738" s="78"/>
      <c r="C1738" s="623"/>
      <c r="D1738" s="624"/>
      <c r="O1738" s="160"/>
      <c r="P1738" s="10"/>
    </row>
    <row r="1739">
      <c r="A1739" s="231"/>
      <c r="B1739" s="78"/>
      <c r="C1739" s="623"/>
      <c r="D1739" s="624"/>
      <c r="O1739" s="160"/>
      <c r="P1739" s="10"/>
    </row>
    <row r="1740">
      <c r="A1740" s="231"/>
      <c r="B1740" s="78"/>
      <c r="C1740" s="623"/>
      <c r="D1740" s="624"/>
      <c r="O1740" s="160"/>
      <c r="P1740" s="10"/>
    </row>
    <row r="1741">
      <c r="A1741" s="231"/>
      <c r="B1741" s="78"/>
      <c r="C1741" s="623"/>
      <c r="D1741" s="624"/>
      <c r="O1741" s="160"/>
      <c r="P1741" s="10"/>
    </row>
    <row r="1742">
      <c r="A1742" s="231"/>
      <c r="B1742" s="78"/>
      <c r="C1742" s="623"/>
      <c r="D1742" s="624"/>
      <c r="O1742" s="160"/>
      <c r="P1742" s="10"/>
    </row>
    <row r="1743">
      <c r="A1743" s="231"/>
      <c r="B1743" s="78"/>
      <c r="C1743" s="623"/>
      <c r="D1743" s="624"/>
      <c r="O1743" s="160"/>
      <c r="P1743" s="10"/>
    </row>
    <row r="1744">
      <c r="A1744" s="231"/>
      <c r="B1744" s="78"/>
      <c r="C1744" s="623"/>
      <c r="D1744" s="624"/>
      <c r="O1744" s="160"/>
      <c r="P1744" s="10"/>
    </row>
    <row r="1745">
      <c r="A1745" s="231"/>
      <c r="B1745" s="78"/>
      <c r="C1745" s="623"/>
      <c r="D1745" s="624"/>
      <c r="O1745" s="160"/>
      <c r="P1745" s="10"/>
    </row>
    <row r="1746">
      <c r="A1746" s="231"/>
      <c r="B1746" s="78"/>
      <c r="C1746" s="623"/>
      <c r="D1746" s="624"/>
      <c r="O1746" s="160"/>
      <c r="P1746" s="10"/>
    </row>
    <row r="1747">
      <c r="A1747" s="231"/>
      <c r="B1747" s="78"/>
      <c r="C1747" s="623"/>
      <c r="D1747" s="624"/>
      <c r="O1747" s="160"/>
      <c r="P1747" s="10"/>
    </row>
    <row r="1748">
      <c r="A1748" s="231"/>
      <c r="B1748" s="78"/>
      <c r="C1748" s="623"/>
      <c r="D1748" s="624"/>
      <c r="O1748" s="160"/>
      <c r="P1748" s="10"/>
    </row>
    <row r="1749">
      <c r="A1749" s="231"/>
      <c r="B1749" s="78"/>
      <c r="C1749" s="623"/>
      <c r="D1749" s="624"/>
      <c r="O1749" s="160"/>
      <c r="P1749" s="10"/>
    </row>
    <row r="1750">
      <c r="A1750" s="231"/>
      <c r="B1750" s="78"/>
      <c r="C1750" s="623"/>
      <c r="D1750" s="624"/>
      <c r="O1750" s="160"/>
      <c r="P1750" s="10"/>
    </row>
    <row r="1751">
      <c r="A1751" s="231"/>
      <c r="B1751" s="78"/>
      <c r="C1751" s="623"/>
      <c r="D1751" s="624"/>
      <c r="O1751" s="160"/>
      <c r="P1751" s="10"/>
    </row>
    <row r="1752">
      <c r="A1752" s="231"/>
      <c r="B1752" s="78"/>
      <c r="C1752" s="623"/>
      <c r="D1752" s="624"/>
      <c r="O1752" s="160"/>
      <c r="P1752" s="10"/>
    </row>
    <row r="1753">
      <c r="A1753" s="231"/>
      <c r="B1753" s="78"/>
      <c r="C1753" s="623"/>
      <c r="D1753" s="624"/>
      <c r="O1753" s="160"/>
      <c r="P1753" s="10"/>
    </row>
    <row r="1754">
      <c r="A1754" s="231"/>
      <c r="B1754" s="78"/>
      <c r="C1754" s="623"/>
      <c r="D1754" s="624"/>
      <c r="O1754" s="160"/>
      <c r="P1754" s="10"/>
    </row>
    <row r="1755">
      <c r="A1755" s="231"/>
      <c r="B1755" s="78"/>
      <c r="C1755" s="623"/>
      <c r="D1755" s="624"/>
      <c r="O1755" s="160"/>
      <c r="P1755" s="10"/>
    </row>
    <row r="1756">
      <c r="A1756" s="231"/>
      <c r="B1756" s="78"/>
      <c r="C1756" s="623"/>
      <c r="D1756" s="624"/>
      <c r="O1756" s="160"/>
      <c r="P1756" s="10"/>
    </row>
    <row r="1757">
      <c r="A1757" s="231"/>
      <c r="B1757" s="78"/>
      <c r="C1757" s="623"/>
      <c r="D1757" s="624"/>
      <c r="O1757" s="160"/>
      <c r="P1757" s="10"/>
    </row>
    <row r="1758">
      <c r="A1758" s="231"/>
      <c r="B1758" s="78"/>
      <c r="C1758" s="623"/>
      <c r="D1758" s="624"/>
      <c r="O1758" s="160"/>
      <c r="P1758" s="10"/>
    </row>
    <row r="1759">
      <c r="A1759" s="231"/>
      <c r="B1759" s="78"/>
      <c r="C1759" s="623"/>
      <c r="D1759" s="624"/>
      <c r="O1759" s="160"/>
      <c r="P1759" s="10"/>
    </row>
    <row r="1760">
      <c r="A1760" s="231"/>
      <c r="B1760" s="78"/>
      <c r="C1760" s="623"/>
      <c r="D1760" s="624"/>
      <c r="O1760" s="160"/>
      <c r="P1760" s="10"/>
    </row>
    <row r="1761">
      <c r="A1761" s="231"/>
      <c r="B1761" s="78"/>
      <c r="C1761" s="623"/>
      <c r="D1761" s="624"/>
      <c r="O1761" s="160"/>
      <c r="P1761" s="10"/>
    </row>
    <row r="1762">
      <c r="A1762" s="231"/>
      <c r="B1762" s="78"/>
      <c r="C1762" s="623"/>
      <c r="D1762" s="624"/>
      <c r="O1762" s="160"/>
      <c r="P1762" s="10"/>
    </row>
    <row r="1763">
      <c r="A1763" s="231"/>
      <c r="B1763" s="78"/>
      <c r="C1763" s="623"/>
      <c r="D1763" s="624"/>
      <c r="O1763" s="160"/>
      <c r="P1763" s="10"/>
    </row>
    <row r="1764">
      <c r="A1764" s="231"/>
      <c r="B1764" s="78"/>
      <c r="C1764" s="623"/>
      <c r="D1764" s="624"/>
      <c r="O1764" s="160"/>
      <c r="P1764" s="10"/>
    </row>
    <row r="1765">
      <c r="A1765" s="231"/>
      <c r="B1765" s="78"/>
      <c r="C1765" s="623"/>
      <c r="D1765" s="624"/>
      <c r="O1765" s="160"/>
      <c r="P1765" s="10"/>
    </row>
    <row r="1766">
      <c r="A1766" s="231"/>
      <c r="B1766" s="78"/>
      <c r="C1766" s="623"/>
      <c r="D1766" s="624"/>
      <c r="O1766" s="160"/>
      <c r="P1766" s="10"/>
    </row>
    <row r="1767">
      <c r="A1767" s="231"/>
      <c r="B1767" s="78"/>
      <c r="C1767" s="623"/>
      <c r="D1767" s="624"/>
      <c r="O1767" s="160"/>
      <c r="P1767" s="10"/>
    </row>
    <row r="1768">
      <c r="A1768" s="231"/>
      <c r="B1768" s="78"/>
      <c r="C1768" s="623"/>
      <c r="D1768" s="624"/>
      <c r="O1768" s="160"/>
      <c r="P1768" s="10"/>
    </row>
    <row r="1769">
      <c r="A1769" s="231"/>
      <c r="B1769" s="78"/>
      <c r="C1769" s="623"/>
      <c r="D1769" s="624"/>
      <c r="O1769" s="160"/>
      <c r="P1769" s="10"/>
    </row>
    <row r="1770">
      <c r="A1770" s="231"/>
      <c r="B1770" s="78"/>
      <c r="C1770" s="623"/>
      <c r="D1770" s="624"/>
      <c r="O1770" s="160"/>
      <c r="P1770" s="10"/>
    </row>
    <row r="1771">
      <c r="A1771" s="231"/>
      <c r="B1771" s="78"/>
      <c r="C1771" s="623"/>
      <c r="D1771" s="624"/>
      <c r="O1771" s="160"/>
      <c r="P1771" s="10"/>
    </row>
    <row r="1772">
      <c r="A1772" s="231"/>
      <c r="B1772" s="78"/>
      <c r="C1772" s="623"/>
      <c r="D1772" s="624"/>
      <c r="O1772" s="160"/>
      <c r="P1772" s="10"/>
    </row>
    <row r="1773">
      <c r="A1773" s="231"/>
      <c r="B1773" s="78"/>
      <c r="C1773" s="623"/>
      <c r="D1773" s="624"/>
      <c r="O1773" s="160"/>
      <c r="P1773" s="10"/>
    </row>
    <row r="1774">
      <c r="A1774" s="231"/>
      <c r="B1774" s="78"/>
      <c r="C1774" s="623"/>
      <c r="D1774" s="624"/>
      <c r="O1774" s="160"/>
      <c r="P1774" s="10"/>
    </row>
    <row r="1775">
      <c r="A1775" s="231"/>
      <c r="B1775" s="78"/>
      <c r="C1775" s="623"/>
      <c r="D1775" s="624"/>
      <c r="O1775" s="160"/>
      <c r="P1775" s="10"/>
    </row>
    <row r="1776">
      <c r="A1776" s="231"/>
      <c r="B1776" s="78"/>
      <c r="C1776" s="623"/>
      <c r="D1776" s="624"/>
      <c r="O1776" s="160"/>
      <c r="P1776" s="10"/>
    </row>
    <row r="1777">
      <c r="A1777" s="231"/>
      <c r="B1777" s="78"/>
      <c r="C1777" s="623"/>
      <c r="D1777" s="624"/>
      <c r="O1777" s="160"/>
      <c r="P1777" s="10"/>
    </row>
    <row r="1778">
      <c r="A1778" s="231"/>
      <c r="B1778" s="78"/>
      <c r="C1778" s="623"/>
      <c r="D1778" s="624"/>
      <c r="O1778" s="160"/>
      <c r="P1778" s="10"/>
    </row>
    <row r="1779">
      <c r="A1779" s="231"/>
      <c r="B1779" s="78"/>
      <c r="C1779" s="623"/>
      <c r="D1779" s="624"/>
      <c r="O1779" s="160"/>
      <c r="P1779" s="10"/>
    </row>
    <row r="1780">
      <c r="A1780" s="231"/>
      <c r="B1780" s="78"/>
      <c r="C1780" s="623"/>
      <c r="D1780" s="624"/>
      <c r="O1780" s="160"/>
      <c r="P1780" s="10"/>
    </row>
    <row r="1781">
      <c r="A1781" s="231"/>
      <c r="B1781" s="78"/>
      <c r="C1781" s="623"/>
      <c r="D1781" s="624"/>
      <c r="O1781" s="160"/>
      <c r="P1781" s="10"/>
    </row>
    <row r="1782">
      <c r="A1782" s="231"/>
      <c r="B1782" s="78"/>
      <c r="C1782" s="623"/>
      <c r="D1782" s="624"/>
      <c r="O1782" s="160"/>
      <c r="P1782" s="10"/>
    </row>
    <row r="1783">
      <c r="A1783" s="231"/>
      <c r="B1783" s="78"/>
      <c r="C1783" s="623"/>
      <c r="D1783" s="624"/>
      <c r="O1783" s="160"/>
      <c r="P1783" s="10"/>
    </row>
    <row r="1784">
      <c r="A1784" s="231"/>
      <c r="B1784" s="78"/>
      <c r="C1784" s="623"/>
      <c r="D1784" s="624"/>
      <c r="O1784" s="160"/>
      <c r="P1784" s="10"/>
    </row>
    <row r="1785">
      <c r="A1785" s="231"/>
      <c r="B1785" s="78"/>
      <c r="C1785" s="623"/>
      <c r="D1785" s="624"/>
      <c r="O1785" s="160"/>
      <c r="P1785" s="10"/>
    </row>
    <row r="1786">
      <c r="A1786" s="231"/>
      <c r="B1786" s="78"/>
      <c r="C1786" s="623"/>
      <c r="D1786" s="624"/>
      <c r="O1786" s="160"/>
      <c r="P1786" s="10"/>
    </row>
    <row r="1787">
      <c r="A1787" s="231"/>
      <c r="B1787" s="78"/>
      <c r="C1787" s="623"/>
      <c r="D1787" s="624"/>
      <c r="O1787" s="160"/>
      <c r="P1787" s="10"/>
    </row>
    <row r="1788">
      <c r="A1788" s="231"/>
      <c r="B1788" s="78"/>
      <c r="C1788" s="623"/>
      <c r="D1788" s="624"/>
      <c r="O1788" s="160"/>
      <c r="P1788" s="10"/>
    </row>
    <row r="1789">
      <c r="A1789" s="231"/>
      <c r="B1789" s="78"/>
      <c r="C1789" s="623"/>
      <c r="D1789" s="624"/>
      <c r="O1789" s="160"/>
      <c r="P1789" s="10"/>
    </row>
    <row r="1790">
      <c r="A1790" s="231"/>
      <c r="B1790" s="78"/>
      <c r="C1790" s="623"/>
      <c r="D1790" s="624"/>
      <c r="O1790" s="160"/>
      <c r="P1790" s="10"/>
    </row>
    <row r="1791">
      <c r="A1791" s="231"/>
      <c r="B1791" s="78"/>
      <c r="C1791" s="623"/>
      <c r="D1791" s="624"/>
      <c r="O1791" s="160"/>
      <c r="P1791" s="10"/>
    </row>
    <row r="1792">
      <c r="A1792" s="231"/>
      <c r="B1792" s="78"/>
      <c r="C1792" s="623"/>
      <c r="D1792" s="624"/>
      <c r="O1792" s="160"/>
      <c r="P1792" s="10"/>
    </row>
    <row r="1793">
      <c r="A1793" s="231"/>
      <c r="B1793" s="78"/>
      <c r="C1793" s="623"/>
      <c r="D1793" s="624"/>
      <c r="O1793" s="160"/>
      <c r="P1793" s="10"/>
    </row>
    <row r="1794">
      <c r="A1794" s="231"/>
      <c r="B1794" s="78"/>
      <c r="C1794" s="623"/>
      <c r="D1794" s="624"/>
      <c r="O1794" s="160"/>
      <c r="P1794" s="10"/>
    </row>
    <row r="1795">
      <c r="A1795" s="231"/>
      <c r="B1795" s="78"/>
      <c r="C1795" s="623"/>
      <c r="D1795" s="624"/>
      <c r="O1795" s="160"/>
      <c r="P1795" s="10"/>
    </row>
    <row r="1796">
      <c r="A1796" s="231"/>
      <c r="B1796" s="78"/>
      <c r="C1796" s="623"/>
      <c r="D1796" s="624"/>
      <c r="O1796" s="160"/>
      <c r="P1796" s="10"/>
    </row>
    <row r="1797">
      <c r="A1797" s="231"/>
      <c r="B1797" s="78"/>
      <c r="C1797" s="623"/>
      <c r="D1797" s="624"/>
      <c r="O1797" s="160"/>
      <c r="P1797" s="10"/>
    </row>
    <row r="1798">
      <c r="A1798" s="231"/>
      <c r="B1798" s="78"/>
      <c r="C1798" s="623"/>
      <c r="D1798" s="624"/>
      <c r="O1798" s="160"/>
      <c r="P1798" s="10"/>
    </row>
    <row r="1799">
      <c r="A1799" s="231"/>
      <c r="B1799" s="78"/>
      <c r="C1799" s="623"/>
      <c r="D1799" s="624"/>
      <c r="O1799" s="160"/>
      <c r="P1799" s="10"/>
    </row>
    <row r="1800">
      <c r="A1800" s="231"/>
      <c r="B1800" s="78"/>
      <c r="C1800" s="623"/>
      <c r="D1800" s="624"/>
      <c r="O1800" s="160"/>
      <c r="P1800" s="10"/>
    </row>
    <row r="1801">
      <c r="A1801" s="231"/>
      <c r="B1801" s="78"/>
      <c r="C1801" s="623"/>
      <c r="D1801" s="624"/>
      <c r="O1801" s="160"/>
      <c r="P1801" s="10"/>
    </row>
    <row r="1802">
      <c r="A1802" s="231"/>
      <c r="B1802" s="78"/>
      <c r="C1802" s="623"/>
      <c r="D1802" s="624"/>
      <c r="O1802" s="160"/>
      <c r="P1802" s="10"/>
    </row>
    <row r="1803">
      <c r="A1803" s="231"/>
      <c r="B1803" s="78"/>
      <c r="C1803" s="623"/>
      <c r="D1803" s="624"/>
      <c r="O1803" s="160"/>
      <c r="P1803" s="10"/>
    </row>
    <row r="1804">
      <c r="A1804" s="231"/>
      <c r="B1804" s="78"/>
      <c r="C1804" s="623"/>
      <c r="D1804" s="624"/>
      <c r="O1804" s="160"/>
      <c r="P1804" s="10"/>
    </row>
    <row r="1805">
      <c r="A1805" s="231"/>
      <c r="B1805" s="78"/>
      <c r="C1805" s="623"/>
      <c r="D1805" s="624"/>
      <c r="O1805" s="160"/>
      <c r="P1805" s="10"/>
    </row>
    <row r="1806">
      <c r="A1806" s="231"/>
      <c r="B1806" s="78"/>
      <c r="C1806" s="623"/>
      <c r="D1806" s="624"/>
      <c r="O1806" s="160"/>
      <c r="P1806" s="10"/>
    </row>
    <row r="1807">
      <c r="A1807" s="231"/>
      <c r="B1807" s="78"/>
      <c r="C1807" s="623"/>
      <c r="D1807" s="624"/>
      <c r="O1807" s="160"/>
      <c r="P1807" s="10"/>
    </row>
    <row r="1808">
      <c r="A1808" s="231"/>
      <c r="B1808" s="78"/>
      <c r="C1808" s="623"/>
      <c r="D1808" s="624"/>
      <c r="O1808" s="160"/>
      <c r="P1808" s="10"/>
    </row>
    <row r="1809">
      <c r="A1809" s="231"/>
      <c r="B1809" s="78"/>
      <c r="C1809" s="623"/>
      <c r="D1809" s="624"/>
      <c r="O1809" s="160"/>
      <c r="P1809" s="10"/>
    </row>
    <row r="1810">
      <c r="A1810" s="231"/>
      <c r="B1810" s="78"/>
      <c r="C1810" s="623"/>
      <c r="D1810" s="624"/>
      <c r="O1810" s="160"/>
      <c r="P1810" s="10"/>
    </row>
    <row r="1811">
      <c r="A1811" s="231"/>
      <c r="B1811" s="78"/>
      <c r="C1811" s="623"/>
      <c r="D1811" s="624"/>
      <c r="O1811" s="160"/>
      <c r="P1811" s="10"/>
    </row>
    <row r="1812">
      <c r="A1812" s="231"/>
      <c r="B1812" s="78"/>
      <c r="C1812" s="623"/>
      <c r="D1812" s="624"/>
      <c r="O1812" s="160"/>
      <c r="P1812" s="10"/>
    </row>
    <row r="1813">
      <c r="A1813" s="231"/>
      <c r="B1813" s="78"/>
      <c r="C1813" s="623"/>
      <c r="D1813" s="624"/>
      <c r="O1813" s="160"/>
      <c r="P1813" s="10"/>
    </row>
    <row r="1814">
      <c r="A1814" s="231"/>
      <c r="B1814" s="78"/>
      <c r="C1814" s="623"/>
      <c r="D1814" s="624"/>
      <c r="O1814" s="160"/>
      <c r="P1814" s="10"/>
    </row>
    <row r="1815">
      <c r="A1815" s="231"/>
      <c r="B1815" s="78"/>
      <c r="C1815" s="623"/>
      <c r="D1815" s="624"/>
      <c r="O1815" s="160"/>
      <c r="P1815" s="10"/>
    </row>
    <row r="1816">
      <c r="A1816" s="231"/>
      <c r="B1816" s="78"/>
      <c r="C1816" s="623"/>
      <c r="D1816" s="624"/>
      <c r="O1816" s="160"/>
      <c r="P1816" s="10"/>
    </row>
    <row r="1817">
      <c r="A1817" s="231"/>
      <c r="B1817" s="78"/>
      <c r="C1817" s="623"/>
      <c r="D1817" s="624"/>
      <c r="O1817" s="160"/>
      <c r="P1817" s="10"/>
    </row>
    <row r="1818">
      <c r="A1818" s="231"/>
      <c r="B1818" s="78"/>
      <c r="C1818" s="623"/>
      <c r="D1818" s="624"/>
      <c r="O1818" s="160"/>
      <c r="P1818" s="10"/>
    </row>
    <row r="1819">
      <c r="A1819" s="231"/>
      <c r="B1819" s="78"/>
      <c r="C1819" s="623"/>
      <c r="D1819" s="624"/>
      <c r="O1819" s="160"/>
      <c r="P1819" s="10"/>
    </row>
    <row r="1820">
      <c r="A1820" s="231"/>
      <c r="B1820" s="78"/>
      <c r="C1820" s="623"/>
      <c r="D1820" s="624"/>
      <c r="O1820" s="160"/>
      <c r="P1820" s="10"/>
    </row>
    <row r="1821">
      <c r="A1821" s="231"/>
      <c r="B1821" s="78"/>
      <c r="C1821" s="623"/>
      <c r="D1821" s="624"/>
      <c r="O1821" s="160"/>
      <c r="P1821" s="10"/>
    </row>
    <row r="1822">
      <c r="A1822" s="231"/>
      <c r="B1822" s="78"/>
      <c r="C1822" s="623"/>
      <c r="D1822" s="624"/>
      <c r="O1822" s="160"/>
      <c r="P1822" s="10"/>
    </row>
    <row r="1823">
      <c r="A1823" s="231"/>
      <c r="B1823" s="78"/>
      <c r="C1823" s="623"/>
      <c r="D1823" s="624"/>
      <c r="O1823" s="160"/>
      <c r="P1823" s="10"/>
    </row>
    <row r="1824">
      <c r="A1824" s="231"/>
      <c r="B1824" s="78"/>
      <c r="C1824" s="623"/>
      <c r="D1824" s="624"/>
      <c r="O1824" s="160"/>
      <c r="P1824" s="10"/>
    </row>
    <row r="1825">
      <c r="A1825" s="231"/>
      <c r="B1825" s="78"/>
      <c r="C1825" s="623"/>
      <c r="D1825" s="624"/>
      <c r="O1825" s="160"/>
      <c r="P1825" s="10"/>
    </row>
    <row r="1826">
      <c r="A1826" s="231"/>
      <c r="B1826" s="78"/>
      <c r="C1826" s="623"/>
      <c r="D1826" s="624"/>
      <c r="O1826" s="160"/>
      <c r="P1826" s="10"/>
    </row>
    <row r="1827">
      <c r="A1827" s="231"/>
      <c r="B1827" s="78"/>
      <c r="C1827" s="623"/>
      <c r="D1827" s="624"/>
      <c r="O1827" s="160"/>
      <c r="P1827" s="10"/>
    </row>
    <row r="1828">
      <c r="A1828" s="231"/>
      <c r="B1828" s="78"/>
      <c r="C1828" s="623"/>
      <c r="D1828" s="624"/>
      <c r="O1828" s="160"/>
      <c r="P1828" s="10"/>
    </row>
    <row r="1829">
      <c r="A1829" s="231"/>
      <c r="B1829" s="78"/>
      <c r="C1829" s="623"/>
      <c r="D1829" s="624"/>
      <c r="O1829" s="160"/>
      <c r="P1829" s="10"/>
    </row>
    <row r="1830">
      <c r="A1830" s="231"/>
      <c r="B1830" s="78"/>
      <c r="C1830" s="623"/>
      <c r="D1830" s="624"/>
      <c r="O1830" s="160"/>
      <c r="P1830" s="10"/>
    </row>
    <row r="1831">
      <c r="A1831" s="231"/>
      <c r="B1831" s="78"/>
      <c r="C1831" s="623"/>
      <c r="D1831" s="624"/>
      <c r="O1831" s="160"/>
      <c r="P1831" s="10"/>
    </row>
    <row r="1832">
      <c r="A1832" s="231"/>
      <c r="B1832" s="78"/>
      <c r="C1832" s="623"/>
      <c r="D1832" s="624"/>
      <c r="O1832" s="160"/>
      <c r="P1832" s="10"/>
    </row>
    <row r="1833">
      <c r="A1833" s="231"/>
      <c r="B1833" s="78"/>
      <c r="C1833" s="623"/>
      <c r="D1833" s="624"/>
      <c r="O1833" s="160"/>
      <c r="P1833" s="10"/>
    </row>
    <row r="1834">
      <c r="A1834" s="231"/>
      <c r="B1834" s="78"/>
      <c r="C1834" s="623"/>
      <c r="D1834" s="624"/>
      <c r="O1834" s="160"/>
      <c r="P1834" s="10"/>
    </row>
    <row r="1835">
      <c r="A1835" s="231"/>
      <c r="B1835" s="78"/>
      <c r="C1835" s="623"/>
      <c r="D1835" s="624"/>
      <c r="O1835" s="160"/>
      <c r="P1835" s="10"/>
    </row>
    <row r="1836">
      <c r="A1836" s="231"/>
      <c r="B1836" s="78"/>
      <c r="C1836" s="623"/>
      <c r="D1836" s="624"/>
      <c r="O1836" s="160"/>
      <c r="P1836" s="10"/>
    </row>
    <row r="1837">
      <c r="A1837" s="231"/>
      <c r="B1837" s="78"/>
      <c r="C1837" s="623"/>
      <c r="D1837" s="624"/>
      <c r="O1837" s="160"/>
      <c r="P1837" s="10"/>
    </row>
    <row r="1838">
      <c r="A1838" s="231"/>
      <c r="B1838" s="78"/>
      <c r="C1838" s="623"/>
      <c r="D1838" s="624"/>
      <c r="O1838" s="160"/>
      <c r="P1838" s="10"/>
    </row>
    <row r="1839">
      <c r="A1839" s="231"/>
      <c r="B1839" s="78"/>
      <c r="C1839" s="623"/>
      <c r="D1839" s="624"/>
      <c r="O1839" s="160"/>
      <c r="P1839" s="10"/>
    </row>
    <row r="1840">
      <c r="A1840" s="231"/>
      <c r="B1840" s="78"/>
      <c r="C1840" s="623"/>
      <c r="D1840" s="624"/>
      <c r="O1840" s="160"/>
      <c r="P1840" s="10"/>
    </row>
    <row r="1841">
      <c r="A1841" s="231"/>
      <c r="B1841" s="78"/>
      <c r="C1841" s="623"/>
      <c r="D1841" s="624"/>
      <c r="O1841" s="160"/>
      <c r="P1841" s="10"/>
    </row>
    <row r="1842">
      <c r="A1842" s="231"/>
      <c r="B1842" s="78"/>
      <c r="C1842" s="623"/>
      <c r="D1842" s="624"/>
      <c r="O1842" s="160"/>
      <c r="P1842" s="10"/>
    </row>
    <row r="1843">
      <c r="A1843" s="231"/>
      <c r="B1843" s="78"/>
      <c r="C1843" s="623"/>
      <c r="D1843" s="624"/>
      <c r="O1843" s="160"/>
      <c r="P1843" s="10"/>
    </row>
    <row r="1844">
      <c r="A1844" s="231"/>
      <c r="B1844" s="78"/>
      <c r="C1844" s="623"/>
      <c r="D1844" s="624"/>
      <c r="O1844" s="160"/>
      <c r="P1844" s="10"/>
    </row>
    <row r="1845">
      <c r="A1845" s="231"/>
      <c r="B1845" s="78"/>
      <c r="C1845" s="623"/>
      <c r="D1845" s="624"/>
      <c r="O1845" s="160"/>
      <c r="P1845" s="10"/>
    </row>
    <row r="1846">
      <c r="A1846" s="231"/>
      <c r="B1846" s="78"/>
      <c r="C1846" s="623"/>
      <c r="D1846" s="624"/>
      <c r="O1846" s="160"/>
      <c r="P1846" s="10"/>
    </row>
    <row r="1847">
      <c r="A1847" s="231"/>
      <c r="B1847" s="78"/>
      <c r="C1847" s="623"/>
      <c r="D1847" s="624"/>
      <c r="O1847" s="160"/>
      <c r="P1847" s="10"/>
    </row>
    <row r="1848">
      <c r="A1848" s="231"/>
      <c r="B1848" s="78"/>
      <c r="C1848" s="623"/>
      <c r="D1848" s="624"/>
      <c r="O1848" s="160"/>
      <c r="P1848" s="10"/>
    </row>
    <row r="1849">
      <c r="A1849" s="231"/>
      <c r="B1849" s="78"/>
      <c r="C1849" s="623"/>
      <c r="D1849" s="624"/>
      <c r="O1849" s="160"/>
      <c r="P1849" s="10"/>
    </row>
    <row r="1850">
      <c r="A1850" s="231"/>
      <c r="B1850" s="78"/>
      <c r="C1850" s="623"/>
      <c r="D1850" s="624"/>
      <c r="O1850" s="160"/>
      <c r="P1850" s="10"/>
    </row>
    <row r="1851">
      <c r="A1851" s="231"/>
      <c r="B1851" s="78"/>
      <c r="C1851" s="623"/>
      <c r="D1851" s="624"/>
      <c r="O1851" s="160"/>
      <c r="P1851" s="10"/>
    </row>
    <row r="1852">
      <c r="A1852" s="231"/>
      <c r="B1852" s="78"/>
      <c r="C1852" s="623"/>
      <c r="D1852" s="624"/>
      <c r="O1852" s="160"/>
      <c r="P1852" s="10"/>
    </row>
    <row r="1853">
      <c r="A1853" s="231"/>
      <c r="B1853" s="78"/>
      <c r="C1853" s="623"/>
      <c r="D1853" s="624"/>
      <c r="O1853" s="160"/>
      <c r="P1853" s="10"/>
    </row>
    <row r="1854">
      <c r="A1854" s="231"/>
      <c r="B1854" s="78"/>
      <c r="C1854" s="623"/>
      <c r="D1854" s="624"/>
      <c r="O1854" s="160"/>
      <c r="P1854" s="10"/>
    </row>
    <row r="1855">
      <c r="A1855" s="231"/>
      <c r="B1855" s="78"/>
      <c r="C1855" s="623"/>
      <c r="D1855" s="624"/>
      <c r="O1855" s="160"/>
      <c r="P1855" s="10"/>
    </row>
    <row r="1856">
      <c r="A1856" s="231"/>
      <c r="B1856" s="78"/>
      <c r="C1856" s="623"/>
      <c r="D1856" s="624"/>
      <c r="O1856" s="160"/>
      <c r="P1856" s="10"/>
    </row>
    <row r="1857">
      <c r="A1857" s="231"/>
      <c r="B1857" s="78"/>
      <c r="C1857" s="623"/>
      <c r="D1857" s="624"/>
      <c r="O1857" s="160"/>
      <c r="P1857" s="10"/>
    </row>
    <row r="1858">
      <c r="A1858" s="231"/>
      <c r="B1858" s="78"/>
      <c r="C1858" s="623"/>
      <c r="D1858" s="624"/>
      <c r="O1858" s="160"/>
      <c r="P1858" s="10"/>
    </row>
    <row r="1859">
      <c r="A1859" s="231"/>
      <c r="B1859" s="78"/>
      <c r="C1859" s="623"/>
      <c r="D1859" s="624"/>
      <c r="O1859" s="160"/>
      <c r="P1859" s="10"/>
    </row>
    <row r="1860">
      <c r="A1860" s="231"/>
      <c r="B1860" s="78"/>
      <c r="C1860" s="623"/>
      <c r="D1860" s="624"/>
      <c r="O1860" s="160"/>
      <c r="P1860" s="10"/>
    </row>
    <row r="1861">
      <c r="A1861" s="231"/>
      <c r="B1861" s="78"/>
      <c r="C1861" s="623"/>
      <c r="D1861" s="624"/>
      <c r="O1861" s="160"/>
      <c r="P1861" s="10"/>
    </row>
    <row r="1862">
      <c r="A1862" s="231"/>
      <c r="B1862" s="78"/>
      <c r="C1862" s="623"/>
      <c r="D1862" s="624"/>
      <c r="O1862" s="160"/>
      <c r="P1862" s="10"/>
    </row>
    <row r="1863">
      <c r="A1863" s="231"/>
      <c r="B1863" s="78"/>
      <c r="C1863" s="623"/>
      <c r="D1863" s="624"/>
      <c r="O1863" s="160"/>
      <c r="P1863" s="10"/>
    </row>
    <row r="1864">
      <c r="A1864" s="231"/>
      <c r="B1864" s="78"/>
      <c r="C1864" s="623"/>
      <c r="D1864" s="624"/>
      <c r="O1864" s="160"/>
      <c r="P1864" s="10"/>
    </row>
    <row r="1865">
      <c r="A1865" s="231"/>
      <c r="B1865" s="78"/>
      <c r="C1865" s="623"/>
      <c r="D1865" s="624"/>
      <c r="O1865" s="160"/>
      <c r="P1865" s="10"/>
    </row>
    <row r="1866">
      <c r="A1866" s="231"/>
      <c r="B1866" s="78"/>
      <c r="C1866" s="623"/>
      <c r="D1866" s="624"/>
      <c r="O1866" s="160"/>
      <c r="P1866" s="10"/>
    </row>
    <row r="1867">
      <c r="A1867" s="231"/>
      <c r="B1867" s="78"/>
      <c r="C1867" s="623"/>
      <c r="D1867" s="624"/>
      <c r="O1867" s="160"/>
      <c r="P1867" s="10"/>
    </row>
    <row r="1868">
      <c r="A1868" s="231"/>
      <c r="B1868" s="78"/>
      <c r="C1868" s="623"/>
      <c r="D1868" s="624"/>
      <c r="O1868" s="160"/>
      <c r="P1868" s="10"/>
    </row>
    <row r="1869">
      <c r="A1869" s="231"/>
      <c r="B1869" s="78"/>
      <c r="C1869" s="623"/>
      <c r="D1869" s="624"/>
      <c r="O1869" s="160"/>
      <c r="P1869" s="10"/>
    </row>
    <row r="1870">
      <c r="A1870" s="231"/>
      <c r="B1870" s="78"/>
      <c r="C1870" s="623"/>
      <c r="D1870" s="624"/>
      <c r="O1870" s="160"/>
      <c r="P1870" s="10"/>
    </row>
    <row r="1871">
      <c r="A1871" s="231"/>
      <c r="B1871" s="78"/>
      <c r="C1871" s="623"/>
      <c r="D1871" s="624"/>
      <c r="O1871" s="160"/>
      <c r="P1871" s="10"/>
    </row>
    <row r="1872">
      <c r="A1872" s="231"/>
      <c r="B1872" s="78"/>
      <c r="C1872" s="623"/>
      <c r="D1872" s="624"/>
      <c r="O1872" s="160"/>
      <c r="P1872" s="10"/>
    </row>
    <row r="1873">
      <c r="A1873" s="231"/>
      <c r="B1873" s="78"/>
      <c r="C1873" s="623"/>
      <c r="D1873" s="624"/>
      <c r="O1873" s="160"/>
      <c r="P1873" s="10"/>
    </row>
    <row r="1874">
      <c r="A1874" s="231"/>
      <c r="B1874" s="78"/>
      <c r="C1874" s="623"/>
      <c r="D1874" s="624"/>
      <c r="O1874" s="160"/>
      <c r="P1874" s="10"/>
    </row>
    <row r="1875">
      <c r="A1875" s="231"/>
      <c r="B1875" s="78"/>
      <c r="C1875" s="623"/>
      <c r="D1875" s="624"/>
      <c r="O1875" s="160"/>
      <c r="P1875" s="10"/>
    </row>
    <row r="1876">
      <c r="A1876" s="231"/>
      <c r="B1876" s="78"/>
      <c r="C1876" s="623"/>
      <c r="D1876" s="624"/>
      <c r="O1876" s="160"/>
      <c r="P1876" s="10"/>
    </row>
    <row r="1877">
      <c r="A1877" s="231"/>
      <c r="B1877" s="78"/>
      <c r="C1877" s="623"/>
      <c r="D1877" s="624"/>
      <c r="O1877" s="160"/>
      <c r="P1877" s="10"/>
    </row>
    <row r="1878">
      <c r="A1878" s="231"/>
      <c r="B1878" s="78"/>
      <c r="C1878" s="623"/>
      <c r="D1878" s="624"/>
      <c r="O1878" s="160"/>
      <c r="P1878" s="10"/>
    </row>
    <row r="1879">
      <c r="A1879" s="231"/>
      <c r="B1879" s="78"/>
      <c r="C1879" s="623"/>
      <c r="D1879" s="624"/>
      <c r="O1879" s="160"/>
      <c r="P1879" s="10"/>
    </row>
    <row r="1880">
      <c r="A1880" s="231"/>
      <c r="B1880" s="78"/>
      <c r="C1880" s="623"/>
      <c r="D1880" s="624"/>
      <c r="O1880" s="160"/>
      <c r="P1880" s="10"/>
    </row>
    <row r="1881">
      <c r="A1881" s="231"/>
      <c r="B1881" s="78"/>
      <c r="C1881" s="623"/>
      <c r="D1881" s="624"/>
      <c r="O1881" s="160"/>
      <c r="P1881" s="10"/>
    </row>
    <row r="1882">
      <c r="A1882" s="231"/>
      <c r="B1882" s="78"/>
      <c r="C1882" s="623"/>
      <c r="D1882" s="624"/>
      <c r="O1882" s="160"/>
      <c r="P1882" s="10"/>
    </row>
    <row r="1883">
      <c r="A1883" s="231"/>
      <c r="B1883" s="78"/>
      <c r="C1883" s="623"/>
      <c r="D1883" s="624"/>
      <c r="O1883" s="160"/>
      <c r="P1883" s="10"/>
    </row>
    <row r="1884">
      <c r="A1884" s="231"/>
      <c r="B1884" s="78"/>
      <c r="C1884" s="623"/>
      <c r="D1884" s="624"/>
      <c r="O1884" s="160"/>
      <c r="P1884" s="10"/>
    </row>
    <row r="1885">
      <c r="A1885" s="231"/>
      <c r="B1885" s="78"/>
      <c r="C1885" s="623"/>
      <c r="D1885" s="624"/>
      <c r="O1885" s="160"/>
      <c r="P1885" s="10"/>
    </row>
    <row r="1886">
      <c r="A1886" s="231"/>
      <c r="B1886" s="78"/>
      <c r="C1886" s="623"/>
      <c r="D1886" s="624"/>
      <c r="O1886" s="160"/>
      <c r="P1886" s="10"/>
    </row>
    <row r="1887">
      <c r="A1887" s="231"/>
      <c r="B1887" s="78"/>
      <c r="C1887" s="623"/>
      <c r="D1887" s="624"/>
      <c r="O1887" s="160"/>
      <c r="P1887" s="10"/>
    </row>
    <row r="1888">
      <c r="A1888" s="231"/>
      <c r="B1888" s="78"/>
      <c r="C1888" s="623"/>
      <c r="D1888" s="624"/>
      <c r="O1888" s="160"/>
      <c r="P1888" s="10"/>
    </row>
    <row r="1889">
      <c r="A1889" s="231"/>
      <c r="B1889" s="78"/>
      <c r="C1889" s="623"/>
      <c r="D1889" s="624"/>
      <c r="O1889" s="160"/>
      <c r="P1889" s="10"/>
    </row>
    <row r="1890">
      <c r="A1890" s="231"/>
      <c r="B1890" s="78"/>
      <c r="C1890" s="623"/>
      <c r="D1890" s="624"/>
      <c r="O1890" s="160"/>
      <c r="P1890" s="10"/>
    </row>
    <row r="1891">
      <c r="A1891" s="231"/>
      <c r="B1891" s="78"/>
      <c r="C1891" s="623"/>
      <c r="D1891" s="624"/>
      <c r="O1891" s="160"/>
      <c r="P1891" s="10"/>
    </row>
    <row r="1892">
      <c r="A1892" s="231"/>
      <c r="B1892" s="78"/>
      <c r="C1892" s="623"/>
      <c r="D1892" s="624"/>
      <c r="O1892" s="160"/>
      <c r="P1892" s="10"/>
    </row>
    <row r="1893">
      <c r="A1893" s="231"/>
      <c r="B1893" s="78"/>
      <c r="C1893" s="623"/>
      <c r="D1893" s="624"/>
      <c r="O1893" s="160"/>
      <c r="P1893" s="10"/>
    </row>
    <row r="1894">
      <c r="A1894" s="231"/>
      <c r="B1894" s="78"/>
      <c r="C1894" s="623"/>
      <c r="D1894" s="624"/>
      <c r="O1894" s="160"/>
      <c r="P1894" s="10"/>
    </row>
    <row r="1895">
      <c r="A1895" s="231"/>
      <c r="B1895" s="78"/>
      <c r="C1895" s="623"/>
      <c r="D1895" s="624"/>
      <c r="O1895" s="160"/>
      <c r="P1895" s="10"/>
    </row>
    <row r="1896">
      <c r="A1896" s="231"/>
      <c r="B1896" s="78"/>
      <c r="C1896" s="623"/>
      <c r="D1896" s="624"/>
      <c r="O1896" s="160"/>
      <c r="P1896" s="10"/>
    </row>
    <row r="1897">
      <c r="A1897" s="231"/>
      <c r="B1897" s="78"/>
      <c r="C1897" s="623"/>
      <c r="D1897" s="624"/>
      <c r="O1897" s="160"/>
      <c r="P1897" s="10"/>
    </row>
    <row r="1898">
      <c r="A1898" s="231"/>
      <c r="B1898" s="78"/>
      <c r="C1898" s="623"/>
      <c r="D1898" s="624"/>
      <c r="O1898" s="160"/>
      <c r="P1898" s="10"/>
    </row>
    <row r="1899">
      <c r="A1899" s="231"/>
      <c r="B1899" s="78"/>
      <c r="C1899" s="623"/>
      <c r="D1899" s="624"/>
      <c r="O1899" s="160"/>
      <c r="P1899" s="10"/>
    </row>
    <row r="1900">
      <c r="A1900" s="231"/>
      <c r="B1900" s="78"/>
      <c r="C1900" s="623"/>
      <c r="D1900" s="624"/>
      <c r="O1900" s="160"/>
      <c r="P1900" s="10"/>
    </row>
    <row r="1901">
      <c r="A1901" s="231"/>
      <c r="B1901" s="78"/>
      <c r="C1901" s="623"/>
      <c r="D1901" s="624"/>
      <c r="O1901" s="160"/>
      <c r="P1901" s="10"/>
    </row>
    <row r="1902">
      <c r="A1902" s="231"/>
      <c r="B1902" s="78"/>
      <c r="C1902" s="623"/>
      <c r="D1902" s="624"/>
      <c r="O1902" s="160"/>
      <c r="P1902" s="10"/>
    </row>
    <row r="1903">
      <c r="A1903" s="231"/>
      <c r="B1903" s="78"/>
      <c r="C1903" s="623"/>
      <c r="D1903" s="624"/>
      <c r="O1903" s="160"/>
      <c r="P1903" s="10"/>
    </row>
    <row r="1904">
      <c r="A1904" s="231"/>
      <c r="B1904" s="78"/>
      <c r="C1904" s="623"/>
      <c r="D1904" s="624"/>
      <c r="O1904" s="160"/>
      <c r="P1904" s="10"/>
    </row>
    <row r="1905">
      <c r="A1905" s="231"/>
      <c r="B1905" s="78"/>
      <c r="C1905" s="623"/>
      <c r="D1905" s="624"/>
      <c r="O1905" s="160"/>
      <c r="P1905" s="10"/>
    </row>
    <row r="1906">
      <c r="A1906" s="231"/>
      <c r="B1906" s="78"/>
      <c r="C1906" s="623"/>
      <c r="D1906" s="624"/>
      <c r="O1906" s="160"/>
      <c r="P1906" s="10"/>
    </row>
    <row r="1907">
      <c r="A1907" s="231"/>
      <c r="B1907" s="78"/>
      <c r="C1907" s="623"/>
      <c r="D1907" s="624"/>
      <c r="O1907" s="160"/>
      <c r="P1907" s="10"/>
    </row>
    <row r="1908">
      <c r="A1908" s="231"/>
      <c r="B1908" s="78"/>
      <c r="C1908" s="623"/>
      <c r="D1908" s="624"/>
      <c r="O1908" s="160"/>
      <c r="P1908" s="10"/>
    </row>
    <row r="1909">
      <c r="A1909" s="231"/>
      <c r="B1909" s="78"/>
      <c r="C1909" s="623"/>
      <c r="D1909" s="624"/>
      <c r="O1909" s="160"/>
      <c r="P1909" s="10"/>
    </row>
    <row r="1910">
      <c r="A1910" s="231"/>
      <c r="B1910" s="78"/>
      <c r="C1910" s="623"/>
      <c r="D1910" s="624"/>
      <c r="O1910" s="160"/>
      <c r="P1910" s="10"/>
    </row>
    <row r="1911">
      <c r="A1911" s="231"/>
      <c r="B1911" s="78"/>
      <c r="C1911" s="623"/>
      <c r="D1911" s="624"/>
      <c r="O1911" s="160"/>
      <c r="P1911" s="10"/>
    </row>
    <row r="1912">
      <c r="A1912" s="231"/>
      <c r="B1912" s="78"/>
      <c r="C1912" s="623"/>
      <c r="D1912" s="624"/>
      <c r="O1912" s="160"/>
      <c r="P1912" s="10"/>
    </row>
    <row r="1913">
      <c r="A1913" s="231"/>
      <c r="B1913" s="78"/>
      <c r="C1913" s="623"/>
      <c r="D1913" s="624"/>
      <c r="O1913" s="160"/>
      <c r="P1913" s="10"/>
    </row>
    <row r="1914">
      <c r="A1914" s="231"/>
      <c r="B1914" s="78"/>
      <c r="C1914" s="623"/>
      <c r="D1914" s="624"/>
      <c r="O1914" s="160"/>
      <c r="P1914" s="10"/>
    </row>
    <row r="1915">
      <c r="A1915" s="231"/>
      <c r="B1915" s="78"/>
      <c r="C1915" s="623"/>
      <c r="D1915" s="624"/>
      <c r="O1915" s="160"/>
      <c r="P1915" s="10"/>
    </row>
    <row r="1916">
      <c r="A1916" s="231"/>
      <c r="B1916" s="78"/>
      <c r="C1916" s="623"/>
      <c r="D1916" s="624"/>
      <c r="O1916" s="160"/>
      <c r="P1916" s="10"/>
    </row>
    <row r="1917">
      <c r="A1917" s="231"/>
      <c r="B1917" s="78"/>
      <c r="C1917" s="623"/>
      <c r="D1917" s="624"/>
      <c r="O1917" s="160"/>
      <c r="P1917" s="10"/>
    </row>
    <row r="1918">
      <c r="A1918" s="231"/>
      <c r="B1918" s="78"/>
      <c r="C1918" s="623"/>
      <c r="D1918" s="624"/>
      <c r="O1918" s="160"/>
      <c r="P1918" s="10"/>
    </row>
    <row r="1919">
      <c r="A1919" s="231"/>
      <c r="B1919" s="78"/>
      <c r="C1919" s="623"/>
      <c r="D1919" s="624"/>
      <c r="O1919" s="160"/>
      <c r="P1919" s="10"/>
    </row>
    <row r="1920">
      <c r="A1920" s="231"/>
      <c r="B1920" s="78"/>
      <c r="C1920" s="623"/>
      <c r="D1920" s="624"/>
      <c r="O1920" s="160"/>
      <c r="P1920" s="10"/>
    </row>
    <row r="1921">
      <c r="A1921" s="231"/>
      <c r="B1921" s="78"/>
      <c r="C1921" s="623"/>
      <c r="D1921" s="624"/>
      <c r="O1921" s="160"/>
      <c r="P1921" s="10"/>
    </row>
    <row r="1922">
      <c r="A1922" s="231"/>
      <c r="B1922" s="78"/>
      <c r="C1922" s="623"/>
      <c r="D1922" s="624"/>
      <c r="O1922" s="160"/>
      <c r="P1922" s="10"/>
    </row>
    <row r="1923">
      <c r="A1923" s="231"/>
      <c r="B1923" s="78"/>
      <c r="C1923" s="623"/>
      <c r="D1923" s="624"/>
      <c r="O1923" s="160"/>
      <c r="P1923" s="10"/>
    </row>
    <row r="1924">
      <c r="A1924" s="231"/>
      <c r="B1924" s="78"/>
      <c r="C1924" s="623"/>
      <c r="D1924" s="624"/>
      <c r="O1924" s="160"/>
      <c r="P1924" s="10"/>
    </row>
    <row r="1925">
      <c r="A1925" s="231"/>
      <c r="B1925" s="78"/>
      <c r="C1925" s="623"/>
      <c r="D1925" s="624"/>
      <c r="O1925" s="160"/>
      <c r="P1925" s="10"/>
    </row>
    <row r="1926">
      <c r="A1926" s="231"/>
      <c r="B1926" s="78"/>
      <c r="C1926" s="623"/>
      <c r="D1926" s="624"/>
      <c r="O1926" s="160"/>
      <c r="P1926" s="10"/>
    </row>
    <row r="1927">
      <c r="A1927" s="231"/>
      <c r="B1927" s="78"/>
      <c r="C1927" s="623"/>
      <c r="D1927" s="624"/>
      <c r="O1927" s="160"/>
      <c r="P1927" s="10"/>
    </row>
    <row r="1928">
      <c r="A1928" s="231"/>
      <c r="B1928" s="78"/>
      <c r="C1928" s="623"/>
      <c r="D1928" s="624"/>
      <c r="O1928" s="160"/>
      <c r="P1928" s="10"/>
    </row>
    <row r="1929">
      <c r="A1929" s="231"/>
      <c r="B1929" s="78"/>
      <c r="C1929" s="623"/>
      <c r="D1929" s="624"/>
      <c r="O1929" s="160"/>
      <c r="P1929" s="10"/>
    </row>
    <row r="1930">
      <c r="A1930" s="231"/>
      <c r="B1930" s="78"/>
      <c r="C1930" s="623"/>
      <c r="D1930" s="624"/>
      <c r="O1930" s="160"/>
      <c r="P1930" s="10"/>
    </row>
    <row r="1931">
      <c r="A1931" s="231"/>
      <c r="B1931" s="78"/>
      <c r="C1931" s="623"/>
      <c r="D1931" s="624"/>
      <c r="O1931" s="160"/>
      <c r="P1931" s="10"/>
    </row>
    <row r="1932">
      <c r="A1932" s="231"/>
      <c r="B1932" s="78"/>
      <c r="C1932" s="623"/>
      <c r="D1932" s="624"/>
      <c r="O1932" s="160"/>
      <c r="P1932" s="10"/>
    </row>
    <row r="1933">
      <c r="A1933" s="231"/>
      <c r="B1933" s="78"/>
      <c r="C1933" s="623"/>
      <c r="D1933" s="624"/>
      <c r="O1933" s="160"/>
      <c r="P1933" s="10"/>
    </row>
    <row r="1934">
      <c r="A1934" s="231"/>
      <c r="B1934" s="78"/>
      <c r="C1934" s="623"/>
      <c r="D1934" s="624"/>
      <c r="O1934" s="160"/>
      <c r="P1934" s="10"/>
    </row>
    <row r="1935">
      <c r="A1935" s="231"/>
      <c r="B1935" s="78"/>
      <c r="C1935" s="623"/>
      <c r="D1935" s="624"/>
      <c r="O1935" s="160"/>
      <c r="P1935" s="10"/>
    </row>
    <row r="1936">
      <c r="A1936" s="231"/>
      <c r="B1936" s="78"/>
      <c r="C1936" s="623"/>
      <c r="D1936" s="624"/>
      <c r="O1936" s="160"/>
      <c r="P1936" s="10"/>
    </row>
    <row r="1937">
      <c r="A1937" s="231"/>
      <c r="B1937" s="78"/>
      <c r="C1937" s="623"/>
      <c r="D1937" s="624"/>
      <c r="O1937" s="160"/>
      <c r="P1937" s="10"/>
    </row>
    <row r="1938">
      <c r="A1938" s="231"/>
      <c r="B1938" s="78"/>
      <c r="C1938" s="623"/>
      <c r="D1938" s="624"/>
      <c r="O1938" s="160"/>
      <c r="P1938" s="10"/>
    </row>
    <row r="1939">
      <c r="A1939" s="231"/>
      <c r="B1939" s="78"/>
      <c r="C1939" s="623"/>
      <c r="D1939" s="624"/>
      <c r="O1939" s="160"/>
      <c r="P1939" s="10"/>
    </row>
    <row r="1940">
      <c r="A1940" s="231"/>
      <c r="B1940" s="78"/>
      <c r="C1940" s="623"/>
      <c r="D1940" s="624"/>
      <c r="O1940" s="160"/>
      <c r="P1940" s="10"/>
    </row>
    <row r="1941">
      <c r="A1941" s="231"/>
      <c r="B1941" s="78"/>
      <c r="C1941" s="623"/>
      <c r="D1941" s="624"/>
      <c r="O1941" s="160"/>
      <c r="P1941" s="10"/>
    </row>
    <row r="1942">
      <c r="A1942" s="231"/>
      <c r="B1942" s="78"/>
      <c r="C1942" s="623"/>
      <c r="D1942" s="624"/>
      <c r="O1942" s="160"/>
      <c r="P1942" s="10"/>
    </row>
    <row r="1943">
      <c r="A1943" s="231"/>
      <c r="B1943" s="78"/>
      <c r="C1943" s="623"/>
      <c r="D1943" s="624"/>
      <c r="O1943" s="160"/>
      <c r="P1943" s="10"/>
    </row>
    <row r="1944">
      <c r="A1944" s="231"/>
      <c r="B1944" s="78"/>
      <c r="C1944" s="623"/>
      <c r="D1944" s="624"/>
      <c r="O1944" s="160"/>
      <c r="P1944" s="10"/>
    </row>
    <row r="1945">
      <c r="A1945" s="231"/>
      <c r="B1945" s="78"/>
      <c r="C1945" s="623"/>
      <c r="D1945" s="624"/>
      <c r="O1945" s="160"/>
      <c r="P1945" s="10"/>
    </row>
    <row r="1946">
      <c r="A1946" s="231"/>
      <c r="B1946" s="78"/>
      <c r="C1946" s="623"/>
      <c r="D1946" s="624"/>
      <c r="O1946" s="160"/>
      <c r="P1946" s="10"/>
    </row>
    <row r="1947">
      <c r="A1947" s="231"/>
      <c r="B1947" s="78"/>
      <c r="C1947" s="623"/>
      <c r="D1947" s="624"/>
      <c r="O1947" s="160"/>
      <c r="P1947" s="10"/>
    </row>
    <row r="1948">
      <c r="A1948" s="231"/>
      <c r="B1948" s="78"/>
      <c r="C1948" s="623"/>
      <c r="D1948" s="624"/>
      <c r="O1948" s="160"/>
      <c r="P1948" s="10"/>
    </row>
    <row r="1949">
      <c r="A1949" s="231"/>
      <c r="B1949" s="78"/>
      <c r="C1949" s="623"/>
      <c r="D1949" s="624"/>
      <c r="O1949" s="160"/>
      <c r="P1949" s="10"/>
    </row>
    <row r="1950">
      <c r="A1950" s="231"/>
      <c r="B1950" s="78"/>
      <c r="C1950" s="623"/>
      <c r="D1950" s="624"/>
      <c r="O1950" s="160"/>
      <c r="P1950" s="10"/>
    </row>
    <row r="1951">
      <c r="A1951" s="231"/>
      <c r="B1951" s="78"/>
      <c r="C1951" s="623"/>
      <c r="D1951" s="624"/>
      <c r="O1951" s="160"/>
      <c r="P1951" s="10"/>
    </row>
    <row r="1952">
      <c r="A1952" s="231"/>
      <c r="B1952" s="78"/>
      <c r="C1952" s="623"/>
      <c r="D1952" s="624"/>
      <c r="O1952" s="160"/>
      <c r="P1952" s="10"/>
    </row>
    <row r="1953">
      <c r="A1953" s="231"/>
      <c r="B1953" s="78"/>
      <c r="C1953" s="623"/>
      <c r="D1953" s="624"/>
      <c r="O1953" s="160"/>
      <c r="P1953" s="10"/>
    </row>
    <row r="1954">
      <c r="A1954" s="231"/>
      <c r="B1954" s="78"/>
      <c r="C1954" s="623"/>
      <c r="D1954" s="624"/>
      <c r="O1954" s="160"/>
      <c r="P1954" s="10"/>
    </row>
    <row r="1955">
      <c r="A1955" s="231"/>
      <c r="B1955" s="78"/>
      <c r="C1955" s="623"/>
      <c r="D1955" s="624"/>
      <c r="O1955" s="160"/>
      <c r="P1955" s="10"/>
    </row>
    <row r="1956">
      <c r="A1956" s="231"/>
      <c r="B1956" s="78"/>
      <c r="C1956" s="623"/>
      <c r="D1956" s="624"/>
      <c r="O1956" s="160"/>
      <c r="P1956" s="10"/>
    </row>
    <row r="1957">
      <c r="A1957" s="231"/>
      <c r="B1957" s="78"/>
      <c r="C1957" s="623"/>
      <c r="D1957" s="624"/>
      <c r="O1957" s="160"/>
      <c r="P1957" s="10"/>
    </row>
    <row r="1958">
      <c r="A1958" s="231"/>
      <c r="B1958" s="78"/>
      <c r="C1958" s="623"/>
      <c r="D1958" s="624"/>
      <c r="O1958" s="160"/>
      <c r="P1958" s="10"/>
    </row>
    <row r="1959">
      <c r="A1959" s="231"/>
      <c r="B1959" s="78"/>
      <c r="C1959" s="623"/>
      <c r="D1959" s="624"/>
      <c r="O1959" s="160"/>
      <c r="P1959" s="10"/>
    </row>
    <row r="1960">
      <c r="A1960" s="231"/>
      <c r="B1960" s="78"/>
      <c r="C1960" s="623"/>
      <c r="D1960" s="624"/>
      <c r="O1960" s="160"/>
      <c r="P1960" s="10"/>
    </row>
    <row r="1961">
      <c r="A1961" s="231"/>
      <c r="B1961" s="78"/>
      <c r="C1961" s="623"/>
      <c r="D1961" s="624"/>
      <c r="O1961" s="160"/>
      <c r="P1961" s="10"/>
    </row>
    <row r="1962">
      <c r="A1962" s="231"/>
      <c r="B1962" s="78"/>
      <c r="C1962" s="623"/>
      <c r="D1962" s="624"/>
      <c r="O1962" s="160"/>
      <c r="P1962" s="10"/>
    </row>
    <row r="1963">
      <c r="A1963" s="231"/>
      <c r="B1963" s="78"/>
      <c r="C1963" s="623"/>
      <c r="D1963" s="624"/>
      <c r="O1963" s="160"/>
      <c r="P1963" s="10"/>
    </row>
    <row r="1964">
      <c r="A1964" s="231"/>
      <c r="B1964" s="78"/>
      <c r="C1964" s="623"/>
      <c r="D1964" s="624"/>
      <c r="O1964" s="160"/>
      <c r="P1964" s="10"/>
    </row>
    <row r="1965">
      <c r="A1965" s="231"/>
      <c r="B1965" s="78"/>
      <c r="C1965" s="623"/>
      <c r="D1965" s="624"/>
      <c r="O1965" s="160"/>
      <c r="P1965" s="10"/>
    </row>
    <row r="1966">
      <c r="A1966" s="231"/>
      <c r="B1966" s="78"/>
      <c r="C1966" s="623"/>
      <c r="D1966" s="624"/>
      <c r="O1966" s="160"/>
      <c r="P1966" s="10"/>
    </row>
    <row r="1967">
      <c r="A1967" s="231"/>
      <c r="B1967" s="78"/>
      <c r="C1967" s="623"/>
      <c r="D1967" s="624"/>
      <c r="O1967" s="160"/>
      <c r="P1967" s="10"/>
    </row>
    <row r="1968">
      <c r="A1968" s="231"/>
      <c r="B1968" s="78"/>
      <c r="C1968" s="623"/>
      <c r="D1968" s="624"/>
      <c r="O1968" s="160"/>
      <c r="P1968" s="10"/>
    </row>
    <row r="1969">
      <c r="A1969" s="231"/>
      <c r="B1969" s="78"/>
      <c r="C1969" s="623"/>
      <c r="D1969" s="624"/>
      <c r="O1969" s="160"/>
      <c r="P1969" s="10"/>
    </row>
    <row r="1970">
      <c r="A1970" s="231"/>
      <c r="B1970" s="78"/>
      <c r="C1970" s="623"/>
      <c r="D1970" s="624"/>
      <c r="O1970" s="160"/>
      <c r="P1970" s="10"/>
    </row>
    <row r="1971">
      <c r="A1971" s="231"/>
      <c r="B1971" s="78"/>
      <c r="C1971" s="623"/>
      <c r="D1971" s="624"/>
      <c r="O1971" s="160"/>
      <c r="P1971" s="10"/>
    </row>
    <row r="1972">
      <c r="A1972" s="231"/>
      <c r="B1972" s="78"/>
      <c r="C1972" s="623"/>
      <c r="D1972" s="624"/>
      <c r="O1972" s="160"/>
      <c r="P1972" s="10"/>
    </row>
    <row r="1973">
      <c r="A1973" s="231"/>
      <c r="B1973" s="78"/>
      <c r="C1973" s="623"/>
      <c r="D1973" s="624"/>
      <c r="O1973" s="160"/>
      <c r="P1973" s="10"/>
    </row>
    <row r="1974">
      <c r="A1974" s="231"/>
      <c r="B1974" s="78"/>
      <c r="C1974" s="623"/>
      <c r="D1974" s="624"/>
      <c r="O1974" s="160"/>
      <c r="P1974" s="10"/>
    </row>
    <row r="1975">
      <c r="A1975" s="231"/>
      <c r="B1975" s="78"/>
      <c r="C1975" s="623"/>
      <c r="D1975" s="624"/>
      <c r="O1975" s="160"/>
      <c r="P1975" s="10"/>
    </row>
    <row r="1976">
      <c r="A1976" s="231"/>
      <c r="B1976" s="78"/>
      <c r="C1976" s="623"/>
      <c r="D1976" s="624"/>
      <c r="O1976" s="160"/>
      <c r="P1976" s="10"/>
    </row>
    <row r="1977">
      <c r="A1977" s="231"/>
      <c r="B1977" s="78"/>
      <c r="C1977" s="623"/>
      <c r="D1977" s="624"/>
      <c r="O1977" s="160"/>
      <c r="P1977" s="10"/>
    </row>
    <row r="1978">
      <c r="A1978" s="231"/>
      <c r="B1978" s="78"/>
      <c r="C1978" s="623"/>
      <c r="D1978" s="624"/>
      <c r="O1978" s="160"/>
      <c r="P1978" s="10"/>
    </row>
    <row r="1979">
      <c r="A1979" s="231"/>
      <c r="B1979" s="78"/>
      <c r="C1979" s="623"/>
      <c r="D1979" s="624"/>
      <c r="O1979" s="160"/>
      <c r="P1979" s="10"/>
    </row>
    <row r="1980">
      <c r="A1980" s="231"/>
      <c r="B1980" s="78"/>
      <c r="C1980" s="623"/>
      <c r="D1980" s="624"/>
      <c r="O1980" s="160"/>
      <c r="P1980" s="10"/>
    </row>
    <row r="1981">
      <c r="A1981" s="231"/>
      <c r="B1981" s="78"/>
      <c r="C1981" s="623"/>
      <c r="D1981" s="624"/>
      <c r="O1981" s="160"/>
      <c r="P1981" s="10"/>
    </row>
    <row r="1982">
      <c r="A1982" s="231"/>
      <c r="B1982" s="78"/>
      <c r="C1982" s="623"/>
      <c r="D1982" s="624"/>
      <c r="O1982" s="160"/>
      <c r="P1982" s="10"/>
    </row>
    <row r="1983">
      <c r="A1983" s="231"/>
      <c r="B1983" s="78"/>
      <c r="C1983" s="623"/>
      <c r="D1983" s="624"/>
      <c r="O1983" s="160"/>
      <c r="P1983" s="10"/>
    </row>
    <row r="1984">
      <c r="A1984" s="231"/>
      <c r="B1984" s="78"/>
      <c r="C1984" s="623"/>
      <c r="D1984" s="624"/>
      <c r="O1984" s="160"/>
      <c r="P1984" s="10"/>
    </row>
    <row r="1985">
      <c r="A1985" s="231"/>
      <c r="B1985" s="78"/>
      <c r="C1985" s="623"/>
      <c r="D1985" s="624"/>
      <c r="O1985" s="160"/>
      <c r="P1985" s="10"/>
    </row>
    <row r="1986">
      <c r="A1986" s="231"/>
      <c r="B1986" s="78"/>
      <c r="C1986" s="623"/>
      <c r="D1986" s="624"/>
      <c r="O1986" s="160"/>
      <c r="P1986" s="10"/>
    </row>
    <row r="1987">
      <c r="A1987" s="231"/>
      <c r="B1987" s="78"/>
      <c r="C1987" s="623"/>
      <c r="D1987" s="624"/>
      <c r="O1987" s="160"/>
      <c r="P1987" s="10"/>
    </row>
    <row r="1988">
      <c r="A1988" s="231"/>
      <c r="B1988" s="78"/>
      <c r="C1988" s="623"/>
      <c r="D1988" s="624"/>
      <c r="O1988" s="160"/>
      <c r="P1988" s="10"/>
    </row>
    <row r="1989">
      <c r="A1989" s="231"/>
      <c r="B1989" s="78"/>
      <c r="C1989" s="623"/>
      <c r="D1989" s="624"/>
      <c r="O1989" s="160"/>
      <c r="P1989" s="10"/>
    </row>
    <row r="1990">
      <c r="A1990" s="231"/>
      <c r="B1990" s="78"/>
      <c r="C1990" s="623"/>
      <c r="D1990" s="624"/>
      <c r="O1990" s="160"/>
      <c r="P1990" s="10"/>
    </row>
    <row r="1991">
      <c r="A1991" s="231"/>
      <c r="B1991" s="78"/>
      <c r="C1991" s="623"/>
      <c r="D1991" s="624"/>
      <c r="O1991" s="160"/>
      <c r="P1991" s="10"/>
    </row>
    <row r="1992">
      <c r="A1992" s="231"/>
      <c r="B1992" s="78"/>
      <c r="C1992" s="623"/>
      <c r="D1992" s="624"/>
      <c r="O1992" s="160"/>
      <c r="P1992" s="10"/>
    </row>
    <row r="1993">
      <c r="A1993" s="231"/>
      <c r="B1993" s="78"/>
      <c r="C1993" s="623"/>
      <c r="D1993" s="624"/>
      <c r="O1993" s="160"/>
      <c r="P1993" s="10"/>
    </row>
    <row r="1994">
      <c r="A1994" s="231"/>
      <c r="B1994" s="78"/>
      <c r="C1994" s="623"/>
      <c r="D1994" s="624"/>
      <c r="O1994" s="160"/>
      <c r="P1994" s="10"/>
    </row>
    <row r="1995">
      <c r="A1995" s="231"/>
      <c r="B1995" s="78"/>
      <c r="C1995" s="623"/>
      <c r="D1995" s="624"/>
      <c r="O1995" s="160"/>
      <c r="P1995" s="10"/>
    </row>
    <row r="1996">
      <c r="A1996" s="231"/>
      <c r="B1996" s="78"/>
      <c r="C1996" s="623"/>
      <c r="D1996" s="624"/>
      <c r="O1996" s="160"/>
      <c r="P1996" s="10"/>
    </row>
    <row r="1997">
      <c r="A1997" s="231"/>
      <c r="B1997" s="78"/>
      <c r="C1997" s="623"/>
      <c r="D1997" s="624"/>
      <c r="O1997" s="160"/>
      <c r="P1997" s="10"/>
    </row>
    <row r="1998">
      <c r="A1998" s="231"/>
      <c r="B1998" s="78"/>
      <c r="C1998" s="623"/>
      <c r="D1998" s="624"/>
      <c r="O1998" s="160"/>
      <c r="P1998" s="10"/>
    </row>
    <row r="1999">
      <c r="A1999" s="231"/>
      <c r="B1999" s="78"/>
      <c r="C1999" s="623"/>
      <c r="D1999" s="624"/>
      <c r="O1999" s="160"/>
      <c r="P1999" s="10"/>
    </row>
    <row r="2000">
      <c r="A2000" s="231"/>
      <c r="B2000" s="78"/>
      <c r="C2000" s="623"/>
      <c r="D2000" s="624"/>
      <c r="O2000" s="160"/>
      <c r="P2000" s="10"/>
    </row>
    <row r="2001">
      <c r="A2001" s="231"/>
      <c r="B2001" s="78"/>
      <c r="C2001" s="623"/>
      <c r="D2001" s="624"/>
      <c r="O2001" s="160"/>
      <c r="P2001" s="10"/>
    </row>
    <row r="2002">
      <c r="A2002" s="231"/>
      <c r="B2002" s="78"/>
      <c r="C2002" s="623"/>
      <c r="D2002" s="624"/>
      <c r="O2002" s="160"/>
      <c r="P2002" s="10"/>
    </row>
    <row r="2003">
      <c r="A2003" s="231"/>
      <c r="B2003" s="78"/>
      <c r="C2003" s="623"/>
      <c r="D2003" s="624"/>
      <c r="O2003" s="160"/>
      <c r="P2003" s="10"/>
    </row>
    <row r="2004">
      <c r="A2004" s="231"/>
      <c r="B2004" s="78"/>
      <c r="C2004" s="623"/>
      <c r="D2004" s="624"/>
      <c r="O2004" s="160"/>
      <c r="P2004" s="10"/>
    </row>
    <row r="2005">
      <c r="A2005" s="231"/>
      <c r="B2005" s="78"/>
      <c r="C2005" s="623"/>
      <c r="D2005" s="624"/>
      <c r="O2005" s="160"/>
      <c r="P2005" s="10"/>
    </row>
    <row r="2006">
      <c r="A2006" s="231"/>
      <c r="B2006" s="78"/>
      <c r="C2006" s="623"/>
      <c r="D2006" s="624"/>
      <c r="O2006" s="160"/>
      <c r="P2006" s="10"/>
    </row>
    <row r="2007">
      <c r="A2007" s="231"/>
      <c r="B2007" s="78"/>
      <c r="C2007" s="623"/>
      <c r="D2007" s="624"/>
      <c r="O2007" s="160"/>
      <c r="P2007" s="10"/>
    </row>
    <row r="2008">
      <c r="A2008" s="231"/>
      <c r="B2008" s="78"/>
      <c r="C2008" s="623"/>
      <c r="D2008" s="624"/>
      <c r="O2008" s="160"/>
      <c r="P2008" s="10"/>
    </row>
    <row r="2009">
      <c r="A2009" s="231"/>
      <c r="B2009" s="78"/>
      <c r="C2009" s="623"/>
      <c r="D2009" s="624"/>
      <c r="O2009" s="160"/>
      <c r="P2009" s="10"/>
    </row>
    <row r="2010">
      <c r="A2010" s="231"/>
      <c r="B2010" s="78"/>
      <c r="C2010" s="623"/>
      <c r="D2010" s="624"/>
      <c r="O2010" s="160"/>
      <c r="P2010" s="10"/>
    </row>
    <row r="2011">
      <c r="A2011" s="231"/>
      <c r="B2011" s="78"/>
      <c r="C2011" s="623"/>
      <c r="D2011" s="624"/>
      <c r="O2011" s="160"/>
      <c r="P2011" s="10"/>
    </row>
    <row r="2012">
      <c r="A2012" s="231"/>
      <c r="B2012" s="78"/>
      <c r="C2012" s="623"/>
      <c r="D2012" s="624"/>
      <c r="O2012" s="160"/>
      <c r="P2012" s="10"/>
    </row>
    <row r="2013">
      <c r="A2013" s="231"/>
      <c r="B2013" s="78"/>
      <c r="C2013" s="623"/>
      <c r="D2013" s="624"/>
      <c r="O2013" s="160"/>
      <c r="P2013" s="10"/>
    </row>
    <row r="2014">
      <c r="A2014" s="231"/>
      <c r="B2014" s="78"/>
      <c r="C2014" s="623"/>
      <c r="D2014" s="624"/>
      <c r="O2014" s="160"/>
      <c r="P2014" s="10"/>
    </row>
  </sheetData>
  <customSheetViews>
    <customSheetView guid="{9968795E-3BFB-485F-960E-5F37103E47A5}" filter="1" showAutoFilter="1">
      <autoFilter ref="$A$1:$D$2014"/>
    </customSheetView>
  </customSheetViews>
  <conditionalFormatting sqref="Q2:Q47 R20 Q49:Q135">
    <cfRule type="notContainsBlanks" dxfId="0" priority="1">
      <formula>LEN(TRIM(Q2))&gt;0</formula>
    </cfRule>
  </conditionalFormatting>
  <hyperlinks>
    <hyperlink r:id="rId1" ref="I144"/>
    <hyperlink r:id="rId2" ref="I146"/>
    <hyperlink r:id="rId3" ref="P152"/>
    <hyperlink r:id="rId4" ref="I153"/>
    <hyperlink r:id="rId5" ref="P153"/>
    <hyperlink r:id="rId6" ref="I154"/>
    <hyperlink r:id="rId7" ref="P154"/>
    <hyperlink r:id="rId8" ref="P155"/>
    <hyperlink r:id="rId9" ref="I156"/>
    <hyperlink r:id="rId10" ref="P156"/>
  </hyperlinks>
  <drawing r:id="rId11"/>
</worksheet>
</file>

<file path=xl/worksheets/sheet7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129.13"/>
    <col customWidth="1" min="5" max="5" width="43.13"/>
    <col customWidth="1" min="6" max="6" width="27.0"/>
    <col hidden="1" min="9" max="17" width="12.63"/>
  </cols>
  <sheetData>
    <row r="1">
      <c r="A1" s="358" t="s">
        <v>44</v>
      </c>
      <c r="B1" s="635" t="s">
        <v>4477</v>
      </c>
      <c r="C1" s="57" t="s">
        <v>294</v>
      </c>
      <c r="D1" s="55" t="s">
        <v>248</v>
      </c>
      <c r="E1" s="348" t="s">
        <v>249</v>
      </c>
      <c r="F1" s="349" t="s">
        <v>250</v>
      </c>
      <c r="M1" s="544" t="s">
        <v>1654</v>
      </c>
      <c r="N1" s="224" t="s">
        <v>4477</v>
      </c>
      <c r="P1" s="11" t="str">
        <f>"Empty codes:"&amp; COUNTBLANK(N2:N74)</f>
        <v>Empty codes:1</v>
      </c>
      <c r="Q1" s="11" t="s">
        <v>252</v>
      </c>
    </row>
    <row r="2">
      <c r="A2" s="262" t="s">
        <v>17386</v>
      </c>
      <c r="B2" s="25">
        <v>9363.0</v>
      </c>
      <c r="C2" s="136" t="s">
        <v>17387</v>
      </c>
      <c r="D2" s="179">
        <v>0.7</v>
      </c>
      <c r="E2" s="179">
        <v>0.7</v>
      </c>
      <c r="F2" s="348" t="s">
        <v>1656</v>
      </c>
      <c r="G2" s="45"/>
      <c r="H2" s="45"/>
      <c r="M2" s="636" t="s">
        <v>17386</v>
      </c>
      <c r="N2" s="35">
        <v>9363.0</v>
      </c>
      <c r="O2" s="36"/>
      <c r="P2" s="36"/>
      <c r="Q2" s="36" t="e">
        <v>#N/A</v>
      </c>
    </row>
    <row r="3">
      <c r="A3" s="262" t="s">
        <v>17388</v>
      </c>
      <c r="B3" s="37">
        <v>6706.0</v>
      </c>
      <c r="C3" s="136" t="s">
        <v>17387</v>
      </c>
      <c r="D3" s="179">
        <v>0.7</v>
      </c>
      <c r="E3" s="179">
        <v>0.7</v>
      </c>
      <c r="F3" s="348" t="s">
        <v>1656</v>
      </c>
      <c r="M3" s="636" t="s">
        <v>17388</v>
      </c>
      <c r="N3" s="637">
        <v>663.0</v>
      </c>
      <c r="O3" s="36"/>
      <c r="P3" s="36"/>
      <c r="Q3" s="36" t="e">
        <v>#N/A</v>
      </c>
    </row>
    <row r="4">
      <c r="A4" s="638" t="s">
        <v>17389</v>
      </c>
      <c r="B4" s="638">
        <v>2345.0</v>
      </c>
      <c r="C4" s="136" t="s">
        <v>17387</v>
      </c>
      <c r="D4" s="179">
        <v>0.9</v>
      </c>
      <c r="E4" s="179">
        <v>0.9</v>
      </c>
      <c r="F4" s="348" t="s">
        <v>1656</v>
      </c>
      <c r="M4" s="544" t="s">
        <v>17389</v>
      </c>
      <c r="N4" s="224">
        <v>2345.0</v>
      </c>
      <c r="Q4" s="18">
        <v>1.0</v>
      </c>
    </row>
    <row r="5">
      <c r="A5" s="638" t="s">
        <v>17390</v>
      </c>
      <c r="B5" s="638">
        <v>6675.0</v>
      </c>
      <c r="C5" s="136" t="s">
        <v>17387</v>
      </c>
      <c r="D5" s="179">
        <v>0.83</v>
      </c>
      <c r="E5" s="179">
        <v>0.83</v>
      </c>
      <c r="F5" s="348" t="s">
        <v>1656</v>
      </c>
      <c r="M5" s="544" t="s">
        <v>17390</v>
      </c>
      <c r="N5" s="224">
        <v>6675.0</v>
      </c>
      <c r="Q5" s="18">
        <v>1.0</v>
      </c>
    </row>
    <row r="6">
      <c r="A6" s="262" t="s">
        <v>4643</v>
      </c>
      <c r="B6" s="262">
        <v>6706.0</v>
      </c>
      <c r="C6" s="136" t="s">
        <v>17387</v>
      </c>
      <c r="D6" s="179">
        <v>0.7</v>
      </c>
      <c r="E6" s="179">
        <v>0.7</v>
      </c>
      <c r="F6" s="348" t="s">
        <v>1656</v>
      </c>
      <c r="M6" s="636" t="s">
        <v>4643</v>
      </c>
      <c r="N6" s="637">
        <v>14440.0</v>
      </c>
      <c r="O6" s="35">
        <v>6675.0</v>
      </c>
      <c r="P6" s="36"/>
      <c r="Q6" s="36" t="e">
        <v>#N/A</v>
      </c>
    </row>
    <row r="7">
      <c r="A7" s="262" t="s">
        <v>17391</v>
      </c>
      <c r="B7" s="262">
        <v>2345.0</v>
      </c>
      <c r="C7" s="136" t="s">
        <v>17387</v>
      </c>
      <c r="D7" s="179">
        <v>0.9</v>
      </c>
      <c r="E7" s="179">
        <v>0.9</v>
      </c>
      <c r="F7" s="348" t="s">
        <v>1656</v>
      </c>
      <c r="G7" s="45"/>
      <c r="H7" s="45"/>
      <c r="M7" s="544" t="s">
        <v>17391</v>
      </c>
      <c r="N7" s="224">
        <v>2345.0</v>
      </c>
      <c r="Q7" s="18">
        <v>1.0</v>
      </c>
    </row>
    <row r="8">
      <c r="A8" s="262" t="s">
        <v>68</v>
      </c>
      <c r="B8" s="25">
        <v>6924.0</v>
      </c>
      <c r="C8" s="136" t="s">
        <v>17387</v>
      </c>
      <c r="D8" s="179">
        <v>0.83</v>
      </c>
      <c r="E8" s="179">
        <v>0.83</v>
      </c>
      <c r="F8" s="348" t="s">
        <v>1656</v>
      </c>
      <c r="G8" s="45"/>
      <c r="H8" s="45"/>
      <c r="M8" s="544" t="s">
        <v>68</v>
      </c>
      <c r="N8" s="158">
        <v>6924.0</v>
      </c>
      <c r="Q8" s="18">
        <v>1.0</v>
      </c>
    </row>
    <row r="9">
      <c r="A9" s="262" t="s">
        <v>69</v>
      </c>
      <c r="B9" s="25">
        <v>3307.0</v>
      </c>
      <c r="C9" s="136" t="s">
        <v>17387</v>
      </c>
      <c r="D9" s="179">
        <v>0.7</v>
      </c>
      <c r="E9" s="179">
        <v>0.7</v>
      </c>
      <c r="F9" s="348" t="s">
        <v>1656</v>
      </c>
      <c r="G9" s="45"/>
      <c r="H9" s="45"/>
      <c r="M9" s="544" t="s">
        <v>69</v>
      </c>
      <c r="N9" s="11">
        <v>3307.0</v>
      </c>
      <c r="O9" s="224">
        <v>7055.0</v>
      </c>
      <c r="Q9" s="18">
        <v>1.0</v>
      </c>
    </row>
    <row r="10">
      <c r="A10" s="262" t="s">
        <v>72</v>
      </c>
      <c r="B10" s="57">
        <v>6829.0</v>
      </c>
      <c r="C10" s="136" t="s">
        <v>17387</v>
      </c>
      <c r="D10" s="179">
        <v>0.7</v>
      </c>
      <c r="E10" s="179">
        <v>0.7</v>
      </c>
      <c r="F10" s="348" t="s">
        <v>1656</v>
      </c>
      <c r="M10" s="636" t="s">
        <v>72</v>
      </c>
      <c r="N10" s="287">
        <v>13829.0</v>
      </c>
      <c r="O10" s="35">
        <v>7010.0</v>
      </c>
      <c r="P10" s="36"/>
      <c r="Q10" s="36" t="e">
        <v>#N/A</v>
      </c>
    </row>
    <row r="11">
      <c r="A11" s="262" t="s">
        <v>73</v>
      </c>
      <c r="B11" s="25">
        <v>10856.0</v>
      </c>
      <c r="C11" s="136" t="s">
        <v>17387</v>
      </c>
      <c r="D11" s="179">
        <v>0.7</v>
      </c>
      <c r="E11" s="179">
        <v>0.7</v>
      </c>
      <c r="F11" s="348" t="s">
        <v>1656</v>
      </c>
      <c r="G11" s="45"/>
      <c r="H11" s="45"/>
      <c r="M11" s="636" t="s">
        <v>73</v>
      </c>
      <c r="N11" s="11">
        <v>10856.0</v>
      </c>
      <c r="O11" s="637">
        <v>6893.0</v>
      </c>
      <c r="P11" s="36"/>
      <c r="Q11" s="36" t="e">
        <v>#N/A</v>
      </c>
    </row>
    <row r="12">
      <c r="A12" s="262" t="s">
        <v>74</v>
      </c>
      <c r="B12" s="262">
        <v>14507.0</v>
      </c>
      <c r="C12" s="136" t="s">
        <v>17387</v>
      </c>
      <c r="D12" s="179">
        <v>0.7</v>
      </c>
      <c r="E12" s="179">
        <v>0.7</v>
      </c>
      <c r="F12" s="348" t="s">
        <v>1656</v>
      </c>
      <c r="M12" s="636" t="s">
        <v>74</v>
      </c>
      <c r="N12" s="637">
        <v>6893.0</v>
      </c>
      <c r="O12" s="36"/>
      <c r="P12" s="36"/>
      <c r="Q12" s="36" t="e">
        <v>#N/A</v>
      </c>
    </row>
    <row r="13">
      <c r="A13" s="638" t="s">
        <v>17392</v>
      </c>
      <c r="B13" s="638">
        <v>6729.0</v>
      </c>
      <c r="C13" s="136" t="s">
        <v>17387</v>
      </c>
      <c r="D13" s="179">
        <v>0.83</v>
      </c>
      <c r="E13" s="179">
        <v>0.83</v>
      </c>
      <c r="F13" s="348" t="s">
        <v>1656</v>
      </c>
      <c r="M13" s="544" t="s">
        <v>17392</v>
      </c>
      <c r="N13" s="224">
        <v>6729.0</v>
      </c>
      <c r="O13" s="11" t="s">
        <v>4851</v>
      </c>
      <c r="Q13" s="18">
        <v>1.0</v>
      </c>
    </row>
    <row r="14">
      <c r="A14" s="262" t="s">
        <v>17393</v>
      </c>
      <c r="B14" s="262">
        <v>930.0</v>
      </c>
      <c r="C14" s="136" t="s">
        <v>17387</v>
      </c>
      <c r="D14" s="179">
        <v>0.7</v>
      </c>
      <c r="E14" s="179">
        <v>0.7</v>
      </c>
      <c r="F14" s="348" t="s">
        <v>1656</v>
      </c>
      <c r="G14" s="45"/>
      <c r="H14" s="45"/>
      <c r="M14" s="544" t="s">
        <v>17393</v>
      </c>
      <c r="N14" s="224">
        <v>930.0</v>
      </c>
      <c r="Q14" s="18">
        <v>1.0</v>
      </c>
    </row>
    <row r="15">
      <c r="A15" s="262" t="s">
        <v>17394</v>
      </c>
      <c r="B15" s="37">
        <v>6706.0</v>
      </c>
      <c r="C15" s="136" t="s">
        <v>17387</v>
      </c>
      <c r="D15" s="179">
        <v>0.7</v>
      </c>
      <c r="E15" s="179">
        <v>0.7</v>
      </c>
      <c r="F15" s="348" t="s">
        <v>1656</v>
      </c>
      <c r="G15" s="45"/>
      <c r="H15" s="45"/>
      <c r="M15" s="544" t="s">
        <v>17394</v>
      </c>
      <c r="N15" s="224">
        <v>7010.0</v>
      </c>
      <c r="Q15" s="18">
        <v>1.0</v>
      </c>
    </row>
    <row r="16">
      <c r="A16" s="262" t="s">
        <v>1663</v>
      </c>
      <c r="B16" s="262">
        <v>6722.0</v>
      </c>
      <c r="C16" s="136" t="s">
        <v>17387</v>
      </c>
      <c r="D16" s="179">
        <v>0.7</v>
      </c>
      <c r="E16" s="179">
        <v>0.7</v>
      </c>
      <c r="F16" s="348" t="s">
        <v>1656</v>
      </c>
      <c r="G16" s="45"/>
      <c r="H16" s="45"/>
      <c r="M16" s="544" t="s">
        <v>1663</v>
      </c>
      <c r="N16" s="224">
        <v>6722.0</v>
      </c>
      <c r="Q16" s="18">
        <v>1.0</v>
      </c>
    </row>
    <row r="17">
      <c r="A17" s="262" t="s">
        <v>17395</v>
      </c>
      <c r="B17" s="37">
        <v>6658.0</v>
      </c>
      <c r="C17" s="136" t="s">
        <v>17387</v>
      </c>
      <c r="D17" s="179">
        <v>0.83</v>
      </c>
      <c r="E17" s="179">
        <v>0.83</v>
      </c>
      <c r="F17" s="348" t="s">
        <v>1656</v>
      </c>
      <c r="M17" s="636" t="s">
        <v>17395</v>
      </c>
      <c r="N17" s="35">
        <v>9701.0</v>
      </c>
      <c r="O17" s="637">
        <v>6671.0</v>
      </c>
      <c r="P17" s="36"/>
      <c r="Q17" s="36" t="e">
        <v>#N/A</v>
      </c>
    </row>
    <row r="18">
      <c r="A18" s="262" t="s">
        <v>17396</v>
      </c>
      <c r="B18" s="262">
        <v>5458.0</v>
      </c>
      <c r="C18" s="136" t="s">
        <v>17387</v>
      </c>
      <c r="D18" s="179">
        <v>0.7</v>
      </c>
      <c r="E18" s="179">
        <v>0.7</v>
      </c>
      <c r="F18" s="348" t="s">
        <v>1656</v>
      </c>
      <c r="G18" s="45"/>
      <c r="H18" s="45"/>
      <c r="M18" s="544" t="s">
        <v>17396</v>
      </c>
      <c r="N18" s="224">
        <v>5458.0</v>
      </c>
      <c r="Q18" s="18">
        <v>1.0</v>
      </c>
    </row>
    <row r="19">
      <c r="A19" s="262" t="s">
        <v>17397</v>
      </c>
      <c r="B19" s="262">
        <v>5458.0</v>
      </c>
      <c r="C19" s="136" t="s">
        <v>17387</v>
      </c>
      <c r="D19" s="179">
        <v>0.7</v>
      </c>
      <c r="E19" s="179">
        <v>0.7</v>
      </c>
      <c r="F19" s="348" t="s">
        <v>1656</v>
      </c>
      <c r="M19" s="636" t="s">
        <v>17397</v>
      </c>
      <c r="N19" s="637">
        <v>5458.0</v>
      </c>
      <c r="O19" s="36"/>
      <c r="P19" s="36"/>
      <c r="Q19" s="36" t="e">
        <v>#N/A</v>
      </c>
    </row>
    <row r="20">
      <c r="A20" s="639" t="s">
        <v>17398</v>
      </c>
      <c r="B20" s="106" t="s">
        <v>6157</v>
      </c>
      <c r="C20" s="136" t="s">
        <v>17387</v>
      </c>
      <c r="D20" s="179">
        <v>0.7</v>
      </c>
      <c r="E20" s="179">
        <v>0.7</v>
      </c>
      <c r="F20" s="348" t="s">
        <v>1656</v>
      </c>
      <c r="M20" s="640" t="s">
        <v>17398</v>
      </c>
      <c r="N20" s="280"/>
      <c r="O20" s="637">
        <v>2345.0</v>
      </c>
      <c r="P20" s="36"/>
      <c r="Q20" s="36" t="e">
        <v>#N/A</v>
      </c>
    </row>
    <row r="21">
      <c r="A21" s="262" t="s">
        <v>17399</v>
      </c>
      <c r="B21" s="262">
        <v>7104.0</v>
      </c>
      <c r="C21" s="136" t="s">
        <v>17387</v>
      </c>
      <c r="D21" s="179">
        <v>0.7</v>
      </c>
      <c r="E21" s="179">
        <v>0.7</v>
      </c>
      <c r="F21" s="348" t="s">
        <v>1656</v>
      </c>
      <c r="G21" s="45"/>
      <c r="H21" s="45"/>
      <c r="M21" s="544" t="s">
        <v>17399</v>
      </c>
      <c r="N21" s="224">
        <v>7104.0</v>
      </c>
      <c r="Q21" s="18">
        <v>1.0</v>
      </c>
    </row>
    <row r="22">
      <c r="A22" s="262" t="s">
        <v>3630</v>
      </c>
      <c r="B22" s="262">
        <v>14516.0</v>
      </c>
      <c r="C22" s="136" t="s">
        <v>17387</v>
      </c>
      <c r="D22" s="179">
        <v>0.7</v>
      </c>
      <c r="E22" s="179">
        <v>0.7</v>
      </c>
      <c r="F22" s="348" t="s">
        <v>1656</v>
      </c>
      <c r="M22" s="636" t="s">
        <v>3630</v>
      </c>
      <c r="N22" s="637">
        <v>7149.0</v>
      </c>
      <c r="O22" s="36"/>
      <c r="P22" s="36"/>
      <c r="Q22" s="36" t="e">
        <v>#N/A</v>
      </c>
    </row>
    <row r="23">
      <c r="A23" s="262" t="s">
        <v>3631</v>
      </c>
      <c r="B23" s="262">
        <v>6947.0</v>
      </c>
      <c r="C23" s="136" t="s">
        <v>17387</v>
      </c>
      <c r="D23" s="179">
        <v>0.7</v>
      </c>
      <c r="E23" s="179">
        <v>0.7</v>
      </c>
      <c r="F23" s="348" t="s">
        <v>1656</v>
      </c>
      <c r="G23" s="45"/>
      <c r="H23" s="45"/>
      <c r="M23" s="544" t="s">
        <v>3631</v>
      </c>
      <c r="N23" s="224">
        <v>6947.0</v>
      </c>
      <c r="Q23" s="18">
        <v>1.0</v>
      </c>
    </row>
    <row r="24">
      <c r="A24" s="262" t="s">
        <v>3632</v>
      </c>
      <c r="B24" s="262">
        <v>7747.0</v>
      </c>
      <c r="C24" s="136" t="s">
        <v>17387</v>
      </c>
      <c r="D24" s="179">
        <v>0.7</v>
      </c>
      <c r="E24" s="179">
        <v>0.7</v>
      </c>
      <c r="F24" s="348" t="s">
        <v>1656</v>
      </c>
      <c r="M24" s="636" t="s">
        <v>3632</v>
      </c>
      <c r="N24" s="637">
        <v>6940.0</v>
      </c>
      <c r="O24" s="36"/>
      <c r="P24" s="36"/>
      <c r="Q24" s="36" t="e">
        <v>#N/A</v>
      </c>
    </row>
    <row r="25">
      <c r="A25" s="262" t="s">
        <v>3633</v>
      </c>
      <c r="B25" s="262">
        <v>7033.0</v>
      </c>
      <c r="C25" s="136" t="s">
        <v>17387</v>
      </c>
      <c r="D25" s="179">
        <v>0.7</v>
      </c>
      <c r="E25" s="179">
        <v>0.7</v>
      </c>
      <c r="F25" s="348" t="s">
        <v>1656</v>
      </c>
      <c r="G25" s="45"/>
      <c r="H25" s="45"/>
      <c r="M25" s="544" t="s">
        <v>3633</v>
      </c>
      <c r="N25" s="224">
        <v>7033.0</v>
      </c>
      <c r="Q25" s="18">
        <v>1.0</v>
      </c>
    </row>
    <row r="26">
      <c r="A26" s="638" t="s">
        <v>3634</v>
      </c>
      <c r="B26" s="175">
        <v>7083.0</v>
      </c>
      <c r="C26" s="136" t="s">
        <v>17387</v>
      </c>
      <c r="D26" s="179">
        <v>0.83</v>
      </c>
      <c r="E26" s="179">
        <v>0.83</v>
      </c>
      <c r="F26" s="348" t="s">
        <v>1656</v>
      </c>
      <c r="M26" s="544" t="s">
        <v>3634</v>
      </c>
      <c r="N26" s="11">
        <v>7083.0</v>
      </c>
      <c r="O26" s="224">
        <v>6133.0</v>
      </c>
      <c r="Q26" s="18">
        <v>1.0</v>
      </c>
    </row>
    <row r="27">
      <c r="A27" s="262" t="s">
        <v>3635</v>
      </c>
      <c r="B27" s="262">
        <v>8199.0</v>
      </c>
      <c r="C27" s="136" t="s">
        <v>17387</v>
      </c>
      <c r="D27" s="179">
        <v>0.7</v>
      </c>
      <c r="E27" s="179">
        <v>0.7</v>
      </c>
      <c r="F27" s="348" t="s">
        <v>1656</v>
      </c>
      <c r="G27" s="45"/>
      <c r="H27" s="45"/>
      <c r="M27" s="544" t="s">
        <v>3635</v>
      </c>
      <c r="N27" s="224">
        <v>8199.0</v>
      </c>
      <c r="Q27" s="18">
        <v>1.0</v>
      </c>
    </row>
    <row r="28">
      <c r="A28" s="262" t="s">
        <v>3636</v>
      </c>
      <c r="B28" s="262">
        <v>14603.0</v>
      </c>
      <c r="C28" s="136" t="s">
        <v>17387</v>
      </c>
      <c r="D28" s="179">
        <v>0.7</v>
      </c>
      <c r="E28" s="179">
        <v>0.7</v>
      </c>
      <c r="F28" s="348" t="s">
        <v>1656</v>
      </c>
      <c r="M28" s="636" t="s">
        <v>3636</v>
      </c>
      <c r="N28" s="637">
        <v>7124.0</v>
      </c>
      <c r="O28" s="36"/>
      <c r="P28" s="36"/>
      <c r="Q28" s="36" t="e">
        <v>#N/A</v>
      </c>
    </row>
    <row r="29">
      <c r="A29" s="262" t="s">
        <v>3637</v>
      </c>
      <c r="B29" s="262">
        <v>7168.0</v>
      </c>
      <c r="C29" s="136" t="s">
        <v>17387</v>
      </c>
      <c r="D29" s="179">
        <v>0.7</v>
      </c>
      <c r="E29" s="179">
        <v>0.7</v>
      </c>
      <c r="F29" s="348" t="s">
        <v>1656</v>
      </c>
      <c r="G29" s="45"/>
      <c r="H29" s="45"/>
      <c r="M29" s="544" t="s">
        <v>3637</v>
      </c>
      <c r="N29" s="224">
        <v>7168.0</v>
      </c>
      <c r="Q29" s="18">
        <v>1.0</v>
      </c>
    </row>
    <row r="30">
      <c r="A30" s="262" t="s">
        <v>3638</v>
      </c>
      <c r="B30" s="262">
        <v>14603.0</v>
      </c>
      <c r="C30" s="136" t="s">
        <v>17387</v>
      </c>
      <c r="D30" s="179">
        <v>0.7</v>
      </c>
      <c r="E30" s="179">
        <v>0.7</v>
      </c>
      <c r="F30" s="348" t="s">
        <v>1656</v>
      </c>
      <c r="M30" s="636" t="s">
        <v>3638</v>
      </c>
      <c r="N30" s="11">
        <v>467.0</v>
      </c>
      <c r="O30" s="637">
        <v>2345.0</v>
      </c>
      <c r="P30" s="36"/>
      <c r="Q30" s="36" t="e">
        <v>#N/A</v>
      </c>
    </row>
    <row r="31">
      <c r="A31" s="262" t="s">
        <v>3639</v>
      </c>
      <c r="B31" s="25">
        <v>14580.0</v>
      </c>
      <c r="C31" s="136" t="s">
        <v>17387</v>
      </c>
      <c r="D31" s="179">
        <v>0.7</v>
      </c>
      <c r="E31" s="179">
        <v>0.7</v>
      </c>
      <c r="F31" s="348" t="s">
        <v>1656</v>
      </c>
      <c r="M31" s="636" t="s">
        <v>3639</v>
      </c>
      <c r="N31" s="35">
        <v>6669.0</v>
      </c>
      <c r="O31" s="637">
        <v>7058.0</v>
      </c>
      <c r="P31" s="36"/>
      <c r="Q31" s="36" t="e">
        <v>#N/A</v>
      </c>
    </row>
    <row r="32">
      <c r="A32" s="262" t="s">
        <v>3640</v>
      </c>
      <c r="B32" s="262">
        <v>14603.0</v>
      </c>
      <c r="C32" s="136" t="s">
        <v>17387</v>
      </c>
      <c r="D32" s="179">
        <v>0.7</v>
      </c>
      <c r="E32" s="179">
        <v>0.7</v>
      </c>
      <c r="F32" s="348" t="s">
        <v>1656</v>
      </c>
      <c r="M32" s="636" t="s">
        <v>3640</v>
      </c>
      <c r="N32" s="637">
        <v>7080.0</v>
      </c>
      <c r="O32" s="36"/>
      <c r="P32" s="36"/>
      <c r="Q32" s="36" t="e">
        <v>#N/A</v>
      </c>
    </row>
    <row r="33">
      <c r="A33" s="262" t="s">
        <v>3641</v>
      </c>
      <c r="B33" s="262">
        <v>14603.0</v>
      </c>
      <c r="C33" s="136" t="s">
        <v>17387</v>
      </c>
      <c r="D33" s="179">
        <v>0.7</v>
      </c>
      <c r="E33" s="179">
        <v>0.7</v>
      </c>
      <c r="F33" s="348" t="s">
        <v>1656</v>
      </c>
      <c r="M33" s="636" t="s">
        <v>3641</v>
      </c>
      <c r="N33" s="637">
        <v>6903.0</v>
      </c>
      <c r="O33" s="36"/>
      <c r="P33" s="36"/>
      <c r="Q33" s="36" t="e">
        <v>#N/A</v>
      </c>
    </row>
    <row r="34">
      <c r="A34" s="262" t="s">
        <v>3642</v>
      </c>
      <c r="B34" s="262">
        <v>14603.0</v>
      </c>
      <c r="C34" s="136" t="s">
        <v>17387</v>
      </c>
      <c r="D34" s="179">
        <v>0.7</v>
      </c>
      <c r="E34" s="179">
        <v>0.7</v>
      </c>
      <c r="F34" s="348" t="s">
        <v>1656</v>
      </c>
      <c r="M34" s="636" t="s">
        <v>3642</v>
      </c>
      <c r="N34" s="35">
        <v>7137.0</v>
      </c>
      <c r="O34" s="36"/>
      <c r="P34" s="36"/>
      <c r="Q34" s="36" t="e">
        <v>#N/A</v>
      </c>
    </row>
    <row r="35">
      <c r="A35" s="262" t="s">
        <v>3643</v>
      </c>
      <c r="B35" s="11">
        <v>14480.0</v>
      </c>
      <c r="C35" s="136" t="s">
        <v>17387</v>
      </c>
      <c r="D35" s="179">
        <v>0.7</v>
      </c>
      <c r="E35" s="179">
        <v>0.7</v>
      </c>
      <c r="F35" s="348" t="s">
        <v>1656</v>
      </c>
      <c r="M35" s="636" t="s">
        <v>3643</v>
      </c>
      <c r="N35" s="11">
        <v>14417.0</v>
      </c>
      <c r="O35" s="637">
        <v>2345.0</v>
      </c>
      <c r="P35" s="36"/>
      <c r="Q35" s="36" t="e">
        <v>#N/A</v>
      </c>
    </row>
    <row r="36">
      <c r="A36" s="262" t="s">
        <v>3644</v>
      </c>
      <c r="B36" s="25">
        <v>12388.0</v>
      </c>
      <c r="C36" s="136" t="s">
        <v>17387</v>
      </c>
      <c r="D36" s="179">
        <v>0.7</v>
      </c>
      <c r="E36" s="179">
        <v>0.7</v>
      </c>
      <c r="F36" s="348" t="s">
        <v>1656</v>
      </c>
      <c r="M36" s="636" t="s">
        <v>3644</v>
      </c>
      <c r="N36" s="35">
        <v>14065.0</v>
      </c>
      <c r="O36" s="637">
        <v>6133.0</v>
      </c>
      <c r="P36" s="36"/>
      <c r="Q36" s="36" t="e">
        <v>#N/A</v>
      </c>
    </row>
    <row r="37">
      <c r="A37" s="262" t="s">
        <v>3645</v>
      </c>
      <c r="B37" s="262">
        <v>14603.0</v>
      </c>
      <c r="C37" s="136" t="s">
        <v>17387</v>
      </c>
      <c r="D37" s="179">
        <v>0.7</v>
      </c>
      <c r="E37" s="179">
        <v>0.7</v>
      </c>
      <c r="F37" s="348" t="s">
        <v>1656</v>
      </c>
      <c r="M37" s="636" t="s">
        <v>3645</v>
      </c>
      <c r="N37" s="637">
        <v>6831.0</v>
      </c>
      <c r="O37" s="36"/>
      <c r="P37" s="36"/>
      <c r="Q37" s="36" t="e">
        <v>#N/A</v>
      </c>
    </row>
    <row r="38">
      <c r="A38" s="262" t="s">
        <v>3646</v>
      </c>
      <c r="B38" s="262">
        <v>2345.0</v>
      </c>
      <c r="C38" s="136" t="s">
        <v>17387</v>
      </c>
      <c r="D38" s="179">
        <v>0.9</v>
      </c>
      <c r="E38" s="179">
        <v>0.9</v>
      </c>
      <c r="F38" s="348" t="s">
        <v>1656</v>
      </c>
      <c r="M38" s="636" t="s">
        <v>3646</v>
      </c>
      <c r="N38" s="637">
        <v>8199.0</v>
      </c>
      <c r="O38" s="36"/>
      <c r="P38" s="36"/>
      <c r="Q38" s="36" t="e">
        <v>#N/A</v>
      </c>
    </row>
    <row r="39">
      <c r="A39" s="262" t="s">
        <v>3647</v>
      </c>
      <c r="B39" s="262">
        <v>2345.0</v>
      </c>
      <c r="C39" s="136" t="s">
        <v>17387</v>
      </c>
      <c r="D39" s="179">
        <v>0.9</v>
      </c>
      <c r="E39" s="179">
        <v>0.9</v>
      </c>
      <c r="F39" s="348" t="s">
        <v>1656</v>
      </c>
      <c r="M39" s="636" t="s">
        <v>3647</v>
      </c>
      <c r="N39" s="637">
        <v>189.0</v>
      </c>
      <c r="O39" s="36"/>
      <c r="P39" s="36"/>
      <c r="Q39" s="36" t="e">
        <v>#N/A</v>
      </c>
    </row>
    <row r="40">
      <c r="A40" s="262" t="s">
        <v>3648</v>
      </c>
      <c r="B40" s="262">
        <v>2345.0</v>
      </c>
      <c r="C40" s="136" t="s">
        <v>17387</v>
      </c>
      <c r="D40" s="179">
        <v>0.9</v>
      </c>
      <c r="E40" s="179">
        <v>0.9</v>
      </c>
      <c r="F40" s="348" t="s">
        <v>1656</v>
      </c>
      <c r="M40" s="636" t="s">
        <v>3648</v>
      </c>
      <c r="N40" s="637">
        <v>6936.0</v>
      </c>
      <c r="O40" s="36"/>
      <c r="P40" s="36"/>
      <c r="Q40" s="36" t="e">
        <v>#N/A</v>
      </c>
    </row>
    <row r="41">
      <c r="A41" s="262" t="s">
        <v>3649</v>
      </c>
      <c r="B41" s="262">
        <v>2345.0</v>
      </c>
      <c r="C41" s="136" t="s">
        <v>17387</v>
      </c>
      <c r="D41" s="179">
        <v>0.9</v>
      </c>
      <c r="E41" s="179">
        <v>0.9</v>
      </c>
      <c r="F41" s="348" t="s">
        <v>1656</v>
      </c>
      <c r="M41" s="636" t="s">
        <v>3649</v>
      </c>
      <c r="N41" s="637">
        <v>189.0</v>
      </c>
      <c r="O41" s="36"/>
      <c r="P41" s="36"/>
      <c r="Q41" s="36" t="e">
        <v>#N/A</v>
      </c>
    </row>
    <row r="42">
      <c r="A42" s="262" t="s">
        <v>3650</v>
      </c>
      <c r="B42" s="262">
        <v>2345.0</v>
      </c>
      <c r="C42" s="136" t="s">
        <v>17387</v>
      </c>
      <c r="D42" s="179">
        <v>0.9</v>
      </c>
      <c r="E42" s="179">
        <v>0.9</v>
      </c>
      <c r="F42" s="348" t="s">
        <v>1656</v>
      </c>
      <c r="M42" s="636" t="s">
        <v>3650</v>
      </c>
      <c r="N42" s="637">
        <v>7183.0</v>
      </c>
      <c r="O42" s="36"/>
      <c r="P42" s="36"/>
      <c r="Q42" s="36" t="e">
        <v>#N/A</v>
      </c>
    </row>
    <row r="43">
      <c r="A43" s="262" t="s">
        <v>3651</v>
      </c>
      <c r="B43" s="262">
        <v>2345.0</v>
      </c>
      <c r="C43" s="136" t="s">
        <v>17387</v>
      </c>
      <c r="D43" s="179">
        <v>0.9</v>
      </c>
      <c r="E43" s="179">
        <v>0.9</v>
      </c>
      <c r="F43" s="348" t="s">
        <v>1656</v>
      </c>
      <c r="M43" s="636" t="s">
        <v>3651</v>
      </c>
      <c r="N43" s="637">
        <v>7186.0</v>
      </c>
      <c r="O43" s="36"/>
      <c r="P43" s="36"/>
      <c r="Q43" s="36" t="e">
        <v>#N/A</v>
      </c>
    </row>
    <row r="44">
      <c r="A44" s="262" t="s">
        <v>3652</v>
      </c>
      <c r="B44" s="262">
        <v>14603.0</v>
      </c>
      <c r="C44" s="136" t="s">
        <v>17387</v>
      </c>
      <c r="D44" s="179">
        <v>0.7</v>
      </c>
      <c r="E44" s="179">
        <v>0.7</v>
      </c>
      <c r="F44" s="348" t="s">
        <v>1656</v>
      </c>
      <c r="M44" s="636" t="s">
        <v>3652</v>
      </c>
      <c r="N44" s="637">
        <v>11916.0</v>
      </c>
      <c r="O44" s="35">
        <v>6669.0</v>
      </c>
      <c r="P44" s="36"/>
      <c r="Q44" s="36" t="e">
        <v>#N/A</v>
      </c>
    </row>
    <row r="45">
      <c r="A45" s="262" t="s">
        <v>3653</v>
      </c>
      <c r="B45" s="262">
        <v>12262.0</v>
      </c>
      <c r="C45" s="136" t="s">
        <v>17387</v>
      </c>
      <c r="D45" s="179">
        <v>0.7</v>
      </c>
      <c r="E45" s="179">
        <v>0.7</v>
      </c>
      <c r="F45" s="348" t="s">
        <v>1656</v>
      </c>
      <c r="M45" s="636" t="s">
        <v>3653</v>
      </c>
      <c r="N45" s="637">
        <v>6772.0</v>
      </c>
      <c r="O45" s="36"/>
      <c r="P45" s="36"/>
      <c r="Q45" s="36" t="e">
        <v>#N/A</v>
      </c>
    </row>
    <row r="46">
      <c r="A46" s="638" t="s">
        <v>3654</v>
      </c>
      <c r="B46" s="638">
        <v>6924.0</v>
      </c>
      <c r="C46" s="136" t="s">
        <v>17387</v>
      </c>
      <c r="D46" s="179">
        <v>0.83</v>
      </c>
      <c r="E46" s="179">
        <v>0.83</v>
      </c>
      <c r="F46" s="348" t="s">
        <v>1656</v>
      </c>
      <c r="M46" s="544" t="s">
        <v>3654</v>
      </c>
      <c r="N46" s="224">
        <v>6924.0</v>
      </c>
      <c r="Q46" s="18">
        <v>1.0</v>
      </c>
    </row>
    <row r="47">
      <c r="A47" s="262" t="s">
        <v>3655</v>
      </c>
      <c r="B47" s="262">
        <v>14603.0</v>
      </c>
      <c r="C47" s="136" t="s">
        <v>17387</v>
      </c>
      <c r="D47" s="179">
        <v>0.7</v>
      </c>
      <c r="E47" s="179">
        <v>0.7</v>
      </c>
      <c r="F47" s="348" t="s">
        <v>1656</v>
      </c>
      <c r="M47" s="636" t="s">
        <v>3655</v>
      </c>
      <c r="N47" s="35">
        <v>12078.0</v>
      </c>
      <c r="O47" s="637">
        <v>6924.0</v>
      </c>
      <c r="P47" s="36"/>
      <c r="Q47" s="36" t="e">
        <v>#N/A</v>
      </c>
    </row>
    <row r="48">
      <c r="A48" s="262" t="s">
        <v>3656</v>
      </c>
      <c r="B48" s="262">
        <v>14603.0</v>
      </c>
      <c r="C48" s="136" t="s">
        <v>17387</v>
      </c>
      <c r="D48" s="179">
        <v>0.7</v>
      </c>
      <c r="E48" s="179">
        <v>0.7</v>
      </c>
      <c r="F48" s="348" t="s">
        <v>1656</v>
      </c>
      <c r="M48" s="636" t="s">
        <v>3656</v>
      </c>
      <c r="N48" s="637">
        <v>6827.0</v>
      </c>
      <c r="O48" s="36"/>
      <c r="P48" s="36"/>
      <c r="Q48" s="36" t="e">
        <v>#N/A</v>
      </c>
    </row>
    <row r="49">
      <c r="A49" s="262" t="s">
        <v>3657</v>
      </c>
      <c r="B49" s="262">
        <v>14603.0</v>
      </c>
      <c r="C49" s="136" t="s">
        <v>17387</v>
      </c>
      <c r="D49" s="179">
        <v>0.7</v>
      </c>
      <c r="E49" s="179">
        <v>0.7</v>
      </c>
      <c r="F49" s="348" t="s">
        <v>1656</v>
      </c>
      <c r="M49" s="636" t="s">
        <v>3657</v>
      </c>
      <c r="N49" s="637">
        <v>6940.0</v>
      </c>
      <c r="O49" s="36"/>
      <c r="P49" s="36"/>
      <c r="Q49" s="36" t="e">
        <v>#N/A</v>
      </c>
    </row>
    <row r="50">
      <c r="A50" s="262" t="s">
        <v>3658</v>
      </c>
      <c r="B50" s="262">
        <v>14505.0</v>
      </c>
      <c r="C50" s="136" t="s">
        <v>17387</v>
      </c>
      <c r="D50" s="179">
        <v>0.7</v>
      </c>
      <c r="E50" s="179">
        <v>0.7</v>
      </c>
      <c r="F50" s="348" t="s">
        <v>1656</v>
      </c>
      <c r="M50" s="636" t="s">
        <v>3658</v>
      </c>
      <c r="N50" s="637">
        <v>6998.0</v>
      </c>
      <c r="O50" s="36"/>
      <c r="P50" s="36"/>
      <c r="Q50" s="36" t="e">
        <v>#N/A</v>
      </c>
    </row>
    <row r="51">
      <c r="A51" s="262" t="s">
        <v>3659</v>
      </c>
      <c r="B51" s="262">
        <v>12553.0</v>
      </c>
      <c r="C51" s="136" t="s">
        <v>17387</v>
      </c>
      <c r="D51" s="179">
        <v>0.7</v>
      </c>
      <c r="E51" s="179">
        <v>0.7</v>
      </c>
      <c r="F51" s="348" t="s">
        <v>1656</v>
      </c>
      <c r="M51" s="636" t="s">
        <v>3659</v>
      </c>
      <c r="N51" s="637">
        <v>6998.0</v>
      </c>
      <c r="O51" s="36"/>
      <c r="P51" s="36"/>
      <c r="Q51" s="36" t="e">
        <v>#N/A</v>
      </c>
    </row>
    <row r="52">
      <c r="A52" s="262" t="s">
        <v>3661</v>
      </c>
      <c r="B52" s="262">
        <v>6669.0</v>
      </c>
      <c r="C52" s="136" t="s">
        <v>17387</v>
      </c>
      <c r="D52" s="179">
        <v>0.7</v>
      </c>
      <c r="E52" s="179">
        <v>0.7</v>
      </c>
      <c r="F52" s="348" t="s">
        <v>1656</v>
      </c>
      <c r="G52" s="45"/>
      <c r="H52" s="45"/>
      <c r="M52" s="544" t="s">
        <v>3661</v>
      </c>
      <c r="N52" s="224">
        <v>6669.0</v>
      </c>
      <c r="Q52" s="18">
        <v>1.0</v>
      </c>
    </row>
    <row r="53">
      <c r="A53" s="262" t="s">
        <v>3662</v>
      </c>
      <c r="B53" s="16">
        <v>14646.0</v>
      </c>
      <c r="C53" s="136" t="s">
        <v>17387</v>
      </c>
      <c r="D53" s="179">
        <v>0.7</v>
      </c>
      <c r="E53" s="179">
        <v>0.7</v>
      </c>
      <c r="F53" s="348" t="s">
        <v>1656</v>
      </c>
      <c r="M53" s="636" t="s">
        <v>3662</v>
      </c>
      <c r="N53" s="11">
        <v>14267.0</v>
      </c>
      <c r="O53" s="637">
        <v>7036.0</v>
      </c>
      <c r="P53" s="36"/>
      <c r="Q53" s="36" t="e">
        <v>#N/A</v>
      </c>
    </row>
    <row r="54">
      <c r="A54" s="262" t="s">
        <v>3663</v>
      </c>
      <c r="B54" s="25">
        <v>6668.0</v>
      </c>
      <c r="C54" s="136" t="s">
        <v>17387</v>
      </c>
      <c r="D54" s="179">
        <v>0.7</v>
      </c>
      <c r="E54" s="179">
        <v>0.7</v>
      </c>
      <c r="F54" s="348" t="s">
        <v>1656</v>
      </c>
      <c r="M54" s="636" t="s">
        <v>3663</v>
      </c>
      <c r="N54" s="11">
        <v>467.0</v>
      </c>
      <c r="O54" s="637">
        <v>7036.0</v>
      </c>
      <c r="P54" s="36"/>
      <c r="Q54" s="36" t="e">
        <v>#N/A</v>
      </c>
    </row>
    <row r="55">
      <c r="A55" s="262" t="s">
        <v>3664</v>
      </c>
      <c r="B55" s="25">
        <v>6668.0</v>
      </c>
      <c r="C55" s="136" t="s">
        <v>17387</v>
      </c>
      <c r="D55" s="179">
        <v>0.7</v>
      </c>
      <c r="E55" s="179">
        <v>0.7</v>
      </c>
      <c r="F55" s="348" t="s">
        <v>1656</v>
      </c>
      <c r="M55" s="636" t="s">
        <v>3664</v>
      </c>
      <c r="N55" s="11">
        <v>14267.0</v>
      </c>
      <c r="O55" s="637">
        <v>7036.0</v>
      </c>
      <c r="P55" s="36"/>
      <c r="Q55" s="36" t="e">
        <v>#N/A</v>
      </c>
    </row>
    <row r="56">
      <c r="A56" s="262" t="s">
        <v>3681</v>
      </c>
      <c r="B56" s="25">
        <v>6736.0</v>
      </c>
      <c r="C56" s="136" t="s">
        <v>17387</v>
      </c>
      <c r="D56" s="179">
        <v>0.7</v>
      </c>
      <c r="E56" s="179">
        <v>0.7</v>
      </c>
      <c r="F56" s="348" t="s">
        <v>1656</v>
      </c>
      <c r="G56" s="45"/>
      <c r="H56" s="45"/>
      <c r="M56" s="636" t="s">
        <v>3681</v>
      </c>
      <c r="N56" s="11">
        <v>6736.0</v>
      </c>
      <c r="O56" s="637">
        <v>7036.0</v>
      </c>
      <c r="P56" s="36"/>
      <c r="Q56" s="36" t="e">
        <v>#N/A</v>
      </c>
    </row>
    <row r="57">
      <c r="A57" s="262" t="s">
        <v>3682</v>
      </c>
      <c r="B57" s="25">
        <v>12932.0</v>
      </c>
      <c r="C57" s="136" t="s">
        <v>17387</v>
      </c>
      <c r="D57" s="179">
        <v>0.7</v>
      </c>
      <c r="E57" s="179">
        <v>0.7</v>
      </c>
      <c r="F57" s="348" t="s">
        <v>1656</v>
      </c>
      <c r="M57" s="636" t="s">
        <v>3682</v>
      </c>
      <c r="N57" s="11">
        <v>12932.0</v>
      </c>
      <c r="O57" s="637">
        <v>7036.0</v>
      </c>
      <c r="P57" s="36"/>
      <c r="Q57" s="36" t="e">
        <v>#N/A</v>
      </c>
    </row>
    <row r="58">
      <c r="A58" s="262" t="s">
        <v>3683</v>
      </c>
      <c r="B58" s="25">
        <v>14638.0</v>
      </c>
      <c r="C58" s="136" t="s">
        <v>17387</v>
      </c>
      <c r="D58" s="179">
        <v>0.7</v>
      </c>
      <c r="E58" s="179">
        <v>0.7</v>
      </c>
      <c r="F58" s="348" t="s">
        <v>1656</v>
      </c>
      <c r="M58" s="636" t="s">
        <v>3683</v>
      </c>
      <c r="N58" s="11">
        <v>6728.0</v>
      </c>
      <c r="O58" s="637">
        <v>7036.0</v>
      </c>
      <c r="P58" s="36"/>
      <c r="Q58" s="36" t="e">
        <v>#N/A</v>
      </c>
    </row>
    <row r="59">
      <c r="A59" s="262" t="s">
        <v>3684</v>
      </c>
      <c r="B59" s="262">
        <v>7036.0</v>
      </c>
      <c r="C59" s="136" t="s">
        <v>17387</v>
      </c>
      <c r="D59" s="179">
        <v>0.85</v>
      </c>
      <c r="E59" s="179">
        <v>0.85</v>
      </c>
      <c r="F59" s="348" t="s">
        <v>1656</v>
      </c>
      <c r="G59" s="45"/>
      <c r="H59" s="45"/>
      <c r="M59" s="544" t="s">
        <v>3684</v>
      </c>
      <c r="N59" s="224">
        <v>7036.0</v>
      </c>
      <c r="Q59" s="18">
        <v>1.0</v>
      </c>
    </row>
    <row r="60">
      <c r="A60" s="262" t="s">
        <v>3685</v>
      </c>
      <c r="B60" s="25">
        <v>4431.0</v>
      </c>
      <c r="C60" s="136" t="s">
        <v>17387</v>
      </c>
      <c r="D60" s="179">
        <v>0.7</v>
      </c>
      <c r="E60" s="179">
        <v>0.7</v>
      </c>
      <c r="F60" s="348" t="s">
        <v>1656</v>
      </c>
      <c r="G60" s="45"/>
      <c r="H60" s="45"/>
      <c r="M60" s="636" t="s">
        <v>3685</v>
      </c>
      <c r="N60" s="11">
        <v>4431.0</v>
      </c>
      <c r="O60" s="637">
        <v>7036.0</v>
      </c>
      <c r="P60" s="36"/>
      <c r="Q60" s="36" t="e">
        <v>#N/A</v>
      </c>
    </row>
    <row r="61">
      <c r="A61" s="262" t="s">
        <v>3686</v>
      </c>
      <c r="B61" s="25">
        <v>6732.0</v>
      </c>
      <c r="C61" s="136" t="s">
        <v>17387</v>
      </c>
      <c r="D61" s="179">
        <v>0.7</v>
      </c>
      <c r="E61" s="179">
        <v>0.7</v>
      </c>
      <c r="F61" s="348" t="s">
        <v>1656</v>
      </c>
      <c r="M61" s="636" t="s">
        <v>3686</v>
      </c>
      <c r="N61" s="35">
        <v>7246.0</v>
      </c>
      <c r="O61" s="36"/>
      <c r="P61" s="36"/>
      <c r="Q61" s="36" t="e">
        <v>#N/A</v>
      </c>
    </row>
    <row r="62">
      <c r="A62" s="262" t="s">
        <v>3687</v>
      </c>
      <c r="B62" s="262">
        <v>6732.0</v>
      </c>
      <c r="C62" s="136" t="s">
        <v>17387</v>
      </c>
      <c r="D62" s="179">
        <v>0.7</v>
      </c>
      <c r="E62" s="179">
        <v>0.7</v>
      </c>
      <c r="F62" s="348" t="s">
        <v>1656</v>
      </c>
      <c r="M62" s="636" t="s">
        <v>3687</v>
      </c>
      <c r="N62" s="637">
        <v>7084.0</v>
      </c>
      <c r="O62" s="36"/>
      <c r="P62" s="36"/>
      <c r="Q62" s="36" t="e">
        <v>#N/A</v>
      </c>
    </row>
    <row r="63">
      <c r="A63" s="638" t="s">
        <v>3688</v>
      </c>
      <c r="B63" s="638">
        <v>7100.0</v>
      </c>
      <c r="C63" s="136" t="s">
        <v>17387</v>
      </c>
      <c r="D63" s="179">
        <v>0.83</v>
      </c>
      <c r="E63" s="179">
        <v>0.83</v>
      </c>
      <c r="F63" s="348" t="s">
        <v>1656</v>
      </c>
      <c r="M63" s="544" t="s">
        <v>3688</v>
      </c>
      <c r="N63" s="224">
        <v>7100.0</v>
      </c>
      <c r="Q63" s="18">
        <v>1.0</v>
      </c>
    </row>
    <row r="64">
      <c r="A64" s="262" t="s">
        <v>3689</v>
      </c>
      <c r="B64" s="262">
        <v>14536.0</v>
      </c>
      <c r="C64" s="136" t="s">
        <v>17387</v>
      </c>
      <c r="D64" s="179">
        <v>0.7</v>
      </c>
      <c r="E64" s="179">
        <v>0.7</v>
      </c>
      <c r="F64" s="348" t="s">
        <v>1656</v>
      </c>
      <c r="M64" s="544" t="s">
        <v>3689</v>
      </c>
      <c r="N64" s="224">
        <v>7031.0</v>
      </c>
      <c r="Q64" s="18">
        <v>1.0</v>
      </c>
    </row>
    <row r="65">
      <c r="A65" s="262" t="s">
        <v>3690</v>
      </c>
      <c r="B65" s="262">
        <v>7157.0</v>
      </c>
      <c r="C65" s="136" t="s">
        <v>17387</v>
      </c>
      <c r="D65" s="179">
        <v>0.7</v>
      </c>
      <c r="E65" s="179">
        <v>0.7</v>
      </c>
      <c r="F65" s="348" t="s">
        <v>1656</v>
      </c>
      <c r="G65" s="45"/>
      <c r="H65" s="45"/>
      <c r="M65" s="636" t="s">
        <v>3690</v>
      </c>
      <c r="N65" s="637">
        <v>7157.0</v>
      </c>
      <c r="O65" s="36"/>
      <c r="P65" s="36"/>
      <c r="Q65" s="36" t="e">
        <v>#N/A</v>
      </c>
    </row>
    <row r="66">
      <c r="A66" s="638" t="s">
        <v>3691</v>
      </c>
      <c r="B66" s="638">
        <v>7142.0</v>
      </c>
      <c r="C66" s="136" t="s">
        <v>17387</v>
      </c>
      <c r="D66" s="179">
        <v>0.7</v>
      </c>
      <c r="E66" s="179">
        <v>0.7</v>
      </c>
      <c r="F66" s="348" t="s">
        <v>1656</v>
      </c>
      <c r="M66" s="544" t="s">
        <v>3691</v>
      </c>
      <c r="N66" s="224">
        <v>7142.0</v>
      </c>
      <c r="Q66" s="18">
        <v>1.0</v>
      </c>
    </row>
    <row r="67">
      <c r="A67" s="262" t="s">
        <v>3692</v>
      </c>
      <c r="B67" s="262">
        <v>6732.0</v>
      </c>
      <c r="C67" s="136" t="s">
        <v>17387</v>
      </c>
      <c r="D67" s="179">
        <v>0.7</v>
      </c>
      <c r="E67" s="179">
        <v>0.7</v>
      </c>
      <c r="F67" s="348" t="s">
        <v>1656</v>
      </c>
      <c r="M67" s="636" t="s">
        <v>3692</v>
      </c>
      <c r="N67" s="637">
        <v>986.0</v>
      </c>
      <c r="O67" s="36"/>
      <c r="P67" s="36"/>
      <c r="Q67" s="36" t="e">
        <v>#N/A</v>
      </c>
    </row>
    <row r="68">
      <c r="A68" s="262" t="s">
        <v>3693</v>
      </c>
      <c r="B68" s="262">
        <v>7100.0</v>
      </c>
      <c r="C68" s="136" t="s">
        <v>17387</v>
      </c>
      <c r="D68" s="179">
        <v>0.83</v>
      </c>
      <c r="E68" s="179">
        <v>0.83</v>
      </c>
      <c r="F68" s="348" t="s">
        <v>1656</v>
      </c>
      <c r="M68" s="636" t="s">
        <v>3693</v>
      </c>
      <c r="N68" s="637">
        <v>6671.0</v>
      </c>
      <c r="O68" s="36"/>
      <c r="P68" s="36"/>
      <c r="Q68" s="36" t="e">
        <v>#N/A</v>
      </c>
    </row>
    <row r="69">
      <c r="A69" s="262" t="s">
        <v>3694</v>
      </c>
      <c r="B69" s="42">
        <v>6936.0</v>
      </c>
      <c r="C69" s="136" t="s">
        <v>17387</v>
      </c>
      <c r="D69" s="179">
        <v>0.7</v>
      </c>
      <c r="E69" s="179">
        <v>0.7</v>
      </c>
      <c r="F69" s="348" t="s">
        <v>1656</v>
      </c>
      <c r="M69" s="636" t="s">
        <v>3694</v>
      </c>
      <c r="N69" s="43">
        <v>7520.0</v>
      </c>
      <c r="O69" s="36"/>
      <c r="P69" s="36"/>
      <c r="Q69" s="36" t="e">
        <v>#N/A</v>
      </c>
    </row>
    <row r="70">
      <c r="A70" s="262" t="s">
        <v>3695</v>
      </c>
      <c r="B70" s="16">
        <v>14732.0</v>
      </c>
      <c r="C70" s="136" t="s">
        <v>17387</v>
      </c>
      <c r="D70" s="179">
        <v>0.7</v>
      </c>
      <c r="E70" s="179">
        <v>0.7</v>
      </c>
      <c r="F70" s="348" t="s">
        <v>1656</v>
      </c>
      <c r="M70" s="636" t="s">
        <v>3695</v>
      </c>
      <c r="N70" s="641">
        <v>7847.0</v>
      </c>
      <c r="O70" s="36"/>
      <c r="P70" s="36"/>
      <c r="Q70" s="36" t="e">
        <v>#N/A</v>
      </c>
    </row>
    <row r="71">
      <c r="A71" s="262" t="s">
        <v>3702</v>
      </c>
      <c r="B71" s="16">
        <v>14465.0</v>
      </c>
      <c r="C71" s="136" t="s">
        <v>17387</v>
      </c>
      <c r="D71" s="179">
        <v>0.9</v>
      </c>
      <c r="E71" s="179">
        <v>0.9</v>
      </c>
      <c r="F71" s="348" t="s">
        <v>1656</v>
      </c>
      <c r="M71" s="636" t="s">
        <v>3702</v>
      </c>
      <c r="N71" s="637">
        <v>7414.0</v>
      </c>
      <c r="O71" s="36"/>
      <c r="P71" s="36"/>
      <c r="Q71" s="36" t="e">
        <v>#N/A</v>
      </c>
    </row>
    <row r="72">
      <c r="A72" s="262" t="s">
        <v>3703</v>
      </c>
      <c r="B72" s="25">
        <v>7083.0</v>
      </c>
      <c r="C72" s="136" t="s">
        <v>17387</v>
      </c>
      <c r="D72" s="179">
        <v>0.83</v>
      </c>
      <c r="E72" s="179">
        <v>0.83</v>
      </c>
      <c r="F72" s="348" t="s">
        <v>1656</v>
      </c>
      <c r="M72" s="636" t="s">
        <v>3703</v>
      </c>
      <c r="N72" s="11">
        <v>7083.0</v>
      </c>
      <c r="O72" s="637">
        <v>7416.0</v>
      </c>
      <c r="P72" s="36"/>
      <c r="Q72" s="36" t="e">
        <v>#N/A</v>
      </c>
    </row>
    <row r="73">
      <c r="A73" s="25" t="s">
        <v>1959</v>
      </c>
      <c r="B73" s="25">
        <v>7132.0</v>
      </c>
      <c r="C73" s="136" t="s">
        <v>17387</v>
      </c>
      <c r="D73" s="179">
        <v>0.7</v>
      </c>
      <c r="E73" s="179">
        <v>0.7</v>
      </c>
      <c r="F73" s="348" t="s">
        <v>1656</v>
      </c>
      <c r="M73" s="35" t="s">
        <v>1959</v>
      </c>
      <c r="N73" s="109">
        <v>7132.0</v>
      </c>
      <c r="O73" s="36"/>
      <c r="P73" s="36"/>
      <c r="Q73" s="36" t="e">
        <v>#N/A</v>
      </c>
    </row>
    <row r="74">
      <c r="A74" s="25" t="s">
        <v>9462</v>
      </c>
      <c r="B74" s="25">
        <v>6893.0</v>
      </c>
      <c r="C74" s="136" t="s">
        <v>17387</v>
      </c>
      <c r="D74" s="179">
        <v>0.7</v>
      </c>
      <c r="E74" s="179">
        <v>0.7</v>
      </c>
      <c r="F74" s="348" t="s">
        <v>1656</v>
      </c>
      <c r="M74" s="335" t="s">
        <v>9462</v>
      </c>
      <c r="N74" s="109">
        <v>6893.0</v>
      </c>
      <c r="O74" s="36"/>
      <c r="P74" s="36"/>
      <c r="Q74" s="36" t="e">
        <v>#N/A</v>
      </c>
    </row>
    <row r="75">
      <c r="A75" s="25" t="s">
        <v>2011</v>
      </c>
      <c r="B75" s="37">
        <v>6658.0</v>
      </c>
      <c r="C75" s="136" t="s">
        <v>17387</v>
      </c>
      <c r="D75" s="179">
        <v>0.83</v>
      </c>
      <c r="E75" s="179">
        <v>0.83</v>
      </c>
      <c r="F75" s="348" t="s">
        <v>1656</v>
      </c>
      <c r="M75" s="35" t="s">
        <v>2011</v>
      </c>
      <c r="N75" s="109">
        <v>3689.0</v>
      </c>
      <c r="O75" s="36"/>
      <c r="P75" s="36"/>
      <c r="Q75" s="36" t="e">
        <v>#N/A</v>
      </c>
    </row>
    <row r="76">
      <c r="A76" s="642" t="s">
        <v>6295</v>
      </c>
      <c r="B76" s="25">
        <v>14248.0</v>
      </c>
      <c r="C76" s="136" t="s">
        <v>17387</v>
      </c>
      <c r="D76" s="179">
        <v>0.7</v>
      </c>
      <c r="E76" s="179">
        <v>0.7</v>
      </c>
      <c r="F76" s="348" t="s">
        <v>1656</v>
      </c>
      <c r="M76" s="643" t="s">
        <v>6295</v>
      </c>
      <c r="N76" s="109">
        <v>14248.0</v>
      </c>
      <c r="O76" s="36"/>
      <c r="P76" s="36"/>
      <c r="Q76" s="36" t="e">
        <v>#N/A</v>
      </c>
    </row>
    <row r="77">
      <c r="A77" s="642" t="s">
        <v>5594</v>
      </c>
      <c r="B77" s="25">
        <v>3404.0</v>
      </c>
      <c r="C77" s="136" t="s">
        <v>17387</v>
      </c>
      <c r="D77" s="179">
        <v>0.7</v>
      </c>
      <c r="E77" s="179">
        <v>0.7</v>
      </c>
      <c r="F77" s="348" t="s">
        <v>1656</v>
      </c>
      <c r="M77" s="643" t="s">
        <v>5594</v>
      </c>
      <c r="N77" s="109">
        <v>6671.0</v>
      </c>
      <c r="O77" s="36"/>
      <c r="P77" s="36"/>
      <c r="Q77" s="36" t="e">
        <v>#N/A</v>
      </c>
    </row>
    <row r="78">
      <c r="A78" s="25" t="s">
        <v>3769</v>
      </c>
      <c r="B78" s="25">
        <v>189.0</v>
      </c>
      <c r="C78" s="136" t="s">
        <v>17387</v>
      </c>
      <c r="D78" s="179">
        <v>0.83</v>
      </c>
      <c r="E78" s="179">
        <v>0.83</v>
      </c>
      <c r="F78" s="348" t="s">
        <v>1656</v>
      </c>
      <c r="M78" s="35" t="s">
        <v>3769</v>
      </c>
      <c r="N78" s="109">
        <v>189.0</v>
      </c>
      <c r="O78" s="36"/>
      <c r="P78" s="36"/>
      <c r="Q78" s="36" t="e">
        <v>#N/A</v>
      </c>
    </row>
    <row r="79">
      <c r="A79" s="25" t="s">
        <v>3770</v>
      </c>
      <c r="B79" s="25">
        <v>6706.0</v>
      </c>
      <c r="C79" s="136" t="s">
        <v>17387</v>
      </c>
      <c r="D79" s="179">
        <v>0.7</v>
      </c>
      <c r="E79" s="179">
        <v>0.7</v>
      </c>
      <c r="F79" s="348" t="s">
        <v>1656</v>
      </c>
      <c r="M79" s="35" t="s">
        <v>3770</v>
      </c>
      <c r="N79" s="109">
        <v>7003.0</v>
      </c>
      <c r="O79" s="36"/>
      <c r="P79" s="36"/>
      <c r="Q79" s="36" t="e">
        <v>#N/A</v>
      </c>
    </row>
    <row r="80">
      <c r="A80" s="25" t="s">
        <v>3771</v>
      </c>
      <c r="B80" s="25">
        <v>6706.0</v>
      </c>
      <c r="C80" s="136" t="s">
        <v>17387</v>
      </c>
      <c r="D80" s="179">
        <v>0.7</v>
      </c>
      <c r="E80" s="179">
        <v>0.7</v>
      </c>
      <c r="F80" s="348" t="s">
        <v>1656</v>
      </c>
      <c r="M80" s="35" t="s">
        <v>3771</v>
      </c>
      <c r="N80" s="109">
        <v>14337.0</v>
      </c>
      <c r="O80" s="36"/>
      <c r="P80" s="36"/>
      <c r="Q80" s="36" t="e">
        <v>#N/A</v>
      </c>
    </row>
    <row r="81">
      <c r="A81" s="25" t="s">
        <v>3779</v>
      </c>
      <c r="B81" s="25">
        <v>6706.0</v>
      </c>
      <c r="C81" s="136" t="s">
        <v>17387</v>
      </c>
      <c r="D81" s="179">
        <v>0.7</v>
      </c>
      <c r="E81" s="179">
        <v>0.7</v>
      </c>
      <c r="F81" s="348" t="s">
        <v>1656</v>
      </c>
      <c r="M81" s="35" t="s">
        <v>3779</v>
      </c>
      <c r="N81" s="109">
        <v>12609.0</v>
      </c>
      <c r="O81" s="36"/>
      <c r="P81" s="36"/>
      <c r="Q81" s="36" t="e">
        <v>#N/A</v>
      </c>
    </row>
    <row r="82">
      <c r="A82" s="25" t="s">
        <v>3780</v>
      </c>
      <c r="B82" s="25">
        <v>6706.0</v>
      </c>
      <c r="C82" s="136" t="s">
        <v>17387</v>
      </c>
      <c r="D82" s="179">
        <v>0.7</v>
      </c>
      <c r="E82" s="179">
        <v>0.7</v>
      </c>
      <c r="F82" s="348" t="s">
        <v>1656</v>
      </c>
      <c r="M82" s="35" t="s">
        <v>3780</v>
      </c>
      <c r="N82" s="109">
        <v>6675.0</v>
      </c>
      <c r="O82" s="36"/>
      <c r="P82" s="36"/>
      <c r="Q82" s="36" t="e">
        <v>#N/A</v>
      </c>
    </row>
    <row r="83">
      <c r="A83" s="25" t="s">
        <v>3783</v>
      </c>
      <c r="B83" s="25">
        <v>6779.0</v>
      </c>
      <c r="C83" s="136" t="s">
        <v>17387</v>
      </c>
      <c r="D83" s="179">
        <v>0.7</v>
      </c>
      <c r="E83" s="179">
        <v>0.7</v>
      </c>
      <c r="F83" s="348" t="s">
        <v>1656</v>
      </c>
      <c r="M83" s="35" t="s">
        <v>3783</v>
      </c>
      <c r="N83" s="109">
        <v>6924.0</v>
      </c>
      <c r="O83" s="36"/>
      <c r="P83" s="36"/>
      <c r="Q83" s="36" t="e">
        <v>#N/A</v>
      </c>
    </row>
    <row r="84">
      <c r="A84" s="25" t="s">
        <v>3784</v>
      </c>
      <c r="B84" s="25">
        <v>6706.0</v>
      </c>
      <c r="C84" s="136" t="s">
        <v>17387</v>
      </c>
      <c r="D84" s="179">
        <v>0.7</v>
      </c>
      <c r="E84" s="179">
        <v>0.7</v>
      </c>
      <c r="F84" s="348" t="s">
        <v>1656</v>
      </c>
      <c r="M84" s="35" t="s">
        <v>3784</v>
      </c>
      <c r="N84" s="109">
        <v>6675.0</v>
      </c>
      <c r="O84" s="36"/>
      <c r="P84" s="36"/>
      <c r="Q84" s="36" t="e">
        <v>#N/A</v>
      </c>
    </row>
    <row r="85">
      <c r="A85" s="25" t="s">
        <v>3786</v>
      </c>
      <c r="B85" s="25">
        <v>6706.0</v>
      </c>
      <c r="C85" s="136" t="s">
        <v>17387</v>
      </c>
      <c r="D85" s="179">
        <v>0.7</v>
      </c>
      <c r="E85" s="179">
        <v>0.7</v>
      </c>
      <c r="F85" s="348" t="s">
        <v>1656</v>
      </c>
      <c r="M85" s="35" t="s">
        <v>3786</v>
      </c>
      <c r="N85" s="109">
        <v>9645.0</v>
      </c>
      <c r="O85" s="36"/>
      <c r="P85" s="36"/>
      <c r="Q85" s="36" t="e">
        <v>#N/A</v>
      </c>
    </row>
    <row r="86">
      <c r="A86" s="25" t="s">
        <v>3789</v>
      </c>
      <c r="B86" s="25">
        <v>6706.0</v>
      </c>
      <c r="C86" s="136" t="s">
        <v>17387</v>
      </c>
      <c r="D86" s="179">
        <v>0.7</v>
      </c>
      <c r="E86" s="179">
        <v>0.7</v>
      </c>
      <c r="F86" s="348" t="s">
        <v>1656</v>
      </c>
      <c r="M86" s="35" t="s">
        <v>3789</v>
      </c>
      <c r="N86" s="11">
        <v>6133.0</v>
      </c>
      <c r="O86" s="109">
        <v>6939.0</v>
      </c>
      <c r="P86" s="36"/>
      <c r="Q86" s="36" t="e">
        <v>#N/A</v>
      </c>
    </row>
    <row r="87">
      <c r="A87" s="97" t="s">
        <v>17400</v>
      </c>
      <c r="B87" s="175">
        <v>14659.0</v>
      </c>
      <c r="C87" s="136" t="s">
        <v>17387</v>
      </c>
      <c r="D87" s="179">
        <v>0.7</v>
      </c>
      <c r="E87" s="179">
        <v>0.7</v>
      </c>
      <c r="F87" s="348" t="s">
        <v>1656</v>
      </c>
      <c r="N87" s="160"/>
    </row>
    <row r="88">
      <c r="A88" s="5" t="s">
        <v>3696</v>
      </c>
      <c r="B88" s="216">
        <v>8179.0</v>
      </c>
      <c r="C88" s="136" t="s">
        <v>17387</v>
      </c>
      <c r="D88" s="179">
        <v>0.7</v>
      </c>
      <c r="E88" s="179">
        <v>0.7</v>
      </c>
      <c r="F88" s="348" t="s">
        <v>1656</v>
      </c>
      <c r="G88" s="175"/>
      <c r="H88" s="175" t="s">
        <v>10980</v>
      </c>
      <c r="N88" s="160"/>
    </row>
    <row r="89">
      <c r="A89" s="5" t="s">
        <v>3697</v>
      </c>
      <c r="B89" s="216">
        <v>8484.0</v>
      </c>
      <c r="C89" s="136" t="s">
        <v>17387</v>
      </c>
      <c r="D89" s="179">
        <v>0.7</v>
      </c>
      <c r="E89" s="179">
        <v>0.7</v>
      </c>
      <c r="F89" s="348" t="s">
        <v>1656</v>
      </c>
      <c r="G89" s="175"/>
      <c r="H89" s="175" t="s">
        <v>10980</v>
      </c>
      <c r="N89" s="160"/>
    </row>
    <row r="90">
      <c r="A90" s="5" t="s">
        <v>3698</v>
      </c>
      <c r="B90" s="199">
        <v>7699.0</v>
      </c>
      <c r="C90" s="136" t="s">
        <v>17387</v>
      </c>
      <c r="D90" s="179">
        <v>0.7</v>
      </c>
      <c r="E90" s="179">
        <v>0.7</v>
      </c>
      <c r="F90" s="348" t="s">
        <v>1656</v>
      </c>
      <c r="G90" s="175"/>
      <c r="H90" s="175" t="s">
        <v>10980</v>
      </c>
      <c r="N90" s="160"/>
    </row>
    <row r="91">
      <c r="A91" s="5" t="s">
        <v>3699</v>
      </c>
      <c r="B91" s="5">
        <v>8163.0</v>
      </c>
      <c r="C91" s="136" t="s">
        <v>17387</v>
      </c>
      <c r="D91" s="179">
        <v>0.7</v>
      </c>
      <c r="E91" s="179">
        <v>0.7</v>
      </c>
      <c r="F91" s="348" t="s">
        <v>1656</v>
      </c>
      <c r="G91" s="175"/>
      <c r="H91" s="175" t="s">
        <v>10980</v>
      </c>
      <c r="N91" s="160"/>
    </row>
    <row r="92">
      <c r="A92" s="5" t="s">
        <v>3700</v>
      </c>
      <c r="B92" s="216">
        <v>8537.0</v>
      </c>
      <c r="C92" s="136" t="s">
        <v>17387</v>
      </c>
      <c r="D92" s="179">
        <v>0.7</v>
      </c>
      <c r="E92" s="179">
        <v>0.7</v>
      </c>
      <c r="F92" s="348" t="s">
        <v>1656</v>
      </c>
      <c r="G92" s="175"/>
      <c r="H92" s="175" t="s">
        <v>10980</v>
      </c>
      <c r="N92" s="160"/>
    </row>
    <row r="93">
      <c r="A93" s="5" t="s">
        <v>3701</v>
      </c>
      <c r="B93" s="51">
        <v>8696.0</v>
      </c>
      <c r="C93" s="136" t="s">
        <v>17387</v>
      </c>
      <c r="D93" s="179">
        <v>0.83</v>
      </c>
      <c r="E93" s="179">
        <v>0.83</v>
      </c>
      <c r="F93" s="348" t="s">
        <v>1656</v>
      </c>
      <c r="G93" s="175"/>
      <c r="H93" s="175" t="s">
        <v>10980</v>
      </c>
      <c r="N93" s="160"/>
    </row>
    <row r="94">
      <c r="A94" s="5" t="s">
        <v>17401</v>
      </c>
      <c r="B94" s="5">
        <v>7734.0</v>
      </c>
      <c r="C94" s="136" t="s">
        <v>17387</v>
      </c>
      <c r="D94" s="179">
        <v>0.7</v>
      </c>
      <c r="E94" s="179">
        <v>0.7</v>
      </c>
      <c r="F94" s="348" t="s">
        <v>1656</v>
      </c>
      <c r="G94" s="175"/>
      <c r="H94" s="175" t="s">
        <v>10980</v>
      </c>
      <c r="N94" s="160"/>
    </row>
    <row r="95">
      <c r="A95" s="5" t="s">
        <v>2061</v>
      </c>
      <c r="B95" s="5">
        <v>8623.0</v>
      </c>
      <c r="C95" s="136" t="s">
        <v>17387</v>
      </c>
      <c r="D95" s="179">
        <v>0.7</v>
      </c>
      <c r="E95" s="179">
        <v>0.7</v>
      </c>
      <c r="F95" s="348" t="s">
        <v>1656</v>
      </c>
      <c r="G95" s="175"/>
      <c r="H95" s="175" t="s">
        <v>10980</v>
      </c>
      <c r="N95" s="160"/>
    </row>
    <row r="96">
      <c r="A96" s="5" t="s">
        <v>17402</v>
      </c>
      <c r="B96" s="82">
        <v>12391.0</v>
      </c>
      <c r="C96" s="136" t="s">
        <v>17387</v>
      </c>
      <c r="D96" s="179">
        <v>0.7</v>
      </c>
      <c r="E96" s="179">
        <v>0.7</v>
      </c>
      <c r="F96" s="348" t="s">
        <v>1656</v>
      </c>
      <c r="G96" s="175"/>
      <c r="H96" s="175" t="s">
        <v>10980</v>
      </c>
      <c r="N96" s="160"/>
    </row>
    <row r="97">
      <c r="A97" s="5" t="s">
        <v>17403</v>
      </c>
      <c r="B97" s="199">
        <v>12277.0</v>
      </c>
      <c r="C97" s="136" t="s">
        <v>17387</v>
      </c>
      <c r="D97" s="179">
        <v>0.7</v>
      </c>
      <c r="E97" s="179">
        <v>0.7</v>
      </c>
      <c r="F97" s="348" t="s">
        <v>1656</v>
      </c>
      <c r="G97" s="175"/>
      <c r="H97" s="175" t="s">
        <v>10980</v>
      </c>
      <c r="N97" s="160"/>
    </row>
    <row r="98">
      <c r="A98" s="5" t="s">
        <v>4647</v>
      </c>
      <c r="B98" s="5">
        <v>9602.0</v>
      </c>
      <c r="C98" s="136" t="s">
        <v>17387</v>
      </c>
      <c r="D98" s="179">
        <v>0.7</v>
      </c>
      <c r="E98" s="179">
        <v>0.7</v>
      </c>
      <c r="F98" s="348" t="s">
        <v>1656</v>
      </c>
      <c r="G98" s="175"/>
      <c r="H98" s="175" t="s">
        <v>10980</v>
      </c>
      <c r="N98" s="160"/>
    </row>
    <row r="99">
      <c r="A99" s="5" t="s">
        <v>4648</v>
      </c>
      <c r="B99" s="199">
        <v>12258.0</v>
      </c>
      <c r="C99" s="136" t="s">
        <v>17387</v>
      </c>
      <c r="D99" s="179">
        <v>0.7</v>
      </c>
      <c r="E99" s="179">
        <v>0.7</v>
      </c>
      <c r="F99" s="348" t="s">
        <v>1656</v>
      </c>
      <c r="G99" s="175"/>
      <c r="H99" s="175" t="s">
        <v>10980</v>
      </c>
      <c r="N99" s="160"/>
    </row>
    <row r="100">
      <c r="A100" s="5" t="s">
        <v>4649</v>
      </c>
      <c r="B100" s="5">
        <v>9619.0</v>
      </c>
      <c r="C100" s="136" t="s">
        <v>17387</v>
      </c>
      <c r="D100" s="179">
        <v>0.7</v>
      </c>
      <c r="E100" s="179">
        <v>0.7</v>
      </c>
      <c r="F100" s="348" t="s">
        <v>1656</v>
      </c>
      <c r="G100" s="175"/>
      <c r="H100" s="175" t="s">
        <v>10980</v>
      </c>
      <c r="N100" s="160"/>
    </row>
    <row r="101">
      <c r="A101" s="5" t="s">
        <v>4650</v>
      </c>
      <c r="B101" s="5">
        <v>9667.0</v>
      </c>
      <c r="C101" s="136" t="s">
        <v>17387</v>
      </c>
      <c r="D101" s="179">
        <v>0.7</v>
      </c>
      <c r="E101" s="179">
        <v>0.7</v>
      </c>
      <c r="F101" s="348" t="s">
        <v>1656</v>
      </c>
      <c r="G101" s="175"/>
      <c r="H101" s="175" t="s">
        <v>10980</v>
      </c>
      <c r="N101" s="160"/>
    </row>
    <row r="102">
      <c r="A102" s="5" t="s">
        <v>4651</v>
      </c>
      <c r="B102" s="5">
        <v>9730.0</v>
      </c>
      <c r="C102" s="136" t="s">
        <v>17387</v>
      </c>
      <c r="D102" s="179">
        <v>0.7</v>
      </c>
      <c r="E102" s="179">
        <v>0.7</v>
      </c>
      <c r="F102" s="348" t="s">
        <v>1656</v>
      </c>
      <c r="G102" s="175"/>
      <c r="H102" s="175" t="s">
        <v>10980</v>
      </c>
      <c r="N102" s="160"/>
    </row>
    <row r="103">
      <c r="A103" s="5" t="s">
        <v>4652</v>
      </c>
      <c r="B103" s="199">
        <v>9768.0</v>
      </c>
      <c r="C103" s="136" t="s">
        <v>17387</v>
      </c>
      <c r="D103" s="179">
        <v>0.7</v>
      </c>
      <c r="E103" s="179">
        <v>0.7</v>
      </c>
      <c r="F103" s="348" t="s">
        <v>1656</v>
      </c>
      <c r="G103" s="175"/>
      <c r="H103" s="175" t="s">
        <v>10980</v>
      </c>
      <c r="N103" s="160"/>
    </row>
    <row r="104">
      <c r="A104" s="5" t="s">
        <v>4654</v>
      </c>
      <c r="B104" s="5">
        <v>9727.0</v>
      </c>
      <c r="C104" s="136" t="s">
        <v>17387</v>
      </c>
      <c r="D104" s="179">
        <v>0.7</v>
      </c>
      <c r="E104" s="179">
        <v>0.7</v>
      </c>
      <c r="F104" s="348" t="s">
        <v>1656</v>
      </c>
      <c r="G104" s="175"/>
      <c r="H104" s="175" t="s">
        <v>10980</v>
      </c>
      <c r="N104" s="160"/>
    </row>
    <row r="105">
      <c r="A105" s="5" t="s">
        <v>4656</v>
      </c>
      <c r="B105" s="5">
        <v>9545.0</v>
      </c>
      <c r="C105" s="136" t="s">
        <v>17387</v>
      </c>
      <c r="D105" s="179">
        <v>0.7</v>
      </c>
      <c r="E105" s="179">
        <v>0.7</v>
      </c>
      <c r="F105" s="348" t="s">
        <v>1656</v>
      </c>
      <c r="G105" s="175"/>
      <c r="H105" s="175" t="s">
        <v>10980</v>
      </c>
      <c r="N105" s="160"/>
    </row>
    <row r="106">
      <c r="A106" s="5" t="s">
        <v>4657</v>
      </c>
      <c r="B106" s="5">
        <v>10352.0</v>
      </c>
      <c r="C106" s="136" t="s">
        <v>17387</v>
      </c>
      <c r="D106" s="179">
        <v>0.7</v>
      </c>
      <c r="E106" s="179">
        <v>0.7</v>
      </c>
      <c r="F106" s="348" t="s">
        <v>1656</v>
      </c>
      <c r="G106" s="175"/>
      <c r="H106" s="175" t="s">
        <v>10980</v>
      </c>
      <c r="N106" s="160"/>
    </row>
    <row r="107">
      <c r="A107" s="5" t="s">
        <v>4667</v>
      </c>
      <c r="B107" s="199">
        <v>10368.0</v>
      </c>
      <c r="C107" s="136" t="s">
        <v>17387</v>
      </c>
      <c r="D107" s="179">
        <v>0.7</v>
      </c>
      <c r="E107" s="179">
        <v>0.7</v>
      </c>
      <c r="F107" s="348" t="s">
        <v>1656</v>
      </c>
      <c r="G107" s="175"/>
      <c r="H107" s="175" t="s">
        <v>10980</v>
      </c>
      <c r="N107" s="160"/>
    </row>
    <row r="108">
      <c r="A108" s="5" t="s">
        <v>4668</v>
      </c>
      <c r="B108" s="199">
        <v>12259.0</v>
      </c>
      <c r="C108" s="136" t="s">
        <v>17387</v>
      </c>
      <c r="D108" s="179">
        <v>0.7</v>
      </c>
      <c r="E108" s="179">
        <v>0.7</v>
      </c>
      <c r="F108" s="348" t="s">
        <v>1656</v>
      </c>
      <c r="G108" s="175"/>
      <c r="H108" s="175" t="s">
        <v>10980</v>
      </c>
      <c r="N108" s="160"/>
    </row>
    <row r="109">
      <c r="A109" s="5" t="s">
        <v>4669</v>
      </c>
      <c r="B109" s="199">
        <v>11768.0</v>
      </c>
      <c r="C109" s="136" t="s">
        <v>17387</v>
      </c>
      <c r="D109" s="179">
        <v>0.7</v>
      </c>
      <c r="E109" s="179">
        <v>0.7</v>
      </c>
      <c r="F109" s="348" t="s">
        <v>1656</v>
      </c>
      <c r="G109" s="175"/>
      <c r="H109" s="175" t="s">
        <v>10980</v>
      </c>
      <c r="N109" s="160"/>
    </row>
    <row r="110">
      <c r="A110" s="5" t="s">
        <v>7250</v>
      </c>
      <c r="B110" s="199">
        <v>9814.0</v>
      </c>
      <c r="C110" s="136" t="s">
        <v>17387</v>
      </c>
      <c r="D110" s="179">
        <v>0.7</v>
      </c>
      <c r="E110" s="179">
        <v>0.7</v>
      </c>
      <c r="F110" s="348" t="s">
        <v>1656</v>
      </c>
      <c r="G110" s="175"/>
      <c r="H110" s="175" t="s">
        <v>10980</v>
      </c>
      <c r="N110" s="160"/>
    </row>
    <row r="111">
      <c r="A111" s="5" t="s">
        <v>7251</v>
      </c>
      <c r="B111" s="305">
        <v>12221.0</v>
      </c>
      <c r="C111" s="136" t="s">
        <v>17387</v>
      </c>
      <c r="D111" s="179">
        <v>0.7</v>
      </c>
      <c r="E111" s="179">
        <v>0.7</v>
      </c>
      <c r="F111" s="348" t="s">
        <v>1656</v>
      </c>
      <c r="G111" s="175"/>
      <c r="H111" s="175" t="s">
        <v>10980</v>
      </c>
      <c r="N111" s="160"/>
    </row>
    <row r="112">
      <c r="A112" s="5" t="s">
        <v>7253</v>
      </c>
      <c r="B112" s="189">
        <v>12135.0</v>
      </c>
      <c r="C112" s="136" t="s">
        <v>17387</v>
      </c>
      <c r="D112" s="179">
        <v>0.7</v>
      </c>
      <c r="E112" s="179">
        <v>0.7</v>
      </c>
      <c r="F112" s="348" t="s">
        <v>1656</v>
      </c>
      <c r="G112" s="175"/>
      <c r="H112" s="175" t="s">
        <v>10980</v>
      </c>
      <c r="N112" s="160"/>
    </row>
    <row r="113">
      <c r="A113" s="5" t="s">
        <v>7254</v>
      </c>
      <c r="B113" s="199">
        <v>11555.0</v>
      </c>
      <c r="C113" s="136" t="s">
        <v>17387</v>
      </c>
      <c r="D113" s="179">
        <v>0.7</v>
      </c>
      <c r="E113" s="179">
        <v>0.7</v>
      </c>
      <c r="F113" s="348" t="s">
        <v>1656</v>
      </c>
      <c r="G113" s="175"/>
      <c r="H113" s="175" t="s">
        <v>10980</v>
      </c>
      <c r="N113" s="160"/>
    </row>
    <row r="114">
      <c r="A114" s="5" t="s">
        <v>7255</v>
      </c>
      <c r="B114" s="11">
        <v>14738.0</v>
      </c>
      <c r="C114" s="136" t="s">
        <v>17387</v>
      </c>
      <c r="D114" s="179">
        <v>0.7</v>
      </c>
      <c r="E114" s="179">
        <v>0.7</v>
      </c>
      <c r="F114" s="348" t="s">
        <v>1656</v>
      </c>
      <c r="G114" s="175"/>
      <c r="H114" s="175" t="s">
        <v>10980</v>
      </c>
      <c r="N114" s="160"/>
    </row>
    <row r="115">
      <c r="A115" s="5" t="s">
        <v>7256</v>
      </c>
      <c r="B115" s="5">
        <v>10239.0</v>
      </c>
      <c r="C115" s="136" t="s">
        <v>17387</v>
      </c>
      <c r="D115" s="179">
        <v>0.7</v>
      </c>
      <c r="E115" s="179">
        <v>0.7</v>
      </c>
      <c r="F115" s="348" t="s">
        <v>1656</v>
      </c>
      <c r="G115" s="175"/>
      <c r="H115" s="175" t="s">
        <v>10980</v>
      </c>
      <c r="N115" s="160"/>
    </row>
    <row r="116">
      <c r="A116" s="5" t="s">
        <v>7257</v>
      </c>
      <c r="B116" s="189">
        <v>11775.0</v>
      </c>
      <c r="C116" s="136" t="s">
        <v>17387</v>
      </c>
      <c r="D116" s="179">
        <v>0.7</v>
      </c>
      <c r="E116" s="179">
        <v>0.7</v>
      </c>
      <c r="F116" s="348" t="s">
        <v>1656</v>
      </c>
      <c r="G116" s="175"/>
      <c r="H116" s="175" t="s">
        <v>10980</v>
      </c>
      <c r="N116" s="160"/>
    </row>
    <row r="117">
      <c r="A117" s="5" t="s">
        <v>7258</v>
      </c>
      <c r="B117" s="199">
        <v>13895.0</v>
      </c>
      <c r="C117" s="136" t="s">
        <v>17387</v>
      </c>
      <c r="D117" s="179">
        <v>0.7</v>
      </c>
      <c r="E117" s="179">
        <v>0.7</v>
      </c>
      <c r="F117" s="348" t="s">
        <v>1656</v>
      </c>
      <c r="G117" s="175"/>
      <c r="H117" s="175" t="s">
        <v>10980</v>
      </c>
      <c r="N117" s="160"/>
    </row>
    <row r="118">
      <c r="A118" s="5" t="s">
        <v>7259</v>
      </c>
      <c r="B118" s="5">
        <v>9586.0</v>
      </c>
      <c r="C118" s="136" t="s">
        <v>17387</v>
      </c>
      <c r="D118" s="179">
        <v>0.7</v>
      </c>
      <c r="E118" s="179">
        <v>0.7</v>
      </c>
      <c r="F118" s="348" t="s">
        <v>1656</v>
      </c>
      <c r="G118" s="175"/>
      <c r="H118" s="175" t="s">
        <v>10980</v>
      </c>
      <c r="N118" s="160"/>
    </row>
    <row r="119">
      <c r="A119" s="5" t="s">
        <v>7260</v>
      </c>
      <c r="B119" s="199">
        <v>13073.0</v>
      </c>
      <c r="C119" s="136" t="s">
        <v>17387</v>
      </c>
      <c r="D119" s="179">
        <v>0.7</v>
      </c>
      <c r="E119" s="179">
        <v>0.7</v>
      </c>
      <c r="F119" s="348" t="s">
        <v>1656</v>
      </c>
      <c r="G119" s="175"/>
      <c r="H119" s="175" t="s">
        <v>10980</v>
      </c>
      <c r="N119" s="160"/>
    </row>
    <row r="120">
      <c r="A120" s="5" t="s">
        <v>7261</v>
      </c>
      <c r="B120" s="199">
        <v>12573.0</v>
      </c>
      <c r="C120" s="136" t="s">
        <v>17387</v>
      </c>
      <c r="D120" s="179">
        <v>0.7</v>
      </c>
      <c r="E120" s="179">
        <v>0.7</v>
      </c>
      <c r="F120" s="348" t="s">
        <v>1656</v>
      </c>
      <c r="G120" s="175"/>
      <c r="H120" s="175" t="s">
        <v>10980</v>
      </c>
      <c r="N120" s="160"/>
    </row>
    <row r="121">
      <c r="A121" s="5" t="s">
        <v>7262</v>
      </c>
      <c r="B121" s="189">
        <v>12273.0</v>
      </c>
      <c r="C121" s="136" t="s">
        <v>17387</v>
      </c>
      <c r="D121" s="179">
        <v>0.7</v>
      </c>
      <c r="E121" s="179">
        <v>0.7</v>
      </c>
      <c r="F121" s="348" t="s">
        <v>1656</v>
      </c>
      <c r="G121" s="175"/>
      <c r="H121" s="175" t="s">
        <v>10980</v>
      </c>
      <c r="N121" s="160"/>
    </row>
    <row r="122">
      <c r="A122" s="5" t="s">
        <v>7263</v>
      </c>
      <c r="B122" s="199">
        <v>11774.0</v>
      </c>
      <c r="C122" s="136" t="s">
        <v>17387</v>
      </c>
      <c r="D122" s="179">
        <v>0.7</v>
      </c>
      <c r="E122" s="179">
        <v>0.7</v>
      </c>
      <c r="F122" s="348" t="s">
        <v>1656</v>
      </c>
      <c r="G122" s="175"/>
      <c r="H122" s="175" t="s">
        <v>10980</v>
      </c>
      <c r="N122" s="160"/>
    </row>
    <row r="123">
      <c r="A123" s="5" t="s">
        <v>7264</v>
      </c>
      <c r="B123" s="5">
        <v>10861.0</v>
      </c>
      <c r="C123" s="136" t="s">
        <v>17387</v>
      </c>
      <c r="D123" s="179">
        <v>0.7</v>
      </c>
      <c r="E123" s="179">
        <v>0.7</v>
      </c>
      <c r="F123" s="348" t="s">
        <v>1656</v>
      </c>
      <c r="G123" s="5"/>
      <c r="H123" s="5" t="s">
        <v>10980</v>
      </c>
      <c r="N123" s="160"/>
    </row>
    <row r="124">
      <c r="A124" s="5" t="s">
        <v>7265</v>
      </c>
      <c r="B124" s="5">
        <v>12611.0</v>
      </c>
      <c r="C124" s="136" t="s">
        <v>17387</v>
      </c>
      <c r="D124" s="179">
        <v>0.7</v>
      </c>
      <c r="E124" s="179">
        <v>0.7</v>
      </c>
      <c r="F124" s="348" t="s">
        <v>1656</v>
      </c>
      <c r="G124" s="5"/>
      <c r="H124" s="5" t="s">
        <v>10980</v>
      </c>
      <c r="N124" s="160"/>
    </row>
    <row r="125">
      <c r="A125" s="5" t="s">
        <v>7266</v>
      </c>
      <c r="B125" s="5">
        <v>12157.0</v>
      </c>
      <c r="C125" s="136" t="s">
        <v>17387</v>
      </c>
      <c r="D125" s="179">
        <v>0.7</v>
      </c>
      <c r="E125" s="179">
        <v>0.7</v>
      </c>
      <c r="F125" s="348" t="s">
        <v>1656</v>
      </c>
      <c r="G125" s="5"/>
      <c r="H125" s="5" t="s">
        <v>10980</v>
      </c>
      <c r="N125" s="160"/>
    </row>
    <row r="126">
      <c r="A126" s="5" t="s">
        <v>3660</v>
      </c>
      <c r="B126" s="5">
        <v>14185.0</v>
      </c>
      <c r="C126" s="136" t="s">
        <v>17387</v>
      </c>
      <c r="D126" s="179">
        <v>0.7</v>
      </c>
      <c r="E126" s="179">
        <v>0.7</v>
      </c>
      <c r="F126" s="348" t="s">
        <v>1656</v>
      </c>
      <c r="G126" s="5"/>
      <c r="H126" s="5" t="s">
        <v>10980</v>
      </c>
      <c r="N126" s="160"/>
    </row>
    <row r="127">
      <c r="A127" s="537" t="s">
        <v>3787</v>
      </c>
      <c r="B127" s="7"/>
      <c r="C127" s="136" t="s">
        <v>17387</v>
      </c>
      <c r="D127" s="179">
        <v>0.7</v>
      </c>
      <c r="E127" s="179">
        <v>0.7</v>
      </c>
      <c r="F127" s="348" t="s">
        <v>1656</v>
      </c>
      <c r="G127" s="175"/>
      <c r="H127" s="175" t="s">
        <v>10980</v>
      </c>
      <c r="N127" s="160"/>
    </row>
    <row r="128">
      <c r="A128" s="537" t="s">
        <v>3788</v>
      </c>
      <c r="B128" s="7"/>
      <c r="C128" s="136" t="s">
        <v>17387</v>
      </c>
      <c r="D128" s="179">
        <v>0.7</v>
      </c>
      <c r="E128" s="179">
        <v>0.7</v>
      </c>
      <c r="F128" s="348" t="s">
        <v>1656</v>
      </c>
      <c r="G128" s="175"/>
      <c r="H128" s="175" t="s">
        <v>10980</v>
      </c>
      <c r="N128" s="160"/>
    </row>
    <row r="129">
      <c r="A129" s="537" t="s">
        <v>4658</v>
      </c>
      <c r="B129" s="198"/>
      <c r="C129" s="136" t="s">
        <v>17387</v>
      </c>
      <c r="D129" s="179">
        <v>0.7</v>
      </c>
      <c r="E129" s="179">
        <v>0.7</v>
      </c>
      <c r="F129" s="348" t="s">
        <v>1656</v>
      </c>
      <c r="G129" s="175"/>
      <c r="H129" s="175" t="s">
        <v>10980</v>
      </c>
      <c r="N129" s="160"/>
    </row>
    <row r="130">
      <c r="A130" s="537" t="s">
        <v>7252</v>
      </c>
      <c r="B130" s="7"/>
      <c r="C130" s="136" t="s">
        <v>17387</v>
      </c>
      <c r="D130" s="179">
        <v>0.7</v>
      </c>
      <c r="E130" s="179">
        <v>0.7</v>
      </c>
      <c r="F130" s="348" t="s">
        <v>1656</v>
      </c>
      <c r="G130" s="175"/>
      <c r="H130" s="175" t="s">
        <v>10980</v>
      </c>
      <c r="N130" s="160"/>
    </row>
    <row r="131">
      <c r="A131" s="5" t="s">
        <v>4160</v>
      </c>
      <c r="B131" s="5">
        <v>14594.0</v>
      </c>
      <c r="C131" s="136" t="s">
        <v>17387</v>
      </c>
      <c r="D131" s="179">
        <v>0.7</v>
      </c>
      <c r="E131" s="179">
        <v>0.7</v>
      </c>
      <c r="F131" s="348" t="s">
        <v>1656</v>
      </c>
      <c r="N131" s="160"/>
    </row>
    <row r="132">
      <c r="A132" s="5" t="s">
        <v>220</v>
      </c>
      <c r="B132" s="5">
        <v>14663.0</v>
      </c>
      <c r="C132" s="136" t="s">
        <v>17387</v>
      </c>
      <c r="D132" s="179">
        <v>0.7</v>
      </c>
      <c r="E132" s="179">
        <v>0.7</v>
      </c>
      <c r="F132" s="348" t="s">
        <v>1656</v>
      </c>
      <c r="N132" s="160"/>
    </row>
    <row r="133">
      <c r="A133" s="5" t="s">
        <v>503</v>
      </c>
      <c r="B133" s="5">
        <v>14727.0</v>
      </c>
      <c r="C133" s="136" t="s">
        <v>17387</v>
      </c>
      <c r="D133" s="179">
        <v>0.7</v>
      </c>
      <c r="E133" s="179">
        <v>0.7</v>
      </c>
      <c r="F133" s="348" t="s">
        <v>1656</v>
      </c>
      <c r="N133" s="160"/>
    </row>
    <row r="134">
      <c r="A134" s="5" t="s">
        <v>17404</v>
      </c>
      <c r="B134" s="5">
        <v>8274.0</v>
      </c>
      <c r="C134" s="136" t="s">
        <v>17387</v>
      </c>
      <c r="D134" s="179">
        <v>0.7</v>
      </c>
      <c r="E134" s="179">
        <v>0.7</v>
      </c>
      <c r="F134" s="348" t="s">
        <v>1656</v>
      </c>
      <c r="N134" s="160"/>
    </row>
    <row r="135">
      <c r="A135" s="231"/>
      <c r="B135" s="231"/>
      <c r="C135" s="231"/>
      <c r="D135" s="45"/>
      <c r="E135" s="45"/>
      <c r="F135" s="45"/>
      <c r="N135" s="160"/>
    </row>
    <row r="136">
      <c r="A136" s="231"/>
      <c r="B136" s="231"/>
      <c r="C136" s="231"/>
      <c r="D136" s="45"/>
      <c r="E136" s="45"/>
      <c r="F136" s="45"/>
      <c r="N136" s="160"/>
    </row>
    <row r="137">
      <c r="A137" s="231"/>
      <c r="B137" s="231"/>
      <c r="C137" s="231"/>
      <c r="D137" s="45"/>
      <c r="E137" s="45"/>
      <c r="F137" s="45"/>
      <c r="N137" s="160"/>
    </row>
    <row r="138">
      <c r="A138" s="231"/>
      <c r="B138" s="231"/>
      <c r="C138" s="231"/>
      <c r="D138" s="45"/>
      <c r="E138" s="45"/>
      <c r="F138" s="45"/>
      <c r="N138" s="160"/>
    </row>
    <row r="139">
      <c r="A139" s="231"/>
      <c r="B139" s="231"/>
      <c r="C139" s="231"/>
      <c r="D139" s="45"/>
      <c r="E139" s="45"/>
      <c r="F139" s="45"/>
      <c r="N139" s="160"/>
    </row>
    <row r="140">
      <c r="A140" s="231"/>
      <c r="B140" s="231"/>
      <c r="C140" s="231"/>
      <c r="D140" s="45"/>
      <c r="E140" s="45"/>
      <c r="F140" s="45"/>
      <c r="N140" s="160"/>
    </row>
    <row r="141">
      <c r="A141" s="231"/>
      <c r="B141" s="231"/>
      <c r="C141" s="231"/>
      <c r="D141" s="45"/>
      <c r="E141" s="45"/>
      <c r="F141" s="45"/>
      <c r="N141" s="160"/>
    </row>
    <row r="142">
      <c r="A142" s="231"/>
      <c r="B142" s="231"/>
      <c r="C142" s="231"/>
      <c r="D142" s="45"/>
      <c r="E142" s="45"/>
      <c r="F142" s="45"/>
      <c r="N142" s="160"/>
    </row>
    <row r="143">
      <c r="A143" s="231"/>
      <c r="B143" s="231"/>
      <c r="C143" s="231"/>
      <c r="D143" s="45"/>
      <c r="E143" s="45"/>
      <c r="F143" s="45"/>
      <c r="N143" s="160"/>
    </row>
    <row r="144">
      <c r="A144" s="231"/>
      <c r="B144" s="231"/>
      <c r="C144" s="231"/>
      <c r="D144" s="45"/>
      <c r="E144" s="45"/>
      <c r="F144" s="45"/>
      <c r="N144" s="160"/>
    </row>
    <row r="145">
      <c r="A145" s="231"/>
      <c r="B145" s="231"/>
      <c r="C145" s="231"/>
      <c r="D145" s="45"/>
      <c r="E145" s="45"/>
      <c r="F145" s="45"/>
      <c r="N145" s="160"/>
    </row>
    <row r="146">
      <c r="A146" s="231"/>
      <c r="B146" s="231"/>
      <c r="C146" s="231"/>
      <c r="D146" s="45"/>
      <c r="E146" s="45"/>
      <c r="F146" s="45"/>
      <c r="N146" s="160"/>
    </row>
    <row r="147">
      <c r="A147" s="231"/>
      <c r="B147" s="231"/>
      <c r="C147" s="231"/>
      <c r="D147" s="45"/>
      <c r="E147" s="45"/>
      <c r="F147" s="45"/>
      <c r="N147" s="160"/>
    </row>
    <row r="148">
      <c r="A148" s="231"/>
      <c r="B148" s="231"/>
      <c r="C148" s="231"/>
      <c r="D148" s="45"/>
      <c r="E148" s="45"/>
      <c r="F148" s="45"/>
      <c r="N148" s="160"/>
    </row>
    <row r="149">
      <c r="A149" s="231"/>
      <c r="B149" s="231"/>
      <c r="C149" s="231"/>
      <c r="D149" s="45"/>
      <c r="E149" s="45"/>
      <c r="F149" s="45"/>
      <c r="N149" s="160"/>
    </row>
    <row r="150">
      <c r="A150" s="231"/>
      <c r="B150" s="231"/>
      <c r="C150" s="231"/>
      <c r="D150" s="45"/>
      <c r="E150" s="45"/>
      <c r="F150" s="45"/>
      <c r="N150" s="160"/>
    </row>
    <row r="151">
      <c r="A151" s="231"/>
      <c r="B151" s="231"/>
      <c r="C151" s="231"/>
      <c r="D151" s="45"/>
      <c r="E151" s="45"/>
      <c r="F151" s="45"/>
      <c r="N151" s="160"/>
    </row>
    <row r="152">
      <c r="A152" s="231"/>
      <c r="B152" s="231"/>
      <c r="C152" s="231"/>
      <c r="D152" s="45"/>
      <c r="E152" s="45"/>
      <c r="F152" s="45"/>
      <c r="N152" s="160"/>
    </row>
    <row r="153">
      <c r="A153" s="231"/>
      <c r="B153" s="231"/>
      <c r="C153" s="231"/>
      <c r="D153" s="45"/>
      <c r="E153" s="45"/>
      <c r="F153" s="45"/>
      <c r="N153" s="160"/>
    </row>
    <row r="154">
      <c r="A154" s="231"/>
      <c r="B154" s="231"/>
      <c r="C154" s="231"/>
      <c r="D154" s="45"/>
      <c r="E154" s="45"/>
      <c r="F154" s="45"/>
      <c r="N154" s="160"/>
    </row>
    <row r="155">
      <c r="A155" s="231"/>
      <c r="B155" s="231"/>
      <c r="C155" s="231"/>
      <c r="D155" s="45"/>
      <c r="E155" s="45"/>
      <c r="F155" s="45"/>
      <c r="N155" s="160"/>
    </row>
    <row r="156">
      <c r="A156" s="231"/>
      <c r="B156" s="231"/>
      <c r="C156" s="231"/>
      <c r="D156" s="45"/>
      <c r="E156" s="45"/>
      <c r="F156" s="45"/>
      <c r="N156" s="160"/>
    </row>
    <row r="157">
      <c r="A157" s="231"/>
      <c r="B157" s="231"/>
      <c r="C157" s="231"/>
      <c r="D157" s="45"/>
      <c r="E157" s="45"/>
      <c r="F157" s="45"/>
      <c r="N157" s="160"/>
    </row>
    <row r="158">
      <c r="A158" s="231"/>
      <c r="B158" s="231"/>
      <c r="C158" s="231"/>
      <c r="D158" s="45"/>
      <c r="E158" s="45"/>
      <c r="F158" s="45"/>
      <c r="N158" s="160"/>
    </row>
    <row r="159">
      <c r="A159" s="231"/>
      <c r="B159" s="231"/>
      <c r="C159" s="231"/>
      <c r="D159" s="45"/>
      <c r="E159" s="45"/>
      <c r="F159" s="45"/>
      <c r="N159" s="160"/>
    </row>
    <row r="160">
      <c r="A160" s="231"/>
      <c r="B160" s="231"/>
      <c r="C160" s="231"/>
      <c r="D160" s="45"/>
      <c r="E160" s="45"/>
      <c r="F160" s="45"/>
      <c r="N160" s="160"/>
    </row>
    <row r="161">
      <c r="A161" s="231"/>
      <c r="B161" s="231"/>
      <c r="C161" s="231"/>
      <c r="D161" s="45"/>
      <c r="E161" s="45"/>
      <c r="F161" s="45"/>
      <c r="N161" s="160"/>
    </row>
    <row r="162">
      <c r="A162" s="231"/>
      <c r="B162" s="231"/>
      <c r="C162" s="231"/>
      <c r="D162" s="45"/>
      <c r="E162" s="45"/>
      <c r="F162" s="45"/>
      <c r="N162" s="160"/>
    </row>
    <row r="163">
      <c r="A163" s="231"/>
      <c r="B163" s="231"/>
      <c r="C163" s="231"/>
      <c r="D163" s="45"/>
      <c r="E163" s="45"/>
      <c r="F163" s="45"/>
      <c r="N163" s="160"/>
    </row>
    <row r="164">
      <c r="A164" s="231"/>
      <c r="B164" s="231"/>
      <c r="C164" s="231"/>
      <c r="D164" s="45"/>
      <c r="E164" s="45"/>
      <c r="F164" s="45"/>
      <c r="N164" s="160"/>
    </row>
    <row r="165">
      <c r="A165" s="231"/>
      <c r="B165" s="231"/>
      <c r="C165" s="231"/>
      <c r="D165" s="45"/>
      <c r="E165" s="45"/>
      <c r="F165" s="45"/>
      <c r="N165" s="160"/>
    </row>
    <row r="166">
      <c r="A166" s="231"/>
      <c r="B166" s="231"/>
      <c r="C166" s="231"/>
      <c r="D166" s="45"/>
      <c r="E166" s="45"/>
      <c r="F166" s="45"/>
      <c r="N166" s="160"/>
    </row>
    <row r="167">
      <c r="A167" s="231"/>
      <c r="B167" s="231"/>
      <c r="C167" s="231"/>
      <c r="D167" s="45"/>
      <c r="E167" s="45"/>
      <c r="F167" s="45"/>
      <c r="N167" s="160"/>
    </row>
    <row r="168">
      <c r="A168" s="231"/>
      <c r="B168" s="231"/>
      <c r="C168" s="231"/>
      <c r="D168" s="45"/>
      <c r="E168" s="45"/>
      <c r="F168" s="45"/>
      <c r="N168" s="160"/>
    </row>
    <row r="169">
      <c r="A169" s="231"/>
      <c r="B169" s="231"/>
      <c r="C169" s="231"/>
      <c r="D169" s="45"/>
      <c r="E169" s="45"/>
      <c r="F169" s="45"/>
      <c r="N169" s="160"/>
    </row>
    <row r="170">
      <c r="A170" s="231"/>
      <c r="B170" s="231"/>
      <c r="C170" s="231"/>
      <c r="D170" s="45"/>
      <c r="E170" s="45"/>
      <c r="F170" s="45"/>
      <c r="N170" s="160"/>
    </row>
    <row r="171">
      <c r="A171" s="231"/>
      <c r="B171" s="231"/>
      <c r="C171" s="231"/>
      <c r="D171" s="45"/>
      <c r="E171" s="45"/>
      <c r="F171" s="45"/>
      <c r="N171" s="160"/>
    </row>
    <row r="172">
      <c r="A172" s="231"/>
      <c r="B172" s="231"/>
      <c r="C172" s="231"/>
      <c r="D172" s="45"/>
      <c r="E172" s="45"/>
      <c r="F172" s="45"/>
      <c r="N172" s="160"/>
    </row>
    <row r="173">
      <c r="A173" s="231"/>
      <c r="B173" s="231"/>
      <c r="C173" s="231"/>
      <c r="D173" s="45"/>
      <c r="E173" s="45"/>
      <c r="F173" s="45"/>
      <c r="N173" s="160"/>
    </row>
    <row r="174">
      <c r="A174" s="231"/>
      <c r="B174" s="231"/>
      <c r="C174" s="231"/>
      <c r="D174" s="45"/>
      <c r="E174" s="45"/>
      <c r="F174" s="45"/>
      <c r="N174" s="160"/>
    </row>
    <row r="175">
      <c r="A175" s="231"/>
      <c r="B175" s="231"/>
      <c r="C175" s="231"/>
      <c r="D175" s="45"/>
      <c r="E175" s="45"/>
      <c r="F175" s="45"/>
      <c r="N175" s="160"/>
    </row>
    <row r="176">
      <c r="A176" s="231"/>
      <c r="B176" s="231"/>
      <c r="C176" s="231"/>
      <c r="D176" s="45"/>
      <c r="E176" s="45"/>
      <c r="F176" s="45"/>
      <c r="N176" s="160"/>
    </row>
    <row r="177">
      <c r="A177" s="231"/>
      <c r="B177" s="231"/>
      <c r="C177" s="231"/>
      <c r="D177" s="45"/>
      <c r="E177" s="45"/>
      <c r="F177" s="45"/>
      <c r="N177" s="160"/>
    </row>
    <row r="178">
      <c r="A178" s="231"/>
      <c r="B178" s="231"/>
      <c r="C178" s="231"/>
      <c r="D178" s="45"/>
      <c r="E178" s="45"/>
      <c r="F178" s="45"/>
      <c r="N178" s="160"/>
    </row>
    <row r="179">
      <c r="A179" s="231"/>
      <c r="B179" s="231"/>
      <c r="C179" s="231"/>
      <c r="D179" s="45"/>
      <c r="E179" s="45"/>
      <c r="F179" s="45"/>
      <c r="N179" s="160"/>
    </row>
    <row r="180">
      <c r="A180" s="231"/>
      <c r="B180" s="231"/>
      <c r="C180" s="231"/>
      <c r="D180" s="45"/>
      <c r="E180" s="45"/>
      <c r="F180" s="45"/>
      <c r="N180" s="160"/>
    </row>
    <row r="181">
      <c r="A181" s="231"/>
      <c r="B181" s="231"/>
      <c r="C181" s="231"/>
      <c r="D181" s="45"/>
      <c r="E181" s="45"/>
      <c r="F181" s="45"/>
      <c r="N181" s="160"/>
    </row>
    <row r="182">
      <c r="A182" s="231"/>
      <c r="B182" s="231"/>
      <c r="C182" s="231"/>
      <c r="D182" s="45"/>
      <c r="E182" s="45"/>
      <c r="F182" s="45"/>
      <c r="N182" s="160"/>
    </row>
    <row r="183">
      <c r="A183" s="231"/>
      <c r="B183" s="231"/>
      <c r="C183" s="231"/>
      <c r="D183" s="45"/>
      <c r="E183" s="45"/>
      <c r="F183" s="45"/>
      <c r="N183" s="160"/>
    </row>
    <row r="184">
      <c r="A184" s="231"/>
      <c r="B184" s="231"/>
      <c r="C184" s="231"/>
      <c r="D184" s="45"/>
      <c r="E184" s="45"/>
      <c r="F184" s="45"/>
      <c r="N184" s="160"/>
    </row>
    <row r="185">
      <c r="A185" s="231"/>
      <c r="B185" s="231"/>
      <c r="C185" s="231"/>
      <c r="D185" s="45"/>
      <c r="E185" s="45"/>
      <c r="F185" s="45"/>
      <c r="N185" s="160"/>
    </row>
    <row r="186">
      <c r="A186" s="231"/>
      <c r="B186" s="231"/>
      <c r="C186" s="231"/>
      <c r="D186" s="45"/>
      <c r="E186" s="45"/>
      <c r="F186" s="45"/>
      <c r="N186" s="160"/>
    </row>
    <row r="187">
      <c r="A187" s="231"/>
      <c r="B187" s="231"/>
      <c r="C187" s="231"/>
      <c r="D187" s="45"/>
      <c r="E187" s="45"/>
      <c r="F187" s="45"/>
      <c r="N187" s="160"/>
    </row>
    <row r="188">
      <c r="A188" s="231"/>
      <c r="B188" s="231"/>
      <c r="C188" s="231"/>
      <c r="D188" s="45"/>
      <c r="E188" s="45"/>
      <c r="F188" s="45"/>
      <c r="N188" s="160"/>
    </row>
    <row r="189">
      <c r="A189" s="231"/>
      <c r="B189" s="231"/>
      <c r="C189" s="231"/>
      <c r="D189" s="45"/>
      <c r="E189" s="45"/>
      <c r="F189" s="45"/>
      <c r="N189" s="160"/>
    </row>
    <row r="190">
      <c r="A190" s="231"/>
      <c r="B190" s="231"/>
      <c r="C190" s="231"/>
      <c r="D190" s="45"/>
      <c r="E190" s="45"/>
      <c r="F190" s="45"/>
      <c r="N190" s="160"/>
    </row>
    <row r="191">
      <c r="A191" s="231"/>
      <c r="B191" s="231"/>
      <c r="C191" s="231"/>
      <c r="D191" s="45"/>
      <c r="E191" s="45"/>
      <c r="F191" s="45"/>
      <c r="N191" s="160"/>
    </row>
    <row r="192">
      <c r="A192" s="231"/>
      <c r="B192" s="231"/>
      <c r="C192" s="231"/>
      <c r="D192" s="45"/>
      <c r="E192" s="45"/>
      <c r="F192" s="45"/>
      <c r="N192" s="160"/>
    </row>
    <row r="193">
      <c r="A193" s="231"/>
      <c r="B193" s="231"/>
      <c r="C193" s="231"/>
      <c r="D193" s="45"/>
      <c r="E193" s="45"/>
      <c r="F193" s="45"/>
      <c r="N193" s="160"/>
    </row>
    <row r="194">
      <c r="A194" s="231"/>
      <c r="B194" s="231"/>
      <c r="C194" s="231"/>
      <c r="D194" s="45"/>
      <c r="E194" s="45"/>
      <c r="F194" s="45"/>
      <c r="N194" s="160"/>
    </row>
    <row r="195">
      <c r="A195" s="231"/>
      <c r="B195" s="231"/>
      <c r="C195" s="231"/>
      <c r="D195" s="45"/>
      <c r="E195" s="45"/>
      <c r="F195" s="45"/>
      <c r="N195" s="160"/>
    </row>
    <row r="196">
      <c r="A196" s="231"/>
      <c r="B196" s="231"/>
      <c r="C196" s="231"/>
      <c r="D196" s="45"/>
      <c r="E196" s="45"/>
      <c r="F196" s="45"/>
      <c r="N196" s="160"/>
    </row>
    <row r="197">
      <c r="A197" s="231"/>
      <c r="B197" s="231"/>
      <c r="C197" s="231"/>
      <c r="D197" s="45"/>
      <c r="E197" s="45"/>
      <c r="F197" s="45"/>
      <c r="N197" s="160"/>
    </row>
    <row r="198">
      <c r="A198" s="231"/>
      <c r="B198" s="231"/>
      <c r="C198" s="231"/>
      <c r="D198" s="45"/>
      <c r="E198" s="45"/>
      <c r="F198" s="45"/>
      <c r="N198" s="160"/>
    </row>
    <row r="199">
      <c r="A199" s="231"/>
      <c r="B199" s="231"/>
      <c r="C199" s="231"/>
      <c r="D199" s="45"/>
      <c r="E199" s="45"/>
      <c r="F199" s="45"/>
      <c r="N199" s="160"/>
    </row>
    <row r="200">
      <c r="A200" s="231"/>
      <c r="B200" s="231"/>
      <c r="C200" s="231"/>
      <c r="D200" s="45"/>
      <c r="E200" s="45"/>
      <c r="F200" s="45"/>
      <c r="N200" s="160"/>
    </row>
    <row r="201">
      <c r="A201" s="231"/>
      <c r="B201" s="231"/>
      <c r="C201" s="231"/>
      <c r="D201" s="45"/>
      <c r="E201" s="45"/>
      <c r="F201" s="45"/>
      <c r="N201" s="160"/>
    </row>
    <row r="202">
      <c r="A202" s="231"/>
      <c r="B202" s="231"/>
      <c r="C202" s="231"/>
      <c r="D202" s="45"/>
      <c r="E202" s="45"/>
      <c r="F202" s="45"/>
      <c r="N202" s="160"/>
    </row>
    <row r="203">
      <c r="A203" s="231"/>
      <c r="B203" s="231"/>
      <c r="C203" s="231"/>
      <c r="D203" s="45"/>
      <c r="E203" s="45"/>
      <c r="F203" s="45"/>
      <c r="N203" s="160"/>
    </row>
    <row r="204">
      <c r="A204" s="231"/>
      <c r="B204" s="231"/>
      <c r="C204" s="231"/>
      <c r="D204" s="45"/>
      <c r="E204" s="45"/>
      <c r="F204" s="45"/>
      <c r="N204" s="160"/>
    </row>
    <row r="205">
      <c r="A205" s="231"/>
      <c r="B205" s="231"/>
      <c r="C205" s="231"/>
      <c r="D205" s="45"/>
      <c r="E205" s="45"/>
      <c r="F205" s="45"/>
      <c r="N205" s="160"/>
    </row>
    <row r="206">
      <c r="A206" s="231"/>
      <c r="B206" s="231"/>
      <c r="C206" s="231"/>
      <c r="D206" s="45"/>
      <c r="E206" s="45"/>
      <c r="F206" s="45"/>
      <c r="N206" s="160"/>
    </row>
    <row r="207">
      <c r="A207" s="231"/>
      <c r="B207" s="231"/>
      <c r="C207" s="231"/>
      <c r="D207" s="45"/>
      <c r="E207" s="45"/>
      <c r="F207" s="45"/>
      <c r="N207" s="160"/>
    </row>
    <row r="208">
      <c r="A208" s="231"/>
      <c r="B208" s="231"/>
      <c r="C208" s="231"/>
      <c r="D208" s="45"/>
      <c r="E208" s="45"/>
      <c r="F208" s="45"/>
      <c r="N208" s="160"/>
    </row>
    <row r="209">
      <c r="A209" s="231"/>
      <c r="B209" s="231"/>
      <c r="C209" s="231"/>
      <c r="D209" s="45"/>
      <c r="E209" s="45"/>
      <c r="F209" s="45"/>
      <c r="N209" s="160"/>
    </row>
    <row r="210">
      <c r="A210" s="231"/>
      <c r="B210" s="231"/>
      <c r="C210" s="231"/>
      <c r="D210" s="45"/>
      <c r="E210" s="45"/>
      <c r="F210" s="45"/>
      <c r="N210" s="160"/>
    </row>
    <row r="211">
      <c r="A211" s="231"/>
      <c r="B211" s="231"/>
      <c r="C211" s="231"/>
      <c r="D211" s="45"/>
      <c r="E211" s="45"/>
      <c r="F211" s="45"/>
      <c r="N211" s="160"/>
    </row>
    <row r="212">
      <c r="A212" s="231"/>
      <c r="B212" s="231"/>
      <c r="C212" s="231"/>
      <c r="D212" s="45"/>
      <c r="E212" s="45"/>
      <c r="F212" s="45"/>
      <c r="N212" s="160"/>
    </row>
    <row r="213">
      <c r="A213" s="231"/>
      <c r="B213" s="231"/>
      <c r="C213" s="231"/>
      <c r="D213" s="45"/>
      <c r="E213" s="45"/>
      <c r="F213" s="45"/>
      <c r="N213" s="160"/>
    </row>
    <row r="214">
      <c r="A214" s="231"/>
      <c r="B214" s="231"/>
      <c r="C214" s="231"/>
      <c r="D214" s="45"/>
      <c r="E214" s="45"/>
      <c r="F214" s="45"/>
      <c r="N214" s="160"/>
    </row>
    <row r="215">
      <c r="A215" s="231"/>
      <c r="B215" s="231"/>
      <c r="C215" s="231"/>
      <c r="D215" s="45"/>
      <c r="E215" s="45"/>
      <c r="F215" s="45"/>
      <c r="N215" s="160"/>
    </row>
    <row r="216">
      <c r="A216" s="231"/>
      <c r="B216" s="231"/>
      <c r="C216" s="231"/>
      <c r="D216" s="45"/>
      <c r="E216" s="45"/>
      <c r="F216" s="45"/>
      <c r="N216" s="160"/>
    </row>
    <row r="217">
      <c r="A217" s="231"/>
      <c r="B217" s="231"/>
      <c r="C217" s="231"/>
      <c r="D217" s="45"/>
      <c r="E217" s="45"/>
      <c r="F217" s="45"/>
      <c r="N217" s="160"/>
    </row>
    <row r="218">
      <c r="A218" s="231"/>
      <c r="B218" s="231"/>
      <c r="C218" s="231"/>
      <c r="D218" s="45"/>
      <c r="E218" s="45"/>
      <c r="F218" s="45"/>
      <c r="N218" s="160"/>
    </row>
    <row r="219">
      <c r="A219" s="231"/>
      <c r="B219" s="231"/>
      <c r="C219" s="231"/>
      <c r="D219" s="45"/>
      <c r="E219" s="45"/>
      <c r="F219" s="45"/>
      <c r="N219" s="160"/>
    </row>
    <row r="220">
      <c r="A220" s="231"/>
      <c r="B220" s="231"/>
      <c r="C220" s="231"/>
      <c r="D220" s="45"/>
      <c r="E220" s="45"/>
      <c r="F220" s="45"/>
      <c r="N220" s="160"/>
    </row>
    <row r="221">
      <c r="A221" s="231"/>
      <c r="B221" s="231"/>
      <c r="C221" s="231"/>
      <c r="D221" s="45"/>
      <c r="E221" s="45"/>
      <c r="F221" s="45"/>
      <c r="N221" s="160"/>
    </row>
    <row r="222">
      <c r="A222" s="231"/>
      <c r="B222" s="231"/>
      <c r="C222" s="231"/>
      <c r="D222" s="45"/>
      <c r="E222" s="45"/>
      <c r="F222" s="45"/>
      <c r="N222" s="160"/>
    </row>
    <row r="223">
      <c r="A223" s="231"/>
      <c r="B223" s="231"/>
      <c r="C223" s="231"/>
      <c r="D223" s="45"/>
      <c r="E223" s="45"/>
      <c r="F223" s="45"/>
      <c r="N223" s="160"/>
    </row>
    <row r="224">
      <c r="A224" s="231"/>
      <c r="B224" s="231"/>
      <c r="C224" s="231"/>
      <c r="D224" s="45"/>
      <c r="E224" s="45"/>
      <c r="F224" s="45"/>
      <c r="N224" s="160"/>
    </row>
    <row r="225">
      <c r="A225" s="231"/>
      <c r="B225" s="231"/>
      <c r="C225" s="231"/>
      <c r="D225" s="45"/>
      <c r="E225" s="45"/>
      <c r="F225" s="45"/>
      <c r="N225" s="160"/>
    </row>
    <row r="226">
      <c r="A226" s="231"/>
      <c r="B226" s="231"/>
      <c r="C226" s="231"/>
      <c r="D226" s="45"/>
      <c r="E226" s="45"/>
      <c r="F226" s="45"/>
      <c r="N226" s="160"/>
    </row>
    <row r="227">
      <c r="A227" s="231"/>
      <c r="B227" s="231"/>
      <c r="C227" s="231"/>
      <c r="D227" s="45"/>
      <c r="E227" s="45"/>
      <c r="F227" s="45"/>
      <c r="N227" s="160"/>
    </row>
    <row r="228">
      <c r="A228" s="231"/>
      <c r="B228" s="231"/>
      <c r="C228" s="231"/>
      <c r="D228" s="45"/>
      <c r="E228" s="45"/>
      <c r="F228" s="45"/>
      <c r="N228" s="160"/>
    </row>
    <row r="229">
      <c r="A229" s="231"/>
      <c r="B229" s="231"/>
      <c r="C229" s="231"/>
      <c r="D229" s="45"/>
      <c r="E229" s="45"/>
      <c r="F229" s="45"/>
      <c r="N229" s="160"/>
    </row>
    <row r="230">
      <c r="A230" s="231"/>
      <c r="B230" s="231"/>
      <c r="C230" s="231"/>
      <c r="D230" s="45"/>
      <c r="E230" s="45"/>
      <c r="F230" s="45"/>
      <c r="N230" s="160"/>
    </row>
    <row r="231">
      <c r="A231" s="231"/>
      <c r="B231" s="231"/>
      <c r="C231" s="231"/>
      <c r="D231" s="45"/>
      <c r="E231" s="45"/>
      <c r="F231" s="45"/>
      <c r="N231" s="160"/>
    </row>
    <row r="232">
      <c r="A232" s="231"/>
      <c r="B232" s="231"/>
      <c r="C232" s="231"/>
      <c r="D232" s="45"/>
      <c r="E232" s="45"/>
      <c r="F232" s="45"/>
      <c r="N232" s="160"/>
    </row>
    <row r="233">
      <c r="A233" s="231"/>
      <c r="B233" s="231"/>
      <c r="C233" s="231"/>
      <c r="D233" s="45"/>
      <c r="E233" s="45"/>
      <c r="F233" s="45"/>
      <c r="N233" s="160"/>
    </row>
    <row r="234">
      <c r="A234" s="231"/>
      <c r="B234" s="231"/>
      <c r="C234" s="231"/>
      <c r="D234" s="45"/>
      <c r="E234" s="45"/>
      <c r="F234" s="45"/>
      <c r="N234" s="160"/>
    </row>
    <row r="235">
      <c r="A235" s="231"/>
      <c r="B235" s="231"/>
      <c r="C235" s="231"/>
      <c r="D235" s="45"/>
      <c r="E235" s="45"/>
      <c r="F235" s="45"/>
      <c r="N235" s="160"/>
    </row>
    <row r="236">
      <c r="A236" s="231"/>
      <c r="B236" s="231"/>
      <c r="C236" s="231"/>
      <c r="D236" s="45"/>
      <c r="E236" s="45"/>
      <c r="F236" s="45"/>
      <c r="N236" s="160"/>
    </row>
    <row r="237">
      <c r="A237" s="231"/>
      <c r="B237" s="231"/>
      <c r="C237" s="231"/>
      <c r="D237" s="45"/>
      <c r="E237" s="45"/>
      <c r="F237" s="45"/>
      <c r="N237" s="160"/>
    </row>
    <row r="238">
      <c r="A238" s="231"/>
      <c r="B238" s="231"/>
      <c r="C238" s="231"/>
      <c r="D238" s="45"/>
      <c r="E238" s="45"/>
      <c r="F238" s="45"/>
      <c r="N238" s="160"/>
    </row>
    <row r="239">
      <c r="A239" s="231"/>
      <c r="B239" s="231"/>
      <c r="C239" s="231"/>
      <c r="D239" s="45"/>
      <c r="E239" s="45"/>
      <c r="F239" s="45"/>
      <c r="N239" s="160"/>
    </row>
    <row r="240">
      <c r="A240" s="231"/>
      <c r="B240" s="231"/>
      <c r="C240" s="231"/>
      <c r="D240" s="45"/>
      <c r="E240" s="45"/>
      <c r="F240" s="45"/>
      <c r="N240" s="160"/>
    </row>
    <row r="241">
      <c r="A241" s="231"/>
      <c r="B241" s="231"/>
      <c r="C241" s="231"/>
      <c r="D241" s="45"/>
      <c r="E241" s="45"/>
      <c r="F241" s="45"/>
      <c r="N241" s="160"/>
    </row>
    <row r="242">
      <c r="A242" s="231"/>
      <c r="B242" s="231"/>
      <c r="C242" s="231"/>
      <c r="D242" s="45"/>
      <c r="E242" s="45"/>
      <c r="F242" s="45"/>
      <c r="N242" s="160"/>
    </row>
    <row r="243">
      <c r="A243" s="231"/>
      <c r="B243" s="231"/>
      <c r="C243" s="231"/>
      <c r="D243" s="45"/>
      <c r="E243" s="45"/>
      <c r="F243" s="45"/>
      <c r="N243" s="160"/>
    </row>
    <row r="244">
      <c r="A244" s="231"/>
      <c r="B244" s="231"/>
      <c r="C244" s="231"/>
      <c r="D244" s="45"/>
      <c r="E244" s="45"/>
      <c r="F244" s="45"/>
      <c r="N244" s="160"/>
    </row>
    <row r="245">
      <c r="A245" s="231"/>
      <c r="B245" s="231"/>
      <c r="C245" s="231"/>
      <c r="D245" s="45"/>
      <c r="E245" s="45"/>
      <c r="F245" s="45"/>
      <c r="N245" s="160"/>
    </row>
    <row r="246">
      <c r="A246" s="231"/>
      <c r="B246" s="231"/>
      <c r="C246" s="231"/>
      <c r="D246" s="45"/>
      <c r="E246" s="45"/>
      <c r="F246" s="45"/>
      <c r="N246" s="160"/>
    </row>
    <row r="247">
      <c r="A247" s="231"/>
      <c r="B247" s="231"/>
      <c r="C247" s="231"/>
      <c r="D247" s="45"/>
      <c r="E247" s="45"/>
      <c r="F247" s="45"/>
      <c r="N247" s="160"/>
    </row>
    <row r="248">
      <c r="A248" s="231"/>
      <c r="B248" s="231"/>
      <c r="C248" s="231"/>
      <c r="D248" s="45"/>
      <c r="E248" s="45"/>
      <c r="F248" s="45"/>
      <c r="N248" s="160"/>
    </row>
    <row r="249">
      <c r="A249" s="231"/>
      <c r="B249" s="231"/>
      <c r="C249" s="231"/>
      <c r="D249" s="45"/>
      <c r="E249" s="45"/>
      <c r="F249" s="45"/>
      <c r="N249" s="160"/>
    </row>
    <row r="250">
      <c r="A250" s="231"/>
      <c r="B250" s="231"/>
      <c r="C250" s="231"/>
      <c r="D250" s="45"/>
      <c r="E250" s="45"/>
      <c r="F250" s="45"/>
      <c r="N250" s="160"/>
    </row>
    <row r="251">
      <c r="A251" s="231"/>
      <c r="B251" s="231"/>
      <c r="C251" s="231"/>
      <c r="D251" s="45"/>
      <c r="E251" s="45"/>
      <c r="F251" s="45"/>
      <c r="N251" s="160"/>
    </row>
    <row r="252">
      <c r="A252" s="231"/>
      <c r="B252" s="231"/>
      <c r="C252" s="231"/>
      <c r="D252" s="45"/>
      <c r="E252" s="45"/>
      <c r="F252" s="45"/>
      <c r="N252" s="160"/>
    </row>
    <row r="253">
      <c r="A253" s="231"/>
      <c r="B253" s="231"/>
      <c r="C253" s="231"/>
      <c r="D253" s="45"/>
      <c r="E253" s="45"/>
      <c r="F253" s="45"/>
      <c r="N253" s="160"/>
    </row>
    <row r="254">
      <c r="A254" s="231"/>
      <c r="B254" s="231"/>
      <c r="C254" s="231"/>
      <c r="D254" s="45"/>
      <c r="E254" s="45"/>
      <c r="F254" s="45"/>
      <c r="N254" s="160"/>
    </row>
    <row r="255">
      <c r="A255" s="231"/>
      <c r="B255" s="231"/>
      <c r="C255" s="231"/>
      <c r="D255" s="45"/>
      <c r="E255" s="45"/>
      <c r="F255" s="45"/>
      <c r="N255" s="160"/>
    </row>
    <row r="256">
      <c r="A256" s="231"/>
      <c r="B256" s="231"/>
      <c r="C256" s="231"/>
      <c r="D256" s="45"/>
      <c r="E256" s="45"/>
      <c r="F256" s="45"/>
      <c r="N256" s="160"/>
    </row>
    <row r="257">
      <c r="A257" s="231"/>
      <c r="B257" s="231"/>
      <c r="C257" s="231"/>
      <c r="D257" s="45"/>
      <c r="E257" s="45"/>
      <c r="F257" s="45"/>
      <c r="N257" s="160"/>
    </row>
    <row r="258">
      <c r="A258" s="231"/>
      <c r="B258" s="231"/>
      <c r="C258" s="231"/>
      <c r="D258" s="45"/>
      <c r="E258" s="45"/>
      <c r="F258" s="45"/>
      <c r="N258" s="160"/>
    </row>
    <row r="259">
      <c r="A259" s="231"/>
      <c r="B259" s="231"/>
      <c r="C259" s="231"/>
      <c r="D259" s="45"/>
      <c r="E259" s="45"/>
      <c r="F259" s="45"/>
      <c r="N259" s="160"/>
    </row>
    <row r="260">
      <c r="A260" s="231"/>
      <c r="B260" s="231"/>
      <c r="C260" s="231"/>
      <c r="D260" s="45"/>
      <c r="E260" s="45"/>
      <c r="F260" s="45"/>
      <c r="N260" s="160"/>
    </row>
    <row r="261">
      <c r="A261" s="231"/>
      <c r="B261" s="231"/>
      <c r="C261" s="231"/>
      <c r="D261" s="45"/>
      <c r="E261" s="45"/>
      <c r="F261" s="45"/>
      <c r="N261" s="160"/>
    </row>
    <row r="262">
      <c r="A262" s="231"/>
      <c r="B262" s="231"/>
      <c r="C262" s="231"/>
      <c r="D262" s="45"/>
      <c r="E262" s="45"/>
      <c r="F262" s="45"/>
      <c r="N262" s="160"/>
    </row>
    <row r="263">
      <c r="A263" s="231"/>
      <c r="B263" s="231"/>
      <c r="C263" s="231"/>
      <c r="D263" s="45"/>
      <c r="E263" s="45"/>
      <c r="F263" s="45"/>
      <c r="N263" s="160"/>
    </row>
    <row r="264">
      <c r="A264" s="231"/>
      <c r="B264" s="231"/>
      <c r="C264" s="231"/>
      <c r="D264" s="45"/>
      <c r="E264" s="45"/>
      <c r="F264" s="45"/>
      <c r="N264" s="160"/>
    </row>
    <row r="265">
      <c r="A265" s="231"/>
      <c r="B265" s="231"/>
      <c r="C265" s="231"/>
      <c r="D265" s="45"/>
      <c r="E265" s="45"/>
      <c r="F265" s="45"/>
      <c r="N265" s="160"/>
    </row>
    <row r="266">
      <c r="A266" s="231"/>
      <c r="B266" s="231"/>
      <c r="C266" s="231"/>
      <c r="D266" s="45"/>
      <c r="E266" s="45"/>
      <c r="F266" s="45"/>
      <c r="N266" s="160"/>
    </row>
    <row r="267">
      <c r="A267" s="231"/>
      <c r="B267" s="231"/>
      <c r="C267" s="231"/>
      <c r="D267" s="45"/>
      <c r="E267" s="45"/>
      <c r="F267" s="45"/>
      <c r="N267" s="160"/>
    </row>
    <row r="268">
      <c r="A268" s="231"/>
      <c r="B268" s="231"/>
      <c r="C268" s="231"/>
      <c r="D268" s="45"/>
      <c r="E268" s="45"/>
      <c r="F268" s="45"/>
      <c r="N268" s="160"/>
    </row>
    <row r="269">
      <c r="A269" s="231"/>
      <c r="B269" s="231"/>
      <c r="C269" s="231"/>
      <c r="D269" s="45"/>
      <c r="E269" s="45"/>
      <c r="F269" s="45"/>
      <c r="N269" s="160"/>
    </row>
    <row r="270">
      <c r="A270" s="231"/>
      <c r="B270" s="231"/>
      <c r="C270" s="231"/>
      <c r="D270" s="45"/>
      <c r="E270" s="45"/>
      <c r="F270" s="45"/>
      <c r="N270" s="160"/>
    </row>
    <row r="271">
      <c r="A271" s="231"/>
      <c r="B271" s="231"/>
      <c r="C271" s="231"/>
      <c r="D271" s="45"/>
      <c r="E271" s="45"/>
      <c r="F271" s="45"/>
      <c r="N271" s="160"/>
    </row>
    <row r="272">
      <c r="A272" s="231"/>
      <c r="B272" s="231"/>
      <c r="C272" s="231"/>
      <c r="D272" s="45"/>
      <c r="E272" s="45"/>
      <c r="F272" s="45"/>
      <c r="N272" s="160"/>
    </row>
    <row r="273">
      <c r="A273" s="231"/>
      <c r="B273" s="231"/>
      <c r="C273" s="231"/>
      <c r="D273" s="45"/>
      <c r="E273" s="45"/>
      <c r="F273" s="45"/>
      <c r="N273" s="160"/>
    </row>
    <row r="274">
      <c r="A274" s="231"/>
      <c r="B274" s="231"/>
      <c r="C274" s="231"/>
      <c r="D274" s="45"/>
      <c r="E274" s="45"/>
      <c r="F274" s="45"/>
      <c r="N274" s="160"/>
    </row>
    <row r="275">
      <c r="A275" s="231"/>
      <c r="B275" s="231"/>
      <c r="C275" s="231"/>
      <c r="D275" s="45"/>
      <c r="E275" s="45"/>
      <c r="F275" s="45"/>
      <c r="N275" s="160"/>
    </row>
    <row r="276">
      <c r="A276" s="231"/>
      <c r="B276" s="231"/>
      <c r="C276" s="231"/>
      <c r="D276" s="45"/>
      <c r="E276" s="45"/>
      <c r="F276" s="45"/>
      <c r="N276" s="160"/>
    </row>
    <row r="277">
      <c r="A277" s="231"/>
      <c r="B277" s="231"/>
      <c r="C277" s="231"/>
      <c r="D277" s="45"/>
      <c r="E277" s="45"/>
      <c r="F277" s="45"/>
      <c r="N277" s="160"/>
    </row>
    <row r="278">
      <c r="A278" s="231"/>
      <c r="B278" s="231"/>
      <c r="C278" s="231"/>
      <c r="D278" s="45"/>
      <c r="E278" s="45"/>
      <c r="F278" s="45"/>
      <c r="N278" s="160"/>
    </row>
    <row r="279">
      <c r="A279" s="231"/>
      <c r="B279" s="231"/>
      <c r="C279" s="231"/>
      <c r="D279" s="45"/>
      <c r="E279" s="45"/>
      <c r="F279" s="45"/>
      <c r="N279" s="160"/>
    </row>
    <row r="280">
      <c r="A280" s="231"/>
      <c r="B280" s="231"/>
      <c r="C280" s="231"/>
      <c r="D280" s="45"/>
      <c r="E280" s="45"/>
      <c r="F280" s="45"/>
      <c r="N280" s="160"/>
    </row>
    <row r="281">
      <c r="A281" s="231"/>
      <c r="B281" s="231"/>
      <c r="C281" s="231"/>
      <c r="D281" s="45"/>
      <c r="E281" s="45"/>
      <c r="F281" s="45"/>
      <c r="N281" s="160"/>
    </row>
    <row r="282">
      <c r="A282" s="231"/>
      <c r="B282" s="231"/>
      <c r="C282" s="231"/>
      <c r="D282" s="45"/>
      <c r="E282" s="45"/>
      <c r="F282" s="45"/>
      <c r="N282" s="160"/>
    </row>
    <row r="283">
      <c r="A283" s="231"/>
      <c r="B283" s="231"/>
      <c r="C283" s="231"/>
      <c r="D283" s="45"/>
      <c r="E283" s="45"/>
      <c r="F283" s="45"/>
      <c r="N283" s="160"/>
    </row>
    <row r="284">
      <c r="A284" s="231"/>
      <c r="B284" s="231"/>
      <c r="C284" s="231"/>
      <c r="D284" s="45"/>
      <c r="E284" s="45"/>
      <c r="F284" s="45"/>
      <c r="N284" s="160"/>
    </row>
    <row r="285">
      <c r="A285" s="231"/>
      <c r="B285" s="231"/>
      <c r="C285" s="231"/>
      <c r="D285" s="45"/>
      <c r="E285" s="45"/>
      <c r="F285" s="45"/>
      <c r="N285" s="160"/>
    </row>
    <row r="286">
      <c r="A286" s="231"/>
      <c r="B286" s="231"/>
      <c r="C286" s="231"/>
      <c r="D286" s="45"/>
      <c r="E286" s="45"/>
      <c r="F286" s="45"/>
      <c r="N286" s="160"/>
    </row>
    <row r="287">
      <c r="A287" s="231"/>
      <c r="B287" s="231"/>
      <c r="C287" s="231"/>
      <c r="D287" s="45"/>
      <c r="E287" s="45"/>
      <c r="F287" s="45"/>
      <c r="N287" s="160"/>
    </row>
    <row r="288">
      <c r="A288" s="231"/>
      <c r="B288" s="231"/>
      <c r="C288" s="231"/>
      <c r="D288" s="45"/>
      <c r="E288" s="45"/>
      <c r="F288" s="45"/>
      <c r="N288" s="160"/>
    </row>
    <row r="289">
      <c r="A289" s="231"/>
      <c r="B289" s="231"/>
      <c r="C289" s="231"/>
      <c r="D289" s="45"/>
      <c r="E289" s="45"/>
      <c r="F289" s="45"/>
      <c r="N289" s="160"/>
    </row>
    <row r="290">
      <c r="A290" s="231"/>
      <c r="B290" s="231"/>
      <c r="C290" s="231"/>
      <c r="D290" s="45"/>
      <c r="E290" s="45"/>
      <c r="F290" s="45"/>
      <c r="N290" s="160"/>
    </row>
    <row r="291">
      <c r="A291" s="231"/>
      <c r="B291" s="231"/>
      <c r="C291" s="231"/>
      <c r="D291" s="45"/>
      <c r="E291" s="45"/>
      <c r="F291" s="45"/>
      <c r="N291" s="160"/>
    </row>
    <row r="292">
      <c r="A292" s="231"/>
      <c r="B292" s="231"/>
      <c r="C292" s="231"/>
      <c r="D292" s="45"/>
      <c r="E292" s="45"/>
      <c r="F292" s="45"/>
      <c r="N292" s="160"/>
    </row>
    <row r="293">
      <c r="A293" s="231"/>
      <c r="B293" s="231"/>
      <c r="C293" s="231"/>
      <c r="D293" s="45"/>
      <c r="E293" s="45"/>
      <c r="F293" s="45"/>
      <c r="N293" s="160"/>
    </row>
    <row r="294">
      <c r="A294" s="231"/>
      <c r="B294" s="231"/>
      <c r="C294" s="231"/>
      <c r="D294" s="45"/>
      <c r="E294" s="45"/>
      <c r="F294" s="45"/>
      <c r="N294" s="160"/>
    </row>
    <row r="295">
      <c r="A295" s="231"/>
      <c r="B295" s="231"/>
      <c r="C295" s="231"/>
      <c r="D295" s="45"/>
      <c r="E295" s="45"/>
      <c r="F295" s="45"/>
      <c r="N295" s="160"/>
    </row>
    <row r="296">
      <c r="A296" s="231"/>
      <c r="B296" s="231"/>
      <c r="C296" s="231"/>
      <c r="D296" s="45"/>
      <c r="E296" s="45"/>
      <c r="F296" s="45"/>
      <c r="N296" s="160"/>
    </row>
    <row r="297">
      <c r="A297" s="231"/>
      <c r="B297" s="231"/>
      <c r="C297" s="231"/>
      <c r="D297" s="45"/>
      <c r="E297" s="45"/>
      <c r="F297" s="45"/>
      <c r="N297" s="160"/>
    </row>
    <row r="298">
      <c r="A298" s="231"/>
      <c r="B298" s="231"/>
      <c r="C298" s="231"/>
      <c r="D298" s="45"/>
      <c r="E298" s="45"/>
      <c r="F298" s="45"/>
      <c r="N298" s="160"/>
    </row>
    <row r="299">
      <c r="A299" s="231"/>
      <c r="B299" s="231"/>
      <c r="C299" s="231"/>
      <c r="D299" s="45"/>
      <c r="E299" s="45"/>
      <c r="F299" s="45"/>
      <c r="N299" s="160"/>
    </row>
    <row r="300">
      <c r="A300" s="231"/>
      <c r="B300" s="231"/>
      <c r="C300" s="231"/>
      <c r="D300" s="45"/>
      <c r="E300" s="45"/>
      <c r="F300" s="45"/>
      <c r="N300" s="160"/>
    </row>
    <row r="301">
      <c r="A301" s="231"/>
      <c r="B301" s="231"/>
      <c r="C301" s="231"/>
      <c r="D301" s="45"/>
      <c r="E301" s="45"/>
      <c r="F301" s="45"/>
      <c r="N301" s="160"/>
    </row>
    <row r="302">
      <c r="A302" s="231"/>
      <c r="B302" s="231"/>
      <c r="C302" s="231"/>
      <c r="D302" s="45"/>
      <c r="E302" s="45"/>
      <c r="F302" s="45"/>
      <c r="N302" s="160"/>
    </row>
    <row r="303">
      <c r="A303" s="231"/>
      <c r="B303" s="231"/>
      <c r="C303" s="231"/>
      <c r="D303" s="45"/>
      <c r="E303" s="45"/>
      <c r="F303" s="45"/>
      <c r="N303" s="160"/>
    </row>
    <row r="304">
      <c r="A304" s="231"/>
      <c r="B304" s="231"/>
      <c r="C304" s="231"/>
      <c r="D304" s="45"/>
      <c r="E304" s="45"/>
      <c r="F304" s="45"/>
      <c r="N304" s="160"/>
    </row>
    <row r="305">
      <c r="A305" s="231"/>
      <c r="B305" s="231"/>
      <c r="C305" s="231"/>
      <c r="D305" s="45"/>
      <c r="E305" s="45"/>
      <c r="F305" s="45"/>
      <c r="N305" s="160"/>
    </row>
    <row r="306">
      <c r="A306" s="231"/>
      <c r="B306" s="231"/>
      <c r="C306" s="231"/>
      <c r="D306" s="45"/>
      <c r="E306" s="45"/>
      <c r="F306" s="45"/>
      <c r="N306" s="160"/>
    </row>
    <row r="307">
      <c r="A307" s="231"/>
      <c r="B307" s="231"/>
      <c r="C307" s="231"/>
      <c r="D307" s="45"/>
      <c r="E307" s="45"/>
      <c r="F307" s="45"/>
      <c r="N307" s="160"/>
    </row>
    <row r="308">
      <c r="A308" s="231"/>
      <c r="B308" s="231"/>
      <c r="C308" s="231"/>
      <c r="D308" s="45"/>
      <c r="E308" s="45"/>
      <c r="F308" s="45"/>
      <c r="N308" s="160"/>
    </row>
    <row r="309">
      <c r="A309" s="231"/>
      <c r="B309" s="231"/>
      <c r="C309" s="231"/>
      <c r="D309" s="45"/>
      <c r="E309" s="45"/>
      <c r="F309" s="45"/>
      <c r="N309" s="160"/>
    </row>
    <row r="310">
      <c r="A310" s="231"/>
      <c r="B310" s="231"/>
      <c r="C310" s="231"/>
      <c r="D310" s="45"/>
      <c r="E310" s="45"/>
      <c r="F310" s="45"/>
      <c r="N310" s="160"/>
    </row>
    <row r="311">
      <c r="A311" s="231"/>
      <c r="B311" s="231"/>
      <c r="C311" s="231"/>
      <c r="D311" s="45"/>
      <c r="E311" s="45"/>
      <c r="F311" s="45"/>
      <c r="N311" s="160"/>
    </row>
    <row r="312">
      <c r="A312" s="231"/>
      <c r="B312" s="231"/>
      <c r="C312" s="231"/>
      <c r="D312" s="45"/>
      <c r="E312" s="45"/>
      <c r="F312" s="45"/>
      <c r="N312" s="160"/>
    </row>
    <row r="313">
      <c r="A313" s="231"/>
      <c r="B313" s="231"/>
      <c r="C313" s="231"/>
      <c r="D313" s="45"/>
      <c r="E313" s="45"/>
      <c r="F313" s="45"/>
      <c r="N313" s="160"/>
    </row>
    <row r="314">
      <c r="A314" s="231"/>
      <c r="B314" s="231"/>
      <c r="C314" s="231"/>
      <c r="D314" s="45"/>
      <c r="E314" s="45"/>
      <c r="F314" s="45"/>
      <c r="N314" s="160"/>
    </row>
    <row r="315">
      <c r="A315" s="231"/>
      <c r="B315" s="231"/>
      <c r="C315" s="231"/>
      <c r="D315" s="45"/>
      <c r="E315" s="45"/>
      <c r="F315" s="45"/>
      <c r="N315" s="160"/>
    </row>
    <row r="316">
      <c r="A316" s="231"/>
      <c r="B316" s="231"/>
      <c r="C316" s="231"/>
      <c r="D316" s="45"/>
      <c r="E316" s="45"/>
      <c r="F316" s="45"/>
      <c r="N316" s="160"/>
    </row>
    <row r="317">
      <c r="A317" s="231"/>
      <c r="B317" s="231"/>
      <c r="C317" s="231"/>
      <c r="D317" s="45"/>
      <c r="E317" s="45"/>
      <c r="F317" s="45"/>
      <c r="N317" s="160"/>
    </row>
    <row r="318">
      <c r="A318" s="231"/>
      <c r="B318" s="231"/>
      <c r="C318" s="231"/>
      <c r="D318" s="45"/>
      <c r="E318" s="45"/>
      <c r="F318" s="45"/>
      <c r="N318" s="160"/>
    </row>
    <row r="319">
      <c r="A319" s="231"/>
      <c r="B319" s="231"/>
      <c r="C319" s="231"/>
      <c r="D319" s="45"/>
      <c r="E319" s="45"/>
      <c r="F319" s="45"/>
      <c r="N319" s="160"/>
    </row>
    <row r="320">
      <c r="A320" s="231"/>
      <c r="B320" s="231"/>
      <c r="C320" s="231"/>
      <c r="D320" s="45"/>
      <c r="E320" s="45"/>
      <c r="F320" s="45"/>
      <c r="N320" s="160"/>
    </row>
    <row r="321">
      <c r="A321" s="231"/>
      <c r="B321" s="231"/>
      <c r="C321" s="231"/>
      <c r="D321" s="45"/>
      <c r="E321" s="45"/>
      <c r="F321" s="45"/>
      <c r="N321" s="160"/>
    </row>
    <row r="322">
      <c r="A322" s="231"/>
      <c r="B322" s="231"/>
      <c r="C322" s="231"/>
      <c r="D322" s="45"/>
      <c r="E322" s="45"/>
      <c r="F322" s="45"/>
      <c r="N322" s="160"/>
    </row>
    <row r="323">
      <c r="A323" s="231"/>
      <c r="B323" s="231"/>
      <c r="C323" s="231"/>
      <c r="D323" s="45"/>
      <c r="E323" s="45"/>
      <c r="F323" s="45"/>
      <c r="N323" s="160"/>
    </row>
    <row r="324">
      <c r="A324" s="231"/>
      <c r="B324" s="231"/>
      <c r="C324" s="231"/>
      <c r="D324" s="45"/>
      <c r="E324" s="45"/>
      <c r="F324" s="45"/>
      <c r="N324" s="160"/>
    </row>
    <row r="325">
      <c r="A325" s="231"/>
      <c r="B325" s="231"/>
      <c r="C325" s="231"/>
      <c r="D325" s="45"/>
      <c r="E325" s="45"/>
      <c r="F325" s="45"/>
      <c r="N325" s="160"/>
    </row>
    <row r="326">
      <c r="A326" s="231"/>
      <c r="B326" s="231"/>
      <c r="C326" s="231"/>
      <c r="D326" s="45"/>
      <c r="E326" s="45"/>
      <c r="F326" s="45"/>
      <c r="N326" s="160"/>
    </row>
    <row r="327">
      <c r="A327" s="231"/>
      <c r="B327" s="231"/>
      <c r="C327" s="231"/>
      <c r="D327" s="45"/>
      <c r="E327" s="45"/>
      <c r="F327" s="45"/>
      <c r="N327" s="160"/>
    </row>
    <row r="328">
      <c r="A328" s="231"/>
      <c r="B328" s="231"/>
      <c r="C328" s="231"/>
      <c r="D328" s="45"/>
      <c r="E328" s="45"/>
      <c r="F328" s="45"/>
      <c r="N328" s="160"/>
    </row>
    <row r="329">
      <c r="A329" s="231"/>
      <c r="B329" s="231"/>
      <c r="C329" s="231"/>
      <c r="D329" s="45"/>
      <c r="E329" s="45"/>
      <c r="F329" s="45"/>
      <c r="N329" s="160"/>
    </row>
    <row r="330">
      <c r="A330" s="231"/>
      <c r="B330" s="231"/>
      <c r="C330" s="231"/>
      <c r="D330" s="45"/>
      <c r="E330" s="45"/>
      <c r="F330" s="45"/>
      <c r="N330" s="160"/>
    </row>
    <row r="331">
      <c r="A331" s="231"/>
      <c r="B331" s="231"/>
      <c r="C331" s="231"/>
      <c r="D331" s="45"/>
      <c r="E331" s="45"/>
      <c r="F331" s="45"/>
      <c r="N331" s="160"/>
    </row>
    <row r="332">
      <c r="A332" s="231"/>
      <c r="B332" s="231"/>
      <c r="C332" s="231"/>
      <c r="D332" s="45"/>
      <c r="E332" s="45"/>
      <c r="F332" s="45"/>
      <c r="N332" s="160"/>
    </row>
    <row r="333">
      <c r="A333" s="231"/>
      <c r="B333" s="231"/>
      <c r="C333" s="231"/>
      <c r="D333" s="45"/>
      <c r="E333" s="45"/>
      <c r="F333" s="45"/>
      <c r="N333" s="160"/>
    </row>
    <row r="334">
      <c r="A334" s="231"/>
      <c r="B334" s="231"/>
      <c r="C334" s="231"/>
      <c r="D334" s="45"/>
      <c r="E334" s="45"/>
      <c r="F334" s="45"/>
      <c r="N334" s="160"/>
    </row>
    <row r="335">
      <c r="A335" s="231"/>
      <c r="B335" s="231"/>
      <c r="C335" s="231"/>
      <c r="D335" s="45"/>
      <c r="E335" s="45"/>
      <c r="F335" s="45"/>
      <c r="N335" s="160"/>
    </row>
    <row r="336">
      <c r="A336" s="231"/>
      <c r="B336" s="231"/>
      <c r="C336" s="231"/>
      <c r="D336" s="45"/>
      <c r="E336" s="45"/>
      <c r="F336" s="45"/>
      <c r="N336" s="160"/>
    </row>
    <row r="337">
      <c r="A337" s="231"/>
      <c r="B337" s="231"/>
      <c r="C337" s="231"/>
      <c r="D337" s="45"/>
      <c r="E337" s="45"/>
      <c r="F337" s="45"/>
      <c r="N337" s="160"/>
    </row>
    <row r="338">
      <c r="A338" s="231"/>
      <c r="B338" s="231"/>
      <c r="C338" s="231"/>
      <c r="D338" s="45"/>
      <c r="E338" s="45"/>
      <c r="F338" s="45"/>
      <c r="N338" s="160"/>
    </row>
    <row r="339">
      <c r="A339" s="231"/>
      <c r="B339" s="231"/>
      <c r="C339" s="231"/>
      <c r="D339" s="45"/>
      <c r="E339" s="45"/>
      <c r="F339" s="45"/>
      <c r="N339" s="160"/>
    </row>
    <row r="340">
      <c r="A340" s="231"/>
      <c r="B340" s="231"/>
      <c r="C340" s="231"/>
      <c r="D340" s="45"/>
      <c r="E340" s="45"/>
      <c r="F340" s="45"/>
      <c r="N340" s="160"/>
    </row>
    <row r="341">
      <c r="A341" s="231"/>
      <c r="B341" s="231"/>
      <c r="C341" s="231"/>
      <c r="D341" s="45"/>
      <c r="E341" s="45"/>
      <c r="F341" s="45"/>
      <c r="N341" s="160"/>
    </row>
    <row r="342">
      <c r="A342" s="231"/>
      <c r="B342" s="231"/>
      <c r="C342" s="231"/>
      <c r="D342" s="45"/>
      <c r="E342" s="45"/>
      <c r="F342" s="45"/>
      <c r="N342" s="160"/>
    </row>
    <row r="343">
      <c r="A343" s="231"/>
      <c r="B343" s="231"/>
      <c r="C343" s="231"/>
      <c r="D343" s="45"/>
      <c r="E343" s="45"/>
      <c r="F343" s="45"/>
      <c r="N343" s="160"/>
    </row>
    <row r="344">
      <c r="A344" s="231"/>
      <c r="B344" s="231"/>
      <c r="C344" s="231"/>
      <c r="D344" s="45"/>
      <c r="E344" s="45"/>
      <c r="F344" s="45"/>
      <c r="N344" s="160"/>
    </row>
    <row r="345">
      <c r="A345" s="231"/>
      <c r="B345" s="231"/>
      <c r="C345" s="231"/>
      <c r="D345" s="45"/>
      <c r="E345" s="45"/>
      <c r="F345" s="45"/>
      <c r="N345" s="160"/>
    </row>
    <row r="346">
      <c r="A346" s="231"/>
      <c r="B346" s="231"/>
      <c r="C346" s="231"/>
      <c r="D346" s="45"/>
      <c r="E346" s="45"/>
      <c r="F346" s="45"/>
      <c r="N346" s="160"/>
    </row>
    <row r="347">
      <c r="A347" s="231"/>
      <c r="B347" s="231"/>
      <c r="C347" s="231"/>
      <c r="D347" s="45"/>
      <c r="E347" s="45"/>
      <c r="F347" s="45"/>
      <c r="N347" s="160"/>
    </row>
    <row r="348">
      <c r="A348" s="231"/>
      <c r="B348" s="231"/>
      <c r="C348" s="231"/>
      <c r="D348" s="45"/>
      <c r="E348" s="45"/>
      <c r="F348" s="45"/>
      <c r="N348" s="160"/>
    </row>
    <row r="349">
      <c r="A349" s="231"/>
      <c r="B349" s="231"/>
      <c r="C349" s="231"/>
      <c r="D349" s="45"/>
      <c r="E349" s="45"/>
      <c r="F349" s="45"/>
      <c r="N349" s="160"/>
    </row>
    <row r="350">
      <c r="A350" s="231"/>
      <c r="B350" s="231"/>
      <c r="C350" s="231"/>
      <c r="D350" s="45"/>
      <c r="E350" s="45"/>
      <c r="F350" s="45"/>
      <c r="N350" s="160"/>
    </row>
    <row r="351">
      <c r="A351" s="231"/>
      <c r="B351" s="231"/>
      <c r="C351" s="231"/>
      <c r="D351" s="45"/>
      <c r="E351" s="45"/>
      <c r="F351" s="45"/>
      <c r="N351" s="160"/>
    </row>
    <row r="352">
      <c r="A352" s="231"/>
      <c r="B352" s="231"/>
      <c r="C352" s="231"/>
      <c r="D352" s="45"/>
      <c r="E352" s="45"/>
      <c r="F352" s="45"/>
      <c r="N352" s="160"/>
    </row>
    <row r="353">
      <c r="A353" s="231"/>
      <c r="B353" s="231"/>
      <c r="C353" s="231"/>
      <c r="D353" s="45"/>
      <c r="E353" s="45"/>
      <c r="F353" s="45"/>
      <c r="N353" s="160"/>
    </row>
    <row r="354">
      <c r="A354" s="231"/>
      <c r="B354" s="231"/>
      <c r="C354" s="231"/>
      <c r="D354" s="45"/>
      <c r="E354" s="45"/>
      <c r="F354" s="45"/>
      <c r="N354" s="160"/>
    </row>
    <row r="355">
      <c r="A355" s="231"/>
      <c r="B355" s="231"/>
      <c r="C355" s="231"/>
      <c r="D355" s="45"/>
      <c r="E355" s="45"/>
      <c r="F355" s="45"/>
      <c r="N355" s="160"/>
    </row>
    <row r="356">
      <c r="A356" s="231"/>
      <c r="B356" s="231"/>
      <c r="C356" s="231"/>
      <c r="D356" s="45"/>
      <c r="E356" s="45"/>
      <c r="F356" s="45"/>
      <c r="N356" s="160"/>
    </row>
    <row r="357">
      <c r="A357" s="231"/>
      <c r="B357" s="231"/>
      <c r="C357" s="231"/>
      <c r="D357" s="45"/>
      <c r="E357" s="45"/>
      <c r="F357" s="45"/>
      <c r="N357" s="160"/>
    </row>
    <row r="358">
      <c r="A358" s="231"/>
      <c r="B358" s="231"/>
      <c r="C358" s="231"/>
      <c r="D358" s="45"/>
      <c r="E358" s="45"/>
      <c r="F358" s="45"/>
      <c r="N358" s="160"/>
    </row>
    <row r="359">
      <c r="A359" s="231"/>
      <c r="B359" s="231"/>
      <c r="C359" s="231"/>
      <c r="D359" s="45"/>
      <c r="E359" s="45"/>
      <c r="F359" s="45"/>
      <c r="N359" s="160"/>
    </row>
    <row r="360">
      <c r="A360" s="231"/>
      <c r="B360" s="231"/>
      <c r="C360" s="231"/>
      <c r="D360" s="45"/>
      <c r="E360" s="45"/>
      <c r="F360" s="45"/>
      <c r="N360" s="160"/>
    </row>
    <row r="361">
      <c r="A361" s="231"/>
      <c r="B361" s="231"/>
      <c r="C361" s="231"/>
      <c r="D361" s="45"/>
      <c r="E361" s="45"/>
      <c r="F361" s="45"/>
      <c r="N361" s="160"/>
    </row>
    <row r="362">
      <c r="A362" s="231"/>
      <c r="B362" s="231"/>
      <c r="C362" s="231"/>
      <c r="D362" s="45"/>
      <c r="E362" s="45"/>
      <c r="F362" s="45"/>
      <c r="N362" s="160"/>
    </row>
    <row r="363">
      <c r="A363" s="231"/>
      <c r="B363" s="231"/>
      <c r="C363" s="231"/>
      <c r="D363" s="45"/>
      <c r="E363" s="45"/>
      <c r="F363" s="45"/>
      <c r="N363" s="160"/>
    </row>
    <row r="364">
      <c r="A364" s="231"/>
      <c r="B364" s="231"/>
      <c r="C364" s="231"/>
      <c r="D364" s="45"/>
      <c r="E364" s="45"/>
      <c r="F364" s="45"/>
      <c r="N364" s="160"/>
    </row>
    <row r="365">
      <c r="A365" s="231"/>
      <c r="B365" s="231"/>
      <c r="C365" s="231"/>
      <c r="D365" s="45"/>
      <c r="E365" s="45"/>
      <c r="F365" s="45"/>
      <c r="N365" s="160"/>
    </row>
    <row r="366">
      <c r="A366" s="231"/>
      <c r="B366" s="231"/>
      <c r="C366" s="231"/>
      <c r="D366" s="45"/>
      <c r="E366" s="45"/>
      <c r="F366" s="45"/>
      <c r="N366" s="160"/>
    </row>
    <row r="367">
      <c r="A367" s="231"/>
      <c r="B367" s="231"/>
      <c r="C367" s="231"/>
      <c r="D367" s="45"/>
      <c r="E367" s="45"/>
      <c r="F367" s="45"/>
      <c r="N367" s="160"/>
    </row>
    <row r="368">
      <c r="A368" s="231"/>
      <c r="B368" s="231"/>
      <c r="C368" s="231"/>
      <c r="D368" s="45"/>
      <c r="E368" s="45"/>
      <c r="F368" s="45"/>
      <c r="N368" s="160"/>
    </row>
    <row r="369">
      <c r="A369" s="231"/>
      <c r="B369" s="231"/>
      <c r="C369" s="231"/>
      <c r="D369" s="45"/>
      <c r="E369" s="45"/>
      <c r="F369" s="45"/>
      <c r="N369" s="160"/>
    </row>
    <row r="370">
      <c r="A370" s="231"/>
      <c r="B370" s="231"/>
      <c r="C370" s="231"/>
      <c r="D370" s="45"/>
      <c r="E370" s="45"/>
      <c r="F370" s="45"/>
      <c r="N370" s="160"/>
    </row>
    <row r="371">
      <c r="A371" s="231"/>
      <c r="B371" s="231"/>
      <c r="C371" s="231"/>
      <c r="D371" s="45"/>
      <c r="E371" s="45"/>
      <c r="F371" s="45"/>
      <c r="N371" s="160"/>
    </row>
    <row r="372">
      <c r="A372" s="231"/>
      <c r="B372" s="231"/>
      <c r="C372" s="231"/>
      <c r="D372" s="45"/>
      <c r="E372" s="45"/>
      <c r="F372" s="45"/>
      <c r="N372" s="160"/>
    </row>
    <row r="373">
      <c r="A373" s="231"/>
      <c r="B373" s="231"/>
      <c r="C373" s="231"/>
      <c r="D373" s="45"/>
      <c r="E373" s="45"/>
      <c r="F373" s="45"/>
      <c r="N373" s="160"/>
    </row>
    <row r="374">
      <c r="A374" s="231"/>
      <c r="B374" s="231"/>
      <c r="C374" s="231"/>
      <c r="D374" s="45"/>
      <c r="E374" s="45"/>
      <c r="F374" s="45"/>
      <c r="N374" s="160"/>
    </row>
    <row r="375">
      <c r="A375" s="231"/>
      <c r="B375" s="231"/>
      <c r="C375" s="231"/>
      <c r="D375" s="45"/>
      <c r="E375" s="45"/>
      <c r="F375" s="45"/>
      <c r="N375" s="160"/>
    </row>
    <row r="376">
      <c r="A376" s="231"/>
      <c r="B376" s="231"/>
      <c r="C376" s="231"/>
      <c r="D376" s="45"/>
      <c r="E376" s="45"/>
      <c r="F376" s="45"/>
      <c r="N376" s="160"/>
    </row>
    <row r="377">
      <c r="A377" s="231"/>
      <c r="B377" s="231"/>
      <c r="C377" s="231"/>
      <c r="D377" s="45"/>
      <c r="E377" s="45"/>
      <c r="F377" s="45"/>
      <c r="N377" s="160"/>
    </row>
    <row r="378">
      <c r="A378" s="231"/>
      <c r="B378" s="231"/>
      <c r="C378" s="231"/>
      <c r="D378" s="45"/>
      <c r="E378" s="45"/>
      <c r="F378" s="45"/>
      <c r="N378" s="160"/>
    </row>
    <row r="379">
      <c r="A379" s="231"/>
      <c r="B379" s="231"/>
      <c r="C379" s="231"/>
      <c r="D379" s="45"/>
      <c r="E379" s="45"/>
      <c r="F379" s="45"/>
      <c r="N379" s="160"/>
    </row>
    <row r="380">
      <c r="A380" s="231"/>
      <c r="B380" s="231"/>
      <c r="C380" s="231"/>
      <c r="D380" s="45"/>
      <c r="E380" s="45"/>
      <c r="F380" s="45"/>
      <c r="N380" s="160"/>
    </row>
    <row r="381">
      <c r="A381" s="231"/>
      <c r="B381" s="231"/>
      <c r="C381" s="231"/>
      <c r="D381" s="45"/>
      <c r="E381" s="45"/>
      <c r="F381" s="45"/>
      <c r="N381" s="160"/>
    </row>
    <row r="382">
      <c r="A382" s="231"/>
      <c r="B382" s="231"/>
      <c r="C382" s="231"/>
      <c r="D382" s="45"/>
      <c r="E382" s="45"/>
      <c r="F382" s="45"/>
      <c r="N382" s="160"/>
    </row>
    <row r="383">
      <c r="A383" s="231"/>
      <c r="B383" s="231"/>
      <c r="C383" s="231"/>
      <c r="D383" s="45"/>
      <c r="E383" s="45"/>
      <c r="F383" s="45"/>
      <c r="N383" s="160"/>
    </row>
    <row r="384">
      <c r="A384" s="231"/>
      <c r="B384" s="231"/>
      <c r="C384" s="231"/>
      <c r="D384" s="45"/>
      <c r="E384" s="45"/>
      <c r="F384" s="45"/>
      <c r="N384" s="160"/>
    </row>
    <row r="385">
      <c r="A385" s="231"/>
      <c r="B385" s="231"/>
      <c r="C385" s="231"/>
      <c r="D385" s="45"/>
      <c r="E385" s="45"/>
      <c r="F385" s="45"/>
      <c r="N385" s="160"/>
    </row>
    <row r="386">
      <c r="A386" s="231"/>
      <c r="B386" s="231"/>
      <c r="C386" s="231"/>
      <c r="D386" s="45"/>
      <c r="E386" s="45"/>
      <c r="F386" s="45"/>
      <c r="N386" s="160"/>
    </row>
    <row r="387">
      <c r="A387" s="231"/>
      <c r="B387" s="231"/>
      <c r="C387" s="231"/>
      <c r="D387" s="45"/>
      <c r="E387" s="45"/>
      <c r="F387" s="45"/>
      <c r="N387" s="160"/>
    </row>
    <row r="388">
      <c r="A388" s="231"/>
      <c r="B388" s="231"/>
      <c r="C388" s="231"/>
      <c r="D388" s="45"/>
      <c r="E388" s="45"/>
      <c r="F388" s="45"/>
      <c r="N388" s="160"/>
    </row>
    <row r="389">
      <c r="A389" s="231"/>
      <c r="B389" s="231"/>
      <c r="C389" s="231"/>
      <c r="D389" s="45"/>
      <c r="E389" s="45"/>
      <c r="F389" s="45"/>
      <c r="N389" s="160"/>
    </row>
    <row r="390">
      <c r="A390" s="231"/>
      <c r="B390" s="231"/>
      <c r="C390" s="231"/>
      <c r="D390" s="45"/>
      <c r="E390" s="45"/>
      <c r="F390" s="45"/>
      <c r="N390" s="160"/>
    </row>
    <row r="391">
      <c r="A391" s="231"/>
      <c r="B391" s="231"/>
      <c r="C391" s="231"/>
      <c r="D391" s="45"/>
      <c r="E391" s="45"/>
      <c r="F391" s="45"/>
      <c r="N391" s="160"/>
    </row>
    <row r="392">
      <c r="A392" s="231"/>
      <c r="B392" s="231"/>
      <c r="C392" s="231"/>
      <c r="D392" s="45"/>
      <c r="E392" s="45"/>
      <c r="F392" s="45"/>
      <c r="N392" s="160"/>
    </row>
    <row r="393">
      <c r="A393" s="231"/>
      <c r="B393" s="231"/>
      <c r="C393" s="231"/>
      <c r="D393" s="45"/>
      <c r="E393" s="45"/>
      <c r="F393" s="45"/>
      <c r="N393" s="160"/>
    </row>
    <row r="394">
      <c r="A394" s="231"/>
      <c r="B394" s="231"/>
      <c r="C394" s="231"/>
      <c r="D394" s="45"/>
      <c r="E394" s="45"/>
      <c r="F394" s="45"/>
      <c r="N394" s="160"/>
    </row>
    <row r="395">
      <c r="A395" s="231"/>
      <c r="B395" s="231"/>
      <c r="C395" s="231"/>
      <c r="D395" s="45"/>
      <c r="E395" s="45"/>
      <c r="F395" s="45"/>
      <c r="N395" s="160"/>
    </row>
    <row r="396">
      <c r="A396" s="231"/>
      <c r="B396" s="231"/>
      <c r="C396" s="231"/>
      <c r="D396" s="45"/>
      <c r="E396" s="45"/>
      <c r="F396" s="45"/>
      <c r="N396" s="160"/>
    </row>
    <row r="397">
      <c r="A397" s="231"/>
      <c r="B397" s="231"/>
      <c r="C397" s="231"/>
      <c r="D397" s="45"/>
      <c r="E397" s="45"/>
      <c r="F397" s="45"/>
      <c r="N397" s="160"/>
    </row>
    <row r="398">
      <c r="A398" s="231"/>
      <c r="B398" s="231"/>
      <c r="C398" s="231"/>
      <c r="D398" s="45"/>
      <c r="E398" s="45"/>
      <c r="F398" s="45"/>
      <c r="N398" s="160"/>
    </row>
    <row r="399">
      <c r="A399" s="231"/>
      <c r="B399" s="231"/>
      <c r="C399" s="231"/>
      <c r="D399" s="45"/>
      <c r="E399" s="45"/>
      <c r="F399" s="45"/>
      <c r="N399" s="160"/>
    </row>
    <row r="400">
      <c r="A400" s="231"/>
      <c r="B400" s="231"/>
      <c r="C400" s="231"/>
      <c r="D400" s="45"/>
      <c r="E400" s="45"/>
      <c r="F400" s="45"/>
      <c r="N400" s="160"/>
    </row>
    <row r="401">
      <c r="A401" s="231"/>
      <c r="B401" s="231"/>
      <c r="C401" s="231"/>
      <c r="D401" s="45"/>
      <c r="E401" s="45"/>
      <c r="F401" s="45"/>
      <c r="N401" s="160"/>
    </row>
    <row r="402">
      <c r="A402" s="231"/>
      <c r="B402" s="231"/>
      <c r="C402" s="231"/>
      <c r="D402" s="45"/>
      <c r="E402" s="45"/>
      <c r="F402" s="45"/>
      <c r="N402" s="160"/>
    </row>
    <row r="403">
      <c r="A403" s="231"/>
      <c r="B403" s="231"/>
      <c r="C403" s="231"/>
      <c r="D403" s="45"/>
      <c r="E403" s="45"/>
      <c r="F403" s="45"/>
      <c r="N403" s="160"/>
    </row>
    <row r="404">
      <c r="A404" s="231"/>
      <c r="B404" s="231"/>
      <c r="C404" s="231"/>
      <c r="D404" s="45"/>
      <c r="E404" s="45"/>
      <c r="F404" s="45"/>
      <c r="N404" s="160"/>
    </row>
    <row r="405">
      <c r="A405" s="231"/>
      <c r="B405" s="231"/>
      <c r="C405" s="231"/>
      <c r="D405" s="45"/>
      <c r="E405" s="45"/>
      <c r="F405" s="45"/>
      <c r="N405" s="160"/>
    </row>
    <row r="406">
      <c r="A406" s="231"/>
      <c r="B406" s="231"/>
      <c r="C406" s="231"/>
      <c r="D406" s="45"/>
      <c r="E406" s="45"/>
      <c r="F406" s="45"/>
      <c r="N406" s="160"/>
    </row>
    <row r="407">
      <c r="A407" s="231"/>
      <c r="B407" s="231"/>
      <c r="C407" s="231"/>
      <c r="D407" s="45"/>
      <c r="E407" s="45"/>
      <c r="F407" s="45"/>
      <c r="N407" s="160"/>
    </row>
    <row r="408">
      <c r="A408" s="231"/>
      <c r="B408" s="231"/>
      <c r="C408" s="231"/>
      <c r="D408" s="45"/>
      <c r="E408" s="45"/>
      <c r="F408" s="45"/>
      <c r="N408" s="160"/>
    </row>
    <row r="409">
      <c r="A409" s="231"/>
      <c r="B409" s="231"/>
      <c r="C409" s="231"/>
      <c r="D409" s="45"/>
      <c r="E409" s="45"/>
      <c r="F409" s="45"/>
      <c r="N409" s="160"/>
    </row>
    <row r="410">
      <c r="A410" s="231"/>
      <c r="B410" s="231"/>
      <c r="C410" s="231"/>
      <c r="D410" s="45"/>
      <c r="E410" s="45"/>
      <c r="F410" s="45"/>
      <c r="N410" s="160"/>
    </row>
    <row r="411">
      <c r="A411" s="231"/>
      <c r="B411" s="231"/>
      <c r="C411" s="231"/>
      <c r="D411" s="45"/>
      <c r="E411" s="45"/>
      <c r="F411" s="45"/>
      <c r="N411" s="160"/>
    </row>
    <row r="412">
      <c r="A412" s="231"/>
      <c r="B412" s="231"/>
      <c r="C412" s="231"/>
      <c r="D412" s="45"/>
      <c r="E412" s="45"/>
      <c r="F412" s="45"/>
      <c r="N412" s="160"/>
    </row>
    <row r="413">
      <c r="A413" s="231"/>
      <c r="B413" s="231"/>
      <c r="C413" s="231"/>
      <c r="D413" s="45"/>
      <c r="E413" s="45"/>
      <c r="F413" s="45"/>
      <c r="N413" s="160"/>
    </row>
    <row r="414">
      <c r="A414" s="231"/>
      <c r="B414" s="231"/>
      <c r="C414" s="231"/>
      <c r="D414" s="45"/>
      <c r="E414" s="45"/>
      <c r="F414" s="45"/>
      <c r="N414" s="160"/>
    </row>
    <row r="415">
      <c r="A415" s="231"/>
      <c r="B415" s="231"/>
      <c r="C415" s="231"/>
      <c r="D415" s="45"/>
      <c r="E415" s="45"/>
      <c r="F415" s="45"/>
      <c r="N415" s="160"/>
    </row>
    <row r="416">
      <c r="A416" s="231"/>
      <c r="B416" s="231"/>
      <c r="C416" s="231"/>
      <c r="D416" s="45"/>
      <c r="E416" s="45"/>
      <c r="F416" s="45"/>
      <c r="N416" s="160"/>
    </row>
    <row r="417">
      <c r="A417" s="231"/>
      <c r="B417" s="231"/>
      <c r="C417" s="231"/>
      <c r="D417" s="45"/>
      <c r="E417" s="45"/>
      <c r="F417" s="45"/>
      <c r="N417" s="160"/>
    </row>
    <row r="418">
      <c r="A418" s="231"/>
      <c r="B418" s="231"/>
      <c r="C418" s="231"/>
      <c r="D418" s="45"/>
      <c r="E418" s="45"/>
      <c r="F418" s="45"/>
      <c r="N418" s="160"/>
    </row>
    <row r="419">
      <c r="A419" s="231"/>
      <c r="B419" s="231"/>
      <c r="C419" s="231"/>
      <c r="D419" s="45"/>
      <c r="E419" s="45"/>
      <c r="F419" s="45"/>
      <c r="N419" s="160"/>
    </row>
    <row r="420">
      <c r="A420" s="231"/>
      <c r="B420" s="231"/>
      <c r="C420" s="231"/>
      <c r="D420" s="45"/>
      <c r="E420" s="45"/>
      <c r="F420" s="45"/>
      <c r="N420" s="160"/>
    </row>
    <row r="421">
      <c r="A421" s="231"/>
      <c r="B421" s="231"/>
      <c r="C421" s="231"/>
      <c r="D421" s="45"/>
      <c r="E421" s="45"/>
      <c r="F421" s="45"/>
      <c r="N421" s="160"/>
    </row>
    <row r="422">
      <c r="A422" s="231"/>
      <c r="B422" s="231"/>
      <c r="C422" s="231"/>
      <c r="D422" s="45"/>
      <c r="E422" s="45"/>
      <c r="F422" s="45"/>
      <c r="N422" s="160"/>
    </row>
    <row r="423">
      <c r="A423" s="231"/>
      <c r="B423" s="231"/>
      <c r="C423" s="231"/>
      <c r="D423" s="45"/>
      <c r="E423" s="45"/>
      <c r="F423" s="45"/>
      <c r="N423" s="160"/>
    </row>
    <row r="424">
      <c r="A424" s="231"/>
      <c r="B424" s="231"/>
      <c r="C424" s="231"/>
      <c r="D424" s="45"/>
      <c r="E424" s="45"/>
      <c r="F424" s="45"/>
      <c r="N424" s="160"/>
    </row>
    <row r="425">
      <c r="A425" s="231"/>
      <c r="B425" s="231"/>
      <c r="C425" s="231"/>
      <c r="D425" s="45"/>
      <c r="E425" s="45"/>
      <c r="F425" s="45"/>
      <c r="N425" s="160"/>
    </row>
    <row r="426">
      <c r="A426" s="231"/>
      <c r="B426" s="231"/>
      <c r="C426" s="231"/>
      <c r="D426" s="45"/>
      <c r="E426" s="45"/>
      <c r="F426" s="45"/>
      <c r="N426" s="160"/>
    </row>
    <row r="427">
      <c r="A427" s="231"/>
      <c r="B427" s="231"/>
      <c r="C427" s="231"/>
      <c r="D427" s="45"/>
      <c r="E427" s="45"/>
      <c r="F427" s="45"/>
      <c r="N427" s="160"/>
    </row>
    <row r="428">
      <c r="A428" s="231"/>
      <c r="B428" s="231"/>
      <c r="C428" s="231"/>
      <c r="D428" s="45"/>
      <c r="E428" s="45"/>
      <c r="F428" s="45"/>
      <c r="N428" s="160"/>
    </row>
    <row r="429">
      <c r="A429" s="231"/>
      <c r="B429" s="231"/>
      <c r="C429" s="231"/>
      <c r="D429" s="45"/>
      <c r="E429" s="45"/>
      <c r="F429" s="45"/>
      <c r="N429" s="160"/>
    </row>
    <row r="430">
      <c r="A430" s="231"/>
      <c r="B430" s="231"/>
      <c r="C430" s="231"/>
      <c r="D430" s="45"/>
      <c r="E430" s="45"/>
      <c r="F430" s="45"/>
      <c r="N430" s="160"/>
    </row>
    <row r="431">
      <c r="A431" s="231"/>
      <c r="B431" s="231"/>
      <c r="C431" s="231"/>
      <c r="D431" s="45"/>
      <c r="E431" s="45"/>
      <c r="F431" s="45"/>
      <c r="N431" s="160"/>
    </row>
    <row r="432">
      <c r="A432" s="231"/>
      <c r="B432" s="231"/>
      <c r="C432" s="231"/>
      <c r="D432" s="45"/>
      <c r="E432" s="45"/>
      <c r="F432" s="45"/>
      <c r="N432" s="160"/>
    </row>
    <row r="433">
      <c r="A433" s="231"/>
      <c r="B433" s="231"/>
      <c r="C433" s="231"/>
      <c r="D433" s="45"/>
      <c r="E433" s="45"/>
      <c r="F433" s="45"/>
      <c r="N433" s="160"/>
    </row>
    <row r="434">
      <c r="A434" s="231"/>
      <c r="B434" s="231"/>
      <c r="C434" s="231"/>
      <c r="D434" s="45"/>
      <c r="E434" s="45"/>
      <c r="F434" s="45"/>
      <c r="N434" s="160"/>
    </row>
    <row r="435">
      <c r="A435" s="231"/>
      <c r="B435" s="231"/>
      <c r="C435" s="231"/>
      <c r="D435" s="45"/>
      <c r="E435" s="45"/>
      <c r="F435" s="45"/>
      <c r="N435" s="160"/>
    </row>
    <row r="436">
      <c r="A436" s="231"/>
      <c r="B436" s="231"/>
      <c r="C436" s="231"/>
      <c r="D436" s="45"/>
      <c r="E436" s="45"/>
      <c r="F436" s="45"/>
      <c r="N436" s="160"/>
    </row>
    <row r="437">
      <c r="A437" s="231"/>
      <c r="B437" s="231"/>
      <c r="C437" s="231"/>
      <c r="D437" s="45"/>
      <c r="E437" s="45"/>
      <c r="F437" s="45"/>
      <c r="N437" s="160"/>
    </row>
    <row r="438">
      <c r="A438" s="231"/>
      <c r="B438" s="231"/>
      <c r="C438" s="231"/>
      <c r="D438" s="45"/>
      <c r="E438" s="45"/>
      <c r="F438" s="45"/>
      <c r="N438" s="160"/>
    </row>
    <row r="439">
      <c r="A439" s="231"/>
      <c r="B439" s="231"/>
      <c r="C439" s="231"/>
      <c r="D439" s="45"/>
      <c r="E439" s="45"/>
      <c r="F439" s="45"/>
      <c r="N439" s="160"/>
    </row>
    <row r="440">
      <c r="A440" s="231"/>
      <c r="B440" s="231"/>
      <c r="C440" s="231"/>
      <c r="D440" s="45"/>
      <c r="E440" s="45"/>
      <c r="F440" s="45"/>
      <c r="N440" s="160"/>
    </row>
    <row r="441">
      <c r="A441" s="231"/>
      <c r="B441" s="231"/>
      <c r="C441" s="231"/>
      <c r="D441" s="45"/>
      <c r="E441" s="45"/>
      <c r="F441" s="45"/>
      <c r="N441" s="160"/>
    </row>
    <row r="442">
      <c r="A442" s="231"/>
      <c r="B442" s="231"/>
      <c r="C442" s="231"/>
      <c r="D442" s="45"/>
      <c r="E442" s="45"/>
      <c r="F442" s="45"/>
      <c r="N442" s="160"/>
    </row>
    <row r="443">
      <c r="A443" s="231"/>
      <c r="B443" s="231"/>
      <c r="C443" s="231"/>
      <c r="D443" s="45"/>
      <c r="E443" s="45"/>
      <c r="F443" s="45"/>
      <c r="N443" s="160"/>
    </row>
    <row r="444">
      <c r="A444" s="231"/>
      <c r="B444" s="231"/>
      <c r="C444" s="231"/>
      <c r="D444" s="45"/>
      <c r="E444" s="45"/>
      <c r="F444" s="45"/>
      <c r="N444" s="160"/>
    </row>
    <row r="445">
      <c r="A445" s="231"/>
      <c r="B445" s="231"/>
      <c r="C445" s="231"/>
      <c r="D445" s="45"/>
      <c r="E445" s="45"/>
      <c r="F445" s="45"/>
      <c r="N445" s="160"/>
    </row>
    <row r="446">
      <c r="A446" s="231"/>
      <c r="B446" s="231"/>
      <c r="C446" s="231"/>
      <c r="D446" s="45"/>
      <c r="E446" s="45"/>
      <c r="F446" s="45"/>
      <c r="N446" s="160"/>
    </row>
    <row r="447">
      <c r="A447" s="231"/>
      <c r="B447" s="231"/>
      <c r="C447" s="231"/>
      <c r="D447" s="45"/>
      <c r="E447" s="45"/>
      <c r="F447" s="45"/>
      <c r="N447" s="160"/>
    </row>
    <row r="448">
      <c r="A448" s="231"/>
      <c r="B448" s="231"/>
      <c r="C448" s="231"/>
      <c r="D448" s="45"/>
      <c r="E448" s="45"/>
      <c r="F448" s="45"/>
      <c r="N448" s="160"/>
    </row>
    <row r="449">
      <c r="A449" s="231"/>
      <c r="B449" s="231"/>
      <c r="C449" s="231"/>
      <c r="D449" s="45"/>
      <c r="E449" s="45"/>
      <c r="F449" s="45"/>
      <c r="N449" s="160"/>
    </row>
    <row r="450">
      <c r="A450" s="231"/>
      <c r="B450" s="231"/>
      <c r="C450" s="231"/>
      <c r="D450" s="45"/>
      <c r="E450" s="45"/>
      <c r="F450" s="45"/>
      <c r="N450" s="160"/>
    </row>
    <row r="451">
      <c r="A451" s="231"/>
      <c r="B451" s="231"/>
      <c r="C451" s="231"/>
      <c r="D451" s="45"/>
      <c r="E451" s="45"/>
      <c r="F451" s="45"/>
      <c r="N451" s="160"/>
    </row>
    <row r="452">
      <c r="A452" s="231"/>
      <c r="B452" s="231"/>
      <c r="C452" s="231"/>
      <c r="D452" s="45"/>
      <c r="E452" s="45"/>
      <c r="F452" s="45"/>
      <c r="N452" s="160"/>
    </row>
    <row r="453">
      <c r="A453" s="231"/>
      <c r="B453" s="231"/>
      <c r="C453" s="231"/>
      <c r="D453" s="45"/>
      <c r="E453" s="45"/>
      <c r="F453" s="45"/>
      <c r="N453" s="160"/>
    </row>
    <row r="454">
      <c r="A454" s="231"/>
      <c r="B454" s="231"/>
      <c r="C454" s="231"/>
      <c r="D454" s="45"/>
      <c r="E454" s="45"/>
      <c r="F454" s="45"/>
      <c r="N454" s="160"/>
    </row>
    <row r="455">
      <c r="A455" s="231"/>
      <c r="B455" s="231"/>
      <c r="C455" s="231"/>
      <c r="D455" s="45"/>
      <c r="E455" s="45"/>
      <c r="F455" s="45"/>
      <c r="N455" s="160"/>
    </row>
    <row r="456">
      <c r="A456" s="231"/>
      <c r="B456" s="231"/>
      <c r="C456" s="231"/>
      <c r="D456" s="45"/>
      <c r="E456" s="45"/>
      <c r="F456" s="45"/>
      <c r="N456" s="160"/>
    </row>
    <row r="457">
      <c r="A457" s="231"/>
      <c r="B457" s="231"/>
      <c r="C457" s="231"/>
      <c r="D457" s="45"/>
      <c r="E457" s="45"/>
      <c r="F457" s="45"/>
      <c r="N457" s="160"/>
    </row>
    <row r="458">
      <c r="A458" s="231"/>
      <c r="B458" s="231"/>
      <c r="C458" s="231"/>
      <c r="D458" s="45"/>
      <c r="E458" s="45"/>
      <c r="F458" s="45"/>
      <c r="N458" s="160"/>
    </row>
    <row r="459">
      <c r="A459" s="231"/>
      <c r="B459" s="231"/>
      <c r="C459" s="231"/>
      <c r="D459" s="45"/>
      <c r="E459" s="45"/>
      <c r="F459" s="45"/>
      <c r="N459" s="160"/>
    </row>
    <row r="460">
      <c r="A460" s="231"/>
      <c r="B460" s="231"/>
      <c r="C460" s="231"/>
      <c r="D460" s="45"/>
      <c r="E460" s="45"/>
      <c r="F460" s="45"/>
      <c r="N460" s="160"/>
    </row>
    <row r="461">
      <c r="A461" s="231"/>
      <c r="B461" s="231"/>
      <c r="C461" s="231"/>
      <c r="D461" s="45"/>
      <c r="E461" s="45"/>
      <c r="F461" s="45"/>
      <c r="N461" s="160"/>
    </row>
    <row r="462">
      <c r="A462" s="231"/>
      <c r="B462" s="231"/>
      <c r="C462" s="231"/>
      <c r="D462" s="45"/>
      <c r="E462" s="45"/>
      <c r="F462" s="45"/>
      <c r="N462" s="160"/>
    </row>
    <row r="463">
      <c r="A463" s="231"/>
      <c r="B463" s="231"/>
      <c r="C463" s="231"/>
      <c r="D463" s="45"/>
      <c r="E463" s="45"/>
      <c r="F463" s="45"/>
      <c r="N463" s="160"/>
    </row>
    <row r="464">
      <c r="A464" s="231"/>
      <c r="B464" s="231"/>
      <c r="C464" s="231"/>
      <c r="D464" s="45"/>
      <c r="E464" s="45"/>
      <c r="F464" s="45"/>
      <c r="N464" s="160"/>
    </row>
    <row r="465">
      <c r="A465" s="231"/>
      <c r="B465" s="231"/>
      <c r="C465" s="231"/>
      <c r="D465" s="45"/>
      <c r="E465" s="45"/>
      <c r="F465" s="45"/>
      <c r="N465" s="160"/>
    </row>
    <row r="466">
      <c r="A466" s="231"/>
      <c r="B466" s="231"/>
      <c r="C466" s="231"/>
      <c r="D466" s="45"/>
      <c r="E466" s="45"/>
      <c r="F466" s="45"/>
      <c r="N466" s="160"/>
    </row>
    <row r="467">
      <c r="A467" s="231"/>
      <c r="B467" s="231"/>
      <c r="C467" s="231"/>
      <c r="D467" s="45"/>
      <c r="E467" s="45"/>
      <c r="F467" s="45"/>
      <c r="N467" s="160"/>
    </row>
    <row r="468">
      <c r="A468" s="231"/>
      <c r="B468" s="231"/>
      <c r="C468" s="231"/>
      <c r="D468" s="45"/>
      <c r="E468" s="45"/>
      <c r="F468" s="45"/>
      <c r="N468" s="160"/>
    </row>
    <row r="469">
      <c r="A469" s="231"/>
      <c r="B469" s="231"/>
      <c r="C469" s="231"/>
      <c r="D469" s="45"/>
      <c r="E469" s="45"/>
      <c r="F469" s="45"/>
      <c r="N469" s="160"/>
    </row>
    <row r="470">
      <c r="A470" s="231"/>
      <c r="B470" s="231"/>
      <c r="C470" s="231"/>
      <c r="D470" s="45"/>
      <c r="E470" s="45"/>
      <c r="F470" s="45"/>
      <c r="N470" s="160"/>
    </row>
    <row r="471">
      <c r="A471" s="231"/>
      <c r="B471" s="231"/>
      <c r="C471" s="231"/>
      <c r="D471" s="45"/>
      <c r="E471" s="45"/>
      <c r="F471" s="45"/>
      <c r="N471" s="160"/>
    </row>
    <row r="472">
      <c r="A472" s="231"/>
      <c r="B472" s="231"/>
      <c r="C472" s="231"/>
      <c r="D472" s="45"/>
      <c r="E472" s="45"/>
      <c r="F472" s="45"/>
      <c r="N472" s="160"/>
    </row>
    <row r="473">
      <c r="A473" s="231"/>
      <c r="B473" s="231"/>
      <c r="C473" s="231"/>
      <c r="D473" s="45"/>
      <c r="E473" s="45"/>
      <c r="F473" s="45"/>
      <c r="N473" s="160"/>
    </row>
    <row r="474">
      <c r="A474" s="231"/>
      <c r="B474" s="231"/>
      <c r="C474" s="231"/>
      <c r="D474" s="45"/>
      <c r="E474" s="45"/>
      <c r="F474" s="45"/>
      <c r="N474" s="160"/>
    </row>
    <row r="475">
      <c r="A475" s="231"/>
      <c r="B475" s="231"/>
      <c r="C475" s="231"/>
      <c r="D475" s="45"/>
      <c r="E475" s="45"/>
      <c r="F475" s="45"/>
      <c r="N475" s="160"/>
    </row>
    <row r="476">
      <c r="A476" s="231"/>
      <c r="B476" s="231"/>
      <c r="C476" s="231"/>
      <c r="D476" s="45"/>
      <c r="E476" s="45"/>
      <c r="F476" s="45"/>
      <c r="N476" s="160"/>
    </row>
    <row r="477">
      <c r="A477" s="231"/>
      <c r="B477" s="231"/>
      <c r="C477" s="231"/>
      <c r="D477" s="45"/>
      <c r="E477" s="45"/>
      <c r="F477" s="45"/>
      <c r="N477" s="160"/>
    </row>
    <row r="478">
      <c r="A478" s="231"/>
      <c r="B478" s="231"/>
      <c r="C478" s="231"/>
      <c r="D478" s="45"/>
      <c r="E478" s="45"/>
      <c r="F478" s="45"/>
      <c r="N478" s="160"/>
    </row>
    <row r="479">
      <c r="A479" s="231"/>
      <c r="B479" s="231"/>
      <c r="C479" s="231"/>
      <c r="D479" s="45"/>
      <c r="E479" s="45"/>
      <c r="F479" s="45"/>
      <c r="N479" s="160"/>
    </row>
    <row r="480">
      <c r="A480" s="231"/>
      <c r="B480" s="231"/>
      <c r="C480" s="231"/>
      <c r="D480" s="45"/>
      <c r="E480" s="45"/>
      <c r="F480" s="45"/>
      <c r="N480" s="160"/>
    </row>
    <row r="481">
      <c r="A481" s="231"/>
      <c r="B481" s="231"/>
      <c r="C481" s="231"/>
      <c r="D481" s="45"/>
      <c r="E481" s="45"/>
      <c r="F481" s="45"/>
      <c r="N481" s="160"/>
    </row>
    <row r="482">
      <c r="A482" s="231"/>
      <c r="B482" s="231"/>
      <c r="C482" s="231"/>
      <c r="D482" s="45"/>
      <c r="E482" s="45"/>
      <c r="F482" s="45"/>
      <c r="N482" s="160"/>
    </row>
    <row r="483">
      <c r="A483" s="231"/>
      <c r="B483" s="231"/>
      <c r="C483" s="231"/>
      <c r="D483" s="45"/>
      <c r="E483" s="45"/>
      <c r="F483" s="45"/>
      <c r="N483" s="160"/>
    </row>
    <row r="484">
      <c r="A484" s="231"/>
      <c r="B484" s="231"/>
      <c r="C484" s="231"/>
      <c r="D484" s="45"/>
      <c r="E484" s="45"/>
      <c r="F484" s="45"/>
      <c r="N484" s="160"/>
    </row>
    <row r="485">
      <c r="A485" s="231"/>
      <c r="B485" s="231"/>
      <c r="C485" s="231"/>
      <c r="D485" s="45"/>
      <c r="E485" s="45"/>
      <c r="F485" s="45"/>
      <c r="N485" s="160"/>
    </row>
    <row r="486">
      <c r="A486" s="231"/>
      <c r="B486" s="231"/>
      <c r="C486" s="231"/>
      <c r="D486" s="45"/>
      <c r="E486" s="45"/>
      <c r="F486" s="45"/>
      <c r="N486" s="160"/>
    </row>
    <row r="487">
      <c r="A487" s="231"/>
      <c r="B487" s="231"/>
      <c r="C487" s="231"/>
      <c r="D487" s="45"/>
      <c r="E487" s="45"/>
      <c r="F487" s="45"/>
      <c r="N487" s="160"/>
    </row>
    <row r="488">
      <c r="A488" s="231"/>
      <c r="B488" s="231"/>
      <c r="C488" s="231"/>
      <c r="D488" s="45"/>
      <c r="E488" s="45"/>
      <c r="F488" s="45"/>
      <c r="N488" s="160"/>
    </row>
    <row r="489">
      <c r="A489" s="231"/>
      <c r="B489" s="231"/>
      <c r="C489" s="231"/>
      <c r="D489" s="45"/>
      <c r="E489" s="45"/>
      <c r="F489" s="45"/>
      <c r="N489" s="160"/>
    </row>
    <row r="490">
      <c r="A490" s="231"/>
      <c r="B490" s="231"/>
      <c r="C490" s="231"/>
      <c r="D490" s="45"/>
      <c r="E490" s="45"/>
      <c r="F490" s="45"/>
      <c r="N490" s="160"/>
    </row>
    <row r="491">
      <c r="A491" s="231"/>
      <c r="B491" s="231"/>
      <c r="C491" s="231"/>
      <c r="D491" s="45"/>
      <c r="E491" s="45"/>
      <c r="F491" s="45"/>
      <c r="N491" s="160"/>
    </row>
    <row r="492">
      <c r="A492" s="231"/>
      <c r="B492" s="231"/>
      <c r="C492" s="231"/>
      <c r="D492" s="45"/>
      <c r="E492" s="45"/>
      <c r="F492" s="45"/>
      <c r="N492" s="160"/>
    </row>
    <row r="493">
      <c r="A493" s="231"/>
      <c r="B493" s="231"/>
      <c r="C493" s="231"/>
      <c r="D493" s="45"/>
      <c r="E493" s="45"/>
      <c r="F493" s="45"/>
      <c r="N493" s="160"/>
    </row>
    <row r="494">
      <c r="A494" s="231"/>
      <c r="B494" s="231"/>
      <c r="C494" s="231"/>
      <c r="D494" s="45"/>
      <c r="E494" s="45"/>
      <c r="F494" s="45"/>
      <c r="N494" s="160"/>
    </row>
    <row r="495">
      <c r="A495" s="231"/>
      <c r="B495" s="231"/>
      <c r="C495" s="231"/>
      <c r="D495" s="45"/>
      <c r="E495" s="45"/>
      <c r="F495" s="45"/>
      <c r="N495" s="160"/>
    </row>
    <row r="496">
      <c r="A496" s="231"/>
      <c r="B496" s="231"/>
      <c r="C496" s="231"/>
      <c r="D496" s="45"/>
      <c r="E496" s="45"/>
      <c r="F496" s="45"/>
      <c r="N496" s="160"/>
    </row>
    <row r="497">
      <c r="A497" s="231"/>
      <c r="B497" s="231"/>
      <c r="C497" s="231"/>
      <c r="D497" s="45"/>
      <c r="E497" s="45"/>
      <c r="F497" s="45"/>
      <c r="N497" s="160"/>
    </row>
    <row r="498">
      <c r="A498" s="231"/>
      <c r="B498" s="231"/>
      <c r="C498" s="231"/>
      <c r="D498" s="45"/>
      <c r="E498" s="45"/>
      <c r="F498" s="45"/>
      <c r="N498" s="160"/>
    </row>
    <row r="499">
      <c r="A499" s="231"/>
      <c r="B499" s="231"/>
      <c r="C499" s="231"/>
      <c r="D499" s="45"/>
      <c r="E499" s="45"/>
      <c r="F499" s="45"/>
      <c r="N499" s="160"/>
    </row>
    <row r="500">
      <c r="A500" s="231"/>
      <c r="B500" s="231"/>
      <c r="C500" s="231"/>
      <c r="D500" s="45"/>
      <c r="E500" s="45"/>
      <c r="F500" s="45"/>
      <c r="N500" s="160"/>
    </row>
    <row r="501">
      <c r="A501" s="231"/>
      <c r="B501" s="231"/>
      <c r="C501" s="231"/>
      <c r="D501" s="45"/>
      <c r="E501" s="45"/>
      <c r="F501" s="45"/>
      <c r="N501" s="160"/>
    </row>
    <row r="502">
      <c r="A502" s="231"/>
      <c r="B502" s="231"/>
      <c r="C502" s="231"/>
      <c r="D502" s="45"/>
      <c r="E502" s="45"/>
      <c r="F502" s="45"/>
      <c r="N502" s="160"/>
    </row>
    <row r="503">
      <c r="A503" s="231"/>
      <c r="B503" s="231"/>
      <c r="C503" s="231"/>
      <c r="D503" s="45"/>
      <c r="E503" s="45"/>
      <c r="F503" s="45"/>
      <c r="N503" s="160"/>
    </row>
    <row r="504">
      <c r="A504" s="231"/>
      <c r="B504" s="231"/>
      <c r="C504" s="231"/>
      <c r="D504" s="45"/>
      <c r="E504" s="45"/>
      <c r="F504" s="45"/>
      <c r="N504" s="160"/>
    </row>
    <row r="505">
      <c r="A505" s="231"/>
      <c r="B505" s="231"/>
      <c r="C505" s="231"/>
      <c r="D505" s="45"/>
      <c r="E505" s="45"/>
      <c r="F505" s="45"/>
      <c r="N505" s="160"/>
    </row>
    <row r="506">
      <c r="A506" s="231"/>
      <c r="B506" s="231"/>
      <c r="C506" s="231"/>
      <c r="D506" s="45"/>
      <c r="E506" s="45"/>
      <c r="F506" s="45"/>
      <c r="N506" s="160"/>
    </row>
    <row r="507">
      <c r="A507" s="231"/>
      <c r="B507" s="231"/>
      <c r="C507" s="231"/>
      <c r="D507" s="45"/>
      <c r="E507" s="45"/>
      <c r="F507" s="45"/>
      <c r="N507" s="160"/>
    </row>
    <row r="508">
      <c r="A508" s="231"/>
      <c r="B508" s="231"/>
      <c r="C508" s="231"/>
      <c r="D508" s="45"/>
      <c r="E508" s="45"/>
      <c r="F508" s="45"/>
      <c r="N508" s="160"/>
    </row>
    <row r="509">
      <c r="A509" s="231"/>
      <c r="B509" s="231"/>
      <c r="C509" s="231"/>
      <c r="D509" s="45"/>
      <c r="E509" s="45"/>
      <c r="F509" s="45"/>
      <c r="N509" s="160"/>
    </row>
    <row r="510">
      <c r="A510" s="231"/>
      <c r="B510" s="231"/>
      <c r="C510" s="231"/>
      <c r="D510" s="45"/>
      <c r="E510" s="45"/>
      <c r="F510" s="45"/>
      <c r="N510" s="160"/>
    </row>
    <row r="511">
      <c r="A511" s="231"/>
      <c r="B511" s="231"/>
      <c r="C511" s="231"/>
      <c r="D511" s="45"/>
      <c r="E511" s="45"/>
      <c r="F511" s="45"/>
      <c r="N511" s="160"/>
    </row>
    <row r="512">
      <c r="A512" s="231"/>
      <c r="B512" s="231"/>
      <c r="C512" s="231"/>
      <c r="D512" s="45"/>
      <c r="E512" s="45"/>
      <c r="F512" s="45"/>
      <c r="N512" s="160"/>
    </row>
    <row r="513">
      <c r="A513" s="231"/>
      <c r="B513" s="231"/>
      <c r="C513" s="231"/>
      <c r="D513" s="45"/>
      <c r="E513" s="45"/>
      <c r="F513" s="45"/>
      <c r="N513" s="160"/>
    </row>
    <row r="514">
      <c r="A514" s="231"/>
      <c r="B514" s="231"/>
      <c r="C514" s="231"/>
      <c r="D514" s="45"/>
      <c r="E514" s="45"/>
      <c r="F514" s="45"/>
      <c r="N514" s="160"/>
    </row>
    <row r="515">
      <c r="A515" s="231"/>
      <c r="B515" s="231"/>
      <c r="C515" s="231"/>
      <c r="D515" s="45"/>
      <c r="E515" s="45"/>
      <c r="F515" s="45"/>
      <c r="N515" s="160"/>
    </row>
    <row r="516">
      <c r="A516" s="231"/>
      <c r="B516" s="231"/>
      <c r="C516" s="231"/>
      <c r="D516" s="45"/>
      <c r="E516" s="45"/>
      <c r="F516" s="45"/>
      <c r="N516" s="160"/>
    </row>
    <row r="517">
      <c r="A517" s="231"/>
      <c r="B517" s="231"/>
      <c r="C517" s="231"/>
      <c r="D517" s="45"/>
      <c r="E517" s="45"/>
      <c r="F517" s="45"/>
      <c r="N517" s="160"/>
    </row>
    <row r="518">
      <c r="A518" s="231"/>
      <c r="B518" s="231"/>
      <c r="C518" s="231"/>
      <c r="D518" s="45"/>
      <c r="E518" s="45"/>
      <c r="F518" s="45"/>
      <c r="N518" s="160"/>
    </row>
    <row r="519">
      <c r="A519" s="231"/>
      <c r="B519" s="231"/>
      <c r="C519" s="231"/>
      <c r="D519" s="45"/>
      <c r="E519" s="45"/>
      <c r="F519" s="45"/>
      <c r="N519" s="160"/>
    </row>
    <row r="520">
      <c r="A520" s="231"/>
      <c r="B520" s="231"/>
      <c r="C520" s="231"/>
      <c r="D520" s="45"/>
      <c r="E520" s="45"/>
      <c r="F520" s="45"/>
      <c r="N520" s="160"/>
    </row>
    <row r="521">
      <c r="A521" s="231"/>
      <c r="B521" s="231"/>
      <c r="C521" s="231"/>
      <c r="D521" s="45"/>
      <c r="E521" s="45"/>
      <c r="F521" s="45"/>
      <c r="N521" s="160"/>
    </row>
    <row r="522">
      <c r="A522" s="231"/>
      <c r="B522" s="231"/>
      <c r="C522" s="231"/>
      <c r="D522" s="45"/>
      <c r="E522" s="45"/>
      <c r="F522" s="45"/>
      <c r="N522" s="160"/>
    </row>
    <row r="523">
      <c r="A523" s="231"/>
      <c r="B523" s="231"/>
      <c r="C523" s="231"/>
      <c r="D523" s="45"/>
      <c r="E523" s="45"/>
      <c r="F523" s="45"/>
      <c r="N523" s="160"/>
    </row>
    <row r="524">
      <c r="A524" s="231"/>
      <c r="B524" s="231"/>
      <c r="C524" s="231"/>
      <c r="D524" s="45"/>
      <c r="E524" s="45"/>
      <c r="F524" s="45"/>
      <c r="N524" s="160"/>
    </row>
    <row r="525">
      <c r="A525" s="231"/>
      <c r="B525" s="231"/>
      <c r="C525" s="231"/>
      <c r="D525" s="45"/>
      <c r="E525" s="45"/>
      <c r="F525" s="45"/>
      <c r="N525" s="160"/>
    </row>
    <row r="526">
      <c r="A526" s="231"/>
      <c r="B526" s="231"/>
      <c r="C526" s="231"/>
      <c r="D526" s="45"/>
      <c r="E526" s="45"/>
      <c r="F526" s="45"/>
      <c r="N526" s="160"/>
    </row>
    <row r="527">
      <c r="A527" s="231"/>
      <c r="B527" s="231"/>
      <c r="C527" s="231"/>
      <c r="D527" s="45"/>
      <c r="E527" s="45"/>
      <c r="F527" s="45"/>
      <c r="N527" s="160"/>
    </row>
    <row r="528">
      <c r="A528" s="231"/>
      <c r="B528" s="231"/>
      <c r="C528" s="231"/>
      <c r="D528" s="45"/>
      <c r="E528" s="45"/>
      <c r="F528" s="45"/>
      <c r="N528" s="160"/>
    </row>
    <row r="529">
      <c r="A529" s="231"/>
      <c r="B529" s="231"/>
      <c r="C529" s="231"/>
      <c r="D529" s="45"/>
      <c r="E529" s="45"/>
      <c r="F529" s="45"/>
      <c r="N529" s="160"/>
    </row>
    <row r="530">
      <c r="A530" s="231"/>
      <c r="B530" s="231"/>
      <c r="C530" s="231"/>
      <c r="D530" s="45"/>
      <c r="E530" s="45"/>
      <c r="F530" s="45"/>
      <c r="N530" s="160"/>
    </row>
    <row r="531">
      <c r="A531" s="231"/>
      <c r="B531" s="231"/>
      <c r="C531" s="231"/>
      <c r="D531" s="45"/>
      <c r="E531" s="45"/>
      <c r="F531" s="45"/>
      <c r="N531" s="160"/>
    </row>
    <row r="532">
      <c r="A532" s="231"/>
      <c r="B532" s="231"/>
      <c r="C532" s="231"/>
      <c r="D532" s="45"/>
      <c r="E532" s="45"/>
      <c r="F532" s="45"/>
      <c r="N532" s="160"/>
    </row>
    <row r="533">
      <c r="A533" s="231"/>
      <c r="B533" s="231"/>
      <c r="C533" s="231"/>
      <c r="D533" s="45"/>
      <c r="E533" s="45"/>
      <c r="F533" s="45"/>
      <c r="N533" s="160"/>
    </row>
    <row r="534">
      <c r="A534" s="231"/>
      <c r="B534" s="231"/>
      <c r="C534" s="231"/>
      <c r="D534" s="45"/>
      <c r="E534" s="45"/>
      <c r="F534" s="45"/>
      <c r="N534" s="160"/>
    </row>
    <row r="535">
      <c r="A535" s="231"/>
      <c r="B535" s="231"/>
      <c r="C535" s="231"/>
      <c r="D535" s="45"/>
      <c r="E535" s="45"/>
      <c r="F535" s="45"/>
      <c r="N535" s="160"/>
    </row>
    <row r="536">
      <c r="A536" s="231"/>
      <c r="B536" s="231"/>
      <c r="C536" s="231"/>
      <c r="D536" s="45"/>
      <c r="E536" s="45"/>
      <c r="F536" s="45"/>
      <c r="N536" s="160"/>
    </row>
    <row r="537">
      <c r="A537" s="231"/>
      <c r="B537" s="231"/>
      <c r="C537" s="231"/>
      <c r="D537" s="45"/>
      <c r="E537" s="45"/>
      <c r="F537" s="45"/>
      <c r="N537" s="160"/>
    </row>
    <row r="538">
      <c r="A538" s="231"/>
      <c r="B538" s="231"/>
      <c r="C538" s="231"/>
      <c r="D538" s="45"/>
      <c r="E538" s="45"/>
      <c r="F538" s="45"/>
      <c r="N538" s="160"/>
    </row>
    <row r="539">
      <c r="A539" s="231"/>
      <c r="B539" s="231"/>
      <c r="C539" s="231"/>
      <c r="D539" s="45"/>
      <c r="E539" s="45"/>
      <c r="F539" s="45"/>
      <c r="N539" s="160"/>
    </row>
    <row r="540">
      <c r="A540" s="231"/>
      <c r="B540" s="231"/>
      <c r="C540" s="231"/>
      <c r="D540" s="45"/>
      <c r="E540" s="45"/>
      <c r="F540" s="45"/>
      <c r="N540" s="160"/>
    </row>
    <row r="541">
      <c r="A541" s="231"/>
      <c r="B541" s="231"/>
      <c r="C541" s="231"/>
      <c r="D541" s="45"/>
      <c r="E541" s="45"/>
      <c r="F541" s="45"/>
      <c r="N541" s="160"/>
    </row>
    <row r="542">
      <c r="A542" s="231"/>
      <c r="B542" s="231"/>
      <c r="C542" s="231"/>
      <c r="D542" s="45"/>
      <c r="E542" s="45"/>
      <c r="F542" s="45"/>
      <c r="N542" s="160"/>
    </row>
    <row r="543">
      <c r="A543" s="231"/>
      <c r="B543" s="231"/>
      <c r="C543" s="231"/>
      <c r="D543" s="45"/>
      <c r="E543" s="45"/>
      <c r="F543" s="45"/>
      <c r="N543" s="160"/>
    </row>
    <row r="544">
      <c r="A544" s="231"/>
      <c r="B544" s="231"/>
      <c r="C544" s="231"/>
      <c r="D544" s="45"/>
      <c r="E544" s="45"/>
      <c r="F544" s="45"/>
      <c r="N544" s="160"/>
    </row>
    <row r="545">
      <c r="A545" s="231"/>
      <c r="B545" s="231"/>
      <c r="C545" s="231"/>
      <c r="D545" s="45"/>
      <c r="E545" s="45"/>
      <c r="F545" s="45"/>
      <c r="N545" s="160"/>
    </row>
    <row r="546">
      <c r="A546" s="231"/>
      <c r="B546" s="231"/>
      <c r="C546" s="231"/>
      <c r="D546" s="45"/>
      <c r="E546" s="45"/>
      <c r="F546" s="45"/>
      <c r="N546" s="160"/>
    </row>
    <row r="547">
      <c r="A547" s="231"/>
      <c r="B547" s="231"/>
      <c r="C547" s="231"/>
      <c r="D547" s="45"/>
      <c r="E547" s="45"/>
      <c r="F547" s="45"/>
      <c r="N547" s="160"/>
    </row>
    <row r="548">
      <c r="A548" s="231"/>
      <c r="B548" s="231"/>
      <c r="C548" s="231"/>
      <c r="D548" s="45"/>
      <c r="E548" s="45"/>
      <c r="F548" s="45"/>
      <c r="N548" s="160"/>
    </row>
    <row r="549">
      <c r="A549" s="231"/>
      <c r="B549" s="231"/>
      <c r="C549" s="231"/>
      <c r="D549" s="45"/>
      <c r="E549" s="45"/>
      <c r="F549" s="45"/>
      <c r="N549" s="160"/>
    </row>
    <row r="550">
      <c r="A550" s="231"/>
      <c r="B550" s="231"/>
      <c r="C550" s="231"/>
      <c r="D550" s="45"/>
      <c r="E550" s="45"/>
      <c r="F550" s="45"/>
      <c r="N550" s="160"/>
    </row>
    <row r="551">
      <c r="A551" s="231"/>
      <c r="B551" s="231"/>
      <c r="C551" s="231"/>
      <c r="D551" s="45"/>
      <c r="E551" s="45"/>
      <c r="F551" s="45"/>
      <c r="N551" s="160"/>
    </row>
    <row r="552">
      <c r="A552" s="231"/>
      <c r="B552" s="231"/>
      <c r="C552" s="231"/>
      <c r="D552" s="45"/>
      <c r="E552" s="45"/>
      <c r="F552" s="45"/>
      <c r="N552" s="160"/>
    </row>
    <row r="553">
      <c r="A553" s="231"/>
      <c r="B553" s="231"/>
      <c r="C553" s="231"/>
      <c r="D553" s="45"/>
      <c r="E553" s="45"/>
      <c r="F553" s="45"/>
      <c r="N553" s="160"/>
    </row>
    <row r="554">
      <c r="A554" s="231"/>
      <c r="B554" s="231"/>
      <c r="C554" s="231"/>
      <c r="D554" s="45"/>
      <c r="E554" s="45"/>
      <c r="F554" s="45"/>
      <c r="N554" s="160"/>
    </row>
    <row r="555">
      <c r="A555" s="231"/>
      <c r="B555" s="231"/>
      <c r="C555" s="231"/>
      <c r="D555" s="45"/>
      <c r="E555" s="45"/>
      <c r="F555" s="45"/>
      <c r="N555" s="160"/>
    </row>
    <row r="556">
      <c r="A556" s="231"/>
      <c r="B556" s="231"/>
      <c r="C556" s="231"/>
      <c r="D556" s="45"/>
      <c r="E556" s="45"/>
      <c r="F556" s="45"/>
      <c r="N556" s="160"/>
    </row>
    <row r="557">
      <c r="A557" s="231"/>
      <c r="B557" s="231"/>
      <c r="C557" s="231"/>
      <c r="D557" s="45"/>
      <c r="E557" s="45"/>
      <c r="F557" s="45"/>
      <c r="N557" s="160"/>
    </row>
    <row r="558">
      <c r="A558" s="231"/>
      <c r="B558" s="231"/>
      <c r="C558" s="231"/>
      <c r="D558" s="45"/>
      <c r="E558" s="45"/>
      <c r="F558" s="45"/>
      <c r="N558" s="160"/>
    </row>
    <row r="559">
      <c r="A559" s="231"/>
      <c r="B559" s="231"/>
      <c r="C559" s="231"/>
      <c r="D559" s="45"/>
      <c r="E559" s="45"/>
      <c r="F559" s="45"/>
      <c r="N559" s="160"/>
    </row>
    <row r="560">
      <c r="A560" s="231"/>
      <c r="B560" s="231"/>
      <c r="C560" s="231"/>
      <c r="D560" s="45"/>
      <c r="E560" s="45"/>
      <c r="F560" s="45"/>
      <c r="N560" s="160"/>
    </row>
    <row r="561">
      <c r="A561" s="231"/>
      <c r="B561" s="231"/>
      <c r="C561" s="231"/>
      <c r="D561" s="45"/>
      <c r="E561" s="45"/>
      <c r="F561" s="45"/>
      <c r="N561" s="160"/>
    </row>
    <row r="562">
      <c r="A562" s="231"/>
      <c r="B562" s="231"/>
      <c r="C562" s="231"/>
      <c r="D562" s="45"/>
      <c r="E562" s="45"/>
      <c r="F562" s="45"/>
      <c r="N562" s="160"/>
    </row>
    <row r="563">
      <c r="A563" s="231"/>
      <c r="B563" s="231"/>
      <c r="C563" s="231"/>
      <c r="D563" s="45"/>
      <c r="E563" s="45"/>
      <c r="F563" s="45"/>
      <c r="N563" s="160"/>
    </row>
    <row r="564">
      <c r="A564" s="231"/>
      <c r="B564" s="231"/>
      <c r="C564" s="231"/>
      <c r="D564" s="45"/>
      <c r="E564" s="45"/>
      <c r="F564" s="45"/>
      <c r="N564" s="160"/>
    </row>
    <row r="565">
      <c r="A565" s="231"/>
      <c r="B565" s="231"/>
      <c r="C565" s="231"/>
      <c r="D565" s="45"/>
      <c r="E565" s="45"/>
      <c r="F565" s="45"/>
      <c r="N565" s="160"/>
    </row>
    <row r="566">
      <c r="A566" s="231"/>
      <c r="B566" s="231"/>
      <c r="C566" s="231"/>
      <c r="D566" s="45"/>
      <c r="E566" s="45"/>
      <c r="F566" s="45"/>
      <c r="N566" s="160"/>
    </row>
    <row r="567">
      <c r="A567" s="231"/>
      <c r="B567" s="231"/>
      <c r="C567" s="231"/>
      <c r="D567" s="45"/>
      <c r="E567" s="45"/>
      <c r="F567" s="45"/>
      <c r="N567" s="160"/>
    </row>
    <row r="568">
      <c r="A568" s="231"/>
      <c r="B568" s="231"/>
      <c r="C568" s="231"/>
      <c r="D568" s="45"/>
      <c r="E568" s="45"/>
      <c r="F568" s="45"/>
      <c r="N568" s="160"/>
    </row>
    <row r="569">
      <c r="A569" s="231"/>
      <c r="B569" s="231"/>
      <c r="C569" s="231"/>
      <c r="D569" s="45"/>
      <c r="E569" s="45"/>
      <c r="F569" s="45"/>
      <c r="N569" s="160"/>
    </row>
    <row r="570">
      <c r="A570" s="231"/>
      <c r="B570" s="231"/>
      <c r="C570" s="231"/>
      <c r="D570" s="45"/>
      <c r="E570" s="45"/>
      <c r="F570" s="45"/>
      <c r="N570" s="160"/>
    </row>
    <row r="571">
      <c r="A571" s="231"/>
      <c r="B571" s="231"/>
      <c r="C571" s="231"/>
      <c r="D571" s="45"/>
      <c r="E571" s="45"/>
      <c r="F571" s="45"/>
      <c r="N571" s="160"/>
    </row>
    <row r="572">
      <c r="A572" s="231"/>
      <c r="B572" s="231"/>
      <c r="C572" s="231"/>
      <c r="D572" s="45"/>
      <c r="E572" s="45"/>
      <c r="F572" s="45"/>
      <c r="N572" s="160"/>
    </row>
    <row r="573">
      <c r="A573" s="231"/>
      <c r="B573" s="231"/>
      <c r="C573" s="231"/>
      <c r="D573" s="45"/>
      <c r="E573" s="45"/>
      <c r="F573" s="45"/>
      <c r="N573" s="160"/>
    </row>
    <row r="574">
      <c r="A574" s="231"/>
      <c r="B574" s="231"/>
      <c r="C574" s="231"/>
      <c r="D574" s="45"/>
      <c r="E574" s="45"/>
      <c r="F574" s="45"/>
      <c r="N574" s="160"/>
    </row>
    <row r="575">
      <c r="A575" s="231"/>
      <c r="B575" s="231"/>
      <c r="C575" s="231"/>
      <c r="D575" s="45"/>
      <c r="E575" s="45"/>
      <c r="F575" s="45"/>
      <c r="N575" s="160"/>
    </row>
    <row r="576">
      <c r="A576" s="231"/>
      <c r="B576" s="231"/>
      <c r="C576" s="231"/>
      <c r="D576" s="45"/>
      <c r="E576" s="45"/>
      <c r="F576" s="45"/>
      <c r="N576" s="160"/>
    </row>
    <row r="577">
      <c r="A577" s="231"/>
      <c r="B577" s="231"/>
      <c r="C577" s="231"/>
      <c r="D577" s="45"/>
      <c r="E577" s="45"/>
      <c r="F577" s="45"/>
      <c r="N577" s="160"/>
    </row>
    <row r="578">
      <c r="A578" s="231"/>
      <c r="B578" s="231"/>
      <c r="C578" s="231"/>
      <c r="D578" s="45"/>
      <c r="E578" s="45"/>
      <c r="F578" s="45"/>
      <c r="N578" s="160"/>
    </row>
    <row r="579">
      <c r="A579" s="231"/>
      <c r="B579" s="231"/>
      <c r="C579" s="231"/>
      <c r="D579" s="45"/>
      <c r="E579" s="45"/>
      <c r="F579" s="45"/>
      <c r="N579" s="160"/>
    </row>
    <row r="580">
      <c r="A580" s="231"/>
      <c r="B580" s="231"/>
      <c r="C580" s="231"/>
      <c r="D580" s="45"/>
      <c r="E580" s="45"/>
      <c r="F580" s="45"/>
      <c r="N580" s="160"/>
    </row>
    <row r="581">
      <c r="A581" s="231"/>
      <c r="B581" s="231"/>
      <c r="C581" s="231"/>
      <c r="D581" s="45"/>
      <c r="E581" s="45"/>
      <c r="F581" s="45"/>
      <c r="N581" s="160"/>
    </row>
    <row r="582">
      <c r="A582" s="231"/>
      <c r="B582" s="231"/>
      <c r="C582" s="231"/>
      <c r="D582" s="45"/>
      <c r="E582" s="45"/>
      <c r="F582" s="45"/>
      <c r="N582" s="160"/>
    </row>
    <row r="583">
      <c r="A583" s="231"/>
      <c r="B583" s="231"/>
      <c r="C583" s="231"/>
      <c r="D583" s="45"/>
      <c r="E583" s="45"/>
      <c r="F583" s="45"/>
      <c r="N583" s="160"/>
    </row>
    <row r="584">
      <c r="A584" s="231"/>
      <c r="B584" s="231"/>
      <c r="C584" s="231"/>
      <c r="D584" s="45"/>
      <c r="E584" s="45"/>
      <c r="F584" s="45"/>
      <c r="N584" s="160"/>
    </row>
    <row r="585">
      <c r="A585" s="231"/>
      <c r="B585" s="231"/>
      <c r="C585" s="231"/>
      <c r="D585" s="45"/>
      <c r="E585" s="45"/>
      <c r="F585" s="45"/>
      <c r="N585" s="160"/>
    </row>
    <row r="586">
      <c r="A586" s="231"/>
      <c r="B586" s="231"/>
      <c r="C586" s="231"/>
      <c r="D586" s="45"/>
      <c r="E586" s="45"/>
      <c r="F586" s="45"/>
      <c r="N586" s="160"/>
    </row>
    <row r="587">
      <c r="A587" s="231"/>
      <c r="B587" s="231"/>
      <c r="C587" s="231"/>
      <c r="D587" s="45"/>
      <c r="E587" s="45"/>
      <c r="F587" s="45"/>
      <c r="N587" s="160"/>
    </row>
    <row r="588">
      <c r="A588" s="231"/>
      <c r="B588" s="231"/>
      <c r="C588" s="231"/>
      <c r="D588" s="45"/>
      <c r="E588" s="45"/>
      <c r="F588" s="45"/>
      <c r="N588" s="160"/>
    </row>
    <row r="589">
      <c r="A589" s="231"/>
      <c r="B589" s="231"/>
      <c r="C589" s="231"/>
      <c r="D589" s="45"/>
      <c r="E589" s="45"/>
      <c r="F589" s="45"/>
      <c r="N589" s="160"/>
    </row>
    <row r="590">
      <c r="A590" s="231"/>
      <c r="B590" s="231"/>
      <c r="C590" s="231"/>
      <c r="D590" s="45"/>
      <c r="E590" s="45"/>
      <c r="F590" s="45"/>
      <c r="N590" s="160"/>
    </row>
    <row r="591">
      <c r="A591" s="231"/>
      <c r="B591" s="231"/>
      <c r="C591" s="231"/>
      <c r="D591" s="45"/>
      <c r="E591" s="45"/>
      <c r="F591" s="45"/>
      <c r="N591" s="160"/>
    </row>
    <row r="592">
      <c r="A592" s="231"/>
      <c r="B592" s="231"/>
      <c r="C592" s="231"/>
      <c r="D592" s="45"/>
      <c r="E592" s="45"/>
      <c r="F592" s="45"/>
      <c r="N592" s="160"/>
    </row>
    <row r="593">
      <c r="A593" s="231"/>
      <c r="B593" s="231"/>
      <c r="C593" s="231"/>
      <c r="D593" s="45"/>
      <c r="E593" s="45"/>
      <c r="F593" s="45"/>
      <c r="N593" s="160"/>
    </row>
    <row r="594">
      <c r="A594" s="231"/>
      <c r="B594" s="231"/>
      <c r="C594" s="231"/>
      <c r="D594" s="45"/>
      <c r="E594" s="45"/>
      <c r="F594" s="45"/>
      <c r="N594" s="160"/>
    </row>
    <row r="595">
      <c r="A595" s="231"/>
      <c r="B595" s="231"/>
      <c r="C595" s="231"/>
      <c r="D595" s="45"/>
      <c r="E595" s="45"/>
      <c r="F595" s="45"/>
      <c r="N595" s="160"/>
    </row>
    <row r="596">
      <c r="A596" s="231"/>
      <c r="B596" s="231"/>
      <c r="C596" s="231"/>
      <c r="D596" s="45"/>
      <c r="E596" s="45"/>
      <c r="F596" s="45"/>
      <c r="N596" s="160"/>
    </row>
    <row r="597">
      <c r="A597" s="231"/>
      <c r="B597" s="231"/>
      <c r="C597" s="231"/>
      <c r="D597" s="45"/>
      <c r="E597" s="45"/>
      <c r="F597" s="45"/>
      <c r="N597" s="160"/>
    </row>
    <row r="598">
      <c r="A598" s="231"/>
      <c r="B598" s="231"/>
      <c r="C598" s="231"/>
      <c r="D598" s="45"/>
      <c r="E598" s="45"/>
      <c r="F598" s="45"/>
      <c r="N598" s="160"/>
    </row>
    <row r="599">
      <c r="A599" s="231"/>
      <c r="B599" s="231"/>
      <c r="C599" s="231"/>
      <c r="D599" s="45"/>
      <c r="E599" s="45"/>
      <c r="F599" s="45"/>
      <c r="N599" s="160"/>
    </row>
    <row r="600">
      <c r="A600" s="231"/>
      <c r="B600" s="231"/>
      <c r="C600" s="231"/>
      <c r="D600" s="45"/>
      <c r="E600" s="45"/>
      <c r="F600" s="45"/>
      <c r="N600" s="160"/>
    </row>
    <row r="601">
      <c r="A601" s="231"/>
      <c r="B601" s="231"/>
      <c r="C601" s="231"/>
      <c r="D601" s="45"/>
      <c r="E601" s="45"/>
      <c r="F601" s="45"/>
      <c r="N601" s="160"/>
    </row>
    <row r="602">
      <c r="A602" s="231"/>
      <c r="B602" s="231"/>
      <c r="C602" s="231"/>
      <c r="D602" s="45"/>
      <c r="E602" s="45"/>
      <c r="F602" s="45"/>
      <c r="N602" s="160"/>
    </row>
    <row r="603">
      <c r="A603" s="231"/>
      <c r="B603" s="231"/>
      <c r="C603" s="231"/>
      <c r="D603" s="45"/>
      <c r="E603" s="45"/>
      <c r="F603" s="45"/>
      <c r="N603" s="160"/>
    </row>
    <row r="604">
      <c r="A604" s="231"/>
      <c r="B604" s="231"/>
      <c r="C604" s="231"/>
      <c r="D604" s="45"/>
      <c r="E604" s="45"/>
      <c r="F604" s="45"/>
      <c r="N604" s="160"/>
    </row>
    <row r="605">
      <c r="A605" s="231"/>
      <c r="B605" s="231"/>
      <c r="C605" s="231"/>
      <c r="D605" s="45"/>
      <c r="E605" s="45"/>
      <c r="F605" s="45"/>
      <c r="N605" s="160"/>
    </row>
    <row r="606">
      <c r="A606" s="231"/>
      <c r="B606" s="231"/>
      <c r="C606" s="231"/>
      <c r="D606" s="45"/>
      <c r="E606" s="45"/>
      <c r="F606" s="45"/>
      <c r="N606" s="160"/>
    </row>
    <row r="607">
      <c r="A607" s="231"/>
      <c r="B607" s="231"/>
      <c r="C607" s="231"/>
      <c r="D607" s="45"/>
      <c r="E607" s="45"/>
      <c r="F607" s="45"/>
      <c r="N607" s="160"/>
    </row>
    <row r="608">
      <c r="A608" s="231"/>
      <c r="B608" s="231"/>
      <c r="C608" s="231"/>
      <c r="D608" s="45"/>
      <c r="E608" s="45"/>
      <c r="F608" s="45"/>
      <c r="N608" s="160"/>
    </row>
    <row r="609">
      <c r="A609" s="231"/>
      <c r="B609" s="231"/>
      <c r="C609" s="231"/>
      <c r="D609" s="45"/>
      <c r="E609" s="45"/>
      <c r="F609" s="45"/>
      <c r="N609" s="160"/>
    </row>
    <row r="610">
      <c r="A610" s="231"/>
      <c r="B610" s="231"/>
      <c r="C610" s="231"/>
      <c r="D610" s="45"/>
      <c r="E610" s="45"/>
      <c r="F610" s="45"/>
      <c r="N610" s="160"/>
    </row>
    <row r="611">
      <c r="A611" s="231"/>
      <c r="B611" s="231"/>
      <c r="C611" s="231"/>
      <c r="D611" s="45"/>
      <c r="E611" s="45"/>
      <c r="F611" s="45"/>
      <c r="N611" s="160"/>
    </row>
    <row r="612">
      <c r="A612" s="231"/>
      <c r="B612" s="231"/>
      <c r="C612" s="231"/>
      <c r="D612" s="45"/>
      <c r="E612" s="45"/>
      <c r="F612" s="45"/>
      <c r="N612" s="160"/>
    </row>
    <row r="613">
      <c r="A613" s="231"/>
      <c r="B613" s="231"/>
      <c r="C613" s="231"/>
      <c r="D613" s="45"/>
      <c r="E613" s="45"/>
      <c r="F613" s="45"/>
      <c r="N613" s="160"/>
    </row>
    <row r="614">
      <c r="A614" s="231"/>
      <c r="B614" s="231"/>
      <c r="C614" s="231"/>
      <c r="D614" s="45"/>
      <c r="E614" s="45"/>
      <c r="F614" s="45"/>
      <c r="N614" s="160"/>
    </row>
    <row r="615">
      <c r="A615" s="231"/>
      <c r="B615" s="231"/>
      <c r="C615" s="231"/>
      <c r="D615" s="45"/>
      <c r="E615" s="45"/>
      <c r="F615" s="45"/>
      <c r="N615" s="160"/>
    </row>
    <row r="616">
      <c r="A616" s="231"/>
      <c r="B616" s="231"/>
      <c r="C616" s="231"/>
      <c r="D616" s="45"/>
      <c r="E616" s="45"/>
      <c r="F616" s="45"/>
      <c r="N616" s="160"/>
    </row>
    <row r="617">
      <c r="A617" s="231"/>
      <c r="B617" s="231"/>
      <c r="C617" s="231"/>
      <c r="D617" s="45"/>
      <c r="E617" s="45"/>
      <c r="F617" s="45"/>
      <c r="N617" s="160"/>
    </row>
    <row r="618">
      <c r="A618" s="231"/>
      <c r="B618" s="231"/>
      <c r="C618" s="231"/>
      <c r="D618" s="45"/>
      <c r="E618" s="45"/>
      <c r="F618" s="45"/>
      <c r="N618" s="160"/>
    </row>
    <row r="619">
      <c r="A619" s="231"/>
      <c r="B619" s="231"/>
      <c r="C619" s="231"/>
      <c r="D619" s="45"/>
      <c r="E619" s="45"/>
      <c r="F619" s="45"/>
      <c r="N619" s="160"/>
    </row>
    <row r="620">
      <c r="A620" s="231"/>
      <c r="B620" s="231"/>
      <c r="C620" s="231"/>
      <c r="D620" s="45"/>
      <c r="E620" s="45"/>
      <c r="F620" s="45"/>
      <c r="N620" s="160"/>
    </row>
    <row r="621">
      <c r="A621" s="231"/>
      <c r="B621" s="231"/>
      <c r="C621" s="231"/>
      <c r="D621" s="45"/>
      <c r="E621" s="45"/>
      <c r="F621" s="45"/>
      <c r="N621" s="160"/>
    </row>
    <row r="622">
      <c r="A622" s="231"/>
      <c r="B622" s="231"/>
      <c r="C622" s="231"/>
      <c r="D622" s="45"/>
      <c r="E622" s="45"/>
      <c r="F622" s="45"/>
      <c r="N622" s="160"/>
    </row>
    <row r="623">
      <c r="A623" s="231"/>
      <c r="B623" s="231"/>
      <c r="C623" s="231"/>
      <c r="D623" s="45"/>
      <c r="E623" s="45"/>
      <c r="F623" s="45"/>
      <c r="N623" s="160"/>
    </row>
    <row r="624">
      <c r="A624" s="231"/>
      <c r="B624" s="231"/>
      <c r="C624" s="231"/>
      <c r="D624" s="45"/>
      <c r="E624" s="45"/>
      <c r="F624" s="45"/>
      <c r="N624" s="160"/>
    </row>
    <row r="625">
      <c r="A625" s="231"/>
      <c r="B625" s="231"/>
      <c r="C625" s="231"/>
      <c r="D625" s="45"/>
      <c r="E625" s="45"/>
      <c r="F625" s="45"/>
      <c r="N625" s="160"/>
    </row>
    <row r="626">
      <c r="A626" s="231"/>
      <c r="B626" s="231"/>
      <c r="C626" s="231"/>
      <c r="D626" s="45"/>
      <c r="E626" s="45"/>
      <c r="F626" s="45"/>
      <c r="N626" s="160"/>
    </row>
    <row r="627">
      <c r="A627" s="231"/>
      <c r="B627" s="231"/>
      <c r="C627" s="231"/>
      <c r="D627" s="45"/>
      <c r="E627" s="45"/>
      <c r="F627" s="45"/>
      <c r="N627" s="160"/>
    </row>
    <row r="628">
      <c r="A628" s="231"/>
      <c r="B628" s="231"/>
      <c r="C628" s="231"/>
      <c r="D628" s="45"/>
      <c r="E628" s="45"/>
      <c r="F628" s="45"/>
      <c r="N628" s="160"/>
    </row>
    <row r="629">
      <c r="A629" s="231"/>
      <c r="B629" s="231"/>
      <c r="C629" s="231"/>
      <c r="D629" s="45"/>
      <c r="E629" s="45"/>
      <c r="F629" s="45"/>
      <c r="N629" s="160"/>
    </row>
    <row r="630">
      <c r="A630" s="231"/>
      <c r="B630" s="231"/>
      <c r="C630" s="231"/>
      <c r="D630" s="45"/>
      <c r="E630" s="45"/>
      <c r="F630" s="45"/>
      <c r="N630" s="160"/>
    </row>
    <row r="631">
      <c r="A631" s="231"/>
      <c r="B631" s="231"/>
      <c r="C631" s="231"/>
      <c r="D631" s="45"/>
      <c r="E631" s="45"/>
      <c r="F631" s="45"/>
      <c r="N631" s="160"/>
    </row>
    <row r="632">
      <c r="A632" s="231"/>
      <c r="B632" s="231"/>
      <c r="C632" s="231"/>
      <c r="D632" s="45"/>
      <c r="E632" s="45"/>
      <c r="F632" s="45"/>
      <c r="N632" s="160"/>
    </row>
    <row r="633">
      <c r="A633" s="231"/>
      <c r="B633" s="231"/>
      <c r="C633" s="231"/>
      <c r="D633" s="45"/>
      <c r="E633" s="45"/>
      <c r="F633" s="45"/>
      <c r="N633" s="160"/>
    </row>
    <row r="634">
      <c r="A634" s="231"/>
      <c r="B634" s="231"/>
      <c r="C634" s="231"/>
      <c r="D634" s="45"/>
      <c r="E634" s="45"/>
      <c r="F634" s="45"/>
      <c r="N634" s="160"/>
    </row>
    <row r="635">
      <c r="A635" s="231"/>
      <c r="B635" s="231"/>
      <c r="C635" s="231"/>
      <c r="D635" s="45"/>
      <c r="E635" s="45"/>
      <c r="F635" s="45"/>
      <c r="N635" s="160"/>
    </row>
    <row r="636">
      <c r="A636" s="231"/>
      <c r="B636" s="231"/>
      <c r="C636" s="231"/>
      <c r="D636" s="45"/>
      <c r="E636" s="45"/>
      <c r="F636" s="45"/>
      <c r="N636" s="160"/>
    </row>
    <row r="637">
      <c r="A637" s="231"/>
      <c r="B637" s="231"/>
      <c r="C637" s="231"/>
      <c r="D637" s="45"/>
      <c r="E637" s="45"/>
      <c r="F637" s="45"/>
      <c r="N637" s="160"/>
    </row>
    <row r="638">
      <c r="A638" s="231"/>
      <c r="B638" s="231"/>
      <c r="C638" s="231"/>
      <c r="D638" s="45"/>
      <c r="E638" s="45"/>
      <c r="F638" s="45"/>
      <c r="N638" s="160"/>
    </row>
    <row r="639">
      <c r="A639" s="231"/>
      <c r="B639" s="231"/>
      <c r="C639" s="231"/>
      <c r="D639" s="45"/>
      <c r="E639" s="45"/>
      <c r="F639" s="45"/>
      <c r="N639" s="160"/>
    </row>
    <row r="640">
      <c r="A640" s="231"/>
      <c r="B640" s="231"/>
      <c r="C640" s="231"/>
      <c r="D640" s="45"/>
      <c r="E640" s="45"/>
      <c r="F640" s="45"/>
      <c r="N640" s="160"/>
    </row>
    <row r="641">
      <c r="A641" s="231"/>
      <c r="B641" s="231"/>
      <c r="C641" s="231"/>
      <c r="D641" s="45"/>
      <c r="E641" s="45"/>
      <c r="F641" s="45"/>
      <c r="N641" s="160"/>
    </row>
    <row r="642">
      <c r="A642" s="231"/>
      <c r="B642" s="231"/>
      <c r="C642" s="231"/>
      <c r="D642" s="45"/>
      <c r="E642" s="45"/>
      <c r="F642" s="45"/>
      <c r="N642" s="160"/>
    </row>
    <row r="643">
      <c r="A643" s="231"/>
      <c r="B643" s="231"/>
      <c r="C643" s="231"/>
      <c r="D643" s="45"/>
      <c r="E643" s="45"/>
      <c r="F643" s="45"/>
      <c r="N643" s="160"/>
    </row>
    <row r="644">
      <c r="A644" s="231"/>
      <c r="B644" s="231"/>
      <c r="C644" s="231"/>
      <c r="D644" s="45"/>
      <c r="E644" s="45"/>
      <c r="F644" s="45"/>
      <c r="N644" s="160"/>
    </row>
    <row r="645">
      <c r="A645" s="231"/>
      <c r="B645" s="231"/>
      <c r="C645" s="231"/>
      <c r="D645" s="45"/>
      <c r="E645" s="45"/>
      <c r="F645" s="45"/>
      <c r="N645" s="160"/>
    </row>
    <row r="646">
      <c r="A646" s="231"/>
      <c r="B646" s="231"/>
      <c r="C646" s="231"/>
      <c r="D646" s="45"/>
      <c r="E646" s="45"/>
      <c r="F646" s="45"/>
      <c r="N646" s="160"/>
    </row>
    <row r="647">
      <c r="A647" s="231"/>
      <c r="B647" s="231"/>
      <c r="C647" s="231"/>
      <c r="D647" s="45"/>
      <c r="E647" s="45"/>
      <c r="F647" s="45"/>
      <c r="N647" s="160"/>
    </row>
    <row r="648">
      <c r="A648" s="231"/>
      <c r="B648" s="231"/>
      <c r="C648" s="231"/>
      <c r="D648" s="45"/>
      <c r="E648" s="45"/>
      <c r="F648" s="45"/>
      <c r="N648" s="160"/>
    </row>
    <row r="649">
      <c r="A649" s="231"/>
      <c r="B649" s="231"/>
      <c r="C649" s="231"/>
      <c r="D649" s="45"/>
      <c r="E649" s="45"/>
      <c r="F649" s="45"/>
      <c r="N649" s="160"/>
    </row>
    <row r="650">
      <c r="A650" s="231"/>
      <c r="B650" s="231"/>
      <c r="C650" s="231"/>
      <c r="D650" s="45"/>
      <c r="E650" s="45"/>
      <c r="F650" s="45"/>
      <c r="N650" s="160"/>
    </row>
    <row r="651">
      <c r="A651" s="231"/>
      <c r="B651" s="231"/>
      <c r="C651" s="231"/>
      <c r="D651" s="45"/>
      <c r="E651" s="45"/>
      <c r="F651" s="45"/>
      <c r="N651" s="160"/>
    </row>
    <row r="652">
      <c r="A652" s="231"/>
      <c r="B652" s="231"/>
      <c r="C652" s="231"/>
      <c r="D652" s="45"/>
      <c r="E652" s="45"/>
      <c r="F652" s="45"/>
      <c r="N652" s="160"/>
    </row>
    <row r="653">
      <c r="A653" s="231"/>
      <c r="B653" s="231"/>
      <c r="C653" s="231"/>
      <c r="D653" s="45"/>
      <c r="E653" s="45"/>
      <c r="F653" s="45"/>
      <c r="N653" s="160"/>
    </row>
    <row r="654">
      <c r="A654" s="231"/>
      <c r="B654" s="231"/>
      <c r="C654" s="231"/>
      <c r="D654" s="45"/>
      <c r="E654" s="45"/>
      <c r="F654" s="45"/>
      <c r="N654" s="160"/>
    </row>
    <row r="655">
      <c r="A655" s="231"/>
      <c r="B655" s="231"/>
      <c r="C655" s="231"/>
      <c r="D655" s="45"/>
      <c r="E655" s="45"/>
      <c r="F655" s="45"/>
      <c r="N655" s="160"/>
    </row>
    <row r="656">
      <c r="A656" s="231"/>
      <c r="B656" s="231"/>
      <c r="C656" s="231"/>
      <c r="D656" s="45"/>
      <c r="E656" s="45"/>
      <c r="F656" s="45"/>
      <c r="N656" s="160"/>
    </row>
    <row r="657">
      <c r="A657" s="231"/>
      <c r="B657" s="231"/>
      <c r="C657" s="231"/>
      <c r="D657" s="45"/>
      <c r="E657" s="45"/>
      <c r="F657" s="45"/>
      <c r="N657" s="160"/>
    </row>
    <row r="658">
      <c r="A658" s="231"/>
      <c r="B658" s="231"/>
      <c r="C658" s="231"/>
      <c r="D658" s="45"/>
      <c r="E658" s="45"/>
      <c r="F658" s="45"/>
      <c r="N658" s="160"/>
    </row>
    <row r="659">
      <c r="A659" s="231"/>
      <c r="B659" s="231"/>
      <c r="C659" s="231"/>
      <c r="D659" s="45"/>
      <c r="E659" s="45"/>
      <c r="F659" s="45"/>
      <c r="N659" s="160"/>
    </row>
    <row r="660">
      <c r="A660" s="231"/>
      <c r="B660" s="231"/>
      <c r="C660" s="231"/>
      <c r="D660" s="45"/>
      <c r="E660" s="45"/>
      <c r="F660" s="45"/>
      <c r="N660" s="160"/>
    </row>
    <row r="661">
      <c r="A661" s="231"/>
      <c r="B661" s="231"/>
      <c r="C661" s="231"/>
      <c r="D661" s="45"/>
      <c r="E661" s="45"/>
      <c r="F661" s="45"/>
      <c r="N661" s="160"/>
    </row>
    <row r="662">
      <c r="A662" s="231"/>
      <c r="B662" s="231"/>
      <c r="C662" s="231"/>
      <c r="D662" s="45"/>
      <c r="E662" s="45"/>
      <c r="F662" s="45"/>
      <c r="N662" s="160"/>
    </row>
    <row r="663">
      <c r="A663" s="231"/>
      <c r="B663" s="231"/>
      <c r="C663" s="231"/>
      <c r="D663" s="45"/>
      <c r="E663" s="45"/>
      <c r="F663" s="45"/>
      <c r="N663" s="160"/>
    </row>
    <row r="664">
      <c r="A664" s="231"/>
      <c r="B664" s="231"/>
      <c r="C664" s="231"/>
      <c r="D664" s="45"/>
      <c r="E664" s="45"/>
      <c r="F664" s="45"/>
      <c r="N664" s="160"/>
    </row>
    <row r="665">
      <c r="A665" s="231"/>
      <c r="B665" s="231"/>
      <c r="C665" s="231"/>
      <c r="D665" s="45"/>
      <c r="E665" s="45"/>
      <c r="F665" s="45"/>
      <c r="N665" s="160"/>
    </row>
    <row r="666">
      <c r="A666" s="231"/>
      <c r="B666" s="231"/>
      <c r="C666" s="231"/>
      <c r="D666" s="45"/>
      <c r="E666" s="45"/>
      <c r="F666" s="45"/>
      <c r="N666" s="160"/>
    </row>
    <row r="667">
      <c r="A667" s="231"/>
      <c r="B667" s="231"/>
      <c r="C667" s="231"/>
      <c r="D667" s="45"/>
      <c r="E667" s="45"/>
      <c r="F667" s="45"/>
      <c r="N667" s="160"/>
    </row>
    <row r="668">
      <c r="A668" s="231"/>
      <c r="B668" s="231"/>
      <c r="C668" s="231"/>
      <c r="D668" s="45"/>
      <c r="E668" s="45"/>
      <c r="F668" s="45"/>
      <c r="N668" s="160"/>
    </row>
    <row r="669">
      <c r="A669" s="231"/>
      <c r="B669" s="231"/>
      <c r="C669" s="231"/>
      <c r="D669" s="45"/>
      <c r="E669" s="45"/>
      <c r="F669" s="45"/>
      <c r="N669" s="160"/>
    </row>
    <row r="670">
      <c r="A670" s="231"/>
      <c r="B670" s="231"/>
      <c r="C670" s="231"/>
      <c r="D670" s="45"/>
      <c r="E670" s="45"/>
      <c r="F670" s="45"/>
      <c r="N670" s="160"/>
    </row>
    <row r="671">
      <c r="A671" s="231"/>
      <c r="B671" s="231"/>
      <c r="C671" s="231"/>
      <c r="D671" s="45"/>
      <c r="E671" s="45"/>
      <c r="F671" s="45"/>
      <c r="N671" s="160"/>
    </row>
    <row r="672">
      <c r="A672" s="231"/>
      <c r="B672" s="231"/>
      <c r="C672" s="231"/>
      <c r="D672" s="45"/>
      <c r="E672" s="45"/>
      <c r="F672" s="45"/>
      <c r="N672" s="160"/>
    </row>
    <row r="673">
      <c r="A673" s="231"/>
      <c r="B673" s="231"/>
      <c r="C673" s="231"/>
      <c r="D673" s="45"/>
      <c r="E673" s="45"/>
      <c r="F673" s="45"/>
      <c r="N673" s="160"/>
    </row>
    <row r="674">
      <c r="A674" s="231"/>
      <c r="B674" s="231"/>
      <c r="C674" s="231"/>
      <c r="D674" s="45"/>
      <c r="E674" s="45"/>
      <c r="F674" s="45"/>
      <c r="N674" s="160"/>
    </row>
    <row r="675">
      <c r="A675" s="231"/>
      <c r="B675" s="231"/>
      <c r="C675" s="231"/>
      <c r="D675" s="45"/>
      <c r="E675" s="45"/>
      <c r="F675" s="45"/>
      <c r="N675" s="160"/>
    </row>
    <row r="676">
      <c r="A676" s="231"/>
      <c r="B676" s="231"/>
      <c r="C676" s="231"/>
      <c r="D676" s="45"/>
      <c r="E676" s="45"/>
      <c r="F676" s="45"/>
      <c r="N676" s="160"/>
    </row>
    <row r="677">
      <c r="A677" s="231"/>
      <c r="B677" s="231"/>
      <c r="C677" s="231"/>
      <c r="D677" s="45"/>
      <c r="E677" s="45"/>
      <c r="F677" s="45"/>
      <c r="N677" s="160"/>
    </row>
    <row r="678">
      <c r="A678" s="231"/>
      <c r="B678" s="231"/>
      <c r="C678" s="231"/>
      <c r="D678" s="45"/>
      <c r="E678" s="45"/>
      <c r="F678" s="45"/>
      <c r="N678" s="160"/>
    </row>
    <row r="679">
      <c r="A679" s="231"/>
      <c r="B679" s="231"/>
      <c r="C679" s="231"/>
      <c r="D679" s="45"/>
      <c r="E679" s="45"/>
      <c r="F679" s="45"/>
      <c r="N679" s="160"/>
    </row>
    <row r="680">
      <c r="A680" s="231"/>
      <c r="B680" s="231"/>
      <c r="C680" s="231"/>
      <c r="D680" s="45"/>
      <c r="E680" s="45"/>
      <c r="F680" s="45"/>
      <c r="N680" s="160"/>
    </row>
    <row r="681">
      <c r="A681" s="231"/>
      <c r="B681" s="231"/>
      <c r="C681" s="231"/>
      <c r="D681" s="45"/>
      <c r="E681" s="45"/>
      <c r="F681" s="45"/>
      <c r="N681" s="160"/>
    </row>
    <row r="682">
      <c r="A682" s="231"/>
      <c r="B682" s="231"/>
      <c r="C682" s="231"/>
      <c r="D682" s="45"/>
      <c r="E682" s="45"/>
      <c r="F682" s="45"/>
      <c r="N682" s="160"/>
    </row>
    <row r="683">
      <c r="A683" s="231"/>
      <c r="B683" s="231"/>
      <c r="C683" s="231"/>
      <c r="D683" s="45"/>
      <c r="E683" s="45"/>
      <c r="F683" s="45"/>
      <c r="N683" s="160"/>
    </row>
    <row r="684">
      <c r="A684" s="231"/>
      <c r="B684" s="231"/>
      <c r="C684" s="231"/>
      <c r="D684" s="45"/>
      <c r="E684" s="45"/>
      <c r="F684" s="45"/>
      <c r="N684" s="160"/>
    </row>
    <row r="685">
      <c r="A685" s="231"/>
      <c r="B685" s="231"/>
      <c r="C685" s="231"/>
      <c r="D685" s="45"/>
      <c r="E685" s="45"/>
      <c r="F685" s="45"/>
      <c r="N685" s="160"/>
    </row>
    <row r="686">
      <c r="A686" s="231"/>
      <c r="B686" s="231"/>
      <c r="C686" s="231"/>
      <c r="D686" s="45"/>
      <c r="E686" s="45"/>
      <c r="F686" s="45"/>
      <c r="N686" s="160"/>
    </row>
    <row r="687">
      <c r="A687" s="231"/>
      <c r="B687" s="231"/>
      <c r="C687" s="231"/>
      <c r="D687" s="45"/>
      <c r="E687" s="45"/>
      <c r="F687" s="45"/>
      <c r="N687" s="160"/>
    </row>
    <row r="688">
      <c r="A688" s="231"/>
      <c r="B688" s="231"/>
      <c r="C688" s="231"/>
      <c r="D688" s="45"/>
      <c r="E688" s="45"/>
      <c r="F688" s="45"/>
      <c r="N688" s="160"/>
    </row>
    <row r="689">
      <c r="A689" s="231"/>
      <c r="B689" s="231"/>
      <c r="C689" s="231"/>
      <c r="D689" s="45"/>
      <c r="E689" s="45"/>
      <c r="F689" s="45"/>
      <c r="N689" s="160"/>
    </row>
    <row r="690">
      <c r="A690" s="231"/>
      <c r="B690" s="231"/>
      <c r="C690" s="231"/>
      <c r="D690" s="45"/>
      <c r="E690" s="45"/>
      <c r="F690" s="45"/>
      <c r="N690" s="160"/>
    </row>
    <row r="691">
      <c r="A691" s="231"/>
      <c r="B691" s="231"/>
      <c r="C691" s="231"/>
      <c r="D691" s="45"/>
      <c r="E691" s="45"/>
      <c r="F691" s="45"/>
      <c r="N691" s="160"/>
    </row>
    <row r="692">
      <c r="A692" s="231"/>
      <c r="B692" s="231"/>
      <c r="C692" s="231"/>
      <c r="D692" s="45"/>
      <c r="E692" s="45"/>
      <c r="F692" s="45"/>
      <c r="N692" s="160"/>
    </row>
    <row r="693">
      <c r="A693" s="231"/>
      <c r="B693" s="231"/>
      <c r="C693" s="231"/>
      <c r="D693" s="45"/>
      <c r="E693" s="45"/>
      <c r="F693" s="45"/>
      <c r="N693" s="160"/>
    </row>
    <row r="694">
      <c r="A694" s="231"/>
      <c r="B694" s="231"/>
      <c r="C694" s="231"/>
      <c r="D694" s="45"/>
      <c r="E694" s="45"/>
      <c r="F694" s="45"/>
      <c r="N694" s="160"/>
    </row>
    <row r="695">
      <c r="A695" s="231"/>
      <c r="B695" s="231"/>
      <c r="C695" s="231"/>
      <c r="D695" s="45"/>
      <c r="E695" s="45"/>
      <c r="F695" s="45"/>
      <c r="N695" s="160"/>
    </row>
    <row r="696">
      <c r="A696" s="231"/>
      <c r="B696" s="231"/>
      <c r="C696" s="231"/>
      <c r="D696" s="45"/>
      <c r="E696" s="45"/>
      <c r="F696" s="45"/>
      <c r="N696" s="160"/>
    </row>
    <row r="697">
      <c r="A697" s="231"/>
      <c r="B697" s="231"/>
      <c r="C697" s="231"/>
      <c r="D697" s="45"/>
      <c r="E697" s="45"/>
      <c r="F697" s="45"/>
      <c r="N697" s="160"/>
    </row>
    <row r="698">
      <c r="A698" s="231"/>
      <c r="B698" s="231"/>
      <c r="C698" s="231"/>
      <c r="D698" s="45"/>
      <c r="E698" s="45"/>
      <c r="F698" s="45"/>
      <c r="N698" s="160"/>
    </row>
    <row r="699">
      <c r="A699" s="231"/>
      <c r="B699" s="231"/>
      <c r="C699" s="231"/>
      <c r="D699" s="45"/>
      <c r="E699" s="45"/>
      <c r="F699" s="45"/>
      <c r="N699" s="160"/>
    </row>
    <row r="700">
      <c r="A700" s="231"/>
      <c r="B700" s="231"/>
      <c r="C700" s="231"/>
      <c r="D700" s="45"/>
      <c r="E700" s="45"/>
      <c r="F700" s="45"/>
      <c r="N700" s="160"/>
    </row>
    <row r="701">
      <c r="A701" s="231"/>
      <c r="B701" s="231"/>
      <c r="C701" s="231"/>
      <c r="D701" s="45"/>
      <c r="E701" s="45"/>
      <c r="F701" s="45"/>
      <c r="N701" s="160"/>
    </row>
    <row r="702">
      <c r="A702" s="231"/>
      <c r="B702" s="231"/>
      <c r="C702" s="231"/>
      <c r="D702" s="45"/>
      <c r="E702" s="45"/>
      <c r="F702" s="45"/>
      <c r="N702" s="160"/>
    </row>
    <row r="703">
      <c r="A703" s="231"/>
      <c r="B703" s="231"/>
      <c r="C703" s="231"/>
      <c r="D703" s="45"/>
      <c r="E703" s="45"/>
      <c r="F703" s="45"/>
      <c r="N703" s="160"/>
    </row>
    <row r="704">
      <c r="A704" s="231"/>
      <c r="B704" s="231"/>
      <c r="C704" s="231"/>
      <c r="D704" s="45"/>
      <c r="E704" s="45"/>
      <c r="F704" s="45"/>
      <c r="N704" s="160"/>
    </row>
    <row r="705">
      <c r="A705" s="231"/>
      <c r="B705" s="231"/>
      <c r="C705" s="231"/>
      <c r="D705" s="45"/>
      <c r="E705" s="45"/>
      <c r="F705" s="45"/>
      <c r="N705" s="160"/>
    </row>
    <row r="706">
      <c r="A706" s="231"/>
      <c r="B706" s="231"/>
      <c r="C706" s="231"/>
      <c r="D706" s="45"/>
      <c r="E706" s="45"/>
      <c r="F706" s="45"/>
      <c r="N706" s="160"/>
    </row>
    <row r="707">
      <c r="A707" s="231"/>
      <c r="B707" s="231"/>
      <c r="C707" s="231"/>
      <c r="D707" s="45"/>
      <c r="E707" s="45"/>
      <c r="F707" s="45"/>
      <c r="N707" s="160"/>
    </row>
    <row r="708">
      <c r="A708" s="231"/>
      <c r="B708" s="231"/>
      <c r="C708" s="231"/>
      <c r="D708" s="45"/>
      <c r="E708" s="45"/>
      <c r="F708" s="45"/>
      <c r="N708" s="160"/>
    </row>
    <row r="709">
      <c r="A709" s="231"/>
      <c r="B709" s="231"/>
      <c r="C709" s="231"/>
      <c r="D709" s="45"/>
      <c r="E709" s="45"/>
      <c r="F709" s="45"/>
      <c r="N709" s="160"/>
    </row>
    <row r="710">
      <c r="A710" s="231"/>
      <c r="B710" s="231"/>
      <c r="C710" s="231"/>
      <c r="D710" s="45"/>
      <c r="E710" s="45"/>
      <c r="F710" s="45"/>
      <c r="N710" s="160"/>
    </row>
    <row r="711">
      <c r="A711" s="231"/>
      <c r="B711" s="231"/>
      <c r="C711" s="231"/>
      <c r="D711" s="45"/>
      <c r="E711" s="45"/>
      <c r="F711" s="45"/>
      <c r="N711" s="160"/>
    </row>
    <row r="712">
      <c r="A712" s="231"/>
      <c r="B712" s="231"/>
      <c r="C712" s="231"/>
      <c r="D712" s="45"/>
      <c r="E712" s="45"/>
      <c r="F712" s="45"/>
      <c r="N712" s="160"/>
    </row>
    <row r="713">
      <c r="A713" s="231"/>
      <c r="B713" s="231"/>
      <c r="C713" s="231"/>
      <c r="D713" s="45"/>
      <c r="E713" s="45"/>
      <c r="F713" s="45"/>
      <c r="N713" s="160"/>
    </row>
    <row r="714">
      <c r="A714" s="231"/>
      <c r="B714" s="231"/>
      <c r="C714" s="231"/>
      <c r="D714" s="45"/>
      <c r="E714" s="45"/>
      <c r="F714" s="45"/>
      <c r="N714" s="160"/>
    </row>
    <row r="715">
      <c r="A715" s="231"/>
      <c r="B715" s="231"/>
      <c r="C715" s="231"/>
      <c r="D715" s="45"/>
      <c r="E715" s="45"/>
      <c r="F715" s="45"/>
      <c r="N715" s="160"/>
    </row>
    <row r="716">
      <c r="A716" s="231"/>
      <c r="B716" s="231"/>
      <c r="C716" s="231"/>
      <c r="D716" s="45"/>
      <c r="E716" s="45"/>
      <c r="F716" s="45"/>
      <c r="N716" s="160"/>
    </row>
    <row r="717">
      <c r="A717" s="231"/>
      <c r="B717" s="231"/>
      <c r="C717" s="231"/>
      <c r="D717" s="45"/>
      <c r="E717" s="45"/>
      <c r="F717" s="45"/>
      <c r="N717" s="160"/>
    </row>
    <row r="718">
      <c r="A718" s="231"/>
      <c r="B718" s="231"/>
      <c r="C718" s="231"/>
      <c r="D718" s="45"/>
      <c r="E718" s="45"/>
      <c r="F718" s="45"/>
      <c r="N718" s="160"/>
    </row>
    <row r="719">
      <c r="A719" s="231"/>
      <c r="B719" s="231"/>
      <c r="C719" s="231"/>
      <c r="D719" s="45"/>
      <c r="E719" s="45"/>
      <c r="F719" s="45"/>
      <c r="N719" s="160"/>
    </row>
    <row r="720">
      <c r="A720" s="231"/>
      <c r="B720" s="231"/>
      <c r="C720" s="231"/>
      <c r="D720" s="45"/>
      <c r="E720" s="45"/>
      <c r="F720" s="45"/>
      <c r="N720" s="160"/>
    </row>
    <row r="721">
      <c r="A721" s="231"/>
      <c r="B721" s="231"/>
      <c r="C721" s="231"/>
      <c r="D721" s="45"/>
      <c r="E721" s="45"/>
      <c r="F721" s="45"/>
      <c r="N721" s="160"/>
    </row>
    <row r="722">
      <c r="A722" s="231"/>
      <c r="B722" s="231"/>
      <c r="C722" s="231"/>
      <c r="D722" s="45"/>
      <c r="E722" s="45"/>
      <c r="F722" s="45"/>
      <c r="N722" s="160"/>
    </row>
    <row r="723">
      <c r="A723" s="231"/>
      <c r="B723" s="231"/>
      <c r="C723" s="231"/>
      <c r="D723" s="45"/>
      <c r="E723" s="45"/>
      <c r="F723" s="45"/>
      <c r="N723" s="160"/>
    </row>
    <row r="724">
      <c r="A724" s="231"/>
      <c r="B724" s="231"/>
      <c r="C724" s="231"/>
      <c r="D724" s="45"/>
      <c r="E724" s="45"/>
      <c r="F724" s="45"/>
      <c r="N724" s="160"/>
    </row>
    <row r="725">
      <c r="A725" s="231"/>
      <c r="B725" s="231"/>
      <c r="C725" s="231"/>
      <c r="D725" s="45"/>
      <c r="E725" s="45"/>
      <c r="F725" s="45"/>
      <c r="N725" s="160"/>
    </row>
    <row r="726">
      <c r="A726" s="231"/>
      <c r="B726" s="231"/>
      <c r="C726" s="231"/>
      <c r="D726" s="45"/>
      <c r="E726" s="45"/>
      <c r="F726" s="45"/>
      <c r="N726" s="160"/>
    </row>
    <row r="727">
      <c r="A727" s="231"/>
      <c r="B727" s="231"/>
      <c r="C727" s="231"/>
      <c r="D727" s="45"/>
      <c r="E727" s="45"/>
      <c r="F727" s="45"/>
      <c r="N727" s="160"/>
    </row>
    <row r="728">
      <c r="A728" s="231"/>
      <c r="B728" s="231"/>
      <c r="C728" s="231"/>
      <c r="D728" s="45"/>
      <c r="E728" s="45"/>
      <c r="F728" s="45"/>
      <c r="N728" s="160"/>
    </row>
    <row r="729">
      <c r="A729" s="231"/>
      <c r="B729" s="231"/>
      <c r="C729" s="231"/>
      <c r="D729" s="45"/>
      <c r="E729" s="45"/>
      <c r="F729" s="45"/>
      <c r="N729" s="160"/>
    </row>
    <row r="730">
      <c r="A730" s="231"/>
      <c r="B730" s="231"/>
      <c r="C730" s="231"/>
      <c r="D730" s="45"/>
      <c r="E730" s="45"/>
      <c r="F730" s="45"/>
      <c r="N730" s="160"/>
    </row>
    <row r="731">
      <c r="A731" s="231"/>
      <c r="B731" s="231"/>
      <c r="C731" s="231"/>
      <c r="D731" s="45"/>
      <c r="E731" s="45"/>
      <c r="F731" s="45"/>
      <c r="N731" s="160"/>
    </row>
    <row r="732">
      <c r="A732" s="231"/>
      <c r="B732" s="231"/>
      <c r="C732" s="231"/>
      <c r="D732" s="45"/>
      <c r="E732" s="45"/>
      <c r="F732" s="45"/>
      <c r="N732" s="160"/>
    </row>
    <row r="733">
      <c r="A733" s="231"/>
      <c r="B733" s="231"/>
      <c r="C733" s="231"/>
      <c r="D733" s="45"/>
      <c r="E733" s="45"/>
      <c r="F733" s="45"/>
      <c r="N733" s="160"/>
    </row>
    <row r="734">
      <c r="A734" s="231"/>
      <c r="B734" s="231"/>
      <c r="C734" s="231"/>
      <c r="D734" s="45"/>
      <c r="E734" s="45"/>
      <c r="F734" s="45"/>
      <c r="N734" s="160"/>
    </row>
    <row r="735">
      <c r="A735" s="231"/>
      <c r="B735" s="231"/>
      <c r="C735" s="231"/>
      <c r="D735" s="45"/>
      <c r="E735" s="45"/>
      <c r="F735" s="45"/>
      <c r="N735" s="160"/>
    </row>
    <row r="736">
      <c r="A736" s="231"/>
      <c r="B736" s="231"/>
      <c r="C736" s="231"/>
      <c r="D736" s="45"/>
      <c r="E736" s="45"/>
      <c r="F736" s="45"/>
      <c r="N736" s="160"/>
    </row>
    <row r="737">
      <c r="A737" s="231"/>
      <c r="B737" s="231"/>
      <c r="C737" s="231"/>
      <c r="D737" s="45"/>
      <c r="E737" s="45"/>
      <c r="F737" s="45"/>
      <c r="N737" s="160"/>
    </row>
    <row r="738">
      <c r="A738" s="231"/>
      <c r="B738" s="231"/>
      <c r="C738" s="231"/>
      <c r="D738" s="45"/>
      <c r="E738" s="45"/>
      <c r="F738" s="45"/>
      <c r="N738" s="160"/>
    </row>
    <row r="739">
      <c r="A739" s="231"/>
      <c r="B739" s="231"/>
      <c r="C739" s="231"/>
      <c r="D739" s="45"/>
      <c r="E739" s="45"/>
      <c r="F739" s="45"/>
      <c r="N739" s="160"/>
    </row>
    <row r="740">
      <c r="A740" s="231"/>
      <c r="B740" s="231"/>
      <c r="C740" s="231"/>
      <c r="D740" s="45"/>
      <c r="E740" s="45"/>
      <c r="F740" s="45"/>
      <c r="N740" s="160"/>
    </row>
    <row r="741">
      <c r="A741" s="231"/>
      <c r="B741" s="231"/>
      <c r="C741" s="231"/>
      <c r="D741" s="45"/>
      <c r="E741" s="45"/>
      <c r="F741" s="45"/>
      <c r="N741" s="160"/>
    </row>
    <row r="742">
      <c r="A742" s="231"/>
      <c r="B742" s="231"/>
      <c r="C742" s="231"/>
      <c r="D742" s="45"/>
      <c r="E742" s="45"/>
      <c r="F742" s="45"/>
      <c r="N742" s="160"/>
    </row>
    <row r="743">
      <c r="A743" s="231"/>
      <c r="B743" s="231"/>
      <c r="C743" s="231"/>
      <c r="D743" s="45"/>
      <c r="E743" s="45"/>
      <c r="F743" s="45"/>
      <c r="N743" s="160"/>
    </row>
    <row r="744">
      <c r="A744" s="231"/>
      <c r="B744" s="231"/>
      <c r="C744" s="231"/>
      <c r="D744" s="45"/>
      <c r="E744" s="45"/>
      <c r="F744" s="45"/>
      <c r="N744" s="160"/>
    </row>
    <row r="745">
      <c r="A745" s="231"/>
      <c r="B745" s="231"/>
      <c r="C745" s="231"/>
      <c r="D745" s="45"/>
      <c r="E745" s="45"/>
      <c r="F745" s="45"/>
      <c r="N745" s="160"/>
    </row>
    <row r="746">
      <c r="A746" s="231"/>
      <c r="B746" s="231"/>
      <c r="C746" s="231"/>
      <c r="D746" s="45"/>
      <c r="E746" s="45"/>
      <c r="F746" s="45"/>
      <c r="N746" s="160"/>
    </row>
    <row r="747">
      <c r="A747" s="231"/>
      <c r="B747" s="231"/>
      <c r="C747" s="231"/>
      <c r="D747" s="45"/>
      <c r="E747" s="45"/>
      <c r="F747" s="45"/>
      <c r="N747" s="160"/>
    </row>
    <row r="748">
      <c r="A748" s="231"/>
      <c r="B748" s="231"/>
      <c r="C748" s="231"/>
      <c r="D748" s="45"/>
      <c r="E748" s="45"/>
      <c r="F748" s="45"/>
      <c r="N748" s="160"/>
    </row>
    <row r="749">
      <c r="A749" s="231"/>
      <c r="B749" s="231"/>
      <c r="C749" s="231"/>
      <c r="D749" s="45"/>
      <c r="E749" s="45"/>
      <c r="F749" s="45"/>
      <c r="N749" s="160"/>
    </row>
    <row r="750">
      <c r="A750" s="231"/>
      <c r="B750" s="231"/>
      <c r="C750" s="231"/>
      <c r="D750" s="45"/>
      <c r="E750" s="45"/>
      <c r="F750" s="45"/>
      <c r="N750" s="160"/>
    </row>
    <row r="751">
      <c r="A751" s="231"/>
      <c r="B751" s="231"/>
      <c r="C751" s="231"/>
      <c r="D751" s="45"/>
      <c r="E751" s="45"/>
      <c r="F751" s="45"/>
      <c r="N751" s="160"/>
    </row>
    <row r="752">
      <c r="A752" s="231"/>
      <c r="B752" s="231"/>
      <c r="C752" s="231"/>
      <c r="D752" s="45"/>
      <c r="E752" s="45"/>
      <c r="F752" s="45"/>
      <c r="N752" s="160"/>
    </row>
    <row r="753">
      <c r="A753" s="231"/>
      <c r="B753" s="231"/>
      <c r="C753" s="231"/>
      <c r="D753" s="45"/>
      <c r="E753" s="45"/>
      <c r="F753" s="45"/>
      <c r="N753" s="160"/>
    </row>
    <row r="754">
      <c r="A754" s="231"/>
      <c r="B754" s="231"/>
      <c r="C754" s="231"/>
      <c r="D754" s="45"/>
      <c r="E754" s="45"/>
      <c r="F754" s="45"/>
      <c r="N754" s="160"/>
    </row>
    <row r="755">
      <c r="A755" s="231"/>
      <c r="B755" s="231"/>
      <c r="C755" s="231"/>
      <c r="D755" s="45"/>
      <c r="E755" s="45"/>
      <c r="F755" s="45"/>
      <c r="N755" s="160"/>
    </row>
    <row r="756">
      <c r="A756" s="231"/>
      <c r="B756" s="231"/>
      <c r="C756" s="231"/>
      <c r="D756" s="45"/>
      <c r="E756" s="45"/>
      <c r="F756" s="45"/>
      <c r="N756" s="160"/>
    </row>
    <row r="757">
      <c r="A757" s="231"/>
      <c r="B757" s="231"/>
      <c r="C757" s="231"/>
      <c r="D757" s="45"/>
      <c r="E757" s="45"/>
      <c r="F757" s="45"/>
      <c r="N757" s="160"/>
    </row>
    <row r="758">
      <c r="A758" s="231"/>
      <c r="B758" s="231"/>
      <c r="C758" s="231"/>
      <c r="D758" s="45"/>
      <c r="E758" s="45"/>
      <c r="F758" s="45"/>
      <c r="N758" s="160"/>
    </row>
    <row r="759">
      <c r="A759" s="231"/>
      <c r="B759" s="231"/>
      <c r="C759" s="231"/>
      <c r="D759" s="45"/>
      <c r="E759" s="45"/>
      <c r="F759" s="45"/>
      <c r="N759" s="160"/>
    </row>
    <row r="760">
      <c r="A760" s="231"/>
      <c r="B760" s="231"/>
      <c r="C760" s="231"/>
      <c r="D760" s="45"/>
      <c r="E760" s="45"/>
      <c r="F760" s="45"/>
      <c r="N760" s="160"/>
    </row>
    <row r="761">
      <c r="A761" s="231"/>
      <c r="B761" s="231"/>
      <c r="C761" s="231"/>
      <c r="D761" s="45"/>
      <c r="E761" s="45"/>
      <c r="F761" s="45"/>
      <c r="N761" s="160"/>
    </row>
    <row r="762">
      <c r="A762" s="231"/>
      <c r="B762" s="231"/>
      <c r="C762" s="231"/>
      <c r="D762" s="45"/>
      <c r="E762" s="45"/>
      <c r="F762" s="45"/>
      <c r="N762" s="160"/>
    </row>
    <row r="763">
      <c r="A763" s="231"/>
      <c r="B763" s="231"/>
      <c r="C763" s="231"/>
      <c r="D763" s="45"/>
      <c r="E763" s="45"/>
      <c r="F763" s="45"/>
      <c r="N763" s="160"/>
    </row>
    <row r="764">
      <c r="A764" s="231"/>
      <c r="B764" s="231"/>
      <c r="C764" s="231"/>
      <c r="D764" s="45"/>
      <c r="E764" s="45"/>
      <c r="F764" s="45"/>
      <c r="N764" s="160"/>
    </row>
    <row r="765">
      <c r="A765" s="231"/>
      <c r="B765" s="231"/>
      <c r="C765" s="231"/>
      <c r="D765" s="45"/>
      <c r="E765" s="45"/>
      <c r="F765" s="45"/>
      <c r="N765" s="160"/>
    </row>
    <row r="766">
      <c r="A766" s="231"/>
      <c r="B766" s="231"/>
      <c r="C766" s="231"/>
      <c r="D766" s="45"/>
      <c r="E766" s="45"/>
      <c r="F766" s="45"/>
      <c r="N766" s="160"/>
    </row>
    <row r="767">
      <c r="A767" s="231"/>
      <c r="B767" s="231"/>
      <c r="C767" s="231"/>
      <c r="D767" s="45"/>
      <c r="E767" s="45"/>
      <c r="F767" s="45"/>
      <c r="N767" s="160"/>
    </row>
    <row r="768">
      <c r="A768" s="231"/>
      <c r="B768" s="231"/>
      <c r="C768" s="231"/>
      <c r="D768" s="45"/>
      <c r="E768" s="45"/>
      <c r="F768" s="45"/>
      <c r="N768" s="160"/>
    </row>
    <row r="769">
      <c r="A769" s="231"/>
      <c r="B769" s="231"/>
      <c r="C769" s="231"/>
      <c r="D769" s="45"/>
      <c r="E769" s="45"/>
      <c r="F769" s="45"/>
      <c r="N769" s="160"/>
    </row>
    <row r="770">
      <c r="A770" s="231"/>
      <c r="B770" s="231"/>
      <c r="C770" s="231"/>
      <c r="D770" s="45"/>
      <c r="E770" s="45"/>
      <c r="F770" s="45"/>
      <c r="N770" s="160"/>
    </row>
    <row r="771">
      <c r="A771" s="231"/>
      <c r="B771" s="231"/>
      <c r="C771" s="231"/>
      <c r="D771" s="45"/>
      <c r="E771" s="45"/>
      <c r="F771" s="45"/>
      <c r="N771" s="160"/>
    </row>
    <row r="772">
      <c r="A772" s="231"/>
      <c r="B772" s="231"/>
      <c r="C772" s="231"/>
      <c r="D772" s="45"/>
      <c r="E772" s="45"/>
      <c r="F772" s="45"/>
      <c r="N772" s="160"/>
    </row>
    <row r="773">
      <c r="A773" s="231"/>
      <c r="B773" s="231"/>
      <c r="C773" s="231"/>
      <c r="D773" s="45"/>
      <c r="E773" s="45"/>
      <c r="F773" s="45"/>
      <c r="N773" s="160"/>
    </row>
    <row r="774">
      <c r="A774" s="231"/>
      <c r="B774" s="231"/>
      <c r="C774" s="231"/>
      <c r="D774" s="45"/>
      <c r="E774" s="45"/>
      <c r="F774" s="45"/>
      <c r="N774" s="160"/>
    </row>
    <row r="775">
      <c r="A775" s="231"/>
      <c r="B775" s="231"/>
      <c r="C775" s="231"/>
      <c r="D775" s="45"/>
      <c r="E775" s="45"/>
      <c r="F775" s="45"/>
      <c r="N775" s="160"/>
    </row>
    <row r="776">
      <c r="A776" s="231"/>
      <c r="B776" s="231"/>
      <c r="C776" s="231"/>
      <c r="D776" s="45"/>
      <c r="E776" s="45"/>
      <c r="F776" s="45"/>
      <c r="N776" s="160"/>
    </row>
    <row r="777">
      <c r="A777" s="231"/>
      <c r="B777" s="231"/>
      <c r="C777" s="231"/>
      <c r="D777" s="45"/>
      <c r="E777" s="45"/>
      <c r="F777" s="45"/>
      <c r="N777" s="160"/>
    </row>
    <row r="778">
      <c r="A778" s="231"/>
      <c r="B778" s="231"/>
      <c r="C778" s="231"/>
      <c r="D778" s="45"/>
      <c r="E778" s="45"/>
      <c r="F778" s="45"/>
      <c r="N778" s="160"/>
    </row>
    <row r="779">
      <c r="A779" s="231"/>
      <c r="B779" s="231"/>
      <c r="C779" s="231"/>
      <c r="D779" s="45"/>
      <c r="E779" s="45"/>
      <c r="F779" s="45"/>
      <c r="N779" s="160"/>
    </row>
    <row r="780">
      <c r="A780" s="231"/>
      <c r="B780" s="231"/>
      <c r="C780" s="231"/>
      <c r="D780" s="45"/>
      <c r="E780" s="45"/>
      <c r="F780" s="45"/>
      <c r="N780" s="160"/>
    </row>
    <row r="781">
      <c r="A781" s="231"/>
      <c r="B781" s="231"/>
      <c r="C781" s="231"/>
      <c r="D781" s="45"/>
      <c r="E781" s="45"/>
      <c r="F781" s="45"/>
      <c r="N781" s="160"/>
    </row>
    <row r="782">
      <c r="A782" s="231"/>
      <c r="B782" s="231"/>
      <c r="C782" s="231"/>
      <c r="D782" s="45"/>
      <c r="E782" s="45"/>
      <c r="F782" s="45"/>
      <c r="N782" s="160"/>
    </row>
    <row r="783">
      <c r="A783" s="231"/>
      <c r="B783" s="231"/>
      <c r="C783" s="231"/>
      <c r="D783" s="45"/>
      <c r="E783" s="45"/>
      <c r="F783" s="45"/>
      <c r="N783" s="160"/>
    </row>
    <row r="784">
      <c r="A784" s="231"/>
      <c r="B784" s="231"/>
      <c r="C784" s="231"/>
      <c r="D784" s="45"/>
      <c r="E784" s="45"/>
      <c r="F784" s="45"/>
      <c r="N784" s="160"/>
    </row>
    <row r="785">
      <c r="A785" s="231"/>
      <c r="B785" s="231"/>
      <c r="C785" s="231"/>
      <c r="D785" s="45"/>
      <c r="E785" s="45"/>
      <c r="F785" s="45"/>
      <c r="N785" s="160"/>
    </row>
    <row r="786">
      <c r="A786" s="231"/>
      <c r="B786" s="231"/>
      <c r="C786" s="231"/>
      <c r="D786" s="45"/>
      <c r="E786" s="45"/>
      <c r="F786" s="45"/>
      <c r="N786" s="160"/>
    </row>
    <row r="787">
      <c r="A787" s="231"/>
      <c r="B787" s="231"/>
      <c r="C787" s="231"/>
      <c r="D787" s="45"/>
      <c r="E787" s="45"/>
      <c r="F787" s="45"/>
      <c r="N787" s="160"/>
    </row>
    <row r="788">
      <c r="A788" s="231"/>
      <c r="B788" s="231"/>
      <c r="C788" s="231"/>
      <c r="D788" s="45"/>
      <c r="E788" s="45"/>
      <c r="F788" s="45"/>
      <c r="N788" s="160"/>
    </row>
    <row r="789">
      <c r="A789" s="231"/>
      <c r="B789" s="231"/>
      <c r="C789" s="231"/>
      <c r="D789" s="45"/>
      <c r="E789" s="45"/>
      <c r="F789" s="45"/>
      <c r="N789" s="160"/>
    </row>
    <row r="790">
      <c r="A790" s="231"/>
      <c r="B790" s="231"/>
      <c r="C790" s="231"/>
      <c r="D790" s="45"/>
      <c r="E790" s="45"/>
      <c r="F790" s="45"/>
      <c r="N790" s="160"/>
    </row>
    <row r="791">
      <c r="A791" s="231"/>
      <c r="B791" s="231"/>
      <c r="C791" s="231"/>
      <c r="D791" s="45"/>
      <c r="E791" s="45"/>
      <c r="F791" s="45"/>
      <c r="N791" s="160"/>
    </row>
    <row r="792">
      <c r="A792" s="231"/>
      <c r="B792" s="231"/>
      <c r="C792" s="231"/>
      <c r="D792" s="45"/>
      <c r="E792" s="45"/>
      <c r="F792" s="45"/>
      <c r="N792" s="160"/>
    </row>
    <row r="793">
      <c r="A793" s="231"/>
      <c r="B793" s="231"/>
      <c r="C793" s="231"/>
      <c r="D793" s="45"/>
      <c r="E793" s="45"/>
      <c r="F793" s="45"/>
      <c r="N793" s="160"/>
    </row>
    <row r="794">
      <c r="A794" s="231"/>
      <c r="B794" s="231"/>
      <c r="C794" s="231"/>
      <c r="D794" s="45"/>
      <c r="E794" s="45"/>
      <c r="F794" s="45"/>
      <c r="N794" s="160"/>
    </row>
    <row r="795">
      <c r="A795" s="231"/>
      <c r="B795" s="231"/>
      <c r="C795" s="231"/>
      <c r="D795" s="45"/>
      <c r="E795" s="45"/>
      <c r="F795" s="45"/>
      <c r="N795" s="160"/>
    </row>
    <row r="796">
      <c r="A796" s="231"/>
      <c r="B796" s="231"/>
      <c r="C796" s="231"/>
      <c r="D796" s="45"/>
      <c r="E796" s="45"/>
      <c r="F796" s="45"/>
      <c r="N796" s="160"/>
    </row>
    <row r="797">
      <c r="A797" s="231"/>
      <c r="B797" s="231"/>
      <c r="C797" s="231"/>
      <c r="D797" s="45"/>
      <c r="E797" s="45"/>
      <c r="F797" s="45"/>
      <c r="N797" s="160"/>
    </row>
    <row r="798">
      <c r="A798" s="231"/>
      <c r="B798" s="231"/>
      <c r="C798" s="231"/>
      <c r="D798" s="45"/>
      <c r="E798" s="45"/>
      <c r="F798" s="45"/>
      <c r="N798" s="160"/>
    </row>
    <row r="799">
      <c r="A799" s="231"/>
      <c r="B799" s="231"/>
      <c r="C799" s="231"/>
      <c r="D799" s="45"/>
      <c r="E799" s="45"/>
      <c r="F799" s="45"/>
      <c r="N799" s="160"/>
    </row>
    <row r="800">
      <c r="A800" s="231"/>
      <c r="B800" s="231"/>
      <c r="C800" s="231"/>
      <c r="D800" s="45"/>
      <c r="E800" s="45"/>
      <c r="F800" s="45"/>
      <c r="N800" s="160"/>
    </row>
    <row r="801">
      <c r="A801" s="231"/>
      <c r="B801" s="231"/>
      <c r="C801" s="231"/>
      <c r="D801" s="45"/>
      <c r="E801" s="45"/>
      <c r="F801" s="45"/>
      <c r="N801" s="160"/>
    </row>
    <row r="802">
      <c r="A802" s="231"/>
      <c r="B802" s="231"/>
      <c r="C802" s="231"/>
      <c r="D802" s="45"/>
      <c r="E802" s="45"/>
      <c r="F802" s="45"/>
      <c r="N802" s="160"/>
    </row>
    <row r="803">
      <c r="A803" s="231"/>
      <c r="B803" s="231"/>
      <c r="C803" s="231"/>
      <c r="D803" s="45"/>
      <c r="E803" s="45"/>
      <c r="F803" s="45"/>
      <c r="N803" s="160"/>
    </row>
    <row r="804">
      <c r="A804" s="231"/>
      <c r="B804" s="231"/>
      <c r="C804" s="231"/>
      <c r="D804" s="45"/>
      <c r="E804" s="45"/>
      <c r="F804" s="45"/>
      <c r="N804" s="160"/>
    </row>
    <row r="805">
      <c r="A805" s="231"/>
      <c r="B805" s="231"/>
      <c r="C805" s="231"/>
      <c r="D805" s="45"/>
      <c r="E805" s="45"/>
      <c r="F805" s="45"/>
      <c r="N805" s="160"/>
    </row>
    <row r="806">
      <c r="A806" s="231"/>
      <c r="B806" s="231"/>
      <c r="C806" s="231"/>
      <c r="D806" s="45"/>
      <c r="E806" s="45"/>
      <c r="F806" s="45"/>
      <c r="N806" s="160"/>
    </row>
    <row r="807">
      <c r="A807" s="231"/>
      <c r="B807" s="231"/>
      <c r="C807" s="231"/>
      <c r="D807" s="45"/>
      <c r="E807" s="45"/>
      <c r="F807" s="45"/>
      <c r="N807" s="160"/>
    </row>
    <row r="808">
      <c r="A808" s="231"/>
      <c r="B808" s="231"/>
      <c r="C808" s="231"/>
      <c r="D808" s="45"/>
      <c r="E808" s="45"/>
      <c r="F808" s="45"/>
      <c r="N808" s="160"/>
    </row>
    <row r="809">
      <c r="A809" s="231"/>
      <c r="B809" s="231"/>
      <c r="C809" s="231"/>
      <c r="D809" s="45"/>
      <c r="E809" s="45"/>
      <c r="F809" s="45"/>
      <c r="N809" s="160"/>
    </row>
    <row r="810">
      <c r="A810" s="231"/>
      <c r="B810" s="231"/>
      <c r="C810" s="231"/>
      <c r="D810" s="45"/>
      <c r="E810" s="45"/>
      <c r="F810" s="45"/>
      <c r="N810" s="160"/>
    </row>
    <row r="811">
      <c r="A811" s="231"/>
      <c r="B811" s="231"/>
      <c r="C811" s="231"/>
      <c r="D811" s="45"/>
      <c r="E811" s="45"/>
      <c r="F811" s="45"/>
      <c r="N811" s="160"/>
    </row>
    <row r="812">
      <c r="A812" s="231"/>
      <c r="B812" s="231"/>
      <c r="C812" s="231"/>
      <c r="D812" s="45"/>
      <c r="E812" s="45"/>
      <c r="F812" s="45"/>
      <c r="N812" s="160"/>
    </row>
    <row r="813">
      <c r="A813" s="231"/>
      <c r="B813" s="231"/>
      <c r="C813" s="231"/>
      <c r="D813" s="45"/>
      <c r="E813" s="45"/>
      <c r="F813" s="45"/>
      <c r="N813" s="160"/>
    </row>
    <row r="814">
      <c r="A814" s="231"/>
      <c r="B814" s="231"/>
      <c r="C814" s="231"/>
      <c r="D814" s="45"/>
      <c r="E814" s="45"/>
      <c r="F814" s="45"/>
      <c r="N814" s="160"/>
    </row>
    <row r="815">
      <c r="A815" s="231"/>
      <c r="B815" s="231"/>
      <c r="C815" s="231"/>
      <c r="D815" s="45"/>
      <c r="E815" s="45"/>
      <c r="F815" s="45"/>
      <c r="N815" s="160"/>
    </row>
    <row r="816">
      <c r="A816" s="231"/>
      <c r="B816" s="231"/>
      <c r="C816" s="231"/>
      <c r="D816" s="45"/>
      <c r="E816" s="45"/>
      <c r="F816" s="45"/>
      <c r="N816" s="160"/>
    </row>
    <row r="817">
      <c r="A817" s="231"/>
      <c r="B817" s="231"/>
      <c r="C817" s="231"/>
      <c r="D817" s="45"/>
      <c r="E817" s="45"/>
      <c r="F817" s="45"/>
      <c r="N817" s="160"/>
    </row>
    <row r="818">
      <c r="A818" s="231"/>
      <c r="B818" s="231"/>
      <c r="C818" s="231"/>
      <c r="D818" s="45"/>
      <c r="E818" s="45"/>
      <c r="F818" s="45"/>
      <c r="N818" s="160"/>
    </row>
    <row r="819">
      <c r="A819" s="231"/>
      <c r="B819" s="231"/>
      <c r="C819" s="231"/>
      <c r="D819" s="45"/>
      <c r="E819" s="45"/>
      <c r="F819" s="45"/>
      <c r="N819" s="160"/>
    </row>
    <row r="820">
      <c r="A820" s="231"/>
      <c r="B820" s="231"/>
      <c r="C820" s="231"/>
      <c r="D820" s="45"/>
      <c r="E820" s="45"/>
      <c r="F820" s="45"/>
      <c r="N820" s="160"/>
    </row>
    <row r="821">
      <c r="A821" s="231"/>
      <c r="B821" s="231"/>
      <c r="C821" s="231"/>
      <c r="D821" s="45"/>
      <c r="E821" s="45"/>
      <c r="F821" s="45"/>
      <c r="N821" s="160"/>
    </row>
    <row r="822">
      <c r="A822" s="231"/>
      <c r="B822" s="231"/>
      <c r="C822" s="231"/>
      <c r="D822" s="45"/>
      <c r="E822" s="45"/>
      <c r="F822" s="45"/>
      <c r="N822" s="160"/>
    </row>
    <row r="823">
      <c r="A823" s="231"/>
      <c r="B823" s="231"/>
      <c r="C823" s="231"/>
      <c r="D823" s="45"/>
      <c r="E823" s="45"/>
      <c r="F823" s="45"/>
      <c r="N823" s="160"/>
    </row>
    <row r="824">
      <c r="A824" s="231"/>
      <c r="B824" s="231"/>
      <c r="C824" s="231"/>
      <c r="D824" s="45"/>
      <c r="E824" s="45"/>
      <c r="F824" s="45"/>
      <c r="N824" s="160"/>
    </row>
    <row r="825">
      <c r="A825" s="231"/>
      <c r="B825" s="231"/>
      <c r="C825" s="231"/>
      <c r="D825" s="45"/>
      <c r="E825" s="45"/>
      <c r="F825" s="45"/>
      <c r="N825" s="160"/>
    </row>
    <row r="826">
      <c r="A826" s="231"/>
      <c r="B826" s="231"/>
      <c r="C826" s="231"/>
      <c r="D826" s="45"/>
      <c r="E826" s="45"/>
      <c r="F826" s="45"/>
      <c r="N826" s="160"/>
    </row>
    <row r="827">
      <c r="A827" s="231"/>
      <c r="B827" s="231"/>
      <c r="C827" s="231"/>
      <c r="D827" s="45"/>
      <c r="E827" s="45"/>
      <c r="F827" s="45"/>
      <c r="N827" s="160"/>
    </row>
    <row r="828">
      <c r="A828" s="231"/>
      <c r="B828" s="231"/>
      <c r="C828" s="231"/>
      <c r="D828" s="45"/>
      <c r="E828" s="45"/>
      <c r="F828" s="45"/>
      <c r="N828" s="160"/>
    </row>
    <row r="829">
      <c r="A829" s="231"/>
      <c r="B829" s="231"/>
      <c r="C829" s="231"/>
      <c r="D829" s="45"/>
      <c r="E829" s="45"/>
      <c r="F829" s="45"/>
      <c r="N829" s="160"/>
    </row>
    <row r="830">
      <c r="A830" s="231"/>
      <c r="B830" s="231"/>
      <c r="C830" s="231"/>
      <c r="D830" s="45"/>
      <c r="E830" s="45"/>
      <c r="F830" s="45"/>
      <c r="N830" s="160"/>
    </row>
    <row r="831">
      <c r="A831" s="231"/>
      <c r="B831" s="231"/>
      <c r="C831" s="231"/>
      <c r="D831" s="45"/>
      <c r="E831" s="45"/>
      <c r="F831" s="45"/>
      <c r="N831" s="160"/>
    </row>
    <row r="832">
      <c r="A832" s="231"/>
      <c r="B832" s="231"/>
      <c r="C832" s="231"/>
      <c r="D832" s="45"/>
      <c r="E832" s="45"/>
      <c r="F832" s="45"/>
      <c r="N832" s="160"/>
    </row>
    <row r="833">
      <c r="A833" s="231"/>
      <c r="B833" s="231"/>
      <c r="C833" s="231"/>
      <c r="D833" s="45"/>
      <c r="E833" s="45"/>
      <c r="F833" s="45"/>
      <c r="N833" s="160"/>
    </row>
    <row r="834">
      <c r="A834" s="231"/>
      <c r="B834" s="231"/>
      <c r="C834" s="231"/>
      <c r="D834" s="45"/>
      <c r="E834" s="45"/>
      <c r="F834" s="45"/>
      <c r="N834" s="160"/>
    </row>
    <row r="835">
      <c r="A835" s="231"/>
      <c r="B835" s="231"/>
      <c r="C835" s="231"/>
      <c r="D835" s="45"/>
      <c r="E835" s="45"/>
      <c r="F835" s="45"/>
      <c r="N835" s="160"/>
    </row>
    <row r="836">
      <c r="A836" s="231"/>
      <c r="B836" s="231"/>
      <c r="C836" s="231"/>
      <c r="D836" s="45"/>
      <c r="E836" s="45"/>
      <c r="F836" s="45"/>
      <c r="N836" s="160"/>
    </row>
    <row r="837">
      <c r="A837" s="231"/>
      <c r="B837" s="231"/>
      <c r="C837" s="231"/>
      <c r="D837" s="45"/>
      <c r="E837" s="45"/>
      <c r="F837" s="45"/>
      <c r="N837" s="160"/>
    </row>
    <row r="838">
      <c r="A838" s="231"/>
      <c r="B838" s="231"/>
      <c r="C838" s="231"/>
      <c r="D838" s="45"/>
      <c r="E838" s="45"/>
      <c r="F838" s="45"/>
      <c r="N838" s="160"/>
    </row>
    <row r="839">
      <c r="A839" s="231"/>
      <c r="B839" s="231"/>
      <c r="C839" s="231"/>
      <c r="D839" s="45"/>
      <c r="E839" s="45"/>
      <c r="F839" s="45"/>
      <c r="N839" s="160"/>
    </row>
    <row r="840">
      <c r="A840" s="231"/>
      <c r="B840" s="231"/>
      <c r="C840" s="231"/>
      <c r="D840" s="45"/>
      <c r="E840" s="45"/>
      <c r="F840" s="45"/>
      <c r="N840" s="160"/>
    </row>
    <row r="841">
      <c r="A841" s="231"/>
      <c r="B841" s="231"/>
      <c r="C841" s="231"/>
      <c r="D841" s="45"/>
      <c r="E841" s="45"/>
      <c r="F841" s="45"/>
      <c r="N841" s="160"/>
    </row>
    <row r="842">
      <c r="A842" s="231"/>
      <c r="B842" s="231"/>
      <c r="C842" s="231"/>
      <c r="D842" s="45"/>
      <c r="E842" s="45"/>
      <c r="F842" s="45"/>
      <c r="N842" s="160"/>
    </row>
    <row r="843">
      <c r="A843" s="231"/>
      <c r="B843" s="231"/>
      <c r="C843" s="231"/>
      <c r="D843" s="45"/>
      <c r="E843" s="45"/>
      <c r="F843" s="45"/>
      <c r="N843" s="160"/>
    </row>
    <row r="844">
      <c r="A844" s="231"/>
      <c r="B844" s="231"/>
      <c r="C844" s="231"/>
      <c r="D844" s="45"/>
      <c r="E844" s="45"/>
      <c r="F844" s="45"/>
      <c r="N844" s="160"/>
    </row>
    <row r="845">
      <c r="A845" s="231"/>
      <c r="B845" s="231"/>
      <c r="C845" s="231"/>
      <c r="D845" s="45"/>
      <c r="E845" s="45"/>
      <c r="F845" s="45"/>
      <c r="N845" s="160"/>
    </row>
    <row r="846">
      <c r="A846" s="231"/>
      <c r="B846" s="231"/>
      <c r="C846" s="231"/>
      <c r="D846" s="45"/>
      <c r="E846" s="45"/>
      <c r="F846" s="45"/>
      <c r="N846" s="160"/>
    </row>
    <row r="847">
      <c r="A847" s="231"/>
      <c r="B847" s="231"/>
      <c r="C847" s="231"/>
      <c r="D847" s="45"/>
      <c r="E847" s="45"/>
      <c r="F847" s="45"/>
      <c r="N847" s="160"/>
    </row>
    <row r="848">
      <c r="A848" s="231"/>
      <c r="B848" s="231"/>
      <c r="C848" s="231"/>
      <c r="D848" s="45"/>
      <c r="E848" s="45"/>
      <c r="F848" s="45"/>
      <c r="N848" s="160"/>
    </row>
    <row r="849">
      <c r="A849" s="231"/>
      <c r="B849" s="231"/>
      <c r="C849" s="231"/>
      <c r="D849" s="45"/>
      <c r="E849" s="45"/>
      <c r="F849" s="45"/>
      <c r="N849" s="160"/>
    </row>
    <row r="850">
      <c r="A850" s="231"/>
      <c r="B850" s="231"/>
      <c r="C850" s="231"/>
      <c r="D850" s="45"/>
      <c r="E850" s="45"/>
      <c r="F850" s="45"/>
      <c r="N850" s="160"/>
    </row>
    <row r="851">
      <c r="A851" s="231"/>
      <c r="B851" s="231"/>
      <c r="C851" s="231"/>
      <c r="D851" s="45"/>
      <c r="E851" s="45"/>
      <c r="F851" s="45"/>
      <c r="N851" s="160"/>
    </row>
    <row r="852">
      <c r="A852" s="231"/>
      <c r="B852" s="231"/>
      <c r="C852" s="231"/>
      <c r="D852" s="45"/>
      <c r="E852" s="45"/>
      <c r="F852" s="45"/>
      <c r="N852" s="160"/>
    </row>
    <row r="853">
      <c r="A853" s="231"/>
      <c r="B853" s="231"/>
      <c r="C853" s="231"/>
      <c r="D853" s="45"/>
      <c r="E853" s="45"/>
      <c r="F853" s="45"/>
      <c r="N853" s="160"/>
    </row>
    <row r="854">
      <c r="A854" s="231"/>
      <c r="B854" s="231"/>
      <c r="C854" s="231"/>
      <c r="D854" s="45"/>
      <c r="E854" s="45"/>
      <c r="F854" s="45"/>
      <c r="N854" s="160"/>
    </row>
    <row r="855">
      <c r="A855" s="231"/>
      <c r="B855" s="231"/>
      <c r="C855" s="231"/>
      <c r="D855" s="45"/>
      <c r="E855" s="45"/>
      <c r="F855" s="45"/>
      <c r="N855" s="160"/>
    </row>
    <row r="856">
      <c r="A856" s="231"/>
      <c r="B856" s="231"/>
      <c r="C856" s="231"/>
      <c r="D856" s="45"/>
      <c r="E856" s="45"/>
      <c r="F856" s="45"/>
      <c r="N856" s="160"/>
    </row>
    <row r="857">
      <c r="A857" s="231"/>
      <c r="B857" s="231"/>
      <c r="C857" s="231"/>
      <c r="D857" s="45"/>
      <c r="E857" s="45"/>
      <c r="F857" s="45"/>
      <c r="N857" s="160"/>
    </row>
    <row r="858">
      <c r="A858" s="231"/>
      <c r="B858" s="231"/>
      <c r="C858" s="231"/>
      <c r="D858" s="45"/>
      <c r="E858" s="45"/>
      <c r="F858" s="45"/>
      <c r="N858" s="160"/>
    </row>
    <row r="859">
      <c r="A859" s="231"/>
      <c r="B859" s="231"/>
      <c r="C859" s="231"/>
      <c r="D859" s="45"/>
      <c r="E859" s="45"/>
      <c r="F859" s="45"/>
      <c r="N859" s="160"/>
    </row>
    <row r="860">
      <c r="A860" s="231"/>
      <c r="B860" s="231"/>
      <c r="C860" s="231"/>
      <c r="D860" s="45"/>
      <c r="E860" s="45"/>
      <c r="F860" s="45"/>
      <c r="N860" s="160"/>
    </row>
    <row r="861">
      <c r="A861" s="231"/>
      <c r="B861" s="231"/>
      <c r="C861" s="231"/>
      <c r="D861" s="45"/>
      <c r="E861" s="45"/>
      <c r="F861" s="45"/>
      <c r="N861" s="160"/>
    </row>
    <row r="862">
      <c r="A862" s="231"/>
      <c r="B862" s="231"/>
      <c r="C862" s="231"/>
      <c r="D862" s="45"/>
      <c r="E862" s="45"/>
      <c r="F862" s="45"/>
      <c r="N862" s="160"/>
    </row>
    <row r="863">
      <c r="A863" s="231"/>
      <c r="B863" s="231"/>
      <c r="C863" s="231"/>
      <c r="D863" s="45"/>
      <c r="E863" s="45"/>
      <c r="F863" s="45"/>
      <c r="N863" s="160"/>
    </row>
    <row r="864">
      <c r="A864" s="231"/>
      <c r="B864" s="231"/>
      <c r="C864" s="231"/>
      <c r="D864" s="45"/>
      <c r="E864" s="45"/>
      <c r="F864" s="45"/>
      <c r="N864" s="160"/>
    </row>
    <row r="865">
      <c r="A865" s="231"/>
      <c r="B865" s="231"/>
      <c r="C865" s="231"/>
      <c r="D865" s="45"/>
      <c r="E865" s="45"/>
      <c r="F865" s="45"/>
      <c r="N865" s="160"/>
    </row>
    <row r="866">
      <c r="A866" s="231"/>
      <c r="B866" s="231"/>
      <c r="C866" s="231"/>
      <c r="D866" s="45"/>
      <c r="E866" s="45"/>
      <c r="F866" s="45"/>
      <c r="N866" s="160"/>
    </row>
    <row r="867">
      <c r="A867" s="231"/>
      <c r="B867" s="231"/>
      <c r="C867" s="231"/>
      <c r="D867" s="45"/>
      <c r="E867" s="45"/>
      <c r="F867" s="45"/>
      <c r="N867" s="160"/>
    </row>
    <row r="868">
      <c r="A868" s="231"/>
      <c r="B868" s="231"/>
      <c r="C868" s="231"/>
      <c r="D868" s="45"/>
      <c r="E868" s="45"/>
      <c r="F868" s="45"/>
      <c r="N868" s="160"/>
    </row>
    <row r="869">
      <c r="A869" s="231"/>
      <c r="B869" s="231"/>
      <c r="C869" s="231"/>
      <c r="D869" s="45"/>
      <c r="E869" s="45"/>
      <c r="F869" s="45"/>
      <c r="N869" s="160"/>
    </row>
    <row r="870">
      <c r="A870" s="231"/>
      <c r="B870" s="231"/>
      <c r="C870" s="231"/>
      <c r="D870" s="45"/>
      <c r="E870" s="45"/>
      <c r="F870" s="45"/>
      <c r="N870" s="160"/>
    </row>
    <row r="871">
      <c r="A871" s="231"/>
      <c r="B871" s="231"/>
      <c r="C871" s="231"/>
      <c r="D871" s="45"/>
      <c r="E871" s="45"/>
      <c r="F871" s="45"/>
      <c r="N871" s="160"/>
    </row>
    <row r="872">
      <c r="A872" s="231"/>
      <c r="B872" s="231"/>
      <c r="C872" s="231"/>
      <c r="D872" s="45"/>
      <c r="E872" s="45"/>
      <c r="F872" s="45"/>
      <c r="N872" s="160"/>
    </row>
    <row r="873">
      <c r="A873" s="231"/>
      <c r="B873" s="231"/>
      <c r="C873" s="231"/>
      <c r="D873" s="45"/>
      <c r="E873" s="45"/>
      <c r="F873" s="45"/>
      <c r="N873" s="160"/>
    </row>
    <row r="874">
      <c r="A874" s="231"/>
      <c r="B874" s="231"/>
      <c r="C874" s="231"/>
      <c r="D874" s="45"/>
      <c r="E874" s="45"/>
      <c r="F874" s="45"/>
      <c r="N874" s="160"/>
    </row>
    <row r="875">
      <c r="A875" s="231"/>
      <c r="B875" s="231"/>
      <c r="C875" s="231"/>
      <c r="D875" s="45"/>
      <c r="E875" s="45"/>
      <c r="F875" s="45"/>
      <c r="N875" s="160"/>
    </row>
    <row r="876">
      <c r="A876" s="231"/>
      <c r="B876" s="231"/>
      <c r="C876" s="231"/>
      <c r="D876" s="45"/>
      <c r="E876" s="45"/>
      <c r="F876" s="45"/>
      <c r="N876" s="160"/>
    </row>
    <row r="877">
      <c r="A877" s="231"/>
      <c r="B877" s="231"/>
      <c r="C877" s="231"/>
      <c r="D877" s="45"/>
      <c r="E877" s="45"/>
      <c r="F877" s="45"/>
      <c r="N877" s="160"/>
    </row>
    <row r="878">
      <c r="A878" s="231"/>
      <c r="B878" s="231"/>
      <c r="C878" s="231"/>
      <c r="D878" s="45"/>
      <c r="E878" s="45"/>
      <c r="F878" s="45"/>
      <c r="N878" s="160"/>
    </row>
    <row r="879">
      <c r="A879" s="231"/>
      <c r="B879" s="231"/>
      <c r="C879" s="231"/>
      <c r="D879" s="45"/>
      <c r="E879" s="45"/>
      <c r="F879" s="45"/>
      <c r="N879" s="160"/>
    </row>
    <row r="880">
      <c r="A880" s="231"/>
      <c r="B880" s="231"/>
      <c r="C880" s="231"/>
      <c r="D880" s="45"/>
      <c r="E880" s="45"/>
      <c r="F880" s="45"/>
      <c r="N880" s="160"/>
    </row>
    <row r="881">
      <c r="A881" s="231"/>
      <c r="B881" s="231"/>
      <c r="C881" s="231"/>
      <c r="D881" s="45"/>
      <c r="E881" s="45"/>
      <c r="F881" s="45"/>
      <c r="N881" s="160"/>
    </row>
    <row r="882">
      <c r="A882" s="231"/>
      <c r="B882" s="231"/>
      <c r="C882" s="231"/>
      <c r="D882" s="45"/>
      <c r="E882" s="45"/>
      <c r="F882" s="45"/>
      <c r="N882" s="160"/>
    </row>
    <row r="883">
      <c r="A883" s="231"/>
      <c r="B883" s="231"/>
      <c r="C883" s="231"/>
      <c r="D883" s="45"/>
      <c r="E883" s="45"/>
      <c r="F883" s="45"/>
      <c r="N883" s="160"/>
    </row>
    <row r="884">
      <c r="A884" s="231"/>
      <c r="B884" s="231"/>
      <c r="C884" s="231"/>
      <c r="D884" s="45"/>
      <c r="E884" s="45"/>
      <c r="F884" s="45"/>
      <c r="N884" s="160"/>
    </row>
    <row r="885">
      <c r="A885" s="231"/>
      <c r="B885" s="231"/>
      <c r="C885" s="231"/>
      <c r="D885" s="45"/>
      <c r="E885" s="45"/>
      <c r="F885" s="45"/>
      <c r="N885" s="160"/>
    </row>
    <row r="886">
      <c r="A886" s="231"/>
      <c r="B886" s="231"/>
      <c r="C886" s="231"/>
      <c r="D886" s="45"/>
      <c r="E886" s="45"/>
      <c r="F886" s="45"/>
      <c r="N886" s="160"/>
    </row>
    <row r="887">
      <c r="A887" s="231"/>
      <c r="B887" s="231"/>
      <c r="C887" s="231"/>
      <c r="D887" s="45"/>
      <c r="E887" s="45"/>
      <c r="F887" s="45"/>
      <c r="N887" s="160"/>
    </row>
    <row r="888">
      <c r="A888" s="231"/>
      <c r="B888" s="231"/>
      <c r="C888" s="231"/>
      <c r="D888" s="45"/>
      <c r="E888" s="45"/>
      <c r="F888" s="45"/>
      <c r="N888" s="160"/>
    </row>
    <row r="889">
      <c r="A889" s="231"/>
      <c r="B889" s="231"/>
      <c r="C889" s="231"/>
      <c r="D889" s="45"/>
      <c r="E889" s="45"/>
      <c r="F889" s="45"/>
      <c r="N889" s="160"/>
    </row>
    <row r="890">
      <c r="A890" s="231"/>
      <c r="B890" s="231"/>
      <c r="C890" s="231"/>
      <c r="D890" s="45"/>
      <c r="E890" s="45"/>
      <c r="F890" s="45"/>
      <c r="N890" s="160"/>
    </row>
    <row r="891">
      <c r="A891" s="231"/>
      <c r="B891" s="231"/>
      <c r="C891" s="231"/>
      <c r="D891" s="45"/>
      <c r="E891" s="45"/>
      <c r="F891" s="45"/>
      <c r="N891" s="160"/>
    </row>
    <row r="892">
      <c r="A892" s="231"/>
      <c r="B892" s="231"/>
      <c r="C892" s="231"/>
      <c r="D892" s="45"/>
      <c r="E892" s="45"/>
      <c r="F892" s="45"/>
      <c r="N892" s="160"/>
    </row>
    <row r="893">
      <c r="A893" s="231"/>
      <c r="B893" s="231"/>
      <c r="C893" s="231"/>
      <c r="D893" s="45"/>
      <c r="E893" s="45"/>
      <c r="F893" s="45"/>
      <c r="N893" s="160"/>
    </row>
    <row r="894">
      <c r="A894" s="231"/>
      <c r="B894" s="231"/>
      <c r="C894" s="231"/>
      <c r="D894" s="45"/>
      <c r="E894" s="45"/>
      <c r="F894" s="45"/>
      <c r="N894" s="160"/>
    </row>
    <row r="895">
      <c r="A895" s="231"/>
      <c r="B895" s="231"/>
      <c r="C895" s="231"/>
      <c r="D895" s="45"/>
      <c r="E895" s="45"/>
      <c r="F895" s="45"/>
      <c r="N895" s="160"/>
    </row>
    <row r="896">
      <c r="A896" s="231"/>
      <c r="B896" s="231"/>
      <c r="C896" s="231"/>
      <c r="D896" s="45"/>
      <c r="E896" s="45"/>
      <c r="F896" s="45"/>
      <c r="N896" s="160"/>
    </row>
    <row r="897">
      <c r="A897" s="231"/>
      <c r="B897" s="231"/>
      <c r="C897" s="231"/>
      <c r="D897" s="45"/>
      <c r="E897" s="45"/>
      <c r="F897" s="45"/>
      <c r="N897" s="160"/>
    </row>
    <row r="898">
      <c r="A898" s="231"/>
      <c r="B898" s="231"/>
      <c r="C898" s="231"/>
      <c r="D898" s="45"/>
      <c r="E898" s="45"/>
      <c r="F898" s="45"/>
      <c r="N898" s="160"/>
    </row>
    <row r="899">
      <c r="A899" s="231"/>
      <c r="B899" s="231"/>
      <c r="C899" s="231"/>
      <c r="D899" s="45"/>
      <c r="E899" s="45"/>
      <c r="F899" s="45"/>
      <c r="N899" s="160"/>
    </row>
    <row r="900">
      <c r="A900" s="231"/>
      <c r="B900" s="231"/>
      <c r="C900" s="231"/>
      <c r="D900" s="45"/>
      <c r="E900" s="45"/>
      <c r="F900" s="45"/>
      <c r="N900" s="160"/>
    </row>
    <row r="901">
      <c r="A901" s="231"/>
      <c r="B901" s="231"/>
      <c r="C901" s="231"/>
      <c r="D901" s="45"/>
      <c r="E901" s="45"/>
      <c r="F901" s="45"/>
      <c r="N901" s="160"/>
    </row>
    <row r="902">
      <c r="A902" s="231"/>
      <c r="B902" s="231"/>
      <c r="C902" s="231"/>
      <c r="D902" s="45"/>
      <c r="E902" s="45"/>
      <c r="F902" s="45"/>
      <c r="N902" s="160"/>
    </row>
    <row r="903">
      <c r="A903" s="231"/>
      <c r="B903" s="231"/>
      <c r="C903" s="231"/>
      <c r="D903" s="45"/>
      <c r="E903" s="45"/>
      <c r="F903" s="45"/>
      <c r="N903" s="160"/>
    </row>
    <row r="904">
      <c r="A904" s="231"/>
      <c r="B904" s="231"/>
      <c r="C904" s="231"/>
      <c r="D904" s="45"/>
      <c r="E904" s="45"/>
      <c r="F904" s="45"/>
      <c r="N904" s="160"/>
    </row>
    <row r="905">
      <c r="A905" s="231"/>
      <c r="B905" s="231"/>
      <c r="C905" s="231"/>
      <c r="D905" s="45"/>
      <c r="E905" s="45"/>
      <c r="F905" s="45"/>
      <c r="N905" s="160"/>
    </row>
    <row r="906">
      <c r="A906" s="231"/>
      <c r="B906" s="231"/>
      <c r="C906" s="231"/>
      <c r="D906" s="45"/>
      <c r="E906" s="45"/>
      <c r="F906" s="45"/>
      <c r="N906" s="160"/>
    </row>
    <row r="907">
      <c r="A907" s="231"/>
      <c r="B907" s="231"/>
      <c r="C907" s="231"/>
      <c r="D907" s="45"/>
      <c r="E907" s="45"/>
      <c r="F907" s="45"/>
      <c r="N907" s="160"/>
    </row>
    <row r="908">
      <c r="A908" s="231"/>
      <c r="B908" s="231"/>
      <c r="C908" s="231"/>
      <c r="D908" s="45"/>
      <c r="E908" s="45"/>
      <c r="F908" s="45"/>
      <c r="N908" s="160"/>
    </row>
    <row r="909">
      <c r="A909" s="231"/>
      <c r="B909" s="231"/>
      <c r="C909" s="231"/>
      <c r="D909" s="45"/>
      <c r="E909" s="45"/>
      <c r="F909" s="45"/>
      <c r="N909" s="160"/>
    </row>
    <row r="910">
      <c r="A910" s="231"/>
      <c r="B910" s="231"/>
      <c r="C910" s="231"/>
      <c r="D910" s="45"/>
      <c r="E910" s="45"/>
      <c r="F910" s="45"/>
      <c r="N910" s="160"/>
    </row>
    <row r="911">
      <c r="A911" s="231"/>
      <c r="B911" s="231"/>
      <c r="C911" s="231"/>
      <c r="D911" s="45"/>
      <c r="E911" s="45"/>
      <c r="F911" s="45"/>
      <c r="N911" s="160"/>
    </row>
    <row r="912">
      <c r="A912" s="231"/>
      <c r="B912" s="231"/>
      <c r="C912" s="231"/>
      <c r="D912" s="45"/>
      <c r="E912" s="45"/>
      <c r="F912" s="45"/>
      <c r="N912" s="160"/>
    </row>
    <row r="913">
      <c r="A913" s="231"/>
      <c r="B913" s="231"/>
      <c r="C913" s="231"/>
      <c r="D913" s="45"/>
      <c r="E913" s="45"/>
      <c r="F913" s="45"/>
      <c r="N913" s="160"/>
    </row>
    <row r="914">
      <c r="A914" s="231"/>
      <c r="B914" s="231"/>
      <c r="C914" s="231"/>
      <c r="D914" s="45"/>
      <c r="E914" s="45"/>
      <c r="F914" s="45"/>
      <c r="N914" s="160"/>
    </row>
    <row r="915">
      <c r="A915" s="231"/>
      <c r="B915" s="231"/>
      <c r="C915" s="231"/>
      <c r="D915" s="45"/>
      <c r="E915" s="45"/>
      <c r="F915" s="45"/>
      <c r="N915" s="160"/>
    </row>
    <row r="916">
      <c r="A916" s="231"/>
      <c r="B916" s="231"/>
      <c r="C916" s="231"/>
      <c r="D916" s="45"/>
      <c r="E916" s="45"/>
      <c r="F916" s="45"/>
      <c r="N916" s="160"/>
    </row>
    <row r="917">
      <c r="A917" s="231"/>
      <c r="B917" s="231"/>
      <c r="C917" s="231"/>
      <c r="D917" s="45"/>
      <c r="E917" s="45"/>
      <c r="F917" s="45"/>
      <c r="N917" s="160"/>
    </row>
    <row r="918">
      <c r="A918" s="231"/>
      <c r="B918" s="231"/>
      <c r="C918" s="231"/>
      <c r="D918" s="45"/>
      <c r="E918" s="45"/>
      <c r="F918" s="45"/>
      <c r="N918" s="160"/>
    </row>
    <row r="919">
      <c r="A919" s="231"/>
      <c r="B919" s="231"/>
      <c r="C919" s="231"/>
      <c r="D919" s="45"/>
      <c r="E919" s="45"/>
      <c r="F919" s="45"/>
      <c r="N919" s="160"/>
    </row>
    <row r="920">
      <c r="A920" s="231"/>
      <c r="B920" s="231"/>
      <c r="C920" s="231"/>
      <c r="D920" s="45"/>
      <c r="E920" s="45"/>
      <c r="F920" s="45"/>
      <c r="N920" s="160"/>
    </row>
    <row r="921">
      <c r="A921" s="231"/>
      <c r="B921" s="231"/>
      <c r="C921" s="231"/>
      <c r="D921" s="45"/>
      <c r="E921" s="45"/>
      <c r="F921" s="45"/>
      <c r="N921" s="160"/>
    </row>
    <row r="922">
      <c r="A922" s="231"/>
      <c r="B922" s="231"/>
      <c r="C922" s="231"/>
      <c r="D922" s="45"/>
      <c r="E922" s="45"/>
      <c r="F922" s="45"/>
      <c r="N922" s="160"/>
    </row>
    <row r="923">
      <c r="A923" s="231"/>
      <c r="B923" s="231"/>
      <c r="C923" s="231"/>
      <c r="D923" s="45"/>
      <c r="E923" s="45"/>
      <c r="F923" s="45"/>
      <c r="N923" s="160"/>
    </row>
    <row r="924">
      <c r="A924" s="231"/>
      <c r="B924" s="231"/>
      <c r="C924" s="231"/>
      <c r="D924" s="45"/>
      <c r="E924" s="45"/>
      <c r="F924" s="45"/>
      <c r="N924" s="160"/>
    </row>
    <row r="925">
      <c r="A925" s="231"/>
      <c r="B925" s="231"/>
      <c r="C925" s="231"/>
      <c r="D925" s="45"/>
      <c r="E925" s="45"/>
      <c r="F925" s="45"/>
      <c r="N925" s="160"/>
    </row>
    <row r="926">
      <c r="A926" s="231"/>
      <c r="B926" s="231"/>
      <c r="C926" s="231"/>
      <c r="D926" s="45"/>
      <c r="E926" s="45"/>
      <c r="F926" s="45"/>
      <c r="N926" s="160"/>
    </row>
    <row r="927">
      <c r="A927" s="231"/>
      <c r="B927" s="231"/>
      <c r="C927" s="231"/>
      <c r="D927" s="45"/>
      <c r="E927" s="45"/>
      <c r="F927" s="45"/>
      <c r="N927" s="160"/>
    </row>
    <row r="928">
      <c r="A928" s="231"/>
      <c r="B928" s="231"/>
      <c r="C928" s="231"/>
      <c r="D928" s="45"/>
      <c r="E928" s="45"/>
      <c r="F928" s="45"/>
      <c r="N928" s="160"/>
    </row>
    <row r="929">
      <c r="A929" s="231"/>
      <c r="B929" s="231"/>
      <c r="C929" s="231"/>
      <c r="D929" s="45"/>
      <c r="E929" s="45"/>
      <c r="F929" s="45"/>
      <c r="N929" s="160"/>
    </row>
    <row r="930">
      <c r="A930" s="231"/>
      <c r="B930" s="231"/>
      <c r="C930" s="231"/>
      <c r="D930" s="45"/>
      <c r="E930" s="45"/>
      <c r="F930" s="45"/>
      <c r="N930" s="160"/>
    </row>
    <row r="931">
      <c r="A931" s="231"/>
      <c r="B931" s="231"/>
      <c r="C931" s="231"/>
      <c r="D931" s="45"/>
      <c r="E931" s="45"/>
      <c r="F931" s="45"/>
      <c r="N931" s="160"/>
    </row>
    <row r="932">
      <c r="A932" s="231"/>
      <c r="B932" s="231"/>
      <c r="C932" s="231"/>
      <c r="D932" s="45"/>
      <c r="E932" s="45"/>
      <c r="F932" s="45"/>
      <c r="N932" s="160"/>
    </row>
    <row r="933">
      <c r="A933" s="231"/>
      <c r="B933" s="231"/>
      <c r="C933" s="231"/>
      <c r="D933" s="45"/>
      <c r="E933" s="45"/>
      <c r="F933" s="45"/>
      <c r="N933" s="160"/>
    </row>
    <row r="934">
      <c r="A934" s="231"/>
      <c r="B934" s="231"/>
      <c r="C934" s="231"/>
      <c r="D934" s="45"/>
      <c r="E934" s="45"/>
      <c r="F934" s="45"/>
      <c r="N934" s="160"/>
    </row>
    <row r="935">
      <c r="A935" s="231"/>
      <c r="B935" s="231"/>
      <c r="C935" s="231"/>
      <c r="D935" s="45"/>
      <c r="E935" s="45"/>
      <c r="F935" s="45"/>
      <c r="N935" s="160"/>
    </row>
    <row r="936">
      <c r="A936" s="231"/>
      <c r="B936" s="231"/>
      <c r="C936" s="231"/>
      <c r="D936" s="45"/>
      <c r="E936" s="45"/>
      <c r="F936" s="45"/>
      <c r="N936" s="160"/>
    </row>
    <row r="937">
      <c r="A937" s="231"/>
      <c r="B937" s="231"/>
      <c r="C937" s="231"/>
      <c r="D937" s="45"/>
      <c r="E937" s="45"/>
      <c r="F937" s="45"/>
      <c r="N937" s="160"/>
    </row>
    <row r="938">
      <c r="A938" s="231"/>
      <c r="B938" s="231"/>
      <c r="C938" s="231"/>
      <c r="D938" s="45"/>
      <c r="E938" s="45"/>
      <c r="F938" s="45"/>
      <c r="N938" s="160"/>
    </row>
    <row r="939">
      <c r="A939" s="231"/>
      <c r="B939" s="231"/>
      <c r="C939" s="231"/>
      <c r="D939" s="45"/>
      <c r="E939" s="45"/>
      <c r="F939" s="45"/>
      <c r="N939" s="160"/>
    </row>
    <row r="940">
      <c r="A940" s="231"/>
      <c r="B940" s="231"/>
      <c r="C940" s="231"/>
      <c r="D940" s="45"/>
      <c r="E940" s="45"/>
      <c r="F940" s="45"/>
      <c r="N940" s="160"/>
    </row>
    <row r="941">
      <c r="A941" s="231"/>
      <c r="B941" s="231"/>
      <c r="C941" s="231"/>
      <c r="D941" s="45"/>
      <c r="E941" s="45"/>
      <c r="F941" s="45"/>
      <c r="N941" s="160"/>
    </row>
    <row r="942">
      <c r="A942" s="231"/>
      <c r="B942" s="231"/>
      <c r="C942" s="231"/>
      <c r="D942" s="45"/>
      <c r="E942" s="45"/>
      <c r="F942" s="45"/>
      <c r="N942" s="160"/>
    </row>
    <row r="943">
      <c r="A943" s="231"/>
      <c r="B943" s="231"/>
      <c r="C943" s="231"/>
      <c r="D943" s="45"/>
      <c r="E943" s="45"/>
      <c r="F943" s="45"/>
      <c r="N943" s="160"/>
    </row>
    <row r="944">
      <c r="A944" s="231"/>
      <c r="B944" s="231"/>
      <c r="C944" s="231"/>
      <c r="D944" s="45"/>
      <c r="E944" s="45"/>
      <c r="F944" s="45"/>
      <c r="N944" s="160"/>
    </row>
    <row r="945">
      <c r="A945" s="231"/>
      <c r="B945" s="231"/>
      <c r="C945" s="231"/>
      <c r="D945" s="45"/>
      <c r="E945" s="45"/>
      <c r="F945" s="45"/>
      <c r="N945" s="160"/>
    </row>
    <row r="946">
      <c r="A946" s="231"/>
      <c r="B946" s="231"/>
      <c r="C946" s="231"/>
      <c r="D946" s="45"/>
      <c r="E946" s="45"/>
      <c r="F946" s="45"/>
      <c r="N946" s="160"/>
    </row>
    <row r="947">
      <c r="A947" s="231"/>
      <c r="B947" s="231"/>
      <c r="C947" s="231"/>
      <c r="D947" s="45"/>
      <c r="E947" s="45"/>
      <c r="F947" s="45"/>
      <c r="N947" s="160"/>
    </row>
    <row r="948">
      <c r="A948" s="231"/>
      <c r="B948" s="231"/>
      <c r="C948" s="231"/>
      <c r="D948" s="45"/>
      <c r="E948" s="45"/>
      <c r="F948" s="45"/>
      <c r="N948" s="160"/>
    </row>
    <row r="949">
      <c r="A949" s="231"/>
      <c r="B949" s="231"/>
      <c r="C949" s="231"/>
      <c r="D949" s="45"/>
      <c r="E949" s="45"/>
      <c r="F949" s="45"/>
      <c r="N949" s="160"/>
    </row>
    <row r="950">
      <c r="A950" s="231"/>
      <c r="B950" s="231"/>
      <c r="C950" s="231"/>
      <c r="D950" s="45"/>
      <c r="E950" s="45"/>
      <c r="F950" s="45"/>
      <c r="N950" s="160"/>
    </row>
    <row r="951">
      <c r="A951" s="231"/>
      <c r="B951" s="231"/>
      <c r="C951" s="231"/>
      <c r="D951" s="45"/>
      <c r="E951" s="45"/>
      <c r="F951" s="45"/>
      <c r="N951" s="160"/>
    </row>
    <row r="952">
      <c r="A952" s="231"/>
      <c r="B952" s="231"/>
      <c r="C952" s="231"/>
      <c r="D952" s="45"/>
      <c r="E952" s="45"/>
      <c r="F952" s="45"/>
      <c r="N952" s="160"/>
    </row>
    <row r="953">
      <c r="A953" s="231"/>
      <c r="B953" s="231"/>
      <c r="C953" s="231"/>
      <c r="D953" s="45"/>
      <c r="E953" s="45"/>
      <c r="F953" s="45"/>
      <c r="N953" s="160"/>
    </row>
    <row r="954">
      <c r="A954" s="231"/>
      <c r="B954" s="231"/>
      <c r="C954" s="231"/>
      <c r="D954" s="45"/>
      <c r="E954" s="45"/>
      <c r="F954" s="45"/>
      <c r="N954" s="160"/>
    </row>
    <row r="955">
      <c r="A955" s="231"/>
      <c r="B955" s="231"/>
      <c r="C955" s="231"/>
      <c r="D955" s="45"/>
      <c r="E955" s="45"/>
      <c r="F955" s="45"/>
      <c r="N955" s="160"/>
    </row>
    <row r="956">
      <c r="A956" s="231"/>
      <c r="B956" s="231"/>
      <c r="C956" s="231"/>
      <c r="D956" s="45"/>
      <c r="E956" s="45"/>
      <c r="F956" s="45"/>
      <c r="N956" s="160"/>
    </row>
    <row r="957">
      <c r="A957" s="231"/>
      <c r="B957" s="231"/>
      <c r="C957" s="231"/>
      <c r="D957" s="45"/>
      <c r="E957" s="45"/>
      <c r="F957" s="45"/>
      <c r="N957" s="160"/>
    </row>
    <row r="958">
      <c r="A958" s="231"/>
      <c r="B958" s="231"/>
      <c r="C958" s="231"/>
      <c r="D958" s="45"/>
      <c r="E958" s="45"/>
      <c r="F958" s="45"/>
      <c r="N958" s="160"/>
    </row>
    <row r="959">
      <c r="A959" s="231"/>
      <c r="B959" s="231"/>
      <c r="C959" s="231"/>
      <c r="D959" s="45"/>
      <c r="E959" s="45"/>
      <c r="F959" s="45"/>
      <c r="N959" s="160"/>
    </row>
    <row r="960">
      <c r="A960" s="231"/>
      <c r="B960" s="231"/>
      <c r="C960" s="231"/>
      <c r="D960" s="45"/>
      <c r="E960" s="45"/>
      <c r="F960" s="45"/>
      <c r="N960" s="160"/>
    </row>
    <row r="961">
      <c r="A961" s="231"/>
      <c r="B961" s="231"/>
      <c r="C961" s="231"/>
      <c r="D961" s="45"/>
      <c r="E961" s="45"/>
      <c r="F961" s="45"/>
      <c r="N961" s="160"/>
    </row>
    <row r="962">
      <c r="A962" s="231"/>
      <c r="B962" s="231"/>
      <c r="C962" s="231"/>
      <c r="D962" s="45"/>
      <c r="E962" s="45"/>
      <c r="F962" s="45"/>
      <c r="N962" s="160"/>
    </row>
    <row r="963">
      <c r="A963" s="231"/>
      <c r="B963" s="231"/>
      <c r="C963" s="231"/>
      <c r="D963" s="45"/>
      <c r="E963" s="45"/>
      <c r="F963" s="45"/>
      <c r="N963" s="160"/>
    </row>
    <row r="964">
      <c r="A964" s="231"/>
      <c r="B964" s="231"/>
      <c r="C964" s="231"/>
      <c r="D964" s="45"/>
      <c r="E964" s="45"/>
      <c r="F964" s="45"/>
      <c r="N964" s="160"/>
    </row>
    <row r="965">
      <c r="A965" s="231"/>
      <c r="B965" s="231"/>
      <c r="C965" s="231"/>
      <c r="D965" s="45"/>
      <c r="E965" s="45"/>
      <c r="F965" s="45"/>
      <c r="N965" s="160"/>
    </row>
    <row r="966">
      <c r="A966" s="231"/>
      <c r="B966" s="231"/>
      <c r="C966" s="231"/>
      <c r="D966" s="45"/>
      <c r="E966" s="45"/>
      <c r="F966" s="45"/>
      <c r="N966" s="160"/>
    </row>
    <row r="967">
      <c r="A967" s="231"/>
      <c r="B967" s="231"/>
      <c r="C967" s="231"/>
      <c r="D967" s="45"/>
      <c r="E967" s="45"/>
      <c r="F967" s="45"/>
      <c r="N967" s="160"/>
    </row>
    <row r="968">
      <c r="A968" s="231"/>
      <c r="B968" s="231"/>
      <c r="C968" s="231"/>
      <c r="D968" s="45"/>
      <c r="E968" s="45"/>
      <c r="F968" s="45"/>
      <c r="N968" s="160"/>
    </row>
    <row r="969">
      <c r="A969" s="231"/>
      <c r="B969" s="231"/>
      <c r="C969" s="231"/>
      <c r="D969" s="45"/>
      <c r="E969" s="45"/>
      <c r="F969" s="45"/>
      <c r="N969" s="160"/>
    </row>
    <row r="970">
      <c r="A970" s="231"/>
      <c r="B970" s="231"/>
      <c r="C970" s="231"/>
      <c r="D970" s="45"/>
      <c r="E970" s="45"/>
      <c r="F970" s="45"/>
      <c r="N970" s="160"/>
    </row>
    <row r="971">
      <c r="A971" s="231"/>
      <c r="B971" s="231"/>
      <c r="C971" s="231"/>
      <c r="D971" s="45"/>
      <c r="E971" s="45"/>
      <c r="F971" s="45"/>
      <c r="N971" s="160"/>
    </row>
    <row r="972">
      <c r="A972" s="231"/>
      <c r="B972" s="231"/>
      <c r="C972" s="231"/>
      <c r="D972" s="45"/>
      <c r="E972" s="45"/>
      <c r="F972" s="45"/>
      <c r="N972" s="160"/>
    </row>
    <row r="973">
      <c r="A973" s="231"/>
      <c r="B973" s="231"/>
      <c r="C973" s="231"/>
      <c r="D973" s="45"/>
      <c r="E973" s="45"/>
      <c r="F973" s="45"/>
      <c r="N973" s="160"/>
    </row>
    <row r="974">
      <c r="A974" s="231"/>
      <c r="B974" s="231"/>
      <c r="C974" s="231"/>
      <c r="D974" s="45"/>
      <c r="E974" s="45"/>
      <c r="F974" s="45"/>
      <c r="N974" s="160"/>
    </row>
    <row r="975">
      <c r="A975" s="231"/>
      <c r="B975" s="231"/>
      <c r="C975" s="231"/>
      <c r="D975" s="45"/>
      <c r="E975" s="45"/>
      <c r="F975" s="45"/>
      <c r="N975" s="160"/>
    </row>
    <row r="976">
      <c r="A976" s="231"/>
      <c r="B976" s="231"/>
      <c r="C976" s="231"/>
      <c r="D976" s="45"/>
      <c r="E976" s="45"/>
      <c r="F976" s="45"/>
      <c r="N976" s="160"/>
    </row>
    <row r="977">
      <c r="A977" s="231"/>
      <c r="B977" s="231"/>
      <c r="C977" s="231"/>
      <c r="D977" s="45"/>
      <c r="E977" s="45"/>
      <c r="F977" s="45"/>
      <c r="N977" s="160"/>
    </row>
    <row r="978">
      <c r="A978" s="231"/>
      <c r="B978" s="231"/>
      <c r="C978" s="231"/>
      <c r="D978" s="45"/>
      <c r="E978" s="45"/>
      <c r="F978" s="45"/>
      <c r="N978" s="160"/>
    </row>
    <row r="979">
      <c r="A979" s="231"/>
      <c r="B979" s="231"/>
      <c r="C979" s="231"/>
      <c r="D979" s="45"/>
      <c r="E979" s="45"/>
      <c r="F979" s="45"/>
      <c r="N979" s="160"/>
    </row>
    <row r="980">
      <c r="A980" s="231"/>
      <c r="B980" s="231"/>
      <c r="C980" s="231"/>
      <c r="D980" s="45"/>
      <c r="E980" s="45"/>
      <c r="F980" s="45"/>
      <c r="N980" s="160"/>
    </row>
    <row r="981">
      <c r="A981" s="231"/>
      <c r="B981" s="231"/>
      <c r="C981" s="231"/>
      <c r="D981" s="45"/>
      <c r="E981" s="45"/>
      <c r="F981" s="45"/>
      <c r="N981" s="160"/>
    </row>
    <row r="982">
      <c r="A982" s="231"/>
      <c r="B982" s="231"/>
      <c r="C982" s="231"/>
      <c r="D982" s="45"/>
      <c r="E982" s="45"/>
      <c r="F982" s="45"/>
      <c r="N982" s="160"/>
    </row>
    <row r="983">
      <c r="A983" s="231"/>
      <c r="B983" s="231"/>
      <c r="C983" s="231"/>
      <c r="D983" s="45"/>
      <c r="E983" s="45"/>
      <c r="F983" s="45"/>
      <c r="N983" s="160"/>
    </row>
    <row r="984">
      <c r="A984" s="231"/>
      <c r="B984" s="231"/>
      <c r="C984" s="231"/>
      <c r="D984" s="45"/>
      <c r="E984" s="45"/>
      <c r="F984" s="45"/>
      <c r="N984" s="160"/>
    </row>
    <row r="985">
      <c r="A985" s="231"/>
      <c r="B985" s="231"/>
      <c r="C985" s="231"/>
      <c r="D985" s="45"/>
      <c r="E985" s="45"/>
      <c r="F985" s="45"/>
      <c r="N985" s="160"/>
    </row>
    <row r="986">
      <c r="A986" s="231"/>
      <c r="B986" s="231"/>
      <c r="C986" s="231"/>
      <c r="D986" s="45"/>
      <c r="E986" s="45"/>
      <c r="F986" s="45"/>
      <c r="N986" s="160"/>
    </row>
    <row r="987">
      <c r="A987" s="231"/>
      <c r="B987" s="231"/>
      <c r="C987" s="231"/>
      <c r="D987" s="45"/>
      <c r="E987" s="45"/>
      <c r="F987" s="45"/>
      <c r="N987" s="160"/>
    </row>
    <row r="988">
      <c r="A988" s="231"/>
      <c r="B988" s="231"/>
      <c r="C988" s="231"/>
      <c r="D988" s="45"/>
      <c r="E988" s="45"/>
      <c r="F988" s="45"/>
      <c r="N988" s="160"/>
    </row>
    <row r="989">
      <c r="A989" s="231"/>
      <c r="B989" s="231"/>
      <c r="C989" s="231"/>
      <c r="D989" s="45"/>
      <c r="E989" s="45"/>
      <c r="F989" s="45"/>
      <c r="N989" s="160"/>
    </row>
  </sheetData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63"/>
  </cols>
  <sheetData>
    <row r="1">
      <c r="A1" s="353" t="s">
        <v>4476</v>
      </c>
      <c r="B1" s="192" t="s">
        <v>10543</v>
      </c>
      <c r="C1" s="644" t="s">
        <v>1</v>
      </c>
      <c r="E1" s="11" t="s">
        <v>17405</v>
      </c>
      <c r="F1" s="11" t="str">
        <f>"Empty codes:"&amp; COUNTBLANK(C2:C72)</f>
        <v>Empty codes:0</v>
      </c>
    </row>
    <row r="2">
      <c r="A2" s="353" t="s">
        <v>65</v>
      </c>
      <c r="B2" s="223"/>
      <c r="C2" s="644">
        <v>6675.0</v>
      </c>
      <c r="E2" s="18">
        <v>1.0</v>
      </c>
      <c r="G2" s="645"/>
      <c r="K2" s="201"/>
    </row>
    <row r="3">
      <c r="A3" s="353" t="s">
        <v>66</v>
      </c>
      <c r="B3" s="223"/>
      <c r="C3" s="644">
        <v>2345.0</v>
      </c>
      <c r="E3" s="18">
        <v>1.0</v>
      </c>
      <c r="G3" s="645"/>
      <c r="H3" s="201"/>
      <c r="K3" s="201"/>
    </row>
    <row r="4">
      <c r="A4" s="353" t="s">
        <v>67</v>
      </c>
      <c r="B4" s="223"/>
      <c r="C4" s="644">
        <v>663.0</v>
      </c>
      <c r="E4" s="18" t="e">
        <v>#N/A</v>
      </c>
      <c r="G4" s="645"/>
      <c r="H4" s="201"/>
      <c r="K4" s="201"/>
    </row>
    <row r="5">
      <c r="A5" s="353" t="s">
        <v>68</v>
      </c>
      <c r="B5" s="223"/>
      <c r="C5" s="644">
        <v>7100.0</v>
      </c>
      <c r="E5" s="18">
        <v>1.0</v>
      </c>
      <c r="G5" s="645"/>
      <c r="H5" s="201"/>
      <c r="K5" s="201"/>
    </row>
    <row r="6">
      <c r="A6" s="353" t="s">
        <v>69</v>
      </c>
      <c r="B6" s="223"/>
      <c r="C6" s="644">
        <v>189.0</v>
      </c>
      <c r="E6" s="18">
        <v>1.0</v>
      </c>
      <c r="G6" s="645"/>
      <c r="H6" s="201"/>
      <c r="K6" s="201"/>
    </row>
    <row r="7">
      <c r="A7" s="353" t="s">
        <v>70</v>
      </c>
      <c r="B7" s="223"/>
      <c r="C7" s="644">
        <v>189.0</v>
      </c>
      <c r="E7" s="18">
        <v>1.0</v>
      </c>
      <c r="G7" s="645"/>
      <c r="H7" s="201"/>
      <c r="K7" s="201"/>
    </row>
    <row r="8">
      <c r="A8" s="353" t="s">
        <v>71</v>
      </c>
      <c r="B8" s="223"/>
      <c r="C8" s="644">
        <v>189.0</v>
      </c>
      <c r="E8" s="18">
        <v>1.0</v>
      </c>
      <c r="G8" s="645"/>
      <c r="H8" s="201"/>
      <c r="K8" s="201"/>
    </row>
    <row r="9">
      <c r="A9" s="353" t="s">
        <v>72</v>
      </c>
      <c r="B9" s="223"/>
      <c r="C9" s="644">
        <v>7415.0</v>
      </c>
      <c r="E9" s="18" t="e">
        <v>#N/A</v>
      </c>
      <c r="G9" s="645"/>
      <c r="H9" s="201"/>
      <c r="K9" s="201"/>
    </row>
    <row r="10">
      <c r="A10" s="353" t="s">
        <v>73</v>
      </c>
      <c r="B10" s="223"/>
      <c r="C10" s="644">
        <v>6671.0</v>
      </c>
      <c r="E10" s="18">
        <v>1.0</v>
      </c>
      <c r="G10" s="645"/>
      <c r="H10" s="201"/>
      <c r="K10" s="201"/>
    </row>
    <row r="11">
      <c r="A11" s="353" t="s">
        <v>74</v>
      </c>
      <c r="B11" s="223"/>
      <c r="C11" s="644">
        <v>6772.0</v>
      </c>
      <c r="E11" s="18">
        <v>1.0</v>
      </c>
      <c r="G11" s="645"/>
      <c r="H11" s="201"/>
      <c r="K11" s="201"/>
    </row>
    <row r="12">
      <c r="A12" s="353" t="s">
        <v>75</v>
      </c>
      <c r="B12" s="223"/>
      <c r="C12" s="644">
        <v>2345.0</v>
      </c>
      <c r="E12" s="18">
        <v>1.0</v>
      </c>
      <c r="G12" s="645"/>
      <c r="H12" s="201"/>
      <c r="K12" s="201"/>
    </row>
    <row r="13">
      <c r="A13" s="353" t="s">
        <v>76</v>
      </c>
      <c r="B13" s="223"/>
      <c r="C13" s="644">
        <v>14065.0</v>
      </c>
      <c r="D13" s="644">
        <v>7158.0</v>
      </c>
      <c r="E13" s="18">
        <v>1.0</v>
      </c>
      <c r="G13" s="645"/>
      <c r="H13" s="201"/>
      <c r="K13" s="201"/>
    </row>
    <row r="14">
      <c r="A14" s="353" t="s">
        <v>77</v>
      </c>
      <c r="B14" s="223"/>
      <c r="C14" s="644">
        <v>6924.0</v>
      </c>
      <c r="E14" s="18">
        <v>1.0</v>
      </c>
      <c r="G14" s="645"/>
      <c r="H14" s="201"/>
      <c r="K14" s="201"/>
    </row>
    <row r="15">
      <c r="A15" s="353" t="s">
        <v>78</v>
      </c>
      <c r="B15" s="223"/>
      <c r="C15" s="644">
        <v>7033.0</v>
      </c>
      <c r="E15" s="18">
        <v>1.0</v>
      </c>
      <c r="G15" s="645"/>
      <c r="H15" s="201"/>
      <c r="K15" s="201"/>
    </row>
    <row r="16">
      <c r="A16" s="353" t="s">
        <v>79</v>
      </c>
      <c r="B16" s="223"/>
      <c r="C16" s="11">
        <v>6893.0</v>
      </c>
      <c r="D16" s="644">
        <v>7158.0</v>
      </c>
      <c r="E16" s="18">
        <v>1.0</v>
      </c>
      <c r="G16" s="645"/>
      <c r="H16" s="201"/>
      <c r="K16" s="201"/>
    </row>
    <row r="17">
      <c r="A17" s="353" t="s">
        <v>80</v>
      </c>
      <c r="B17" s="223"/>
      <c r="C17" s="644">
        <v>986.0</v>
      </c>
      <c r="E17" s="18">
        <v>1.0</v>
      </c>
      <c r="G17" s="645"/>
      <c r="H17" s="201"/>
      <c r="K17" s="201"/>
    </row>
    <row r="18">
      <c r="A18" s="353" t="s">
        <v>81</v>
      </c>
      <c r="B18" s="223"/>
      <c r="C18" s="644">
        <v>986.0</v>
      </c>
      <c r="E18" s="18" t="e">
        <v>#N/A</v>
      </c>
      <c r="G18" s="645"/>
      <c r="H18" s="201"/>
      <c r="K18" s="201"/>
    </row>
    <row r="19">
      <c r="A19" s="353" t="s">
        <v>82</v>
      </c>
      <c r="B19" s="223"/>
      <c r="C19" s="644">
        <v>986.0</v>
      </c>
      <c r="E19" s="18">
        <v>1.0</v>
      </c>
      <c r="G19" s="645"/>
      <c r="H19" s="201"/>
      <c r="K19" s="201"/>
    </row>
    <row r="20">
      <c r="A20" s="353" t="s">
        <v>83</v>
      </c>
      <c r="B20" s="223"/>
      <c r="C20" s="644">
        <v>986.0</v>
      </c>
      <c r="E20" s="18">
        <v>1.0</v>
      </c>
      <c r="G20" s="645"/>
      <c r="H20" s="201"/>
      <c r="K20" s="201"/>
    </row>
    <row r="21">
      <c r="A21" s="353" t="s">
        <v>84</v>
      </c>
      <c r="B21" s="223"/>
      <c r="C21" s="644">
        <v>986.0</v>
      </c>
      <c r="E21" s="18" t="e">
        <v>#N/A</v>
      </c>
      <c r="G21" s="645"/>
      <c r="H21" s="201"/>
      <c r="K21" s="201"/>
    </row>
    <row r="22">
      <c r="A22" s="353" t="s">
        <v>85</v>
      </c>
      <c r="B22" s="223"/>
      <c r="C22" s="644">
        <v>986.0</v>
      </c>
      <c r="E22" s="18">
        <v>1.0</v>
      </c>
      <c r="G22" s="645"/>
      <c r="H22" s="201"/>
      <c r="K22" s="201"/>
    </row>
    <row r="23">
      <c r="A23" s="353" t="s">
        <v>86</v>
      </c>
      <c r="B23" s="223"/>
      <c r="C23" s="644">
        <v>986.0</v>
      </c>
      <c r="E23" s="18">
        <v>1.0</v>
      </c>
      <c r="G23" s="645"/>
      <c r="H23" s="201"/>
      <c r="K23" s="201"/>
    </row>
    <row r="24">
      <c r="A24" s="353" t="s">
        <v>87</v>
      </c>
      <c r="B24" s="223"/>
      <c r="C24" s="11">
        <v>7003.0</v>
      </c>
      <c r="D24" s="644">
        <v>986.0</v>
      </c>
      <c r="E24" s="18">
        <v>1.0</v>
      </c>
      <c r="G24" s="645"/>
      <c r="H24" s="201"/>
      <c r="K24" s="201"/>
    </row>
    <row r="25">
      <c r="A25" s="353" t="s">
        <v>88</v>
      </c>
      <c r="B25" s="223"/>
      <c r="C25" s="644">
        <v>7104.0</v>
      </c>
      <c r="E25" s="18">
        <v>1.0</v>
      </c>
      <c r="G25" s="645"/>
      <c r="H25" s="201"/>
      <c r="K25" s="201"/>
    </row>
    <row r="26">
      <c r="A26" s="353" t="s">
        <v>89</v>
      </c>
      <c r="B26" s="223"/>
      <c r="C26" s="644">
        <v>6728.0</v>
      </c>
      <c r="E26" s="18">
        <v>1.0</v>
      </c>
      <c r="G26" s="645"/>
      <c r="H26" s="201"/>
      <c r="K26" s="201"/>
    </row>
    <row r="27">
      <c r="A27" s="353" t="s">
        <v>90</v>
      </c>
      <c r="B27" s="223"/>
      <c r="C27" s="644">
        <v>3307.0</v>
      </c>
      <c r="E27" s="18">
        <v>1.0</v>
      </c>
      <c r="G27" s="645"/>
      <c r="H27" s="201"/>
      <c r="K27" s="201"/>
    </row>
    <row r="28">
      <c r="A28" s="353" t="s">
        <v>91</v>
      </c>
      <c r="B28" s="223"/>
      <c r="C28" s="644">
        <v>6827.0</v>
      </c>
      <c r="E28" s="18">
        <v>1.0</v>
      </c>
      <c r="G28" s="645"/>
      <c r="H28" s="201"/>
      <c r="K28" s="201"/>
    </row>
    <row r="29">
      <c r="A29" s="353" t="s">
        <v>92</v>
      </c>
      <c r="B29" s="223"/>
      <c r="C29" s="11">
        <v>7492.0</v>
      </c>
      <c r="D29" s="644">
        <v>6770.0</v>
      </c>
      <c r="E29" s="18">
        <v>1.0</v>
      </c>
      <c r="G29" s="645"/>
      <c r="H29" s="201"/>
      <c r="K29" s="201"/>
    </row>
    <row r="30">
      <c r="A30" s="353" t="s">
        <v>94</v>
      </c>
      <c r="B30" s="223"/>
      <c r="C30" s="11">
        <v>7132.0</v>
      </c>
      <c r="D30" s="644">
        <v>6779.0</v>
      </c>
      <c r="E30" s="18" t="e">
        <v>#N/A</v>
      </c>
      <c r="G30" s="645"/>
      <c r="H30" s="201"/>
      <c r="K30" s="201"/>
    </row>
    <row r="31">
      <c r="A31" s="353" t="s">
        <v>95</v>
      </c>
      <c r="B31" s="223"/>
      <c r="C31" s="644">
        <v>2345.0</v>
      </c>
      <c r="E31" s="18">
        <v>1.0</v>
      </c>
      <c r="G31" s="645"/>
      <c r="H31" s="201"/>
      <c r="K31" s="201"/>
    </row>
    <row r="32">
      <c r="A32" s="353" t="s">
        <v>96</v>
      </c>
      <c r="B32" s="223"/>
      <c r="C32" s="644">
        <v>2345.0</v>
      </c>
      <c r="E32" s="18">
        <v>1.0</v>
      </c>
      <c r="G32" s="645"/>
      <c r="H32" s="201"/>
      <c r="K32" s="201"/>
    </row>
    <row r="33">
      <c r="A33" s="353" t="s">
        <v>97</v>
      </c>
      <c r="B33" s="223"/>
      <c r="C33" s="644">
        <v>2345.0</v>
      </c>
      <c r="E33" s="18">
        <v>1.0</v>
      </c>
      <c r="G33" s="645"/>
      <c r="H33" s="201"/>
      <c r="K33" s="201"/>
    </row>
    <row r="34">
      <c r="A34" s="353" t="s">
        <v>98</v>
      </c>
      <c r="B34" s="223"/>
      <c r="C34" s="644">
        <v>2345.0</v>
      </c>
      <c r="E34" s="18" t="e">
        <v>#N/A</v>
      </c>
      <c r="G34" s="645"/>
      <c r="H34" s="201"/>
      <c r="K34" s="201"/>
    </row>
    <row r="35">
      <c r="A35" s="353" t="s">
        <v>99</v>
      </c>
      <c r="B35" s="223"/>
      <c r="C35" s="644">
        <v>2345.0</v>
      </c>
      <c r="E35" s="18">
        <v>1.0</v>
      </c>
      <c r="G35" s="645"/>
      <c r="H35" s="201"/>
      <c r="K35" s="201"/>
    </row>
    <row r="36">
      <c r="A36" s="353" t="s">
        <v>100</v>
      </c>
      <c r="B36" s="223"/>
      <c r="C36" s="644">
        <v>2345.0</v>
      </c>
      <c r="E36" s="18">
        <v>1.0</v>
      </c>
      <c r="G36" s="645"/>
      <c r="H36" s="201"/>
      <c r="K36" s="201"/>
    </row>
    <row r="37">
      <c r="A37" s="353" t="s">
        <v>101</v>
      </c>
      <c r="B37" s="223"/>
      <c r="C37" s="11">
        <v>6132.0</v>
      </c>
      <c r="D37" s="644">
        <v>6936.0</v>
      </c>
      <c r="E37" s="18">
        <v>1.0</v>
      </c>
      <c r="G37" s="645"/>
      <c r="H37" s="201"/>
      <c r="K37" s="201"/>
    </row>
    <row r="38">
      <c r="A38" s="353" t="s">
        <v>102</v>
      </c>
      <c r="B38" s="223"/>
      <c r="C38" s="644">
        <v>6272.0</v>
      </c>
      <c r="E38" s="18">
        <v>1.0</v>
      </c>
      <c r="G38" s="645"/>
      <c r="H38" s="201"/>
      <c r="K38" s="201"/>
    </row>
    <row r="39">
      <c r="A39" s="353" t="s">
        <v>103</v>
      </c>
      <c r="B39" s="223"/>
      <c r="C39" s="644">
        <v>195.0</v>
      </c>
      <c r="E39" s="18" t="e">
        <v>#N/A</v>
      </c>
      <c r="H39" s="201"/>
      <c r="K39" s="201"/>
    </row>
    <row r="40">
      <c r="A40" s="353" t="s">
        <v>104</v>
      </c>
      <c r="B40" s="223"/>
      <c r="C40" s="644">
        <v>7168.0</v>
      </c>
      <c r="E40" s="18" t="e">
        <v>#N/A</v>
      </c>
      <c r="H40" s="201"/>
      <c r="K40" s="201"/>
    </row>
    <row r="41">
      <c r="A41" s="353" t="s">
        <v>105</v>
      </c>
      <c r="B41" s="223"/>
      <c r="C41" s="644">
        <v>6729.0</v>
      </c>
      <c r="D41" s="11">
        <v>7055.0</v>
      </c>
      <c r="E41" s="18">
        <v>1.0</v>
      </c>
      <c r="H41" s="201"/>
      <c r="K41" s="201"/>
    </row>
    <row r="42">
      <c r="A42" s="353" t="s">
        <v>3554</v>
      </c>
      <c r="B42" s="223"/>
      <c r="C42" s="644">
        <v>7036.0</v>
      </c>
      <c r="E42" s="18">
        <v>1.0</v>
      </c>
      <c r="K42" s="201"/>
    </row>
    <row r="43">
      <c r="A43" s="353" t="s">
        <v>3555</v>
      </c>
      <c r="B43" s="223"/>
      <c r="C43" s="644">
        <v>7036.0</v>
      </c>
      <c r="E43" s="18">
        <v>1.0</v>
      </c>
      <c r="K43" s="201"/>
    </row>
    <row r="44">
      <c r="A44" s="353" t="s">
        <v>3556</v>
      </c>
      <c r="B44" s="223"/>
      <c r="C44" s="644">
        <v>7036.0</v>
      </c>
      <c r="E44" s="18">
        <v>1.0</v>
      </c>
      <c r="K44" s="201"/>
    </row>
    <row r="45">
      <c r="A45" s="353" t="s">
        <v>3557</v>
      </c>
      <c r="B45" s="223"/>
      <c r="C45" s="644">
        <v>7036.0</v>
      </c>
      <c r="E45" s="18">
        <v>1.0</v>
      </c>
      <c r="K45" s="201"/>
    </row>
    <row r="46">
      <c r="A46" s="353" t="s">
        <v>3558</v>
      </c>
      <c r="B46" s="223"/>
      <c r="C46" s="644">
        <v>7023.0</v>
      </c>
      <c r="E46" s="18">
        <v>1.0</v>
      </c>
      <c r="K46" s="201"/>
    </row>
    <row r="47">
      <c r="A47" s="353" t="s">
        <v>3559</v>
      </c>
      <c r="B47" s="223"/>
      <c r="C47" s="644">
        <v>6133.0</v>
      </c>
      <c r="E47" s="18">
        <v>1.0</v>
      </c>
      <c r="K47" s="201"/>
    </row>
    <row r="48">
      <c r="A48" s="353" t="s">
        <v>3560</v>
      </c>
      <c r="B48" s="223"/>
      <c r="C48" s="644">
        <v>6133.0</v>
      </c>
      <c r="E48" s="18">
        <v>1.0</v>
      </c>
      <c r="K48" s="201"/>
    </row>
    <row r="49">
      <c r="A49" s="353" t="s">
        <v>3561</v>
      </c>
      <c r="B49" s="223"/>
      <c r="C49" s="644">
        <v>9645.0</v>
      </c>
      <c r="D49" s="644">
        <v>7055.0</v>
      </c>
      <c r="E49" s="18" t="e">
        <v>#N/A</v>
      </c>
      <c r="K49" s="201"/>
    </row>
    <row r="50">
      <c r="A50" s="353" t="s">
        <v>3562</v>
      </c>
      <c r="B50" s="223"/>
      <c r="C50" s="644">
        <v>7149.0</v>
      </c>
      <c r="E50" s="18">
        <v>1.0</v>
      </c>
      <c r="K50" s="201"/>
    </row>
    <row r="51">
      <c r="A51" s="353" t="s">
        <v>3563</v>
      </c>
      <c r="B51" s="223"/>
      <c r="C51" s="644">
        <v>7010.0</v>
      </c>
      <c r="E51" s="18">
        <v>1.0</v>
      </c>
      <c r="K51" s="201"/>
    </row>
    <row r="52">
      <c r="A52" s="353" t="s">
        <v>1801</v>
      </c>
      <c r="B52" s="223"/>
      <c r="C52" s="644">
        <v>7031.0</v>
      </c>
      <c r="D52" s="11"/>
      <c r="E52" s="18" t="e">
        <v>#N/A</v>
      </c>
      <c r="K52" s="201"/>
    </row>
    <row r="53">
      <c r="A53" s="353" t="s">
        <v>1802</v>
      </c>
      <c r="B53" s="223"/>
      <c r="C53" s="644">
        <v>7157.0</v>
      </c>
      <c r="E53" s="18" t="e">
        <v>#N/A</v>
      </c>
      <c r="K53" s="201"/>
    </row>
    <row r="54">
      <c r="A54" s="353" t="s">
        <v>1804</v>
      </c>
      <c r="B54" s="223"/>
      <c r="C54" s="644">
        <v>3231.0</v>
      </c>
      <c r="E54" s="18" t="e">
        <v>#N/A</v>
      </c>
      <c r="K54" s="201"/>
    </row>
    <row r="55">
      <c r="A55" s="353" t="s">
        <v>1806</v>
      </c>
      <c r="B55" s="223"/>
      <c r="C55" s="644">
        <v>7010.0</v>
      </c>
      <c r="K55" s="201"/>
    </row>
    <row r="56">
      <c r="A56" s="353" t="s">
        <v>1807</v>
      </c>
      <c r="B56" s="223"/>
      <c r="C56" s="644">
        <v>6940.0</v>
      </c>
      <c r="E56" s="18" t="e">
        <v>#N/A</v>
      </c>
      <c r="K56" s="201"/>
    </row>
    <row r="57">
      <c r="A57" s="353" t="s">
        <v>4621</v>
      </c>
      <c r="B57" s="223"/>
      <c r="C57" s="644">
        <v>7415.0</v>
      </c>
      <c r="E57" s="18" t="e">
        <v>#N/A</v>
      </c>
      <c r="K57" s="201"/>
    </row>
    <row r="58">
      <c r="A58" s="353" t="s">
        <v>4622</v>
      </c>
      <c r="B58" s="223"/>
      <c r="C58" s="644">
        <v>6989.0</v>
      </c>
      <c r="E58" s="18" t="e">
        <v>#N/A</v>
      </c>
      <c r="K58" s="201"/>
    </row>
    <row r="59">
      <c r="A59" s="353" t="s">
        <v>4623</v>
      </c>
      <c r="B59" s="223"/>
      <c r="C59" s="644">
        <v>8199.0</v>
      </c>
      <c r="E59" s="18" t="e">
        <v>#N/A</v>
      </c>
      <c r="K59" s="201"/>
    </row>
    <row r="60">
      <c r="A60" s="353" t="s">
        <v>4624</v>
      </c>
      <c r="B60" s="223"/>
      <c r="C60" s="644">
        <v>7869.0</v>
      </c>
      <c r="E60" s="18" t="e">
        <v>#N/A</v>
      </c>
      <c r="K60" s="201"/>
    </row>
    <row r="61">
      <c r="A61" s="353" t="s">
        <v>4625</v>
      </c>
      <c r="B61" s="223"/>
      <c r="C61" s="11">
        <v>6736.0</v>
      </c>
      <c r="D61" s="644">
        <v>499.0</v>
      </c>
      <c r="E61" s="18" t="e">
        <v>#N/A</v>
      </c>
      <c r="K61" s="201"/>
    </row>
    <row r="62">
      <c r="A62" s="353" t="s">
        <v>15335</v>
      </c>
      <c r="B62" s="223"/>
      <c r="C62" s="644">
        <v>6995.0</v>
      </c>
      <c r="E62" s="18" t="e">
        <v>#N/A</v>
      </c>
      <c r="K62" s="201"/>
    </row>
    <row r="63">
      <c r="A63" s="353" t="s">
        <v>15336</v>
      </c>
      <c r="B63" s="223"/>
      <c r="C63" s="644">
        <v>930.0</v>
      </c>
      <c r="E63" s="18" t="e">
        <v>#N/A</v>
      </c>
      <c r="K63" s="201"/>
    </row>
    <row r="64">
      <c r="A64" s="353" t="s">
        <v>15337</v>
      </c>
      <c r="B64" s="223"/>
      <c r="C64" s="644">
        <v>4193.0</v>
      </c>
      <c r="E64" s="18" t="e">
        <v>#N/A</v>
      </c>
      <c r="K64" s="201"/>
    </row>
    <row r="65">
      <c r="A65" s="353" t="s">
        <v>15338</v>
      </c>
      <c r="B65" s="223"/>
      <c r="C65" s="97">
        <v>489.0</v>
      </c>
      <c r="D65" s="644">
        <v>6732.0</v>
      </c>
      <c r="E65" s="18" t="e">
        <v>#N/A</v>
      </c>
      <c r="K65" s="201"/>
    </row>
    <row r="66">
      <c r="A66" s="558" t="s">
        <v>15339</v>
      </c>
      <c r="B66" s="223"/>
      <c r="C66" s="35">
        <v>1.0</v>
      </c>
      <c r="D66" s="372">
        <v>6732.0</v>
      </c>
      <c r="E66" s="36" t="e">
        <v>#N/A</v>
      </c>
      <c r="F66" s="98">
        <v>14055.0</v>
      </c>
      <c r="K66" s="201"/>
    </row>
    <row r="67">
      <c r="A67" s="353" t="s">
        <v>15340</v>
      </c>
      <c r="B67" s="223"/>
      <c r="C67" s="644">
        <v>7183.0</v>
      </c>
      <c r="E67" s="18" t="e">
        <v>#N/A</v>
      </c>
      <c r="K67" s="201"/>
    </row>
    <row r="68">
      <c r="A68" s="353" t="s">
        <v>15341</v>
      </c>
      <c r="B68" s="223"/>
      <c r="C68" s="644">
        <v>7186.0</v>
      </c>
      <c r="E68" s="18" t="e">
        <v>#N/A</v>
      </c>
      <c r="K68" s="201"/>
    </row>
    <row r="69">
      <c r="A69" s="353" t="s">
        <v>15342</v>
      </c>
      <c r="B69" s="223"/>
      <c r="C69" s="644">
        <v>6875.0</v>
      </c>
      <c r="E69" s="18" t="e">
        <v>#N/A</v>
      </c>
      <c r="K69" s="201"/>
    </row>
    <row r="70">
      <c r="A70" s="353" t="s">
        <v>15343</v>
      </c>
      <c r="B70" s="223"/>
      <c r="C70" s="644">
        <v>7142.0</v>
      </c>
      <c r="E70" s="18">
        <v>1.0</v>
      </c>
      <c r="K70" s="201"/>
    </row>
    <row r="71">
      <c r="A71" s="353" t="s">
        <v>15344</v>
      </c>
      <c r="B71" s="223"/>
      <c r="C71" s="644">
        <v>6940.0</v>
      </c>
      <c r="E71" s="18" t="e">
        <v>#N/A</v>
      </c>
      <c r="K71" s="201"/>
    </row>
    <row r="72">
      <c r="A72" s="353" t="s">
        <v>15345</v>
      </c>
      <c r="B72" s="223"/>
      <c r="C72" s="644">
        <v>7415.0</v>
      </c>
      <c r="E72" s="18">
        <v>1.0</v>
      </c>
      <c r="K72" s="201"/>
    </row>
    <row r="73">
      <c r="A73" s="11" t="s">
        <v>15346</v>
      </c>
      <c r="B73" s="223"/>
      <c r="C73" s="11">
        <v>8524.0</v>
      </c>
      <c r="E73" s="18">
        <v>1.0</v>
      </c>
      <c r="K73" s="201"/>
    </row>
    <row r="74">
      <c r="A74" s="646" t="s">
        <v>17406</v>
      </c>
      <c r="B74" s="223"/>
      <c r="C74" s="11">
        <v>9645.0</v>
      </c>
      <c r="D74" s="11" t="s">
        <v>17407</v>
      </c>
    </row>
    <row r="75">
      <c r="A75" s="11" t="s">
        <v>17408</v>
      </c>
      <c r="B75" s="223"/>
      <c r="C75" s="11">
        <v>986.0</v>
      </c>
    </row>
    <row r="76">
      <c r="A76" s="646" t="s">
        <v>17409</v>
      </c>
      <c r="B76" s="223"/>
      <c r="C76" s="11">
        <v>10856.0</v>
      </c>
    </row>
    <row r="77">
      <c r="A77" s="11" t="s">
        <v>17410</v>
      </c>
      <c r="B77" s="223"/>
      <c r="C77" s="11">
        <v>10616.0</v>
      </c>
    </row>
    <row r="78">
      <c r="A78" s="646" t="s">
        <v>17411</v>
      </c>
      <c r="B78" s="223"/>
      <c r="C78" s="11">
        <v>6132.0</v>
      </c>
    </row>
    <row r="79">
      <c r="A79" s="11" t="s">
        <v>17412</v>
      </c>
      <c r="B79" s="223"/>
      <c r="C79" s="158">
        <v>14055.0</v>
      </c>
    </row>
    <row r="80">
      <c r="A80" s="646" t="s">
        <v>17413</v>
      </c>
      <c r="B80" s="223"/>
      <c r="C80" s="11">
        <v>12388.0</v>
      </c>
    </row>
    <row r="81">
      <c r="A81" s="11" t="s">
        <v>17414</v>
      </c>
      <c r="B81" s="223"/>
      <c r="C81" s="647">
        <v>6697.0</v>
      </c>
    </row>
    <row r="82">
      <c r="A82" s="646" t="s">
        <v>17415</v>
      </c>
      <c r="B82" s="223"/>
      <c r="C82" s="158">
        <v>14023.0</v>
      </c>
    </row>
    <row r="83">
      <c r="A83" s="11" t="s">
        <v>17416</v>
      </c>
      <c r="B83" s="223"/>
      <c r="C83" s="158">
        <v>7010.0</v>
      </c>
    </row>
    <row r="84">
      <c r="A84" s="646" t="s">
        <v>17417</v>
      </c>
      <c r="B84" s="223"/>
      <c r="C84" s="158">
        <v>499.0</v>
      </c>
    </row>
    <row r="85">
      <c r="A85" s="11" t="s">
        <v>17418</v>
      </c>
      <c r="B85" s="223"/>
      <c r="C85" s="158">
        <v>499.0</v>
      </c>
    </row>
    <row r="86">
      <c r="A86" s="646" t="s">
        <v>17419</v>
      </c>
      <c r="B86" s="223"/>
      <c r="C86" s="158">
        <v>7158.0</v>
      </c>
    </row>
    <row r="87">
      <c r="A87" s="11" t="s">
        <v>17420</v>
      </c>
      <c r="B87" s="223"/>
      <c r="C87" s="158">
        <v>13951.0</v>
      </c>
    </row>
    <row r="88">
      <c r="A88" s="646" t="s">
        <v>17421</v>
      </c>
      <c r="B88" s="648"/>
    </row>
    <row r="89">
      <c r="A89" s="11" t="s">
        <v>17422</v>
      </c>
      <c r="B89" s="648"/>
    </row>
    <row r="90">
      <c r="A90" s="646" t="s">
        <v>17423</v>
      </c>
      <c r="B90" s="648"/>
    </row>
    <row r="91">
      <c r="A91" s="11" t="s">
        <v>17424</v>
      </c>
      <c r="B91" s="648"/>
    </row>
    <row r="92">
      <c r="A92" s="646" t="s">
        <v>17425</v>
      </c>
      <c r="B92" s="648"/>
    </row>
    <row r="93">
      <c r="A93" s="11" t="s">
        <v>17426</v>
      </c>
      <c r="B93" s="648"/>
    </row>
    <row r="94">
      <c r="A94" s="646" t="s">
        <v>17427</v>
      </c>
      <c r="B94" s="648"/>
    </row>
    <row r="95">
      <c r="A95" s="11" t="s">
        <v>17428</v>
      </c>
      <c r="B95" s="223"/>
    </row>
    <row r="96">
      <c r="A96" s="646" t="s">
        <v>17429</v>
      </c>
      <c r="B96" s="223"/>
    </row>
    <row r="97">
      <c r="A97" s="11" t="s">
        <v>17430</v>
      </c>
      <c r="B97" s="223"/>
    </row>
    <row r="98">
      <c r="A98" s="646" t="s">
        <v>17431</v>
      </c>
      <c r="B98" s="223"/>
    </row>
    <row r="99">
      <c r="A99" s="11" t="s">
        <v>17432</v>
      </c>
      <c r="B99" s="223"/>
      <c r="C99" s="158">
        <v>14005.0</v>
      </c>
    </row>
    <row r="100">
      <c r="A100" s="646" t="s">
        <v>17433</v>
      </c>
      <c r="B100" s="223"/>
      <c r="C100" s="160"/>
    </row>
    <row r="101">
      <c r="A101" s="11" t="s">
        <v>17434</v>
      </c>
      <c r="B101" s="223"/>
      <c r="C101" s="160"/>
    </row>
    <row r="102">
      <c r="A102" s="646" t="s">
        <v>17435</v>
      </c>
      <c r="B102" s="223"/>
      <c r="C102" s="160"/>
    </row>
    <row r="103">
      <c r="A103" s="11" t="s">
        <v>17436</v>
      </c>
      <c r="B103" s="223"/>
      <c r="C103" s="160"/>
    </row>
    <row r="104">
      <c r="A104" s="646" t="s">
        <v>17437</v>
      </c>
      <c r="B104" s="223"/>
      <c r="C104" s="158">
        <v>14004.0</v>
      </c>
    </row>
    <row r="105">
      <c r="A105" s="11" t="s">
        <v>17438</v>
      </c>
      <c r="B105" s="223"/>
      <c r="C105" s="160"/>
    </row>
    <row r="106">
      <c r="A106" s="646" t="s">
        <v>17439</v>
      </c>
      <c r="B106" s="223"/>
      <c r="C106" s="160"/>
    </row>
    <row r="107">
      <c r="A107" s="11" t="s">
        <v>17440</v>
      </c>
      <c r="B107" s="223"/>
      <c r="C107" s="160"/>
    </row>
    <row r="108">
      <c r="A108" s="646" t="s">
        <v>17441</v>
      </c>
      <c r="B108" s="223"/>
      <c r="C108" s="160"/>
    </row>
    <row r="109">
      <c r="A109" s="11" t="s">
        <v>17442</v>
      </c>
      <c r="B109" s="223"/>
      <c r="C109" s="160"/>
    </row>
    <row r="110">
      <c r="A110" s="646" t="s">
        <v>17443</v>
      </c>
      <c r="B110" s="223"/>
      <c r="C110" s="160"/>
    </row>
    <row r="111">
      <c r="A111" s="11" t="s">
        <v>17444</v>
      </c>
      <c r="B111" s="223"/>
      <c r="C111" s="158">
        <v>5125.0</v>
      </c>
    </row>
    <row r="112">
      <c r="A112" s="646" t="s">
        <v>17445</v>
      </c>
      <c r="B112" s="223"/>
      <c r="C112" s="160"/>
    </row>
    <row r="113">
      <c r="A113" s="11" t="s">
        <v>17446</v>
      </c>
      <c r="B113" s="223"/>
      <c r="C113" s="160"/>
    </row>
    <row r="114">
      <c r="A114" s="646" t="s">
        <v>17447</v>
      </c>
      <c r="B114" s="223"/>
      <c r="C114" s="160"/>
    </row>
    <row r="115">
      <c r="A115" s="11" t="s">
        <v>17448</v>
      </c>
      <c r="B115" s="223"/>
      <c r="C115" s="160"/>
    </row>
    <row r="116">
      <c r="A116" s="646" t="s">
        <v>17449</v>
      </c>
      <c r="B116" s="223"/>
      <c r="C116" s="160"/>
    </row>
    <row r="117">
      <c r="A117" s="11" t="s">
        <v>17450</v>
      </c>
      <c r="B117" s="223"/>
      <c r="C117" s="160"/>
    </row>
    <row r="118">
      <c r="A118" s="646" t="s">
        <v>17451</v>
      </c>
      <c r="B118" s="223"/>
      <c r="C118" s="160"/>
    </row>
    <row r="119">
      <c r="A119" s="11" t="s">
        <v>17452</v>
      </c>
      <c r="B119" s="223"/>
      <c r="C119" s="160"/>
    </row>
    <row r="120">
      <c r="A120" s="646" t="s">
        <v>17453</v>
      </c>
      <c r="B120" s="223"/>
      <c r="C120" s="160"/>
    </row>
    <row r="121">
      <c r="A121" s="11" t="s">
        <v>17454</v>
      </c>
      <c r="B121" s="223"/>
      <c r="C121" s="160"/>
    </row>
    <row r="122">
      <c r="A122" s="646" t="s">
        <v>17455</v>
      </c>
      <c r="B122" s="223"/>
      <c r="C122" s="160"/>
    </row>
    <row r="123">
      <c r="A123" s="11" t="s">
        <v>17456</v>
      </c>
      <c r="B123" s="223"/>
      <c r="C123" s="160"/>
    </row>
  </sheetData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49" t="s">
        <v>44</v>
      </c>
      <c r="B1" s="649" t="s">
        <v>1</v>
      </c>
      <c r="C1" s="649"/>
      <c r="D1" s="192" t="s">
        <v>17457</v>
      </c>
      <c r="E1" s="650" t="s">
        <v>17458</v>
      </c>
      <c r="F1" s="223"/>
      <c r="G1" s="223"/>
      <c r="H1" s="223"/>
    </row>
    <row r="2">
      <c r="A2" s="651" t="s">
        <v>11462</v>
      </c>
      <c r="B2" s="223"/>
      <c r="C2" s="223"/>
      <c r="D2" s="650" t="s">
        <v>17459</v>
      </c>
      <c r="E2" s="652">
        <v>20.0</v>
      </c>
      <c r="F2" s="223"/>
      <c r="G2" s="223"/>
      <c r="H2" s="223"/>
    </row>
    <row r="3">
      <c r="A3" s="651" t="s">
        <v>11208</v>
      </c>
      <c r="B3" s="223"/>
      <c r="C3" s="223"/>
      <c r="D3" s="650" t="s">
        <v>17459</v>
      </c>
      <c r="E3" s="652">
        <v>20.0</v>
      </c>
      <c r="F3" s="223"/>
      <c r="G3" s="223"/>
      <c r="H3" s="223"/>
    </row>
    <row r="4">
      <c r="A4" s="651" t="s">
        <v>11352</v>
      </c>
      <c r="B4" s="223"/>
      <c r="C4" s="223"/>
      <c r="D4" s="650" t="s">
        <v>17459</v>
      </c>
      <c r="E4" s="652">
        <v>20.0</v>
      </c>
      <c r="F4" s="223"/>
      <c r="G4" s="223"/>
      <c r="H4" s="223"/>
    </row>
    <row r="5">
      <c r="A5" s="651" t="s">
        <v>11520</v>
      </c>
      <c r="B5" s="192"/>
      <c r="C5" s="192">
        <v>6671.0</v>
      </c>
      <c r="D5" s="650" t="s">
        <v>17459</v>
      </c>
      <c r="E5" s="652">
        <v>20.0</v>
      </c>
      <c r="F5" s="223"/>
      <c r="G5" s="223"/>
      <c r="H5" s="223"/>
    </row>
    <row r="6">
      <c r="A6" s="651" t="s">
        <v>11540</v>
      </c>
      <c r="B6" s="192"/>
      <c r="C6" s="192">
        <v>136.0</v>
      </c>
      <c r="D6" s="650" t="s">
        <v>17459</v>
      </c>
      <c r="E6" s="652">
        <v>20.0</v>
      </c>
      <c r="F6" s="223"/>
      <c r="G6" s="223"/>
      <c r="H6" s="223"/>
    </row>
    <row r="7">
      <c r="A7" s="651" t="s">
        <v>11184</v>
      </c>
      <c r="B7" s="192"/>
      <c r="C7" s="192">
        <v>6727.0</v>
      </c>
      <c r="D7" s="650" t="s">
        <v>17459</v>
      </c>
      <c r="E7" s="652">
        <v>20.0</v>
      </c>
      <c r="F7" s="223"/>
      <c r="G7" s="223"/>
      <c r="H7" s="223"/>
    </row>
    <row r="8">
      <c r="A8" s="651" t="s">
        <v>11278</v>
      </c>
      <c r="B8" s="192"/>
      <c r="C8" s="192">
        <v>6727.0</v>
      </c>
      <c r="D8" s="650" t="s">
        <v>17459</v>
      </c>
      <c r="E8" s="652">
        <v>20.0</v>
      </c>
      <c r="F8" s="223"/>
      <c r="G8" s="223"/>
      <c r="H8" s="223"/>
    </row>
    <row r="9">
      <c r="A9" s="651" t="s">
        <v>11332</v>
      </c>
      <c r="B9" s="192"/>
      <c r="C9" s="192">
        <v>6675.0</v>
      </c>
      <c r="D9" s="650" t="s">
        <v>17459</v>
      </c>
      <c r="E9" s="652">
        <v>20.0</v>
      </c>
      <c r="F9" s="223"/>
      <c r="G9" s="223"/>
      <c r="H9" s="223"/>
    </row>
    <row r="10">
      <c r="A10" s="651" t="s">
        <v>11240</v>
      </c>
      <c r="B10" s="192"/>
      <c r="C10" s="192">
        <v>136.0</v>
      </c>
      <c r="D10" s="650" t="s">
        <v>17459</v>
      </c>
      <c r="E10" s="652">
        <v>20.0</v>
      </c>
      <c r="F10" s="223"/>
      <c r="G10" s="223"/>
      <c r="H10" s="223"/>
    </row>
    <row r="11">
      <c r="A11" s="651" t="s">
        <v>17460</v>
      </c>
      <c r="B11" s="192"/>
      <c r="C11" s="192">
        <v>6727.0</v>
      </c>
      <c r="D11" s="650" t="s">
        <v>17459</v>
      </c>
      <c r="E11" s="652">
        <v>20.0</v>
      </c>
      <c r="F11" s="223"/>
      <c r="G11" s="223"/>
      <c r="H11" s="223"/>
    </row>
    <row r="12">
      <c r="A12" s="651" t="s">
        <v>11116</v>
      </c>
      <c r="B12" s="192"/>
      <c r="C12" s="192">
        <v>6727.0</v>
      </c>
      <c r="D12" s="650" t="s">
        <v>17459</v>
      </c>
      <c r="E12" s="652">
        <v>20.0</v>
      </c>
      <c r="F12" s="223"/>
      <c r="G12" s="223"/>
      <c r="H12" s="223"/>
    </row>
    <row r="13">
      <c r="A13" s="651" t="s">
        <v>11310</v>
      </c>
      <c r="B13" s="192"/>
      <c r="C13" s="192">
        <v>6727.0</v>
      </c>
      <c r="D13" s="650" t="s">
        <v>17459</v>
      </c>
      <c r="E13" s="652">
        <v>20.0</v>
      </c>
      <c r="F13" s="223"/>
      <c r="G13" s="223"/>
      <c r="H13" s="223"/>
    </row>
    <row r="14">
      <c r="A14" s="651" t="s">
        <v>17461</v>
      </c>
      <c r="B14" s="223"/>
      <c r="C14" s="223">
        <v>986.0</v>
      </c>
      <c r="D14" s="650" t="s">
        <v>17459</v>
      </c>
      <c r="E14" s="652">
        <v>20.0</v>
      </c>
      <c r="F14" s="223"/>
      <c r="G14" s="223"/>
      <c r="H14" s="223"/>
    </row>
    <row r="15">
      <c r="A15" s="651" t="s">
        <v>11248</v>
      </c>
      <c r="B15" s="192"/>
      <c r="C15" s="192">
        <v>6887.0</v>
      </c>
      <c r="D15" s="650" t="s">
        <v>17459</v>
      </c>
      <c r="E15" s="652">
        <v>20.0</v>
      </c>
      <c r="F15" s="223"/>
      <c r="G15" s="223"/>
      <c r="H15" s="223"/>
    </row>
    <row r="16">
      <c r="A16" s="651" t="s">
        <v>17462</v>
      </c>
      <c r="B16" s="223"/>
      <c r="C16" s="223">
        <v>986.0</v>
      </c>
      <c r="D16" s="650" t="s">
        <v>17459</v>
      </c>
      <c r="E16" s="652">
        <v>20.0</v>
      </c>
      <c r="F16" s="223"/>
      <c r="G16" s="223"/>
      <c r="H16" s="223"/>
    </row>
    <row r="17">
      <c r="A17" s="651" t="s">
        <v>17463</v>
      </c>
      <c r="B17" s="223"/>
      <c r="C17" s="223">
        <v>986.0</v>
      </c>
      <c r="D17" s="650" t="s">
        <v>17459</v>
      </c>
      <c r="E17" s="652">
        <v>20.0</v>
      </c>
      <c r="F17" s="223"/>
      <c r="G17" s="223"/>
      <c r="H17" s="223"/>
    </row>
    <row r="18">
      <c r="A18" s="651" t="s">
        <v>17464</v>
      </c>
      <c r="B18" s="223"/>
      <c r="C18" s="223">
        <v>986.0</v>
      </c>
      <c r="D18" s="650" t="s">
        <v>17459</v>
      </c>
      <c r="E18" s="652">
        <v>20.0</v>
      </c>
      <c r="F18" s="223"/>
      <c r="G18" s="223"/>
      <c r="H18" s="223"/>
    </row>
    <row r="19">
      <c r="A19" s="651" t="s">
        <v>17465</v>
      </c>
      <c r="B19" s="223"/>
      <c r="C19" s="223">
        <v>986.0</v>
      </c>
      <c r="D19" s="650" t="s">
        <v>17459</v>
      </c>
      <c r="E19" s="652">
        <v>20.0</v>
      </c>
      <c r="F19" s="223"/>
      <c r="G19" s="223"/>
      <c r="H19" s="223"/>
    </row>
    <row r="20">
      <c r="A20" s="651" t="s">
        <v>17466</v>
      </c>
      <c r="B20" s="192"/>
      <c r="C20" s="192">
        <v>6772.0</v>
      </c>
      <c r="D20" s="650" t="s">
        <v>17459</v>
      </c>
      <c r="E20" s="652">
        <v>20.0</v>
      </c>
      <c r="F20" s="223"/>
      <c r="G20" s="223"/>
      <c r="H20" s="223"/>
    </row>
    <row r="21">
      <c r="A21" s="651" t="s">
        <v>11108</v>
      </c>
      <c r="B21" s="192"/>
      <c r="C21" s="192">
        <v>3307.0</v>
      </c>
      <c r="D21" s="650" t="s">
        <v>17459</v>
      </c>
      <c r="E21" s="652">
        <v>20.0</v>
      </c>
      <c r="F21" s="223"/>
      <c r="G21" s="223"/>
      <c r="H21" s="223"/>
    </row>
    <row r="22">
      <c r="A22" s="651" t="s">
        <v>11360</v>
      </c>
      <c r="B22" s="223"/>
      <c r="C22" s="223"/>
      <c r="D22" s="650" t="s">
        <v>17459</v>
      </c>
      <c r="E22" s="652">
        <v>20.0</v>
      </c>
      <c r="F22" s="223"/>
      <c r="G22" s="223"/>
      <c r="H22" s="223"/>
    </row>
    <row r="23">
      <c r="A23" s="651" t="s">
        <v>11424</v>
      </c>
      <c r="B23" s="223"/>
      <c r="C23" s="223"/>
      <c r="D23" s="650" t="s">
        <v>17459</v>
      </c>
      <c r="E23" s="652">
        <v>20.0</v>
      </c>
      <c r="F23" s="223"/>
      <c r="G23" s="223"/>
      <c r="H23" s="223"/>
    </row>
    <row r="24">
      <c r="A24" s="651" t="s">
        <v>11512</v>
      </c>
      <c r="B24" s="223"/>
      <c r="C24" s="223"/>
      <c r="D24" s="650" t="s">
        <v>17459</v>
      </c>
      <c r="E24" s="652">
        <v>20.0</v>
      </c>
      <c r="F24" s="223"/>
      <c r="G24" s="223"/>
      <c r="H24" s="223"/>
    </row>
    <row r="25">
      <c r="A25" s="651" t="s">
        <v>11106</v>
      </c>
      <c r="B25" s="223"/>
      <c r="C25" s="223"/>
      <c r="D25" s="650" t="s">
        <v>17459</v>
      </c>
      <c r="E25" s="652">
        <v>20.0</v>
      </c>
      <c r="F25" s="223"/>
      <c r="G25" s="223"/>
      <c r="H25" s="223"/>
    </row>
    <row r="26">
      <c r="A26" s="651" t="s">
        <v>11536</v>
      </c>
      <c r="B26" s="223"/>
      <c r="C26" s="223"/>
      <c r="D26" s="650" t="s">
        <v>17459</v>
      </c>
      <c r="E26" s="652">
        <v>20.0</v>
      </c>
      <c r="F26" s="223"/>
      <c r="G26" s="223"/>
      <c r="H26" s="223"/>
    </row>
    <row r="27">
      <c r="A27" s="651" t="s">
        <v>11330</v>
      </c>
      <c r="B27" s="223"/>
      <c r="C27" s="223"/>
      <c r="D27" s="650" t="s">
        <v>17459</v>
      </c>
      <c r="E27" s="652">
        <v>20.0</v>
      </c>
      <c r="F27" s="223"/>
      <c r="G27" s="223"/>
      <c r="H27" s="223"/>
    </row>
    <row r="28">
      <c r="A28" s="651" t="s">
        <v>11335</v>
      </c>
      <c r="B28" s="223"/>
      <c r="C28" s="223"/>
      <c r="D28" s="650" t="s">
        <v>17459</v>
      </c>
      <c r="E28" s="652">
        <v>20.0</v>
      </c>
      <c r="F28" s="223"/>
      <c r="G28" s="223"/>
      <c r="H28" s="223"/>
    </row>
    <row r="29">
      <c r="A29" s="651" t="s">
        <v>11367</v>
      </c>
      <c r="B29" s="223"/>
      <c r="C29" s="223"/>
      <c r="D29" s="650" t="s">
        <v>17459</v>
      </c>
      <c r="E29" s="652">
        <v>20.0</v>
      </c>
      <c r="F29" s="223"/>
      <c r="G29" s="223"/>
      <c r="H29" s="223"/>
    </row>
    <row r="30">
      <c r="A30" s="651" t="s">
        <v>11511</v>
      </c>
      <c r="B30" s="223"/>
      <c r="C30" s="223"/>
      <c r="D30" s="650" t="s">
        <v>17459</v>
      </c>
      <c r="E30" s="652">
        <v>20.0</v>
      </c>
      <c r="F30" s="223"/>
      <c r="G30" s="223"/>
      <c r="H30" s="223"/>
    </row>
    <row r="31">
      <c r="A31" s="651" t="s">
        <v>11348</v>
      </c>
      <c r="B31" s="223"/>
      <c r="C31" s="223"/>
      <c r="D31" s="650" t="s">
        <v>17459</v>
      </c>
      <c r="E31" s="652">
        <v>20.0</v>
      </c>
      <c r="F31" s="223"/>
      <c r="G31" s="223"/>
      <c r="H31" s="223"/>
    </row>
    <row r="32">
      <c r="A32" s="651" t="s">
        <v>17467</v>
      </c>
      <c r="B32" s="223"/>
      <c r="C32" s="223"/>
      <c r="D32" s="650" t="s">
        <v>17459</v>
      </c>
      <c r="E32" s="652">
        <v>20.0</v>
      </c>
      <c r="F32" s="223"/>
      <c r="G32" s="223"/>
      <c r="H32" s="223"/>
    </row>
    <row r="33">
      <c r="A33" s="651" t="s">
        <v>11112</v>
      </c>
      <c r="B33" s="223"/>
      <c r="C33" s="223"/>
      <c r="D33" s="650" t="s">
        <v>17459</v>
      </c>
      <c r="E33" s="652">
        <v>20.0</v>
      </c>
      <c r="F33" s="223"/>
      <c r="G33" s="223"/>
      <c r="H33" s="223"/>
    </row>
    <row r="34">
      <c r="A34" s="651" t="s">
        <v>11357</v>
      </c>
      <c r="B34" s="223"/>
      <c r="C34" s="223"/>
      <c r="D34" s="650" t="s">
        <v>17459</v>
      </c>
      <c r="E34" s="652">
        <v>20.0</v>
      </c>
      <c r="F34" s="223"/>
      <c r="G34" s="223"/>
      <c r="H34" s="223"/>
    </row>
    <row r="35">
      <c r="A35" s="651" t="s">
        <v>11170</v>
      </c>
      <c r="B35" s="223"/>
      <c r="C35" s="223"/>
      <c r="D35" s="650" t="s">
        <v>17459</v>
      </c>
      <c r="E35" s="652">
        <v>20.0</v>
      </c>
      <c r="F35" s="223"/>
      <c r="G35" s="223"/>
      <c r="H35" s="223"/>
    </row>
    <row r="36">
      <c r="A36" s="651" t="s">
        <v>11530</v>
      </c>
      <c r="B36" s="223"/>
      <c r="C36" s="223"/>
      <c r="D36" s="650" t="s">
        <v>17459</v>
      </c>
      <c r="E36" s="652">
        <v>20.0</v>
      </c>
      <c r="F36" s="223"/>
      <c r="G36" s="223"/>
      <c r="H36" s="223"/>
    </row>
    <row r="37">
      <c r="A37" s="651" t="s">
        <v>11304</v>
      </c>
      <c r="B37" s="223"/>
      <c r="C37" s="223"/>
      <c r="D37" s="650" t="s">
        <v>17459</v>
      </c>
      <c r="E37" s="652">
        <v>20.0</v>
      </c>
      <c r="F37" s="223"/>
      <c r="G37" s="223"/>
      <c r="H37" s="223"/>
    </row>
    <row r="38">
      <c r="A38" s="651" t="s">
        <v>11475</v>
      </c>
      <c r="B38" s="223"/>
      <c r="C38" s="223"/>
      <c r="D38" s="650" t="s">
        <v>17459</v>
      </c>
      <c r="E38" s="652">
        <v>20.0</v>
      </c>
      <c r="F38" s="223"/>
      <c r="G38" s="223"/>
      <c r="H38" s="223"/>
    </row>
    <row r="39">
      <c r="A39" s="651" t="s">
        <v>11284</v>
      </c>
      <c r="B39" s="223"/>
      <c r="C39" s="223"/>
      <c r="D39" s="650" t="s">
        <v>17459</v>
      </c>
      <c r="E39" s="652">
        <v>20.0</v>
      </c>
      <c r="F39" s="223"/>
      <c r="G39" s="223"/>
      <c r="H39" s="223"/>
    </row>
    <row r="40">
      <c r="A40" s="651" t="s">
        <v>11302</v>
      </c>
      <c r="B40" s="192"/>
      <c r="C40" s="192">
        <v>6770.0</v>
      </c>
      <c r="D40" s="650" t="s">
        <v>17459</v>
      </c>
      <c r="E40" s="652">
        <v>20.0</v>
      </c>
      <c r="F40" s="223"/>
      <c r="G40" s="223"/>
      <c r="H40" s="223"/>
    </row>
    <row r="41">
      <c r="A41" s="651" t="s">
        <v>11130</v>
      </c>
      <c r="B41" s="223"/>
      <c r="C41" s="223"/>
      <c r="D41" s="650" t="s">
        <v>17459</v>
      </c>
      <c r="E41" s="652">
        <v>20.0</v>
      </c>
      <c r="F41" s="223"/>
      <c r="G41" s="223"/>
      <c r="H41" s="223"/>
    </row>
    <row r="42">
      <c r="A42" s="651" t="s">
        <v>11445</v>
      </c>
      <c r="B42" s="223"/>
      <c r="C42" s="223"/>
      <c r="D42" s="650" t="s">
        <v>17459</v>
      </c>
      <c r="E42" s="652">
        <v>20.0</v>
      </c>
      <c r="F42" s="223"/>
      <c r="G42" s="223"/>
      <c r="H42" s="223"/>
    </row>
    <row r="43">
      <c r="A43" s="651" t="s">
        <v>11525</v>
      </c>
      <c r="B43" s="223"/>
      <c r="C43" s="223"/>
      <c r="D43" s="650" t="s">
        <v>17459</v>
      </c>
      <c r="E43" s="652">
        <v>20.0</v>
      </c>
      <c r="F43" s="223"/>
      <c r="G43" s="223"/>
      <c r="H43" s="223"/>
    </row>
    <row r="44">
      <c r="A44" s="651" t="s">
        <v>11174</v>
      </c>
      <c r="B44" s="223"/>
      <c r="C44" s="223"/>
      <c r="D44" s="650" t="s">
        <v>17459</v>
      </c>
      <c r="E44" s="652">
        <v>20.0</v>
      </c>
      <c r="F44" s="223"/>
      <c r="G44" s="223"/>
      <c r="H44" s="223"/>
    </row>
    <row r="45">
      <c r="A45" s="651" t="s">
        <v>11250</v>
      </c>
      <c r="B45" s="192"/>
      <c r="C45" s="192">
        <v>6998.0</v>
      </c>
      <c r="D45" s="650" t="s">
        <v>17459</v>
      </c>
      <c r="E45" s="652">
        <v>20.0</v>
      </c>
      <c r="F45" s="223"/>
      <c r="G45" s="223"/>
      <c r="H45" s="223"/>
    </row>
    <row r="46">
      <c r="A46" s="651" t="s">
        <v>11124</v>
      </c>
      <c r="B46" s="223"/>
      <c r="C46" s="223"/>
      <c r="D46" s="650" t="s">
        <v>17459</v>
      </c>
      <c r="E46" s="652">
        <v>20.0</v>
      </c>
      <c r="F46" s="223"/>
      <c r="G46" s="223"/>
      <c r="H46" s="223"/>
    </row>
    <row r="47">
      <c r="A47" s="651" t="s">
        <v>11292</v>
      </c>
      <c r="B47" s="223"/>
      <c r="C47" s="223"/>
      <c r="D47" s="650" t="s">
        <v>17459</v>
      </c>
      <c r="E47" s="652">
        <v>20.0</v>
      </c>
      <c r="F47" s="223"/>
      <c r="G47" s="223"/>
      <c r="H47" s="223"/>
    </row>
    <row r="48">
      <c r="A48" s="651" t="s">
        <v>11533</v>
      </c>
      <c r="B48" s="223"/>
      <c r="C48" s="223"/>
      <c r="D48" s="650" t="s">
        <v>17459</v>
      </c>
      <c r="E48" s="652">
        <v>20.0</v>
      </c>
      <c r="F48" s="223"/>
      <c r="G48" s="223"/>
      <c r="H48" s="223"/>
    </row>
    <row r="49">
      <c r="A49" s="651" t="s">
        <v>11403</v>
      </c>
      <c r="B49" s="223"/>
      <c r="C49" s="223"/>
      <c r="D49" s="650" t="s">
        <v>17459</v>
      </c>
      <c r="E49" s="652">
        <v>20.0</v>
      </c>
      <c r="F49" s="223"/>
      <c r="G49" s="223"/>
      <c r="H49" s="223"/>
    </row>
    <row r="50">
      <c r="A50" s="651" t="s">
        <v>11218</v>
      </c>
      <c r="B50" s="223"/>
      <c r="C50" s="223"/>
      <c r="D50" s="650" t="s">
        <v>17459</v>
      </c>
      <c r="E50" s="652">
        <v>20.0</v>
      </c>
      <c r="F50" s="223"/>
      <c r="G50" s="223"/>
      <c r="H50" s="223"/>
    </row>
    <row r="51">
      <c r="A51" s="651" t="s">
        <v>11202</v>
      </c>
      <c r="B51" s="223"/>
      <c r="C51" s="223"/>
      <c r="D51" s="650" t="s">
        <v>17459</v>
      </c>
      <c r="E51" s="652">
        <v>20.0</v>
      </c>
      <c r="F51" s="223"/>
      <c r="G51" s="223"/>
      <c r="H51" s="223"/>
    </row>
    <row r="52">
      <c r="A52" s="651" t="s">
        <v>11182</v>
      </c>
      <c r="B52" s="223"/>
      <c r="C52" s="223"/>
      <c r="D52" s="650" t="s">
        <v>17459</v>
      </c>
      <c r="E52" s="652">
        <v>20.0</v>
      </c>
      <c r="F52" s="223"/>
      <c r="G52" s="223"/>
      <c r="H52" s="223"/>
    </row>
    <row r="53">
      <c r="A53" s="651" t="s">
        <v>11296</v>
      </c>
      <c r="B53" s="223"/>
      <c r="C53" s="223"/>
      <c r="D53" s="650" t="s">
        <v>17459</v>
      </c>
      <c r="E53" s="652">
        <v>20.0</v>
      </c>
      <c r="F53" s="223"/>
      <c r="G53" s="223"/>
      <c r="H53" s="223"/>
    </row>
    <row r="54">
      <c r="A54" s="651" t="s">
        <v>5638</v>
      </c>
      <c r="B54" s="223"/>
      <c r="C54" s="223"/>
      <c r="D54" s="650" t="s">
        <v>17459</v>
      </c>
      <c r="E54" s="652">
        <v>20.0</v>
      </c>
      <c r="F54" s="223"/>
      <c r="G54" s="223"/>
      <c r="H54" s="223"/>
    </row>
    <row r="55">
      <c r="A55" s="651" t="s">
        <v>11358</v>
      </c>
      <c r="B55" s="223"/>
      <c r="C55" s="223"/>
      <c r="D55" s="650" t="s">
        <v>17459</v>
      </c>
      <c r="E55" s="652">
        <v>20.0</v>
      </c>
      <c r="F55" s="223"/>
      <c r="G55" s="223"/>
      <c r="H55" s="223"/>
    </row>
    <row r="56">
      <c r="A56" s="651" t="s">
        <v>11355</v>
      </c>
      <c r="B56" s="192"/>
      <c r="C56" s="192">
        <v>6779.0</v>
      </c>
      <c r="D56" s="650" t="s">
        <v>17459</v>
      </c>
      <c r="E56" s="652">
        <v>20.0</v>
      </c>
      <c r="F56" s="223"/>
      <c r="G56" s="223"/>
      <c r="H56" s="223"/>
    </row>
    <row r="57">
      <c r="A57" s="651" t="s">
        <v>11473</v>
      </c>
      <c r="B57" s="223"/>
      <c r="C57" s="223"/>
      <c r="D57" s="650" t="s">
        <v>17459</v>
      </c>
      <c r="E57" s="652">
        <v>20.0</v>
      </c>
      <c r="F57" s="223"/>
      <c r="G57" s="223"/>
      <c r="H57" s="223"/>
    </row>
    <row r="58">
      <c r="A58" s="651" t="s">
        <v>11340</v>
      </c>
      <c r="B58" s="223"/>
      <c r="C58" s="223"/>
      <c r="D58" s="650" t="s">
        <v>17459</v>
      </c>
      <c r="E58" s="652">
        <v>20.0</v>
      </c>
      <c r="F58" s="223"/>
      <c r="G58" s="223"/>
      <c r="H58" s="223"/>
    </row>
    <row r="59">
      <c r="A59" s="651" t="s">
        <v>11306</v>
      </c>
      <c r="B59" s="223"/>
      <c r="C59" s="223"/>
      <c r="D59" s="650" t="s">
        <v>17459</v>
      </c>
      <c r="E59" s="652">
        <v>20.0</v>
      </c>
      <c r="F59" s="223"/>
      <c r="G59" s="223"/>
      <c r="H59" s="223"/>
    </row>
    <row r="60">
      <c r="A60" s="651" t="s">
        <v>11544</v>
      </c>
      <c r="B60" s="223"/>
      <c r="C60" s="223"/>
      <c r="D60" s="650" t="s">
        <v>17459</v>
      </c>
      <c r="E60" s="652">
        <v>20.0</v>
      </c>
      <c r="F60" s="223"/>
      <c r="G60" s="223"/>
      <c r="H60" s="223"/>
    </row>
    <row r="61">
      <c r="A61" s="651" t="s">
        <v>11118</v>
      </c>
      <c r="B61" s="223"/>
      <c r="C61" s="223"/>
      <c r="D61" s="650" t="s">
        <v>17459</v>
      </c>
      <c r="E61" s="652">
        <v>20.0</v>
      </c>
      <c r="F61" s="223"/>
      <c r="G61" s="223"/>
      <c r="H61" s="223"/>
    </row>
    <row r="62">
      <c r="A62" s="651" t="s">
        <v>11314</v>
      </c>
      <c r="B62" s="223"/>
      <c r="C62" s="223"/>
      <c r="D62" s="650" t="s">
        <v>17459</v>
      </c>
      <c r="E62" s="652">
        <v>20.0</v>
      </c>
      <c r="F62" s="223"/>
      <c r="G62" s="223"/>
      <c r="H62" s="223"/>
    </row>
    <row r="63">
      <c r="A63" s="651" t="s">
        <v>11443</v>
      </c>
      <c r="B63" s="223"/>
      <c r="C63" s="223"/>
      <c r="D63" s="650" t="s">
        <v>17459</v>
      </c>
      <c r="E63" s="652">
        <v>20.0</v>
      </c>
      <c r="F63" s="223"/>
      <c r="G63" s="223"/>
      <c r="H63" s="223"/>
    </row>
    <row r="64">
      <c r="A64" s="651" t="s">
        <v>12113</v>
      </c>
      <c r="B64" s="223"/>
      <c r="C64" s="223"/>
      <c r="D64" s="650" t="s">
        <v>17459</v>
      </c>
      <c r="E64" s="652">
        <v>20.0</v>
      </c>
      <c r="F64" s="223"/>
      <c r="G64" s="223"/>
      <c r="H64" s="223"/>
    </row>
    <row r="65">
      <c r="A65" s="651" t="s">
        <v>11142</v>
      </c>
      <c r="B65" s="223"/>
      <c r="C65" s="223"/>
      <c r="D65" s="650" t="s">
        <v>17459</v>
      </c>
      <c r="E65" s="652">
        <v>20.0</v>
      </c>
      <c r="F65" s="223"/>
      <c r="G65" s="223"/>
      <c r="H65" s="223"/>
    </row>
    <row r="66">
      <c r="A66" s="651" t="s">
        <v>11522</v>
      </c>
      <c r="B66" s="192"/>
      <c r="C66" s="192">
        <v>5125.0</v>
      </c>
      <c r="D66" s="650" t="s">
        <v>17459</v>
      </c>
      <c r="E66" s="652">
        <v>20.0</v>
      </c>
      <c r="F66" s="223"/>
      <c r="G66" s="223"/>
      <c r="H66" s="223"/>
    </row>
    <row r="67">
      <c r="A67" s="651" t="s">
        <v>11455</v>
      </c>
      <c r="B67" s="192"/>
      <c r="C67" s="192">
        <v>5125.0</v>
      </c>
      <c r="D67" s="650" t="s">
        <v>17459</v>
      </c>
      <c r="E67" s="652">
        <v>20.0</v>
      </c>
      <c r="F67" s="223"/>
      <c r="G67" s="223"/>
      <c r="H67" s="223"/>
    </row>
    <row r="68">
      <c r="A68" s="651" t="s">
        <v>11391</v>
      </c>
      <c r="B68" s="223"/>
      <c r="C68" s="223"/>
      <c r="D68" s="650" t="s">
        <v>17459</v>
      </c>
      <c r="E68" s="652">
        <v>20.0</v>
      </c>
      <c r="F68" s="223"/>
      <c r="G68" s="223"/>
      <c r="H68" s="223"/>
    </row>
    <row r="69">
      <c r="A69" s="651" t="s">
        <v>11345</v>
      </c>
      <c r="B69" s="192"/>
      <c r="C69" s="192">
        <v>6905.0</v>
      </c>
      <c r="D69" s="650" t="s">
        <v>17459</v>
      </c>
      <c r="E69" s="652">
        <v>20.0</v>
      </c>
      <c r="F69" s="223"/>
      <c r="G69" s="223"/>
      <c r="H69" s="223"/>
    </row>
    <row r="70">
      <c r="A70" s="651" t="s">
        <v>11410</v>
      </c>
      <c r="B70" s="192"/>
      <c r="C70" s="192">
        <v>6905.0</v>
      </c>
      <c r="D70" s="650" t="s">
        <v>17459</v>
      </c>
      <c r="E70" s="652">
        <v>20.0</v>
      </c>
      <c r="F70" s="223"/>
      <c r="G70" s="223"/>
      <c r="H70" s="223"/>
    </row>
    <row r="71">
      <c r="A71" s="651" t="s">
        <v>11528</v>
      </c>
      <c r="B71" s="223"/>
      <c r="C71" s="223"/>
      <c r="D71" s="650" t="s">
        <v>17459</v>
      </c>
      <c r="E71" s="652">
        <v>20.0</v>
      </c>
      <c r="F71" s="223"/>
      <c r="G71" s="223"/>
      <c r="H71" s="223"/>
    </row>
    <row r="72">
      <c r="A72" s="651" t="s">
        <v>11146</v>
      </c>
      <c r="B72" s="223"/>
      <c r="C72" s="223"/>
      <c r="D72" s="650" t="s">
        <v>17459</v>
      </c>
      <c r="E72" s="652">
        <v>20.0</v>
      </c>
      <c r="F72" s="223"/>
      <c r="G72" s="223"/>
      <c r="H72" s="223"/>
    </row>
    <row r="73">
      <c r="A73" s="651" t="s">
        <v>11519</v>
      </c>
      <c r="B73" s="223"/>
      <c r="C73" s="223"/>
      <c r="D73" s="650" t="s">
        <v>17459</v>
      </c>
      <c r="E73" s="652">
        <v>20.0</v>
      </c>
      <c r="F73" s="223"/>
      <c r="G73" s="223"/>
      <c r="H73" s="223"/>
    </row>
    <row r="74">
      <c r="A74" s="651" t="s">
        <v>11545</v>
      </c>
      <c r="B74" s="223"/>
      <c r="C74" s="223"/>
      <c r="D74" s="650" t="s">
        <v>17459</v>
      </c>
      <c r="E74" s="652">
        <v>20.0</v>
      </c>
      <c r="F74" s="223"/>
      <c r="G74" s="223"/>
      <c r="H74" s="223"/>
    </row>
    <row r="75">
      <c r="A75" s="651" t="s">
        <v>11308</v>
      </c>
      <c r="B75" s="223"/>
      <c r="C75" s="223"/>
      <c r="D75" s="650" t="s">
        <v>17459</v>
      </c>
      <c r="E75" s="652">
        <v>20.0</v>
      </c>
      <c r="F75" s="223"/>
      <c r="G75" s="223"/>
      <c r="H75" s="223"/>
    </row>
    <row r="76">
      <c r="A76" s="651" t="s">
        <v>11162</v>
      </c>
      <c r="B76" s="223"/>
      <c r="C76" s="223"/>
      <c r="D76" s="650" t="s">
        <v>17459</v>
      </c>
      <c r="E76" s="652">
        <v>20.0</v>
      </c>
      <c r="F76" s="223"/>
      <c r="G76" s="223"/>
      <c r="H76" s="223"/>
    </row>
    <row r="77">
      <c r="A77" s="651" t="s">
        <v>17468</v>
      </c>
      <c r="B77" s="192"/>
      <c r="C77" s="192">
        <v>6772.0</v>
      </c>
      <c r="D77" s="650" t="s">
        <v>17469</v>
      </c>
      <c r="E77" s="650">
        <v>10.0</v>
      </c>
      <c r="F77" s="223"/>
      <c r="G77" s="223"/>
      <c r="H77" s="223"/>
    </row>
    <row r="78">
      <c r="A78" s="651" t="s">
        <v>17470</v>
      </c>
      <c r="B78" s="192"/>
      <c r="C78" s="192">
        <v>6671.0</v>
      </c>
      <c r="D78" s="650" t="s">
        <v>17469</v>
      </c>
      <c r="E78" s="650">
        <v>10.0</v>
      </c>
      <c r="F78" s="223"/>
      <c r="G78" s="223"/>
      <c r="H78" s="223"/>
    </row>
    <row r="79">
      <c r="A79" s="651" t="s">
        <v>11515</v>
      </c>
      <c r="B79" s="192"/>
      <c r="C79" s="192">
        <v>189.0</v>
      </c>
      <c r="D79" s="650" t="s">
        <v>17469</v>
      </c>
      <c r="E79" s="650">
        <v>10.0</v>
      </c>
      <c r="F79" s="223"/>
      <c r="G79" s="223"/>
      <c r="H79" s="223"/>
    </row>
    <row r="80">
      <c r="A80" s="651" t="s">
        <v>11158</v>
      </c>
      <c r="B80" s="192"/>
      <c r="C80" s="192">
        <v>189.0</v>
      </c>
      <c r="D80" s="650" t="s">
        <v>17469</v>
      </c>
      <c r="E80" s="650">
        <v>10.0</v>
      </c>
      <c r="F80" s="223"/>
      <c r="G80" s="223"/>
      <c r="H80" s="223"/>
    </row>
    <row r="81">
      <c r="A81" s="651" t="s">
        <v>11266</v>
      </c>
      <c r="B81" s="192"/>
      <c r="C81" s="192">
        <v>189.0</v>
      </c>
      <c r="D81" s="650" t="s">
        <v>17469</v>
      </c>
      <c r="E81" s="650">
        <v>10.0</v>
      </c>
      <c r="F81" s="223"/>
      <c r="G81" s="223"/>
      <c r="H81" s="223"/>
    </row>
    <row r="82">
      <c r="A82" s="651" t="s">
        <v>17471</v>
      </c>
      <c r="B82" s="223"/>
      <c r="C82" s="223"/>
      <c r="D82" s="650" t="s">
        <v>17469</v>
      </c>
      <c r="E82" s="650">
        <v>10.0</v>
      </c>
      <c r="F82" s="223"/>
      <c r="G82" s="223"/>
      <c r="H82" s="223"/>
    </row>
    <row r="83">
      <c r="A83" s="651" t="s">
        <v>17472</v>
      </c>
      <c r="B83" s="223"/>
      <c r="C83" s="223"/>
      <c r="D83" s="650" t="s">
        <v>17469</v>
      </c>
      <c r="E83" s="650">
        <v>10.0</v>
      </c>
      <c r="F83" s="223"/>
      <c r="G83" s="223"/>
      <c r="H83" s="223"/>
    </row>
    <row r="84">
      <c r="A84" s="651" t="s">
        <v>11342</v>
      </c>
      <c r="B84" s="223"/>
      <c r="C84" s="223"/>
      <c r="D84" s="650" t="s">
        <v>17469</v>
      </c>
      <c r="E84" s="650">
        <v>10.0</v>
      </c>
      <c r="F84" s="223"/>
      <c r="G84" s="223"/>
      <c r="H84" s="223"/>
    </row>
    <row r="85">
      <c r="A85" s="651" t="s">
        <v>11426</v>
      </c>
      <c r="B85" s="223"/>
      <c r="C85" s="223"/>
      <c r="D85" s="650" t="s">
        <v>17469</v>
      </c>
      <c r="E85" s="650">
        <v>10.0</v>
      </c>
      <c r="F85" s="223"/>
      <c r="G85" s="223"/>
      <c r="H85" s="223"/>
    </row>
    <row r="86">
      <c r="A86" s="651" t="s">
        <v>17473</v>
      </c>
      <c r="B86" s="192"/>
      <c r="C86" s="192">
        <v>986.0</v>
      </c>
      <c r="D86" s="650" t="s">
        <v>17469</v>
      </c>
      <c r="E86" s="650">
        <v>10.0</v>
      </c>
      <c r="F86" s="223"/>
      <c r="G86" s="223"/>
      <c r="H86" s="223"/>
    </row>
    <row r="87">
      <c r="A87" s="651" t="s">
        <v>17474</v>
      </c>
      <c r="B87" s="192"/>
      <c r="C87" s="192">
        <v>986.0</v>
      </c>
      <c r="D87" s="650" t="s">
        <v>17469</v>
      </c>
      <c r="E87" s="650">
        <v>10.0</v>
      </c>
      <c r="F87" s="223"/>
      <c r="G87" s="223"/>
      <c r="H87" s="223"/>
    </row>
    <row r="88">
      <c r="A88" s="651" t="s">
        <v>11337</v>
      </c>
      <c r="B88" s="223"/>
      <c r="C88" s="223"/>
      <c r="D88" s="650" t="s">
        <v>17469</v>
      </c>
      <c r="E88" s="650">
        <v>10.0</v>
      </c>
      <c r="F88" s="223"/>
      <c r="G88" s="223"/>
      <c r="H88" s="223"/>
    </row>
    <row r="89">
      <c r="A89" s="651" t="s">
        <v>17475</v>
      </c>
      <c r="B89" s="192"/>
      <c r="C89" s="192">
        <v>986.0</v>
      </c>
      <c r="D89" s="650" t="s">
        <v>17469</v>
      </c>
      <c r="E89" s="650">
        <v>10.0</v>
      </c>
      <c r="F89" s="223"/>
      <c r="G89" s="223"/>
      <c r="H89" s="223"/>
    </row>
    <row r="90">
      <c r="A90" s="651" t="s">
        <v>17476</v>
      </c>
      <c r="B90" s="192"/>
      <c r="C90" s="192">
        <v>986.0</v>
      </c>
      <c r="D90" s="650" t="s">
        <v>17469</v>
      </c>
      <c r="E90" s="650">
        <v>10.0</v>
      </c>
      <c r="F90" s="223"/>
      <c r="G90" s="223"/>
      <c r="H90" s="223"/>
    </row>
    <row r="91">
      <c r="A91" s="651" t="s">
        <v>17477</v>
      </c>
      <c r="B91" s="192"/>
      <c r="C91" s="192">
        <v>986.0</v>
      </c>
      <c r="D91" s="650" t="s">
        <v>17469</v>
      </c>
      <c r="E91" s="650">
        <v>10.0</v>
      </c>
      <c r="F91" s="223"/>
      <c r="G91" s="223"/>
      <c r="H91" s="223"/>
    </row>
    <row r="92">
      <c r="A92" s="651" t="s">
        <v>11272</v>
      </c>
      <c r="B92" s="192"/>
      <c r="C92" s="192">
        <v>6132.0</v>
      </c>
      <c r="D92" s="650" t="s">
        <v>17469</v>
      </c>
      <c r="E92" s="650">
        <v>10.0</v>
      </c>
      <c r="F92" s="223"/>
      <c r="G92" s="223"/>
      <c r="H92" s="223"/>
    </row>
    <row r="93">
      <c r="A93" s="651" t="s">
        <v>11114</v>
      </c>
      <c r="B93" s="192"/>
      <c r="C93" s="192">
        <v>6780.0</v>
      </c>
      <c r="D93" s="650" t="s">
        <v>17469</v>
      </c>
      <c r="E93" s="650">
        <v>10.0</v>
      </c>
      <c r="F93" s="223"/>
      <c r="G93" s="223"/>
      <c r="H93" s="223"/>
    </row>
    <row r="94">
      <c r="A94" s="651" t="s">
        <v>11408</v>
      </c>
      <c r="B94" s="192"/>
      <c r="C94" s="192">
        <v>6779.0</v>
      </c>
      <c r="D94" s="650" t="s">
        <v>17469</v>
      </c>
      <c r="E94" s="650">
        <v>10.0</v>
      </c>
      <c r="F94" s="223"/>
      <c r="G94" s="223"/>
      <c r="H94" s="223"/>
    </row>
    <row r="95">
      <c r="A95" s="651" t="s">
        <v>11128</v>
      </c>
      <c r="B95" s="192"/>
      <c r="C95" s="192">
        <v>6669.0</v>
      </c>
      <c r="D95" s="650" t="s">
        <v>17469</v>
      </c>
      <c r="E95" s="650">
        <v>10.0</v>
      </c>
      <c r="F95" s="223"/>
      <c r="G95" s="223"/>
      <c r="H95" s="223"/>
    </row>
    <row r="96">
      <c r="A96" s="651" t="s">
        <v>11465</v>
      </c>
      <c r="B96" s="223"/>
      <c r="C96" s="223"/>
      <c r="D96" s="650" t="s">
        <v>17469</v>
      </c>
      <c r="E96" s="650">
        <v>10.0</v>
      </c>
      <c r="F96" s="223"/>
      <c r="G96" s="223"/>
      <c r="H96" s="223"/>
    </row>
    <row r="97">
      <c r="A97" s="651" t="s">
        <v>11420</v>
      </c>
      <c r="B97" s="223"/>
      <c r="C97" s="223"/>
      <c r="D97" s="650" t="s">
        <v>17469</v>
      </c>
      <c r="E97" s="650">
        <v>10.0</v>
      </c>
      <c r="F97" s="223"/>
      <c r="G97" s="223"/>
      <c r="H97" s="223"/>
    </row>
    <row r="98">
      <c r="A98" s="651" t="s">
        <v>11523</v>
      </c>
      <c r="B98" s="223"/>
      <c r="C98" s="223"/>
      <c r="D98" s="650" t="s">
        <v>17469</v>
      </c>
      <c r="E98" s="650">
        <v>10.0</v>
      </c>
      <c r="F98" s="223"/>
      <c r="G98" s="223"/>
      <c r="H98" s="223"/>
    </row>
    <row r="99">
      <c r="A99" s="651" t="s">
        <v>11206</v>
      </c>
      <c r="B99" s="223"/>
      <c r="C99" s="223"/>
      <c r="D99" s="650" t="s">
        <v>17469</v>
      </c>
      <c r="E99" s="650">
        <v>10.0</v>
      </c>
      <c r="F99" s="223"/>
      <c r="G99" s="223"/>
      <c r="H99" s="223"/>
    </row>
    <row r="100">
      <c r="A100" s="651" t="s">
        <v>11535</v>
      </c>
      <c r="B100" s="223"/>
      <c r="C100" s="223"/>
      <c r="D100" s="650" t="s">
        <v>17469</v>
      </c>
      <c r="E100" s="650">
        <v>10.0</v>
      </c>
      <c r="F100" s="223"/>
      <c r="G100" s="223"/>
      <c r="H100" s="223"/>
    </row>
    <row r="101">
      <c r="A101" s="651" t="s">
        <v>11196</v>
      </c>
      <c r="B101" s="223"/>
      <c r="C101" s="223"/>
      <c r="D101" s="650" t="s">
        <v>17469</v>
      </c>
      <c r="E101" s="650">
        <v>10.0</v>
      </c>
      <c r="F101" s="223"/>
      <c r="G101" s="223"/>
      <c r="H101" s="223"/>
    </row>
    <row r="102">
      <c r="A102" s="651" t="s">
        <v>11328</v>
      </c>
      <c r="B102" s="192"/>
      <c r="C102" s="192">
        <v>7055.0</v>
      </c>
      <c r="D102" s="650" t="s">
        <v>17469</v>
      </c>
      <c r="E102" s="650">
        <v>10.0</v>
      </c>
      <c r="F102" s="223"/>
      <c r="G102" s="223"/>
      <c r="H102" s="223"/>
    </row>
    <row r="103">
      <c r="A103" s="651" t="s">
        <v>11347</v>
      </c>
      <c r="B103" s="223"/>
      <c r="C103" s="223"/>
      <c r="D103" s="650" t="s">
        <v>17469</v>
      </c>
      <c r="E103" s="650">
        <v>10.0</v>
      </c>
      <c r="F103" s="223"/>
      <c r="G103" s="223"/>
      <c r="H103" s="223"/>
    </row>
    <row r="104">
      <c r="A104" s="651" t="s">
        <v>11430</v>
      </c>
      <c r="B104" s="192"/>
      <c r="C104" s="192">
        <v>6770.0</v>
      </c>
      <c r="D104" s="650" t="s">
        <v>17469</v>
      </c>
      <c r="E104" s="650">
        <v>10.0</v>
      </c>
      <c r="F104" s="223"/>
      <c r="G104" s="223"/>
      <c r="H104" s="223"/>
    </row>
    <row r="105">
      <c r="A105" s="651" t="s">
        <v>11504</v>
      </c>
      <c r="B105" s="192"/>
      <c r="C105" s="192">
        <v>6779.0</v>
      </c>
      <c r="D105" s="650" t="s">
        <v>17469</v>
      </c>
      <c r="E105" s="650">
        <v>10.0</v>
      </c>
      <c r="F105" s="223"/>
      <c r="G105" s="223"/>
      <c r="H105" s="223"/>
    </row>
    <row r="106">
      <c r="A106" s="651" t="s">
        <v>11517</v>
      </c>
      <c r="B106" s="223"/>
      <c r="C106" s="223"/>
      <c r="D106" s="650" t="s">
        <v>17469</v>
      </c>
      <c r="E106" s="650">
        <v>10.0</v>
      </c>
      <c r="F106" s="223"/>
      <c r="G106" s="223"/>
      <c r="H106" s="223"/>
    </row>
    <row r="107">
      <c r="A107" s="651" t="s">
        <v>11140</v>
      </c>
      <c r="B107" s="223"/>
      <c r="C107" s="223"/>
      <c r="D107" s="650" t="s">
        <v>17469</v>
      </c>
      <c r="E107" s="650">
        <v>10.0</v>
      </c>
      <c r="F107" s="223"/>
      <c r="G107" s="223"/>
      <c r="H107" s="223"/>
    </row>
    <row r="108">
      <c r="A108" s="651" t="s">
        <v>11508</v>
      </c>
      <c r="B108" s="223"/>
      <c r="C108" s="223"/>
      <c r="D108" s="650" t="s">
        <v>17469</v>
      </c>
      <c r="E108" s="650">
        <v>10.0</v>
      </c>
      <c r="F108" s="223"/>
      <c r="G108" s="223"/>
      <c r="H108" s="223"/>
    </row>
    <row r="109">
      <c r="A109" s="651" t="s">
        <v>11510</v>
      </c>
      <c r="B109" s="223"/>
      <c r="C109" s="223"/>
      <c r="D109" s="650" t="s">
        <v>17469</v>
      </c>
      <c r="E109" s="650">
        <v>10.0</v>
      </c>
      <c r="F109" s="223"/>
      <c r="G109" s="223"/>
      <c r="H109" s="223"/>
    </row>
    <row r="110">
      <c r="A110" s="651" t="s">
        <v>11132</v>
      </c>
      <c r="B110" s="192"/>
      <c r="C110" s="192">
        <v>986.0</v>
      </c>
      <c r="D110" s="650" t="s">
        <v>17469</v>
      </c>
      <c r="E110" s="650">
        <v>10.0</v>
      </c>
      <c r="F110" s="223"/>
      <c r="G110" s="223"/>
      <c r="H110" s="223"/>
    </row>
    <row r="111">
      <c r="A111" s="651" t="s">
        <v>11270</v>
      </c>
      <c r="B111" s="223"/>
      <c r="C111" s="223"/>
      <c r="D111" s="650" t="s">
        <v>17469</v>
      </c>
      <c r="E111" s="650">
        <v>10.0</v>
      </c>
      <c r="F111" s="223"/>
      <c r="G111" s="223"/>
      <c r="H111" s="223"/>
    </row>
    <row r="112">
      <c r="A112" s="651" t="s">
        <v>12008</v>
      </c>
      <c r="B112" s="223"/>
      <c r="C112" s="223"/>
      <c r="D112" s="650" t="s">
        <v>17469</v>
      </c>
      <c r="E112" s="650">
        <v>10.0</v>
      </c>
      <c r="F112" s="223"/>
      <c r="G112" s="223"/>
      <c r="H112" s="223"/>
    </row>
    <row r="113">
      <c r="A113" s="651" t="s">
        <v>11451</v>
      </c>
      <c r="B113" s="192"/>
      <c r="C113" s="192">
        <v>6947.0</v>
      </c>
      <c r="D113" s="650" t="s">
        <v>17469</v>
      </c>
      <c r="E113" s="650">
        <v>10.0</v>
      </c>
      <c r="F113" s="223"/>
      <c r="G113" s="223"/>
      <c r="H113" s="223"/>
    </row>
    <row r="114">
      <c r="A114" s="651" t="s">
        <v>11276</v>
      </c>
      <c r="B114" s="223"/>
      <c r="C114" s="223"/>
      <c r="D114" s="650" t="s">
        <v>17469</v>
      </c>
      <c r="E114" s="650">
        <v>10.0</v>
      </c>
      <c r="F114" s="223"/>
      <c r="G114" s="223"/>
      <c r="H114" s="223"/>
    </row>
    <row r="115">
      <c r="A115" s="651" t="s">
        <v>11322</v>
      </c>
      <c r="B115" s="223"/>
      <c r="C115" s="223"/>
      <c r="D115" s="650" t="s">
        <v>17469</v>
      </c>
      <c r="E115" s="650">
        <v>10.0</v>
      </c>
      <c r="F115" s="223"/>
      <c r="G115" s="223"/>
      <c r="H115" s="223"/>
    </row>
    <row r="116">
      <c r="A116" s="651" t="s">
        <v>11097</v>
      </c>
      <c r="B116" s="223"/>
      <c r="C116" s="223"/>
      <c r="D116" s="650" t="s">
        <v>17469</v>
      </c>
      <c r="E116" s="650">
        <v>10.0</v>
      </c>
      <c r="F116" s="223"/>
      <c r="G116" s="223"/>
      <c r="H116" s="223"/>
    </row>
    <row r="117">
      <c r="A117" s="651" t="s">
        <v>11326</v>
      </c>
      <c r="B117" s="223"/>
      <c r="C117" s="223"/>
      <c r="D117" s="650" t="s">
        <v>17469</v>
      </c>
      <c r="E117" s="650">
        <v>10.0</v>
      </c>
      <c r="F117" s="223"/>
      <c r="G117" s="223"/>
      <c r="H117" s="223"/>
    </row>
    <row r="118">
      <c r="A118" s="651" t="s">
        <v>11417</v>
      </c>
      <c r="B118" s="223"/>
      <c r="C118" s="223"/>
      <c r="D118" s="650" t="s">
        <v>17469</v>
      </c>
      <c r="E118" s="650">
        <v>10.0</v>
      </c>
      <c r="F118" s="223"/>
      <c r="G118" s="223"/>
      <c r="H118" s="223"/>
    </row>
    <row r="119">
      <c r="A119" s="651" t="s">
        <v>11458</v>
      </c>
      <c r="B119" s="192"/>
      <c r="C119" s="192">
        <v>6675.0</v>
      </c>
      <c r="D119" s="650" t="s">
        <v>17469</v>
      </c>
      <c r="E119" s="650">
        <v>10.0</v>
      </c>
      <c r="F119" s="223"/>
      <c r="G119" s="223"/>
      <c r="H119" s="223"/>
    </row>
    <row r="120">
      <c r="A120" s="651" t="s">
        <v>11274</v>
      </c>
      <c r="B120" s="223"/>
      <c r="C120" s="223"/>
      <c r="D120" s="650" t="s">
        <v>17469</v>
      </c>
      <c r="E120" s="650">
        <v>10.0</v>
      </c>
      <c r="F120" s="223"/>
      <c r="G120" s="223"/>
      <c r="H120" s="223"/>
    </row>
    <row r="121">
      <c r="A121" s="651" t="s">
        <v>17478</v>
      </c>
      <c r="B121" s="223"/>
      <c r="C121" s="223"/>
      <c r="D121" s="650" t="s">
        <v>17469</v>
      </c>
      <c r="E121" s="650">
        <v>10.0</v>
      </c>
      <c r="F121" s="223"/>
      <c r="G121" s="223"/>
      <c r="H121" s="223"/>
    </row>
    <row r="122">
      <c r="A122" s="651" t="s">
        <v>11214</v>
      </c>
      <c r="B122" s="223"/>
      <c r="C122" s="223"/>
      <c r="D122" s="650" t="s">
        <v>17469</v>
      </c>
      <c r="E122" s="650">
        <v>10.0</v>
      </c>
      <c r="F122" s="223"/>
      <c r="G122" s="223"/>
      <c r="H122" s="223"/>
    </row>
    <row r="123">
      <c r="A123" s="651" t="s">
        <v>11422</v>
      </c>
      <c r="B123" s="223"/>
      <c r="C123" s="223"/>
      <c r="D123" s="650" t="s">
        <v>17469</v>
      </c>
      <c r="E123" s="650">
        <v>10.0</v>
      </c>
      <c r="F123" s="223"/>
      <c r="G123" s="223"/>
      <c r="H123" s="223"/>
    </row>
    <row r="124">
      <c r="A124" s="651" t="s">
        <v>11470</v>
      </c>
      <c r="B124" s="223"/>
      <c r="C124" s="223"/>
      <c r="D124" s="650" t="s">
        <v>17469</v>
      </c>
      <c r="E124" s="650">
        <v>10.0</v>
      </c>
      <c r="F124" s="223"/>
      <c r="G124" s="223"/>
      <c r="H124" s="223"/>
    </row>
    <row r="125">
      <c r="A125" s="651" t="s">
        <v>11230</v>
      </c>
      <c r="B125" s="223"/>
      <c r="C125" s="223"/>
      <c r="D125" s="650" t="s">
        <v>17469</v>
      </c>
      <c r="E125" s="650">
        <v>10.0</v>
      </c>
      <c r="F125" s="223"/>
      <c r="G125" s="223"/>
      <c r="H125" s="223"/>
    </row>
    <row r="126">
      <c r="A126" s="651" t="s">
        <v>11110</v>
      </c>
      <c r="B126" s="223"/>
      <c r="C126" s="223"/>
      <c r="D126" s="650" t="s">
        <v>17469</v>
      </c>
      <c r="E126" s="650">
        <v>10.0</v>
      </c>
      <c r="F126" s="223"/>
      <c r="G126" s="223"/>
      <c r="H126" s="223"/>
    </row>
    <row r="127">
      <c r="A127" s="651" t="s">
        <v>11122</v>
      </c>
      <c r="B127" s="223"/>
      <c r="C127" s="223"/>
      <c r="D127" s="650" t="s">
        <v>17469</v>
      </c>
      <c r="E127" s="650">
        <v>10.0</v>
      </c>
      <c r="F127" s="223"/>
      <c r="G127" s="223"/>
      <c r="H127" s="223"/>
    </row>
    <row r="128">
      <c r="A128" s="651" t="s">
        <v>11134</v>
      </c>
      <c r="B128" s="223"/>
      <c r="C128" s="223"/>
      <c r="D128" s="650" t="s">
        <v>17469</v>
      </c>
      <c r="E128" s="650">
        <v>10.0</v>
      </c>
      <c r="F128" s="223"/>
      <c r="G128" s="223"/>
      <c r="H128" s="223"/>
    </row>
    <row r="129">
      <c r="A129" s="651" t="s">
        <v>11483</v>
      </c>
      <c r="B129" s="223"/>
      <c r="C129" s="223"/>
      <c r="D129" s="650" t="s">
        <v>17469</v>
      </c>
      <c r="E129" s="650">
        <v>10.0</v>
      </c>
      <c r="F129" s="223"/>
      <c r="G129" s="223"/>
      <c r="H129" s="223"/>
    </row>
    <row r="130">
      <c r="A130" s="651" t="s">
        <v>11428</v>
      </c>
      <c r="B130" s="223"/>
      <c r="C130" s="223"/>
      <c r="D130" s="650" t="s">
        <v>17469</v>
      </c>
      <c r="E130" s="650">
        <v>10.0</v>
      </c>
      <c r="F130" s="223"/>
      <c r="G130" s="223"/>
      <c r="H130" s="223"/>
    </row>
    <row r="131">
      <c r="A131" s="651" t="s">
        <v>11404</v>
      </c>
      <c r="B131" s="223"/>
      <c r="C131" s="223"/>
      <c r="D131" s="650" t="s">
        <v>17469</v>
      </c>
      <c r="E131" s="650">
        <v>10.0</v>
      </c>
      <c r="F131" s="223"/>
      <c r="G131" s="223"/>
      <c r="H131" s="223"/>
    </row>
    <row r="132">
      <c r="A132" s="651" t="s">
        <v>11286</v>
      </c>
      <c r="B132" s="223"/>
      <c r="C132" s="223"/>
      <c r="D132" s="650" t="s">
        <v>17469</v>
      </c>
      <c r="E132" s="650">
        <v>10.0</v>
      </c>
      <c r="F132" s="223"/>
      <c r="G132" s="223"/>
      <c r="H132" s="223"/>
    </row>
    <row r="133">
      <c r="A133" s="651" t="s">
        <v>11457</v>
      </c>
      <c r="B133" s="223"/>
      <c r="C133" s="223"/>
      <c r="D133" s="650" t="s">
        <v>17469</v>
      </c>
      <c r="E133" s="650">
        <v>10.0</v>
      </c>
      <c r="F133" s="223"/>
      <c r="G133" s="223"/>
      <c r="H133" s="223"/>
    </row>
    <row r="134">
      <c r="A134" s="651" t="s">
        <v>11290</v>
      </c>
      <c r="B134" s="223"/>
      <c r="C134" s="223"/>
      <c r="D134" s="650" t="s">
        <v>17469</v>
      </c>
      <c r="E134" s="650">
        <v>10.0</v>
      </c>
      <c r="F134" s="223"/>
      <c r="G134" s="223"/>
      <c r="H134" s="223"/>
    </row>
    <row r="135">
      <c r="A135" s="651" t="s">
        <v>11268</v>
      </c>
      <c r="B135" s="223"/>
      <c r="C135" s="223"/>
      <c r="D135" s="650" t="s">
        <v>17469</v>
      </c>
      <c r="E135" s="650">
        <v>10.0</v>
      </c>
      <c r="F135" s="223"/>
      <c r="G135" s="223"/>
      <c r="H135" s="223"/>
    </row>
    <row r="136">
      <c r="A136" s="651" t="s">
        <v>11312</v>
      </c>
      <c r="B136" s="223"/>
      <c r="C136" s="223"/>
      <c r="D136" s="650" t="s">
        <v>17469</v>
      </c>
      <c r="E136" s="650">
        <v>10.0</v>
      </c>
      <c r="F136" s="223"/>
      <c r="G136" s="223"/>
      <c r="H136" s="223"/>
    </row>
    <row r="137">
      <c r="A137" s="651" t="s">
        <v>11459</v>
      </c>
      <c r="B137" s="223"/>
      <c r="C137" s="223"/>
      <c r="D137" s="650" t="s">
        <v>17469</v>
      </c>
      <c r="E137" s="650">
        <v>10.0</v>
      </c>
      <c r="F137" s="223"/>
      <c r="G137" s="223"/>
      <c r="H137" s="223"/>
    </row>
    <row r="138">
      <c r="A138" s="651" t="s">
        <v>11212</v>
      </c>
      <c r="B138" s="223"/>
      <c r="C138" s="223"/>
      <c r="D138" s="650" t="s">
        <v>17469</v>
      </c>
      <c r="E138" s="650">
        <v>10.0</v>
      </c>
      <c r="F138" s="223"/>
      <c r="G138" s="223"/>
      <c r="H138" s="223"/>
    </row>
    <row r="139">
      <c r="A139" s="651" t="s">
        <v>11542</v>
      </c>
      <c r="B139" s="223"/>
      <c r="C139" s="223"/>
      <c r="D139" s="650" t="s">
        <v>17469</v>
      </c>
      <c r="E139" s="650">
        <v>10.0</v>
      </c>
      <c r="F139" s="223"/>
      <c r="G139" s="223"/>
      <c r="H139" s="223"/>
    </row>
    <row r="140">
      <c r="A140" s="651" t="s">
        <v>11120</v>
      </c>
      <c r="B140" s="223"/>
      <c r="C140" s="223"/>
      <c r="D140" s="650" t="s">
        <v>17469</v>
      </c>
      <c r="E140" s="650">
        <v>10.0</v>
      </c>
      <c r="F140" s="223"/>
      <c r="G140" s="223"/>
      <c r="H140" s="223"/>
    </row>
    <row r="141">
      <c r="A141" s="651" t="s">
        <v>11531</v>
      </c>
      <c r="B141" s="223"/>
      <c r="C141" s="223"/>
      <c r="D141" s="650" t="s">
        <v>17469</v>
      </c>
      <c r="E141" s="650">
        <v>10.0</v>
      </c>
      <c r="F141" s="223"/>
      <c r="G141" s="223"/>
      <c r="H141" s="223"/>
    </row>
    <row r="142">
      <c r="A142" s="651" t="s">
        <v>11411</v>
      </c>
      <c r="B142" s="192"/>
      <c r="C142" s="192">
        <v>136.0</v>
      </c>
      <c r="D142" s="650" t="s">
        <v>17469</v>
      </c>
      <c r="E142" s="650">
        <v>10.0</v>
      </c>
      <c r="F142" s="223"/>
      <c r="G142" s="223"/>
      <c r="H142" s="223"/>
    </row>
    <row r="143">
      <c r="A143" s="651" t="s">
        <v>11432</v>
      </c>
      <c r="B143" s="192"/>
      <c r="C143" s="192">
        <v>136.0</v>
      </c>
      <c r="D143" s="650" t="s">
        <v>17469</v>
      </c>
      <c r="E143" s="650">
        <v>10.0</v>
      </c>
      <c r="F143" s="223"/>
      <c r="G143" s="223"/>
      <c r="H143" s="223"/>
    </row>
    <row r="144">
      <c r="A144" s="651" t="s">
        <v>11506</v>
      </c>
      <c r="B144" s="223"/>
      <c r="C144" s="223"/>
      <c r="D144" s="650" t="s">
        <v>17469</v>
      </c>
      <c r="E144" s="650">
        <v>10.0</v>
      </c>
      <c r="F144" s="223"/>
      <c r="G144" s="223"/>
      <c r="H144" s="223"/>
    </row>
    <row r="145">
      <c r="A145" s="651" t="s">
        <v>11449</v>
      </c>
      <c r="B145" s="223"/>
      <c r="C145" s="223"/>
      <c r="D145" s="650" t="s">
        <v>17469</v>
      </c>
      <c r="E145" s="650">
        <v>10.0</v>
      </c>
      <c r="F145" s="223"/>
      <c r="G145" s="223"/>
      <c r="H145" s="223"/>
    </row>
    <row r="146">
      <c r="A146" s="651" t="s">
        <v>11538</v>
      </c>
      <c r="B146" s="223"/>
      <c r="C146" s="223"/>
      <c r="D146" s="650" t="s">
        <v>17469</v>
      </c>
      <c r="E146" s="650">
        <v>10.0</v>
      </c>
      <c r="F146" s="223"/>
      <c r="G146" s="223"/>
      <c r="H146" s="223"/>
    </row>
    <row r="147">
      <c r="A147" s="651" t="s">
        <v>11264</v>
      </c>
      <c r="B147" s="223"/>
      <c r="C147" s="223"/>
      <c r="D147" s="650" t="s">
        <v>17469</v>
      </c>
      <c r="E147" s="650">
        <v>10.0</v>
      </c>
      <c r="F147" s="223"/>
      <c r="G147" s="223"/>
      <c r="H147" s="223"/>
    </row>
    <row r="148">
      <c r="A148" s="651" t="s">
        <v>11144</v>
      </c>
      <c r="B148" s="192"/>
      <c r="C148" s="192">
        <v>930.0</v>
      </c>
      <c r="D148" s="650" t="s">
        <v>17469</v>
      </c>
      <c r="E148" s="650">
        <v>10.0</v>
      </c>
      <c r="F148" s="223"/>
      <c r="G148" s="223"/>
      <c r="H148" s="223"/>
    </row>
    <row r="149">
      <c r="A149" s="651" t="s">
        <v>11234</v>
      </c>
      <c r="B149" s="192"/>
      <c r="C149" s="192">
        <v>3142.0</v>
      </c>
      <c r="D149" s="650" t="s">
        <v>17469</v>
      </c>
      <c r="E149" s="650">
        <v>10.0</v>
      </c>
      <c r="F149" s="223"/>
      <c r="G149" s="223"/>
      <c r="H149" s="223"/>
    </row>
    <row r="150">
      <c r="A150" s="651" t="s">
        <v>11437</v>
      </c>
      <c r="B150" s="192"/>
      <c r="C150" s="192">
        <v>6908.0</v>
      </c>
      <c r="D150" s="650" t="s">
        <v>17469</v>
      </c>
      <c r="E150" s="650">
        <v>10.0</v>
      </c>
      <c r="F150" s="223"/>
      <c r="G150" s="223"/>
      <c r="H150" s="223"/>
    </row>
    <row r="151">
      <c r="A151" s="223"/>
      <c r="B151" s="223"/>
      <c r="C151" s="223"/>
      <c r="D151" s="223"/>
      <c r="E151" s="223"/>
      <c r="F151" s="223"/>
      <c r="G151" s="223"/>
      <c r="H151" s="223"/>
    </row>
    <row r="152">
      <c r="A152" s="223"/>
      <c r="B152" s="223"/>
      <c r="C152" s="223"/>
      <c r="D152" s="223"/>
      <c r="E152" s="223"/>
      <c r="F152" s="223"/>
      <c r="G152" s="223"/>
      <c r="H152" s="223"/>
    </row>
    <row r="153">
      <c r="A153" s="223"/>
      <c r="B153" s="223"/>
      <c r="C153" s="223"/>
      <c r="D153" s="223"/>
      <c r="E153" s="223"/>
      <c r="F153" s="223"/>
      <c r="G153" s="223"/>
      <c r="H153" s="223"/>
    </row>
    <row r="154">
      <c r="A154" s="223"/>
      <c r="B154" s="223"/>
      <c r="C154" s="223"/>
      <c r="D154" s="223"/>
      <c r="E154" s="223"/>
      <c r="F154" s="223"/>
      <c r="G154" s="223"/>
      <c r="H154" s="223"/>
    </row>
    <row r="155">
      <c r="A155" s="223"/>
      <c r="B155" s="223"/>
      <c r="C155" s="223"/>
      <c r="D155" s="223"/>
      <c r="E155" s="223"/>
      <c r="F155" s="223"/>
      <c r="G155" s="223"/>
      <c r="H155" s="223"/>
    </row>
    <row r="156">
      <c r="A156" s="223"/>
      <c r="B156" s="223"/>
      <c r="C156" s="223"/>
      <c r="D156" s="223"/>
      <c r="E156" s="223"/>
      <c r="F156" s="223"/>
      <c r="G156" s="223"/>
      <c r="H156" s="223"/>
    </row>
    <row r="157">
      <c r="A157" s="223"/>
      <c r="B157" s="223"/>
      <c r="C157" s="223"/>
      <c r="D157" s="223"/>
      <c r="E157" s="223"/>
      <c r="F157" s="223"/>
      <c r="G157" s="223"/>
      <c r="H157" s="223"/>
    </row>
    <row r="158">
      <c r="A158" s="223"/>
      <c r="B158" s="223"/>
      <c r="C158" s="223"/>
      <c r="D158" s="223"/>
      <c r="E158" s="223"/>
      <c r="F158" s="223"/>
      <c r="G158" s="223"/>
      <c r="H158" s="223"/>
    </row>
    <row r="159">
      <c r="A159" s="223"/>
      <c r="B159" s="223"/>
      <c r="C159" s="223"/>
      <c r="D159" s="223"/>
      <c r="E159" s="223"/>
      <c r="F159" s="223"/>
      <c r="G159" s="223"/>
      <c r="H159" s="223"/>
    </row>
    <row r="160">
      <c r="A160" s="223"/>
      <c r="B160" s="223"/>
      <c r="C160" s="223"/>
      <c r="D160" s="223"/>
      <c r="E160" s="223"/>
      <c r="F160" s="223"/>
      <c r="G160" s="223"/>
      <c r="H160" s="223"/>
    </row>
    <row r="161">
      <c r="A161" s="223"/>
      <c r="B161" s="223"/>
      <c r="C161" s="223"/>
      <c r="D161" s="223"/>
      <c r="E161" s="223"/>
      <c r="F161" s="223"/>
      <c r="G161" s="223"/>
      <c r="H161" s="223"/>
    </row>
    <row r="162">
      <c r="A162" s="223"/>
      <c r="B162" s="223"/>
      <c r="C162" s="223"/>
      <c r="D162" s="223"/>
      <c r="E162" s="223"/>
      <c r="F162" s="223"/>
      <c r="G162" s="223"/>
      <c r="H162" s="223"/>
    </row>
    <row r="163">
      <c r="A163" s="223"/>
      <c r="B163" s="223"/>
      <c r="C163" s="223"/>
      <c r="D163" s="223"/>
      <c r="E163" s="223"/>
      <c r="F163" s="223"/>
      <c r="G163" s="223"/>
      <c r="H163" s="223"/>
    </row>
    <row r="164">
      <c r="A164" s="223"/>
      <c r="B164" s="223"/>
      <c r="C164" s="223"/>
      <c r="D164" s="223"/>
      <c r="E164" s="223"/>
      <c r="F164" s="223"/>
      <c r="G164" s="223"/>
      <c r="H164" s="223"/>
    </row>
    <row r="165">
      <c r="A165" s="223"/>
      <c r="B165" s="223"/>
      <c r="C165" s="223"/>
      <c r="D165" s="223"/>
      <c r="E165" s="223"/>
      <c r="F165" s="223"/>
      <c r="G165" s="223"/>
      <c r="H165" s="223"/>
    </row>
    <row r="166">
      <c r="A166" s="223"/>
      <c r="B166" s="223"/>
      <c r="C166" s="223"/>
      <c r="D166" s="223"/>
      <c r="E166" s="223"/>
      <c r="F166" s="223"/>
      <c r="G166" s="223"/>
      <c r="H166" s="223"/>
    </row>
    <row r="167">
      <c r="A167" s="223"/>
      <c r="B167" s="223"/>
      <c r="C167" s="223"/>
      <c r="D167" s="223"/>
      <c r="E167" s="223"/>
      <c r="F167" s="223"/>
      <c r="G167" s="223"/>
      <c r="H167" s="223"/>
    </row>
    <row r="168">
      <c r="A168" s="223"/>
      <c r="B168" s="223"/>
      <c r="C168" s="223"/>
      <c r="D168" s="223"/>
      <c r="E168" s="223"/>
      <c r="F168" s="223"/>
      <c r="G168" s="223"/>
      <c r="H168" s="223"/>
    </row>
    <row r="169">
      <c r="A169" s="223"/>
      <c r="B169" s="223"/>
      <c r="C169" s="223"/>
      <c r="D169" s="223"/>
      <c r="E169" s="223"/>
      <c r="F169" s="223"/>
      <c r="G169" s="223"/>
      <c r="H169" s="223"/>
    </row>
    <row r="170">
      <c r="A170" s="223"/>
      <c r="B170" s="223"/>
      <c r="C170" s="223"/>
      <c r="D170" s="223"/>
      <c r="E170" s="223"/>
      <c r="F170" s="223"/>
      <c r="G170" s="223"/>
      <c r="H170" s="223"/>
    </row>
    <row r="171">
      <c r="A171" s="223"/>
      <c r="B171" s="223"/>
      <c r="C171" s="223"/>
      <c r="D171" s="223"/>
      <c r="E171" s="223"/>
      <c r="F171" s="223"/>
      <c r="G171" s="223"/>
      <c r="H171" s="223"/>
    </row>
    <row r="172">
      <c r="A172" s="223"/>
      <c r="B172" s="223"/>
      <c r="C172" s="223"/>
      <c r="D172" s="223"/>
      <c r="E172" s="223"/>
      <c r="F172" s="223"/>
      <c r="G172" s="223"/>
      <c r="H172" s="223"/>
    </row>
    <row r="173">
      <c r="A173" s="223"/>
      <c r="B173" s="223"/>
      <c r="C173" s="223"/>
      <c r="D173" s="223"/>
      <c r="E173" s="223"/>
      <c r="F173" s="223"/>
      <c r="G173" s="223"/>
      <c r="H173" s="223"/>
    </row>
    <row r="174">
      <c r="A174" s="223"/>
      <c r="B174" s="223"/>
      <c r="C174" s="223"/>
      <c r="D174" s="223"/>
      <c r="E174" s="223"/>
      <c r="F174" s="223"/>
      <c r="G174" s="223"/>
      <c r="H174" s="223"/>
    </row>
    <row r="175">
      <c r="A175" s="223"/>
      <c r="B175" s="223"/>
      <c r="C175" s="223"/>
      <c r="D175" s="223"/>
      <c r="E175" s="223"/>
      <c r="F175" s="223"/>
      <c r="G175" s="223"/>
      <c r="H175" s="223"/>
    </row>
    <row r="176">
      <c r="A176" s="223"/>
      <c r="B176" s="223"/>
      <c r="C176" s="223"/>
      <c r="D176" s="223"/>
      <c r="E176" s="223"/>
      <c r="F176" s="223"/>
      <c r="G176" s="223"/>
      <c r="H176" s="223"/>
    </row>
    <row r="177">
      <c r="A177" s="223"/>
      <c r="B177" s="223"/>
      <c r="C177" s="223"/>
      <c r="D177" s="223"/>
      <c r="E177" s="223"/>
      <c r="F177" s="223"/>
      <c r="G177" s="223"/>
      <c r="H177" s="223"/>
    </row>
    <row r="178">
      <c r="A178" s="223"/>
      <c r="B178" s="223"/>
      <c r="C178" s="223"/>
      <c r="D178" s="223"/>
      <c r="E178" s="223"/>
      <c r="F178" s="223"/>
      <c r="G178" s="223"/>
      <c r="H178" s="223"/>
    </row>
    <row r="179">
      <c r="A179" s="223"/>
      <c r="B179" s="223"/>
      <c r="C179" s="223"/>
      <c r="D179" s="223"/>
      <c r="E179" s="223"/>
      <c r="F179" s="223"/>
      <c r="G179" s="223"/>
      <c r="H179" s="223"/>
    </row>
    <row r="180">
      <c r="A180" s="223"/>
      <c r="B180" s="223"/>
      <c r="C180" s="223"/>
      <c r="D180" s="223"/>
      <c r="E180" s="223"/>
      <c r="F180" s="223"/>
      <c r="G180" s="223"/>
      <c r="H180" s="223"/>
    </row>
    <row r="181">
      <c r="A181" s="223"/>
      <c r="B181" s="223"/>
      <c r="C181" s="223"/>
      <c r="D181" s="223"/>
      <c r="E181" s="223"/>
      <c r="F181" s="223"/>
      <c r="G181" s="223"/>
      <c r="H181" s="223"/>
    </row>
    <row r="182">
      <c r="A182" s="223"/>
      <c r="B182" s="223"/>
      <c r="C182" s="223"/>
      <c r="D182" s="223"/>
      <c r="E182" s="223"/>
      <c r="F182" s="223"/>
      <c r="G182" s="223"/>
      <c r="H182" s="223"/>
    </row>
    <row r="183">
      <c r="A183" s="223"/>
      <c r="B183" s="223"/>
      <c r="C183" s="223"/>
      <c r="D183" s="223"/>
      <c r="E183" s="223"/>
      <c r="F183" s="223"/>
      <c r="G183" s="223"/>
      <c r="H183" s="223"/>
    </row>
    <row r="184">
      <c r="A184" s="223"/>
      <c r="B184" s="223"/>
      <c r="C184" s="223"/>
      <c r="D184" s="223"/>
      <c r="E184" s="223"/>
      <c r="F184" s="223"/>
      <c r="G184" s="223"/>
      <c r="H184" s="223"/>
    </row>
    <row r="185">
      <c r="A185" s="223"/>
      <c r="B185" s="223"/>
      <c r="C185" s="223"/>
      <c r="D185" s="223"/>
      <c r="E185" s="223"/>
      <c r="F185" s="223"/>
      <c r="G185" s="223"/>
      <c r="H185" s="223"/>
    </row>
    <row r="186">
      <c r="A186" s="223"/>
      <c r="B186" s="223"/>
      <c r="C186" s="223"/>
      <c r="D186" s="223"/>
      <c r="E186" s="223"/>
      <c r="F186" s="223"/>
      <c r="G186" s="223"/>
      <c r="H186" s="223"/>
    </row>
    <row r="187">
      <c r="A187" s="223"/>
      <c r="B187" s="223"/>
      <c r="C187" s="223"/>
      <c r="D187" s="223"/>
      <c r="E187" s="223"/>
      <c r="F187" s="223"/>
      <c r="G187" s="223"/>
      <c r="H187" s="223"/>
    </row>
    <row r="188">
      <c r="A188" s="223"/>
      <c r="B188" s="223"/>
      <c r="C188" s="223"/>
      <c r="D188" s="223"/>
      <c r="E188" s="223"/>
      <c r="F188" s="223"/>
      <c r="G188" s="223"/>
      <c r="H188" s="223"/>
    </row>
    <row r="189">
      <c r="A189" s="223"/>
      <c r="B189" s="223"/>
      <c r="C189" s="223"/>
      <c r="D189" s="223"/>
      <c r="E189" s="223"/>
      <c r="F189" s="223"/>
      <c r="G189" s="223"/>
      <c r="H189" s="223"/>
    </row>
    <row r="190">
      <c r="A190" s="223"/>
      <c r="B190" s="223"/>
      <c r="C190" s="223"/>
      <c r="D190" s="223"/>
      <c r="E190" s="223"/>
      <c r="F190" s="223"/>
      <c r="G190" s="223"/>
      <c r="H190" s="223"/>
    </row>
    <row r="191">
      <c r="A191" s="223"/>
      <c r="B191" s="223"/>
      <c r="C191" s="223"/>
      <c r="D191" s="223"/>
      <c r="E191" s="223"/>
      <c r="F191" s="223"/>
      <c r="G191" s="223"/>
      <c r="H191" s="223"/>
    </row>
    <row r="192">
      <c r="A192" s="223"/>
      <c r="B192" s="223"/>
      <c r="C192" s="223"/>
      <c r="D192" s="223"/>
      <c r="E192" s="223"/>
      <c r="F192" s="223"/>
      <c r="G192" s="223"/>
      <c r="H192" s="223"/>
    </row>
    <row r="193">
      <c r="A193" s="223"/>
      <c r="B193" s="223"/>
      <c r="C193" s="223"/>
      <c r="D193" s="223"/>
      <c r="E193" s="223"/>
      <c r="F193" s="223"/>
      <c r="G193" s="223"/>
      <c r="H193" s="223"/>
    </row>
    <row r="194">
      <c r="A194" s="223"/>
      <c r="B194" s="223"/>
      <c r="C194" s="223"/>
      <c r="D194" s="223"/>
      <c r="E194" s="223"/>
      <c r="F194" s="223"/>
      <c r="G194" s="223"/>
      <c r="H194" s="223"/>
    </row>
    <row r="195">
      <c r="A195" s="223"/>
      <c r="B195" s="223"/>
      <c r="C195" s="223"/>
      <c r="D195" s="223"/>
      <c r="E195" s="223"/>
      <c r="F195" s="223"/>
      <c r="G195" s="223"/>
      <c r="H195" s="223"/>
    </row>
    <row r="196">
      <c r="A196" s="223"/>
      <c r="B196" s="223"/>
      <c r="C196" s="223"/>
      <c r="D196" s="223"/>
      <c r="E196" s="223"/>
      <c r="F196" s="223"/>
      <c r="G196" s="223"/>
      <c r="H196" s="223"/>
    </row>
    <row r="197">
      <c r="A197" s="223"/>
      <c r="B197" s="223"/>
      <c r="C197" s="223"/>
      <c r="D197" s="223"/>
      <c r="E197" s="223"/>
      <c r="F197" s="223"/>
      <c r="G197" s="223"/>
      <c r="H197" s="223"/>
    </row>
    <row r="198">
      <c r="A198" s="223"/>
      <c r="B198" s="223"/>
      <c r="C198" s="223"/>
      <c r="D198" s="223"/>
      <c r="E198" s="223"/>
      <c r="F198" s="223"/>
      <c r="G198" s="223"/>
      <c r="H198" s="223"/>
    </row>
    <row r="199">
      <c r="A199" s="223"/>
      <c r="B199" s="223"/>
      <c r="C199" s="223"/>
      <c r="D199" s="223"/>
      <c r="E199" s="223"/>
      <c r="F199" s="223"/>
      <c r="G199" s="223"/>
      <c r="H199" s="223"/>
    </row>
    <row r="200">
      <c r="A200" s="223"/>
      <c r="B200" s="223"/>
      <c r="C200" s="223"/>
      <c r="D200" s="223"/>
      <c r="E200" s="223"/>
      <c r="F200" s="223"/>
      <c r="G200" s="223"/>
      <c r="H200" s="223"/>
    </row>
    <row r="201">
      <c r="A201" s="223"/>
      <c r="B201" s="223"/>
      <c r="C201" s="223"/>
      <c r="D201" s="223"/>
      <c r="E201" s="223"/>
      <c r="F201" s="223"/>
      <c r="G201" s="223"/>
      <c r="H201" s="223"/>
    </row>
    <row r="202">
      <c r="A202" s="223"/>
      <c r="B202" s="223"/>
      <c r="C202" s="223"/>
      <c r="D202" s="223"/>
      <c r="E202" s="223"/>
      <c r="F202" s="223"/>
      <c r="G202" s="223"/>
      <c r="H202" s="223"/>
    </row>
    <row r="203">
      <c r="A203" s="223"/>
      <c r="B203" s="223"/>
      <c r="C203" s="223"/>
      <c r="D203" s="223"/>
      <c r="E203" s="223"/>
      <c r="F203" s="223"/>
      <c r="G203" s="223"/>
      <c r="H203" s="223"/>
    </row>
    <row r="204">
      <c r="A204" s="223"/>
      <c r="B204" s="223"/>
      <c r="C204" s="223"/>
      <c r="D204" s="223"/>
      <c r="E204" s="223"/>
      <c r="F204" s="223"/>
      <c r="G204" s="223"/>
      <c r="H204" s="223"/>
    </row>
    <row r="205">
      <c r="A205" s="223"/>
      <c r="B205" s="223"/>
      <c r="C205" s="223"/>
      <c r="D205" s="223"/>
      <c r="E205" s="223"/>
      <c r="F205" s="223"/>
      <c r="G205" s="223"/>
      <c r="H205" s="223"/>
    </row>
    <row r="206">
      <c r="A206" s="223"/>
      <c r="B206" s="223"/>
      <c r="C206" s="223"/>
      <c r="D206" s="223"/>
      <c r="E206" s="223"/>
      <c r="F206" s="223"/>
      <c r="G206" s="223"/>
      <c r="H206" s="223"/>
    </row>
    <row r="207">
      <c r="A207" s="223"/>
      <c r="B207" s="223"/>
      <c r="C207" s="223"/>
      <c r="D207" s="223"/>
      <c r="E207" s="223"/>
      <c r="F207" s="223"/>
      <c r="G207" s="223"/>
      <c r="H207" s="223"/>
    </row>
    <row r="208">
      <c r="A208" s="223"/>
      <c r="B208" s="223"/>
      <c r="C208" s="223"/>
      <c r="D208" s="223"/>
      <c r="E208" s="223"/>
      <c r="F208" s="223"/>
      <c r="G208" s="223"/>
      <c r="H208" s="223"/>
    </row>
    <row r="209">
      <c r="A209" s="223"/>
      <c r="B209" s="223"/>
      <c r="C209" s="223"/>
      <c r="D209" s="223"/>
      <c r="E209" s="223"/>
      <c r="F209" s="223"/>
      <c r="G209" s="223"/>
      <c r="H209" s="223"/>
    </row>
    <row r="210">
      <c r="A210" s="223"/>
      <c r="B210" s="223"/>
      <c r="C210" s="223"/>
      <c r="D210" s="223"/>
      <c r="E210" s="223"/>
      <c r="F210" s="223"/>
      <c r="G210" s="223"/>
      <c r="H210" s="223"/>
    </row>
    <row r="211">
      <c r="A211" s="223"/>
      <c r="B211" s="223"/>
      <c r="C211" s="223"/>
      <c r="D211" s="223"/>
      <c r="E211" s="223"/>
      <c r="F211" s="223"/>
      <c r="G211" s="223"/>
      <c r="H211" s="223"/>
    </row>
    <row r="212">
      <c r="A212" s="223"/>
      <c r="B212" s="223"/>
      <c r="C212" s="223"/>
      <c r="D212" s="223"/>
      <c r="E212" s="223"/>
      <c r="F212" s="223"/>
      <c r="G212" s="223"/>
      <c r="H212" s="223"/>
    </row>
    <row r="213">
      <c r="A213" s="223"/>
      <c r="B213" s="223"/>
      <c r="C213" s="223"/>
      <c r="D213" s="223"/>
      <c r="E213" s="223"/>
      <c r="F213" s="223"/>
      <c r="G213" s="223"/>
      <c r="H213" s="223"/>
    </row>
    <row r="214">
      <c r="A214" s="223"/>
      <c r="B214" s="223"/>
      <c r="C214" s="223"/>
      <c r="D214" s="223"/>
      <c r="E214" s="223"/>
      <c r="F214" s="223"/>
      <c r="G214" s="223"/>
      <c r="H214" s="223"/>
    </row>
    <row r="215">
      <c r="A215" s="223"/>
      <c r="B215" s="223"/>
      <c r="C215" s="223"/>
      <c r="D215" s="223"/>
      <c r="E215" s="223"/>
      <c r="F215" s="223"/>
      <c r="G215" s="223"/>
      <c r="H215" s="223"/>
    </row>
    <row r="216">
      <c r="A216" s="223"/>
      <c r="B216" s="223"/>
      <c r="C216" s="223"/>
      <c r="D216" s="223"/>
      <c r="E216" s="223"/>
      <c r="F216" s="223"/>
      <c r="G216" s="223"/>
      <c r="H216" s="223"/>
    </row>
    <row r="217">
      <c r="A217" s="223"/>
      <c r="B217" s="223"/>
      <c r="C217" s="223"/>
      <c r="D217" s="223"/>
      <c r="E217" s="223"/>
      <c r="F217" s="223"/>
      <c r="G217" s="223"/>
      <c r="H217" s="223"/>
    </row>
    <row r="218">
      <c r="A218" s="223"/>
      <c r="B218" s="223"/>
      <c r="C218" s="223"/>
      <c r="D218" s="223"/>
      <c r="E218" s="223"/>
      <c r="F218" s="223"/>
      <c r="G218" s="223"/>
      <c r="H218" s="223"/>
    </row>
    <row r="219">
      <c r="A219" s="223"/>
      <c r="B219" s="223"/>
      <c r="C219" s="223"/>
      <c r="D219" s="223"/>
      <c r="E219" s="223"/>
      <c r="F219" s="223"/>
      <c r="G219" s="223"/>
      <c r="H219" s="223"/>
    </row>
    <row r="220">
      <c r="A220" s="223"/>
      <c r="B220" s="223"/>
      <c r="C220" s="223"/>
      <c r="D220" s="223"/>
      <c r="E220" s="223"/>
      <c r="F220" s="223"/>
      <c r="G220" s="223"/>
      <c r="H220" s="223"/>
    </row>
    <row r="221">
      <c r="A221" s="223"/>
      <c r="B221" s="223"/>
      <c r="C221" s="223"/>
      <c r="D221" s="223"/>
      <c r="E221" s="223"/>
      <c r="F221" s="223"/>
      <c r="G221" s="223"/>
      <c r="H221" s="223"/>
    </row>
    <row r="222">
      <c r="A222" s="223"/>
      <c r="B222" s="223"/>
      <c r="C222" s="223"/>
      <c r="D222" s="223"/>
      <c r="E222" s="223"/>
      <c r="F222" s="223"/>
      <c r="G222" s="223"/>
      <c r="H222" s="223"/>
    </row>
    <row r="223">
      <c r="A223" s="223"/>
      <c r="B223" s="223"/>
      <c r="C223" s="223"/>
      <c r="D223" s="223"/>
      <c r="E223" s="223"/>
      <c r="F223" s="223"/>
      <c r="G223" s="223"/>
      <c r="H223" s="223"/>
    </row>
    <row r="224">
      <c r="A224" s="223"/>
      <c r="B224" s="223"/>
      <c r="C224" s="223"/>
      <c r="D224" s="223"/>
      <c r="E224" s="223"/>
      <c r="F224" s="223"/>
      <c r="G224" s="223"/>
      <c r="H224" s="223"/>
    </row>
    <row r="225">
      <c r="A225" s="223"/>
      <c r="B225" s="223"/>
      <c r="C225" s="223"/>
      <c r="D225" s="223"/>
      <c r="E225" s="223"/>
      <c r="F225" s="223"/>
      <c r="G225" s="223"/>
      <c r="H225" s="223"/>
    </row>
    <row r="226">
      <c r="A226" s="223"/>
      <c r="B226" s="223"/>
      <c r="C226" s="223"/>
      <c r="D226" s="223"/>
      <c r="E226" s="223"/>
      <c r="F226" s="223"/>
      <c r="G226" s="223"/>
      <c r="H226" s="223"/>
    </row>
    <row r="227">
      <c r="A227" s="223"/>
      <c r="B227" s="223"/>
      <c r="C227" s="223"/>
      <c r="D227" s="223"/>
      <c r="E227" s="223"/>
      <c r="F227" s="223"/>
      <c r="G227" s="223"/>
      <c r="H227" s="223"/>
    </row>
    <row r="228">
      <c r="A228" s="223"/>
      <c r="B228" s="223"/>
      <c r="C228" s="223"/>
      <c r="D228" s="223"/>
      <c r="E228" s="223"/>
      <c r="F228" s="223"/>
      <c r="G228" s="223"/>
      <c r="H228" s="223"/>
    </row>
    <row r="229">
      <c r="A229" s="223"/>
      <c r="B229" s="223"/>
      <c r="C229" s="223"/>
      <c r="D229" s="223"/>
      <c r="E229" s="223"/>
      <c r="F229" s="223"/>
      <c r="G229" s="223"/>
      <c r="H229" s="223"/>
    </row>
    <row r="230">
      <c r="A230" s="223"/>
      <c r="B230" s="223"/>
      <c r="C230" s="223"/>
      <c r="D230" s="223"/>
      <c r="E230" s="223"/>
      <c r="F230" s="223"/>
      <c r="G230" s="223"/>
      <c r="H230" s="223"/>
    </row>
    <row r="231">
      <c r="A231" s="223"/>
      <c r="B231" s="223"/>
      <c r="C231" s="223"/>
      <c r="D231" s="223"/>
      <c r="E231" s="223"/>
      <c r="F231" s="223"/>
      <c r="G231" s="223"/>
      <c r="H231" s="223"/>
    </row>
    <row r="232">
      <c r="A232" s="223"/>
      <c r="B232" s="223"/>
      <c r="C232" s="223"/>
      <c r="D232" s="223"/>
      <c r="E232" s="223"/>
      <c r="F232" s="223"/>
      <c r="G232" s="223"/>
      <c r="H232" s="223"/>
    </row>
    <row r="233">
      <c r="A233" s="223"/>
      <c r="B233" s="223"/>
      <c r="C233" s="223"/>
      <c r="D233" s="223"/>
      <c r="E233" s="223"/>
      <c r="F233" s="223"/>
      <c r="G233" s="223"/>
      <c r="H233" s="223"/>
    </row>
    <row r="234">
      <c r="A234" s="223"/>
      <c r="B234" s="223"/>
      <c r="C234" s="223"/>
      <c r="D234" s="223"/>
      <c r="E234" s="223"/>
      <c r="F234" s="223"/>
      <c r="G234" s="223"/>
      <c r="H234" s="223"/>
    </row>
    <row r="235">
      <c r="A235" s="223"/>
      <c r="B235" s="223"/>
      <c r="C235" s="223"/>
      <c r="D235" s="223"/>
      <c r="E235" s="223"/>
      <c r="F235" s="223"/>
      <c r="G235" s="223"/>
      <c r="H235" s="223"/>
    </row>
    <row r="236">
      <c r="A236" s="223"/>
      <c r="B236" s="223"/>
      <c r="C236" s="223"/>
      <c r="D236" s="223"/>
      <c r="E236" s="223"/>
      <c r="F236" s="223"/>
      <c r="G236" s="223"/>
      <c r="H236" s="223"/>
    </row>
    <row r="237">
      <c r="A237" s="223"/>
      <c r="B237" s="223"/>
      <c r="C237" s="223"/>
      <c r="D237" s="223"/>
      <c r="E237" s="223"/>
      <c r="F237" s="223"/>
      <c r="G237" s="223"/>
      <c r="H237" s="223"/>
    </row>
    <row r="238">
      <c r="A238" s="223"/>
      <c r="B238" s="223"/>
      <c r="C238" s="223"/>
      <c r="D238" s="223"/>
      <c r="E238" s="223"/>
      <c r="F238" s="223"/>
      <c r="G238" s="223"/>
      <c r="H238" s="223"/>
    </row>
    <row r="239">
      <c r="A239" s="223"/>
      <c r="B239" s="223"/>
      <c r="C239" s="223"/>
      <c r="D239" s="223"/>
      <c r="E239" s="223"/>
      <c r="F239" s="223"/>
      <c r="G239" s="223"/>
      <c r="H239" s="223"/>
    </row>
    <row r="240">
      <c r="A240" s="223"/>
      <c r="B240" s="223"/>
      <c r="C240" s="223"/>
      <c r="D240" s="223"/>
      <c r="E240" s="223"/>
      <c r="F240" s="223"/>
      <c r="G240" s="223"/>
      <c r="H240" s="223"/>
    </row>
    <row r="241">
      <c r="A241" s="223"/>
      <c r="B241" s="223"/>
      <c r="C241" s="223"/>
      <c r="D241" s="223"/>
      <c r="E241" s="223"/>
      <c r="F241" s="223"/>
      <c r="G241" s="223"/>
      <c r="H241" s="223"/>
    </row>
    <row r="242">
      <c r="A242" s="223"/>
      <c r="B242" s="223"/>
      <c r="C242" s="223"/>
      <c r="D242" s="223"/>
      <c r="E242" s="223"/>
      <c r="F242" s="223"/>
      <c r="G242" s="223"/>
      <c r="H242" s="223"/>
    </row>
    <row r="243">
      <c r="A243" s="223"/>
      <c r="B243" s="223"/>
      <c r="C243" s="223"/>
      <c r="D243" s="223"/>
      <c r="E243" s="223"/>
      <c r="F243" s="223"/>
      <c r="G243" s="223"/>
      <c r="H243" s="223"/>
    </row>
    <row r="244">
      <c r="A244" s="223"/>
      <c r="B244" s="223"/>
      <c r="C244" s="223"/>
      <c r="D244" s="223"/>
      <c r="E244" s="223"/>
      <c r="F244" s="223"/>
      <c r="G244" s="223"/>
      <c r="H244" s="223"/>
    </row>
    <row r="245">
      <c r="A245" s="223"/>
      <c r="B245" s="223"/>
      <c r="C245" s="223"/>
      <c r="D245" s="223"/>
      <c r="E245" s="223"/>
      <c r="F245" s="223"/>
      <c r="G245" s="223"/>
      <c r="H245" s="223"/>
    </row>
    <row r="246">
      <c r="A246" s="223"/>
      <c r="B246" s="223"/>
      <c r="C246" s="223"/>
      <c r="D246" s="223"/>
      <c r="E246" s="223"/>
      <c r="F246" s="223"/>
      <c r="G246" s="223"/>
      <c r="H246" s="223"/>
    </row>
    <row r="247">
      <c r="A247" s="223"/>
      <c r="B247" s="223"/>
      <c r="C247" s="223"/>
      <c r="D247" s="223"/>
      <c r="E247" s="223"/>
      <c r="F247" s="223"/>
      <c r="G247" s="223"/>
      <c r="H247" s="223"/>
    </row>
    <row r="248">
      <c r="A248" s="223"/>
      <c r="B248" s="223"/>
      <c r="C248" s="223"/>
      <c r="D248" s="223"/>
      <c r="E248" s="223"/>
      <c r="F248" s="223"/>
      <c r="G248" s="223"/>
      <c r="H248" s="223"/>
    </row>
    <row r="249">
      <c r="A249" s="223"/>
      <c r="B249" s="223"/>
      <c r="C249" s="223"/>
      <c r="D249" s="223"/>
      <c r="E249" s="223"/>
      <c r="F249" s="223"/>
      <c r="G249" s="223"/>
      <c r="H249" s="223"/>
    </row>
    <row r="250">
      <c r="A250" s="223"/>
      <c r="B250" s="223"/>
      <c r="C250" s="223"/>
      <c r="D250" s="223"/>
      <c r="E250" s="223"/>
      <c r="F250" s="223"/>
      <c r="G250" s="223"/>
      <c r="H250" s="223"/>
    </row>
    <row r="251">
      <c r="A251" s="223"/>
      <c r="B251" s="223"/>
      <c r="C251" s="223"/>
      <c r="D251" s="223"/>
      <c r="E251" s="223"/>
      <c r="F251" s="223"/>
      <c r="G251" s="223"/>
      <c r="H251" s="223"/>
    </row>
    <row r="252">
      <c r="A252" s="223"/>
      <c r="B252" s="223"/>
      <c r="C252" s="223"/>
      <c r="D252" s="223"/>
      <c r="E252" s="223"/>
      <c r="F252" s="223"/>
      <c r="G252" s="223"/>
      <c r="H252" s="223"/>
    </row>
    <row r="253">
      <c r="A253" s="223"/>
      <c r="B253" s="223"/>
      <c r="C253" s="223"/>
      <c r="D253" s="223"/>
      <c r="E253" s="223"/>
      <c r="F253" s="223"/>
      <c r="G253" s="223"/>
      <c r="H253" s="223"/>
    </row>
    <row r="254">
      <c r="A254" s="223"/>
      <c r="B254" s="223"/>
      <c r="C254" s="223"/>
      <c r="D254" s="223"/>
      <c r="E254" s="223"/>
      <c r="F254" s="223"/>
      <c r="G254" s="223"/>
      <c r="H254" s="223"/>
    </row>
    <row r="255">
      <c r="A255" s="223"/>
      <c r="B255" s="223"/>
      <c r="C255" s="223"/>
      <c r="D255" s="223"/>
      <c r="E255" s="223"/>
      <c r="F255" s="223"/>
      <c r="G255" s="223"/>
      <c r="H255" s="223"/>
    </row>
    <row r="256">
      <c r="A256" s="223"/>
      <c r="B256" s="223"/>
      <c r="C256" s="223"/>
      <c r="D256" s="223"/>
      <c r="E256" s="223"/>
      <c r="F256" s="223"/>
      <c r="G256" s="223"/>
      <c r="H256" s="223"/>
    </row>
    <row r="257">
      <c r="A257" s="223"/>
      <c r="B257" s="223"/>
      <c r="C257" s="223"/>
      <c r="D257" s="223"/>
      <c r="E257" s="223"/>
      <c r="F257" s="223"/>
      <c r="G257" s="223"/>
      <c r="H257" s="223"/>
    </row>
    <row r="258">
      <c r="A258" s="223"/>
      <c r="B258" s="223"/>
      <c r="C258" s="223"/>
      <c r="D258" s="223"/>
      <c r="E258" s="223"/>
      <c r="F258" s="223"/>
      <c r="G258" s="223"/>
      <c r="H258" s="223"/>
    </row>
    <row r="259">
      <c r="A259" s="223"/>
      <c r="B259" s="223"/>
      <c r="C259" s="223"/>
      <c r="D259" s="223"/>
      <c r="E259" s="223"/>
      <c r="F259" s="223"/>
      <c r="G259" s="223"/>
      <c r="H259" s="223"/>
    </row>
    <row r="260">
      <c r="A260" s="223"/>
      <c r="B260" s="223"/>
      <c r="C260" s="223"/>
      <c r="D260" s="223"/>
      <c r="E260" s="223"/>
      <c r="F260" s="223"/>
      <c r="G260" s="223"/>
      <c r="H260" s="223"/>
    </row>
    <row r="261">
      <c r="A261" s="223"/>
      <c r="B261" s="223"/>
      <c r="C261" s="223"/>
      <c r="D261" s="223"/>
      <c r="E261" s="223"/>
      <c r="F261" s="223"/>
      <c r="G261" s="223"/>
      <c r="H261" s="223"/>
    </row>
    <row r="262">
      <c r="A262" s="223"/>
      <c r="B262" s="223"/>
      <c r="C262" s="223"/>
      <c r="D262" s="223"/>
      <c r="E262" s="223"/>
      <c r="F262" s="223"/>
      <c r="G262" s="223"/>
      <c r="H262" s="223"/>
    </row>
    <row r="263">
      <c r="A263" s="223"/>
      <c r="B263" s="223"/>
      <c r="C263" s="223"/>
      <c r="D263" s="223"/>
      <c r="E263" s="223"/>
      <c r="F263" s="223"/>
      <c r="G263" s="223"/>
      <c r="H263" s="223"/>
    </row>
    <row r="264">
      <c r="A264" s="223"/>
      <c r="B264" s="223"/>
      <c r="C264" s="223"/>
      <c r="D264" s="223"/>
      <c r="E264" s="223"/>
      <c r="F264" s="223"/>
      <c r="G264" s="223"/>
      <c r="H264" s="223"/>
    </row>
    <row r="265">
      <c r="A265" s="223"/>
      <c r="B265" s="223"/>
      <c r="C265" s="223"/>
      <c r="D265" s="223"/>
      <c r="E265" s="223"/>
      <c r="F265" s="223"/>
      <c r="G265" s="223"/>
      <c r="H265" s="223"/>
    </row>
    <row r="266">
      <c r="A266" s="223"/>
      <c r="B266" s="223"/>
      <c r="C266" s="223"/>
      <c r="D266" s="223"/>
      <c r="E266" s="223"/>
      <c r="F266" s="223"/>
      <c r="G266" s="223"/>
      <c r="H266" s="223"/>
    </row>
    <row r="267">
      <c r="A267" s="223"/>
      <c r="B267" s="223"/>
      <c r="C267" s="223"/>
      <c r="D267" s="223"/>
      <c r="E267" s="223"/>
      <c r="F267" s="223"/>
      <c r="G267" s="223"/>
      <c r="H267" s="223"/>
    </row>
    <row r="268">
      <c r="A268" s="223"/>
      <c r="B268" s="223"/>
      <c r="C268" s="223"/>
      <c r="D268" s="223"/>
      <c r="E268" s="223"/>
      <c r="F268" s="223"/>
      <c r="G268" s="223"/>
      <c r="H268" s="223"/>
    </row>
    <row r="269">
      <c r="A269" s="223"/>
      <c r="B269" s="223"/>
      <c r="C269" s="223"/>
      <c r="D269" s="223"/>
      <c r="E269" s="223"/>
      <c r="F269" s="223"/>
      <c r="G269" s="223"/>
      <c r="H269" s="223"/>
    </row>
    <row r="270">
      <c r="A270" s="223"/>
      <c r="B270" s="223"/>
      <c r="C270" s="223"/>
      <c r="D270" s="223"/>
      <c r="E270" s="223"/>
      <c r="F270" s="223"/>
      <c r="G270" s="223"/>
      <c r="H270" s="223"/>
    </row>
    <row r="271">
      <c r="A271" s="223"/>
      <c r="B271" s="223"/>
      <c r="C271" s="223"/>
      <c r="D271" s="223"/>
      <c r="E271" s="223"/>
      <c r="F271" s="223"/>
      <c r="G271" s="223"/>
      <c r="H271" s="223"/>
    </row>
    <row r="272">
      <c r="A272" s="223"/>
      <c r="B272" s="223"/>
      <c r="C272" s="223"/>
      <c r="D272" s="223"/>
      <c r="E272" s="223"/>
      <c r="F272" s="223"/>
      <c r="G272" s="223"/>
      <c r="H272" s="223"/>
    </row>
    <row r="273">
      <c r="A273" s="223"/>
      <c r="B273" s="223"/>
      <c r="C273" s="223"/>
      <c r="D273" s="223"/>
      <c r="E273" s="223"/>
      <c r="F273" s="223"/>
      <c r="G273" s="223"/>
      <c r="H273" s="223"/>
    </row>
    <row r="274">
      <c r="A274" s="223"/>
      <c r="B274" s="223"/>
      <c r="C274" s="223"/>
      <c r="D274" s="223"/>
      <c r="E274" s="223"/>
      <c r="F274" s="223"/>
      <c r="G274" s="223"/>
      <c r="H274" s="223"/>
    </row>
    <row r="275">
      <c r="A275" s="223"/>
      <c r="B275" s="223"/>
      <c r="C275" s="223"/>
      <c r="D275" s="223"/>
      <c r="E275" s="223"/>
      <c r="F275" s="223"/>
      <c r="G275" s="223"/>
      <c r="H275" s="223"/>
    </row>
    <row r="276">
      <c r="A276" s="223"/>
      <c r="B276" s="223"/>
      <c r="C276" s="223"/>
      <c r="D276" s="223"/>
      <c r="E276" s="223"/>
      <c r="F276" s="223"/>
      <c r="G276" s="223"/>
      <c r="H276" s="223"/>
    </row>
    <row r="277">
      <c r="A277" s="223"/>
      <c r="B277" s="223"/>
      <c r="C277" s="223"/>
      <c r="D277" s="223"/>
      <c r="E277" s="223"/>
      <c r="F277" s="223"/>
      <c r="G277" s="223"/>
      <c r="H277" s="223"/>
    </row>
    <row r="278">
      <c r="A278" s="223"/>
      <c r="B278" s="223"/>
      <c r="C278" s="223"/>
      <c r="D278" s="223"/>
      <c r="E278" s="223"/>
      <c r="F278" s="223"/>
      <c r="G278" s="223"/>
      <c r="H278" s="223"/>
    </row>
    <row r="279">
      <c r="A279" s="223"/>
      <c r="B279" s="223"/>
      <c r="C279" s="223"/>
      <c r="D279" s="223"/>
      <c r="E279" s="223"/>
      <c r="F279" s="223"/>
      <c r="G279" s="223"/>
      <c r="H279" s="223"/>
    </row>
    <row r="280">
      <c r="A280" s="223"/>
      <c r="B280" s="223"/>
      <c r="C280" s="223"/>
      <c r="D280" s="223"/>
      <c r="E280" s="223"/>
      <c r="F280" s="223"/>
      <c r="G280" s="223"/>
      <c r="H280" s="223"/>
    </row>
    <row r="281">
      <c r="A281" s="223"/>
      <c r="B281" s="223"/>
      <c r="C281" s="223"/>
      <c r="D281" s="223"/>
      <c r="E281" s="223"/>
      <c r="F281" s="223"/>
      <c r="G281" s="223"/>
      <c r="H281" s="223"/>
    </row>
    <row r="282">
      <c r="A282" s="223"/>
      <c r="B282" s="223"/>
      <c r="C282" s="223"/>
      <c r="D282" s="223"/>
      <c r="E282" s="223"/>
      <c r="F282" s="223"/>
      <c r="G282" s="223"/>
      <c r="H282" s="223"/>
    </row>
    <row r="283">
      <c r="A283" s="223"/>
      <c r="B283" s="223"/>
      <c r="C283" s="223"/>
      <c r="D283" s="223"/>
      <c r="E283" s="223"/>
      <c r="F283" s="223"/>
      <c r="G283" s="223"/>
      <c r="H283" s="223"/>
    </row>
    <row r="284">
      <c r="A284" s="223"/>
      <c r="B284" s="223"/>
      <c r="C284" s="223"/>
      <c r="D284" s="223"/>
      <c r="E284" s="223"/>
      <c r="F284" s="223"/>
      <c r="G284" s="223"/>
      <c r="H284" s="223"/>
    </row>
    <row r="285">
      <c r="A285" s="223"/>
      <c r="B285" s="223"/>
      <c r="C285" s="223"/>
      <c r="D285" s="223"/>
      <c r="E285" s="223"/>
      <c r="F285" s="223"/>
      <c r="G285" s="223"/>
      <c r="H285" s="223"/>
    </row>
    <row r="286">
      <c r="A286" s="223"/>
      <c r="B286" s="223"/>
      <c r="C286" s="223"/>
      <c r="D286" s="223"/>
      <c r="E286" s="223"/>
      <c r="F286" s="223"/>
      <c r="G286" s="223"/>
      <c r="H286" s="223"/>
    </row>
    <row r="287">
      <c r="A287" s="223"/>
      <c r="B287" s="223"/>
      <c r="C287" s="223"/>
      <c r="D287" s="223"/>
      <c r="E287" s="223"/>
      <c r="F287" s="223"/>
      <c r="G287" s="223"/>
      <c r="H287" s="223"/>
    </row>
    <row r="288">
      <c r="A288" s="223"/>
      <c r="B288" s="223"/>
      <c r="C288" s="223"/>
      <c r="D288" s="223"/>
      <c r="E288" s="223"/>
      <c r="F288" s="223"/>
      <c r="G288" s="223"/>
      <c r="H288" s="223"/>
    </row>
    <row r="289">
      <c r="A289" s="223"/>
      <c r="B289" s="223"/>
      <c r="C289" s="223"/>
      <c r="D289" s="223"/>
      <c r="E289" s="223"/>
      <c r="F289" s="223"/>
      <c r="G289" s="223"/>
      <c r="H289" s="223"/>
    </row>
    <row r="290">
      <c r="A290" s="223"/>
      <c r="B290" s="223"/>
      <c r="C290" s="223"/>
      <c r="D290" s="223"/>
      <c r="E290" s="223"/>
      <c r="F290" s="223"/>
      <c r="G290" s="223"/>
      <c r="H290" s="223"/>
    </row>
    <row r="291">
      <c r="A291" s="223"/>
      <c r="B291" s="223"/>
      <c r="C291" s="223"/>
      <c r="D291" s="223"/>
      <c r="E291" s="223"/>
      <c r="F291" s="223"/>
      <c r="G291" s="223"/>
      <c r="H291" s="223"/>
    </row>
    <row r="292">
      <c r="A292" s="223"/>
      <c r="B292" s="223"/>
      <c r="C292" s="223"/>
      <c r="D292" s="223"/>
      <c r="E292" s="223"/>
      <c r="F292" s="223"/>
      <c r="G292" s="223"/>
      <c r="H292" s="223"/>
    </row>
    <row r="293">
      <c r="A293" s="223"/>
      <c r="B293" s="223"/>
      <c r="C293" s="223"/>
      <c r="D293" s="223"/>
      <c r="E293" s="223"/>
      <c r="F293" s="223"/>
      <c r="G293" s="223"/>
      <c r="H293" s="223"/>
    </row>
    <row r="294">
      <c r="A294" s="223"/>
      <c r="B294" s="223"/>
      <c r="C294" s="223"/>
      <c r="D294" s="223"/>
      <c r="E294" s="223"/>
      <c r="F294" s="223"/>
      <c r="G294" s="223"/>
      <c r="H294" s="223"/>
    </row>
    <row r="295">
      <c r="A295" s="223"/>
      <c r="B295" s="223"/>
      <c r="C295" s="223"/>
      <c r="D295" s="223"/>
      <c r="E295" s="223"/>
      <c r="F295" s="223"/>
      <c r="G295" s="223"/>
      <c r="H295" s="223"/>
    </row>
    <row r="296">
      <c r="A296" s="223"/>
      <c r="B296" s="223"/>
      <c r="C296" s="223"/>
      <c r="D296" s="223"/>
      <c r="E296" s="223"/>
      <c r="F296" s="223"/>
      <c r="G296" s="223"/>
      <c r="H296" s="223"/>
    </row>
    <row r="297">
      <c r="A297" s="223"/>
      <c r="B297" s="223"/>
      <c r="C297" s="223"/>
      <c r="D297" s="223"/>
      <c r="E297" s="223"/>
      <c r="F297" s="223"/>
      <c r="G297" s="223"/>
      <c r="H297" s="223"/>
    </row>
    <row r="298">
      <c r="A298" s="223"/>
      <c r="B298" s="223"/>
      <c r="C298" s="223"/>
      <c r="D298" s="223"/>
      <c r="E298" s="223"/>
      <c r="F298" s="223"/>
      <c r="G298" s="223"/>
      <c r="H298" s="223"/>
    </row>
    <row r="299">
      <c r="A299" s="223"/>
      <c r="B299" s="223"/>
      <c r="C299" s="223"/>
      <c r="D299" s="223"/>
      <c r="E299" s="223"/>
      <c r="F299" s="223"/>
      <c r="G299" s="223"/>
      <c r="H299" s="223"/>
    </row>
    <row r="300">
      <c r="A300" s="223"/>
      <c r="B300" s="223"/>
      <c r="C300" s="223"/>
      <c r="D300" s="223"/>
      <c r="E300" s="223"/>
      <c r="F300" s="223"/>
      <c r="G300" s="223"/>
      <c r="H300" s="223"/>
    </row>
    <row r="301">
      <c r="A301" s="223"/>
      <c r="B301" s="223"/>
      <c r="C301" s="223"/>
      <c r="D301" s="223"/>
      <c r="E301" s="223"/>
      <c r="F301" s="223"/>
      <c r="G301" s="223"/>
      <c r="H301" s="223"/>
    </row>
    <row r="302">
      <c r="A302" s="223"/>
      <c r="B302" s="223"/>
      <c r="C302" s="223"/>
      <c r="D302" s="223"/>
      <c r="E302" s="223"/>
      <c r="F302" s="223"/>
      <c r="G302" s="223"/>
      <c r="H302" s="223"/>
    </row>
    <row r="303">
      <c r="A303" s="223"/>
      <c r="B303" s="223"/>
      <c r="C303" s="223"/>
      <c r="D303" s="223"/>
      <c r="E303" s="223"/>
      <c r="F303" s="223"/>
      <c r="G303" s="223"/>
      <c r="H303" s="223"/>
    </row>
    <row r="304">
      <c r="A304" s="223"/>
      <c r="B304" s="223"/>
      <c r="C304" s="223"/>
      <c r="D304" s="223"/>
      <c r="E304" s="223"/>
      <c r="F304" s="223"/>
      <c r="G304" s="223"/>
      <c r="H304" s="223"/>
    </row>
    <row r="305">
      <c r="A305" s="223"/>
      <c r="B305" s="223"/>
      <c r="C305" s="223"/>
      <c r="D305" s="223"/>
      <c r="E305" s="223"/>
      <c r="F305" s="223"/>
      <c r="G305" s="223"/>
      <c r="H305" s="223"/>
    </row>
    <row r="306">
      <c r="A306" s="223"/>
      <c r="B306" s="223"/>
      <c r="C306" s="223"/>
      <c r="D306" s="223"/>
      <c r="E306" s="223"/>
      <c r="F306" s="223"/>
      <c r="G306" s="223"/>
      <c r="H306" s="223"/>
    </row>
    <row r="307">
      <c r="A307" s="223"/>
      <c r="B307" s="223"/>
      <c r="C307" s="223"/>
      <c r="D307" s="223"/>
      <c r="E307" s="223"/>
      <c r="F307" s="223"/>
      <c r="G307" s="223"/>
      <c r="H307" s="223"/>
    </row>
    <row r="308">
      <c r="A308" s="223"/>
      <c r="B308" s="223"/>
      <c r="C308" s="223"/>
      <c r="D308" s="223"/>
      <c r="E308" s="223"/>
      <c r="F308" s="223"/>
      <c r="G308" s="223"/>
      <c r="H308" s="223"/>
    </row>
    <row r="309">
      <c r="A309" s="223"/>
      <c r="B309" s="223"/>
      <c r="C309" s="223"/>
      <c r="D309" s="223"/>
      <c r="E309" s="223"/>
      <c r="F309" s="223"/>
      <c r="G309" s="223"/>
      <c r="H309" s="223"/>
    </row>
    <row r="310">
      <c r="A310" s="223"/>
      <c r="B310" s="223"/>
      <c r="C310" s="223"/>
      <c r="D310" s="223"/>
      <c r="E310" s="223"/>
      <c r="F310" s="223"/>
      <c r="G310" s="223"/>
      <c r="H310" s="223"/>
    </row>
    <row r="311">
      <c r="A311" s="223"/>
      <c r="B311" s="223"/>
      <c r="C311" s="223"/>
      <c r="D311" s="223"/>
      <c r="E311" s="223"/>
      <c r="F311" s="223"/>
      <c r="G311" s="223"/>
      <c r="H311" s="223"/>
    </row>
    <row r="312">
      <c r="A312" s="223"/>
      <c r="B312" s="223"/>
      <c r="C312" s="223"/>
      <c r="D312" s="223"/>
      <c r="E312" s="223"/>
      <c r="F312" s="223"/>
      <c r="G312" s="223"/>
      <c r="H312" s="223"/>
    </row>
    <row r="313">
      <c r="A313" s="223"/>
      <c r="B313" s="223"/>
      <c r="C313" s="223"/>
      <c r="D313" s="223"/>
      <c r="E313" s="223"/>
      <c r="F313" s="223"/>
      <c r="G313" s="223"/>
      <c r="H313" s="223"/>
    </row>
    <row r="314">
      <c r="A314" s="223"/>
      <c r="B314" s="223"/>
      <c r="C314" s="223"/>
      <c r="D314" s="223"/>
      <c r="E314" s="223"/>
      <c r="F314" s="223"/>
      <c r="G314" s="223"/>
      <c r="H314" s="223"/>
    </row>
    <row r="315">
      <c r="A315" s="223"/>
      <c r="B315" s="223"/>
      <c r="C315" s="223"/>
      <c r="D315" s="223"/>
      <c r="E315" s="223"/>
      <c r="F315" s="223"/>
      <c r="G315" s="223"/>
      <c r="H315" s="223"/>
    </row>
    <row r="316">
      <c r="A316" s="223"/>
      <c r="B316" s="223"/>
      <c r="C316" s="223"/>
      <c r="D316" s="223"/>
      <c r="E316" s="223"/>
      <c r="F316" s="223"/>
      <c r="G316" s="223"/>
      <c r="H316" s="223"/>
    </row>
    <row r="317">
      <c r="A317" s="223"/>
      <c r="B317" s="223"/>
      <c r="C317" s="223"/>
      <c r="D317" s="223"/>
      <c r="E317" s="223"/>
      <c r="F317" s="223"/>
      <c r="G317" s="223"/>
      <c r="H317" s="223"/>
    </row>
    <row r="318">
      <c r="A318" s="223"/>
      <c r="B318" s="223"/>
      <c r="C318" s="223"/>
      <c r="D318" s="223"/>
      <c r="E318" s="223"/>
      <c r="F318" s="223"/>
      <c r="G318" s="223"/>
      <c r="H318" s="223"/>
    </row>
    <row r="319">
      <c r="A319" s="223"/>
      <c r="B319" s="223"/>
      <c r="C319" s="223"/>
      <c r="D319" s="223"/>
      <c r="E319" s="223"/>
      <c r="F319" s="223"/>
      <c r="G319" s="223"/>
      <c r="H319" s="223"/>
    </row>
    <row r="320">
      <c r="A320" s="223"/>
      <c r="B320" s="223"/>
      <c r="C320" s="223"/>
      <c r="D320" s="223"/>
      <c r="E320" s="223"/>
      <c r="F320" s="223"/>
      <c r="G320" s="223"/>
      <c r="H320" s="223"/>
    </row>
    <row r="321">
      <c r="A321" s="223"/>
      <c r="B321" s="223"/>
      <c r="C321" s="223"/>
      <c r="D321" s="223"/>
      <c r="E321" s="223"/>
      <c r="F321" s="223"/>
      <c r="G321" s="223"/>
      <c r="H321" s="223"/>
    </row>
    <row r="322">
      <c r="A322" s="223"/>
      <c r="B322" s="223"/>
      <c r="C322" s="223"/>
      <c r="D322" s="223"/>
      <c r="E322" s="223"/>
      <c r="F322" s="223"/>
      <c r="G322" s="223"/>
      <c r="H322" s="223"/>
    </row>
    <row r="323">
      <c r="A323" s="223"/>
      <c r="B323" s="223"/>
      <c r="C323" s="223"/>
      <c r="D323" s="223"/>
      <c r="E323" s="223"/>
      <c r="F323" s="223"/>
      <c r="G323" s="223"/>
      <c r="H323" s="223"/>
    </row>
    <row r="324">
      <c r="A324" s="223"/>
      <c r="B324" s="223"/>
      <c r="C324" s="223"/>
      <c r="D324" s="223"/>
      <c r="E324" s="223"/>
      <c r="F324" s="223"/>
      <c r="G324" s="223"/>
      <c r="H324" s="223"/>
    </row>
    <row r="325">
      <c r="A325" s="223"/>
      <c r="B325" s="223"/>
      <c r="C325" s="223"/>
      <c r="D325" s="223"/>
      <c r="E325" s="223"/>
      <c r="F325" s="223"/>
      <c r="G325" s="223"/>
      <c r="H325" s="223"/>
    </row>
    <row r="326">
      <c r="A326" s="223"/>
      <c r="B326" s="223"/>
      <c r="C326" s="223"/>
      <c r="D326" s="223"/>
      <c r="E326" s="223"/>
      <c r="F326" s="223"/>
      <c r="G326" s="223"/>
      <c r="H326" s="223"/>
    </row>
    <row r="327">
      <c r="A327" s="223"/>
      <c r="B327" s="223"/>
      <c r="C327" s="223"/>
      <c r="D327" s="223"/>
      <c r="E327" s="223"/>
      <c r="F327" s="223"/>
      <c r="G327" s="223"/>
      <c r="H327" s="223"/>
    </row>
    <row r="328">
      <c r="A328" s="223"/>
      <c r="B328" s="223"/>
      <c r="C328" s="223"/>
      <c r="D328" s="223"/>
      <c r="E328" s="223"/>
      <c r="F328" s="223"/>
      <c r="G328" s="223"/>
      <c r="H328" s="223"/>
    </row>
    <row r="329">
      <c r="A329" s="223"/>
      <c r="B329" s="223"/>
      <c r="C329" s="223"/>
      <c r="D329" s="223"/>
      <c r="E329" s="223"/>
      <c r="F329" s="223"/>
      <c r="G329" s="223"/>
      <c r="H329" s="223"/>
    </row>
    <row r="330">
      <c r="A330" s="223"/>
      <c r="B330" s="223"/>
      <c r="C330" s="223"/>
      <c r="D330" s="223"/>
      <c r="E330" s="223"/>
      <c r="F330" s="223"/>
      <c r="G330" s="223"/>
      <c r="H330" s="223"/>
    </row>
    <row r="331">
      <c r="A331" s="223"/>
      <c r="B331" s="223"/>
      <c r="C331" s="223"/>
      <c r="D331" s="223"/>
      <c r="E331" s="223"/>
      <c r="F331" s="223"/>
      <c r="G331" s="223"/>
      <c r="H331" s="223"/>
    </row>
    <row r="332">
      <c r="A332" s="223"/>
      <c r="B332" s="223"/>
      <c r="C332" s="223"/>
      <c r="D332" s="223"/>
      <c r="E332" s="223"/>
      <c r="F332" s="223"/>
      <c r="G332" s="223"/>
      <c r="H332" s="223"/>
    </row>
    <row r="333">
      <c r="A333" s="223"/>
      <c r="B333" s="223"/>
      <c r="C333" s="223"/>
      <c r="D333" s="223"/>
      <c r="E333" s="223"/>
      <c r="F333" s="223"/>
      <c r="G333" s="223"/>
      <c r="H333" s="223"/>
    </row>
    <row r="334">
      <c r="A334" s="223"/>
      <c r="B334" s="223"/>
      <c r="C334" s="223"/>
      <c r="D334" s="223"/>
      <c r="E334" s="223"/>
      <c r="F334" s="223"/>
      <c r="G334" s="223"/>
      <c r="H334" s="223"/>
    </row>
    <row r="335">
      <c r="A335" s="223"/>
      <c r="B335" s="223"/>
      <c r="C335" s="223"/>
      <c r="D335" s="223"/>
      <c r="E335" s="223"/>
      <c r="F335" s="223"/>
      <c r="G335" s="223"/>
      <c r="H335" s="223"/>
    </row>
    <row r="336">
      <c r="A336" s="223"/>
      <c r="B336" s="223"/>
      <c r="C336" s="223"/>
      <c r="D336" s="223"/>
      <c r="E336" s="223"/>
      <c r="F336" s="223"/>
      <c r="G336" s="223"/>
      <c r="H336" s="223"/>
    </row>
    <row r="337">
      <c r="A337" s="223"/>
      <c r="B337" s="223"/>
      <c r="C337" s="223"/>
      <c r="D337" s="223"/>
      <c r="E337" s="223"/>
      <c r="F337" s="223"/>
      <c r="G337" s="223"/>
      <c r="H337" s="223"/>
    </row>
    <row r="338">
      <c r="A338" s="223"/>
      <c r="B338" s="223"/>
      <c r="C338" s="223"/>
      <c r="D338" s="223"/>
      <c r="E338" s="223"/>
      <c r="F338" s="223"/>
      <c r="G338" s="223"/>
      <c r="H338" s="223"/>
    </row>
    <row r="339">
      <c r="A339" s="223"/>
      <c r="B339" s="223"/>
      <c r="C339" s="223"/>
      <c r="D339" s="223"/>
      <c r="E339" s="223"/>
      <c r="F339" s="223"/>
      <c r="G339" s="223"/>
      <c r="H339" s="223"/>
    </row>
    <row r="340">
      <c r="A340" s="223"/>
      <c r="B340" s="223"/>
      <c r="C340" s="223"/>
      <c r="D340" s="223"/>
      <c r="E340" s="223"/>
      <c r="F340" s="223"/>
      <c r="G340" s="223"/>
      <c r="H340" s="223"/>
    </row>
    <row r="341">
      <c r="A341" s="223"/>
      <c r="B341" s="223"/>
      <c r="C341" s="223"/>
      <c r="D341" s="223"/>
      <c r="E341" s="223"/>
      <c r="F341" s="223"/>
      <c r="G341" s="223"/>
      <c r="H341" s="223"/>
    </row>
    <row r="342">
      <c r="A342" s="223"/>
      <c r="B342" s="223"/>
      <c r="C342" s="223"/>
      <c r="D342" s="223"/>
      <c r="E342" s="223"/>
      <c r="F342" s="223"/>
      <c r="G342" s="223"/>
      <c r="H342" s="223"/>
    </row>
    <row r="343">
      <c r="A343" s="223"/>
      <c r="B343" s="223"/>
      <c r="C343" s="223"/>
      <c r="D343" s="223"/>
      <c r="E343" s="223"/>
      <c r="F343" s="223"/>
      <c r="G343" s="223"/>
      <c r="H343" s="223"/>
    </row>
    <row r="344">
      <c r="A344" s="223"/>
      <c r="B344" s="223"/>
      <c r="C344" s="223"/>
      <c r="D344" s="223"/>
      <c r="E344" s="223"/>
      <c r="F344" s="223"/>
      <c r="G344" s="223"/>
      <c r="H344" s="223"/>
    </row>
    <row r="345">
      <c r="A345" s="223"/>
      <c r="B345" s="223"/>
      <c r="C345" s="223"/>
      <c r="D345" s="223"/>
      <c r="E345" s="223"/>
      <c r="F345" s="223"/>
      <c r="G345" s="223"/>
      <c r="H345" s="223"/>
    </row>
    <row r="346">
      <c r="A346" s="223"/>
      <c r="B346" s="223"/>
      <c r="C346" s="223"/>
      <c r="D346" s="223"/>
      <c r="E346" s="223"/>
      <c r="F346" s="223"/>
      <c r="G346" s="223"/>
      <c r="H346" s="223"/>
    </row>
    <row r="347">
      <c r="A347" s="223"/>
      <c r="B347" s="223"/>
      <c r="C347" s="223"/>
      <c r="D347" s="223"/>
      <c r="E347" s="223"/>
      <c r="F347" s="223"/>
      <c r="G347" s="223"/>
      <c r="H347" s="223"/>
    </row>
    <row r="348">
      <c r="A348" s="223"/>
      <c r="B348" s="223"/>
      <c r="C348" s="223"/>
      <c r="D348" s="223"/>
      <c r="E348" s="223"/>
      <c r="F348" s="223"/>
      <c r="G348" s="223"/>
      <c r="H348" s="223"/>
    </row>
    <row r="349">
      <c r="A349" s="223"/>
      <c r="B349" s="223"/>
      <c r="C349" s="223"/>
      <c r="D349" s="223"/>
      <c r="E349" s="223"/>
      <c r="F349" s="223"/>
      <c r="G349" s="223"/>
      <c r="H349" s="223"/>
    </row>
    <row r="350">
      <c r="A350" s="223"/>
      <c r="B350" s="223"/>
      <c r="C350" s="223"/>
      <c r="D350" s="223"/>
      <c r="E350" s="223"/>
      <c r="F350" s="223"/>
      <c r="G350" s="223"/>
      <c r="H350" s="223"/>
    </row>
    <row r="351">
      <c r="A351" s="223"/>
      <c r="B351" s="223"/>
      <c r="C351" s="223"/>
      <c r="D351" s="223"/>
      <c r="E351" s="223"/>
      <c r="F351" s="223"/>
      <c r="G351" s="223"/>
      <c r="H351" s="223"/>
    </row>
    <row r="352">
      <c r="A352" s="223"/>
      <c r="B352" s="223"/>
      <c r="C352" s="223"/>
      <c r="D352" s="223"/>
      <c r="E352" s="223"/>
      <c r="F352" s="223"/>
      <c r="G352" s="223"/>
      <c r="H352" s="223"/>
    </row>
    <row r="353">
      <c r="A353" s="223"/>
      <c r="B353" s="223"/>
      <c r="C353" s="223"/>
      <c r="D353" s="223"/>
      <c r="E353" s="223"/>
      <c r="F353" s="223"/>
      <c r="G353" s="223"/>
      <c r="H353" s="223"/>
    </row>
    <row r="354">
      <c r="A354" s="223"/>
      <c r="B354" s="223"/>
      <c r="C354" s="223"/>
      <c r="D354" s="223"/>
      <c r="E354" s="223"/>
      <c r="F354" s="223"/>
      <c r="G354" s="223"/>
      <c r="H354" s="223"/>
    </row>
    <row r="355">
      <c r="A355" s="223"/>
      <c r="B355" s="223"/>
      <c r="C355" s="223"/>
      <c r="D355" s="223"/>
      <c r="E355" s="223"/>
      <c r="F355" s="223"/>
      <c r="G355" s="223"/>
      <c r="H355" s="223"/>
    </row>
    <row r="356">
      <c r="A356" s="223"/>
      <c r="B356" s="223"/>
      <c r="C356" s="223"/>
      <c r="D356" s="223"/>
      <c r="E356" s="223"/>
      <c r="F356" s="223"/>
      <c r="G356" s="223"/>
      <c r="H356" s="223"/>
    </row>
    <row r="357">
      <c r="A357" s="223"/>
      <c r="B357" s="223"/>
      <c r="C357" s="223"/>
      <c r="D357" s="223"/>
      <c r="E357" s="223"/>
      <c r="F357" s="223"/>
      <c r="G357" s="223"/>
      <c r="H357" s="223"/>
    </row>
    <row r="358">
      <c r="A358" s="223"/>
      <c r="B358" s="223"/>
      <c r="C358" s="223"/>
      <c r="D358" s="223"/>
      <c r="E358" s="223"/>
      <c r="F358" s="223"/>
      <c r="G358" s="223"/>
      <c r="H358" s="223"/>
    </row>
    <row r="359">
      <c r="A359" s="223"/>
      <c r="B359" s="223"/>
      <c r="C359" s="223"/>
      <c r="D359" s="223"/>
      <c r="E359" s="223"/>
      <c r="F359" s="223"/>
      <c r="G359" s="223"/>
      <c r="H359" s="223"/>
    </row>
    <row r="360">
      <c r="A360" s="223"/>
      <c r="B360" s="223"/>
      <c r="C360" s="223"/>
      <c r="D360" s="223"/>
      <c r="E360" s="223"/>
      <c r="F360" s="223"/>
      <c r="G360" s="223"/>
      <c r="H360" s="223"/>
    </row>
    <row r="361">
      <c r="A361" s="223"/>
      <c r="B361" s="223"/>
      <c r="C361" s="223"/>
      <c r="D361" s="223"/>
      <c r="E361" s="223"/>
      <c r="F361" s="223"/>
      <c r="G361" s="223"/>
      <c r="H361" s="223"/>
    </row>
    <row r="362">
      <c r="A362" s="223"/>
      <c r="B362" s="223"/>
      <c r="C362" s="223"/>
      <c r="D362" s="223"/>
      <c r="E362" s="223"/>
      <c r="F362" s="223"/>
      <c r="G362" s="223"/>
      <c r="H362" s="223"/>
    </row>
    <row r="363">
      <c r="A363" s="223"/>
      <c r="B363" s="223"/>
      <c r="C363" s="223"/>
      <c r="D363" s="223"/>
      <c r="E363" s="223"/>
      <c r="F363" s="223"/>
      <c r="G363" s="223"/>
      <c r="H363" s="223"/>
    </row>
    <row r="364">
      <c r="A364" s="223"/>
      <c r="B364" s="223"/>
      <c r="C364" s="223"/>
      <c r="D364" s="223"/>
      <c r="E364" s="223"/>
      <c r="F364" s="223"/>
      <c r="G364" s="223"/>
      <c r="H364" s="223"/>
    </row>
    <row r="365">
      <c r="A365" s="223"/>
      <c r="B365" s="223"/>
      <c r="C365" s="223"/>
      <c r="D365" s="223"/>
      <c r="E365" s="223"/>
      <c r="F365" s="223"/>
      <c r="G365" s="223"/>
      <c r="H365" s="223"/>
    </row>
    <row r="366">
      <c r="A366" s="223"/>
      <c r="B366" s="223"/>
      <c r="C366" s="223"/>
      <c r="D366" s="223"/>
      <c r="E366" s="223"/>
      <c r="F366" s="223"/>
      <c r="G366" s="223"/>
      <c r="H366" s="223"/>
    </row>
    <row r="367">
      <c r="A367" s="223"/>
      <c r="B367" s="223"/>
      <c r="C367" s="223"/>
      <c r="D367" s="223"/>
      <c r="E367" s="223"/>
      <c r="F367" s="223"/>
      <c r="G367" s="223"/>
      <c r="H367" s="223"/>
    </row>
    <row r="368">
      <c r="A368" s="223"/>
      <c r="B368" s="223"/>
      <c r="C368" s="223"/>
      <c r="D368" s="223"/>
      <c r="E368" s="223"/>
      <c r="F368" s="223"/>
      <c r="G368" s="223"/>
      <c r="H368" s="223"/>
    </row>
    <row r="369">
      <c r="A369" s="223"/>
      <c r="B369" s="223"/>
      <c r="C369" s="223"/>
      <c r="D369" s="223"/>
      <c r="E369" s="223"/>
      <c r="F369" s="223"/>
      <c r="G369" s="223"/>
      <c r="H369" s="223"/>
    </row>
    <row r="370">
      <c r="A370" s="223"/>
      <c r="B370" s="223"/>
      <c r="C370" s="223"/>
      <c r="D370" s="223"/>
      <c r="E370" s="223"/>
      <c r="F370" s="223"/>
      <c r="G370" s="223"/>
      <c r="H370" s="223"/>
    </row>
    <row r="371">
      <c r="A371" s="223"/>
      <c r="B371" s="223"/>
      <c r="C371" s="223"/>
      <c r="D371" s="223"/>
      <c r="E371" s="223"/>
      <c r="F371" s="223"/>
      <c r="G371" s="223"/>
      <c r="H371" s="223"/>
    </row>
    <row r="372">
      <c r="A372" s="223"/>
      <c r="B372" s="223"/>
      <c r="C372" s="223"/>
      <c r="D372" s="223"/>
      <c r="E372" s="223"/>
      <c r="F372" s="223"/>
      <c r="G372" s="223"/>
      <c r="H372" s="223"/>
    </row>
    <row r="373">
      <c r="A373" s="223"/>
      <c r="B373" s="223"/>
      <c r="C373" s="223"/>
      <c r="D373" s="223"/>
      <c r="E373" s="223"/>
      <c r="F373" s="223"/>
      <c r="G373" s="223"/>
      <c r="H373" s="223"/>
    </row>
    <row r="374">
      <c r="A374" s="223"/>
      <c r="B374" s="223"/>
      <c r="C374" s="223"/>
      <c r="D374" s="223"/>
      <c r="E374" s="223"/>
      <c r="F374" s="223"/>
      <c r="G374" s="223"/>
      <c r="H374" s="223"/>
    </row>
    <row r="375">
      <c r="A375" s="223"/>
      <c r="B375" s="223"/>
      <c r="C375" s="223"/>
      <c r="D375" s="223"/>
      <c r="E375" s="223"/>
      <c r="F375" s="223"/>
      <c r="G375" s="223"/>
      <c r="H375" s="223"/>
    </row>
    <row r="376">
      <c r="A376" s="223"/>
      <c r="B376" s="223"/>
      <c r="C376" s="223"/>
      <c r="D376" s="223"/>
      <c r="E376" s="223"/>
      <c r="F376" s="223"/>
      <c r="G376" s="223"/>
      <c r="H376" s="223"/>
    </row>
    <row r="377">
      <c r="A377" s="223"/>
      <c r="B377" s="223"/>
      <c r="C377" s="223"/>
      <c r="D377" s="223"/>
      <c r="E377" s="223"/>
      <c r="F377" s="223"/>
      <c r="G377" s="223"/>
      <c r="H377" s="223"/>
    </row>
    <row r="378">
      <c r="A378" s="223"/>
      <c r="B378" s="223"/>
      <c r="C378" s="223"/>
      <c r="D378" s="223"/>
      <c r="E378" s="223"/>
      <c r="F378" s="223"/>
      <c r="G378" s="223"/>
      <c r="H378" s="223"/>
    </row>
    <row r="379">
      <c r="A379" s="223"/>
      <c r="B379" s="223"/>
      <c r="C379" s="223"/>
      <c r="D379" s="223"/>
      <c r="E379" s="223"/>
      <c r="F379" s="223"/>
      <c r="G379" s="223"/>
      <c r="H379" s="223"/>
    </row>
    <row r="380">
      <c r="A380" s="223"/>
      <c r="B380" s="223"/>
      <c r="C380" s="223"/>
      <c r="D380" s="223"/>
      <c r="E380" s="223"/>
      <c r="F380" s="223"/>
      <c r="G380" s="223"/>
      <c r="H380" s="223"/>
    </row>
    <row r="381">
      <c r="A381" s="223"/>
      <c r="B381" s="223"/>
      <c r="C381" s="223"/>
      <c r="D381" s="223"/>
      <c r="E381" s="223"/>
      <c r="F381" s="223"/>
      <c r="G381" s="223"/>
      <c r="H381" s="223"/>
    </row>
    <row r="382">
      <c r="A382" s="223"/>
      <c r="B382" s="223"/>
      <c r="C382" s="223"/>
      <c r="D382" s="223"/>
      <c r="E382" s="223"/>
      <c r="F382" s="223"/>
      <c r="G382" s="223"/>
      <c r="H382" s="223"/>
    </row>
    <row r="383">
      <c r="A383" s="223"/>
      <c r="B383" s="223"/>
      <c r="C383" s="223"/>
      <c r="D383" s="223"/>
      <c r="E383" s="223"/>
      <c r="F383" s="223"/>
      <c r="G383" s="223"/>
      <c r="H383" s="223"/>
    </row>
    <row r="384">
      <c r="A384" s="223"/>
      <c r="B384" s="223"/>
      <c r="C384" s="223"/>
      <c r="D384" s="223"/>
      <c r="E384" s="223"/>
      <c r="F384" s="223"/>
      <c r="G384" s="223"/>
      <c r="H384" s="223"/>
    </row>
    <row r="385">
      <c r="A385" s="223"/>
      <c r="B385" s="223"/>
      <c r="C385" s="223"/>
      <c r="D385" s="223"/>
      <c r="E385" s="223"/>
      <c r="F385" s="223"/>
      <c r="G385" s="223"/>
      <c r="H385" s="223"/>
    </row>
    <row r="386">
      <c r="A386" s="223"/>
      <c r="B386" s="223"/>
      <c r="C386" s="223"/>
      <c r="D386" s="223"/>
      <c r="E386" s="223"/>
      <c r="F386" s="223"/>
      <c r="G386" s="223"/>
      <c r="H386" s="223"/>
    </row>
    <row r="387">
      <c r="A387" s="223"/>
      <c r="B387" s="223"/>
      <c r="C387" s="223"/>
      <c r="D387" s="223"/>
      <c r="E387" s="223"/>
      <c r="F387" s="223"/>
      <c r="G387" s="223"/>
      <c r="H387" s="223"/>
    </row>
    <row r="388">
      <c r="A388" s="223"/>
      <c r="B388" s="223"/>
      <c r="C388" s="223"/>
      <c r="D388" s="223"/>
      <c r="E388" s="223"/>
      <c r="F388" s="223"/>
      <c r="G388" s="223"/>
      <c r="H388" s="223"/>
    </row>
    <row r="389">
      <c r="A389" s="223"/>
      <c r="B389" s="223"/>
      <c r="C389" s="223"/>
      <c r="D389" s="223"/>
      <c r="E389" s="223"/>
      <c r="F389" s="223"/>
      <c r="G389" s="223"/>
      <c r="H389" s="223"/>
    </row>
    <row r="390">
      <c r="A390" s="223"/>
      <c r="B390" s="223"/>
      <c r="C390" s="223"/>
      <c r="D390" s="223"/>
      <c r="E390" s="223"/>
      <c r="F390" s="223"/>
      <c r="G390" s="223"/>
      <c r="H390" s="223"/>
    </row>
    <row r="391">
      <c r="A391" s="223"/>
      <c r="B391" s="223"/>
      <c r="C391" s="223"/>
      <c r="D391" s="223"/>
      <c r="E391" s="223"/>
      <c r="F391" s="223"/>
      <c r="G391" s="223"/>
      <c r="H391" s="223"/>
    </row>
    <row r="392">
      <c r="A392" s="223"/>
      <c r="B392" s="223"/>
      <c r="C392" s="223"/>
      <c r="D392" s="223"/>
      <c r="E392" s="223"/>
      <c r="F392" s="223"/>
      <c r="G392" s="223"/>
      <c r="H392" s="223"/>
    </row>
    <row r="393">
      <c r="A393" s="223"/>
      <c r="B393" s="223"/>
      <c r="C393" s="223"/>
      <c r="D393" s="223"/>
      <c r="E393" s="223"/>
      <c r="F393" s="223"/>
      <c r="G393" s="223"/>
      <c r="H393" s="223"/>
    </row>
    <row r="394">
      <c r="A394" s="223"/>
      <c r="B394" s="223"/>
      <c r="C394" s="223"/>
      <c r="D394" s="223"/>
      <c r="E394" s="223"/>
      <c r="F394" s="223"/>
      <c r="G394" s="223"/>
      <c r="H394" s="223"/>
    </row>
    <row r="395">
      <c r="A395" s="223"/>
      <c r="B395" s="223"/>
      <c r="C395" s="223"/>
      <c r="D395" s="223"/>
      <c r="E395" s="223"/>
      <c r="F395" s="223"/>
      <c r="G395" s="223"/>
      <c r="H395" s="223"/>
    </row>
    <row r="396">
      <c r="A396" s="223"/>
      <c r="B396" s="223"/>
      <c r="C396" s="223"/>
      <c r="D396" s="223"/>
      <c r="E396" s="223"/>
      <c r="F396" s="223"/>
      <c r="G396" s="223"/>
      <c r="H396" s="223"/>
    </row>
    <row r="397">
      <c r="A397" s="223"/>
      <c r="B397" s="223"/>
      <c r="C397" s="223"/>
      <c r="D397" s="223"/>
      <c r="E397" s="223"/>
      <c r="F397" s="223"/>
      <c r="G397" s="223"/>
      <c r="H397" s="223"/>
    </row>
    <row r="398">
      <c r="A398" s="223"/>
      <c r="B398" s="223"/>
      <c r="C398" s="223"/>
      <c r="D398" s="223"/>
      <c r="E398" s="223"/>
      <c r="F398" s="223"/>
      <c r="G398" s="223"/>
      <c r="H398" s="223"/>
    </row>
    <row r="399">
      <c r="A399" s="223"/>
      <c r="B399" s="223"/>
      <c r="C399" s="223"/>
      <c r="D399" s="223"/>
      <c r="E399" s="223"/>
      <c r="F399" s="223"/>
      <c r="G399" s="223"/>
      <c r="H399" s="223"/>
    </row>
    <row r="400">
      <c r="A400" s="223"/>
      <c r="B400" s="223"/>
      <c r="C400" s="223"/>
      <c r="D400" s="223"/>
      <c r="E400" s="223"/>
      <c r="F400" s="223"/>
      <c r="G400" s="223"/>
      <c r="H400" s="223"/>
    </row>
    <row r="401">
      <c r="A401" s="223"/>
      <c r="B401" s="223"/>
      <c r="C401" s="223"/>
      <c r="D401" s="223"/>
      <c r="E401" s="223"/>
      <c r="F401" s="223"/>
      <c r="G401" s="223"/>
      <c r="H401" s="223"/>
    </row>
    <row r="402">
      <c r="A402" s="223"/>
      <c r="B402" s="223"/>
      <c r="C402" s="223"/>
      <c r="D402" s="223"/>
      <c r="E402" s="223"/>
      <c r="F402" s="223"/>
      <c r="G402" s="223"/>
      <c r="H402" s="223"/>
    </row>
    <row r="403">
      <c r="A403" s="223"/>
      <c r="B403" s="223"/>
      <c r="C403" s="223"/>
      <c r="D403" s="223"/>
      <c r="E403" s="223"/>
      <c r="F403" s="223"/>
      <c r="G403" s="223"/>
      <c r="H403" s="223"/>
    </row>
    <row r="404">
      <c r="A404" s="223"/>
      <c r="B404" s="223"/>
      <c r="C404" s="223"/>
      <c r="D404" s="223"/>
      <c r="E404" s="223"/>
      <c r="F404" s="223"/>
      <c r="G404" s="223"/>
      <c r="H404" s="223"/>
    </row>
    <row r="405">
      <c r="A405" s="223"/>
      <c r="B405" s="223"/>
      <c r="C405" s="223"/>
      <c r="D405" s="223"/>
      <c r="E405" s="223"/>
      <c r="F405" s="223"/>
      <c r="G405" s="223"/>
      <c r="H405" s="223"/>
    </row>
    <row r="406">
      <c r="A406" s="223"/>
      <c r="B406" s="223"/>
      <c r="C406" s="223"/>
      <c r="D406" s="223"/>
      <c r="E406" s="223"/>
      <c r="F406" s="223"/>
      <c r="G406" s="223"/>
      <c r="H406" s="223"/>
    </row>
    <row r="407">
      <c r="A407" s="223"/>
      <c r="B407" s="223"/>
      <c r="C407" s="223"/>
      <c r="D407" s="223"/>
      <c r="E407" s="223"/>
      <c r="F407" s="223"/>
      <c r="G407" s="223"/>
      <c r="H407" s="223"/>
    </row>
    <row r="408">
      <c r="A408" s="223"/>
      <c r="B408" s="223"/>
      <c r="C408" s="223"/>
      <c r="D408" s="223"/>
      <c r="E408" s="223"/>
      <c r="F408" s="223"/>
      <c r="G408" s="223"/>
      <c r="H408" s="223"/>
    </row>
    <row r="409">
      <c r="A409" s="223"/>
      <c r="B409" s="223"/>
      <c r="C409" s="223"/>
      <c r="D409" s="223"/>
      <c r="E409" s="223"/>
      <c r="F409" s="223"/>
      <c r="G409" s="223"/>
      <c r="H409" s="223"/>
    </row>
    <row r="410">
      <c r="A410" s="223"/>
      <c r="B410" s="223"/>
      <c r="C410" s="223"/>
      <c r="D410" s="223"/>
      <c r="E410" s="223"/>
      <c r="F410" s="223"/>
      <c r="G410" s="223"/>
      <c r="H410" s="223"/>
    </row>
    <row r="411">
      <c r="A411" s="223"/>
      <c r="B411" s="223"/>
      <c r="C411" s="223"/>
      <c r="D411" s="223"/>
      <c r="E411" s="223"/>
      <c r="F411" s="223"/>
      <c r="G411" s="223"/>
      <c r="H411" s="223"/>
    </row>
    <row r="412">
      <c r="A412" s="223"/>
      <c r="B412" s="223"/>
      <c r="C412" s="223"/>
      <c r="D412" s="223"/>
      <c r="E412" s="223"/>
      <c r="F412" s="223"/>
      <c r="G412" s="223"/>
      <c r="H412" s="223"/>
    </row>
    <row r="413">
      <c r="A413" s="223"/>
      <c r="B413" s="223"/>
      <c r="C413" s="223"/>
      <c r="D413" s="223"/>
      <c r="E413" s="223"/>
      <c r="F413" s="223"/>
      <c r="G413" s="223"/>
      <c r="H413" s="223"/>
    </row>
    <row r="414">
      <c r="A414" s="223"/>
      <c r="B414" s="223"/>
      <c r="C414" s="223"/>
      <c r="D414" s="223"/>
      <c r="E414" s="223"/>
      <c r="F414" s="223"/>
      <c r="G414" s="223"/>
      <c r="H414" s="223"/>
    </row>
    <row r="415">
      <c r="A415" s="223"/>
      <c r="B415" s="223"/>
      <c r="C415" s="223"/>
      <c r="D415" s="223"/>
      <c r="E415" s="223"/>
      <c r="F415" s="223"/>
      <c r="G415" s="223"/>
      <c r="H415" s="223"/>
    </row>
    <row r="416">
      <c r="A416" s="223"/>
      <c r="B416" s="223"/>
      <c r="C416" s="223"/>
      <c r="D416" s="223"/>
      <c r="E416" s="223"/>
      <c r="F416" s="223"/>
      <c r="G416" s="223"/>
      <c r="H416" s="223"/>
    </row>
    <row r="417">
      <c r="A417" s="223"/>
      <c r="B417" s="223"/>
      <c r="C417" s="223"/>
      <c r="D417" s="223"/>
      <c r="E417" s="223"/>
      <c r="F417" s="223"/>
      <c r="G417" s="223"/>
      <c r="H417" s="223"/>
    </row>
    <row r="418">
      <c r="A418" s="223"/>
      <c r="B418" s="223"/>
      <c r="C418" s="223"/>
      <c r="D418" s="223"/>
      <c r="E418" s="223"/>
      <c r="F418" s="223"/>
      <c r="G418" s="223"/>
      <c r="H418" s="223"/>
    </row>
    <row r="419">
      <c r="A419" s="223"/>
      <c r="B419" s="223"/>
      <c r="C419" s="223"/>
      <c r="D419" s="223"/>
      <c r="E419" s="223"/>
      <c r="F419" s="223"/>
      <c r="G419" s="223"/>
      <c r="H419" s="223"/>
    </row>
    <row r="420">
      <c r="A420" s="223"/>
      <c r="B420" s="223"/>
      <c r="C420" s="223"/>
      <c r="D420" s="223"/>
      <c r="E420" s="223"/>
      <c r="F420" s="223"/>
      <c r="G420" s="223"/>
      <c r="H420" s="223"/>
    </row>
    <row r="421">
      <c r="A421" s="223"/>
      <c r="B421" s="223"/>
      <c r="C421" s="223"/>
      <c r="D421" s="223"/>
      <c r="E421" s="223"/>
      <c r="F421" s="223"/>
      <c r="G421" s="223"/>
      <c r="H421" s="223"/>
    </row>
    <row r="422">
      <c r="A422" s="223"/>
      <c r="B422" s="223"/>
      <c r="C422" s="223"/>
      <c r="D422" s="223"/>
      <c r="E422" s="223"/>
      <c r="F422" s="223"/>
      <c r="G422" s="223"/>
      <c r="H422" s="223"/>
    </row>
    <row r="423">
      <c r="A423" s="223"/>
      <c r="B423" s="223"/>
      <c r="C423" s="223"/>
      <c r="D423" s="223"/>
      <c r="E423" s="223"/>
      <c r="F423" s="223"/>
      <c r="G423" s="223"/>
      <c r="H423" s="223"/>
    </row>
    <row r="424">
      <c r="A424" s="223"/>
      <c r="B424" s="223"/>
      <c r="C424" s="223"/>
      <c r="D424" s="223"/>
      <c r="E424" s="223"/>
      <c r="F424" s="223"/>
      <c r="G424" s="223"/>
      <c r="H424" s="223"/>
    </row>
    <row r="425">
      <c r="A425" s="223"/>
      <c r="B425" s="223"/>
      <c r="C425" s="223"/>
      <c r="D425" s="223"/>
      <c r="E425" s="223"/>
      <c r="F425" s="223"/>
      <c r="G425" s="223"/>
      <c r="H425" s="223"/>
    </row>
    <row r="426">
      <c r="A426" s="223"/>
      <c r="B426" s="223"/>
      <c r="C426" s="223"/>
      <c r="D426" s="223"/>
      <c r="E426" s="223"/>
      <c r="F426" s="223"/>
      <c r="G426" s="223"/>
      <c r="H426" s="223"/>
    </row>
    <row r="427">
      <c r="A427" s="223"/>
      <c r="B427" s="223"/>
      <c r="C427" s="223"/>
      <c r="D427" s="223"/>
      <c r="E427" s="223"/>
      <c r="F427" s="223"/>
      <c r="G427" s="223"/>
      <c r="H427" s="223"/>
    </row>
    <row r="428">
      <c r="A428" s="223"/>
      <c r="B428" s="223"/>
      <c r="C428" s="223"/>
      <c r="D428" s="223"/>
      <c r="E428" s="223"/>
      <c r="F428" s="223"/>
      <c r="G428" s="223"/>
      <c r="H428" s="223"/>
    </row>
    <row r="429">
      <c r="A429" s="223"/>
      <c r="B429" s="223"/>
      <c r="C429" s="223"/>
      <c r="D429" s="223"/>
      <c r="E429" s="223"/>
      <c r="F429" s="223"/>
      <c r="G429" s="223"/>
      <c r="H429" s="223"/>
    </row>
    <row r="430">
      <c r="A430" s="223"/>
      <c r="B430" s="223"/>
      <c r="C430" s="223"/>
      <c r="D430" s="223"/>
      <c r="E430" s="223"/>
      <c r="F430" s="223"/>
      <c r="G430" s="223"/>
      <c r="H430" s="223"/>
    </row>
    <row r="431">
      <c r="A431" s="223"/>
      <c r="B431" s="223"/>
      <c r="C431" s="223"/>
      <c r="D431" s="223"/>
      <c r="E431" s="223"/>
      <c r="F431" s="223"/>
      <c r="G431" s="223"/>
      <c r="H431" s="223"/>
    </row>
    <row r="432">
      <c r="A432" s="223"/>
      <c r="B432" s="223"/>
      <c r="C432" s="223"/>
      <c r="D432" s="223"/>
      <c r="E432" s="223"/>
      <c r="F432" s="223"/>
      <c r="G432" s="223"/>
      <c r="H432" s="223"/>
    </row>
    <row r="433">
      <c r="A433" s="223"/>
      <c r="B433" s="223"/>
      <c r="C433" s="223"/>
      <c r="D433" s="223"/>
      <c r="E433" s="223"/>
      <c r="F433" s="223"/>
      <c r="G433" s="223"/>
      <c r="H433" s="223"/>
    </row>
    <row r="434">
      <c r="A434" s="223"/>
      <c r="B434" s="223"/>
      <c r="C434" s="223"/>
      <c r="D434" s="223"/>
      <c r="E434" s="223"/>
      <c r="F434" s="223"/>
      <c r="G434" s="223"/>
      <c r="H434" s="223"/>
    </row>
    <row r="435">
      <c r="A435" s="223"/>
      <c r="B435" s="223"/>
      <c r="C435" s="223"/>
      <c r="D435" s="223"/>
      <c r="E435" s="223"/>
      <c r="F435" s="223"/>
      <c r="G435" s="223"/>
      <c r="H435" s="223"/>
    </row>
    <row r="436">
      <c r="A436" s="223"/>
      <c r="B436" s="223"/>
      <c r="C436" s="223"/>
      <c r="D436" s="223"/>
      <c r="E436" s="223"/>
      <c r="F436" s="223"/>
      <c r="G436" s="223"/>
      <c r="H436" s="223"/>
    </row>
    <row r="437">
      <c r="A437" s="223"/>
      <c r="B437" s="223"/>
      <c r="C437" s="223"/>
      <c r="D437" s="223"/>
      <c r="E437" s="223"/>
      <c r="F437" s="223"/>
      <c r="G437" s="223"/>
      <c r="H437" s="223"/>
    </row>
    <row r="438">
      <c r="A438" s="223"/>
      <c r="B438" s="223"/>
      <c r="C438" s="223"/>
      <c r="D438" s="223"/>
      <c r="E438" s="223"/>
      <c r="F438" s="223"/>
      <c r="G438" s="223"/>
      <c r="H438" s="223"/>
    </row>
    <row r="439">
      <c r="A439" s="223"/>
      <c r="B439" s="223"/>
      <c r="C439" s="223"/>
      <c r="D439" s="223"/>
      <c r="E439" s="223"/>
      <c r="F439" s="223"/>
      <c r="G439" s="223"/>
      <c r="H439" s="223"/>
    </row>
    <row r="440">
      <c r="A440" s="223"/>
      <c r="B440" s="223"/>
      <c r="C440" s="223"/>
      <c r="D440" s="223"/>
      <c r="E440" s="223"/>
      <c r="F440" s="223"/>
      <c r="G440" s="223"/>
      <c r="H440" s="223"/>
    </row>
    <row r="441">
      <c r="A441" s="223"/>
      <c r="B441" s="223"/>
      <c r="C441" s="223"/>
      <c r="D441" s="223"/>
      <c r="E441" s="223"/>
      <c r="F441" s="223"/>
      <c r="G441" s="223"/>
      <c r="H441" s="223"/>
    </row>
    <row r="442">
      <c r="A442" s="223"/>
      <c r="B442" s="223"/>
      <c r="C442" s="223"/>
      <c r="D442" s="223"/>
      <c r="E442" s="223"/>
      <c r="F442" s="223"/>
      <c r="G442" s="223"/>
      <c r="H442" s="223"/>
    </row>
    <row r="443">
      <c r="A443" s="223"/>
      <c r="B443" s="223"/>
      <c r="C443" s="223"/>
      <c r="D443" s="223"/>
      <c r="E443" s="223"/>
      <c r="F443" s="223"/>
      <c r="G443" s="223"/>
      <c r="H443" s="223"/>
    </row>
    <row r="444">
      <c r="A444" s="223"/>
      <c r="B444" s="223"/>
      <c r="C444" s="223"/>
      <c r="D444" s="223"/>
      <c r="E444" s="223"/>
      <c r="F444" s="223"/>
      <c r="G444" s="223"/>
      <c r="H444" s="223"/>
    </row>
    <row r="445">
      <c r="A445" s="223"/>
      <c r="B445" s="223"/>
      <c r="C445" s="223"/>
      <c r="D445" s="223"/>
      <c r="E445" s="223"/>
      <c r="F445" s="223"/>
      <c r="G445" s="223"/>
      <c r="H445" s="223"/>
    </row>
    <row r="446">
      <c r="A446" s="223"/>
      <c r="B446" s="223"/>
      <c r="C446" s="223"/>
      <c r="D446" s="223"/>
      <c r="E446" s="223"/>
      <c r="F446" s="223"/>
      <c r="G446" s="223"/>
      <c r="H446" s="223"/>
    </row>
    <row r="447">
      <c r="A447" s="223"/>
      <c r="B447" s="223"/>
      <c r="C447" s="223"/>
      <c r="D447" s="223"/>
      <c r="E447" s="223"/>
      <c r="F447" s="223"/>
      <c r="G447" s="223"/>
      <c r="H447" s="223"/>
    </row>
    <row r="448">
      <c r="A448" s="223"/>
      <c r="B448" s="223"/>
      <c r="C448" s="223"/>
      <c r="D448" s="223"/>
      <c r="E448" s="223"/>
      <c r="F448" s="223"/>
      <c r="G448" s="223"/>
      <c r="H448" s="223"/>
    </row>
    <row r="449">
      <c r="A449" s="223"/>
      <c r="B449" s="223"/>
      <c r="C449" s="223"/>
      <c r="D449" s="223"/>
      <c r="E449" s="223"/>
      <c r="F449" s="223"/>
      <c r="G449" s="223"/>
      <c r="H449" s="223"/>
    </row>
    <row r="450">
      <c r="A450" s="223"/>
      <c r="B450" s="223"/>
      <c r="C450" s="223"/>
      <c r="D450" s="223"/>
      <c r="E450" s="223"/>
      <c r="F450" s="223"/>
      <c r="G450" s="223"/>
      <c r="H450" s="223"/>
    </row>
    <row r="451">
      <c r="A451" s="223"/>
      <c r="B451" s="223"/>
      <c r="C451" s="223"/>
      <c r="D451" s="223"/>
      <c r="E451" s="223"/>
      <c r="F451" s="223"/>
      <c r="G451" s="223"/>
      <c r="H451" s="223"/>
    </row>
    <row r="452">
      <c r="A452" s="223"/>
      <c r="B452" s="223"/>
      <c r="C452" s="223"/>
      <c r="D452" s="223"/>
      <c r="E452" s="223"/>
      <c r="F452" s="223"/>
      <c r="G452" s="223"/>
      <c r="H452" s="223"/>
    </row>
    <row r="453">
      <c r="A453" s="223"/>
      <c r="B453" s="223"/>
      <c r="C453" s="223"/>
      <c r="D453" s="223"/>
      <c r="E453" s="223"/>
      <c r="F453" s="223"/>
      <c r="G453" s="223"/>
      <c r="H453" s="223"/>
    </row>
    <row r="454">
      <c r="A454" s="223"/>
      <c r="B454" s="223"/>
      <c r="C454" s="223"/>
      <c r="D454" s="223"/>
      <c r="E454" s="223"/>
      <c r="F454" s="223"/>
      <c r="G454" s="223"/>
      <c r="H454" s="223"/>
    </row>
    <row r="455">
      <c r="A455" s="223"/>
      <c r="B455" s="223"/>
      <c r="C455" s="223"/>
      <c r="D455" s="223"/>
      <c r="E455" s="223"/>
      <c r="F455" s="223"/>
      <c r="G455" s="223"/>
      <c r="H455" s="223"/>
    </row>
    <row r="456">
      <c r="A456" s="223"/>
      <c r="B456" s="223"/>
      <c r="C456" s="223"/>
      <c r="D456" s="223"/>
      <c r="E456" s="223"/>
      <c r="F456" s="223"/>
      <c r="G456" s="223"/>
      <c r="H456" s="223"/>
    </row>
    <row r="457">
      <c r="A457" s="223"/>
      <c r="B457" s="223"/>
      <c r="C457" s="223"/>
      <c r="D457" s="223"/>
      <c r="E457" s="223"/>
      <c r="F457" s="223"/>
      <c r="G457" s="223"/>
      <c r="H457" s="223"/>
    </row>
    <row r="458">
      <c r="A458" s="223"/>
      <c r="B458" s="223"/>
      <c r="C458" s="223"/>
      <c r="D458" s="223"/>
      <c r="E458" s="223"/>
      <c r="F458" s="223"/>
      <c r="G458" s="223"/>
      <c r="H458" s="223"/>
    </row>
    <row r="459">
      <c r="A459" s="223"/>
      <c r="B459" s="223"/>
      <c r="C459" s="223"/>
      <c r="D459" s="223"/>
      <c r="E459" s="223"/>
      <c r="F459" s="223"/>
      <c r="G459" s="223"/>
      <c r="H459" s="223"/>
    </row>
    <row r="460">
      <c r="A460" s="223"/>
      <c r="B460" s="223"/>
      <c r="C460" s="223"/>
      <c r="D460" s="223"/>
      <c r="E460" s="223"/>
      <c r="F460" s="223"/>
      <c r="G460" s="223"/>
      <c r="H460" s="223"/>
    </row>
    <row r="461">
      <c r="A461" s="223"/>
      <c r="B461" s="223"/>
      <c r="C461" s="223"/>
      <c r="D461" s="223"/>
      <c r="E461" s="223"/>
      <c r="F461" s="223"/>
      <c r="G461" s="223"/>
      <c r="H461" s="223"/>
    </row>
    <row r="462">
      <c r="A462" s="223"/>
      <c r="B462" s="223"/>
      <c r="C462" s="223"/>
      <c r="D462" s="223"/>
      <c r="E462" s="223"/>
      <c r="F462" s="223"/>
      <c r="G462" s="223"/>
      <c r="H462" s="223"/>
    </row>
    <row r="463">
      <c r="A463" s="223"/>
      <c r="B463" s="223"/>
      <c r="C463" s="223"/>
      <c r="D463" s="223"/>
      <c r="E463" s="223"/>
      <c r="F463" s="223"/>
      <c r="G463" s="223"/>
      <c r="H463" s="223"/>
    </row>
    <row r="464">
      <c r="A464" s="223"/>
      <c r="B464" s="223"/>
      <c r="C464" s="223"/>
      <c r="D464" s="223"/>
      <c r="E464" s="223"/>
      <c r="F464" s="223"/>
      <c r="G464" s="223"/>
      <c r="H464" s="223"/>
    </row>
    <row r="465">
      <c r="A465" s="223"/>
      <c r="B465" s="223"/>
      <c r="C465" s="223"/>
      <c r="D465" s="223"/>
      <c r="E465" s="223"/>
      <c r="F465" s="223"/>
      <c r="G465" s="223"/>
      <c r="H465" s="223"/>
    </row>
    <row r="466">
      <c r="A466" s="223"/>
      <c r="B466" s="223"/>
      <c r="C466" s="223"/>
      <c r="D466" s="223"/>
      <c r="E466" s="223"/>
      <c r="F466" s="223"/>
      <c r="G466" s="223"/>
      <c r="H466" s="223"/>
    </row>
    <row r="467">
      <c r="A467" s="223"/>
      <c r="B467" s="223"/>
      <c r="C467" s="223"/>
      <c r="D467" s="223"/>
      <c r="E467" s="223"/>
      <c r="F467" s="223"/>
      <c r="G467" s="223"/>
      <c r="H467" s="223"/>
    </row>
    <row r="468">
      <c r="A468" s="223"/>
      <c r="B468" s="223"/>
      <c r="C468" s="223"/>
      <c r="D468" s="223"/>
      <c r="E468" s="223"/>
      <c r="F468" s="223"/>
      <c r="G468" s="223"/>
      <c r="H468" s="223"/>
    </row>
    <row r="469">
      <c r="A469" s="223"/>
      <c r="B469" s="223"/>
      <c r="C469" s="223"/>
      <c r="D469" s="223"/>
      <c r="E469" s="223"/>
      <c r="F469" s="223"/>
      <c r="G469" s="223"/>
      <c r="H469" s="223"/>
    </row>
    <row r="470">
      <c r="A470" s="223"/>
      <c r="B470" s="223"/>
      <c r="C470" s="223"/>
      <c r="D470" s="223"/>
      <c r="E470" s="223"/>
      <c r="F470" s="223"/>
      <c r="G470" s="223"/>
      <c r="H470" s="223"/>
    </row>
    <row r="471">
      <c r="A471" s="223"/>
      <c r="B471" s="223"/>
      <c r="C471" s="223"/>
      <c r="D471" s="223"/>
      <c r="E471" s="223"/>
      <c r="F471" s="223"/>
      <c r="G471" s="223"/>
      <c r="H471" s="223"/>
    </row>
    <row r="472">
      <c r="A472" s="223"/>
      <c r="B472" s="223"/>
      <c r="C472" s="223"/>
      <c r="D472" s="223"/>
      <c r="E472" s="223"/>
      <c r="F472" s="223"/>
      <c r="G472" s="223"/>
      <c r="H472" s="223"/>
    </row>
    <row r="473">
      <c r="A473" s="223"/>
      <c r="B473" s="223"/>
      <c r="C473" s="223"/>
      <c r="D473" s="223"/>
      <c r="E473" s="223"/>
      <c r="F473" s="223"/>
      <c r="G473" s="223"/>
      <c r="H473" s="223"/>
    </row>
    <row r="474">
      <c r="A474" s="223"/>
      <c r="B474" s="223"/>
      <c r="C474" s="223"/>
      <c r="D474" s="223"/>
      <c r="E474" s="223"/>
      <c r="F474" s="223"/>
      <c r="G474" s="223"/>
      <c r="H474" s="223"/>
    </row>
    <row r="475">
      <c r="A475" s="223"/>
      <c r="B475" s="223"/>
      <c r="C475" s="223"/>
      <c r="D475" s="223"/>
      <c r="E475" s="223"/>
      <c r="F475" s="223"/>
      <c r="G475" s="223"/>
      <c r="H475" s="223"/>
    </row>
    <row r="476">
      <c r="A476" s="223"/>
      <c r="B476" s="223"/>
      <c r="C476" s="223"/>
      <c r="D476" s="223"/>
      <c r="E476" s="223"/>
      <c r="F476" s="223"/>
      <c r="G476" s="223"/>
      <c r="H476" s="223"/>
    </row>
    <row r="477">
      <c r="A477" s="223"/>
      <c r="B477" s="223"/>
      <c r="C477" s="223"/>
      <c r="D477" s="223"/>
      <c r="E477" s="223"/>
      <c r="F477" s="223"/>
      <c r="G477" s="223"/>
      <c r="H477" s="223"/>
    </row>
    <row r="478">
      <c r="A478" s="223"/>
      <c r="B478" s="223"/>
      <c r="C478" s="223"/>
      <c r="D478" s="223"/>
      <c r="E478" s="223"/>
      <c r="F478" s="223"/>
      <c r="G478" s="223"/>
      <c r="H478" s="223"/>
    </row>
    <row r="479">
      <c r="A479" s="223"/>
      <c r="B479" s="223"/>
      <c r="C479" s="223"/>
      <c r="D479" s="223"/>
      <c r="E479" s="223"/>
      <c r="F479" s="223"/>
      <c r="G479" s="223"/>
      <c r="H479" s="223"/>
    </row>
    <row r="480">
      <c r="A480" s="223"/>
      <c r="B480" s="223"/>
      <c r="C480" s="223"/>
      <c r="D480" s="223"/>
      <c r="E480" s="223"/>
      <c r="F480" s="223"/>
      <c r="G480" s="223"/>
      <c r="H480" s="223"/>
    </row>
    <row r="481">
      <c r="A481" s="223"/>
      <c r="B481" s="223"/>
      <c r="C481" s="223"/>
      <c r="D481" s="223"/>
      <c r="E481" s="223"/>
      <c r="F481" s="223"/>
      <c r="G481" s="223"/>
      <c r="H481" s="223"/>
    </row>
    <row r="482">
      <c r="A482" s="223"/>
      <c r="B482" s="223"/>
      <c r="C482" s="223"/>
      <c r="D482" s="223"/>
      <c r="E482" s="223"/>
      <c r="F482" s="223"/>
      <c r="G482" s="223"/>
      <c r="H482" s="223"/>
    </row>
    <row r="483">
      <c r="A483" s="223"/>
      <c r="B483" s="223"/>
      <c r="C483" s="223"/>
      <c r="D483" s="223"/>
      <c r="E483" s="223"/>
      <c r="F483" s="223"/>
      <c r="G483" s="223"/>
      <c r="H483" s="223"/>
    </row>
    <row r="484">
      <c r="A484" s="223"/>
      <c r="B484" s="223"/>
      <c r="C484" s="223"/>
      <c r="D484" s="223"/>
      <c r="E484" s="223"/>
      <c r="F484" s="223"/>
      <c r="G484" s="223"/>
      <c r="H484" s="223"/>
    </row>
    <row r="485">
      <c r="A485" s="223"/>
      <c r="B485" s="223"/>
      <c r="C485" s="223"/>
      <c r="D485" s="223"/>
      <c r="E485" s="223"/>
      <c r="F485" s="223"/>
      <c r="G485" s="223"/>
      <c r="H485" s="223"/>
    </row>
    <row r="486">
      <c r="A486" s="223"/>
      <c r="B486" s="223"/>
      <c r="C486" s="223"/>
      <c r="D486" s="223"/>
      <c r="E486" s="223"/>
      <c r="F486" s="223"/>
      <c r="G486" s="223"/>
      <c r="H486" s="223"/>
    </row>
    <row r="487">
      <c r="A487" s="223"/>
      <c r="B487" s="223"/>
      <c r="C487" s="223"/>
      <c r="D487" s="223"/>
      <c r="E487" s="223"/>
      <c r="F487" s="223"/>
      <c r="G487" s="223"/>
      <c r="H487" s="223"/>
    </row>
    <row r="488">
      <c r="A488" s="223"/>
      <c r="B488" s="223"/>
      <c r="C488" s="223"/>
      <c r="D488" s="223"/>
      <c r="E488" s="223"/>
      <c r="F488" s="223"/>
      <c r="G488" s="223"/>
      <c r="H488" s="223"/>
    </row>
    <row r="489">
      <c r="A489" s="223"/>
      <c r="B489" s="223"/>
      <c r="C489" s="223"/>
      <c r="D489" s="223"/>
      <c r="E489" s="223"/>
      <c r="F489" s="223"/>
      <c r="G489" s="223"/>
      <c r="H489" s="223"/>
    </row>
    <row r="490">
      <c r="A490" s="223"/>
      <c r="B490" s="223"/>
      <c r="C490" s="223"/>
      <c r="D490" s="223"/>
      <c r="E490" s="223"/>
      <c r="F490" s="223"/>
      <c r="G490" s="223"/>
      <c r="H490" s="223"/>
    </row>
    <row r="491">
      <c r="A491" s="223"/>
      <c r="B491" s="223"/>
      <c r="C491" s="223"/>
      <c r="D491" s="223"/>
      <c r="E491" s="223"/>
      <c r="F491" s="223"/>
      <c r="G491" s="223"/>
      <c r="H491" s="223"/>
    </row>
    <row r="492">
      <c r="A492" s="223"/>
      <c r="B492" s="223"/>
      <c r="C492" s="223"/>
      <c r="D492" s="223"/>
      <c r="E492" s="223"/>
      <c r="F492" s="223"/>
      <c r="G492" s="223"/>
      <c r="H492" s="223"/>
    </row>
    <row r="493">
      <c r="A493" s="223"/>
      <c r="B493" s="223"/>
      <c r="C493" s="223"/>
      <c r="D493" s="223"/>
      <c r="E493" s="223"/>
      <c r="F493" s="223"/>
      <c r="G493" s="223"/>
      <c r="H493" s="223"/>
    </row>
    <row r="494">
      <c r="A494" s="223"/>
      <c r="B494" s="223"/>
      <c r="C494" s="223"/>
      <c r="D494" s="223"/>
      <c r="E494" s="223"/>
      <c r="F494" s="223"/>
      <c r="G494" s="223"/>
      <c r="H494" s="223"/>
    </row>
    <row r="495">
      <c r="A495" s="223"/>
      <c r="B495" s="223"/>
      <c r="C495" s="223"/>
      <c r="D495" s="223"/>
      <c r="E495" s="223"/>
      <c r="F495" s="223"/>
      <c r="G495" s="223"/>
      <c r="H495" s="223"/>
    </row>
    <row r="496">
      <c r="A496" s="223"/>
      <c r="B496" s="223"/>
      <c r="C496" s="223"/>
      <c r="D496" s="223"/>
      <c r="E496" s="223"/>
      <c r="F496" s="223"/>
      <c r="G496" s="223"/>
      <c r="H496" s="223"/>
    </row>
    <row r="497">
      <c r="A497" s="223"/>
      <c r="B497" s="223"/>
      <c r="C497" s="223"/>
      <c r="D497" s="223"/>
      <c r="E497" s="223"/>
      <c r="F497" s="223"/>
      <c r="G497" s="223"/>
      <c r="H497" s="223"/>
    </row>
    <row r="498">
      <c r="A498" s="223"/>
      <c r="B498" s="223"/>
      <c r="C498" s="223"/>
      <c r="D498" s="223"/>
      <c r="E498" s="223"/>
      <c r="F498" s="223"/>
      <c r="G498" s="223"/>
      <c r="H498" s="223"/>
    </row>
    <row r="499">
      <c r="A499" s="223"/>
      <c r="B499" s="223"/>
      <c r="C499" s="223"/>
      <c r="D499" s="223"/>
      <c r="E499" s="223"/>
      <c r="F499" s="223"/>
      <c r="G499" s="223"/>
      <c r="H499" s="223"/>
    </row>
    <row r="500">
      <c r="A500" s="223"/>
      <c r="B500" s="223"/>
      <c r="C500" s="223"/>
      <c r="D500" s="223"/>
      <c r="E500" s="223"/>
      <c r="F500" s="223"/>
      <c r="G500" s="223"/>
      <c r="H500" s="223"/>
    </row>
    <row r="501">
      <c r="A501" s="223"/>
      <c r="B501" s="223"/>
      <c r="C501" s="223"/>
      <c r="D501" s="223"/>
      <c r="E501" s="223"/>
      <c r="F501" s="223"/>
      <c r="G501" s="223"/>
      <c r="H501" s="223"/>
    </row>
    <row r="502">
      <c r="A502" s="223"/>
      <c r="B502" s="223"/>
      <c r="C502" s="223"/>
      <c r="D502" s="223"/>
      <c r="E502" s="223"/>
      <c r="F502" s="223"/>
      <c r="G502" s="223"/>
      <c r="H502" s="223"/>
    </row>
    <row r="503">
      <c r="A503" s="223"/>
      <c r="B503" s="223"/>
      <c r="C503" s="223"/>
      <c r="D503" s="223"/>
      <c r="E503" s="223"/>
      <c r="F503" s="223"/>
      <c r="G503" s="223"/>
      <c r="H503" s="223"/>
    </row>
    <row r="504">
      <c r="A504" s="223"/>
      <c r="B504" s="223"/>
      <c r="C504" s="223"/>
      <c r="D504" s="223"/>
      <c r="E504" s="223"/>
      <c r="F504" s="223"/>
      <c r="G504" s="223"/>
      <c r="H504" s="223"/>
    </row>
    <row r="505">
      <c r="A505" s="223"/>
      <c r="B505" s="223"/>
      <c r="C505" s="223"/>
      <c r="D505" s="223"/>
      <c r="E505" s="223"/>
      <c r="F505" s="223"/>
      <c r="G505" s="223"/>
      <c r="H505" s="223"/>
    </row>
    <row r="506">
      <c r="A506" s="223"/>
      <c r="B506" s="223"/>
      <c r="C506" s="223"/>
      <c r="D506" s="223"/>
      <c r="E506" s="223"/>
      <c r="F506" s="223"/>
      <c r="G506" s="223"/>
      <c r="H506" s="223"/>
    </row>
    <row r="507">
      <c r="A507" s="223"/>
      <c r="B507" s="223"/>
      <c r="C507" s="223"/>
      <c r="D507" s="223"/>
      <c r="E507" s="223"/>
      <c r="F507" s="223"/>
      <c r="G507" s="223"/>
      <c r="H507" s="223"/>
    </row>
    <row r="508">
      <c r="A508" s="223"/>
      <c r="B508" s="223"/>
      <c r="C508" s="223"/>
      <c r="D508" s="223"/>
      <c r="E508" s="223"/>
      <c r="F508" s="223"/>
      <c r="G508" s="223"/>
      <c r="H508" s="223"/>
    </row>
    <row r="509">
      <c r="A509" s="223"/>
      <c r="B509" s="223"/>
      <c r="C509" s="223"/>
      <c r="D509" s="223"/>
      <c r="E509" s="223"/>
      <c r="F509" s="223"/>
      <c r="G509" s="223"/>
      <c r="H509" s="223"/>
    </row>
    <row r="510">
      <c r="A510" s="223"/>
      <c r="B510" s="223"/>
      <c r="C510" s="223"/>
      <c r="D510" s="223"/>
      <c r="E510" s="223"/>
      <c r="F510" s="223"/>
      <c r="G510" s="223"/>
      <c r="H510" s="223"/>
    </row>
    <row r="511">
      <c r="A511" s="223"/>
      <c r="B511" s="223"/>
      <c r="C511" s="223"/>
      <c r="D511" s="223"/>
      <c r="E511" s="223"/>
      <c r="F511" s="223"/>
      <c r="G511" s="223"/>
      <c r="H511" s="223"/>
    </row>
    <row r="512">
      <c r="A512" s="223"/>
      <c r="B512" s="223"/>
      <c r="C512" s="223"/>
      <c r="D512" s="223"/>
      <c r="E512" s="223"/>
      <c r="F512" s="223"/>
      <c r="G512" s="223"/>
      <c r="H512" s="223"/>
    </row>
    <row r="513">
      <c r="A513" s="223"/>
      <c r="B513" s="223"/>
      <c r="C513" s="223"/>
      <c r="D513" s="223"/>
      <c r="E513" s="223"/>
      <c r="F513" s="223"/>
      <c r="G513" s="223"/>
      <c r="H513" s="223"/>
    </row>
    <row r="514">
      <c r="A514" s="223"/>
      <c r="B514" s="223"/>
      <c r="C514" s="223"/>
      <c r="D514" s="223"/>
      <c r="E514" s="223"/>
      <c r="F514" s="223"/>
      <c r="G514" s="223"/>
      <c r="H514" s="223"/>
    </row>
    <row r="515">
      <c r="A515" s="223"/>
      <c r="B515" s="223"/>
      <c r="C515" s="223"/>
      <c r="D515" s="223"/>
      <c r="E515" s="223"/>
      <c r="F515" s="223"/>
      <c r="G515" s="223"/>
      <c r="H515" s="223"/>
    </row>
    <row r="516">
      <c r="A516" s="223"/>
      <c r="B516" s="223"/>
      <c r="C516" s="223"/>
      <c r="D516" s="223"/>
      <c r="E516" s="223"/>
      <c r="F516" s="223"/>
      <c r="G516" s="223"/>
      <c r="H516" s="223"/>
    </row>
    <row r="517">
      <c r="A517" s="223"/>
      <c r="B517" s="223"/>
      <c r="C517" s="223"/>
      <c r="D517" s="223"/>
      <c r="E517" s="223"/>
      <c r="F517" s="223"/>
      <c r="G517" s="223"/>
      <c r="H517" s="223"/>
    </row>
    <row r="518">
      <c r="A518" s="223"/>
      <c r="B518" s="223"/>
      <c r="C518" s="223"/>
      <c r="D518" s="223"/>
      <c r="E518" s="223"/>
      <c r="F518" s="223"/>
      <c r="G518" s="223"/>
      <c r="H518" s="223"/>
    </row>
    <row r="519">
      <c r="A519" s="223"/>
      <c r="B519" s="223"/>
      <c r="C519" s="223"/>
      <c r="D519" s="223"/>
      <c r="E519" s="223"/>
      <c r="F519" s="223"/>
      <c r="G519" s="223"/>
      <c r="H519" s="223"/>
    </row>
    <row r="520">
      <c r="A520" s="223"/>
      <c r="B520" s="223"/>
      <c r="C520" s="223"/>
      <c r="D520" s="223"/>
      <c r="E520" s="223"/>
      <c r="F520" s="223"/>
      <c r="G520" s="223"/>
      <c r="H520" s="223"/>
    </row>
    <row r="521">
      <c r="A521" s="223"/>
      <c r="B521" s="223"/>
      <c r="C521" s="223"/>
      <c r="D521" s="223"/>
      <c r="E521" s="223"/>
      <c r="F521" s="223"/>
      <c r="G521" s="223"/>
      <c r="H521" s="223"/>
    </row>
    <row r="522">
      <c r="A522" s="223"/>
      <c r="B522" s="223"/>
      <c r="C522" s="223"/>
      <c r="D522" s="223"/>
      <c r="E522" s="223"/>
      <c r="F522" s="223"/>
      <c r="G522" s="223"/>
      <c r="H522" s="223"/>
    </row>
    <row r="523">
      <c r="A523" s="223"/>
      <c r="B523" s="223"/>
      <c r="C523" s="223"/>
      <c r="D523" s="223"/>
      <c r="E523" s="223"/>
      <c r="F523" s="223"/>
      <c r="G523" s="223"/>
      <c r="H523" s="223"/>
    </row>
    <row r="524">
      <c r="A524" s="223"/>
      <c r="B524" s="223"/>
      <c r="C524" s="223"/>
      <c r="D524" s="223"/>
      <c r="E524" s="223"/>
      <c r="F524" s="223"/>
      <c r="G524" s="223"/>
      <c r="H524" s="223"/>
    </row>
    <row r="525">
      <c r="A525" s="223"/>
      <c r="B525" s="223"/>
      <c r="C525" s="223"/>
      <c r="D525" s="223"/>
      <c r="E525" s="223"/>
      <c r="F525" s="223"/>
      <c r="G525" s="223"/>
      <c r="H525" s="223"/>
    </row>
    <row r="526">
      <c r="A526" s="223"/>
      <c r="B526" s="223"/>
      <c r="C526" s="223"/>
      <c r="D526" s="223"/>
      <c r="E526" s="223"/>
      <c r="F526" s="223"/>
      <c r="G526" s="223"/>
      <c r="H526" s="223"/>
    </row>
    <row r="527">
      <c r="A527" s="223"/>
      <c r="B527" s="223"/>
      <c r="C527" s="223"/>
      <c r="D527" s="223"/>
      <c r="E527" s="223"/>
      <c r="F527" s="223"/>
      <c r="G527" s="223"/>
      <c r="H527" s="223"/>
    </row>
    <row r="528">
      <c r="A528" s="223"/>
      <c r="B528" s="223"/>
      <c r="C528" s="223"/>
      <c r="D528" s="223"/>
      <c r="E528" s="223"/>
      <c r="F528" s="223"/>
      <c r="G528" s="223"/>
      <c r="H528" s="223"/>
    </row>
    <row r="529">
      <c r="A529" s="223"/>
      <c r="B529" s="223"/>
      <c r="C529" s="223"/>
      <c r="D529" s="223"/>
      <c r="E529" s="223"/>
      <c r="F529" s="223"/>
      <c r="G529" s="223"/>
      <c r="H529" s="223"/>
    </row>
    <row r="530">
      <c r="A530" s="223"/>
      <c r="B530" s="223"/>
      <c r="C530" s="223"/>
      <c r="D530" s="223"/>
      <c r="E530" s="223"/>
      <c r="F530" s="223"/>
      <c r="G530" s="223"/>
      <c r="H530" s="223"/>
    </row>
    <row r="531">
      <c r="A531" s="223"/>
      <c r="B531" s="223"/>
      <c r="C531" s="223"/>
      <c r="D531" s="223"/>
      <c r="E531" s="223"/>
      <c r="F531" s="223"/>
      <c r="G531" s="223"/>
      <c r="H531" s="223"/>
    </row>
    <row r="532">
      <c r="A532" s="223"/>
      <c r="B532" s="223"/>
      <c r="C532" s="223"/>
      <c r="D532" s="223"/>
      <c r="E532" s="223"/>
      <c r="F532" s="223"/>
      <c r="G532" s="223"/>
      <c r="H532" s="223"/>
    </row>
    <row r="533">
      <c r="A533" s="223"/>
      <c r="B533" s="223"/>
      <c r="C533" s="223"/>
      <c r="D533" s="223"/>
      <c r="E533" s="223"/>
      <c r="F533" s="223"/>
      <c r="G533" s="223"/>
      <c r="H533" s="223"/>
    </row>
    <row r="534">
      <c r="A534" s="223"/>
      <c r="B534" s="223"/>
      <c r="C534" s="223"/>
      <c r="D534" s="223"/>
      <c r="E534" s="223"/>
      <c r="F534" s="223"/>
      <c r="G534" s="223"/>
      <c r="H534" s="223"/>
    </row>
    <row r="535">
      <c r="A535" s="223"/>
      <c r="B535" s="223"/>
      <c r="C535" s="223"/>
      <c r="D535" s="223"/>
      <c r="E535" s="223"/>
      <c r="F535" s="223"/>
      <c r="G535" s="223"/>
      <c r="H535" s="223"/>
    </row>
    <row r="536">
      <c r="A536" s="223"/>
      <c r="B536" s="223"/>
      <c r="C536" s="223"/>
      <c r="D536" s="223"/>
      <c r="E536" s="223"/>
      <c r="F536" s="223"/>
      <c r="G536" s="223"/>
      <c r="H536" s="223"/>
    </row>
    <row r="537">
      <c r="A537" s="223"/>
      <c r="B537" s="223"/>
      <c r="C537" s="223"/>
      <c r="D537" s="223"/>
      <c r="E537" s="223"/>
      <c r="F537" s="223"/>
      <c r="G537" s="223"/>
      <c r="H537" s="223"/>
    </row>
    <row r="538">
      <c r="A538" s="223"/>
      <c r="B538" s="223"/>
      <c r="C538" s="223"/>
      <c r="D538" s="223"/>
      <c r="E538" s="223"/>
      <c r="F538" s="223"/>
      <c r="G538" s="223"/>
      <c r="H538" s="223"/>
    </row>
    <row r="539">
      <c r="A539" s="223"/>
      <c r="B539" s="223"/>
      <c r="C539" s="223"/>
      <c r="D539" s="223"/>
      <c r="E539" s="223"/>
      <c r="F539" s="223"/>
      <c r="G539" s="223"/>
      <c r="H539" s="223"/>
    </row>
    <row r="540">
      <c r="A540" s="223"/>
      <c r="B540" s="223"/>
      <c r="C540" s="223"/>
      <c r="D540" s="223"/>
      <c r="E540" s="223"/>
      <c r="F540" s="223"/>
      <c r="G540" s="223"/>
      <c r="H540" s="223"/>
    </row>
    <row r="541">
      <c r="A541" s="223"/>
      <c r="B541" s="223"/>
      <c r="C541" s="223"/>
      <c r="D541" s="223"/>
      <c r="E541" s="223"/>
      <c r="F541" s="223"/>
      <c r="G541" s="223"/>
      <c r="H541" s="223"/>
    </row>
    <row r="542">
      <c r="A542" s="223"/>
      <c r="B542" s="223"/>
      <c r="C542" s="223"/>
      <c r="D542" s="223"/>
      <c r="E542" s="223"/>
      <c r="F542" s="223"/>
      <c r="G542" s="223"/>
      <c r="H542" s="223"/>
    </row>
    <row r="543">
      <c r="A543" s="223"/>
      <c r="B543" s="223"/>
      <c r="C543" s="223"/>
      <c r="D543" s="223"/>
      <c r="E543" s="223"/>
      <c r="F543" s="223"/>
      <c r="G543" s="223"/>
      <c r="H543" s="223"/>
    </row>
    <row r="544">
      <c r="A544" s="223"/>
      <c r="B544" s="223"/>
      <c r="C544" s="223"/>
      <c r="D544" s="223"/>
      <c r="E544" s="223"/>
      <c r="F544" s="223"/>
      <c r="G544" s="223"/>
      <c r="H544" s="223"/>
    </row>
    <row r="545">
      <c r="A545" s="223"/>
      <c r="B545" s="223"/>
      <c r="C545" s="223"/>
      <c r="D545" s="223"/>
      <c r="E545" s="223"/>
      <c r="F545" s="223"/>
      <c r="G545" s="223"/>
      <c r="H545" s="223"/>
    </row>
    <row r="546">
      <c r="A546" s="223"/>
      <c r="B546" s="223"/>
      <c r="C546" s="223"/>
      <c r="D546" s="223"/>
      <c r="E546" s="223"/>
      <c r="F546" s="223"/>
      <c r="G546" s="223"/>
      <c r="H546" s="223"/>
    </row>
    <row r="547">
      <c r="A547" s="223"/>
      <c r="B547" s="223"/>
      <c r="C547" s="223"/>
      <c r="D547" s="223"/>
      <c r="E547" s="223"/>
      <c r="F547" s="223"/>
      <c r="G547" s="223"/>
      <c r="H547" s="223"/>
    </row>
    <row r="548">
      <c r="A548" s="223"/>
      <c r="B548" s="223"/>
      <c r="C548" s="223"/>
      <c r="D548" s="223"/>
      <c r="E548" s="223"/>
      <c r="F548" s="223"/>
      <c r="G548" s="223"/>
      <c r="H548" s="223"/>
    </row>
    <row r="549">
      <c r="A549" s="223"/>
      <c r="B549" s="223"/>
      <c r="C549" s="223"/>
      <c r="D549" s="223"/>
      <c r="E549" s="223"/>
      <c r="F549" s="223"/>
      <c r="G549" s="223"/>
      <c r="H549" s="223"/>
    </row>
    <row r="550">
      <c r="A550" s="223"/>
      <c r="B550" s="223"/>
      <c r="C550" s="223"/>
      <c r="D550" s="223"/>
      <c r="E550" s="223"/>
      <c r="F550" s="223"/>
      <c r="G550" s="223"/>
      <c r="H550" s="223"/>
    </row>
    <row r="551">
      <c r="A551" s="223"/>
      <c r="B551" s="223"/>
      <c r="C551" s="223"/>
      <c r="D551" s="223"/>
      <c r="E551" s="223"/>
      <c r="F551" s="223"/>
      <c r="G551" s="223"/>
      <c r="H551" s="223"/>
    </row>
    <row r="552">
      <c r="A552" s="223"/>
      <c r="B552" s="223"/>
      <c r="C552" s="223"/>
      <c r="D552" s="223"/>
      <c r="E552" s="223"/>
      <c r="F552" s="223"/>
      <c r="G552" s="223"/>
      <c r="H552" s="223"/>
    </row>
    <row r="553">
      <c r="A553" s="223"/>
      <c r="B553" s="223"/>
      <c r="C553" s="223"/>
      <c r="D553" s="223"/>
      <c r="E553" s="223"/>
      <c r="F553" s="223"/>
      <c r="G553" s="223"/>
      <c r="H553" s="223"/>
    </row>
    <row r="554">
      <c r="A554" s="223"/>
      <c r="B554" s="223"/>
      <c r="C554" s="223"/>
      <c r="D554" s="223"/>
      <c r="E554" s="223"/>
      <c r="F554" s="223"/>
      <c r="G554" s="223"/>
      <c r="H554" s="223"/>
    </row>
    <row r="555">
      <c r="A555" s="223"/>
      <c r="B555" s="223"/>
      <c r="C555" s="223"/>
      <c r="D555" s="223"/>
      <c r="E555" s="223"/>
      <c r="F555" s="223"/>
      <c r="G555" s="223"/>
      <c r="H555" s="223"/>
    </row>
    <row r="556">
      <c r="A556" s="223"/>
      <c r="B556" s="223"/>
      <c r="C556" s="223"/>
      <c r="D556" s="223"/>
      <c r="E556" s="223"/>
      <c r="F556" s="223"/>
      <c r="G556" s="223"/>
      <c r="H556" s="223"/>
    </row>
    <row r="557">
      <c r="A557" s="223"/>
      <c r="B557" s="223"/>
      <c r="C557" s="223"/>
      <c r="D557" s="223"/>
      <c r="E557" s="223"/>
      <c r="F557" s="223"/>
      <c r="G557" s="223"/>
      <c r="H557" s="223"/>
    </row>
    <row r="558">
      <c r="A558" s="223"/>
      <c r="B558" s="223"/>
      <c r="C558" s="223"/>
      <c r="D558" s="223"/>
      <c r="E558" s="223"/>
      <c r="F558" s="223"/>
      <c r="G558" s="223"/>
      <c r="H558" s="223"/>
    </row>
    <row r="559">
      <c r="A559" s="223"/>
      <c r="B559" s="223"/>
      <c r="C559" s="223"/>
      <c r="D559" s="223"/>
      <c r="E559" s="223"/>
      <c r="F559" s="223"/>
      <c r="G559" s="223"/>
      <c r="H559" s="223"/>
    </row>
    <row r="560">
      <c r="A560" s="223"/>
      <c r="B560" s="223"/>
      <c r="C560" s="223"/>
      <c r="D560" s="223"/>
      <c r="E560" s="223"/>
      <c r="F560" s="223"/>
      <c r="G560" s="223"/>
      <c r="H560" s="223"/>
    </row>
    <row r="561">
      <c r="A561" s="223"/>
      <c r="B561" s="223"/>
      <c r="C561" s="223"/>
      <c r="D561" s="223"/>
      <c r="E561" s="223"/>
      <c r="F561" s="223"/>
      <c r="G561" s="223"/>
      <c r="H561" s="223"/>
    </row>
    <row r="562">
      <c r="A562" s="223"/>
      <c r="B562" s="223"/>
      <c r="C562" s="223"/>
      <c r="D562" s="223"/>
      <c r="E562" s="223"/>
      <c r="F562" s="223"/>
      <c r="G562" s="223"/>
      <c r="H562" s="223"/>
    </row>
    <row r="563">
      <c r="A563" s="223"/>
      <c r="B563" s="223"/>
      <c r="C563" s="223"/>
      <c r="D563" s="223"/>
      <c r="E563" s="223"/>
      <c r="F563" s="223"/>
      <c r="G563" s="223"/>
      <c r="H563" s="223"/>
    </row>
    <row r="564">
      <c r="A564" s="223"/>
      <c r="B564" s="223"/>
      <c r="C564" s="223"/>
      <c r="D564" s="223"/>
      <c r="E564" s="223"/>
      <c r="F564" s="223"/>
      <c r="G564" s="223"/>
      <c r="H564" s="223"/>
    </row>
    <row r="565">
      <c r="A565" s="223"/>
      <c r="B565" s="223"/>
      <c r="C565" s="223"/>
      <c r="D565" s="223"/>
      <c r="E565" s="223"/>
      <c r="F565" s="223"/>
      <c r="G565" s="223"/>
      <c r="H565" s="223"/>
    </row>
    <row r="566">
      <c r="A566" s="223"/>
      <c r="B566" s="223"/>
      <c r="C566" s="223"/>
      <c r="D566" s="223"/>
      <c r="E566" s="223"/>
      <c r="F566" s="223"/>
      <c r="G566" s="223"/>
      <c r="H566" s="223"/>
    </row>
    <row r="567">
      <c r="A567" s="223"/>
      <c r="B567" s="223"/>
      <c r="C567" s="223"/>
      <c r="D567" s="223"/>
      <c r="E567" s="223"/>
      <c r="F567" s="223"/>
      <c r="G567" s="223"/>
      <c r="H567" s="223"/>
    </row>
    <row r="568">
      <c r="A568" s="223"/>
      <c r="B568" s="223"/>
      <c r="C568" s="223"/>
      <c r="D568" s="223"/>
      <c r="E568" s="223"/>
      <c r="F568" s="223"/>
      <c r="G568" s="223"/>
      <c r="H568" s="223"/>
    </row>
    <row r="569">
      <c r="A569" s="223"/>
      <c r="B569" s="223"/>
      <c r="C569" s="223"/>
      <c r="D569" s="223"/>
      <c r="E569" s="223"/>
      <c r="F569" s="223"/>
      <c r="G569" s="223"/>
      <c r="H569" s="223"/>
    </row>
    <row r="570">
      <c r="A570" s="223"/>
      <c r="B570" s="223"/>
      <c r="C570" s="223"/>
      <c r="D570" s="223"/>
      <c r="E570" s="223"/>
      <c r="F570" s="223"/>
      <c r="G570" s="223"/>
      <c r="H570" s="223"/>
    </row>
    <row r="571">
      <c r="A571" s="223"/>
      <c r="B571" s="223"/>
      <c r="C571" s="223"/>
      <c r="D571" s="223"/>
      <c r="E571" s="223"/>
      <c r="F571" s="223"/>
      <c r="G571" s="223"/>
      <c r="H571" s="223"/>
    </row>
    <row r="572">
      <c r="A572" s="223"/>
      <c r="B572" s="223"/>
      <c r="C572" s="223"/>
      <c r="D572" s="223"/>
      <c r="E572" s="223"/>
      <c r="F572" s="223"/>
      <c r="G572" s="223"/>
      <c r="H572" s="223"/>
    </row>
    <row r="573">
      <c r="A573" s="223"/>
      <c r="B573" s="223"/>
      <c r="C573" s="223"/>
      <c r="D573" s="223"/>
      <c r="E573" s="223"/>
      <c r="F573" s="223"/>
      <c r="G573" s="223"/>
      <c r="H573" s="223"/>
    </row>
    <row r="574">
      <c r="A574" s="223"/>
      <c r="B574" s="223"/>
      <c r="C574" s="223"/>
      <c r="D574" s="223"/>
      <c r="E574" s="223"/>
      <c r="F574" s="223"/>
      <c r="G574" s="223"/>
      <c r="H574" s="223"/>
    </row>
    <row r="575">
      <c r="A575" s="223"/>
      <c r="B575" s="223"/>
      <c r="C575" s="223"/>
      <c r="D575" s="223"/>
      <c r="E575" s="223"/>
      <c r="F575" s="223"/>
      <c r="G575" s="223"/>
      <c r="H575" s="223"/>
    </row>
    <row r="576">
      <c r="A576" s="223"/>
      <c r="B576" s="223"/>
      <c r="C576" s="223"/>
      <c r="D576" s="223"/>
      <c r="E576" s="223"/>
      <c r="F576" s="223"/>
      <c r="G576" s="223"/>
      <c r="H576" s="223"/>
    </row>
    <row r="577">
      <c r="A577" s="223"/>
      <c r="B577" s="223"/>
      <c r="C577" s="223"/>
      <c r="D577" s="223"/>
      <c r="E577" s="223"/>
      <c r="F577" s="223"/>
      <c r="G577" s="223"/>
      <c r="H577" s="223"/>
    </row>
    <row r="578">
      <c r="A578" s="223"/>
      <c r="B578" s="223"/>
      <c r="C578" s="223"/>
      <c r="D578" s="223"/>
      <c r="E578" s="223"/>
      <c r="F578" s="223"/>
      <c r="G578" s="223"/>
      <c r="H578" s="223"/>
    </row>
    <row r="579">
      <c r="A579" s="223"/>
      <c r="B579" s="223"/>
      <c r="C579" s="223"/>
      <c r="D579" s="223"/>
      <c r="E579" s="223"/>
      <c r="F579" s="223"/>
      <c r="G579" s="223"/>
      <c r="H579" s="223"/>
    </row>
    <row r="580">
      <c r="A580" s="223"/>
      <c r="B580" s="223"/>
      <c r="C580" s="223"/>
      <c r="D580" s="223"/>
      <c r="E580" s="223"/>
      <c r="F580" s="223"/>
      <c r="G580" s="223"/>
      <c r="H580" s="223"/>
    </row>
    <row r="581">
      <c r="A581" s="223"/>
      <c r="B581" s="223"/>
      <c r="C581" s="223"/>
      <c r="D581" s="223"/>
      <c r="E581" s="223"/>
      <c r="F581" s="223"/>
      <c r="G581" s="223"/>
      <c r="H581" s="223"/>
    </row>
    <row r="582">
      <c r="A582" s="223"/>
      <c r="B582" s="223"/>
      <c r="C582" s="223"/>
      <c r="D582" s="223"/>
      <c r="E582" s="223"/>
      <c r="F582" s="223"/>
      <c r="G582" s="223"/>
      <c r="H582" s="223"/>
    </row>
    <row r="583">
      <c r="A583" s="223"/>
      <c r="B583" s="223"/>
      <c r="C583" s="223"/>
      <c r="D583" s="223"/>
      <c r="E583" s="223"/>
      <c r="F583" s="223"/>
      <c r="G583" s="223"/>
      <c r="H583" s="223"/>
    </row>
    <row r="584">
      <c r="A584" s="223"/>
      <c r="B584" s="223"/>
      <c r="C584" s="223"/>
      <c r="D584" s="223"/>
      <c r="E584" s="223"/>
      <c r="F584" s="223"/>
      <c r="G584" s="223"/>
      <c r="H584" s="223"/>
    </row>
    <row r="585">
      <c r="A585" s="223"/>
      <c r="B585" s="223"/>
      <c r="C585" s="223"/>
      <c r="D585" s="223"/>
      <c r="E585" s="223"/>
      <c r="F585" s="223"/>
      <c r="G585" s="223"/>
      <c r="H585" s="223"/>
    </row>
    <row r="586">
      <c r="A586" s="223"/>
      <c r="B586" s="223"/>
      <c r="C586" s="223"/>
      <c r="D586" s="223"/>
      <c r="E586" s="223"/>
      <c r="F586" s="223"/>
      <c r="G586" s="223"/>
      <c r="H586" s="223"/>
    </row>
    <row r="587">
      <c r="A587" s="223"/>
      <c r="B587" s="223"/>
      <c r="C587" s="223"/>
      <c r="D587" s="223"/>
      <c r="E587" s="223"/>
      <c r="F587" s="223"/>
      <c r="G587" s="223"/>
      <c r="H587" s="223"/>
    </row>
    <row r="588">
      <c r="A588" s="223"/>
      <c r="B588" s="223"/>
      <c r="C588" s="223"/>
      <c r="D588" s="223"/>
      <c r="E588" s="223"/>
      <c r="F588" s="223"/>
      <c r="G588" s="223"/>
      <c r="H588" s="223"/>
    </row>
    <row r="589">
      <c r="A589" s="223"/>
      <c r="B589" s="223"/>
      <c r="C589" s="223"/>
      <c r="D589" s="223"/>
      <c r="E589" s="223"/>
      <c r="F589" s="223"/>
      <c r="G589" s="223"/>
      <c r="H589" s="223"/>
    </row>
    <row r="590">
      <c r="A590" s="223"/>
      <c r="B590" s="223"/>
      <c r="C590" s="223"/>
      <c r="D590" s="223"/>
      <c r="E590" s="223"/>
      <c r="F590" s="223"/>
      <c r="G590" s="223"/>
      <c r="H590" s="223"/>
    </row>
    <row r="591">
      <c r="A591" s="223"/>
      <c r="B591" s="223"/>
      <c r="C591" s="223"/>
      <c r="D591" s="223"/>
      <c r="E591" s="223"/>
      <c r="F591" s="223"/>
      <c r="G591" s="223"/>
      <c r="H591" s="223"/>
    </row>
    <row r="592">
      <c r="A592" s="223"/>
      <c r="B592" s="223"/>
      <c r="C592" s="223"/>
      <c r="D592" s="223"/>
      <c r="E592" s="223"/>
      <c r="F592" s="223"/>
      <c r="G592" s="223"/>
      <c r="H592" s="223"/>
    </row>
    <row r="593">
      <c r="A593" s="223"/>
      <c r="B593" s="223"/>
      <c r="C593" s="223"/>
      <c r="D593" s="223"/>
      <c r="E593" s="223"/>
      <c r="F593" s="223"/>
      <c r="G593" s="223"/>
      <c r="H593" s="223"/>
    </row>
    <row r="594">
      <c r="A594" s="223"/>
      <c r="B594" s="223"/>
      <c r="C594" s="223"/>
      <c r="D594" s="223"/>
      <c r="E594" s="223"/>
      <c r="F594" s="223"/>
      <c r="G594" s="223"/>
      <c r="H594" s="223"/>
    </row>
    <row r="595">
      <c r="A595" s="223"/>
      <c r="B595" s="223"/>
      <c r="C595" s="223"/>
      <c r="D595" s="223"/>
      <c r="E595" s="223"/>
      <c r="F595" s="223"/>
      <c r="G595" s="223"/>
      <c r="H595" s="223"/>
    </row>
    <row r="596">
      <c r="A596" s="223"/>
      <c r="B596" s="223"/>
      <c r="C596" s="223"/>
      <c r="D596" s="223"/>
      <c r="E596" s="223"/>
      <c r="F596" s="223"/>
      <c r="G596" s="223"/>
      <c r="H596" s="223"/>
    </row>
    <row r="597">
      <c r="A597" s="223"/>
      <c r="B597" s="223"/>
      <c r="C597" s="223"/>
      <c r="D597" s="223"/>
      <c r="E597" s="223"/>
      <c r="F597" s="223"/>
      <c r="G597" s="223"/>
      <c r="H597" s="223"/>
    </row>
    <row r="598">
      <c r="A598" s="223"/>
      <c r="B598" s="223"/>
      <c r="C598" s="223"/>
      <c r="D598" s="223"/>
      <c r="E598" s="223"/>
      <c r="F598" s="223"/>
      <c r="G598" s="223"/>
      <c r="H598" s="223"/>
    </row>
    <row r="599">
      <c r="A599" s="223"/>
      <c r="B599" s="223"/>
      <c r="C599" s="223"/>
      <c r="D599" s="223"/>
      <c r="E599" s="223"/>
      <c r="F599" s="223"/>
      <c r="G599" s="223"/>
      <c r="H599" s="223"/>
    </row>
    <row r="600">
      <c r="A600" s="223"/>
      <c r="B600" s="223"/>
      <c r="C600" s="223"/>
      <c r="D600" s="223"/>
      <c r="E600" s="223"/>
      <c r="F600" s="223"/>
      <c r="G600" s="223"/>
      <c r="H600" s="223"/>
    </row>
    <row r="601">
      <c r="A601" s="223"/>
      <c r="B601" s="223"/>
      <c r="C601" s="223"/>
      <c r="D601" s="223"/>
      <c r="E601" s="223"/>
      <c r="F601" s="223"/>
      <c r="G601" s="223"/>
      <c r="H601" s="223"/>
    </row>
    <row r="602">
      <c r="A602" s="223"/>
      <c r="B602" s="223"/>
      <c r="C602" s="223"/>
      <c r="D602" s="223"/>
      <c r="E602" s="223"/>
      <c r="F602" s="223"/>
      <c r="G602" s="223"/>
      <c r="H602" s="223"/>
    </row>
    <row r="603">
      <c r="A603" s="223"/>
      <c r="B603" s="223"/>
      <c r="C603" s="223"/>
      <c r="D603" s="223"/>
      <c r="E603" s="223"/>
      <c r="F603" s="223"/>
      <c r="G603" s="223"/>
      <c r="H603" s="223"/>
    </row>
    <row r="604">
      <c r="A604" s="223"/>
      <c r="B604" s="223"/>
      <c r="C604" s="223"/>
      <c r="D604" s="223"/>
      <c r="E604" s="223"/>
      <c r="F604" s="223"/>
      <c r="G604" s="223"/>
      <c r="H604" s="223"/>
    </row>
    <row r="605">
      <c r="A605" s="223"/>
      <c r="B605" s="223"/>
      <c r="C605" s="223"/>
      <c r="D605" s="223"/>
      <c r="E605" s="223"/>
      <c r="F605" s="223"/>
      <c r="G605" s="223"/>
      <c r="H605" s="223"/>
    </row>
    <row r="606">
      <c r="A606" s="223"/>
      <c r="B606" s="223"/>
      <c r="C606" s="223"/>
      <c r="D606" s="223"/>
      <c r="E606" s="223"/>
      <c r="F606" s="223"/>
      <c r="G606" s="223"/>
      <c r="H606" s="223"/>
    </row>
    <row r="607">
      <c r="A607" s="223"/>
      <c r="B607" s="223"/>
      <c r="C607" s="223"/>
      <c r="D607" s="223"/>
      <c r="E607" s="223"/>
      <c r="F607" s="223"/>
      <c r="G607" s="223"/>
      <c r="H607" s="223"/>
    </row>
    <row r="608">
      <c r="A608" s="223"/>
      <c r="B608" s="223"/>
      <c r="C608" s="223"/>
      <c r="D608" s="223"/>
      <c r="E608" s="223"/>
      <c r="F608" s="223"/>
      <c r="G608" s="223"/>
      <c r="H608" s="223"/>
    </row>
    <row r="609">
      <c r="A609" s="223"/>
      <c r="B609" s="223"/>
      <c r="C609" s="223"/>
      <c r="D609" s="223"/>
      <c r="E609" s="223"/>
      <c r="F609" s="223"/>
      <c r="G609" s="223"/>
      <c r="H609" s="223"/>
    </row>
    <row r="610">
      <c r="A610" s="223"/>
      <c r="B610" s="223"/>
      <c r="C610" s="223"/>
      <c r="D610" s="223"/>
      <c r="E610" s="223"/>
      <c r="F610" s="223"/>
      <c r="G610" s="223"/>
      <c r="H610" s="223"/>
    </row>
    <row r="611">
      <c r="A611" s="223"/>
      <c r="B611" s="223"/>
      <c r="C611" s="223"/>
      <c r="D611" s="223"/>
      <c r="E611" s="223"/>
      <c r="F611" s="223"/>
      <c r="G611" s="223"/>
      <c r="H611" s="223"/>
    </row>
    <row r="612">
      <c r="A612" s="223"/>
      <c r="B612" s="223"/>
      <c r="C612" s="223"/>
      <c r="D612" s="223"/>
      <c r="E612" s="223"/>
      <c r="F612" s="223"/>
      <c r="G612" s="223"/>
      <c r="H612" s="223"/>
    </row>
    <row r="613">
      <c r="A613" s="223"/>
      <c r="B613" s="223"/>
      <c r="C613" s="223"/>
      <c r="D613" s="223"/>
      <c r="E613" s="223"/>
      <c r="F613" s="223"/>
      <c r="G613" s="223"/>
      <c r="H613" s="223"/>
    </row>
    <row r="614">
      <c r="A614" s="223"/>
      <c r="B614" s="223"/>
      <c r="C614" s="223"/>
      <c r="D614" s="223"/>
      <c r="E614" s="223"/>
      <c r="F614" s="223"/>
      <c r="G614" s="223"/>
      <c r="H614" s="223"/>
    </row>
    <row r="615">
      <c r="A615" s="223"/>
      <c r="B615" s="223"/>
      <c r="C615" s="223"/>
      <c r="D615" s="223"/>
      <c r="E615" s="223"/>
      <c r="F615" s="223"/>
      <c r="G615" s="223"/>
      <c r="H615" s="223"/>
    </row>
    <row r="616">
      <c r="A616" s="223"/>
      <c r="B616" s="223"/>
      <c r="C616" s="223"/>
      <c r="D616" s="223"/>
      <c r="E616" s="223"/>
      <c r="F616" s="223"/>
      <c r="G616" s="223"/>
      <c r="H616" s="223"/>
    </row>
    <row r="617">
      <c r="A617" s="223"/>
      <c r="B617" s="223"/>
      <c r="C617" s="223"/>
      <c r="D617" s="223"/>
      <c r="E617" s="223"/>
      <c r="F617" s="223"/>
      <c r="G617" s="223"/>
      <c r="H617" s="223"/>
    </row>
    <row r="618">
      <c r="A618" s="223"/>
      <c r="B618" s="223"/>
      <c r="C618" s="223"/>
      <c r="D618" s="223"/>
      <c r="E618" s="223"/>
      <c r="F618" s="223"/>
      <c r="G618" s="223"/>
      <c r="H618" s="223"/>
    </row>
    <row r="619">
      <c r="A619" s="223"/>
      <c r="B619" s="223"/>
      <c r="C619" s="223"/>
      <c r="D619" s="223"/>
      <c r="E619" s="223"/>
      <c r="F619" s="223"/>
      <c r="G619" s="223"/>
      <c r="H619" s="223"/>
    </row>
    <row r="620">
      <c r="A620" s="223"/>
      <c r="B620" s="223"/>
      <c r="C620" s="223"/>
      <c r="D620" s="223"/>
      <c r="E620" s="223"/>
      <c r="F620" s="223"/>
      <c r="G620" s="223"/>
      <c r="H620" s="223"/>
    </row>
    <row r="621">
      <c r="A621" s="223"/>
      <c r="B621" s="223"/>
      <c r="C621" s="223"/>
      <c r="D621" s="223"/>
      <c r="E621" s="223"/>
      <c r="F621" s="223"/>
      <c r="G621" s="223"/>
      <c r="H621" s="223"/>
    </row>
    <row r="622">
      <c r="A622" s="223"/>
      <c r="B622" s="223"/>
      <c r="C622" s="223"/>
      <c r="D622" s="223"/>
      <c r="E622" s="223"/>
      <c r="F622" s="223"/>
      <c r="G622" s="223"/>
      <c r="H622" s="223"/>
    </row>
    <row r="623">
      <c r="A623" s="223"/>
      <c r="B623" s="223"/>
      <c r="C623" s="223"/>
      <c r="D623" s="223"/>
      <c r="E623" s="223"/>
      <c r="F623" s="223"/>
      <c r="G623" s="223"/>
      <c r="H623" s="223"/>
    </row>
    <row r="624">
      <c r="A624" s="223"/>
      <c r="B624" s="223"/>
      <c r="C624" s="223"/>
      <c r="D624" s="223"/>
      <c r="E624" s="223"/>
      <c r="F624" s="223"/>
      <c r="G624" s="223"/>
      <c r="H624" s="223"/>
    </row>
    <row r="625">
      <c r="A625" s="223"/>
      <c r="B625" s="223"/>
      <c r="C625" s="223"/>
      <c r="D625" s="223"/>
      <c r="E625" s="223"/>
      <c r="F625" s="223"/>
      <c r="G625" s="223"/>
      <c r="H625" s="223"/>
    </row>
    <row r="626">
      <c r="A626" s="223"/>
      <c r="B626" s="223"/>
      <c r="C626" s="223"/>
      <c r="D626" s="223"/>
      <c r="E626" s="223"/>
      <c r="F626" s="223"/>
      <c r="G626" s="223"/>
      <c r="H626" s="223"/>
    </row>
    <row r="627">
      <c r="A627" s="223"/>
      <c r="B627" s="223"/>
      <c r="C627" s="223"/>
      <c r="D627" s="223"/>
      <c r="E627" s="223"/>
      <c r="F627" s="223"/>
      <c r="G627" s="223"/>
      <c r="H627" s="223"/>
    </row>
    <row r="628">
      <c r="A628" s="223"/>
      <c r="B628" s="223"/>
      <c r="C628" s="223"/>
      <c r="D628" s="223"/>
      <c r="E628" s="223"/>
      <c r="F628" s="223"/>
      <c r="G628" s="223"/>
      <c r="H628" s="223"/>
    </row>
    <row r="629">
      <c r="A629" s="223"/>
      <c r="B629" s="223"/>
      <c r="C629" s="223"/>
      <c r="D629" s="223"/>
      <c r="E629" s="223"/>
      <c r="F629" s="223"/>
      <c r="G629" s="223"/>
      <c r="H629" s="223"/>
    </row>
    <row r="630">
      <c r="A630" s="223"/>
      <c r="B630" s="223"/>
      <c r="C630" s="223"/>
      <c r="D630" s="223"/>
      <c r="E630" s="223"/>
      <c r="F630" s="223"/>
      <c r="G630" s="223"/>
      <c r="H630" s="223"/>
    </row>
    <row r="631">
      <c r="A631" s="223"/>
      <c r="B631" s="223"/>
      <c r="C631" s="223"/>
      <c r="D631" s="223"/>
      <c r="E631" s="223"/>
      <c r="F631" s="223"/>
      <c r="G631" s="223"/>
      <c r="H631" s="223"/>
    </row>
    <row r="632">
      <c r="A632" s="223"/>
      <c r="B632" s="223"/>
      <c r="C632" s="223"/>
      <c r="D632" s="223"/>
      <c r="E632" s="223"/>
      <c r="F632" s="223"/>
      <c r="G632" s="223"/>
      <c r="H632" s="223"/>
    </row>
    <row r="633">
      <c r="A633" s="223"/>
      <c r="B633" s="223"/>
      <c r="C633" s="223"/>
      <c r="D633" s="223"/>
      <c r="E633" s="223"/>
      <c r="F633" s="223"/>
      <c r="G633" s="223"/>
      <c r="H633" s="223"/>
    </row>
    <row r="634">
      <c r="A634" s="223"/>
      <c r="B634" s="223"/>
      <c r="C634" s="223"/>
      <c r="D634" s="223"/>
      <c r="E634" s="223"/>
      <c r="F634" s="223"/>
      <c r="G634" s="223"/>
      <c r="H634" s="223"/>
    </row>
    <row r="635">
      <c r="A635" s="223"/>
      <c r="B635" s="223"/>
      <c r="C635" s="223"/>
      <c r="D635" s="223"/>
      <c r="E635" s="223"/>
      <c r="F635" s="223"/>
      <c r="G635" s="223"/>
      <c r="H635" s="223"/>
    </row>
    <row r="636">
      <c r="A636" s="223"/>
      <c r="B636" s="223"/>
      <c r="C636" s="223"/>
      <c r="D636" s="223"/>
      <c r="E636" s="223"/>
      <c r="F636" s="223"/>
      <c r="G636" s="223"/>
      <c r="H636" s="223"/>
    </row>
    <row r="637">
      <c r="A637" s="223"/>
      <c r="B637" s="223"/>
      <c r="C637" s="223"/>
      <c r="D637" s="223"/>
      <c r="E637" s="223"/>
      <c r="F637" s="223"/>
      <c r="G637" s="223"/>
      <c r="H637" s="223"/>
    </row>
    <row r="638">
      <c r="A638" s="223"/>
      <c r="B638" s="223"/>
      <c r="C638" s="223"/>
      <c r="D638" s="223"/>
      <c r="E638" s="223"/>
      <c r="F638" s="223"/>
      <c r="G638" s="223"/>
      <c r="H638" s="223"/>
    </row>
    <row r="639">
      <c r="A639" s="223"/>
      <c r="B639" s="223"/>
      <c r="C639" s="223"/>
      <c r="D639" s="223"/>
      <c r="E639" s="223"/>
      <c r="F639" s="223"/>
      <c r="G639" s="223"/>
      <c r="H639" s="223"/>
    </row>
    <row r="640">
      <c r="A640" s="223"/>
      <c r="B640" s="223"/>
      <c r="C640" s="223"/>
      <c r="D640" s="223"/>
      <c r="E640" s="223"/>
      <c r="F640" s="223"/>
      <c r="G640" s="223"/>
      <c r="H640" s="223"/>
    </row>
    <row r="641">
      <c r="A641" s="223"/>
      <c r="B641" s="223"/>
      <c r="C641" s="223"/>
      <c r="D641" s="223"/>
      <c r="E641" s="223"/>
      <c r="F641" s="223"/>
      <c r="G641" s="223"/>
      <c r="H641" s="223"/>
    </row>
    <row r="642">
      <c r="A642" s="223"/>
      <c r="B642" s="223"/>
      <c r="C642" s="223"/>
      <c r="D642" s="223"/>
      <c r="E642" s="223"/>
      <c r="F642" s="223"/>
      <c r="G642" s="223"/>
      <c r="H642" s="223"/>
    </row>
    <row r="643">
      <c r="A643" s="223"/>
      <c r="B643" s="223"/>
      <c r="C643" s="223"/>
      <c r="D643" s="223"/>
      <c r="E643" s="223"/>
      <c r="F643" s="223"/>
      <c r="G643" s="223"/>
      <c r="H643" s="223"/>
    </row>
    <row r="644">
      <c r="A644" s="223"/>
      <c r="B644" s="223"/>
      <c r="C644" s="223"/>
      <c r="D644" s="223"/>
      <c r="E644" s="223"/>
      <c r="F644" s="223"/>
      <c r="G644" s="223"/>
      <c r="H644" s="223"/>
    </row>
    <row r="645">
      <c r="A645" s="223"/>
      <c r="B645" s="223"/>
      <c r="C645" s="223"/>
      <c r="D645" s="223"/>
      <c r="E645" s="223"/>
      <c r="F645" s="223"/>
      <c r="G645" s="223"/>
      <c r="H645" s="223"/>
    </row>
    <row r="646">
      <c r="A646" s="223"/>
      <c r="B646" s="223"/>
      <c r="C646" s="223"/>
      <c r="D646" s="223"/>
      <c r="E646" s="223"/>
      <c r="F646" s="223"/>
      <c r="G646" s="223"/>
      <c r="H646" s="223"/>
    </row>
    <row r="647">
      <c r="A647" s="223"/>
      <c r="B647" s="223"/>
      <c r="C647" s="223"/>
      <c r="D647" s="223"/>
      <c r="E647" s="223"/>
      <c r="F647" s="223"/>
      <c r="G647" s="223"/>
      <c r="H647" s="223"/>
    </row>
    <row r="648">
      <c r="A648" s="223"/>
      <c r="B648" s="223"/>
      <c r="C648" s="223"/>
      <c r="D648" s="223"/>
      <c r="E648" s="223"/>
      <c r="F648" s="223"/>
      <c r="G648" s="223"/>
      <c r="H648" s="223"/>
    </row>
    <row r="649">
      <c r="A649" s="223"/>
      <c r="B649" s="223"/>
      <c r="C649" s="223"/>
      <c r="D649" s="223"/>
      <c r="E649" s="223"/>
      <c r="F649" s="223"/>
      <c r="G649" s="223"/>
      <c r="H649" s="223"/>
    </row>
    <row r="650">
      <c r="A650" s="223"/>
      <c r="B650" s="223"/>
      <c r="C650" s="223"/>
      <c r="D650" s="223"/>
      <c r="E650" s="223"/>
      <c r="F650" s="223"/>
      <c r="G650" s="223"/>
      <c r="H650" s="223"/>
    </row>
    <row r="651">
      <c r="A651" s="223"/>
      <c r="B651" s="223"/>
      <c r="C651" s="223"/>
      <c r="D651" s="223"/>
      <c r="E651" s="223"/>
      <c r="F651" s="223"/>
      <c r="G651" s="223"/>
      <c r="H651" s="223"/>
    </row>
    <row r="652">
      <c r="A652" s="223"/>
      <c r="B652" s="223"/>
      <c r="C652" s="223"/>
      <c r="D652" s="223"/>
      <c r="E652" s="223"/>
      <c r="F652" s="223"/>
      <c r="G652" s="223"/>
      <c r="H652" s="223"/>
    </row>
    <row r="653">
      <c r="A653" s="223"/>
      <c r="B653" s="223"/>
      <c r="C653" s="223"/>
      <c r="D653" s="223"/>
      <c r="E653" s="223"/>
      <c r="F653" s="223"/>
      <c r="G653" s="223"/>
      <c r="H653" s="223"/>
    </row>
    <row r="654">
      <c r="A654" s="223"/>
      <c r="B654" s="223"/>
      <c r="C654" s="223"/>
      <c r="D654" s="223"/>
      <c r="E654" s="223"/>
      <c r="F654" s="223"/>
      <c r="G654" s="223"/>
      <c r="H654" s="223"/>
    </row>
    <row r="655">
      <c r="A655" s="223"/>
      <c r="B655" s="223"/>
      <c r="C655" s="223"/>
      <c r="D655" s="223"/>
      <c r="E655" s="223"/>
      <c r="F655" s="223"/>
      <c r="G655" s="223"/>
      <c r="H655" s="223"/>
    </row>
    <row r="656">
      <c r="A656" s="223"/>
      <c r="B656" s="223"/>
      <c r="C656" s="223"/>
      <c r="D656" s="223"/>
      <c r="E656" s="223"/>
      <c r="F656" s="223"/>
      <c r="G656" s="223"/>
      <c r="H656" s="223"/>
    </row>
    <row r="657">
      <c r="A657" s="223"/>
      <c r="B657" s="223"/>
      <c r="C657" s="223"/>
      <c r="D657" s="223"/>
      <c r="E657" s="223"/>
      <c r="F657" s="223"/>
      <c r="G657" s="223"/>
      <c r="H657" s="223"/>
    </row>
    <row r="658">
      <c r="A658" s="223"/>
      <c r="B658" s="223"/>
      <c r="C658" s="223"/>
      <c r="D658" s="223"/>
      <c r="E658" s="223"/>
      <c r="F658" s="223"/>
      <c r="G658" s="223"/>
      <c r="H658" s="223"/>
    </row>
    <row r="659">
      <c r="A659" s="223"/>
      <c r="B659" s="223"/>
      <c r="C659" s="223"/>
      <c r="D659" s="223"/>
      <c r="E659" s="223"/>
      <c r="F659" s="223"/>
      <c r="G659" s="223"/>
      <c r="H659" s="223"/>
    </row>
    <row r="660">
      <c r="A660" s="223"/>
      <c r="B660" s="223"/>
      <c r="C660" s="223"/>
      <c r="D660" s="223"/>
      <c r="E660" s="223"/>
      <c r="F660" s="223"/>
      <c r="G660" s="223"/>
      <c r="H660" s="223"/>
    </row>
    <row r="661">
      <c r="A661" s="223"/>
      <c r="B661" s="223"/>
      <c r="C661" s="223"/>
      <c r="D661" s="223"/>
      <c r="E661" s="223"/>
      <c r="F661" s="223"/>
      <c r="G661" s="223"/>
      <c r="H661" s="223"/>
    </row>
    <row r="662">
      <c r="A662" s="223"/>
      <c r="B662" s="223"/>
      <c r="C662" s="223"/>
      <c r="D662" s="223"/>
      <c r="E662" s="223"/>
      <c r="F662" s="223"/>
      <c r="G662" s="223"/>
      <c r="H662" s="223"/>
    </row>
    <row r="663">
      <c r="A663" s="223"/>
      <c r="B663" s="223"/>
      <c r="C663" s="223"/>
      <c r="D663" s="223"/>
      <c r="E663" s="223"/>
      <c r="F663" s="223"/>
      <c r="G663" s="223"/>
      <c r="H663" s="223"/>
    </row>
    <row r="664">
      <c r="A664" s="223"/>
      <c r="B664" s="223"/>
      <c r="C664" s="223"/>
      <c r="D664" s="223"/>
      <c r="E664" s="223"/>
      <c r="F664" s="223"/>
      <c r="G664" s="223"/>
      <c r="H664" s="223"/>
    </row>
    <row r="665">
      <c r="A665" s="223"/>
      <c r="B665" s="223"/>
      <c r="C665" s="223"/>
      <c r="D665" s="223"/>
      <c r="E665" s="223"/>
      <c r="F665" s="223"/>
      <c r="G665" s="223"/>
      <c r="H665" s="223"/>
    </row>
    <row r="666">
      <c r="A666" s="223"/>
      <c r="B666" s="223"/>
      <c r="C666" s="223"/>
      <c r="D666" s="223"/>
      <c r="E666" s="223"/>
      <c r="F666" s="223"/>
      <c r="G666" s="223"/>
      <c r="H666" s="223"/>
    </row>
    <row r="667">
      <c r="A667" s="223"/>
      <c r="B667" s="223"/>
      <c r="C667" s="223"/>
      <c r="D667" s="223"/>
      <c r="E667" s="223"/>
      <c r="F667" s="223"/>
      <c r="G667" s="223"/>
      <c r="H667" s="223"/>
    </row>
    <row r="668">
      <c r="A668" s="223"/>
      <c r="B668" s="223"/>
      <c r="C668" s="223"/>
      <c r="D668" s="223"/>
      <c r="E668" s="223"/>
      <c r="F668" s="223"/>
      <c r="G668" s="223"/>
      <c r="H668" s="223"/>
    </row>
    <row r="669">
      <c r="A669" s="223"/>
      <c r="B669" s="223"/>
      <c r="C669" s="223"/>
      <c r="D669" s="223"/>
      <c r="E669" s="223"/>
      <c r="F669" s="223"/>
      <c r="G669" s="223"/>
      <c r="H669" s="223"/>
    </row>
    <row r="670">
      <c r="A670" s="223"/>
      <c r="B670" s="223"/>
      <c r="C670" s="223"/>
      <c r="D670" s="223"/>
      <c r="E670" s="223"/>
      <c r="F670" s="223"/>
      <c r="G670" s="223"/>
      <c r="H670" s="223"/>
    </row>
    <row r="671">
      <c r="A671" s="223"/>
      <c r="B671" s="223"/>
      <c r="C671" s="223"/>
      <c r="D671" s="223"/>
      <c r="E671" s="223"/>
      <c r="F671" s="223"/>
      <c r="G671" s="223"/>
      <c r="H671" s="223"/>
    </row>
    <row r="672">
      <c r="A672" s="223"/>
      <c r="B672" s="223"/>
      <c r="C672" s="223"/>
      <c r="D672" s="223"/>
      <c r="E672" s="223"/>
      <c r="F672" s="223"/>
      <c r="G672" s="223"/>
      <c r="H672" s="223"/>
    </row>
    <row r="673">
      <c r="A673" s="223"/>
      <c r="B673" s="223"/>
      <c r="C673" s="223"/>
      <c r="D673" s="223"/>
      <c r="E673" s="223"/>
      <c r="F673" s="223"/>
      <c r="G673" s="223"/>
      <c r="H673" s="223"/>
    </row>
    <row r="674">
      <c r="A674" s="223"/>
      <c r="B674" s="223"/>
      <c r="C674" s="223"/>
      <c r="D674" s="223"/>
      <c r="E674" s="223"/>
      <c r="F674" s="223"/>
      <c r="G674" s="223"/>
      <c r="H674" s="223"/>
    </row>
    <row r="675">
      <c r="A675" s="223"/>
      <c r="B675" s="223"/>
      <c r="C675" s="223"/>
      <c r="D675" s="223"/>
      <c r="E675" s="223"/>
      <c r="F675" s="223"/>
      <c r="G675" s="223"/>
      <c r="H675" s="223"/>
    </row>
    <row r="676">
      <c r="A676" s="223"/>
      <c r="B676" s="223"/>
      <c r="C676" s="223"/>
      <c r="D676" s="223"/>
      <c r="E676" s="223"/>
      <c r="F676" s="223"/>
      <c r="G676" s="223"/>
      <c r="H676" s="223"/>
    </row>
    <row r="677">
      <c r="A677" s="223"/>
      <c r="B677" s="223"/>
      <c r="C677" s="223"/>
      <c r="D677" s="223"/>
      <c r="E677" s="223"/>
      <c r="F677" s="223"/>
      <c r="G677" s="223"/>
      <c r="H677" s="223"/>
    </row>
    <row r="678">
      <c r="A678" s="223"/>
      <c r="B678" s="223"/>
      <c r="C678" s="223"/>
      <c r="D678" s="223"/>
      <c r="E678" s="223"/>
      <c r="F678" s="223"/>
      <c r="G678" s="223"/>
      <c r="H678" s="223"/>
    </row>
    <row r="679">
      <c r="A679" s="223"/>
      <c r="B679" s="223"/>
      <c r="C679" s="223"/>
      <c r="D679" s="223"/>
      <c r="E679" s="223"/>
      <c r="F679" s="223"/>
      <c r="G679" s="223"/>
      <c r="H679" s="223"/>
    </row>
    <row r="680">
      <c r="A680" s="223"/>
      <c r="B680" s="223"/>
      <c r="C680" s="223"/>
      <c r="D680" s="223"/>
      <c r="E680" s="223"/>
      <c r="F680" s="223"/>
      <c r="G680" s="223"/>
      <c r="H680" s="223"/>
    </row>
    <row r="681">
      <c r="A681" s="223"/>
      <c r="B681" s="223"/>
      <c r="C681" s="223"/>
      <c r="D681" s="223"/>
      <c r="E681" s="223"/>
      <c r="F681" s="223"/>
      <c r="G681" s="223"/>
      <c r="H681" s="223"/>
    </row>
    <row r="682">
      <c r="A682" s="223"/>
      <c r="B682" s="223"/>
      <c r="C682" s="223"/>
      <c r="D682" s="223"/>
      <c r="E682" s="223"/>
      <c r="F682" s="223"/>
      <c r="G682" s="223"/>
      <c r="H682" s="223"/>
    </row>
    <row r="683">
      <c r="A683" s="223"/>
      <c r="B683" s="223"/>
      <c r="C683" s="223"/>
      <c r="D683" s="223"/>
      <c r="E683" s="223"/>
      <c r="F683" s="223"/>
      <c r="G683" s="223"/>
      <c r="H683" s="223"/>
    </row>
    <row r="684">
      <c r="A684" s="223"/>
      <c r="B684" s="223"/>
      <c r="C684" s="223"/>
      <c r="D684" s="223"/>
      <c r="E684" s="223"/>
      <c r="F684" s="223"/>
      <c r="G684" s="223"/>
      <c r="H684" s="223"/>
    </row>
    <row r="685">
      <c r="A685" s="223"/>
      <c r="B685" s="223"/>
      <c r="C685" s="223"/>
      <c r="D685" s="223"/>
      <c r="E685" s="223"/>
      <c r="F685" s="223"/>
      <c r="G685" s="223"/>
      <c r="H685" s="223"/>
    </row>
    <row r="686">
      <c r="A686" s="223"/>
      <c r="B686" s="223"/>
      <c r="C686" s="223"/>
      <c r="D686" s="223"/>
      <c r="E686" s="223"/>
      <c r="F686" s="223"/>
      <c r="G686" s="223"/>
      <c r="H686" s="223"/>
    </row>
    <row r="687">
      <c r="A687" s="223"/>
      <c r="B687" s="223"/>
      <c r="C687" s="223"/>
      <c r="D687" s="223"/>
      <c r="E687" s="223"/>
      <c r="F687" s="223"/>
      <c r="G687" s="223"/>
      <c r="H687" s="223"/>
    </row>
    <row r="688">
      <c r="A688" s="223"/>
      <c r="B688" s="223"/>
      <c r="C688" s="223"/>
      <c r="D688" s="223"/>
      <c r="E688" s="223"/>
      <c r="F688" s="223"/>
      <c r="G688" s="223"/>
      <c r="H688" s="223"/>
    </row>
    <row r="689">
      <c r="A689" s="223"/>
      <c r="B689" s="223"/>
      <c r="C689" s="223"/>
      <c r="D689" s="223"/>
      <c r="E689" s="223"/>
      <c r="F689" s="223"/>
      <c r="G689" s="223"/>
      <c r="H689" s="223"/>
    </row>
    <row r="690">
      <c r="A690" s="223"/>
      <c r="B690" s="223"/>
      <c r="C690" s="223"/>
      <c r="D690" s="223"/>
      <c r="E690" s="223"/>
      <c r="F690" s="223"/>
      <c r="G690" s="223"/>
      <c r="H690" s="223"/>
    </row>
    <row r="691">
      <c r="A691" s="223"/>
      <c r="B691" s="223"/>
      <c r="C691" s="223"/>
      <c r="D691" s="223"/>
      <c r="E691" s="223"/>
      <c r="F691" s="223"/>
      <c r="G691" s="223"/>
      <c r="H691" s="223"/>
    </row>
    <row r="692">
      <c r="A692" s="223"/>
      <c r="B692" s="223"/>
      <c r="C692" s="223"/>
      <c r="D692" s="223"/>
      <c r="E692" s="223"/>
      <c r="F692" s="223"/>
      <c r="G692" s="223"/>
      <c r="H692" s="223"/>
    </row>
    <row r="693">
      <c r="A693" s="223"/>
      <c r="B693" s="223"/>
      <c r="C693" s="223"/>
      <c r="D693" s="223"/>
      <c r="E693" s="223"/>
      <c r="F693" s="223"/>
      <c r="G693" s="223"/>
      <c r="H693" s="223"/>
    </row>
    <row r="694">
      <c r="A694" s="223"/>
      <c r="B694" s="223"/>
      <c r="C694" s="223"/>
      <c r="D694" s="223"/>
      <c r="E694" s="223"/>
      <c r="F694" s="223"/>
      <c r="G694" s="223"/>
      <c r="H694" s="223"/>
    </row>
    <row r="695">
      <c r="A695" s="223"/>
      <c r="B695" s="223"/>
      <c r="C695" s="223"/>
      <c r="D695" s="223"/>
      <c r="E695" s="223"/>
      <c r="F695" s="223"/>
      <c r="G695" s="223"/>
      <c r="H695" s="223"/>
    </row>
    <row r="696">
      <c r="A696" s="223"/>
      <c r="B696" s="223"/>
      <c r="C696" s="223"/>
      <c r="D696" s="223"/>
      <c r="E696" s="223"/>
      <c r="F696" s="223"/>
      <c r="G696" s="223"/>
      <c r="H696" s="223"/>
    </row>
    <row r="697">
      <c r="A697" s="223"/>
      <c r="B697" s="223"/>
      <c r="C697" s="223"/>
      <c r="D697" s="223"/>
      <c r="E697" s="223"/>
      <c r="F697" s="223"/>
      <c r="G697" s="223"/>
      <c r="H697" s="223"/>
    </row>
    <row r="698">
      <c r="A698" s="223"/>
      <c r="B698" s="223"/>
      <c r="C698" s="223"/>
      <c r="D698" s="223"/>
      <c r="E698" s="223"/>
      <c r="F698" s="223"/>
      <c r="G698" s="223"/>
      <c r="H698" s="223"/>
    </row>
    <row r="699">
      <c r="A699" s="223"/>
      <c r="B699" s="223"/>
      <c r="C699" s="223"/>
      <c r="D699" s="223"/>
      <c r="E699" s="223"/>
      <c r="F699" s="223"/>
      <c r="G699" s="223"/>
      <c r="H699" s="223"/>
    </row>
    <row r="700">
      <c r="A700" s="223"/>
      <c r="B700" s="223"/>
      <c r="C700" s="223"/>
      <c r="D700" s="223"/>
      <c r="E700" s="223"/>
      <c r="F700" s="223"/>
      <c r="G700" s="223"/>
      <c r="H700" s="223"/>
    </row>
    <row r="701">
      <c r="A701" s="223"/>
      <c r="B701" s="223"/>
      <c r="C701" s="223"/>
      <c r="D701" s="223"/>
      <c r="E701" s="223"/>
      <c r="F701" s="223"/>
      <c r="G701" s="223"/>
      <c r="H701" s="223"/>
    </row>
    <row r="702">
      <c r="A702" s="223"/>
      <c r="B702" s="223"/>
      <c r="C702" s="223"/>
      <c r="D702" s="223"/>
      <c r="E702" s="223"/>
      <c r="F702" s="223"/>
      <c r="G702" s="223"/>
      <c r="H702" s="223"/>
    </row>
    <row r="703">
      <c r="A703" s="223"/>
      <c r="B703" s="223"/>
      <c r="C703" s="223"/>
      <c r="D703" s="223"/>
      <c r="E703" s="223"/>
      <c r="F703" s="223"/>
      <c r="G703" s="223"/>
      <c r="H703" s="223"/>
    </row>
    <row r="704">
      <c r="A704" s="223"/>
      <c r="B704" s="223"/>
      <c r="C704" s="223"/>
      <c r="D704" s="223"/>
      <c r="E704" s="223"/>
      <c r="F704" s="223"/>
      <c r="G704" s="223"/>
      <c r="H704" s="223"/>
    </row>
    <row r="705">
      <c r="A705" s="223"/>
      <c r="B705" s="223"/>
      <c r="C705" s="223"/>
      <c r="D705" s="223"/>
      <c r="E705" s="223"/>
      <c r="F705" s="223"/>
      <c r="G705" s="223"/>
      <c r="H705" s="223"/>
    </row>
    <row r="706">
      <c r="A706" s="223"/>
      <c r="B706" s="223"/>
      <c r="C706" s="223"/>
      <c r="D706" s="223"/>
      <c r="E706" s="223"/>
      <c r="F706" s="223"/>
      <c r="G706" s="223"/>
      <c r="H706" s="223"/>
    </row>
    <row r="707">
      <c r="A707" s="223"/>
      <c r="B707" s="223"/>
      <c r="C707" s="223"/>
      <c r="D707" s="223"/>
      <c r="E707" s="223"/>
      <c r="F707" s="223"/>
      <c r="G707" s="223"/>
      <c r="H707" s="223"/>
    </row>
    <row r="708">
      <c r="A708" s="223"/>
      <c r="B708" s="223"/>
      <c r="C708" s="223"/>
      <c r="D708" s="223"/>
      <c r="E708" s="223"/>
      <c r="F708" s="223"/>
      <c r="G708" s="223"/>
      <c r="H708" s="223"/>
    </row>
    <row r="709">
      <c r="A709" s="223"/>
      <c r="B709" s="223"/>
      <c r="C709" s="223"/>
      <c r="D709" s="223"/>
      <c r="E709" s="223"/>
      <c r="F709" s="223"/>
      <c r="G709" s="223"/>
      <c r="H709" s="223"/>
    </row>
    <row r="710">
      <c r="A710" s="223"/>
      <c r="B710" s="223"/>
      <c r="C710" s="223"/>
      <c r="D710" s="223"/>
      <c r="E710" s="223"/>
      <c r="F710" s="223"/>
      <c r="G710" s="223"/>
      <c r="H710" s="223"/>
    </row>
    <row r="711">
      <c r="A711" s="223"/>
      <c r="B711" s="223"/>
      <c r="C711" s="223"/>
      <c r="D711" s="223"/>
      <c r="E711" s="223"/>
      <c r="F711" s="223"/>
      <c r="G711" s="223"/>
      <c r="H711" s="223"/>
    </row>
    <row r="712">
      <c r="A712" s="223"/>
      <c r="B712" s="223"/>
      <c r="C712" s="223"/>
      <c r="D712" s="223"/>
      <c r="E712" s="223"/>
      <c r="F712" s="223"/>
      <c r="G712" s="223"/>
      <c r="H712" s="223"/>
    </row>
    <row r="713">
      <c r="A713" s="223"/>
      <c r="B713" s="223"/>
      <c r="C713" s="223"/>
      <c r="D713" s="223"/>
      <c r="E713" s="223"/>
      <c r="F713" s="223"/>
      <c r="G713" s="223"/>
      <c r="H713" s="223"/>
    </row>
    <row r="714">
      <c r="A714" s="223"/>
      <c r="B714" s="223"/>
      <c r="C714" s="223"/>
      <c r="D714" s="223"/>
      <c r="E714" s="223"/>
      <c r="F714" s="223"/>
      <c r="G714" s="223"/>
      <c r="H714" s="223"/>
    </row>
    <row r="715">
      <c r="A715" s="223"/>
      <c r="B715" s="223"/>
      <c r="C715" s="223"/>
      <c r="D715" s="223"/>
      <c r="E715" s="223"/>
      <c r="F715" s="223"/>
      <c r="G715" s="223"/>
      <c r="H715" s="223"/>
    </row>
    <row r="716">
      <c r="A716" s="223"/>
      <c r="B716" s="223"/>
      <c r="C716" s="223"/>
      <c r="D716" s="223"/>
      <c r="E716" s="223"/>
      <c r="F716" s="223"/>
      <c r="G716" s="223"/>
      <c r="H716" s="223"/>
    </row>
    <row r="717">
      <c r="A717" s="223"/>
      <c r="B717" s="223"/>
      <c r="C717" s="223"/>
      <c r="D717" s="223"/>
      <c r="E717" s="223"/>
      <c r="F717" s="223"/>
      <c r="G717" s="223"/>
      <c r="H717" s="223"/>
    </row>
    <row r="718">
      <c r="A718" s="223"/>
      <c r="B718" s="223"/>
      <c r="C718" s="223"/>
      <c r="D718" s="223"/>
      <c r="E718" s="223"/>
      <c r="F718" s="223"/>
      <c r="G718" s="223"/>
      <c r="H718" s="223"/>
    </row>
    <row r="719">
      <c r="A719" s="223"/>
      <c r="B719" s="223"/>
      <c r="C719" s="223"/>
      <c r="D719" s="223"/>
      <c r="E719" s="223"/>
      <c r="F719" s="223"/>
      <c r="G719" s="223"/>
      <c r="H719" s="223"/>
    </row>
    <row r="720">
      <c r="A720" s="223"/>
      <c r="B720" s="223"/>
      <c r="C720" s="223"/>
      <c r="D720" s="223"/>
      <c r="E720" s="223"/>
      <c r="F720" s="223"/>
      <c r="G720" s="223"/>
      <c r="H720" s="223"/>
    </row>
    <row r="721">
      <c r="A721" s="223"/>
      <c r="B721" s="223"/>
      <c r="C721" s="223"/>
      <c r="D721" s="223"/>
      <c r="E721" s="223"/>
      <c r="F721" s="223"/>
      <c r="G721" s="223"/>
      <c r="H721" s="223"/>
    </row>
    <row r="722">
      <c r="A722" s="223"/>
      <c r="B722" s="223"/>
      <c r="C722" s="223"/>
      <c r="D722" s="223"/>
      <c r="E722" s="223"/>
      <c r="F722" s="223"/>
      <c r="G722" s="223"/>
      <c r="H722" s="223"/>
    </row>
    <row r="723">
      <c r="A723" s="223"/>
      <c r="B723" s="223"/>
      <c r="C723" s="223"/>
      <c r="D723" s="223"/>
      <c r="E723" s="223"/>
      <c r="F723" s="223"/>
      <c r="G723" s="223"/>
      <c r="H723" s="223"/>
    </row>
    <row r="724">
      <c r="A724" s="223"/>
      <c r="B724" s="223"/>
      <c r="C724" s="223"/>
      <c r="D724" s="223"/>
      <c r="E724" s="223"/>
      <c r="F724" s="223"/>
      <c r="G724" s="223"/>
      <c r="H724" s="223"/>
    </row>
    <row r="725">
      <c r="A725" s="223"/>
      <c r="B725" s="223"/>
      <c r="C725" s="223"/>
      <c r="D725" s="223"/>
      <c r="E725" s="223"/>
      <c r="F725" s="223"/>
      <c r="G725" s="223"/>
      <c r="H725" s="223"/>
    </row>
    <row r="726">
      <c r="A726" s="223"/>
      <c r="B726" s="223"/>
      <c r="C726" s="223"/>
      <c r="D726" s="223"/>
      <c r="E726" s="223"/>
      <c r="F726" s="223"/>
      <c r="G726" s="223"/>
      <c r="H726" s="223"/>
    </row>
    <row r="727">
      <c r="A727" s="223"/>
      <c r="B727" s="223"/>
      <c r="C727" s="223"/>
      <c r="D727" s="223"/>
      <c r="E727" s="223"/>
      <c r="F727" s="223"/>
      <c r="G727" s="223"/>
      <c r="H727" s="223"/>
    </row>
    <row r="728">
      <c r="A728" s="223"/>
      <c r="B728" s="223"/>
      <c r="C728" s="223"/>
      <c r="D728" s="223"/>
      <c r="E728" s="223"/>
      <c r="F728" s="223"/>
      <c r="G728" s="223"/>
      <c r="H728" s="223"/>
    </row>
    <row r="729">
      <c r="A729" s="223"/>
      <c r="B729" s="223"/>
      <c r="C729" s="223"/>
      <c r="D729" s="223"/>
      <c r="E729" s="223"/>
      <c r="F729" s="223"/>
      <c r="G729" s="223"/>
      <c r="H729" s="223"/>
    </row>
    <row r="730">
      <c r="A730" s="223"/>
      <c r="B730" s="223"/>
      <c r="C730" s="223"/>
      <c r="D730" s="223"/>
      <c r="E730" s="223"/>
      <c r="F730" s="223"/>
      <c r="G730" s="223"/>
      <c r="H730" s="223"/>
    </row>
    <row r="731">
      <c r="A731" s="223"/>
      <c r="B731" s="223"/>
      <c r="C731" s="223"/>
      <c r="D731" s="223"/>
      <c r="E731" s="223"/>
      <c r="F731" s="223"/>
      <c r="G731" s="223"/>
      <c r="H731" s="223"/>
    </row>
    <row r="732">
      <c r="A732" s="223"/>
      <c r="B732" s="223"/>
      <c r="C732" s="223"/>
      <c r="D732" s="223"/>
      <c r="E732" s="223"/>
      <c r="F732" s="223"/>
      <c r="G732" s="223"/>
      <c r="H732" s="223"/>
    </row>
    <row r="733">
      <c r="A733" s="223"/>
      <c r="B733" s="223"/>
      <c r="C733" s="223"/>
      <c r="D733" s="223"/>
      <c r="E733" s="223"/>
      <c r="F733" s="223"/>
      <c r="G733" s="223"/>
      <c r="H733" s="223"/>
    </row>
    <row r="734">
      <c r="A734" s="223"/>
      <c r="B734" s="223"/>
      <c r="C734" s="223"/>
      <c r="D734" s="223"/>
      <c r="E734" s="223"/>
      <c r="F734" s="223"/>
      <c r="G734" s="223"/>
      <c r="H734" s="223"/>
    </row>
    <row r="735">
      <c r="A735" s="223"/>
      <c r="B735" s="223"/>
      <c r="C735" s="223"/>
      <c r="D735" s="223"/>
      <c r="E735" s="223"/>
      <c r="F735" s="223"/>
      <c r="G735" s="223"/>
      <c r="H735" s="223"/>
    </row>
    <row r="736">
      <c r="A736" s="223"/>
      <c r="B736" s="223"/>
      <c r="C736" s="223"/>
      <c r="D736" s="223"/>
      <c r="E736" s="223"/>
      <c r="F736" s="223"/>
      <c r="G736" s="223"/>
      <c r="H736" s="223"/>
    </row>
    <row r="737">
      <c r="A737" s="223"/>
      <c r="B737" s="223"/>
      <c r="C737" s="223"/>
      <c r="D737" s="223"/>
      <c r="E737" s="223"/>
      <c r="F737" s="223"/>
      <c r="G737" s="223"/>
      <c r="H737" s="223"/>
    </row>
    <row r="738">
      <c r="A738" s="223"/>
      <c r="B738" s="223"/>
      <c r="C738" s="223"/>
      <c r="D738" s="223"/>
      <c r="E738" s="223"/>
      <c r="F738" s="223"/>
      <c r="G738" s="223"/>
      <c r="H738" s="223"/>
    </row>
    <row r="739">
      <c r="A739" s="223"/>
      <c r="B739" s="223"/>
      <c r="C739" s="223"/>
      <c r="D739" s="223"/>
      <c r="E739" s="223"/>
      <c r="F739" s="223"/>
      <c r="G739" s="223"/>
      <c r="H739" s="223"/>
    </row>
    <row r="740">
      <c r="A740" s="223"/>
      <c r="B740" s="223"/>
      <c r="C740" s="223"/>
      <c r="D740" s="223"/>
      <c r="E740" s="223"/>
      <c r="F740" s="223"/>
      <c r="G740" s="223"/>
      <c r="H740" s="223"/>
    </row>
    <row r="741">
      <c r="A741" s="223"/>
      <c r="B741" s="223"/>
      <c r="C741" s="223"/>
      <c r="D741" s="223"/>
      <c r="E741" s="223"/>
      <c r="F741" s="223"/>
      <c r="G741" s="223"/>
      <c r="H741" s="223"/>
    </row>
    <row r="742">
      <c r="A742" s="223"/>
      <c r="B742" s="223"/>
      <c r="C742" s="223"/>
      <c r="D742" s="223"/>
      <c r="E742" s="223"/>
      <c r="F742" s="223"/>
      <c r="G742" s="223"/>
      <c r="H742" s="223"/>
    </row>
    <row r="743">
      <c r="A743" s="223"/>
      <c r="B743" s="223"/>
      <c r="C743" s="223"/>
      <c r="D743" s="223"/>
      <c r="E743" s="223"/>
      <c r="F743" s="223"/>
      <c r="G743" s="223"/>
      <c r="H743" s="223"/>
    </row>
    <row r="744">
      <c r="A744" s="223"/>
      <c r="B744" s="223"/>
      <c r="C744" s="223"/>
      <c r="D744" s="223"/>
      <c r="E744" s="223"/>
      <c r="F744" s="223"/>
      <c r="G744" s="223"/>
      <c r="H744" s="223"/>
    </row>
    <row r="745">
      <c r="A745" s="223"/>
      <c r="B745" s="223"/>
      <c r="C745" s="223"/>
      <c r="D745" s="223"/>
      <c r="E745" s="223"/>
      <c r="F745" s="223"/>
      <c r="G745" s="223"/>
      <c r="H745" s="223"/>
    </row>
    <row r="746">
      <c r="A746" s="223"/>
      <c r="B746" s="223"/>
      <c r="C746" s="223"/>
      <c r="D746" s="223"/>
      <c r="E746" s="223"/>
      <c r="F746" s="223"/>
      <c r="G746" s="223"/>
      <c r="H746" s="223"/>
    </row>
    <row r="747">
      <c r="A747" s="223"/>
      <c r="B747" s="223"/>
      <c r="C747" s="223"/>
      <c r="D747" s="223"/>
      <c r="E747" s="223"/>
      <c r="F747" s="223"/>
      <c r="G747" s="223"/>
      <c r="H747" s="223"/>
    </row>
    <row r="748">
      <c r="A748" s="223"/>
      <c r="B748" s="223"/>
      <c r="C748" s="223"/>
      <c r="D748" s="223"/>
      <c r="E748" s="223"/>
      <c r="F748" s="223"/>
      <c r="G748" s="223"/>
      <c r="H748" s="223"/>
    </row>
    <row r="749">
      <c r="A749" s="223"/>
      <c r="B749" s="223"/>
      <c r="C749" s="223"/>
      <c r="D749" s="223"/>
      <c r="E749" s="223"/>
      <c r="F749" s="223"/>
      <c r="G749" s="223"/>
      <c r="H749" s="223"/>
    </row>
    <row r="750">
      <c r="A750" s="223"/>
      <c r="B750" s="223"/>
      <c r="C750" s="223"/>
      <c r="D750" s="223"/>
      <c r="E750" s="223"/>
      <c r="F750" s="223"/>
      <c r="G750" s="223"/>
      <c r="H750" s="223"/>
    </row>
    <row r="751">
      <c r="A751" s="223"/>
      <c r="B751" s="223"/>
      <c r="C751" s="223"/>
      <c r="D751" s="223"/>
      <c r="E751" s="223"/>
      <c r="F751" s="223"/>
      <c r="G751" s="223"/>
      <c r="H751" s="223"/>
    </row>
    <row r="752">
      <c r="A752" s="223"/>
      <c r="B752" s="223"/>
      <c r="C752" s="223"/>
      <c r="D752" s="223"/>
      <c r="E752" s="223"/>
      <c r="F752" s="223"/>
      <c r="G752" s="223"/>
      <c r="H752" s="223"/>
    </row>
    <row r="753">
      <c r="A753" s="223"/>
      <c r="B753" s="223"/>
      <c r="C753" s="223"/>
      <c r="D753" s="223"/>
      <c r="E753" s="223"/>
      <c r="F753" s="223"/>
      <c r="G753" s="223"/>
      <c r="H753" s="223"/>
    </row>
    <row r="754">
      <c r="A754" s="223"/>
      <c r="B754" s="223"/>
      <c r="C754" s="223"/>
      <c r="D754" s="223"/>
      <c r="E754" s="223"/>
      <c r="F754" s="223"/>
      <c r="G754" s="223"/>
      <c r="H754" s="223"/>
    </row>
    <row r="755">
      <c r="A755" s="223"/>
      <c r="B755" s="223"/>
      <c r="C755" s="223"/>
      <c r="D755" s="223"/>
      <c r="E755" s="223"/>
      <c r="F755" s="223"/>
      <c r="G755" s="223"/>
      <c r="H755" s="223"/>
    </row>
    <row r="756">
      <c r="A756" s="223"/>
      <c r="B756" s="223"/>
      <c r="C756" s="223"/>
      <c r="D756" s="223"/>
      <c r="E756" s="223"/>
      <c r="F756" s="223"/>
      <c r="G756" s="223"/>
      <c r="H756" s="223"/>
    </row>
    <row r="757">
      <c r="A757" s="223"/>
      <c r="B757" s="223"/>
      <c r="C757" s="223"/>
      <c r="D757" s="223"/>
      <c r="E757" s="223"/>
      <c r="F757" s="223"/>
      <c r="G757" s="223"/>
      <c r="H757" s="223"/>
    </row>
    <row r="758">
      <c r="A758" s="223"/>
      <c r="B758" s="223"/>
      <c r="C758" s="223"/>
      <c r="D758" s="223"/>
      <c r="E758" s="223"/>
      <c r="F758" s="223"/>
      <c r="G758" s="223"/>
      <c r="H758" s="223"/>
    </row>
    <row r="759">
      <c r="A759" s="223"/>
      <c r="B759" s="223"/>
      <c r="C759" s="223"/>
      <c r="D759" s="223"/>
      <c r="E759" s="223"/>
      <c r="F759" s="223"/>
      <c r="G759" s="223"/>
      <c r="H759" s="223"/>
    </row>
    <row r="760">
      <c r="A760" s="223"/>
      <c r="B760" s="223"/>
      <c r="C760" s="223"/>
      <c r="D760" s="223"/>
      <c r="E760" s="223"/>
      <c r="F760" s="223"/>
      <c r="G760" s="223"/>
      <c r="H760" s="223"/>
    </row>
    <row r="761">
      <c r="A761" s="223"/>
      <c r="B761" s="223"/>
      <c r="C761" s="223"/>
      <c r="D761" s="223"/>
      <c r="E761" s="223"/>
      <c r="F761" s="223"/>
      <c r="G761" s="223"/>
      <c r="H761" s="223"/>
    </row>
    <row r="762">
      <c r="A762" s="223"/>
      <c r="B762" s="223"/>
      <c r="C762" s="223"/>
      <c r="D762" s="223"/>
      <c r="E762" s="223"/>
      <c r="F762" s="223"/>
      <c r="G762" s="223"/>
      <c r="H762" s="223"/>
    </row>
    <row r="763">
      <c r="A763" s="223"/>
      <c r="B763" s="223"/>
      <c r="C763" s="223"/>
      <c r="D763" s="223"/>
      <c r="E763" s="223"/>
      <c r="F763" s="223"/>
      <c r="G763" s="223"/>
      <c r="H763" s="223"/>
    </row>
    <row r="764">
      <c r="A764" s="223"/>
      <c r="B764" s="223"/>
      <c r="C764" s="223"/>
      <c r="D764" s="223"/>
      <c r="E764" s="223"/>
      <c r="F764" s="223"/>
      <c r="G764" s="223"/>
      <c r="H764" s="223"/>
    </row>
    <row r="765">
      <c r="A765" s="223"/>
      <c r="B765" s="223"/>
      <c r="C765" s="223"/>
      <c r="D765" s="223"/>
      <c r="E765" s="223"/>
      <c r="F765" s="223"/>
      <c r="G765" s="223"/>
      <c r="H765" s="223"/>
    </row>
    <row r="766">
      <c r="A766" s="223"/>
      <c r="B766" s="223"/>
      <c r="C766" s="223"/>
      <c r="D766" s="223"/>
      <c r="E766" s="223"/>
      <c r="F766" s="223"/>
      <c r="G766" s="223"/>
      <c r="H766" s="223"/>
    </row>
    <row r="767">
      <c r="A767" s="223"/>
      <c r="B767" s="223"/>
      <c r="C767" s="223"/>
      <c r="D767" s="223"/>
      <c r="E767" s="223"/>
      <c r="F767" s="223"/>
      <c r="G767" s="223"/>
      <c r="H767" s="223"/>
    </row>
    <row r="768">
      <c r="A768" s="223"/>
      <c r="B768" s="223"/>
      <c r="C768" s="223"/>
      <c r="D768" s="223"/>
      <c r="E768" s="223"/>
      <c r="F768" s="223"/>
      <c r="G768" s="223"/>
      <c r="H768" s="223"/>
    </row>
    <row r="769">
      <c r="A769" s="223"/>
      <c r="B769" s="223"/>
      <c r="C769" s="223"/>
      <c r="D769" s="223"/>
      <c r="E769" s="223"/>
      <c r="F769" s="223"/>
      <c r="G769" s="223"/>
      <c r="H769" s="223"/>
    </row>
    <row r="770">
      <c r="A770" s="223"/>
      <c r="B770" s="223"/>
      <c r="C770" s="223"/>
      <c r="D770" s="223"/>
      <c r="E770" s="223"/>
      <c r="F770" s="223"/>
      <c r="G770" s="223"/>
      <c r="H770" s="223"/>
    </row>
    <row r="771">
      <c r="A771" s="223"/>
      <c r="B771" s="223"/>
      <c r="C771" s="223"/>
      <c r="D771" s="223"/>
      <c r="E771" s="223"/>
      <c r="F771" s="223"/>
      <c r="G771" s="223"/>
      <c r="H771" s="223"/>
    </row>
    <row r="772">
      <c r="A772" s="223"/>
      <c r="B772" s="223"/>
      <c r="C772" s="223"/>
      <c r="D772" s="223"/>
      <c r="E772" s="223"/>
      <c r="F772" s="223"/>
      <c r="G772" s="223"/>
      <c r="H772" s="223"/>
    </row>
    <row r="773">
      <c r="A773" s="223"/>
      <c r="B773" s="223"/>
      <c r="C773" s="223"/>
      <c r="D773" s="223"/>
      <c r="E773" s="223"/>
      <c r="F773" s="223"/>
      <c r="G773" s="223"/>
      <c r="H773" s="223"/>
    </row>
    <row r="774">
      <c r="A774" s="223"/>
      <c r="B774" s="223"/>
      <c r="C774" s="223"/>
      <c r="D774" s="223"/>
      <c r="E774" s="223"/>
      <c r="F774" s="223"/>
      <c r="G774" s="223"/>
      <c r="H774" s="223"/>
    </row>
    <row r="775">
      <c r="A775" s="223"/>
      <c r="B775" s="223"/>
      <c r="C775" s="223"/>
      <c r="D775" s="223"/>
      <c r="E775" s="223"/>
      <c r="F775" s="223"/>
      <c r="G775" s="223"/>
      <c r="H775" s="223"/>
    </row>
    <row r="776">
      <c r="A776" s="223"/>
      <c r="B776" s="223"/>
      <c r="C776" s="223"/>
      <c r="D776" s="223"/>
      <c r="E776" s="223"/>
      <c r="F776" s="223"/>
      <c r="G776" s="223"/>
      <c r="H776" s="223"/>
    </row>
    <row r="777">
      <c r="A777" s="223"/>
      <c r="B777" s="223"/>
      <c r="C777" s="223"/>
      <c r="D777" s="223"/>
      <c r="E777" s="223"/>
      <c r="F777" s="223"/>
      <c r="G777" s="223"/>
      <c r="H777" s="223"/>
    </row>
    <row r="778">
      <c r="A778" s="223"/>
      <c r="B778" s="223"/>
      <c r="C778" s="223"/>
      <c r="D778" s="223"/>
      <c r="E778" s="223"/>
      <c r="F778" s="223"/>
      <c r="G778" s="223"/>
      <c r="H778" s="223"/>
    </row>
    <row r="779">
      <c r="A779" s="223"/>
      <c r="B779" s="223"/>
      <c r="C779" s="223"/>
      <c r="D779" s="223"/>
      <c r="E779" s="223"/>
      <c r="F779" s="223"/>
      <c r="G779" s="223"/>
      <c r="H779" s="223"/>
    </row>
    <row r="780">
      <c r="A780" s="223"/>
      <c r="B780" s="223"/>
      <c r="C780" s="223"/>
      <c r="D780" s="223"/>
      <c r="E780" s="223"/>
      <c r="F780" s="223"/>
      <c r="G780" s="223"/>
      <c r="H780" s="223"/>
    </row>
    <row r="781">
      <c r="A781" s="223"/>
      <c r="B781" s="223"/>
      <c r="C781" s="223"/>
      <c r="D781" s="223"/>
      <c r="E781" s="223"/>
      <c r="F781" s="223"/>
      <c r="G781" s="223"/>
      <c r="H781" s="223"/>
    </row>
    <row r="782">
      <c r="A782" s="223"/>
      <c r="B782" s="223"/>
      <c r="C782" s="223"/>
      <c r="D782" s="223"/>
      <c r="E782" s="223"/>
      <c r="F782" s="223"/>
      <c r="G782" s="223"/>
      <c r="H782" s="223"/>
    </row>
    <row r="783">
      <c r="A783" s="223"/>
      <c r="B783" s="223"/>
      <c r="C783" s="223"/>
      <c r="D783" s="223"/>
      <c r="E783" s="223"/>
      <c r="F783" s="223"/>
      <c r="G783" s="223"/>
      <c r="H783" s="223"/>
    </row>
    <row r="784">
      <c r="A784" s="223"/>
      <c r="B784" s="223"/>
      <c r="C784" s="223"/>
      <c r="D784" s="223"/>
      <c r="E784" s="223"/>
      <c r="F784" s="223"/>
      <c r="G784" s="223"/>
      <c r="H784" s="223"/>
    </row>
    <row r="785">
      <c r="A785" s="223"/>
      <c r="B785" s="223"/>
      <c r="C785" s="223"/>
      <c r="D785" s="223"/>
      <c r="E785" s="223"/>
      <c r="F785" s="223"/>
      <c r="G785" s="223"/>
      <c r="H785" s="223"/>
    </row>
    <row r="786">
      <c r="A786" s="223"/>
      <c r="B786" s="223"/>
      <c r="C786" s="223"/>
      <c r="D786" s="223"/>
      <c r="E786" s="223"/>
      <c r="F786" s="223"/>
      <c r="G786" s="223"/>
      <c r="H786" s="223"/>
    </row>
    <row r="787">
      <c r="A787" s="223"/>
      <c r="B787" s="223"/>
      <c r="C787" s="223"/>
      <c r="D787" s="223"/>
      <c r="E787" s="223"/>
      <c r="F787" s="223"/>
      <c r="G787" s="223"/>
      <c r="H787" s="223"/>
    </row>
    <row r="788">
      <c r="A788" s="223"/>
      <c r="B788" s="223"/>
      <c r="C788" s="223"/>
      <c r="D788" s="223"/>
      <c r="E788" s="223"/>
      <c r="F788" s="223"/>
      <c r="G788" s="223"/>
      <c r="H788" s="223"/>
    </row>
    <row r="789">
      <c r="A789" s="223"/>
      <c r="B789" s="223"/>
      <c r="C789" s="223"/>
      <c r="D789" s="223"/>
      <c r="E789" s="223"/>
      <c r="F789" s="223"/>
      <c r="G789" s="223"/>
      <c r="H789" s="223"/>
    </row>
    <row r="790">
      <c r="A790" s="223"/>
      <c r="B790" s="223"/>
      <c r="C790" s="223"/>
      <c r="D790" s="223"/>
      <c r="E790" s="223"/>
      <c r="F790" s="223"/>
      <c r="G790" s="223"/>
      <c r="H790" s="223"/>
    </row>
    <row r="791">
      <c r="A791" s="223"/>
      <c r="B791" s="223"/>
      <c r="C791" s="223"/>
      <c r="D791" s="223"/>
      <c r="E791" s="223"/>
      <c r="F791" s="223"/>
      <c r="G791" s="223"/>
      <c r="H791" s="223"/>
    </row>
    <row r="792">
      <c r="A792" s="223"/>
      <c r="B792" s="223"/>
      <c r="C792" s="223"/>
      <c r="D792" s="223"/>
      <c r="E792" s="223"/>
      <c r="F792" s="223"/>
      <c r="G792" s="223"/>
      <c r="H792" s="223"/>
    </row>
    <row r="793">
      <c r="A793" s="223"/>
      <c r="B793" s="223"/>
      <c r="C793" s="223"/>
      <c r="D793" s="223"/>
      <c r="E793" s="223"/>
      <c r="F793" s="223"/>
      <c r="G793" s="223"/>
      <c r="H793" s="223"/>
    </row>
    <row r="794">
      <c r="A794" s="223"/>
      <c r="B794" s="223"/>
      <c r="C794" s="223"/>
      <c r="D794" s="223"/>
      <c r="E794" s="223"/>
      <c r="F794" s="223"/>
      <c r="G794" s="223"/>
      <c r="H794" s="223"/>
    </row>
    <row r="795">
      <c r="A795" s="223"/>
      <c r="B795" s="223"/>
      <c r="C795" s="223"/>
      <c r="D795" s="223"/>
      <c r="E795" s="223"/>
      <c r="F795" s="223"/>
      <c r="G795" s="223"/>
      <c r="H795" s="223"/>
    </row>
    <row r="796">
      <c r="A796" s="223"/>
      <c r="B796" s="223"/>
      <c r="C796" s="223"/>
      <c r="D796" s="223"/>
      <c r="E796" s="223"/>
      <c r="F796" s="223"/>
      <c r="G796" s="223"/>
      <c r="H796" s="223"/>
    </row>
    <row r="797">
      <c r="A797" s="223"/>
      <c r="B797" s="223"/>
      <c r="C797" s="223"/>
      <c r="D797" s="223"/>
      <c r="E797" s="223"/>
      <c r="F797" s="223"/>
      <c r="G797" s="223"/>
      <c r="H797" s="223"/>
    </row>
    <row r="798">
      <c r="A798" s="223"/>
      <c r="B798" s="223"/>
      <c r="C798" s="223"/>
      <c r="D798" s="223"/>
      <c r="E798" s="223"/>
      <c r="F798" s="223"/>
      <c r="G798" s="223"/>
      <c r="H798" s="223"/>
    </row>
    <row r="799">
      <c r="A799" s="223"/>
      <c r="B799" s="223"/>
      <c r="C799" s="223"/>
      <c r="D799" s="223"/>
      <c r="E799" s="223"/>
      <c r="F799" s="223"/>
      <c r="G799" s="223"/>
      <c r="H799" s="223"/>
    </row>
    <row r="800">
      <c r="A800" s="223"/>
      <c r="B800" s="223"/>
      <c r="C800" s="223"/>
      <c r="D800" s="223"/>
      <c r="E800" s="223"/>
      <c r="F800" s="223"/>
      <c r="G800" s="223"/>
      <c r="H800" s="223"/>
    </row>
    <row r="801">
      <c r="A801" s="223"/>
      <c r="B801" s="223"/>
      <c r="C801" s="223"/>
      <c r="D801" s="223"/>
      <c r="E801" s="223"/>
      <c r="F801" s="223"/>
      <c r="G801" s="223"/>
      <c r="H801" s="223"/>
    </row>
    <row r="802">
      <c r="A802" s="223"/>
      <c r="B802" s="223"/>
      <c r="C802" s="223"/>
      <c r="D802" s="223"/>
      <c r="E802" s="223"/>
      <c r="F802" s="223"/>
      <c r="G802" s="223"/>
      <c r="H802" s="223"/>
    </row>
    <row r="803">
      <c r="A803" s="223"/>
      <c r="B803" s="223"/>
      <c r="C803" s="223"/>
      <c r="D803" s="223"/>
      <c r="E803" s="223"/>
      <c r="F803" s="223"/>
      <c r="G803" s="223"/>
      <c r="H803" s="223"/>
    </row>
    <row r="804">
      <c r="A804" s="223"/>
      <c r="B804" s="223"/>
      <c r="C804" s="223"/>
      <c r="D804" s="223"/>
      <c r="E804" s="223"/>
      <c r="F804" s="223"/>
      <c r="G804" s="223"/>
      <c r="H804" s="223"/>
    </row>
    <row r="805">
      <c r="A805" s="223"/>
      <c r="B805" s="223"/>
      <c r="C805" s="223"/>
      <c r="D805" s="223"/>
      <c r="E805" s="223"/>
      <c r="F805" s="223"/>
      <c r="G805" s="223"/>
      <c r="H805" s="223"/>
    </row>
    <row r="806">
      <c r="A806" s="223"/>
      <c r="B806" s="223"/>
      <c r="C806" s="223"/>
      <c r="D806" s="223"/>
      <c r="E806" s="223"/>
      <c r="F806" s="223"/>
      <c r="G806" s="223"/>
      <c r="H806" s="223"/>
    </row>
    <row r="807">
      <c r="A807" s="223"/>
      <c r="B807" s="223"/>
      <c r="C807" s="223"/>
      <c r="D807" s="223"/>
      <c r="E807" s="223"/>
      <c r="F807" s="223"/>
      <c r="G807" s="223"/>
      <c r="H807" s="223"/>
    </row>
    <row r="808">
      <c r="A808" s="223"/>
      <c r="B808" s="223"/>
      <c r="C808" s="223"/>
      <c r="D808" s="223"/>
      <c r="E808" s="223"/>
      <c r="F808" s="223"/>
      <c r="G808" s="223"/>
      <c r="H808" s="223"/>
    </row>
    <row r="809">
      <c r="A809" s="223"/>
      <c r="B809" s="223"/>
      <c r="C809" s="223"/>
      <c r="D809" s="223"/>
      <c r="E809" s="223"/>
      <c r="F809" s="223"/>
      <c r="G809" s="223"/>
      <c r="H809" s="223"/>
    </row>
    <row r="810">
      <c r="A810" s="223"/>
      <c r="B810" s="223"/>
      <c r="C810" s="223"/>
      <c r="D810" s="223"/>
      <c r="E810" s="223"/>
      <c r="F810" s="223"/>
      <c r="G810" s="223"/>
      <c r="H810" s="223"/>
    </row>
    <row r="811">
      <c r="A811" s="223"/>
      <c r="B811" s="223"/>
      <c r="C811" s="223"/>
      <c r="D811" s="223"/>
      <c r="E811" s="223"/>
      <c r="F811" s="223"/>
      <c r="G811" s="223"/>
      <c r="H811" s="223"/>
    </row>
    <row r="812">
      <c r="A812" s="223"/>
      <c r="B812" s="223"/>
      <c r="C812" s="223"/>
      <c r="D812" s="223"/>
      <c r="E812" s="223"/>
      <c r="F812" s="223"/>
      <c r="G812" s="223"/>
      <c r="H812" s="223"/>
    </row>
    <row r="813">
      <c r="A813" s="223"/>
      <c r="B813" s="223"/>
      <c r="C813" s="223"/>
      <c r="D813" s="223"/>
      <c r="E813" s="223"/>
      <c r="F813" s="223"/>
      <c r="G813" s="223"/>
      <c r="H813" s="223"/>
    </row>
    <row r="814">
      <c r="A814" s="223"/>
      <c r="B814" s="223"/>
      <c r="C814" s="223"/>
      <c r="D814" s="223"/>
      <c r="E814" s="223"/>
      <c r="F814" s="223"/>
      <c r="G814" s="223"/>
      <c r="H814" s="223"/>
    </row>
    <row r="815">
      <c r="A815" s="223"/>
      <c r="B815" s="223"/>
      <c r="C815" s="223"/>
      <c r="D815" s="223"/>
      <c r="E815" s="223"/>
      <c r="F815" s="223"/>
      <c r="G815" s="223"/>
      <c r="H815" s="223"/>
    </row>
    <row r="816">
      <c r="A816" s="223"/>
      <c r="B816" s="223"/>
      <c r="C816" s="223"/>
      <c r="D816" s="223"/>
      <c r="E816" s="223"/>
      <c r="F816" s="223"/>
      <c r="G816" s="223"/>
      <c r="H816" s="223"/>
    </row>
    <row r="817">
      <c r="A817" s="223"/>
      <c r="B817" s="223"/>
      <c r="C817" s="223"/>
      <c r="D817" s="223"/>
      <c r="E817" s="223"/>
      <c r="F817" s="223"/>
      <c r="G817" s="223"/>
      <c r="H817" s="223"/>
    </row>
    <row r="818">
      <c r="A818" s="223"/>
      <c r="B818" s="223"/>
      <c r="C818" s="223"/>
      <c r="D818" s="223"/>
      <c r="E818" s="223"/>
      <c r="F818" s="223"/>
      <c r="G818" s="223"/>
      <c r="H818" s="223"/>
    </row>
    <row r="819">
      <c r="A819" s="223"/>
      <c r="B819" s="223"/>
      <c r="C819" s="223"/>
      <c r="D819" s="223"/>
      <c r="E819" s="223"/>
      <c r="F819" s="223"/>
      <c r="G819" s="223"/>
      <c r="H819" s="223"/>
    </row>
    <row r="820">
      <c r="A820" s="223"/>
      <c r="B820" s="223"/>
      <c r="C820" s="223"/>
      <c r="D820" s="223"/>
      <c r="E820" s="223"/>
      <c r="F820" s="223"/>
      <c r="G820" s="223"/>
      <c r="H820" s="223"/>
    </row>
    <row r="821">
      <c r="A821" s="223"/>
      <c r="B821" s="223"/>
      <c r="C821" s="223"/>
      <c r="D821" s="223"/>
      <c r="E821" s="223"/>
      <c r="F821" s="223"/>
      <c r="G821" s="223"/>
      <c r="H821" s="223"/>
    </row>
    <row r="822">
      <c r="A822" s="223"/>
      <c r="B822" s="223"/>
      <c r="C822" s="223"/>
      <c r="D822" s="223"/>
      <c r="E822" s="223"/>
      <c r="F822" s="223"/>
      <c r="G822" s="223"/>
      <c r="H822" s="223"/>
    </row>
    <row r="823">
      <c r="A823" s="223"/>
      <c r="B823" s="223"/>
      <c r="C823" s="223"/>
      <c r="D823" s="223"/>
      <c r="E823" s="223"/>
      <c r="F823" s="223"/>
      <c r="G823" s="223"/>
      <c r="H823" s="223"/>
    </row>
    <row r="824">
      <c r="A824" s="223"/>
      <c r="B824" s="223"/>
      <c r="C824" s="223"/>
      <c r="D824" s="223"/>
      <c r="E824" s="223"/>
      <c r="F824" s="223"/>
      <c r="G824" s="223"/>
      <c r="H824" s="223"/>
    </row>
    <row r="825">
      <c r="A825" s="223"/>
      <c r="B825" s="223"/>
      <c r="C825" s="223"/>
      <c r="D825" s="223"/>
      <c r="E825" s="223"/>
      <c r="F825" s="223"/>
      <c r="G825" s="223"/>
      <c r="H825" s="223"/>
    </row>
    <row r="826">
      <c r="A826" s="223"/>
      <c r="B826" s="223"/>
      <c r="C826" s="223"/>
      <c r="D826" s="223"/>
      <c r="E826" s="223"/>
      <c r="F826" s="223"/>
      <c r="G826" s="223"/>
      <c r="H826" s="223"/>
    </row>
    <row r="827">
      <c r="A827" s="223"/>
      <c r="B827" s="223"/>
      <c r="C827" s="223"/>
      <c r="D827" s="223"/>
      <c r="E827" s="223"/>
      <c r="F827" s="223"/>
      <c r="G827" s="223"/>
      <c r="H827" s="223"/>
    </row>
    <row r="828">
      <c r="A828" s="223"/>
      <c r="B828" s="223"/>
      <c r="C828" s="223"/>
      <c r="D828" s="223"/>
      <c r="E828" s="223"/>
      <c r="F828" s="223"/>
      <c r="G828" s="223"/>
      <c r="H828" s="223"/>
    </row>
    <row r="829">
      <c r="A829" s="223"/>
      <c r="B829" s="223"/>
      <c r="C829" s="223"/>
      <c r="D829" s="223"/>
      <c r="E829" s="223"/>
      <c r="F829" s="223"/>
      <c r="G829" s="223"/>
      <c r="H829" s="223"/>
    </row>
    <row r="830">
      <c r="A830" s="223"/>
      <c r="B830" s="223"/>
      <c r="C830" s="223"/>
      <c r="D830" s="223"/>
      <c r="E830" s="223"/>
      <c r="F830" s="223"/>
      <c r="G830" s="223"/>
      <c r="H830" s="223"/>
    </row>
    <row r="831">
      <c r="A831" s="223"/>
      <c r="B831" s="223"/>
      <c r="C831" s="223"/>
      <c r="D831" s="223"/>
      <c r="E831" s="223"/>
      <c r="F831" s="223"/>
      <c r="G831" s="223"/>
      <c r="H831" s="223"/>
    </row>
    <row r="832">
      <c r="A832" s="223"/>
      <c r="B832" s="223"/>
      <c r="C832" s="223"/>
      <c r="D832" s="223"/>
      <c r="E832" s="223"/>
      <c r="F832" s="223"/>
      <c r="G832" s="223"/>
      <c r="H832" s="223"/>
    </row>
    <row r="833">
      <c r="A833" s="223"/>
      <c r="B833" s="223"/>
      <c r="C833" s="223"/>
      <c r="D833" s="223"/>
      <c r="E833" s="223"/>
      <c r="F833" s="223"/>
      <c r="G833" s="223"/>
      <c r="H833" s="223"/>
    </row>
    <row r="834">
      <c r="A834" s="223"/>
      <c r="B834" s="223"/>
      <c r="C834" s="223"/>
      <c r="D834" s="223"/>
      <c r="E834" s="223"/>
      <c r="F834" s="223"/>
      <c r="G834" s="223"/>
      <c r="H834" s="223"/>
    </row>
    <row r="835">
      <c r="A835" s="223"/>
      <c r="B835" s="223"/>
      <c r="C835" s="223"/>
      <c r="D835" s="223"/>
      <c r="E835" s="223"/>
      <c r="F835" s="223"/>
      <c r="G835" s="223"/>
      <c r="H835" s="223"/>
    </row>
    <row r="836">
      <c r="A836" s="223"/>
      <c r="B836" s="223"/>
      <c r="C836" s="223"/>
      <c r="D836" s="223"/>
      <c r="E836" s="223"/>
      <c r="F836" s="223"/>
      <c r="G836" s="223"/>
      <c r="H836" s="223"/>
    </row>
    <row r="837">
      <c r="A837" s="223"/>
      <c r="B837" s="223"/>
      <c r="C837" s="223"/>
      <c r="D837" s="223"/>
      <c r="E837" s="223"/>
      <c r="F837" s="223"/>
      <c r="G837" s="223"/>
      <c r="H837" s="223"/>
    </row>
    <row r="838">
      <c r="A838" s="223"/>
      <c r="B838" s="223"/>
      <c r="C838" s="223"/>
      <c r="D838" s="223"/>
      <c r="E838" s="223"/>
      <c r="F838" s="223"/>
      <c r="G838" s="223"/>
      <c r="H838" s="223"/>
    </row>
    <row r="839">
      <c r="A839" s="223"/>
      <c r="B839" s="223"/>
      <c r="C839" s="223"/>
      <c r="D839" s="223"/>
      <c r="E839" s="223"/>
      <c r="F839" s="223"/>
      <c r="G839" s="223"/>
      <c r="H839" s="223"/>
    </row>
    <row r="840">
      <c r="A840" s="223"/>
      <c r="B840" s="223"/>
      <c r="C840" s="223"/>
      <c r="D840" s="223"/>
      <c r="E840" s="223"/>
      <c r="F840" s="223"/>
      <c r="G840" s="223"/>
      <c r="H840" s="223"/>
    </row>
    <row r="841">
      <c r="A841" s="223"/>
      <c r="B841" s="223"/>
      <c r="C841" s="223"/>
      <c r="D841" s="223"/>
      <c r="E841" s="223"/>
      <c r="F841" s="223"/>
      <c r="G841" s="223"/>
      <c r="H841" s="223"/>
    </row>
    <row r="842">
      <c r="A842" s="223"/>
      <c r="B842" s="223"/>
      <c r="C842" s="223"/>
      <c r="D842" s="223"/>
      <c r="E842" s="223"/>
      <c r="F842" s="223"/>
      <c r="G842" s="223"/>
      <c r="H842" s="223"/>
    </row>
    <row r="843">
      <c r="A843" s="223"/>
      <c r="B843" s="223"/>
      <c r="C843" s="223"/>
      <c r="D843" s="223"/>
      <c r="E843" s="223"/>
      <c r="F843" s="223"/>
      <c r="G843" s="223"/>
      <c r="H843" s="223"/>
    </row>
    <row r="844">
      <c r="A844" s="223"/>
      <c r="B844" s="223"/>
      <c r="C844" s="223"/>
      <c r="D844" s="223"/>
      <c r="E844" s="223"/>
      <c r="F844" s="223"/>
      <c r="G844" s="223"/>
      <c r="H844" s="223"/>
    </row>
    <row r="845">
      <c r="A845" s="223"/>
      <c r="B845" s="223"/>
      <c r="C845" s="223"/>
      <c r="D845" s="223"/>
      <c r="E845" s="223"/>
      <c r="F845" s="223"/>
      <c r="G845" s="223"/>
      <c r="H845" s="223"/>
    </row>
    <row r="846">
      <c r="A846" s="223"/>
      <c r="B846" s="223"/>
      <c r="C846" s="223"/>
      <c r="D846" s="223"/>
      <c r="E846" s="223"/>
      <c r="F846" s="223"/>
      <c r="G846" s="223"/>
      <c r="H846" s="223"/>
    </row>
    <row r="847">
      <c r="A847" s="223"/>
      <c r="B847" s="223"/>
      <c r="C847" s="223"/>
      <c r="D847" s="223"/>
      <c r="E847" s="223"/>
      <c r="F847" s="223"/>
      <c r="G847" s="223"/>
      <c r="H847" s="223"/>
    </row>
    <row r="848">
      <c r="A848" s="223"/>
      <c r="B848" s="223"/>
      <c r="C848" s="223"/>
      <c r="D848" s="223"/>
      <c r="E848" s="223"/>
      <c r="F848" s="223"/>
      <c r="G848" s="223"/>
      <c r="H848" s="223"/>
    </row>
    <row r="849">
      <c r="A849" s="223"/>
      <c r="B849" s="223"/>
      <c r="C849" s="223"/>
      <c r="D849" s="223"/>
      <c r="E849" s="223"/>
      <c r="F849" s="223"/>
      <c r="G849" s="223"/>
      <c r="H849" s="223"/>
    </row>
    <row r="850">
      <c r="A850" s="223"/>
      <c r="B850" s="223"/>
      <c r="C850" s="223"/>
      <c r="D850" s="223"/>
      <c r="E850" s="223"/>
      <c r="F850" s="223"/>
      <c r="G850" s="223"/>
      <c r="H850" s="223"/>
    </row>
    <row r="851">
      <c r="A851" s="223"/>
      <c r="B851" s="223"/>
      <c r="C851" s="223"/>
      <c r="D851" s="223"/>
      <c r="E851" s="223"/>
      <c r="F851" s="223"/>
      <c r="G851" s="223"/>
      <c r="H851" s="223"/>
    </row>
    <row r="852">
      <c r="A852" s="223"/>
      <c r="B852" s="223"/>
      <c r="C852" s="223"/>
      <c r="D852" s="223"/>
      <c r="E852" s="223"/>
      <c r="F852" s="223"/>
      <c r="G852" s="223"/>
      <c r="H852" s="223"/>
    </row>
    <row r="853">
      <c r="A853" s="223"/>
      <c r="B853" s="223"/>
      <c r="C853" s="223"/>
      <c r="D853" s="223"/>
      <c r="E853" s="223"/>
      <c r="F853" s="223"/>
      <c r="G853" s="223"/>
      <c r="H853" s="223"/>
    </row>
    <row r="854">
      <c r="A854" s="223"/>
      <c r="B854" s="223"/>
      <c r="C854" s="223"/>
      <c r="D854" s="223"/>
      <c r="E854" s="223"/>
      <c r="F854" s="223"/>
      <c r="G854" s="223"/>
      <c r="H854" s="223"/>
    </row>
    <row r="855">
      <c r="A855" s="223"/>
      <c r="B855" s="223"/>
      <c r="C855" s="223"/>
      <c r="D855" s="223"/>
      <c r="E855" s="223"/>
      <c r="F855" s="223"/>
      <c r="G855" s="223"/>
      <c r="H855" s="223"/>
    </row>
    <row r="856">
      <c r="A856" s="223"/>
      <c r="B856" s="223"/>
      <c r="C856" s="223"/>
      <c r="D856" s="223"/>
      <c r="E856" s="223"/>
      <c r="F856" s="223"/>
      <c r="G856" s="223"/>
      <c r="H856" s="223"/>
    </row>
    <row r="857">
      <c r="A857" s="223"/>
      <c r="B857" s="223"/>
      <c r="C857" s="223"/>
      <c r="D857" s="223"/>
      <c r="E857" s="223"/>
      <c r="F857" s="223"/>
      <c r="G857" s="223"/>
      <c r="H857" s="223"/>
    </row>
    <row r="858">
      <c r="A858" s="223"/>
      <c r="B858" s="223"/>
      <c r="C858" s="223"/>
      <c r="D858" s="223"/>
      <c r="E858" s="223"/>
      <c r="F858" s="223"/>
      <c r="G858" s="223"/>
      <c r="H858" s="223"/>
    </row>
    <row r="859">
      <c r="A859" s="223"/>
      <c r="B859" s="223"/>
      <c r="C859" s="223"/>
      <c r="D859" s="223"/>
      <c r="E859" s="223"/>
      <c r="F859" s="223"/>
      <c r="G859" s="223"/>
      <c r="H859" s="223"/>
    </row>
    <row r="860">
      <c r="A860" s="223"/>
      <c r="B860" s="223"/>
      <c r="C860" s="223"/>
      <c r="D860" s="223"/>
      <c r="E860" s="223"/>
      <c r="F860" s="223"/>
      <c r="G860" s="223"/>
      <c r="H860" s="223"/>
    </row>
    <row r="861">
      <c r="A861" s="223"/>
      <c r="B861" s="223"/>
      <c r="C861" s="223"/>
      <c r="D861" s="223"/>
      <c r="E861" s="223"/>
      <c r="F861" s="223"/>
      <c r="G861" s="223"/>
      <c r="H861" s="223"/>
    </row>
    <row r="862">
      <c r="A862" s="223"/>
      <c r="B862" s="223"/>
      <c r="C862" s="223"/>
      <c r="D862" s="223"/>
      <c r="E862" s="223"/>
      <c r="F862" s="223"/>
      <c r="G862" s="223"/>
      <c r="H862" s="223"/>
    </row>
    <row r="863">
      <c r="A863" s="223"/>
      <c r="B863" s="223"/>
      <c r="C863" s="223"/>
      <c r="D863" s="223"/>
      <c r="E863" s="223"/>
      <c r="F863" s="223"/>
      <c r="G863" s="223"/>
      <c r="H863" s="223"/>
    </row>
    <row r="864">
      <c r="A864" s="223"/>
      <c r="B864" s="223"/>
      <c r="C864" s="223"/>
      <c r="D864" s="223"/>
      <c r="E864" s="223"/>
      <c r="F864" s="223"/>
      <c r="G864" s="223"/>
      <c r="H864" s="223"/>
    </row>
    <row r="865">
      <c r="A865" s="223"/>
      <c r="B865" s="223"/>
      <c r="C865" s="223"/>
      <c r="D865" s="223"/>
      <c r="E865" s="223"/>
      <c r="F865" s="223"/>
      <c r="G865" s="223"/>
      <c r="H865" s="223"/>
    </row>
    <row r="866">
      <c r="A866" s="223"/>
      <c r="B866" s="223"/>
      <c r="C866" s="223"/>
      <c r="D866" s="223"/>
      <c r="E866" s="223"/>
      <c r="F866" s="223"/>
      <c r="G866" s="223"/>
      <c r="H866" s="223"/>
    </row>
    <row r="867">
      <c r="A867" s="223"/>
      <c r="B867" s="223"/>
      <c r="C867" s="223"/>
      <c r="D867" s="223"/>
      <c r="E867" s="223"/>
      <c r="F867" s="223"/>
      <c r="G867" s="223"/>
      <c r="H867" s="223"/>
    </row>
    <row r="868">
      <c r="A868" s="223"/>
      <c r="B868" s="223"/>
      <c r="C868" s="223"/>
      <c r="D868" s="223"/>
      <c r="E868" s="223"/>
      <c r="F868" s="223"/>
      <c r="G868" s="223"/>
      <c r="H868" s="223"/>
    </row>
    <row r="869">
      <c r="A869" s="223"/>
      <c r="B869" s="223"/>
      <c r="C869" s="223"/>
      <c r="D869" s="223"/>
      <c r="E869" s="223"/>
      <c r="F869" s="223"/>
      <c r="G869" s="223"/>
      <c r="H869" s="223"/>
    </row>
    <row r="870">
      <c r="A870" s="223"/>
      <c r="B870" s="223"/>
      <c r="C870" s="223"/>
      <c r="D870" s="223"/>
      <c r="E870" s="223"/>
      <c r="F870" s="223"/>
      <c r="G870" s="223"/>
      <c r="H870" s="223"/>
    </row>
    <row r="871">
      <c r="A871" s="223"/>
      <c r="B871" s="223"/>
      <c r="C871" s="223"/>
      <c r="D871" s="223"/>
      <c r="E871" s="223"/>
      <c r="F871" s="223"/>
      <c r="G871" s="223"/>
      <c r="H871" s="223"/>
    </row>
    <row r="872">
      <c r="A872" s="223"/>
      <c r="B872" s="223"/>
      <c r="C872" s="223"/>
      <c r="D872" s="223"/>
      <c r="E872" s="223"/>
      <c r="F872" s="223"/>
      <c r="G872" s="223"/>
      <c r="H872" s="223"/>
    </row>
    <row r="873">
      <c r="A873" s="223"/>
      <c r="B873" s="223"/>
      <c r="C873" s="223"/>
      <c r="D873" s="223"/>
      <c r="E873" s="223"/>
      <c r="F873" s="223"/>
      <c r="G873" s="223"/>
      <c r="H873" s="223"/>
    </row>
    <row r="874">
      <c r="A874" s="223"/>
      <c r="B874" s="223"/>
      <c r="C874" s="223"/>
      <c r="D874" s="223"/>
      <c r="E874" s="223"/>
      <c r="F874" s="223"/>
      <c r="G874" s="223"/>
      <c r="H874" s="223"/>
    </row>
    <row r="875">
      <c r="A875" s="223"/>
      <c r="B875" s="223"/>
      <c r="C875" s="223"/>
      <c r="D875" s="223"/>
      <c r="E875" s="223"/>
      <c r="F875" s="223"/>
      <c r="G875" s="223"/>
      <c r="H875" s="223"/>
    </row>
    <row r="876">
      <c r="A876" s="223"/>
      <c r="B876" s="223"/>
      <c r="C876" s="223"/>
      <c r="D876" s="223"/>
      <c r="E876" s="223"/>
      <c r="F876" s="223"/>
      <c r="G876" s="223"/>
      <c r="H876" s="223"/>
    </row>
    <row r="877">
      <c r="A877" s="223"/>
      <c r="B877" s="223"/>
      <c r="C877" s="223"/>
      <c r="D877" s="223"/>
      <c r="E877" s="223"/>
      <c r="F877" s="223"/>
      <c r="G877" s="223"/>
      <c r="H877" s="223"/>
    </row>
    <row r="878">
      <c r="A878" s="223"/>
      <c r="B878" s="223"/>
      <c r="C878" s="223"/>
      <c r="D878" s="223"/>
      <c r="E878" s="223"/>
      <c r="F878" s="223"/>
      <c r="G878" s="223"/>
      <c r="H878" s="223"/>
    </row>
    <row r="879">
      <c r="A879" s="223"/>
      <c r="B879" s="223"/>
      <c r="C879" s="223"/>
      <c r="D879" s="223"/>
      <c r="E879" s="223"/>
      <c r="F879" s="223"/>
      <c r="G879" s="223"/>
      <c r="H879" s="223"/>
    </row>
    <row r="880">
      <c r="A880" s="223"/>
      <c r="B880" s="223"/>
      <c r="C880" s="223"/>
      <c r="D880" s="223"/>
      <c r="E880" s="223"/>
      <c r="F880" s="223"/>
      <c r="G880" s="223"/>
      <c r="H880" s="223"/>
    </row>
    <row r="881">
      <c r="A881" s="223"/>
      <c r="B881" s="223"/>
      <c r="C881" s="223"/>
      <c r="D881" s="223"/>
      <c r="E881" s="223"/>
      <c r="F881" s="223"/>
      <c r="G881" s="223"/>
      <c r="H881" s="223"/>
    </row>
    <row r="882">
      <c r="A882" s="223"/>
      <c r="B882" s="223"/>
      <c r="C882" s="223"/>
      <c r="D882" s="223"/>
      <c r="E882" s="223"/>
      <c r="F882" s="223"/>
      <c r="G882" s="223"/>
      <c r="H882" s="223"/>
    </row>
    <row r="883">
      <c r="A883" s="223"/>
      <c r="B883" s="223"/>
      <c r="C883" s="223"/>
      <c r="D883" s="223"/>
      <c r="E883" s="223"/>
      <c r="F883" s="223"/>
      <c r="G883" s="223"/>
      <c r="H883" s="223"/>
    </row>
    <row r="884">
      <c r="A884" s="223"/>
      <c r="B884" s="223"/>
      <c r="C884" s="223"/>
      <c r="D884" s="223"/>
      <c r="E884" s="223"/>
      <c r="F884" s="223"/>
      <c r="G884" s="223"/>
      <c r="H884" s="223"/>
    </row>
    <row r="885">
      <c r="A885" s="223"/>
      <c r="B885" s="223"/>
      <c r="C885" s="223"/>
      <c r="D885" s="223"/>
      <c r="E885" s="223"/>
      <c r="F885" s="223"/>
      <c r="G885" s="223"/>
      <c r="H885" s="223"/>
    </row>
    <row r="886">
      <c r="A886" s="223"/>
      <c r="B886" s="223"/>
      <c r="C886" s="223"/>
      <c r="D886" s="223"/>
      <c r="E886" s="223"/>
      <c r="F886" s="223"/>
      <c r="G886" s="223"/>
      <c r="H886" s="223"/>
    </row>
    <row r="887">
      <c r="A887" s="223"/>
      <c r="B887" s="223"/>
      <c r="C887" s="223"/>
      <c r="D887" s="223"/>
      <c r="E887" s="223"/>
      <c r="F887" s="223"/>
      <c r="G887" s="223"/>
      <c r="H887" s="223"/>
    </row>
    <row r="888">
      <c r="A888" s="223"/>
      <c r="B888" s="223"/>
      <c r="C888" s="223"/>
      <c r="D888" s="223"/>
      <c r="E888" s="223"/>
      <c r="F888" s="223"/>
      <c r="G888" s="223"/>
      <c r="H888" s="223"/>
    </row>
    <row r="889">
      <c r="A889" s="223"/>
      <c r="B889" s="223"/>
      <c r="C889" s="223"/>
      <c r="D889" s="223"/>
      <c r="E889" s="223"/>
      <c r="F889" s="223"/>
      <c r="G889" s="223"/>
      <c r="H889" s="223"/>
    </row>
    <row r="890">
      <c r="A890" s="223"/>
      <c r="B890" s="223"/>
      <c r="C890" s="223"/>
      <c r="D890" s="223"/>
      <c r="E890" s="223"/>
      <c r="F890" s="223"/>
      <c r="G890" s="223"/>
      <c r="H890" s="223"/>
    </row>
    <row r="891">
      <c r="A891" s="223"/>
      <c r="B891" s="223"/>
      <c r="C891" s="223"/>
      <c r="D891" s="223"/>
      <c r="E891" s="223"/>
      <c r="F891" s="223"/>
      <c r="G891" s="223"/>
      <c r="H891" s="223"/>
    </row>
    <row r="892">
      <c r="A892" s="223"/>
      <c r="B892" s="223"/>
      <c r="C892" s="223"/>
      <c r="D892" s="223"/>
      <c r="E892" s="223"/>
      <c r="F892" s="223"/>
      <c r="G892" s="223"/>
      <c r="H892" s="223"/>
    </row>
    <row r="893">
      <c r="A893" s="223"/>
      <c r="B893" s="223"/>
      <c r="C893" s="223"/>
      <c r="D893" s="223"/>
      <c r="E893" s="223"/>
      <c r="F893" s="223"/>
      <c r="G893" s="223"/>
      <c r="H893" s="223"/>
    </row>
    <row r="894">
      <c r="A894" s="223"/>
      <c r="B894" s="223"/>
      <c r="C894" s="223"/>
      <c r="D894" s="223"/>
      <c r="E894" s="223"/>
      <c r="F894" s="223"/>
      <c r="G894" s="223"/>
      <c r="H894" s="223"/>
    </row>
    <row r="895">
      <c r="A895" s="223"/>
      <c r="B895" s="223"/>
      <c r="C895" s="223"/>
      <c r="D895" s="223"/>
      <c r="E895" s="223"/>
      <c r="F895" s="223"/>
      <c r="G895" s="223"/>
      <c r="H895" s="223"/>
    </row>
    <row r="896">
      <c r="A896" s="223"/>
      <c r="B896" s="223"/>
      <c r="C896" s="223"/>
      <c r="D896" s="223"/>
      <c r="E896" s="223"/>
      <c r="F896" s="223"/>
      <c r="G896" s="223"/>
      <c r="H896" s="223"/>
    </row>
    <row r="897">
      <c r="A897" s="223"/>
      <c r="B897" s="223"/>
      <c r="C897" s="223"/>
      <c r="D897" s="223"/>
      <c r="E897" s="223"/>
      <c r="F897" s="223"/>
      <c r="G897" s="223"/>
      <c r="H897" s="223"/>
    </row>
    <row r="898">
      <c r="A898" s="223"/>
      <c r="B898" s="223"/>
      <c r="C898" s="223"/>
      <c r="D898" s="223"/>
      <c r="E898" s="223"/>
      <c r="F898" s="223"/>
      <c r="G898" s="223"/>
      <c r="H898" s="223"/>
    </row>
    <row r="899">
      <c r="A899" s="223"/>
      <c r="B899" s="223"/>
      <c r="C899" s="223"/>
      <c r="D899" s="223"/>
      <c r="E899" s="223"/>
      <c r="F899" s="223"/>
      <c r="G899" s="223"/>
      <c r="H899" s="223"/>
    </row>
    <row r="900">
      <c r="A900" s="223"/>
      <c r="B900" s="223"/>
      <c r="C900" s="223"/>
      <c r="D900" s="223"/>
      <c r="E900" s="223"/>
      <c r="F900" s="223"/>
      <c r="G900" s="223"/>
      <c r="H900" s="223"/>
    </row>
    <row r="901">
      <c r="A901" s="223"/>
      <c r="B901" s="223"/>
      <c r="C901" s="223"/>
      <c r="D901" s="223"/>
      <c r="E901" s="223"/>
      <c r="F901" s="223"/>
      <c r="G901" s="223"/>
      <c r="H901" s="223"/>
    </row>
    <row r="902">
      <c r="A902" s="223"/>
      <c r="B902" s="223"/>
      <c r="C902" s="223"/>
      <c r="D902" s="223"/>
      <c r="E902" s="223"/>
      <c r="F902" s="223"/>
      <c r="G902" s="223"/>
      <c r="H902" s="223"/>
    </row>
    <row r="903">
      <c r="A903" s="223"/>
      <c r="B903" s="223"/>
      <c r="C903" s="223"/>
      <c r="D903" s="223"/>
      <c r="E903" s="223"/>
      <c r="F903" s="223"/>
      <c r="G903" s="223"/>
      <c r="H903" s="223"/>
    </row>
    <row r="904">
      <c r="A904" s="223"/>
      <c r="B904" s="223"/>
      <c r="C904" s="223"/>
      <c r="D904" s="223"/>
      <c r="E904" s="223"/>
      <c r="F904" s="223"/>
      <c r="G904" s="223"/>
      <c r="H904" s="223"/>
    </row>
    <row r="905">
      <c r="A905" s="223"/>
      <c r="B905" s="223"/>
      <c r="C905" s="223"/>
      <c r="D905" s="223"/>
      <c r="E905" s="223"/>
      <c r="F905" s="223"/>
      <c r="G905" s="223"/>
      <c r="H905" s="223"/>
    </row>
    <row r="906">
      <c r="A906" s="223"/>
      <c r="B906" s="223"/>
      <c r="C906" s="223"/>
      <c r="D906" s="223"/>
      <c r="E906" s="223"/>
      <c r="F906" s="223"/>
      <c r="G906" s="223"/>
      <c r="H906" s="223"/>
    </row>
    <row r="907">
      <c r="A907" s="223"/>
      <c r="B907" s="223"/>
      <c r="C907" s="223"/>
      <c r="D907" s="223"/>
      <c r="E907" s="223"/>
      <c r="F907" s="223"/>
      <c r="G907" s="223"/>
      <c r="H907" s="223"/>
    </row>
    <row r="908">
      <c r="A908" s="223"/>
      <c r="B908" s="223"/>
      <c r="C908" s="223"/>
      <c r="D908" s="223"/>
      <c r="E908" s="223"/>
      <c r="F908" s="223"/>
      <c r="G908" s="223"/>
      <c r="H908" s="223"/>
    </row>
    <row r="909">
      <c r="A909" s="223"/>
      <c r="B909" s="223"/>
      <c r="C909" s="223"/>
      <c r="D909" s="223"/>
      <c r="E909" s="223"/>
      <c r="F909" s="223"/>
      <c r="G909" s="223"/>
      <c r="H909" s="223"/>
    </row>
    <row r="910">
      <c r="A910" s="223"/>
      <c r="B910" s="223"/>
      <c r="C910" s="223"/>
      <c r="D910" s="223"/>
      <c r="E910" s="223"/>
      <c r="F910" s="223"/>
      <c r="G910" s="223"/>
      <c r="H910" s="223"/>
    </row>
    <row r="911">
      <c r="A911" s="223"/>
      <c r="B911" s="223"/>
      <c r="C911" s="223"/>
      <c r="D911" s="223"/>
      <c r="E911" s="223"/>
      <c r="F911" s="223"/>
      <c r="G911" s="223"/>
      <c r="H911" s="223"/>
    </row>
    <row r="912">
      <c r="A912" s="223"/>
      <c r="B912" s="223"/>
      <c r="C912" s="223"/>
      <c r="D912" s="223"/>
      <c r="E912" s="223"/>
      <c r="F912" s="223"/>
      <c r="G912" s="223"/>
      <c r="H912" s="223"/>
    </row>
    <row r="913">
      <c r="A913" s="223"/>
      <c r="B913" s="223"/>
      <c r="C913" s="223"/>
      <c r="D913" s="223"/>
      <c r="E913" s="223"/>
      <c r="F913" s="223"/>
      <c r="G913" s="223"/>
      <c r="H913" s="223"/>
    </row>
    <row r="914">
      <c r="A914" s="223"/>
      <c r="B914" s="223"/>
      <c r="C914" s="223"/>
      <c r="D914" s="223"/>
      <c r="E914" s="223"/>
      <c r="F914" s="223"/>
      <c r="G914" s="223"/>
      <c r="H914" s="223"/>
    </row>
    <row r="915">
      <c r="A915" s="223"/>
      <c r="B915" s="223"/>
      <c r="C915" s="223"/>
      <c r="D915" s="223"/>
      <c r="E915" s="223"/>
      <c r="F915" s="223"/>
      <c r="G915" s="223"/>
      <c r="H915" s="223"/>
    </row>
    <row r="916">
      <c r="A916" s="223"/>
      <c r="B916" s="223"/>
      <c r="C916" s="223"/>
      <c r="D916" s="223"/>
      <c r="E916" s="223"/>
      <c r="F916" s="223"/>
      <c r="G916" s="223"/>
      <c r="H916" s="223"/>
    </row>
    <row r="917">
      <c r="A917" s="223"/>
      <c r="B917" s="223"/>
      <c r="C917" s="223"/>
      <c r="D917" s="223"/>
      <c r="E917" s="223"/>
      <c r="F917" s="223"/>
      <c r="G917" s="223"/>
      <c r="H917" s="223"/>
    </row>
    <row r="918">
      <c r="A918" s="223"/>
      <c r="B918" s="223"/>
      <c r="C918" s="223"/>
      <c r="D918" s="223"/>
      <c r="E918" s="223"/>
      <c r="F918" s="223"/>
      <c r="G918" s="223"/>
      <c r="H918" s="223"/>
    </row>
    <row r="919">
      <c r="A919" s="223"/>
      <c r="B919" s="223"/>
      <c r="C919" s="223"/>
      <c r="D919" s="223"/>
      <c r="E919" s="223"/>
      <c r="F919" s="223"/>
      <c r="G919" s="223"/>
      <c r="H919" s="223"/>
    </row>
    <row r="920">
      <c r="A920" s="223"/>
      <c r="B920" s="223"/>
      <c r="C920" s="223"/>
      <c r="D920" s="223"/>
      <c r="E920" s="223"/>
      <c r="F920" s="223"/>
      <c r="G920" s="223"/>
      <c r="H920" s="223"/>
    </row>
    <row r="921">
      <c r="A921" s="223"/>
      <c r="B921" s="223"/>
      <c r="C921" s="223"/>
      <c r="D921" s="223"/>
      <c r="E921" s="223"/>
      <c r="F921" s="223"/>
      <c r="G921" s="223"/>
      <c r="H921" s="223"/>
    </row>
    <row r="922">
      <c r="A922" s="223"/>
      <c r="B922" s="223"/>
      <c r="C922" s="223"/>
      <c r="D922" s="223"/>
      <c r="E922" s="223"/>
      <c r="F922" s="223"/>
      <c r="G922" s="223"/>
      <c r="H922" s="223"/>
    </row>
    <row r="923">
      <c r="A923" s="223"/>
      <c r="B923" s="223"/>
      <c r="C923" s="223"/>
      <c r="D923" s="223"/>
      <c r="E923" s="223"/>
      <c r="F923" s="223"/>
      <c r="G923" s="223"/>
      <c r="H923" s="223"/>
    </row>
    <row r="924">
      <c r="A924" s="223"/>
      <c r="B924" s="223"/>
      <c r="C924" s="223"/>
      <c r="D924" s="223"/>
      <c r="E924" s="223"/>
      <c r="F924" s="223"/>
      <c r="G924" s="223"/>
      <c r="H924" s="223"/>
    </row>
    <row r="925">
      <c r="A925" s="223"/>
      <c r="B925" s="223"/>
      <c r="C925" s="223"/>
      <c r="D925" s="223"/>
      <c r="E925" s="223"/>
      <c r="F925" s="223"/>
      <c r="G925" s="223"/>
      <c r="H925" s="223"/>
    </row>
    <row r="926">
      <c r="A926" s="223"/>
      <c r="B926" s="223"/>
      <c r="C926" s="223"/>
      <c r="D926" s="223"/>
      <c r="E926" s="223"/>
      <c r="F926" s="223"/>
      <c r="G926" s="223"/>
      <c r="H926" s="223"/>
    </row>
    <row r="927">
      <c r="A927" s="223"/>
      <c r="B927" s="223"/>
      <c r="C927" s="223"/>
      <c r="D927" s="223"/>
      <c r="E927" s="223"/>
      <c r="F927" s="223"/>
      <c r="G927" s="223"/>
      <c r="H927" s="223"/>
    </row>
    <row r="928">
      <c r="A928" s="223"/>
      <c r="B928" s="223"/>
      <c r="C928" s="223"/>
      <c r="D928" s="223"/>
      <c r="E928" s="223"/>
      <c r="F928" s="223"/>
      <c r="G928" s="223"/>
      <c r="H928" s="223"/>
    </row>
    <row r="929">
      <c r="A929" s="223"/>
      <c r="B929" s="223"/>
      <c r="C929" s="223"/>
      <c r="D929" s="223"/>
      <c r="E929" s="223"/>
      <c r="F929" s="223"/>
      <c r="G929" s="223"/>
      <c r="H929" s="223"/>
    </row>
    <row r="930">
      <c r="A930" s="223"/>
      <c r="B930" s="223"/>
      <c r="C930" s="223"/>
      <c r="D930" s="223"/>
      <c r="E930" s="223"/>
      <c r="F930" s="223"/>
      <c r="G930" s="223"/>
      <c r="H930" s="223"/>
    </row>
    <row r="931">
      <c r="A931" s="223"/>
      <c r="B931" s="223"/>
      <c r="C931" s="223"/>
      <c r="D931" s="223"/>
      <c r="E931" s="223"/>
      <c r="F931" s="223"/>
      <c r="G931" s="223"/>
      <c r="H931" s="223"/>
    </row>
    <row r="932">
      <c r="A932" s="223"/>
      <c r="B932" s="223"/>
      <c r="C932" s="223"/>
      <c r="D932" s="223"/>
      <c r="E932" s="223"/>
      <c r="F932" s="223"/>
      <c r="G932" s="223"/>
      <c r="H932" s="223"/>
    </row>
    <row r="933">
      <c r="A933" s="223"/>
      <c r="B933" s="223"/>
      <c r="C933" s="223"/>
      <c r="D933" s="223"/>
      <c r="E933" s="223"/>
      <c r="F933" s="223"/>
      <c r="G933" s="223"/>
      <c r="H933" s="223"/>
    </row>
    <row r="934">
      <c r="A934" s="223"/>
      <c r="B934" s="223"/>
      <c r="C934" s="223"/>
      <c r="D934" s="223"/>
      <c r="E934" s="223"/>
      <c r="F934" s="223"/>
      <c r="G934" s="223"/>
      <c r="H934" s="223"/>
    </row>
    <row r="935">
      <c r="A935" s="223"/>
      <c r="B935" s="223"/>
      <c r="C935" s="223"/>
      <c r="D935" s="223"/>
      <c r="E935" s="223"/>
      <c r="F935" s="223"/>
      <c r="G935" s="223"/>
      <c r="H935" s="223"/>
    </row>
    <row r="936">
      <c r="A936" s="223"/>
      <c r="B936" s="223"/>
      <c r="C936" s="223"/>
      <c r="D936" s="223"/>
      <c r="E936" s="223"/>
      <c r="F936" s="223"/>
      <c r="G936" s="223"/>
      <c r="H936" s="223"/>
    </row>
    <row r="937">
      <c r="A937" s="223"/>
      <c r="B937" s="223"/>
      <c r="C937" s="223"/>
      <c r="D937" s="223"/>
      <c r="E937" s="223"/>
      <c r="F937" s="223"/>
      <c r="G937" s="223"/>
      <c r="H937" s="223"/>
    </row>
    <row r="938">
      <c r="A938" s="223"/>
      <c r="B938" s="223"/>
      <c r="C938" s="223"/>
      <c r="D938" s="223"/>
      <c r="E938" s="223"/>
      <c r="F938" s="223"/>
      <c r="G938" s="223"/>
      <c r="H938" s="223"/>
    </row>
    <row r="939">
      <c r="A939" s="223"/>
      <c r="B939" s="223"/>
      <c r="C939" s="223"/>
      <c r="D939" s="223"/>
      <c r="E939" s="223"/>
      <c r="F939" s="223"/>
      <c r="G939" s="223"/>
      <c r="H939" s="223"/>
    </row>
    <row r="940">
      <c r="A940" s="223"/>
      <c r="B940" s="223"/>
      <c r="C940" s="223"/>
      <c r="D940" s="223"/>
      <c r="E940" s="223"/>
      <c r="F940" s="223"/>
      <c r="G940" s="223"/>
      <c r="H940" s="223"/>
    </row>
    <row r="941">
      <c r="A941" s="223"/>
      <c r="B941" s="223"/>
      <c r="C941" s="223"/>
      <c r="D941" s="223"/>
      <c r="E941" s="223"/>
      <c r="F941" s="223"/>
      <c r="G941" s="223"/>
      <c r="H941" s="223"/>
    </row>
    <row r="942">
      <c r="A942" s="223"/>
      <c r="B942" s="223"/>
      <c r="C942" s="223"/>
      <c r="D942" s="223"/>
      <c r="E942" s="223"/>
      <c r="F942" s="223"/>
      <c r="G942" s="223"/>
      <c r="H942" s="223"/>
    </row>
    <row r="943">
      <c r="A943" s="223"/>
      <c r="B943" s="223"/>
      <c r="C943" s="223"/>
      <c r="D943" s="223"/>
      <c r="E943" s="223"/>
      <c r="F943" s="223"/>
      <c r="G943" s="223"/>
      <c r="H943" s="223"/>
    </row>
    <row r="944">
      <c r="A944" s="223"/>
      <c r="B944" s="223"/>
      <c r="C944" s="223"/>
      <c r="D944" s="223"/>
      <c r="E944" s="223"/>
      <c r="F944" s="223"/>
      <c r="G944" s="223"/>
      <c r="H944" s="223"/>
    </row>
    <row r="945">
      <c r="A945" s="223"/>
      <c r="B945" s="223"/>
      <c r="C945" s="223"/>
      <c r="D945" s="223"/>
      <c r="E945" s="223"/>
      <c r="F945" s="223"/>
      <c r="G945" s="223"/>
      <c r="H945" s="223"/>
    </row>
    <row r="946">
      <c r="A946" s="223"/>
      <c r="B946" s="223"/>
      <c r="C946" s="223"/>
      <c r="D946" s="223"/>
      <c r="E946" s="223"/>
      <c r="F946" s="223"/>
      <c r="G946" s="223"/>
      <c r="H946" s="223"/>
    </row>
    <row r="947">
      <c r="A947" s="223"/>
      <c r="B947" s="223"/>
      <c r="C947" s="223"/>
      <c r="D947" s="223"/>
      <c r="E947" s="223"/>
      <c r="F947" s="223"/>
      <c r="G947" s="223"/>
      <c r="H947" s="223"/>
    </row>
    <row r="948">
      <c r="A948" s="223"/>
      <c r="B948" s="223"/>
      <c r="C948" s="223"/>
      <c r="D948" s="223"/>
      <c r="E948" s="223"/>
      <c r="F948" s="223"/>
      <c r="G948" s="223"/>
      <c r="H948" s="223"/>
    </row>
    <row r="949">
      <c r="A949" s="223"/>
      <c r="B949" s="223"/>
      <c r="C949" s="223"/>
      <c r="D949" s="223"/>
      <c r="E949" s="223"/>
      <c r="F949" s="223"/>
      <c r="G949" s="223"/>
      <c r="H949" s="223"/>
    </row>
    <row r="950">
      <c r="A950" s="223"/>
      <c r="B950" s="223"/>
      <c r="C950" s="223"/>
      <c r="D950" s="223"/>
      <c r="E950" s="223"/>
      <c r="F950" s="223"/>
      <c r="G950" s="223"/>
      <c r="H950" s="223"/>
    </row>
    <row r="951">
      <c r="A951" s="223"/>
      <c r="B951" s="223"/>
      <c r="C951" s="223"/>
      <c r="D951" s="223"/>
      <c r="E951" s="223"/>
      <c r="F951" s="223"/>
      <c r="G951" s="223"/>
      <c r="H951" s="223"/>
    </row>
    <row r="952">
      <c r="A952" s="223"/>
      <c r="B952" s="223"/>
      <c r="C952" s="223"/>
      <c r="D952" s="223"/>
      <c r="E952" s="223"/>
      <c r="F952" s="223"/>
      <c r="G952" s="223"/>
      <c r="H952" s="223"/>
    </row>
    <row r="953">
      <c r="A953" s="223"/>
      <c r="B953" s="223"/>
      <c r="C953" s="223"/>
      <c r="D953" s="223"/>
      <c r="E953" s="223"/>
      <c r="F953" s="223"/>
      <c r="G953" s="223"/>
      <c r="H953" s="223"/>
    </row>
    <row r="954">
      <c r="A954" s="223"/>
      <c r="B954" s="223"/>
      <c r="C954" s="223"/>
      <c r="D954" s="223"/>
      <c r="E954" s="223"/>
      <c r="F954" s="223"/>
      <c r="G954" s="223"/>
      <c r="H954" s="223"/>
    </row>
    <row r="955">
      <c r="A955" s="223"/>
      <c r="B955" s="223"/>
      <c r="C955" s="223"/>
      <c r="D955" s="223"/>
      <c r="E955" s="223"/>
      <c r="F955" s="223"/>
      <c r="G955" s="223"/>
      <c r="H955" s="223"/>
    </row>
    <row r="956">
      <c r="A956" s="223"/>
      <c r="B956" s="223"/>
      <c r="C956" s="223"/>
      <c r="D956" s="223"/>
      <c r="E956" s="223"/>
      <c r="F956" s="223"/>
      <c r="G956" s="223"/>
      <c r="H956" s="223"/>
    </row>
    <row r="957">
      <c r="A957" s="223"/>
      <c r="B957" s="223"/>
      <c r="C957" s="223"/>
      <c r="D957" s="223"/>
      <c r="E957" s="223"/>
      <c r="F957" s="223"/>
      <c r="G957" s="223"/>
      <c r="H957" s="223"/>
    </row>
    <row r="958">
      <c r="A958" s="223"/>
      <c r="B958" s="223"/>
      <c r="C958" s="223"/>
      <c r="D958" s="223"/>
      <c r="E958" s="223"/>
      <c r="F958" s="223"/>
      <c r="G958" s="223"/>
      <c r="H958" s="223"/>
    </row>
    <row r="959">
      <c r="A959" s="223"/>
      <c r="B959" s="223"/>
      <c r="C959" s="223"/>
      <c r="D959" s="223"/>
      <c r="E959" s="223"/>
      <c r="F959" s="223"/>
      <c r="G959" s="223"/>
      <c r="H959" s="223"/>
    </row>
    <row r="960">
      <c r="A960" s="223"/>
      <c r="B960" s="223"/>
      <c r="C960" s="223"/>
      <c r="D960" s="223"/>
      <c r="E960" s="223"/>
      <c r="F960" s="223"/>
      <c r="G960" s="223"/>
      <c r="H960" s="223"/>
    </row>
    <row r="961">
      <c r="A961" s="223"/>
      <c r="B961" s="223"/>
      <c r="C961" s="223"/>
      <c r="D961" s="223"/>
      <c r="E961" s="223"/>
      <c r="F961" s="223"/>
      <c r="G961" s="223"/>
      <c r="H961" s="223"/>
    </row>
    <row r="962">
      <c r="A962" s="223"/>
      <c r="B962" s="223"/>
      <c r="C962" s="223"/>
      <c r="D962" s="223"/>
      <c r="E962" s="223"/>
      <c r="F962" s="223"/>
      <c r="G962" s="223"/>
      <c r="H962" s="223"/>
    </row>
    <row r="963">
      <c r="A963" s="223"/>
      <c r="B963" s="223"/>
      <c r="C963" s="223"/>
      <c r="D963" s="223"/>
      <c r="E963" s="223"/>
      <c r="F963" s="223"/>
      <c r="G963" s="223"/>
      <c r="H963" s="223"/>
    </row>
    <row r="964">
      <c r="A964" s="223"/>
      <c r="B964" s="223"/>
      <c r="C964" s="223"/>
      <c r="D964" s="223"/>
      <c r="E964" s="223"/>
      <c r="F964" s="223"/>
      <c r="G964" s="223"/>
      <c r="H964" s="223"/>
    </row>
    <row r="965">
      <c r="A965" s="223"/>
      <c r="B965" s="223"/>
      <c r="C965" s="223"/>
      <c r="D965" s="223"/>
      <c r="E965" s="223"/>
      <c r="F965" s="223"/>
      <c r="G965" s="223"/>
      <c r="H965" s="223"/>
    </row>
    <row r="966">
      <c r="A966" s="223"/>
      <c r="B966" s="223"/>
      <c r="C966" s="223"/>
      <c r="D966" s="223"/>
      <c r="E966" s="223"/>
      <c r="F966" s="223"/>
      <c r="G966" s="223"/>
      <c r="H966" s="223"/>
    </row>
    <row r="967">
      <c r="A967" s="223"/>
      <c r="B967" s="223"/>
      <c r="C967" s="223"/>
      <c r="D967" s="223"/>
      <c r="E967" s="223"/>
      <c r="F967" s="223"/>
      <c r="G967" s="223"/>
      <c r="H967" s="223"/>
    </row>
    <row r="968">
      <c r="A968" s="223"/>
      <c r="B968" s="223"/>
      <c r="C968" s="223"/>
      <c r="D968" s="223"/>
      <c r="E968" s="223"/>
      <c r="F968" s="223"/>
      <c r="G968" s="223"/>
      <c r="H968" s="223"/>
    </row>
    <row r="969">
      <c r="A969" s="223"/>
      <c r="B969" s="223"/>
      <c r="C969" s="223"/>
      <c r="D969" s="223"/>
      <c r="E969" s="223"/>
      <c r="F969" s="223"/>
      <c r="G969" s="223"/>
      <c r="H969" s="223"/>
    </row>
    <row r="970">
      <c r="A970" s="223"/>
      <c r="B970" s="223"/>
      <c r="C970" s="223"/>
      <c r="D970" s="223"/>
      <c r="E970" s="223"/>
      <c r="F970" s="223"/>
      <c r="G970" s="223"/>
      <c r="H970" s="223"/>
    </row>
    <row r="971">
      <c r="A971" s="223"/>
      <c r="B971" s="223"/>
      <c r="C971" s="223"/>
      <c r="D971" s="223"/>
      <c r="E971" s="223"/>
      <c r="F971" s="223"/>
      <c r="G971" s="223"/>
      <c r="H971" s="223"/>
    </row>
    <row r="972">
      <c r="A972" s="223"/>
      <c r="B972" s="223"/>
      <c r="C972" s="223"/>
      <c r="D972" s="223"/>
      <c r="E972" s="223"/>
      <c r="F972" s="223"/>
      <c r="G972" s="223"/>
      <c r="H972" s="223"/>
    </row>
    <row r="973">
      <c r="A973" s="223"/>
      <c r="B973" s="223"/>
      <c r="C973" s="223"/>
      <c r="D973" s="223"/>
      <c r="E973" s="223"/>
      <c r="F973" s="223"/>
      <c r="G973" s="223"/>
      <c r="H973" s="223"/>
    </row>
    <row r="974">
      <c r="A974" s="223"/>
      <c r="B974" s="223"/>
      <c r="C974" s="223"/>
      <c r="D974" s="223"/>
      <c r="E974" s="223"/>
      <c r="F974" s="223"/>
      <c r="G974" s="223"/>
      <c r="H974" s="223"/>
    </row>
    <row r="975">
      <c r="A975" s="223"/>
      <c r="B975" s="223"/>
      <c r="C975" s="223"/>
      <c r="D975" s="223"/>
      <c r="E975" s="223"/>
      <c r="F975" s="223"/>
      <c r="G975" s="223"/>
      <c r="H975" s="223"/>
    </row>
    <row r="976">
      <c r="A976" s="223"/>
      <c r="B976" s="223"/>
      <c r="C976" s="223"/>
      <c r="D976" s="223"/>
      <c r="E976" s="223"/>
      <c r="F976" s="223"/>
      <c r="G976" s="223"/>
      <c r="H976" s="223"/>
    </row>
    <row r="977">
      <c r="A977" s="223"/>
      <c r="B977" s="223"/>
      <c r="C977" s="223"/>
      <c r="D977" s="223"/>
      <c r="E977" s="223"/>
      <c r="F977" s="223"/>
      <c r="G977" s="223"/>
      <c r="H977" s="223"/>
    </row>
    <row r="978">
      <c r="A978" s="223"/>
      <c r="B978" s="223"/>
      <c r="C978" s="223"/>
      <c r="D978" s="223"/>
      <c r="E978" s="223"/>
      <c r="F978" s="223"/>
      <c r="G978" s="223"/>
      <c r="H978" s="223"/>
    </row>
    <row r="979">
      <c r="A979" s="223"/>
      <c r="B979" s="223"/>
      <c r="C979" s="223"/>
      <c r="D979" s="223"/>
      <c r="E979" s="223"/>
      <c r="F979" s="223"/>
      <c r="G979" s="223"/>
      <c r="H979" s="223"/>
    </row>
    <row r="980">
      <c r="A980" s="223"/>
      <c r="B980" s="223"/>
      <c r="C980" s="223"/>
      <c r="D980" s="223"/>
      <c r="E980" s="223"/>
      <c r="F980" s="223"/>
      <c r="G980" s="223"/>
      <c r="H980" s="223"/>
    </row>
    <row r="981">
      <c r="A981" s="223"/>
      <c r="B981" s="223"/>
      <c r="C981" s="223"/>
      <c r="D981" s="223"/>
      <c r="E981" s="223"/>
      <c r="F981" s="223"/>
      <c r="G981" s="223"/>
      <c r="H981" s="223"/>
    </row>
    <row r="982">
      <c r="A982" s="223"/>
      <c r="B982" s="223"/>
      <c r="C982" s="223"/>
      <c r="D982" s="223"/>
      <c r="E982" s="223"/>
      <c r="F982" s="223"/>
      <c r="G982" s="223"/>
      <c r="H982" s="223"/>
    </row>
    <row r="983">
      <c r="A983" s="223"/>
      <c r="B983" s="223"/>
      <c r="C983" s="223"/>
      <c r="D983" s="223"/>
      <c r="E983" s="223"/>
      <c r="F983" s="223"/>
      <c r="G983" s="223"/>
      <c r="H983" s="223"/>
    </row>
    <row r="984">
      <c r="A984" s="223"/>
      <c r="B984" s="223"/>
      <c r="C984" s="223"/>
      <c r="D984" s="223"/>
      <c r="E984" s="223"/>
      <c r="F984" s="223"/>
      <c r="G984" s="223"/>
      <c r="H984" s="223"/>
    </row>
    <row r="985">
      <c r="A985" s="223"/>
      <c r="B985" s="223"/>
      <c r="C985" s="223"/>
      <c r="D985" s="223"/>
      <c r="E985" s="223"/>
      <c r="F985" s="223"/>
      <c r="G985" s="223"/>
      <c r="H985" s="223"/>
    </row>
    <row r="986">
      <c r="A986" s="223"/>
      <c r="B986" s="223"/>
      <c r="C986" s="223"/>
      <c r="D986" s="223"/>
      <c r="E986" s="223"/>
      <c r="F986" s="223"/>
      <c r="G986" s="223"/>
      <c r="H986" s="223"/>
    </row>
    <row r="987">
      <c r="A987" s="223"/>
      <c r="B987" s="223"/>
      <c r="C987" s="223"/>
      <c r="D987" s="223"/>
      <c r="E987" s="223"/>
      <c r="F987" s="223"/>
      <c r="G987" s="223"/>
      <c r="H987" s="223"/>
    </row>
    <row r="988">
      <c r="A988" s="223"/>
      <c r="B988" s="223"/>
      <c r="C988" s="223"/>
      <c r="D988" s="223"/>
      <c r="E988" s="223"/>
      <c r="F988" s="223"/>
      <c r="G988" s="223"/>
      <c r="H988" s="223"/>
    </row>
    <row r="989">
      <c r="A989" s="223"/>
      <c r="B989" s="223"/>
      <c r="C989" s="223"/>
      <c r="D989" s="223"/>
      <c r="E989" s="223"/>
      <c r="F989" s="223"/>
      <c r="G989" s="223"/>
      <c r="H989" s="223"/>
    </row>
    <row r="990">
      <c r="A990" s="223"/>
      <c r="B990" s="223"/>
      <c r="C990" s="223"/>
      <c r="D990" s="223"/>
      <c r="E990" s="223"/>
      <c r="F990" s="223"/>
      <c r="G990" s="223"/>
      <c r="H990" s="223"/>
    </row>
    <row r="991">
      <c r="A991" s="223"/>
      <c r="B991" s="223"/>
      <c r="C991" s="223"/>
      <c r="D991" s="223"/>
      <c r="E991" s="223"/>
      <c r="F991" s="223"/>
      <c r="G991" s="223"/>
      <c r="H991" s="223"/>
    </row>
    <row r="992">
      <c r="A992" s="223"/>
      <c r="B992" s="223"/>
      <c r="C992" s="223"/>
      <c r="D992" s="223"/>
      <c r="E992" s="223"/>
      <c r="F992" s="223"/>
      <c r="G992" s="223"/>
      <c r="H992" s="223"/>
    </row>
    <row r="993">
      <c r="A993" s="223"/>
      <c r="B993" s="223"/>
      <c r="C993" s="223"/>
      <c r="D993" s="223"/>
      <c r="E993" s="223"/>
      <c r="F993" s="223"/>
      <c r="G993" s="223"/>
      <c r="H993" s="223"/>
    </row>
    <row r="994">
      <c r="A994" s="223"/>
      <c r="B994" s="223"/>
      <c r="C994" s="223"/>
      <c r="D994" s="223"/>
      <c r="E994" s="223"/>
      <c r="F994" s="223"/>
      <c r="G994" s="223"/>
      <c r="H994" s="223"/>
    </row>
    <row r="995">
      <c r="A995" s="223"/>
      <c r="B995" s="223"/>
      <c r="C995" s="223"/>
      <c r="D995" s="223"/>
      <c r="E995" s="223"/>
      <c r="F995" s="223"/>
      <c r="G995" s="223"/>
      <c r="H995" s="223"/>
    </row>
    <row r="996">
      <c r="A996" s="223"/>
      <c r="B996" s="223"/>
      <c r="C996" s="223"/>
      <c r="D996" s="223"/>
      <c r="E996" s="223"/>
      <c r="F996" s="223"/>
      <c r="G996" s="223"/>
      <c r="H996" s="223"/>
    </row>
    <row r="997">
      <c r="A997" s="223"/>
      <c r="B997" s="223"/>
      <c r="C997" s="223"/>
      <c r="D997" s="223"/>
      <c r="E997" s="223"/>
      <c r="F997" s="223"/>
      <c r="G997" s="223"/>
      <c r="H997" s="223"/>
    </row>
    <row r="998">
      <c r="A998" s="223"/>
      <c r="B998" s="223"/>
      <c r="C998" s="223"/>
      <c r="D998" s="223"/>
      <c r="E998" s="223"/>
      <c r="F998" s="223"/>
      <c r="G998" s="223"/>
      <c r="H998" s="223"/>
    </row>
    <row r="999">
      <c r="A999" s="223"/>
      <c r="B999" s="223"/>
      <c r="C999" s="223"/>
      <c r="D999" s="223"/>
      <c r="E999" s="223"/>
      <c r="F999" s="223"/>
      <c r="G999" s="223"/>
      <c r="H999" s="223"/>
    </row>
    <row r="1000">
      <c r="A1000" s="223"/>
      <c r="B1000" s="223"/>
      <c r="C1000" s="223"/>
      <c r="D1000" s="223"/>
      <c r="E1000" s="223"/>
      <c r="F1000" s="223"/>
      <c r="G1000" s="223"/>
      <c r="H1000" s="223"/>
    </row>
  </sheetData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/>
  </sheetViews>
  <sheetFormatPr customHeight="1" defaultColWidth="12.63" defaultRowHeight="15.75"/>
  <cols>
    <col customWidth="1" min="5" max="5" width="13.88"/>
  </cols>
  <sheetData>
    <row r="1">
      <c r="A1" s="60" t="s">
        <v>1654</v>
      </c>
      <c r="B1" s="60" t="s">
        <v>1</v>
      </c>
      <c r="C1" s="653" t="s">
        <v>4161</v>
      </c>
      <c r="E1" s="11" t="str">
        <f>"Empty codes:"&amp; COUNTBLANK(B2:B354)</f>
        <v>Empty codes:353</v>
      </c>
    </row>
    <row r="2">
      <c r="A2" s="21" t="s">
        <v>7369</v>
      </c>
      <c r="C2" s="84">
        <v>6557.0</v>
      </c>
    </row>
    <row r="3">
      <c r="A3" s="21" t="s">
        <v>17479</v>
      </c>
      <c r="C3" s="84">
        <v>285.0</v>
      </c>
    </row>
    <row r="4">
      <c r="A4" s="21" t="s">
        <v>17480</v>
      </c>
      <c r="C4" s="84">
        <v>285.0</v>
      </c>
    </row>
    <row r="5">
      <c r="A5" s="21" t="s">
        <v>17481</v>
      </c>
      <c r="C5" s="84">
        <v>285.0</v>
      </c>
    </row>
    <row r="6">
      <c r="A6" s="21" t="s">
        <v>17482</v>
      </c>
      <c r="C6" s="66">
        <v>6729.0</v>
      </c>
    </row>
    <row r="7">
      <c r="A7" s="21" t="s">
        <v>17483</v>
      </c>
      <c r="C7" s="84">
        <v>285.0</v>
      </c>
    </row>
    <row r="8">
      <c r="A8" s="21" t="s">
        <v>17484</v>
      </c>
      <c r="C8" s="84">
        <v>285.0</v>
      </c>
    </row>
    <row r="9">
      <c r="A9" s="21" t="s">
        <v>7370</v>
      </c>
      <c r="C9" s="84">
        <v>285.0</v>
      </c>
    </row>
    <row r="10">
      <c r="A10" s="21" t="s">
        <v>17485</v>
      </c>
      <c r="C10" s="66">
        <v>6658.0</v>
      </c>
    </row>
    <row r="11">
      <c r="A11" s="21" t="s">
        <v>17486</v>
      </c>
      <c r="C11" s="66">
        <v>663.0</v>
      </c>
    </row>
    <row r="12">
      <c r="A12" s="21" t="s">
        <v>17487</v>
      </c>
      <c r="C12" s="66">
        <v>5566.0</v>
      </c>
    </row>
    <row r="13">
      <c r="A13" s="21" t="s">
        <v>17488</v>
      </c>
      <c r="C13" s="66">
        <v>5458.0</v>
      </c>
    </row>
    <row r="14">
      <c r="A14" s="21" t="s">
        <v>17489</v>
      </c>
      <c r="C14" s="84">
        <v>7142.0</v>
      </c>
    </row>
    <row r="15">
      <c r="A15" s="21" t="s">
        <v>17490</v>
      </c>
      <c r="C15" s="84">
        <v>6658.0</v>
      </c>
    </row>
    <row r="16">
      <c r="A16" s="21" t="s">
        <v>17491</v>
      </c>
      <c r="C16" s="66">
        <v>669.0</v>
      </c>
    </row>
    <row r="17">
      <c r="A17" s="21" t="s">
        <v>17492</v>
      </c>
      <c r="C17" s="66">
        <v>669.0</v>
      </c>
    </row>
    <row r="18">
      <c r="A18" s="21" t="s">
        <v>17493</v>
      </c>
      <c r="C18" s="66">
        <v>6722.0</v>
      </c>
    </row>
    <row r="19">
      <c r="A19" s="21" t="s">
        <v>17494</v>
      </c>
      <c r="C19" s="66">
        <v>2345.0</v>
      </c>
    </row>
    <row r="20">
      <c r="A20" s="21" t="s">
        <v>17495</v>
      </c>
      <c r="C20" s="66">
        <v>2345.0</v>
      </c>
    </row>
    <row r="21">
      <c r="A21" s="21" t="s">
        <v>17496</v>
      </c>
      <c r="C21" s="66">
        <v>2345.0</v>
      </c>
    </row>
    <row r="22">
      <c r="A22" s="21" t="s">
        <v>7371</v>
      </c>
      <c r="C22" s="84">
        <v>189.0</v>
      </c>
    </row>
    <row r="23">
      <c r="A23" s="21" t="s">
        <v>17497</v>
      </c>
      <c r="C23" s="66">
        <v>6675.0</v>
      </c>
    </row>
    <row r="24">
      <c r="A24" s="21" t="s">
        <v>17498</v>
      </c>
      <c r="C24" s="66">
        <v>6143.0</v>
      </c>
    </row>
    <row r="25">
      <c r="A25" s="21" t="s">
        <v>17499</v>
      </c>
      <c r="C25" s="66">
        <v>189.0</v>
      </c>
    </row>
    <row r="26">
      <c r="A26" s="21" t="s">
        <v>17500</v>
      </c>
      <c r="C26" s="66">
        <v>189.0</v>
      </c>
    </row>
    <row r="27">
      <c r="A27" s="21" t="s">
        <v>17501</v>
      </c>
      <c r="C27" s="66">
        <v>189.0</v>
      </c>
    </row>
    <row r="28">
      <c r="A28" s="21" t="s">
        <v>17502</v>
      </c>
      <c r="C28" s="66">
        <v>6727.0</v>
      </c>
    </row>
    <row r="29">
      <c r="A29" s="21" t="s">
        <v>17503</v>
      </c>
      <c r="C29" s="66">
        <v>663.0</v>
      </c>
    </row>
    <row r="30">
      <c r="A30" s="21" t="s">
        <v>17504</v>
      </c>
      <c r="C30" s="66">
        <v>2345.0</v>
      </c>
    </row>
    <row r="31">
      <c r="A31" s="21" t="s">
        <v>17505</v>
      </c>
      <c r="C31" s="66">
        <v>2345.0</v>
      </c>
    </row>
    <row r="32">
      <c r="A32" s="21" t="s">
        <v>17506</v>
      </c>
      <c r="C32" s="66">
        <v>5566.0</v>
      </c>
    </row>
    <row r="33">
      <c r="A33" s="21" t="s">
        <v>17507</v>
      </c>
      <c r="C33" s="66">
        <v>5566.0</v>
      </c>
    </row>
    <row r="34">
      <c r="A34" s="21" t="s">
        <v>17508</v>
      </c>
      <c r="C34" s="66">
        <v>5566.0</v>
      </c>
    </row>
    <row r="35">
      <c r="A35" s="21" t="s">
        <v>17509</v>
      </c>
      <c r="C35" s="66">
        <v>5458.0</v>
      </c>
    </row>
    <row r="36">
      <c r="A36" s="21" t="s">
        <v>17510</v>
      </c>
      <c r="C36" s="84">
        <v>6557.0</v>
      </c>
    </row>
    <row r="37">
      <c r="A37" s="21" t="s">
        <v>17511</v>
      </c>
      <c r="C37" s="66">
        <v>3312.0</v>
      </c>
    </row>
    <row r="38">
      <c r="A38" s="21" t="s">
        <v>17512</v>
      </c>
      <c r="C38" s="84">
        <v>7132.0</v>
      </c>
    </row>
    <row r="39">
      <c r="A39" s="21" t="s">
        <v>17513</v>
      </c>
      <c r="C39" s="66">
        <v>6772.0</v>
      </c>
    </row>
    <row r="40">
      <c r="A40" s="21" t="s">
        <v>17514</v>
      </c>
      <c r="C40" s="66">
        <v>3312.0</v>
      </c>
    </row>
    <row r="41">
      <c r="A41" s="21" t="s">
        <v>17515</v>
      </c>
      <c r="C41" s="84">
        <v>7244.0</v>
      </c>
    </row>
    <row r="42">
      <c r="A42" s="21" t="s">
        <v>17516</v>
      </c>
      <c r="C42" s="84">
        <v>6557.0</v>
      </c>
    </row>
    <row r="43">
      <c r="A43" s="21" t="s">
        <v>17517</v>
      </c>
      <c r="C43" s="66">
        <v>669.0</v>
      </c>
    </row>
    <row r="44">
      <c r="A44" s="21" t="s">
        <v>17518</v>
      </c>
      <c r="C44" s="66">
        <v>2345.0</v>
      </c>
    </row>
    <row r="45">
      <c r="A45" s="21" t="s">
        <v>17519</v>
      </c>
      <c r="C45" s="66">
        <v>2345.0</v>
      </c>
    </row>
    <row r="46">
      <c r="A46" s="21" t="s">
        <v>17520</v>
      </c>
      <c r="C46" s="66">
        <v>2345.0</v>
      </c>
    </row>
    <row r="47">
      <c r="A47" s="21" t="s">
        <v>17521</v>
      </c>
      <c r="C47" s="66">
        <v>669.0</v>
      </c>
    </row>
    <row r="48">
      <c r="A48" s="21" t="s">
        <v>17522</v>
      </c>
      <c r="C48" s="66">
        <v>6729.0</v>
      </c>
    </row>
    <row r="49">
      <c r="A49" s="21" t="s">
        <v>7368</v>
      </c>
      <c r="C49" s="84">
        <v>6887.0</v>
      </c>
    </row>
    <row r="50">
      <c r="A50" s="21" t="s">
        <v>7365</v>
      </c>
      <c r="C50" s="84">
        <v>6557.0</v>
      </c>
    </row>
    <row r="51">
      <c r="A51" s="21" t="s">
        <v>17523</v>
      </c>
      <c r="C51" s="66">
        <v>4933.0</v>
      </c>
    </row>
    <row r="52">
      <c r="A52" s="21" t="s">
        <v>17524</v>
      </c>
      <c r="C52" s="66">
        <v>4933.0</v>
      </c>
    </row>
    <row r="53">
      <c r="A53" s="21" t="s">
        <v>17525</v>
      </c>
      <c r="C53" s="84">
        <v>6669.0</v>
      </c>
    </row>
    <row r="54">
      <c r="A54" s="21" t="s">
        <v>17526</v>
      </c>
      <c r="C54" s="66">
        <v>6758.0</v>
      </c>
    </row>
    <row r="55">
      <c r="A55" s="21" t="s">
        <v>17527</v>
      </c>
      <c r="C55" s="66">
        <v>986.0</v>
      </c>
    </row>
    <row r="56">
      <c r="A56" s="21" t="s">
        <v>17528</v>
      </c>
      <c r="C56" s="66">
        <v>6132.0</v>
      </c>
    </row>
    <row r="57">
      <c r="A57" s="21" t="s">
        <v>17529</v>
      </c>
      <c r="C57" s="66">
        <v>6758.0</v>
      </c>
    </row>
    <row r="58">
      <c r="A58" s="21" t="s">
        <v>17530</v>
      </c>
      <c r="C58" s="66">
        <v>6770.0</v>
      </c>
    </row>
    <row r="59">
      <c r="A59" s="21" t="s">
        <v>17531</v>
      </c>
      <c r="C59" s="66">
        <v>663.0</v>
      </c>
    </row>
    <row r="60">
      <c r="A60" s="21" t="s">
        <v>17532</v>
      </c>
      <c r="C60" s="66">
        <v>6796.0</v>
      </c>
    </row>
    <row r="61">
      <c r="A61" s="21" t="s">
        <v>17533</v>
      </c>
      <c r="C61" s="66">
        <v>6758.0</v>
      </c>
    </row>
    <row r="62">
      <c r="A62" s="21" t="s">
        <v>17534</v>
      </c>
      <c r="C62" s="84">
        <v>6557.0</v>
      </c>
    </row>
    <row r="63">
      <c r="A63" s="21" t="s">
        <v>17535</v>
      </c>
      <c r="C63" s="84">
        <v>6893.0</v>
      </c>
    </row>
    <row r="64">
      <c r="A64" s="21" t="s">
        <v>17536</v>
      </c>
      <c r="C64" s="66">
        <v>2345.0</v>
      </c>
    </row>
    <row r="65">
      <c r="A65" s="21" t="s">
        <v>17537</v>
      </c>
      <c r="C65" s="66">
        <v>986.0</v>
      </c>
    </row>
    <row r="66">
      <c r="A66" s="21" t="s">
        <v>17538</v>
      </c>
      <c r="C66" s="66">
        <v>4933.0</v>
      </c>
    </row>
    <row r="67">
      <c r="A67" s="21" t="s">
        <v>17539</v>
      </c>
      <c r="C67" s="66">
        <v>6788.0</v>
      </c>
    </row>
    <row r="68">
      <c r="A68" s="21" t="s">
        <v>17540</v>
      </c>
      <c r="C68" s="66">
        <v>986.0</v>
      </c>
    </row>
    <row r="69">
      <c r="A69" s="21" t="s">
        <v>17541</v>
      </c>
      <c r="C69" s="66">
        <v>6758.0</v>
      </c>
    </row>
    <row r="70">
      <c r="A70" s="21" t="s">
        <v>17542</v>
      </c>
      <c r="C70" s="66">
        <v>5458.0</v>
      </c>
    </row>
    <row r="71">
      <c r="A71" s="21" t="s">
        <v>17543</v>
      </c>
      <c r="C71" s="66">
        <v>6732.0</v>
      </c>
    </row>
    <row r="72">
      <c r="A72" s="21" t="s">
        <v>17544</v>
      </c>
      <c r="C72" s="66">
        <v>6732.0</v>
      </c>
    </row>
    <row r="73">
      <c r="A73" s="21" t="s">
        <v>17545</v>
      </c>
      <c r="C73" s="66">
        <v>6732.0</v>
      </c>
    </row>
    <row r="74">
      <c r="A74" s="21" t="s">
        <v>17546</v>
      </c>
      <c r="C74" s="66">
        <v>6732.0</v>
      </c>
    </row>
    <row r="75">
      <c r="A75" s="21" t="s">
        <v>17547</v>
      </c>
      <c r="C75" s="66">
        <v>6658.0</v>
      </c>
    </row>
    <row r="76">
      <c r="A76" s="21" t="s">
        <v>17548</v>
      </c>
      <c r="C76" s="66">
        <v>6671.0</v>
      </c>
    </row>
    <row r="77">
      <c r="A77" s="21" t="s">
        <v>17549</v>
      </c>
      <c r="C77" s="66">
        <v>5458.0</v>
      </c>
    </row>
    <row r="78">
      <c r="A78" s="21" t="s">
        <v>17550</v>
      </c>
      <c r="C78" s="66">
        <v>189.0</v>
      </c>
    </row>
    <row r="79">
      <c r="A79" s="21" t="s">
        <v>17551</v>
      </c>
      <c r="C79" s="66">
        <v>4933.0</v>
      </c>
    </row>
    <row r="80">
      <c r="A80" s="21" t="s">
        <v>17552</v>
      </c>
      <c r="C80" s="84">
        <v>7031.0</v>
      </c>
    </row>
    <row r="81">
      <c r="A81" s="21" t="s">
        <v>17553</v>
      </c>
      <c r="C81" s="66">
        <v>6732.0</v>
      </c>
    </row>
    <row r="82">
      <c r="A82" s="21" t="s">
        <v>17554</v>
      </c>
      <c r="C82" s="66">
        <v>6671.0</v>
      </c>
    </row>
    <row r="83">
      <c r="A83" s="21" t="s">
        <v>17555</v>
      </c>
      <c r="C83" s="84">
        <v>930.0</v>
      </c>
    </row>
    <row r="84">
      <c r="A84" s="21" t="s">
        <v>17556</v>
      </c>
      <c r="C84" s="66">
        <v>2345.0</v>
      </c>
    </row>
    <row r="85">
      <c r="A85" s="21" t="s">
        <v>17557</v>
      </c>
      <c r="C85" s="66">
        <v>6758.0</v>
      </c>
    </row>
    <row r="86">
      <c r="A86" s="21" t="s">
        <v>17558</v>
      </c>
      <c r="C86" s="66">
        <v>6796.0</v>
      </c>
    </row>
    <row r="87">
      <c r="A87" s="21" t="s">
        <v>17559</v>
      </c>
      <c r="C87" s="66">
        <v>283.0</v>
      </c>
    </row>
    <row r="88">
      <c r="A88" s="21" t="s">
        <v>17560</v>
      </c>
      <c r="C88" s="66">
        <v>189.0</v>
      </c>
    </row>
    <row r="89">
      <c r="A89" s="21" t="s">
        <v>17561</v>
      </c>
      <c r="C89" s="66">
        <v>2345.0</v>
      </c>
    </row>
    <row r="90">
      <c r="A90" s="21" t="s">
        <v>17562</v>
      </c>
      <c r="C90" s="66">
        <v>6732.0</v>
      </c>
    </row>
    <row r="91">
      <c r="A91" s="21" t="s">
        <v>17563</v>
      </c>
      <c r="C91" s="66">
        <v>2345.0</v>
      </c>
    </row>
    <row r="92">
      <c r="A92" s="21" t="s">
        <v>17564</v>
      </c>
      <c r="C92" s="66">
        <v>283.0</v>
      </c>
    </row>
    <row r="93">
      <c r="A93" s="21" t="s">
        <v>17565</v>
      </c>
      <c r="C93" s="66">
        <v>6778.0</v>
      </c>
    </row>
    <row r="94">
      <c r="A94" s="21" t="s">
        <v>17566</v>
      </c>
      <c r="C94" s="66">
        <v>2345.0</v>
      </c>
    </row>
    <row r="95">
      <c r="A95" s="21" t="s">
        <v>17567</v>
      </c>
      <c r="C95" s="84">
        <v>6697.0</v>
      </c>
    </row>
    <row r="96">
      <c r="A96" s="21" t="s">
        <v>17568</v>
      </c>
      <c r="C96" s="84">
        <v>6697.0</v>
      </c>
    </row>
    <row r="97">
      <c r="A97" s="21" t="s">
        <v>17569</v>
      </c>
      <c r="C97" s="84">
        <v>3404.0</v>
      </c>
    </row>
    <row r="98">
      <c r="A98" s="21" t="s">
        <v>17570</v>
      </c>
      <c r="C98" s="66">
        <v>6726.0</v>
      </c>
    </row>
    <row r="99">
      <c r="A99" s="21" t="s">
        <v>17571</v>
      </c>
      <c r="C99" s="66">
        <v>6107.0</v>
      </c>
    </row>
    <row r="100">
      <c r="A100" s="21" t="s">
        <v>17572</v>
      </c>
      <c r="C100" s="84">
        <v>3404.0</v>
      </c>
    </row>
    <row r="101">
      <c r="A101" s="21" t="s">
        <v>17573</v>
      </c>
      <c r="C101" s="66">
        <v>5389.0</v>
      </c>
    </row>
    <row r="102">
      <c r="A102" s="21" t="s">
        <v>17574</v>
      </c>
      <c r="C102" s="84">
        <v>6924.0</v>
      </c>
    </row>
    <row r="103">
      <c r="A103" s="21" t="s">
        <v>17575</v>
      </c>
      <c r="C103" s="66">
        <v>5458.0</v>
      </c>
    </row>
    <row r="104">
      <c r="A104" s="21" t="s">
        <v>17576</v>
      </c>
      <c r="C104" s="84">
        <v>3404.0</v>
      </c>
    </row>
    <row r="105">
      <c r="A105" s="21" t="s">
        <v>17577</v>
      </c>
      <c r="C105" s="66">
        <v>3312.0</v>
      </c>
    </row>
    <row r="106">
      <c r="A106" s="21" t="s">
        <v>17578</v>
      </c>
      <c r="C106" s="66">
        <v>3312.0</v>
      </c>
    </row>
    <row r="107">
      <c r="A107" s="21" t="s">
        <v>17579</v>
      </c>
      <c r="C107" s="66">
        <v>3312.0</v>
      </c>
    </row>
    <row r="108">
      <c r="A108" s="21" t="s">
        <v>17580</v>
      </c>
      <c r="C108" s="66">
        <v>2345.0</v>
      </c>
    </row>
    <row r="109">
      <c r="A109" s="21" t="s">
        <v>17581</v>
      </c>
      <c r="C109" s="66">
        <v>283.0</v>
      </c>
    </row>
    <row r="110">
      <c r="A110" s="21" t="s">
        <v>17582</v>
      </c>
      <c r="C110" s="66">
        <v>189.0</v>
      </c>
    </row>
    <row r="111">
      <c r="A111" s="21" t="s">
        <v>17583</v>
      </c>
      <c r="C111" s="66">
        <v>3312.0</v>
      </c>
    </row>
    <row r="112">
      <c r="A112" s="21" t="s">
        <v>17584</v>
      </c>
      <c r="C112" s="66">
        <v>2345.0</v>
      </c>
    </row>
    <row r="113">
      <c r="A113" s="21" t="s">
        <v>17585</v>
      </c>
      <c r="C113" s="66">
        <v>2345.0</v>
      </c>
    </row>
    <row r="114">
      <c r="A114" s="21" t="s">
        <v>17586</v>
      </c>
      <c r="C114" s="66">
        <v>3312.0</v>
      </c>
    </row>
    <row r="115">
      <c r="A115" s="21" t="s">
        <v>17587</v>
      </c>
      <c r="C115" s="66">
        <v>2345.0</v>
      </c>
    </row>
    <row r="116">
      <c r="A116" s="21" t="s">
        <v>17588</v>
      </c>
      <c r="C116" s="66">
        <v>2345.0</v>
      </c>
    </row>
    <row r="117">
      <c r="A117" s="21" t="s">
        <v>17589</v>
      </c>
      <c r="C117" s="66">
        <v>2345.0</v>
      </c>
    </row>
    <row r="118">
      <c r="A118" s="21" t="s">
        <v>17590</v>
      </c>
      <c r="C118" s="66">
        <v>2345.0</v>
      </c>
    </row>
    <row r="119">
      <c r="A119" s="21" t="s">
        <v>17591</v>
      </c>
      <c r="C119" s="66">
        <v>2345.0</v>
      </c>
    </row>
    <row r="120">
      <c r="A120" s="21" t="s">
        <v>17592</v>
      </c>
      <c r="C120" s="66">
        <v>6732.0</v>
      </c>
    </row>
    <row r="121">
      <c r="A121" s="21" t="s">
        <v>17593</v>
      </c>
      <c r="C121" s="66">
        <v>6732.0</v>
      </c>
    </row>
    <row r="122">
      <c r="A122" s="21" t="s">
        <v>17594</v>
      </c>
      <c r="C122" s="66">
        <v>6732.0</v>
      </c>
    </row>
    <row r="123">
      <c r="A123" s="21" t="s">
        <v>17595</v>
      </c>
      <c r="C123" s="66">
        <v>189.0</v>
      </c>
    </row>
    <row r="124">
      <c r="A124" s="21" t="s">
        <v>17596</v>
      </c>
      <c r="C124" s="66">
        <v>5458.0</v>
      </c>
    </row>
    <row r="125">
      <c r="A125" s="21" t="s">
        <v>17597</v>
      </c>
      <c r="C125" s="66">
        <v>283.0</v>
      </c>
    </row>
    <row r="126">
      <c r="A126" s="21" t="s">
        <v>17598</v>
      </c>
      <c r="C126" s="66">
        <v>6732.0</v>
      </c>
    </row>
    <row r="127">
      <c r="A127" s="21" t="s">
        <v>17599</v>
      </c>
      <c r="C127" s="66">
        <v>6823.0</v>
      </c>
    </row>
    <row r="128">
      <c r="A128" s="21" t="s">
        <v>17600</v>
      </c>
      <c r="C128" s="66">
        <v>986.0</v>
      </c>
    </row>
    <row r="129">
      <c r="A129" s="21" t="s">
        <v>17601</v>
      </c>
      <c r="C129" s="66">
        <v>6758.0</v>
      </c>
    </row>
    <row r="130">
      <c r="A130" s="21" t="s">
        <v>17602</v>
      </c>
      <c r="C130" s="66">
        <v>3378.0</v>
      </c>
    </row>
    <row r="131">
      <c r="A131" s="21" t="s">
        <v>17603</v>
      </c>
      <c r="C131" s="66">
        <v>2345.0</v>
      </c>
    </row>
    <row r="132">
      <c r="A132" s="21" t="s">
        <v>17604</v>
      </c>
      <c r="C132" s="66">
        <v>189.0</v>
      </c>
    </row>
    <row r="133">
      <c r="A133" s="21" t="s">
        <v>17605</v>
      </c>
      <c r="C133" s="66">
        <v>1334.0</v>
      </c>
    </row>
    <row r="134">
      <c r="A134" s="21" t="s">
        <v>17606</v>
      </c>
      <c r="C134" s="66">
        <v>986.0</v>
      </c>
    </row>
    <row r="135">
      <c r="A135" s="21" t="s">
        <v>17607</v>
      </c>
      <c r="C135" s="66">
        <v>6726.0</v>
      </c>
    </row>
    <row r="136">
      <c r="A136" s="21" t="s">
        <v>17608</v>
      </c>
      <c r="C136" s="84">
        <v>6924.0</v>
      </c>
    </row>
    <row r="137">
      <c r="A137" s="21" t="s">
        <v>17609</v>
      </c>
      <c r="C137" s="66">
        <v>6758.0</v>
      </c>
    </row>
    <row r="138">
      <c r="A138" s="21" t="s">
        <v>17610</v>
      </c>
      <c r="C138" s="66">
        <v>6463.0</v>
      </c>
    </row>
    <row r="139">
      <c r="A139" s="21" t="s">
        <v>17611</v>
      </c>
      <c r="C139" s="66">
        <v>6758.0</v>
      </c>
    </row>
    <row r="140">
      <c r="A140" s="21" t="s">
        <v>17612</v>
      </c>
      <c r="C140" s="66">
        <v>663.0</v>
      </c>
    </row>
    <row r="141">
      <c r="A141" s="21" t="s">
        <v>17613</v>
      </c>
      <c r="C141" s="66">
        <v>669.0</v>
      </c>
    </row>
    <row r="142">
      <c r="A142" s="21" t="s">
        <v>17614</v>
      </c>
      <c r="C142" s="66">
        <v>669.0</v>
      </c>
    </row>
    <row r="143">
      <c r="A143" s="21" t="s">
        <v>17615</v>
      </c>
      <c r="C143" s="66">
        <v>6732.0</v>
      </c>
    </row>
    <row r="144">
      <c r="A144" s="21" t="s">
        <v>17616</v>
      </c>
      <c r="C144" s="66">
        <v>6132.0</v>
      </c>
    </row>
    <row r="145">
      <c r="A145" s="21" t="s">
        <v>17617</v>
      </c>
      <c r="C145" s="66">
        <v>6700.0</v>
      </c>
    </row>
    <row r="146">
      <c r="A146" s="21" t="s">
        <v>17618</v>
      </c>
      <c r="C146" s="84">
        <v>189.0</v>
      </c>
    </row>
    <row r="147">
      <c r="A147" s="21" t="s">
        <v>17619</v>
      </c>
      <c r="C147" s="66">
        <v>189.0</v>
      </c>
    </row>
    <row r="148">
      <c r="A148" s="21" t="s">
        <v>17620</v>
      </c>
      <c r="C148" s="66">
        <v>6758.0</v>
      </c>
    </row>
    <row r="149">
      <c r="A149" s="21" t="s">
        <v>17621</v>
      </c>
      <c r="C149" s="66">
        <v>6732.0</v>
      </c>
    </row>
    <row r="150">
      <c r="A150" s="21" t="s">
        <v>17622</v>
      </c>
      <c r="C150" s="66">
        <v>6758.0</v>
      </c>
    </row>
    <row r="151">
      <c r="A151" s="21" t="s">
        <v>17623</v>
      </c>
      <c r="C151" s="66">
        <v>189.0</v>
      </c>
    </row>
    <row r="152">
      <c r="A152" s="21" t="s">
        <v>17624</v>
      </c>
      <c r="C152" s="66">
        <v>986.0</v>
      </c>
    </row>
    <row r="153">
      <c r="A153" s="21" t="s">
        <v>17625</v>
      </c>
      <c r="C153" s="66">
        <v>6658.0</v>
      </c>
    </row>
    <row r="154">
      <c r="A154" s="21" t="s">
        <v>17626</v>
      </c>
      <c r="C154" s="66">
        <v>6796.0</v>
      </c>
    </row>
    <row r="155">
      <c r="A155" s="21" t="s">
        <v>17627</v>
      </c>
      <c r="C155" s="66">
        <v>6732.0</v>
      </c>
    </row>
    <row r="156">
      <c r="A156" s="21" t="s">
        <v>17628</v>
      </c>
      <c r="C156" s="66">
        <v>5458.0</v>
      </c>
    </row>
    <row r="157">
      <c r="A157" s="21" t="s">
        <v>17629</v>
      </c>
      <c r="C157" s="66">
        <v>6824.0</v>
      </c>
    </row>
    <row r="158">
      <c r="A158" s="21" t="s">
        <v>17630</v>
      </c>
      <c r="C158" s="84">
        <v>7134.0</v>
      </c>
    </row>
    <row r="159">
      <c r="A159" s="21" t="s">
        <v>17631</v>
      </c>
      <c r="C159" s="84">
        <v>3404.0</v>
      </c>
    </row>
    <row r="160">
      <c r="A160" s="21" t="s">
        <v>17632</v>
      </c>
      <c r="C160" s="66">
        <v>6778.0</v>
      </c>
    </row>
    <row r="161">
      <c r="A161" s="21" t="s">
        <v>17633</v>
      </c>
      <c r="C161" s="66">
        <v>6732.0</v>
      </c>
    </row>
    <row r="162">
      <c r="A162" s="21" t="s">
        <v>17634</v>
      </c>
      <c r="C162" s="66">
        <v>283.0</v>
      </c>
    </row>
    <row r="163">
      <c r="A163" s="21" t="s">
        <v>17635</v>
      </c>
      <c r="C163" s="66">
        <v>6758.0</v>
      </c>
    </row>
    <row r="164">
      <c r="A164" s="21" t="s">
        <v>17636</v>
      </c>
      <c r="C164" s="66">
        <v>6758.0</v>
      </c>
    </row>
    <row r="165">
      <c r="A165" s="21" t="s">
        <v>17637</v>
      </c>
      <c r="C165" s="66">
        <v>6726.0</v>
      </c>
    </row>
    <row r="166">
      <c r="A166" s="21" t="s">
        <v>17638</v>
      </c>
      <c r="C166" s="66">
        <v>1334.0</v>
      </c>
    </row>
    <row r="167">
      <c r="A167" s="21" t="s">
        <v>17639</v>
      </c>
      <c r="C167" s="66">
        <v>6732.0</v>
      </c>
    </row>
    <row r="168">
      <c r="A168" s="21" t="s">
        <v>17640</v>
      </c>
      <c r="C168" s="66">
        <v>189.0</v>
      </c>
    </row>
    <row r="169">
      <c r="A169" s="21" t="s">
        <v>17641</v>
      </c>
      <c r="C169" s="66">
        <v>6143.0</v>
      </c>
    </row>
    <row r="170">
      <c r="A170" s="21" t="s">
        <v>17642</v>
      </c>
      <c r="C170" s="66">
        <v>2345.0</v>
      </c>
    </row>
    <row r="171">
      <c r="A171" s="21" t="s">
        <v>17643</v>
      </c>
      <c r="C171" s="66">
        <v>6758.0</v>
      </c>
    </row>
    <row r="172">
      <c r="A172" s="21" t="s">
        <v>17644</v>
      </c>
      <c r="C172" s="66">
        <v>6143.0</v>
      </c>
    </row>
    <row r="173">
      <c r="A173" s="21" t="s">
        <v>17645</v>
      </c>
      <c r="C173" s="66">
        <v>6732.0</v>
      </c>
    </row>
    <row r="174">
      <c r="A174" s="21" t="s">
        <v>17646</v>
      </c>
      <c r="C174" s="66">
        <v>6758.0</v>
      </c>
    </row>
    <row r="175">
      <c r="A175" s="21" t="s">
        <v>17647</v>
      </c>
      <c r="C175" s="66">
        <v>6758.0</v>
      </c>
    </row>
    <row r="176">
      <c r="A176" s="21" t="s">
        <v>17648</v>
      </c>
      <c r="C176" s="66">
        <v>3312.0</v>
      </c>
    </row>
    <row r="177">
      <c r="A177" s="21" t="s">
        <v>17649</v>
      </c>
      <c r="C177" s="66">
        <v>3312.0</v>
      </c>
    </row>
    <row r="178">
      <c r="A178" s="21" t="s">
        <v>17649</v>
      </c>
      <c r="C178" s="66">
        <v>283.0</v>
      </c>
    </row>
    <row r="179">
      <c r="A179" s="21" t="s">
        <v>17650</v>
      </c>
      <c r="C179" s="66">
        <v>2345.0</v>
      </c>
    </row>
    <row r="180">
      <c r="A180" s="21" t="s">
        <v>17651</v>
      </c>
      <c r="C180" s="66">
        <v>2345.0</v>
      </c>
    </row>
    <row r="181">
      <c r="A181" s="21" t="s">
        <v>17652</v>
      </c>
      <c r="C181" s="66">
        <v>6722.0</v>
      </c>
    </row>
    <row r="182">
      <c r="A182" s="21" t="s">
        <v>17653</v>
      </c>
      <c r="C182" s="84">
        <v>6658.0</v>
      </c>
    </row>
    <row r="183">
      <c r="A183" s="21" t="s">
        <v>17654</v>
      </c>
      <c r="C183" s="66">
        <v>189.0</v>
      </c>
    </row>
    <row r="184">
      <c r="A184" s="21" t="s">
        <v>17655</v>
      </c>
      <c r="C184" s="66">
        <v>283.0</v>
      </c>
    </row>
    <row r="185">
      <c r="A185" s="21" t="s">
        <v>17656</v>
      </c>
      <c r="C185" s="66">
        <v>283.0</v>
      </c>
    </row>
    <row r="186">
      <c r="A186" s="21" t="s">
        <v>17657</v>
      </c>
      <c r="C186" s="66">
        <v>6736.0</v>
      </c>
    </row>
    <row r="187">
      <c r="A187" s="21" t="s">
        <v>17658</v>
      </c>
      <c r="C187" s="66">
        <v>189.0</v>
      </c>
    </row>
    <row r="188">
      <c r="A188" s="21" t="s">
        <v>17659</v>
      </c>
      <c r="C188" s="66">
        <v>2345.0</v>
      </c>
    </row>
    <row r="189">
      <c r="A189" s="21" t="s">
        <v>17660</v>
      </c>
      <c r="C189" s="66">
        <v>2345.0</v>
      </c>
    </row>
    <row r="190">
      <c r="A190" s="21" t="s">
        <v>17661</v>
      </c>
      <c r="C190" s="66">
        <v>2345.0</v>
      </c>
    </row>
    <row r="191">
      <c r="A191" s="21" t="s">
        <v>17662</v>
      </c>
      <c r="C191" s="66">
        <v>2345.0</v>
      </c>
    </row>
    <row r="192">
      <c r="A192" s="21" t="s">
        <v>17663</v>
      </c>
      <c r="C192" s="66">
        <v>2345.0</v>
      </c>
    </row>
    <row r="193">
      <c r="A193" s="21" t="s">
        <v>17664</v>
      </c>
      <c r="C193" s="66">
        <v>2345.0</v>
      </c>
    </row>
    <row r="194">
      <c r="A194" s="21" t="s">
        <v>17665</v>
      </c>
      <c r="C194" s="66">
        <v>2345.0</v>
      </c>
    </row>
    <row r="195">
      <c r="A195" s="21" t="s">
        <v>17666</v>
      </c>
      <c r="C195" s="66">
        <v>2345.0</v>
      </c>
    </row>
    <row r="196">
      <c r="A196" s="21" t="s">
        <v>17667</v>
      </c>
      <c r="C196" s="66">
        <v>2345.0</v>
      </c>
    </row>
    <row r="197">
      <c r="A197" s="21" t="s">
        <v>17668</v>
      </c>
      <c r="C197" s="66">
        <v>6732.0</v>
      </c>
    </row>
    <row r="198">
      <c r="A198" s="21" t="s">
        <v>17669</v>
      </c>
      <c r="C198" s="66">
        <v>3312.0</v>
      </c>
    </row>
    <row r="199">
      <c r="A199" s="21" t="s">
        <v>17670</v>
      </c>
      <c r="C199" s="66">
        <v>6732.0</v>
      </c>
    </row>
    <row r="200">
      <c r="A200" s="21" t="s">
        <v>17671</v>
      </c>
      <c r="C200" s="66">
        <v>189.0</v>
      </c>
    </row>
    <row r="201">
      <c r="A201" s="21" t="s">
        <v>17672</v>
      </c>
      <c r="C201" s="66">
        <v>5458.0</v>
      </c>
    </row>
    <row r="202">
      <c r="A202" s="21" t="s">
        <v>17673</v>
      </c>
      <c r="C202" s="66">
        <v>5458.0</v>
      </c>
    </row>
    <row r="203">
      <c r="A203" s="21" t="s">
        <v>17674</v>
      </c>
      <c r="C203" s="66">
        <v>6797.0</v>
      </c>
    </row>
    <row r="204">
      <c r="A204" s="21" t="s">
        <v>17675</v>
      </c>
      <c r="C204" s="66">
        <v>3312.0</v>
      </c>
    </row>
    <row r="205">
      <c r="A205" s="654" t="s">
        <v>7861</v>
      </c>
      <c r="C205" s="84">
        <v>3404.0</v>
      </c>
    </row>
    <row r="206">
      <c r="A206" s="490" t="s">
        <v>7863</v>
      </c>
      <c r="C206" s="84">
        <v>3404.0</v>
      </c>
    </row>
    <row r="207">
      <c r="A207" s="490" t="s">
        <v>7864</v>
      </c>
      <c r="C207" s="84">
        <v>3404.0</v>
      </c>
    </row>
    <row r="208">
      <c r="A208" s="490" t="s">
        <v>5645</v>
      </c>
      <c r="C208" s="84">
        <v>3404.0</v>
      </c>
    </row>
    <row r="209">
      <c r="A209" s="490" t="s">
        <v>7865</v>
      </c>
      <c r="C209" s="84">
        <v>5365.0</v>
      </c>
    </row>
    <row r="210">
      <c r="A210" s="490" t="s">
        <v>7866</v>
      </c>
      <c r="C210" s="84">
        <v>5365.0</v>
      </c>
    </row>
    <row r="211">
      <c r="A211" s="490" t="s">
        <v>7867</v>
      </c>
      <c r="C211" s="84">
        <v>6998.0</v>
      </c>
    </row>
    <row r="212">
      <c r="A212" s="490" t="s">
        <v>7868</v>
      </c>
      <c r="C212" s="84">
        <v>7113.0</v>
      </c>
    </row>
    <row r="213">
      <c r="A213" s="490" t="s">
        <v>7869</v>
      </c>
      <c r="C213" s="84">
        <v>5389.0</v>
      </c>
    </row>
    <row r="214">
      <c r="A214" s="490" t="s">
        <v>9652</v>
      </c>
      <c r="C214" s="84">
        <v>930.0</v>
      </c>
    </row>
    <row r="215">
      <c r="A215" s="490" t="s">
        <v>9654</v>
      </c>
      <c r="C215" s="84">
        <v>136.0</v>
      </c>
    </row>
    <row r="216">
      <c r="A216" s="490" t="s">
        <v>9657</v>
      </c>
      <c r="C216" s="84">
        <v>499.0</v>
      </c>
    </row>
    <row r="217">
      <c r="A217" s="490" t="s">
        <v>9661</v>
      </c>
      <c r="C217" s="84">
        <v>7283.0</v>
      </c>
    </row>
    <row r="218">
      <c r="A218" s="490" t="s">
        <v>12621</v>
      </c>
      <c r="C218" s="84">
        <v>3312.0</v>
      </c>
    </row>
    <row r="219">
      <c r="A219" s="490" t="s">
        <v>9663</v>
      </c>
      <c r="C219" s="84">
        <v>3312.0</v>
      </c>
    </row>
    <row r="220">
      <c r="A220" s="490" t="s">
        <v>9681</v>
      </c>
      <c r="C220" s="84">
        <v>3312.0</v>
      </c>
    </row>
    <row r="221">
      <c r="A221" s="490" t="s">
        <v>9684</v>
      </c>
      <c r="C221" s="84">
        <v>7033.0</v>
      </c>
    </row>
    <row r="222">
      <c r="A222" s="490" t="s">
        <v>9687</v>
      </c>
      <c r="C222" s="84">
        <v>7049.0</v>
      </c>
    </row>
    <row r="223">
      <c r="A223" s="490" t="s">
        <v>9665</v>
      </c>
      <c r="C223" s="84">
        <v>6802.0</v>
      </c>
    </row>
    <row r="224">
      <c r="A224" s="490" t="s">
        <v>9668</v>
      </c>
      <c r="C224" s="84">
        <v>7297.0</v>
      </c>
    </row>
    <row r="225">
      <c r="A225" s="490" t="s">
        <v>9690</v>
      </c>
      <c r="C225" s="84">
        <v>5389.0</v>
      </c>
    </row>
    <row r="226">
      <c r="A226" s="490" t="s">
        <v>9671</v>
      </c>
      <c r="C226" s="84">
        <v>7243.0</v>
      </c>
    </row>
    <row r="227">
      <c r="A227" s="490" t="s">
        <v>9674</v>
      </c>
      <c r="C227" s="84">
        <v>3231.0</v>
      </c>
    </row>
    <row r="228">
      <c r="A228" s="490" t="s">
        <v>9676</v>
      </c>
      <c r="C228" s="84">
        <v>3312.0</v>
      </c>
    </row>
    <row r="229">
      <c r="A229" s="490" t="s">
        <v>9678</v>
      </c>
      <c r="C229" s="84">
        <v>6463.0</v>
      </c>
    </row>
    <row r="230">
      <c r="A230" s="490" t="s">
        <v>11739</v>
      </c>
      <c r="C230" s="84">
        <v>7096.0</v>
      </c>
    </row>
    <row r="231">
      <c r="A231" s="490" t="s">
        <v>9680</v>
      </c>
      <c r="C231" s="84">
        <v>7010.0</v>
      </c>
      <c r="D231" s="11">
        <v>6779.0</v>
      </c>
    </row>
    <row r="232">
      <c r="A232" s="490" t="s">
        <v>9693</v>
      </c>
      <c r="C232" s="84">
        <v>3312.0</v>
      </c>
    </row>
    <row r="233">
      <c r="A233" s="490" t="s">
        <v>9695</v>
      </c>
      <c r="C233" s="84">
        <v>6658.0</v>
      </c>
    </row>
    <row r="234">
      <c r="A234" s="490" t="s">
        <v>9698</v>
      </c>
      <c r="C234" s="84">
        <v>7246.0</v>
      </c>
    </row>
    <row r="235">
      <c r="A235" s="490" t="s">
        <v>9683</v>
      </c>
      <c r="C235" s="84">
        <v>6658.0</v>
      </c>
    </row>
    <row r="236">
      <c r="A236" s="490" t="s">
        <v>9686</v>
      </c>
      <c r="C236" s="84">
        <v>6936.0</v>
      </c>
    </row>
    <row r="237">
      <c r="A237" s="490" t="s">
        <v>9701</v>
      </c>
      <c r="C237" s="84">
        <v>7008.0</v>
      </c>
    </row>
    <row r="238">
      <c r="A238" s="490" t="s">
        <v>9689</v>
      </c>
      <c r="C238" s="84">
        <v>6780.0</v>
      </c>
    </row>
    <row r="239">
      <c r="A239" s="490" t="s">
        <v>9692</v>
      </c>
      <c r="C239" s="84">
        <v>7104.0</v>
      </c>
    </row>
    <row r="240">
      <c r="A240" s="490" t="s">
        <v>9704</v>
      </c>
      <c r="C240" s="84">
        <v>7008.0</v>
      </c>
    </row>
    <row r="241">
      <c r="A241" s="490" t="s">
        <v>5667</v>
      </c>
      <c r="C241" s="84">
        <v>4933.0</v>
      </c>
    </row>
    <row r="242">
      <c r="A242" s="490" t="s">
        <v>9697</v>
      </c>
      <c r="C242" s="84">
        <v>4933.0</v>
      </c>
    </row>
    <row r="243">
      <c r="A243" s="490" t="s">
        <v>9700</v>
      </c>
      <c r="C243" s="84">
        <v>6887.0</v>
      </c>
    </row>
    <row r="244">
      <c r="A244" s="490" t="s">
        <v>9707</v>
      </c>
      <c r="C244" s="84">
        <v>3307.0</v>
      </c>
    </row>
    <row r="245">
      <c r="A245" s="490" t="s">
        <v>9703</v>
      </c>
      <c r="C245" s="84">
        <v>6697.0</v>
      </c>
    </row>
    <row r="246">
      <c r="A246" s="490" t="s">
        <v>9710</v>
      </c>
      <c r="C246" s="84">
        <v>6909.0</v>
      </c>
    </row>
    <row r="247">
      <c r="A247" s="490" t="s">
        <v>9706</v>
      </c>
      <c r="C247" s="84">
        <v>7051.0</v>
      </c>
    </row>
    <row r="248">
      <c r="A248" s="490" t="s">
        <v>9709</v>
      </c>
      <c r="C248" s="84">
        <v>7055.0</v>
      </c>
    </row>
    <row r="249">
      <c r="A249" s="490" t="s">
        <v>9713</v>
      </c>
      <c r="C249" s="84">
        <v>6891.0</v>
      </c>
    </row>
    <row r="250">
      <c r="A250" s="490" t="s">
        <v>9716</v>
      </c>
      <c r="C250" s="84">
        <v>6727.0</v>
      </c>
    </row>
    <row r="251">
      <c r="A251" s="490" t="s">
        <v>9719</v>
      </c>
      <c r="C251" s="84">
        <v>6727.0</v>
      </c>
    </row>
    <row r="252">
      <c r="A252" s="490" t="s">
        <v>9722</v>
      </c>
      <c r="C252" s="84">
        <v>6727.0</v>
      </c>
    </row>
    <row r="253">
      <c r="A253" s="490" t="s">
        <v>9725</v>
      </c>
      <c r="C253" s="84">
        <v>6727.0</v>
      </c>
    </row>
    <row r="254">
      <c r="A254" s="490" t="s">
        <v>9728</v>
      </c>
      <c r="C254" s="84">
        <v>6727.0</v>
      </c>
    </row>
    <row r="255">
      <c r="A255" s="490" t="s">
        <v>9712</v>
      </c>
      <c r="C255" s="84">
        <v>6727.0</v>
      </c>
    </row>
    <row r="256">
      <c r="A256" s="490" t="s">
        <v>9715</v>
      </c>
      <c r="C256" s="84">
        <v>6727.0</v>
      </c>
    </row>
    <row r="257">
      <c r="A257" s="490" t="s">
        <v>10375</v>
      </c>
      <c r="C257" s="84">
        <v>6727.0</v>
      </c>
    </row>
    <row r="258">
      <c r="A258" s="490" t="s">
        <v>9731</v>
      </c>
      <c r="C258" s="84">
        <v>6727.0</v>
      </c>
    </row>
    <row r="259">
      <c r="A259" s="490" t="s">
        <v>9734</v>
      </c>
      <c r="C259" s="84">
        <v>6727.0</v>
      </c>
    </row>
    <row r="260">
      <c r="A260" s="490" t="s">
        <v>9718</v>
      </c>
      <c r="C260" s="84">
        <v>6727.0</v>
      </c>
    </row>
    <row r="261">
      <c r="A261" s="490" t="s">
        <v>9721</v>
      </c>
      <c r="C261" s="84">
        <v>6727.0</v>
      </c>
    </row>
    <row r="262">
      <c r="A262" s="490" t="s">
        <v>9724</v>
      </c>
      <c r="C262" s="84">
        <v>7036.0</v>
      </c>
    </row>
    <row r="263">
      <c r="A263" s="490" t="s">
        <v>9737</v>
      </c>
      <c r="C263" s="84">
        <v>7036.0</v>
      </c>
    </row>
    <row r="264">
      <c r="A264" s="490" t="s">
        <v>9727</v>
      </c>
      <c r="C264" s="84">
        <v>7036.0</v>
      </c>
    </row>
    <row r="265">
      <c r="A265" s="490" t="s">
        <v>9740</v>
      </c>
      <c r="C265" s="84">
        <v>7036.0</v>
      </c>
    </row>
    <row r="266">
      <c r="A266" s="490" t="s">
        <v>9730</v>
      </c>
      <c r="C266" s="84">
        <v>7036.0</v>
      </c>
    </row>
    <row r="267">
      <c r="A267" s="490" t="s">
        <v>9743</v>
      </c>
      <c r="C267" s="84">
        <v>6891.0</v>
      </c>
    </row>
    <row r="268">
      <c r="A268" s="490" t="s">
        <v>9733</v>
      </c>
      <c r="C268" s="84">
        <v>6767.0</v>
      </c>
    </row>
    <row r="269">
      <c r="A269" s="490" t="s">
        <v>9746</v>
      </c>
      <c r="C269" s="84">
        <v>7147.0</v>
      </c>
    </row>
    <row r="270">
      <c r="A270" s="490" t="s">
        <v>9752</v>
      </c>
      <c r="C270" s="84">
        <v>285.0</v>
      </c>
    </row>
    <row r="271">
      <c r="A271" s="490" t="s">
        <v>9755</v>
      </c>
      <c r="C271" s="84">
        <v>285.0</v>
      </c>
    </row>
    <row r="272">
      <c r="A272" s="490" t="s">
        <v>9758</v>
      </c>
      <c r="C272" s="84">
        <v>136.0</v>
      </c>
    </row>
    <row r="273">
      <c r="A273" s="490" t="s">
        <v>9761</v>
      </c>
      <c r="C273" s="84">
        <v>6732.0</v>
      </c>
    </row>
    <row r="274">
      <c r="A274" s="490" t="s">
        <v>9764</v>
      </c>
      <c r="C274" s="84">
        <v>6732.0</v>
      </c>
    </row>
    <row r="275">
      <c r="A275" s="490" t="s">
        <v>9770</v>
      </c>
      <c r="C275" s="84">
        <v>6732.0</v>
      </c>
    </row>
    <row r="276">
      <c r="A276" s="490" t="s">
        <v>9773</v>
      </c>
      <c r="C276" s="84">
        <v>6732.0</v>
      </c>
    </row>
    <row r="277">
      <c r="A277" s="490" t="s">
        <v>9736</v>
      </c>
      <c r="C277" s="84">
        <v>6732.0</v>
      </c>
    </row>
    <row r="278">
      <c r="A278" s="490" t="s">
        <v>9739</v>
      </c>
      <c r="C278" s="84">
        <v>7020.0</v>
      </c>
    </row>
    <row r="279">
      <c r="A279" s="490" t="s">
        <v>9776</v>
      </c>
      <c r="C279" s="84">
        <v>285.0</v>
      </c>
    </row>
    <row r="280">
      <c r="A280" s="490" t="s">
        <v>9742</v>
      </c>
      <c r="C280" s="84">
        <v>285.0</v>
      </c>
    </row>
    <row r="281">
      <c r="A281" s="490" t="s">
        <v>9745</v>
      </c>
      <c r="C281" s="84">
        <v>285.0</v>
      </c>
    </row>
    <row r="282">
      <c r="A282" s="490" t="s">
        <v>9748</v>
      </c>
      <c r="C282" s="84">
        <v>285.0</v>
      </c>
    </row>
    <row r="283">
      <c r="A283" s="490" t="s">
        <v>9751</v>
      </c>
      <c r="C283" s="84">
        <v>6671.0</v>
      </c>
    </row>
    <row r="284">
      <c r="A284" s="490" t="s">
        <v>9754</v>
      </c>
      <c r="C284" s="84">
        <v>6671.0</v>
      </c>
    </row>
    <row r="285">
      <c r="A285" s="490" t="s">
        <v>9757</v>
      </c>
      <c r="C285" s="84">
        <v>285.0</v>
      </c>
    </row>
    <row r="286">
      <c r="A286" s="490" t="s">
        <v>9760</v>
      </c>
      <c r="C286" s="84">
        <v>6671.0</v>
      </c>
    </row>
    <row r="287">
      <c r="A287" s="490" t="s">
        <v>9763</v>
      </c>
      <c r="C287" s="84">
        <v>6671.0</v>
      </c>
    </row>
    <row r="288">
      <c r="A288" s="490" t="s">
        <v>9766</v>
      </c>
      <c r="C288" s="84">
        <v>7092.0</v>
      </c>
    </row>
    <row r="289">
      <c r="A289" s="490" t="s">
        <v>9769</v>
      </c>
      <c r="C289" s="84">
        <v>6671.0</v>
      </c>
    </row>
    <row r="290">
      <c r="A290" s="490" t="s">
        <v>9779</v>
      </c>
      <c r="C290" s="84">
        <v>285.0</v>
      </c>
    </row>
    <row r="291">
      <c r="A291" s="490" t="s">
        <v>9782</v>
      </c>
      <c r="C291" s="84">
        <v>285.0</v>
      </c>
    </row>
    <row r="292">
      <c r="A292" s="490" t="s">
        <v>9788</v>
      </c>
      <c r="C292" s="84">
        <v>285.0</v>
      </c>
    </row>
    <row r="293">
      <c r="A293" s="490" t="s">
        <v>9791</v>
      </c>
      <c r="C293" s="84">
        <v>6133.0</v>
      </c>
    </row>
    <row r="294">
      <c r="A294" s="490" t="s">
        <v>9772</v>
      </c>
      <c r="C294" s="84">
        <v>6530.0</v>
      </c>
    </row>
    <row r="295">
      <c r="A295" s="490" t="s">
        <v>9794</v>
      </c>
      <c r="C295" s="84">
        <v>6530.0</v>
      </c>
    </row>
    <row r="296">
      <c r="A296" s="490" t="s">
        <v>9775</v>
      </c>
      <c r="C296" s="84">
        <v>6530.0</v>
      </c>
    </row>
    <row r="297">
      <c r="A297" s="490" t="s">
        <v>9797</v>
      </c>
      <c r="C297" s="84">
        <v>7055.0</v>
      </c>
    </row>
    <row r="298">
      <c r="A298" s="490" t="s">
        <v>9800</v>
      </c>
      <c r="C298" s="84">
        <v>2345.0</v>
      </c>
    </row>
    <row r="299">
      <c r="A299" s="490" t="s">
        <v>9803</v>
      </c>
      <c r="C299" s="84">
        <v>2345.0</v>
      </c>
    </row>
    <row r="300">
      <c r="A300" s="490" t="s">
        <v>9778</v>
      </c>
      <c r="C300" s="84">
        <v>2345.0</v>
      </c>
    </row>
    <row r="301">
      <c r="A301" s="490" t="s">
        <v>9806</v>
      </c>
      <c r="C301" s="84">
        <v>2345.0</v>
      </c>
    </row>
    <row r="302">
      <c r="A302" s="490" t="s">
        <v>12708</v>
      </c>
      <c r="C302" s="84">
        <v>2345.0</v>
      </c>
    </row>
    <row r="303">
      <c r="A303" s="490" t="s">
        <v>12710</v>
      </c>
      <c r="C303" s="84">
        <v>7055.0</v>
      </c>
    </row>
    <row r="304">
      <c r="A304" s="490" t="s">
        <v>12712</v>
      </c>
      <c r="C304" s="84">
        <v>7055.0</v>
      </c>
    </row>
    <row r="305">
      <c r="A305" s="490" t="s">
        <v>12714</v>
      </c>
      <c r="C305" s="84">
        <v>7055.0</v>
      </c>
    </row>
    <row r="306">
      <c r="A306" s="490" t="s">
        <v>12716</v>
      </c>
      <c r="C306" s="84">
        <v>7055.0</v>
      </c>
    </row>
    <row r="307">
      <c r="A307" s="490" t="s">
        <v>12718</v>
      </c>
      <c r="C307" s="84">
        <v>7030.0</v>
      </c>
    </row>
    <row r="308">
      <c r="A308" s="490" t="s">
        <v>12023</v>
      </c>
      <c r="C308" s="84">
        <v>7168.0</v>
      </c>
      <c r="D308" s="11">
        <v>7098.0</v>
      </c>
    </row>
    <row r="309">
      <c r="A309" s="490" t="s">
        <v>12197</v>
      </c>
      <c r="C309" s="84">
        <v>7030.0</v>
      </c>
    </row>
    <row r="310">
      <c r="A310" s="490" t="s">
        <v>12722</v>
      </c>
      <c r="C310" s="84">
        <v>4933.0</v>
      </c>
    </row>
    <row r="311">
      <c r="A311" s="490" t="s">
        <v>12724</v>
      </c>
      <c r="C311" s="84">
        <v>7168.0</v>
      </c>
      <c r="D311" s="11">
        <v>7098.0</v>
      </c>
    </row>
    <row r="312">
      <c r="A312" s="490" t="s">
        <v>12726</v>
      </c>
      <c r="C312" s="84">
        <v>7084.0</v>
      </c>
    </row>
    <row r="313">
      <c r="A313" s="490" t="s">
        <v>11557</v>
      </c>
      <c r="C313" s="84">
        <v>2345.0</v>
      </c>
    </row>
    <row r="314">
      <c r="A314" s="490" t="s">
        <v>12729</v>
      </c>
      <c r="C314" s="84">
        <v>2345.0</v>
      </c>
    </row>
    <row r="315">
      <c r="A315" s="490" t="s">
        <v>11378</v>
      </c>
      <c r="C315" s="84">
        <v>2345.0</v>
      </c>
    </row>
    <row r="316">
      <c r="A316" s="490" t="s">
        <v>12189</v>
      </c>
      <c r="C316" s="84">
        <v>2345.0</v>
      </c>
    </row>
    <row r="317">
      <c r="A317" s="490" t="s">
        <v>12733</v>
      </c>
      <c r="C317" s="84">
        <v>2345.0</v>
      </c>
    </row>
    <row r="318">
      <c r="A318" s="490" t="s">
        <v>12735</v>
      </c>
      <c r="C318" s="84">
        <v>7123.0</v>
      </c>
    </row>
    <row r="319">
      <c r="A319" s="490" t="s">
        <v>11388</v>
      </c>
      <c r="C319" s="84">
        <v>7073.0</v>
      </c>
    </row>
    <row r="320">
      <c r="A320" s="490" t="s">
        <v>11725</v>
      </c>
      <c r="C320" s="84">
        <v>7149.0</v>
      </c>
    </row>
    <row r="321">
      <c r="A321" s="490" t="s">
        <v>12739</v>
      </c>
      <c r="C321" s="84">
        <v>6903.0</v>
      </c>
    </row>
    <row r="322">
      <c r="A322" s="490" t="s">
        <v>12741</v>
      </c>
      <c r="B322" s="122"/>
      <c r="C322" s="655">
        <v>6697.0</v>
      </c>
    </row>
    <row r="323">
      <c r="A323" s="490" t="s">
        <v>12743</v>
      </c>
      <c r="C323" s="84">
        <v>7080.0</v>
      </c>
    </row>
    <row r="324">
      <c r="A324" s="490" t="s">
        <v>12745</v>
      </c>
      <c r="C324" s="84">
        <v>7083.0</v>
      </c>
    </row>
    <row r="325">
      <c r="A325" s="490" t="s">
        <v>12747</v>
      </c>
      <c r="C325" s="84">
        <v>7046.0</v>
      </c>
    </row>
    <row r="326">
      <c r="A326" s="490" t="s">
        <v>12749</v>
      </c>
      <c r="C326" s="84">
        <v>6133.0</v>
      </c>
    </row>
    <row r="327">
      <c r="A327" s="490" t="s">
        <v>12751</v>
      </c>
      <c r="C327" s="84">
        <v>6133.0</v>
      </c>
    </row>
    <row r="328">
      <c r="A328" s="490" t="s">
        <v>12753</v>
      </c>
      <c r="C328" s="84">
        <v>6133.0</v>
      </c>
    </row>
    <row r="329">
      <c r="A329" s="490" t="s">
        <v>12755</v>
      </c>
      <c r="C329" s="84">
        <v>6133.0</v>
      </c>
    </row>
    <row r="330">
      <c r="A330" s="490" t="s">
        <v>12757</v>
      </c>
      <c r="C330" s="84">
        <v>6727.0</v>
      </c>
    </row>
    <row r="331">
      <c r="A331" s="490" t="s">
        <v>12186</v>
      </c>
      <c r="C331" s="84">
        <v>6727.0</v>
      </c>
    </row>
    <row r="332">
      <c r="A332" s="490" t="s">
        <v>12254</v>
      </c>
      <c r="C332" s="84">
        <v>6727.0</v>
      </c>
    </row>
    <row r="333">
      <c r="A333" s="490" t="s">
        <v>12191</v>
      </c>
      <c r="C333" s="84">
        <v>6727.0</v>
      </c>
    </row>
    <row r="334">
      <c r="A334" s="490" t="s">
        <v>12762</v>
      </c>
      <c r="C334" s="84">
        <v>6727.0</v>
      </c>
    </row>
    <row r="335">
      <c r="A335" s="490" t="s">
        <v>12764</v>
      </c>
      <c r="C335" s="84">
        <v>6727.0</v>
      </c>
    </row>
    <row r="336">
      <c r="A336" s="490" t="s">
        <v>12766</v>
      </c>
      <c r="C336" s="84">
        <v>6727.0</v>
      </c>
    </row>
    <row r="337">
      <c r="A337" s="490" t="s">
        <v>12279</v>
      </c>
      <c r="C337" s="84">
        <v>6727.0</v>
      </c>
    </row>
    <row r="338">
      <c r="A338" s="490" t="s">
        <v>12769</v>
      </c>
      <c r="C338" s="84">
        <v>6727.0</v>
      </c>
    </row>
    <row r="339">
      <c r="A339" s="490" t="s">
        <v>12771</v>
      </c>
      <c r="C339" s="84">
        <v>6727.0</v>
      </c>
    </row>
    <row r="340">
      <c r="A340" s="490" t="s">
        <v>12773</v>
      </c>
      <c r="C340" s="84">
        <v>6675.0</v>
      </c>
    </row>
    <row r="341">
      <c r="A341" s="490" t="s">
        <v>12086</v>
      </c>
      <c r="C341" s="84">
        <v>6675.0</v>
      </c>
    </row>
    <row r="342">
      <c r="A342" s="490" t="s">
        <v>12776</v>
      </c>
      <c r="C342" s="84">
        <v>6675.0</v>
      </c>
    </row>
    <row r="343">
      <c r="A343" s="490" t="s">
        <v>11480</v>
      </c>
      <c r="C343" s="84">
        <v>6675.0</v>
      </c>
    </row>
    <row r="344">
      <c r="A344" s="490" t="s">
        <v>12779</v>
      </c>
      <c r="C344" s="84">
        <v>285.0</v>
      </c>
    </row>
    <row r="345">
      <c r="A345" s="490" t="s">
        <v>12106</v>
      </c>
      <c r="C345" s="84">
        <v>285.0</v>
      </c>
    </row>
    <row r="346">
      <c r="A346" s="490" t="s">
        <v>11954</v>
      </c>
      <c r="C346" s="84">
        <v>285.0</v>
      </c>
    </row>
    <row r="347">
      <c r="A347" s="490" t="s">
        <v>11368</v>
      </c>
      <c r="C347" s="84">
        <v>285.0</v>
      </c>
    </row>
    <row r="348">
      <c r="A348" s="490" t="s">
        <v>11543</v>
      </c>
      <c r="C348" s="84">
        <v>6924.0</v>
      </c>
      <c r="D348" s="11">
        <v>285.0</v>
      </c>
    </row>
    <row r="349">
      <c r="A349" s="490" t="s">
        <v>11541</v>
      </c>
      <c r="C349" s="84">
        <v>2345.0</v>
      </c>
    </row>
    <row r="350">
      <c r="A350" s="358" t="s">
        <v>17676</v>
      </c>
      <c r="C350" s="84">
        <v>7747.0</v>
      </c>
    </row>
    <row r="351">
      <c r="A351" s="358" t="s">
        <v>17677</v>
      </c>
      <c r="C351" s="84">
        <v>6718.0</v>
      </c>
    </row>
    <row r="352">
      <c r="A352" s="358" t="s">
        <v>17678</v>
      </c>
      <c r="C352" s="84">
        <v>6940.0</v>
      </c>
    </row>
    <row r="353">
      <c r="A353" s="358" t="s">
        <v>17679</v>
      </c>
      <c r="C353" s="84">
        <v>7158.0</v>
      </c>
    </row>
    <row r="354">
      <c r="A354" s="358" t="s">
        <v>17680</v>
      </c>
      <c r="C354" s="84">
        <v>6924.0</v>
      </c>
    </row>
    <row r="355">
      <c r="A355" s="11" t="s">
        <v>17681</v>
      </c>
      <c r="C355" s="84">
        <v>5458.0</v>
      </c>
    </row>
    <row r="356">
      <c r="A356" s="656" t="s">
        <v>17682</v>
      </c>
      <c r="C356" s="84">
        <v>9645.0</v>
      </c>
    </row>
    <row r="357">
      <c r="A357" s="656" t="s">
        <v>17683</v>
      </c>
      <c r="C357" s="84">
        <v>10141.0</v>
      </c>
    </row>
    <row r="358">
      <c r="A358" s="656" t="s">
        <v>17684</v>
      </c>
      <c r="C358" s="84">
        <v>7225.0</v>
      </c>
    </row>
    <row r="359">
      <c r="A359" s="656" t="s">
        <v>17685</v>
      </c>
      <c r="C359" s="84">
        <v>7225.0</v>
      </c>
    </row>
    <row r="360">
      <c r="A360" s="656" t="s">
        <v>17686</v>
      </c>
      <c r="C360" s="84">
        <v>7225.0</v>
      </c>
    </row>
    <row r="361">
      <c r="A361" s="656" t="s">
        <v>17687</v>
      </c>
      <c r="C361" s="84">
        <v>7225.0</v>
      </c>
    </row>
    <row r="362">
      <c r="A362" s="656" t="s">
        <v>17688</v>
      </c>
      <c r="C362" s="84">
        <v>7225.0</v>
      </c>
    </row>
    <row r="363">
      <c r="A363" s="656" t="s">
        <v>17689</v>
      </c>
      <c r="C363" s="84">
        <v>7225.0</v>
      </c>
    </row>
    <row r="364">
      <c r="A364" s="656" t="s">
        <v>17690</v>
      </c>
      <c r="C364" s="84">
        <v>7225.0</v>
      </c>
    </row>
    <row r="365">
      <c r="A365" s="656" t="s">
        <v>17691</v>
      </c>
      <c r="C365" s="84">
        <v>7225.0</v>
      </c>
    </row>
    <row r="366">
      <c r="A366" s="656" t="s">
        <v>17692</v>
      </c>
      <c r="C366" s="84">
        <v>7225.0</v>
      </c>
    </row>
    <row r="367">
      <c r="A367" s="656" t="s">
        <v>17693</v>
      </c>
      <c r="C367" s="84">
        <v>7225.0</v>
      </c>
    </row>
    <row r="368">
      <c r="A368" s="656" t="s">
        <v>17694</v>
      </c>
      <c r="C368" s="84">
        <v>7225.0</v>
      </c>
    </row>
    <row r="369">
      <c r="A369" s="656" t="s">
        <v>17695</v>
      </c>
      <c r="C369" s="84">
        <v>7225.0</v>
      </c>
    </row>
    <row r="370">
      <c r="A370" s="656" t="s">
        <v>17696</v>
      </c>
      <c r="C370" s="84">
        <v>7225.0</v>
      </c>
    </row>
    <row r="371">
      <c r="A371" s="656" t="s">
        <v>17697</v>
      </c>
      <c r="C371" s="84">
        <v>7225.0</v>
      </c>
    </row>
    <row r="372">
      <c r="A372" s="656" t="s">
        <v>17698</v>
      </c>
      <c r="C372" s="84">
        <v>7225.0</v>
      </c>
    </row>
    <row r="373">
      <c r="A373" s="126" t="s">
        <v>17699</v>
      </c>
      <c r="C373" s="84">
        <v>6995.0</v>
      </c>
    </row>
    <row r="374">
      <c r="A374" s="126" t="s">
        <v>17700</v>
      </c>
      <c r="C374" s="84">
        <v>11104.0</v>
      </c>
    </row>
    <row r="375">
      <c r="A375" s="126" t="s">
        <v>17701</v>
      </c>
      <c r="C375" s="84">
        <v>11708.0</v>
      </c>
    </row>
    <row r="376">
      <c r="A376" s="126" t="s">
        <v>17702</v>
      </c>
      <c r="C376" s="84">
        <v>14065.0</v>
      </c>
    </row>
    <row r="377">
      <c r="A377" s="126" t="s">
        <v>17703</v>
      </c>
      <c r="C377" s="84">
        <v>9307.0</v>
      </c>
    </row>
    <row r="378">
      <c r="A378" s="126" t="s">
        <v>17704</v>
      </c>
      <c r="C378" s="84">
        <v>6669.0</v>
      </c>
    </row>
    <row r="379">
      <c r="A379" s="126" t="s">
        <v>17705</v>
      </c>
      <c r="C379" s="84">
        <v>6669.0</v>
      </c>
    </row>
    <row r="380">
      <c r="A380" s="126" t="s">
        <v>17706</v>
      </c>
      <c r="C380" s="84">
        <v>6669.0</v>
      </c>
    </row>
    <row r="381">
      <c r="A381" s="126" t="s">
        <v>17707</v>
      </c>
      <c r="C381" s="84">
        <v>10856.0</v>
      </c>
    </row>
    <row r="382">
      <c r="A382" s="126" t="s">
        <v>17708</v>
      </c>
      <c r="C382" s="84">
        <v>6671.0</v>
      </c>
    </row>
    <row r="383">
      <c r="A383" s="126" t="s">
        <v>17709</v>
      </c>
      <c r="C383" s="84">
        <v>9746.0</v>
      </c>
    </row>
    <row r="384">
      <c r="A384" s="126" t="s">
        <v>17710</v>
      </c>
      <c r="C384" s="84">
        <v>6671.0</v>
      </c>
    </row>
    <row r="385">
      <c r="A385" s="126" t="s">
        <v>17711</v>
      </c>
      <c r="C385" s="84">
        <v>6106.0</v>
      </c>
    </row>
    <row r="386">
      <c r="A386" s="126" t="s">
        <v>17712</v>
      </c>
      <c r="C386" s="84">
        <v>2507.0</v>
      </c>
    </row>
    <row r="387">
      <c r="A387" s="126" t="s">
        <v>17713</v>
      </c>
      <c r="C387" s="84">
        <v>489.0</v>
      </c>
    </row>
    <row r="388">
      <c r="A388" s="126" t="s">
        <v>17714</v>
      </c>
      <c r="C388" s="84">
        <v>489.0</v>
      </c>
    </row>
    <row r="389">
      <c r="A389" s="126" t="s">
        <v>17715</v>
      </c>
      <c r="B389" s="11"/>
      <c r="C389" s="65"/>
    </row>
    <row r="390">
      <c r="A390" s="126" t="s">
        <v>17716</v>
      </c>
      <c r="B390" s="11">
        <v>9701.0</v>
      </c>
      <c r="C390" s="84">
        <v>9701.0</v>
      </c>
    </row>
    <row r="391">
      <c r="A391" s="126" t="s">
        <v>17717</v>
      </c>
      <c r="B391" s="11">
        <v>7100.0</v>
      </c>
      <c r="C391" s="84">
        <v>7100.0</v>
      </c>
    </row>
    <row r="392">
      <c r="A392" s="126" t="s">
        <v>17718</v>
      </c>
      <c r="B392" s="11">
        <v>13858.0</v>
      </c>
      <c r="C392" s="84">
        <v>13858.0</v>
      </c>
    </row>
    <row r="393">
      <c r="A393" s="126" t="s">
        <v>17719</v>
      </c>
      <c r="C393" s="7"/>
    </row>
    <row r="394">
      <c r="A394" s="126" t="s">
        <v>17720</v>
      </c>
      <c r="B394" s="11">
        <v>13864.0</v>
      </c>
      <c r="C394" s="84">
        <v>13864.0</v>
      </c>
    </row>
    <row r="395">
      <c r="A395" s="126" t="s">
        <v>17721</v>
      </c>
      <c r="B395" s="11">
        <v>489.0</v>
      </c>
      <c r="C395" s="84">
        <v>489.0</v>
      </c>
    </row>
    <row r="396">
      <c r="A396" s="126" t="s">
        <v>17722</v>
      </c>
      <c r="C396" s="7"/>
    </row>
    <row r="397">
      <c r="A397" s="126" t="s">
        <v>17723</v>
      </c>
      <c r="B397" s="11">
        <v>11875.0</v>
      </c>
      <c r="C397" s="84">
        <v>11875.0</v>
      </c>
    </row>
    <row r="398">
      <c r="A398" s="126" t="s">
        <v>17724</v>
      </c>
      <c r="C398" s="7"/>
    </row>
    <row r="399">
      <c r="A399" s="126" t="s">
        <v>17725</v>
      </c>
      <c r="C399" s="7"/>
    </row>
    <row r="400">
      <c r="A400" s="126" t="s">
        <v>17726</v>
      </c>
      <c r="C400" s="7"/>
    </row>
    <row r="401">
      <c r="A401" s="126" t="s">
        <v>17727</v>
      </c>
      <c r="C401" s="7"/>
    </row>
    <row r="402">
      <c r="A402" s="126" t="s">
        <v>17728</v>
      </c>
      <c r="B402" s="11">
        <v>7040.0</v>
      </c>
      <c r="C402" s="84">
        <v>7040.0</v>
      </c>
    </row>
    <row r="403">
      <c r="A403" s="126" t="s">
        <v>17729</v>
      </c>
      <c r="B403" s="11">
        <v>10616.0</v>
      </c>
      <c r="C403" s="84">
        <v>10616.0</v>
      </c>
    </row>
    <row r="404">
      <c r="A404" s="126" t="s">
        <v>17730</v>
      </c>
      <c r="C404" s="7"/>
    </row>
    <row r="405">
      <c r="A405" s="126" t="s">
        <v>17731</v>
      </c>
      <c r="C405" s="7"/>
    </row>
    <row r="406">
      <c r="A406" s="126" t="s">
        <v>17732</v>
      </c>
      <c r="B406" s="11">
        <v>13829.0</v>
      </c>
      <c r="C406" s="84">
        <v>13829.0</v>
      </c>
    </row>
    <row r="407">
      <c r="A407" s="126" t="s">
        <v>17733</v>
      </c>
      <c r="C407" s="7"/>
    </row>
    <row r="408">
      <c r="A408" s="126" t="s">
        <v>17734</v>
      </c>
      <c r="B408" s="11">
        <v>6873.0</v>
      </c>
      <c r="C408" s="84">
        <v>6873.0</v>
      </c>
    </row>
    <row r="409">
      <c r="A409" s="126" t="s">
        <v>17735</v>
      </c>
      <c r="C409" s="7"/>
    </row>
    <row r="410">
      <c r="A410" s="126" t="s">
        <v>17736</v>
      </c>
      <c r="C410" s="7"/>
    </row>
    <row r="411">
      <c r="A411" s="126" t="s">
        <v>17737</v>
      </c>
      <c r="C411" s="7"/>
    </row>
    <row r="412">
      <c r="A412" s="126" t="s">
        <v>2011</v>
      </c>
      <c r="B412" s="11">
        <v>3689.0</v>
      </c>
      <c r="C412" s="84">
        <v>3689.0</v>
      </c>
    </row>
    <row r="413">
      <c r="A413" s="657" t="s">
        <v>17738</v>
      </c>
      <c r="C413" s="7"/>
    </row>
    <row r="414">
      <c r="A414" s="657" t="s">
        <v>17739</v>
      </c>
      <c r="B414" s="11">
        <v>14248.0</v>
      </c>
      <c r="C414" s="84">
        <v>14248.0</v>
      </c>
    </row>
    <row r="415">
      <c r="A415" s="657" t="s">
        <v>17740</v>
      </c>
      <c r="B415" s="129">
        <v>12932.0</v>
      </c>
      <c r="C415" s="84">
        <v>12932.0</v>
      </c>
    </row>
    <row r="416">
      <c r="A416" s="657" t="s">
        <v>17741</v>
      </c>
      <c r="C416" s="7"/>
    </row>
    <row r="417">
      <c r="A417" s="511" t="s">
        <v>17742</v>
      </c>
      <c r="B417" s="11">
        <v>2095.0</v>
      </c>
      <c r="C417" s="84">
        <v>2095.0</v>
      </c>
    </row>
    <row r="418">
      <c r="A418" s="511" t="s">
        <v>17743</v>
      </c>
      <c r="B418" s="11">
        <v>2095.0</v>
      </c>
      <c r="C418" s="84">
        <v>2095.0</v>
      </c>
    </row>
    <row r="419">
      <c r="A419" s="511" t="s">
        <v>17744</v>
      </c>
      <c r="B419" s="11">
        <v>12609.0</v>
      </c>
      <c r="C419" s="84">
        <v>12609.0</v>
      </c>
    </row>
    <row r="420">
      <c r="A420" s="511" t="s">
        <v>17745</v>
      </c>
      <c r="B420" s="16">
        <v>12553.0</v>
      </c>
      <c r="C420" s="658">
        <v>12553.0</v>
      </c>
    </row>
    <row r="421">
      <c r="C421" s="7"/>
    </row>
    <row r="422">
      <c r="C422" s="7"/>
    </row>
    <row r="423">
      <c r="C423" s="7"/>
    </row>
    <row r="424">
      <c r="C424" s="7"/>
    </row>
    <row r="425">
      <c r="C425" s="7"/>
    </row>
    <row r="426">
      <c r="C426" s="7"/>
    </row>
    <row r="427">
      <c r="C427" s="7"/>
    </row>
    <row r="428">
      <c r="C428" s="7"/>
    </row>
    <row r="429">
      <c r="C429" s="7"/>
    </row>
    <row r="430">
      <c r="C430" s="7"/>
    </row>
    <row r="431">
      <c r="C431" s="7"/>
    </row>
    <row r="432">
      <c r="C432" s="7"/>
    </row>
    <row r="433">
      <c r="C433" s="7"/>
    </row>
    <row r="434">
      <c r="C434" s="7"/>
    </row>
    <row r="435">
      <c r="C435" s="7"/>
    </row>
    <row r="436">
      <c r="C436" s="7"/>
    </row>
    <row r="437">
      <c r="C437" s="7"/>
    </row>
    <row r="438">
      <c r="C438" s="7"/>
    </row>
    <row r="439">
      <c r="C439" s="7"/>
    </row>
    <row r="440">
      <c r="C440" s="7"/>
    </row>
    <row r="441">
      <c r="C441" s="7"/>
    </row>
    <row r="442">
      <c r="C442" s="7"/>
    </row>
    <row r="443">
      <c r="C443" s="7"/>
    </row>
    <row r="444">
      <c r="C444" s="7"/>
    </row>
    <row r="445">
      <c r="C445" s="7"/>
    </row>
    <row r="446">
      <c r="C446" s="7"/>
    </row>
    <row r="447">
      <c r="C447" s="7"/>
    </row>
    <row r="448">
      <c r="C448" s="7"/>
    </row>
    <row r="449">
      <c r="C449" s="7"/>
    </row>
    <row r="450">
      <c r="C450" s="7"/>
    </row>
    <row r="451">
      <c r="C451" s="7"/>
    </row>
    <row r="452">
      <c r="C452" s="7"/>
    </row>
    <row r="453">
      <c r="C453" s="7"/>
    </row>
    <row r="454">
      <c r="C454" s="7"/>
    </row>
    <row r="455">
      <c r="C455" s="7"/>
    </row>
    <row r="456">
      <c r="C456" s="7"/>
    </row>
    <row r="457">
      <c r="C457" s="7"/>
    </row>
    <row r="458">
      <c r="C458" s="7"/>
    </row>
    <row r="459">
      <c r="C459" s="7"/>
    </row>
    <row r="460">
      <c r="C460" s="7"/>
    </row>
    <row r="461">
      <c r="C461" s="7"/>
    </row>
    <row r="462">
      <c r="C462" s="7"/>
    </row>
    <row r="463">
      <c r="C463" s="7"/>
    </row>
    <row r="464">
      <c r="C464" s="7"/>
    </row>
    <row r="465">
      <c r="C465" s="7"/>
    </row>
    <row r="466">
      <c r="C466" s="7"/>
    </row>
    <row r="467">
      <c r="C467" s="7"/>
    </row>
    <row r="468">
      <c r="C468" s="7"/>
    </row>
    <row r="469">
      <c r="C469" s="7"/>
    </row>
    <row r="470">
      <c r="C470" s="7"/>
    </row>
    <row r="471">
      <c r="C471" s="7"/>
    </row>
    <row r="472">
      <c r="C472" s="7"/>
    </row>
    <row r="473">
      <c r="C473" s="7"/>
    </row>
    <row r="474">
      <c r="C474" s="7"/>
    </row>
    <row r="475">
      <c r="C475" s="7"/>
    </row>
    <row r="476">
      <c r="C476" s="7"/>
    </row>
    <row r="477">
      <c r="C477" s="7"/>
    </row>
    <row r="478">
      <c r="C478" s="7"/>
    </row>
    <row r="479">
      <c r="C479" s="7"/>
    </row>
    <row r="480">
      <c r="C480" s="7"/>
    </row>
    <row r="481">
      <c r="C481" s="7"/>
    </row>
    <row r="482">
      <c r="C482" s="7"/>
    </row>
    <row r="483">
      <c r="C483" s="7"/>
    </row>
    <row r="484">
      <c r="C484" s="7"/>
    </row>
    <row r="485">
      <c r="C485" s="7"/>
    </row>
    <row r="486">
      <c r="C486" s="7"/>
    </row>
    <row r="487">
      <c r="C487" s="7"/>
    </row>
    <row r="488">
      <c r="C488" s="7"/>
    </row>
    <row r="489">
      <c r="C489" s="7"/>
    </row>
    <row r="490">
      <c r="C490" s="7"/>
    </row>
    <row r="491">
      <c r="C491" s="7"/>
    </row>
    <row r="492">
      <c r="C492" s="7"/>
    </row>
    <row r="493">
      <c r="C493" s="7"/>
    </row>
    <row r="494">
      <c r="C494" s="7"/>
    </row>
    <row r="495">
      <c r="C495" s="7"/>
    </row>
    <row r="496">
      <c r="C496" s="7"/>
    </row>
    <row r="497">
      <c r="C497" s="7"/>
    </row>
    <row r="498">
      <c r="C498" s="7"/>
    </row>
    <row r="499">
      <c r="C499" s="7"/>
    </row>
    <row r="500">
      <c r="C500" s="7"/>
    </row>
    <row r="501">
      <c r="C501" s="7"/>
    </row>
    <row r="502">
      <c r="C502" s="7"/>
    </row>
    <row r="503">
      <c r="C503" s="7"/>
    </row>
    <row r="504">
      <c r="C504" s="7"/>
    </row>
    <row r="505">
      <c r="C505" s="7"/>
    </row>
    <row r="506">
      <c r="C506" s="7"/>
    </row>
    <row r="507">
      <c r="C507" s="7"/>
    </row>
    <row r="508">
      <c r="C508" s="7"/>
    </row>
    <row r="509">
      <c r="C509" s="7"/>
    </row>
    <row r="510">
      <c r="C510" s="7"/>
    </row>
    <row r="511">
      <c r="C511" s="7"/>
    </row>
    <row r="512">
      <c r="C512" s="7"/>
    </row>
    <row r="513">
      <c r="C513" s="7"/>
    </row>
    <row r="514">
      <c r="C514" s="7"/>
    </row>
    <row r="515">
      <c r="C515" s="7"/>
    </row>
    <row r="516">
      <c r="C516" s="7"/>
    </row>
    <row r="517">
      <c r="C517" s="7"/>
    </row>
    <row r="518">
      <c r="C518" s="7"/>
    </row>
    <row r="519">
      <c r="C519" s="7"/>
    </row>
    <row r="520">
      <c r="C520" s="7"/>
    </row>
    <row r="521">
      <c r="C521" s="7"/>
    </row>
    <row r="522">
      <c r="C522" s="7"/>
    </row>
    <row r="523">
      <c r="C523" s="7"/>
    </row>
    <row r="524">
      <c r="C524" s="7"/>
    </row>
    <row r="525">
      <c r="C525" s="7"/>
    </row>
    <row r="526">
      <c r="C526" s="7"/>
    </row>
    <row r="527">
      <c r="C527" s="7"/>
    </row>
    <row r="528">
      <c r="C528" s="7"/>
    </row>
    <row r="529">
      <c r="C529" s="7"/>
    </row>
    <row r="530">
      <c r="C530" s="7"/>
    </row>
    <row r="531">
      <c r="C531" s="7"/>
    </row>
    <row r="532">
      <c r="C532" s="7"/>
    </row>
    <row r="533">
      <c r="C533" s="7"/>
    </row>
    <row r="534">
      <c r="C534" s="7"/>
    </row>
    <row r="535">
      <c r="C535" s="7"/>
    </row>
    <row r="536">
      <c r="C536" s="7"/>
    </row>
    <row r="537">
      <c r="C537" s="7"/>
    </row>
    <row r="538">
      <c r="C538" s="7"/>
    </row>
    <row r="539">
      <c r="C539" s="7"/>
    </row>
    <row r="540">
      <c r="C540" s="7"/>
    </row>
    <row r="541">
      <c r="C541" s="7"/>
    </row>
    <row r="542">
      <c r="C542" s="7"/>
    </row>
    <row r="543">
      <c r="C543" s="7"/>
    </row>
    <row r="544">
      <c r="C544" s="7"/>
    </row>
    <row r="545">
      <c r="C545" s="7"/>
    </row>
    <row r="546">
      <c r="C546" s="7"/>
    </row>
    <row r="547">
      <c r="C547" s="7"/>
    </row>
    <row r="548">
      <c r="C548" s="7"/>
    </row>
    <row r="549">
      <c r="C549" s="7"/>
    </row>
    <row r="550">
      <c r="C550" s="7"/>
    </row>
    <row r="551">
      <c r="C551" s="7"/>
    </row>
    <row r="552">
      <c r="C552" s="7"/>
    </row>
    <row r="553">
      <c r="C553" s="7"/>
    </row>
    <row r="554">
      <c r="C554" s="7"/>
    </row>
    <row r="555">
      <c r="C555" s="7"/>
    </row>
    <row r="556">
      <c r="C556" s="7"/>
    </row>
    <row r="557">
      <c r="C557" s="7"/>
    </row>
    <row r="558">
      <c r="C558" s="7"/>
    </row>
    <row r="559">
      <c r="C559" s="7"/>
    </row>
    <row r="560">
      <c r="C560" s="7"/>
    </row>
    <row r="561">
      <c r="C561" s="7"/>
    </row>
    <row r="562">
      <c r="C562" s="7"/>
    </row>
    <row r="563">
      <c r="C563" s="7"/>
    </row>
    <row r="564">
      <c r="C564" s="7"/>
    </row>
    <row r="565">
      <c r="C565" s="7"/>
    </row>
    <row r="566">
      <c r="C566" s="7"/>
    </row>
    <row r="567">
      <c r="C567" s="7"/>
    </row>
    <row r="568">
      <c r="C568" s="7"/>
    </row>
    <row r="569">
      <c r="C569" s="7"/>
    </row>
    <row r="570">
      <c r="C570" s="7"/>
    </row>
    <row r="571">
      <c r="C571" s="7"/>
    </row>
    <row r="572">
      <c r="C572" s="7"/>
    </row>
    <row r="573">
      <c r="C573" s="7"/>
    </row>
    <row r="574">
      <c r="C574" s="7"/>
    </row>
    <row r="575">
      <c r="C575" s="7"/>
    </row>
    <row r="576">
      <c r="C576" s="7"/>
    </row>
    <row r="577">
      <c r="C577" s="7"/>
    </row>
    <row r="578">
      <c r="C578" s="7"/>
    </row>
    <row r="579">
      <c r="C579" s="7"/>
    </row>
    <row r="580">
      <c r="C580" s="7"/>
    </row>
    <row r="581">
      <c r="C581" s="7"/>
    </row>
    <row r="582">
      <c r="C582" s="7"/>
    </row>
    <row r="583">
      <c r="C583" s="7"/>
    </row>
    <row r="584">
      <c r="C584" s="7"/>
    </row>
    <row r="585">
      <c r="C585" s="7"/>
    </row>
    <row r="586">
      <c r="C586" s="7"/>
    </row>
    <row r="587">
      <c r="C587" s="7"/>
    </row>
    <row r="588">
      <c r="C588" s="7"/>
    </row>
    <row r="589">
      <c r="C589" s="7"/>
    </row>
    <row r="590">
      <c r="C590" s="7"/>
    </row>
    <row r="591">
      <c r="C591" s="7"/>
    </row>
    <row r="592">
      <c r="C592" s="7"/>
    </row>
    <row r="593">
      <c r="C593" s="7"/>
    </row>
    <row r="594">
      <c r="C594" s="7"/>
    </row>
    <row r="595">
      <c r="C595" s="7"/>
    </row>
    <row r="596">
      <c r="C596" s="7"/>
    </row>
    <row r="597">
      <c r="C597" s="7"/>
    </row>
    <row r="598">
      <c r="C598" s="7"/>
    </row>
    <row r="599">
      <c r="C599" s="7"/>
    </row>
    <row r="600">
      <c r="C600" s="7"/>
    </row>
    <row r="601">
      <c r="C601" s="7"/>
    </row>
    <row r="602">
      <c r="C602" s="7"/>
    </row>
    <row r="603">
      <c r="C603" s="7"/>
    </row>
    <row r="604">
      <c r="C604" s="7"/>
    </row>
    <row r="605">
      <c r="C605" s="7"/>
    </row>
    <row r="606">
      <c r="C606" s="7"/>
    </row>
    <row r="607">
      <c r="C607" s="7"/>
    </row>
    <row r="608">
      <c r="C608" s="7"/>
    </row>
    <row r="609">
      <c r="C609" s="7"/>
    </row>
    <row r="610">
      <c r="C610" s="7"/>
    </row>
    <row r="611">
      <c r="C611" s="7"/>
    </row>
    <row r="612">
      <c r="C612" s="7"/>
    </row>
    <row r="613">
      <c r="C613" s="7"/>
    </row>
    <row r="614">
      <c r="C614" s="7"/>
    </row>
    <row r="615">
      <c r="C615" s="7"/>
    </row>
    <row r="616">
      <c r="C616" s="7"/>
    </row>
    <row r="617">
      <c r="C617" s="7"/>
    </row>
    <row r="618">
      <c r="C618" s="7"/>
    </row>
    <row r="619">
      <c r="C619" s="7"/>
    </row>
    <row r="620">
      <c r="C620" s="7"/>
    </row>
    <row r="621">
      <c r="C621" s="7"/>
    </row>
    <row r="622">
      <c r="C622" s="7"/>
    </row>
    <row r="623">
      <c r="C623" s="7"/>
    </row>
    <row r="624">
      <c r="C624" s="7"/>
    </row>
    <row r="625">
      <c r="C625" s="7"/>
    </row>
    <row r="626">
      <c r="C626" s="7"/>
    </row>
    <row r="627">
      <c r="C627" s="7"/>
    </row>
    <row r="628">
      <c r="C628" s="7"/>
    </row>
    <row r="629">
      <c r="C629" s="7"/>
    </row>
    <row r="630">
      <c r="C630" s="7"/>
    </row>
    <row r="631">
      <c r="C631" s="7"/>
    </row>
    <row r="632">
      <c r="C632" s="7"/>
    </row>
    <row r="633">
      <c r="C633" s="7"/>
    </row>
    <row r="634">
      <c r="C634" s="7"/>
    </row>
    <row r="635">
      <c r="C635" s="7"/>
    </row>
    <row r="636">
      <c r="C636" s="7"/>
    </row>
    <row r="637">
      <c r="C637" s="7"/>
    </row>
    <row r="638">
      <c r="C638" s="7"/>
    </row>
    <row r="639">
      <c r="C639" s="7"/>
    </row>
    <row r="640">
      <c r="C640" s="7"/>
    </row>
    <row r="641">
      <c r="C641" s="7"/>
    </row>
    <row r="642">
      <c r="C642" s="7"/>
    </row>
    <row r="643">
      <c r="C643" s="7"/>
    </row>
    <row r="644">
      <c r="C644" s="7"/>
    </row>
    <row r="645">
      <c r="C645" s="7"/>
    </row>
    <row r="646">
      <c r="C646" s="7"/>
    </row>
    <row r="647">
      <c r="C647" s="7"/>
    </row>
    <row r="648">
      <c r="C648" s="7"/>
    </row>
    <row r="649">
      <c r="C649" s="7"/>
    </row>
    <row r="650">
      <c r="C650" s="7"/>
    </row>
    <row r="651">
      <c r="C651" s="7"/>
    </row>
    <row r="652">
      <c r="C652" s="7"/>
    </row>
    <row r="653">
      <c r="C653" s="7"/>
    </row>
    <row r="654">
      <c r="C654" s="7"/>
    </row>
    <row r="655">
      <c r="C655" s="7"/>
    </row>
    <row r="656">
      <c r="C656" s="7"/>
    </row>
    <row r="657">
      <c r="C657" s="7"/>
    </row>
    <row r="658">
      <c r="C658" s="7"/>
    </row>
    <row r="659">
      <c r="C659" s="7"/>
    </row>
    <row r="660">
      <c r="C660" s="7"/>
    </row>
    <row r="661">
      <c r="C661" s="7"/>
    </row>
    <row r="662">
      <c r="C662" s="7"/>
    </row>
    <row r="663">
      <c r="C663" s="7"/>
    </row>
    <row r="664">
      <c r="C664" s="7"/>
    </row>
    <row r="665">
      <c r="C665" s="7"/>
    </row>
    <row r="666">
      <c r="C666" s="7"/>
    </row>
    <row r="667">
      <c r="C667" s="7"/>
    </row>
    <row r="668">
      <c r="C668" s="7"/>
    </row>
    <row r="669">
      <c r="C669" s="7"/>
    </row>
    <row r="670">
      <c r="C670" s="7"/>
    </row>
    <row r="671">
      <c r="C671" s="7"/>
    </row>
    <row r="672">
      <c r="C672" s="7"/>
    </row>
    <row r="673">
      <c r="C673" s="7"/>
    </row>
    <row r="674">
      <c r="C674" s="7"/>
    </row>
    <row r="675">
      <c r="C675" s="7"/>
    </row>
    <row r="676">
      <c r="C676" s="7"/>
    </row>
    <row r="677">
      <c r="C677" s="7"/>
    </row>
    <row r="678">
      <c r="C678" s="7"/>
    </row>
    <row r="679">
      <c r="C679" s="7"/>
    </row>
    <row r="680">
      <c r="C680" s="7"/>
    </row>
    <row r="681">
      <c r="C681" s="7"/>
    </row>
    <row r="682">
      <c r="C682" s="7"/>
    </row>
    <row r="683">
      <c r="C683" s="7"/>
    </row>
    <row r="684">
      <c r="C684" s="7"/>
    </row>
    <row r="685">
      <c r="C685" s="7"/>
    </row>
    <row r="686">
      <c r="C686" s="7"/>
    </row>
    <row r="687">
      <c r="C687" s="7"/>
    </row>
    <row r="688">
      <c r="C688" s="7"/>
    </row>
    <row r="689">
      <c r="C689" s="7"/>
    </row>
    <row r="690">
      <c r="C690" s="7"/>
    </row>
    <row r="691">
      <c r="C691" s="7"/>
    </row>
    <row r="692">
      <c r="C692" s="7"/>
    </row>
    <row r="693">
      <c r="C693" s="7"/>
    </row>
    <row r="694">
      <c r="C694" s="7"/>
    </row>
    <row r="695">
      <c r="C695" s="7"/>
    </row>
    <row r="696">
      <c r="C696" s="7"/>
    </row>
    <row r="697">
      <c r="C697" s="7"/>
    </row>
    <row r="698">
      <c r="C698" s="7"/>
    </row>
    <row r="699">
      <c r="C699" s="7"/>
    </row>
    <row r="700">
      <c r="C700" s="7"/>
    </row>
    <row r="701">
      <c r="C701" s="7"/>
    </row>
    <row r="702">
      <c r="C702" s="7"/>
    </row>
    <row r="703">
      <c r="C703" s="7"/>
    </row>
    <row r="704">
      <c r="C704" s="7"/>
    </row>
    <row r="705">
      <c r="C705" s="7"/>
    </row>
    <row r="706">
      <c r="C706" s="7"/>
    </row>
    <row r="707">
      <c r="C707" s="7"/>
    </row>
    <row r="708">
      <c r="C708" s="7"/>
    </row>
    <row r="709">
      <c r="C709" s="7"/>
    </row>
    <row r="710">
      <c r="C710" s="7"/>
    </row>
    <row r="711">
      <c r="C711" s="7"/>
    </row>
    <row r="712">
      <c r="C712" s="7"/>
    </row>
    <row r="713">
      <c r="C713" s="7"/>
    </row>
    <row r="714">
      <c r="C714" s="7"/>
    </row>
    <row r="715">
      <c r="C715" s="7"/>
    </row>
    <row r="716">
      <c r="C716" s="7"/>
    </row>
    <row r="717">
      <c r="C717" s="7"/>
    </row>
    <row r="718">
      <c r="C718" s="7"/>
    </row>
    <row r="719">
      <c r="C719" s="7"/>
    </row>
    <row r="720">
      <c r="C720" s="7"/>
    </row>
    <row r="721">
      <c r="C721" s="7"/>
    </row>
    <row r="722">
      <c r="C722" s="7"/>
    </row>
    <row r="723">
      <c r="C723" s="7"/>
    </row>
    <row r="724">
      <c r="C724" s="7"/>
    </row>
    <row r="725">
      <c r="C725" s="7"/>
    </row>
    <row r="726">
      <c r="C726" s="7"/>
    </row>
    <row r="727">
      <c r="C727" s="7"/>
    </row>
    <row r="728">
      <c r="C728" s="7"/>
    </row>
    <row r="729">
      <c r="C729" s="7"/>
    </row>
    <row r="730">
      <c r="C730" s="7"/>
    </row>
    <row r="731">
      <c r="C731" s="7"/>
    </row>
    <row r="732">
      <c r="C732" s="7"/>
    </row>
    <row r="733">
      <c r="C733" s="7"/>
    </row>
    <row r="734">
      <c r="C734" s="7"/>
    </row>
    <row r="735">
      <c r="C735" s="7"/>
    </row>
    <row r="736">
      <c r="C736" s="7"/>
    </row>
    <row r="737">
      <c r="C737" s="7"/>
    </row>
    <row r="738">
      <c r="C738" s="7"/>
    </row>
    <row r="739">
      <c r="C739" s="7"/>
    </row>
    <row r="740">
      <c r="C740" s="7"/>
    </row>
    <row r="741">
      <c r="C741" s="7"/>
    </row>
    <row r="742">
      <c r="C742" s="7"/>
    </row>
    <row r="743">
      <c r="C743" s="7"/>
    </row>
    <row r="744">
      <c r="C744" s="7"/>
    </row>
    <row r="745">
      <c r="C745" s="7"/>
    </row>
    <row r="746">
      <c r="C746" s="7"/>
    </row>
    <row r="747">
      <c r="C747" s="7"/>
    </row>
    <row r="748">
      <c r="C748" s="7"/>
    </row>
    <row r="749">
      <c r="C749" s="7"/>
    </row>
    <row r="750">
      <c r="C750" s="7"/>
    </row>
    <row r="751">
      <c r="C751" s="7"/>
    </row>
    <row r="752">
      <c r="C752" s="7"/>
    </row>
    <row r="753">
      <c r="C753" s="7"/>
    </row>
    <row r="754">
      <c r="C754" s="7"/>
    </row>
    <row r="755">
      <c r="C755" s="7"/>
    </row>
    <row r="756">
      <c r="C756" s="7"/>
    </row>
    <row r="757">
      <c r="C757" s="7"/>
    </row>
    <row r="758">
      <c r="C758" s="7"/>
    </row>
    <row r="759">
      <c r="C759" s="7"/>
    </row>
    <row r="760">
      <c r="C760" s="7"/>
    </row>
    <row r="761">
      <c r="C761" s="7"/>
    </row>
    <row r="762">
      <c r="C762" s="7"/>
    </row>
    <row r="763">
      <c r="C763" s="7"/>
    </row>
    <row r="764">
      <c r="C764" s="7"/>
    </row>
    <row r="765">
      <c r="C765" s="7"/>
    </row>
    <row r="766">
      <c r="C766" s="7"/>
    </row>
    <row r="767">
      <c r="C767" s="7"/>
    </row>
    <row r="768">
      <c r="C768" s="7"/>
    </row>
    <row r="769">
      <c r="C769" s="7"/>
    </row>
    <row r="770">
      <c r="C770" s="7"/>
    </row>
    <row r="771">
      <c r="C771" s="7"/>
    </row>
    <row r="772">
      <c r="C772" s="7"/>
    </row>
    <row r="773">
      <c r="C773" s="7"/>
    </row>
    <row r="774">
      <c r="C774" s="7"/>
    </row>
    <row r="775">
      <c r="C775" s="7"/>
    </row>
    <row r="776">
      <c r="C776" s="7"/>
    </row>
    <row r="777">
      <c r="C777" s="7"/>
    </row>
    <row r="778">
      <c r="C778" s="7"/>
    </row>
    <row r="779">
      <c r="C779" s="7"/>
    </row>
    <row r="780">
      <c r="C780" s="7"/>
    </row>
    <row r="781">
      <c r="C781" s="7"/>
    </row>
    <row r="782">
      <c r="C782" s="7"/>
    </row>
    <row r="783">
      <c r="C783" s="7"/>
    </row>
    <row r="784">
      <c r="C784" s="7"/>
    </row>
    <row r="785">
      <c r="C785" s="7"/>
    </row>
    <row r="786">
      <c r="C786" s="7"/>
    </row>
    <row r="787">
      <c r="C787" s="7"/>
    </row>
    <row r="788">
      <c r="C788" s="7"/>
    </row>
    <row r="789">
      <c r="C789" s="7"/>
    </row>
    <row r="790">
      <c r="C790" s="7"/>
    </row>
    <row r="791">
      <c r="C791" s="7"/>
    </row>
    <row r="792">
      <c r="C792" s="7"/>
    </row>
    <row r="793">
      <c r="C793" s="7"/>
    </row>
    <row r="794">
      <c r="C794" s="7"/>
    </row>
    <row r="795">
      <c r="C795" s="7"/>
    </row>
    <row r="796">
      <c r="C796" s="7"/>
    </row>
    <row r="797">
      <c r="C797" s="7"/>
    </row>
    <row r="798">
      <c r="C798" s="7"/>
    </row>
    <row r="799">
      <c r="C799" s="7"/>
    </row>
    <row r="800">
      <c r="C800" s="7"/>
    </row>
    <row r="801">
      <c r="C801" s="7"/>
    </row>
    <row r="802">
      <c r="C802" s="7"/>
    </row>
    <row r="803">
      <c r="C803" s="7"/>
    </row>
    <row r="804">
      <c r="C804" s="7"/>
    </row>
    <row r="805">
      <c r="C805" s="7"/>
    </row>
    <row r="806">
      <c r="C806" s="7"/>
    </row>
    <row r="807">
      <c r="C807" s="7"/>
    </row>
    <row r="808">
      <c r="C808" s="7"/>
    </row>
    <row r="809">
      <c r="C809" s="7"/>
    </row>
    <row r="810">
      <c r="C810" s="7"/>
    </row>
    <row r="811">
      <c r="C811" s="7"/>
    </row>
    <row r="812">
      <c r="C812" s="7"/>
    </row>
    <row r="813">
      <c r="C813" s="7"/>
    </row>
    <row r="814">
      <c r="C814" s="7"/>
    </row>
    <row r="815">
      <c r="C815" s="7"/>
    </row>
    <row r="816">
      <c r="C816" s="7"/>
    </row>
    <row r="817">
      <c r="C817" s="7"/>
    </row>
    <row r="818">
      <c r="C818" s="7"/>
    </row>
    <row r="819">
      <c r="C819" s="7"/>
    </row>
    <row r="820">
      <c r="C820" s="7"/>
    </row>
    <row r="821">
      <c r="C821" s="7"/>
    </row>
    <row r="822">
      <c r="C822" s="7"/>
    </row>
    <row r="823">
      <c r="C823" s="7"/>
    </row>
    <row r="824">
      <c r="C824" s="7"/>
    </row>
    <row r="825">
      <c r="C825" s="7"/>
    </row>
    <row r="826">
      <c r="C826" s="7"/>
    </row>
    <row r="827">
      <c r="C827" s="7"/>
    </row>
    <row r="828">
      <c r="C828" s="7"/>
    </row>
    <row r="829">
      <c r="C829" s="7"/>
    </row>
    <row r="830">
      <c r="C830" s="7"/>
    </row>
    <row r="831">
      <c r="C831" s="7"/>
    </row>
    <row r="832">
      <c r="C832" s="7"/>
    </row>
    <row r="833">
      <c r="C833" s="7"/>
    </row>
    <row r="834">
      <c r="C834" s="7"/>
    </row>
    <row r="835">
      <c r="C835" s="7"/>
    </row>
    <row r="836">
      <c r="C836" s="7"/>
    </row>
    <row r="837">
      <c r="C837" s="7"/>
    </row>
    <row r="838">
      <c r="C838" s="7"/>
    </row>
    <row r="839">
      <c r="C839" s="7"/>
    </row>
    <row r="840">
      <c r="C840" s="7"/>
    </row>
    <row r="841">
      <c r="C841" s="7"/>
    </row>
    <row r="842">
      <c r="C842" s="7"/>
    </row>
  </sheetData>
  <customSheetViews>
    <customSheetView guid="{9968795E-3BFB-485F-960E-5F37103E47A5}" filter="1" showAutoFilter="1">
      <autoFilter ref="$B$1:$B$842">
        <filterColumn colId="0">
          <filters>
            <filter val="7100"/>
            <filter val="9701"/>
            <filter val="6873"/>
            <filter val="7040"/>
            <filter val="2095"/>
            <filter val="13858"/>
            <filter val="12609"/>
            <filter val="10616"/>
            <filter val="13829"/>
            <filter val="12553"/>
            <filter val="14248"/>
            <filter val="3689"/>
            <filter val="12932"/>
            <filter val="13864"/>
            <filter val="11875"/>
          </filters>
        </filterColumn>
      </autoFilter>
    </customSheetView>
  </customSheetViews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129.13"/>
    <col customWidth="1" min="4" max="4" width="51.63"/>
    <col customWidth="1" min="5" max="7" width="26.13"/>
  </cols>
  <sheetData>
    <row r="1">
      <c r="A1" s="358" t="s">
        <v>44</v>
      </c>
      <c r="B1" s="659" t="s">
        <v>1</v>
      </c>
      <c r="C1" s="57" t="s">
        <v>294</v>
      </c>
      <c r="D1" s="55" t="s">
        <v>248</v>
      </c>
      <c r="E1" s="348" t="s">
        <v>249</v>
      </c>
      <c r="F1" s="349" t="s">
        <v>250</v>
      </c>
    </row>
    <row r="2">
      <c r="A2" s="88" t="s">
        <v>17746</v>
      </c>
      <c r="B2" s="88">
        <v>6133.0</v>
      </c>
      <c r="C2" s="245" t="s">
        <v>17387</v>
      </c>
      <c r="D2" s="74">
        <v>0.8</v>
      </c>
      <c r="E2" s="74">
        <v>0.8</v>
      </c>
      <c r="F2" s="11" t="s">
        <v>1656</v>
      </c>
      <c r="G2" s="88"/>
    </row>
    <row r="3">
      <c r="A3" s="88" t="s">
        <v>17747</v>
      </c>
      <c r="B3" s="88">
        <v>7100.0</v>
      </c>
      <c r="C3" s="245" t="s">
        <v>17387</v>
      </c>
      <c r="D3" s="74">
        <v>0.8</v>
      </c>
      <c r="E3" s="74">
        <v>0.8</v>
      </c>
      <c r="F3" s="11" t="s">
        <v>1656</v>
      </c>
      <c r="G3" s="88"/>
    </row>
    <row r="4">
      <c r="A4" s="88" t="s">
        <v>17748</v>
      </c>
      <c r="B4" s="88">
        <v>6671.0</v>
      </c>
      <c r="C4" s="245" t="s">
        <v>17387</v>
      </c>
      <c r="D4" s="74">
        <v>0.8</v>
      </c>
      <c r="E4" s="74">
        <v>0.8</v>
      </c>
      <c r="F4" s="11" t="s">
        <v>1656</v>
      </c>
      <c r="G4" s="88"/>
    </row>
    <row r="5">
      <c r="A5" s="88" t="s">
        <v>17749</v>
      </c>
      <c r="B5" s="88">
        <v>6675.0</v>
      </c>
      <c r="C5" s="245" t="s">
        <v>17387</v>
      </c>
      <c r="D5" s="74">
        <v>0.85</v>
      </c>
      <c r="E5" s="74">
        <v>0.85</v>
      </c>
      <c r="F5" s="11" t="s">
        <v>1656</v>
      </c>
      <c r="G5" s="88"/>
    </row>
    <row r="6">
      <c r="A6" s="88" t="s">
        <v>17750</v>
      </c>
      <c r="B6" s="88">
        <v>7010.0</v>
      </c>
      <c r="C6" s="245" t="s">
        <v>17387</v>
      </c>
      <c r="D6" s="74">
        <v>0.85</v>
      </c>
      <c r="E6" s="74">
        <v>0.85</v>
      </c>
      <c r="F6" s="11" t="s">
        <v>1656</v>
      </c>
      <c r="G6" s="88"/>
    </row>
    <row r="7">
      <c r="A7" s="88" t="s">
        <v>17751</v>
      </c>
      <c r="B7" s="88">
        <v>7010.0</v>
      </c>
      <c r="C7" s="245" t="s">
        <v>17387</v>
      </c>
      <c r="D7" s="74">
        <v>0.85</v>
      </c>
      <c r="E7" s="74">
        <v>0.85</v>
      </c>
      <c r="F7" s="11" t="s">
        <v>1656</v>
      </c>
      <c r="G7" s="326"/>
    </row>
    <row r="8">
      <c r="A8" s="88" t="s">
        <v>17752</v>
      </c>
      <c r="B8" s="88">
        <v>7010.0</v>
      </c>
      <c r="C8" s="245" t="s">
        <v>17387</v>
      </c>
      <c r="D8" s="74">
        <v>0.85</v>
      </c>
      <c r="E8" s="74">
        <v>0.85</v>
      </c>
      <c r="F8" s="11" t="s">
        <v>1656</v>
      </c>
      <c r="G8" s="326"/>
    </row>
    <row r="9">
      <c r="A9" s="88" t="s">
        <v>17753</v>
      </c>
      <c r="B9" s="88">
        <v>7010.0</v>
      </c>
      <c r="C9" s="245" t="s">
        <v>17387</v>
      </c>
      <c r="D9" s="74">
        <v>0.85</v>
      </c>
      <c r="E9" s="74">
        <v>0.85</v>
      </c>
      <c r="F9" s="11" t="s">
        <v>1656</v>
      </c>
      <c r="G9" s="326"/>
    </row>
    <row r="10">
      <c r="A10" s="88" t="s">
        <v>17754</v>
      </c>
      <c r="B10" s="88">
        <v>6772.0</v>
      </c>
      <c r="C10" s="245" t="s">
        <v>17387</v>
      </c>
      <c r="D10" s="74">
        <v>0.8</v>
      </c>
      <c r="E10" s="74">
        <v>0.8</v>
      </c>
      <c r="F10" s="11" t="s">
        <v>1656</v>
      </c>
      <c r="G10" s="326"/>
    </row>
    <row r="11">
      <c r="A11" s="88" t="s">
        <v>17755</v>
      </c>
      <c r="B11" s="88">
        <v>6671.0</v>
      </c>
      <c r="C11" s="245" t="s">
        <v>17387</v>
      </c>
      <c r="D11" s="74">
        <v>0.8</v>
      </c>
      <c r="E11" s="74">
        <v>0.8</v>
      </c>
      <c r="F11" s="11" t="s">
        <v>1656</v>
      </c>
      <c r="G11" s="326"/>
    </row>
    <row r="12">
      <c r="A12" s="88" t="s">
        <v>17756</v>
      </c>
      <c r="B12" s="88">
        <v>7747.0</v>
      </c>
      <c r="C12" s="245" t="s">
        <v>17387</v>
      </c>
      <c r="D12" s="74">
        <v>0.8</v>
      </c>
      <c r="E12" s="74">
        <v>0.8</v>
      </c>
      <c r="F12" s="11" t="s">
        <v>1656</v>
      </c>
      <c r="G12" s="326"/>
    </row>
    <row r="13">
      <c r="A13" s="88" t="s">
        <v>17757</v>
      </c>
      <c r="B13" s="88">
        <v>6669.0</v>
      </c>
      <c r="C13" s="245" t="s">
        <v>17387</v>
      </c>
      <c r="D13" s="74">
        <v>0.8</v>
      </c>
      <c r="E13" s="74">
        <v>0.8</v>
      </c>
      <c r="F13" s="11" t="s">
        <v>1656</v>
      </c>
      <c r="G13" s="326"/>
    </row>
    <row r="14">
      <c r="A14" s="88" t="s">
        <v>17758</v>
      </c>
      <c r="B14" s="88">
        <v>6132.0</v>
      </c>
      <c r="C14" s="245" t="s">
        <v>17387</v>
      </c>
      <c r="D14" s="74">
        <v>0.8</v>
      </c>
      <c r="E14" s="74">
        <v>0.8</v>
      </c>
      <c r="F14" s="11" t="s">
        <v>1656</v>
      </c>
      <c r="G14" s="174"/>
    </row>
    <row r="15">
      <c r="A15" s="88" t="s">
        <v>17759</v>
      </c>
      <c r="B15" s="88">
        <v>6669.0</v>
      </c>
      <c r="C15" s="245" t="s">
        <v>17387</v>
      </c>
      <c r="D15" s="74">
        <v>0.8</v>
      </c>
      <c r="E15" s="74">
        <v>0.8</v>
      </c>
      <c r="F15" s="11" t="s">
        <v>1656</v>
      </c>
      <c r="G15" s="174"/>
    </row>
    <row r="16">
      <c r="A16" s="88" t="s">
        <v>17760</v>
      </c>
      <c r="B16" s="88">
        <v>4933.0</v>
      </c>
      <c r="C16" s="245" t="s">
        <v>17387</v>
      </c>
      <c r="D16" s="74">
        <v>0.8</v>
      </c>
      <c r="E16" s="74">
        <v>0.8</v>
      </c>
      <c r="F16" s="11" t="s">
        <v>1656</v>
      </c>
      <c r="G16" s="174"/>
    </row>
    <row r="17">
      <c r="A17" s="88" t="s">
        <v>17761</v>
      </c>
      <c r="B17" s="88">
        <v>4933.0</v>
      </c>
      <c r="C17" s="245" t="s">
        <v>17387</v>
      </c>
      <c r="D17" s="74">
        <v>0.8</v>
      </c>
      <c r="E17" s="74">
        <v>0.8</v>
      </c>
      <c r="F17" s="11" t="s">
        <v>1656</v>
      </c>
      <c r="G17" s="174"/>
    </row>
    <row r="18">
      <c r="A18" s="88" t="s">
        <v>17762</v>
      </c>
      <c r="B18" s="88">
        <v>4933.0</v>
      </c>
      <c r="C18" s="245" t="s">
        <v>17387</v>
      </c>
      <c r="D18" s="74">
        <v>0.8</v>
      </c>
      <c r="E18" s="74">
        <v>0.8</v>
      </c>
      <c r="F18" s="11" t="s">
        <v>1656</v>
      </c>
      <c r="G18" s="174"/>
    </row>
    <row r="19">
      <c r="A19" s="88" t="s">
        <v>17763</v>
      </c>
      <c r="B19" s="88">
        <v>10141.0</v>
      </c>
      <c r="C19" s="245" t="s">
        <v>17387</v>
      </c>
      <c r="D19" s="74">
        <v>0.8</v>
      </c>
      <c r="E19" s="74">
        <v>0.8</v>
      </c>
      <c r="F19" s="11" t="s">
        <v>1656</v>
      </c>
      <c r="G19" s="174"/>
    </row>
    <row r="20">
      <c r="A20" s="88" t="s">
        <v>17764</v>
      </c>
      <c r="B20" s="88">
        <v>3689.0</v>
      </c>
      <c r="C20" s="245" t="s">
        <v>17387</v>
      </c>
      <c r="D20" s="74">
        <v>0.8</v>
      </c>
      <c r="E20" s="74">
        <v>0.8</v>
      </c>
      <c r="F20" s="11" t="s">
        <v>1656</v>
      </c>
      <c r="G20" s="174"/>
    </row>
    <row r="21">
      <c r="A21" s="88" t="s">
        <v>17765</v>
      </c>
      <c r="B21" s="88">
        <v>14482.0</v>
      </c>
      <c r="C21" s="245" t="s">
        <v>17387</v>
      </c>
      <c r="D21" s="74">
        <v>0.8</v>
      </c>
      <c r="E21" s="74">
        <v>0.8</v>
      </c>
      <c r="F21" s="11" t="s">
        <v>1656</v>
      </c>
      <c r="G21" s="174"/>
    </row>
    <row r="22">
      <c r="A22" s="88" t="s">
        <v>17766</v>
      </c>
      <c r="B22" s="88">
        <v>10856.0</v>
      </c>
      <c r="C22" s="245" t="s">
        <v>17387</v>
      </c>
      <c r="D22" s="74">
        <v>0.8</v>
      </c>
      <c r="E22" s="74">
        <v>0.8</v>
      </c>
      <c r="F22" s="11" t="s">
        <v>1656</v>
      </c>
      <c r="G22" s="174"/>
    </row>
    <row r="23">
      <c r="A23" s="88" t="s">
        <v>17767</v>
      </c>
      <c r="B23" s="88">
        <v>6924.0</v>
      </c>
      <c r="C23" s="245" t="s">
        <v>17387</v>
      </c>
      <c r="D23" s="74">
        <v>0.85</v>
      </c>
      <c r="E23" s="74">
        <v>0.85</v>
      </c>
      <c r="F23" s="11" t="s">
        <v>1656</v>
      </c>
      <c r="G23" s="174"/>
    </row>
    <row r="24">
      <c r="A24" s="88" t="s">
        <v>17768</v>
      </c>
      <c r="B24" s="88">
        <v>11104.0</v>
      </c>
      <c r="C24" s="245" t="s">
        <v>17387</v>
      </c>
      <c r="D24" s="74">
        <v>0.8</v>
      </c>
      <c r="E24" s="74">
        <v>0.8</v>
      </c>
      <c r="F24" s="11" t="s">
        <v>1656</v>
      </c>
      <c r="G24" s="174"/>
    </row>
    <row r="25">
      <c r="A25" s="88" t="s">
        <v>17769</v>
      </c>
      <c r="B25" s="88">
        <v>6995.0</v>
      </c>
      <c r="C25" s="245" t="s">
        <v>17387</v>
      </c>
      <c r="D25" s="74">
        <v>0.8</v>
      </c>
      <c r="E25" s="74">
        <v>0.8</v>
      </c>
      <c r="F25" s="11" t="s">
        <v>1656</v>
      </c>
      <c r="G25" s="174"/>
    </row>
    <row r="26">
      <c r="A26" s="88" t="s">
        <v>17770</v>
      </c>
      <c r="B26" s="88">
        <v>6936.0</v>
      </c>
      <c r="C26" s="245" t="s">
        <v>17387</v>
      </c>
      <c r="D26" s="74">
        <v>0.8</v>
      </c>
      <c r="E26" s="74">
        <v>0.8</v>
      </c>
      <c r="F26" s="11" t="s">
        <v>1656</v>
      </c>
      <c r="G26" s="174"/>
    </row>
    <row r="27">
      <c r="A27" s="88" t="s">
        <v>17771</v>
      </c>
      <c r="B27" s="88">
        <v>7492.0</v>
      </c>
      <c r="C27" s="245" t="s">
        <v>17387</v>
      </c>
      <c r="D27" s="74">
        <v>0.85</v>
      </c>
      <c r="E27" s="74">
        <v>0.85</v>
      </c>
      <c r="F27" s="11" t="s">
        <v>1656</v>
      </c>
      <c r="G27" s="174"/>
    </row>
    <row r="28">
      <c r="A28" s="88" t="s">
        <v>17772</v>
      </c>
      <c r="B28" s="88">
        <v>7492.0</v>
      </c>
      <c r="C28" s="245" t="s">
        <v>17387</v>
      </c>
      <c r="D28" s="74">
        <v>0.85</v>
      </c>
      <c r="E28" s="74">
        <v>0.85</v>
      </c>
      <c r="F28" s="11" t="s">
        <v>1656</v>
      </c>
      <c r="G28" s="174"/>
    </row>
    <row r="29">
      <c r="A29" s="88" t="s">
        <v>17773</v>
      </c>
      <c r="B29" s="88">
        <v>11708.0</v>
      </c>
      <c r="C29" s="245" t="s">
        <v>17387</v>
      </c>
      <c r="D29" s="74">
        <v>0.8</v>
      </c>
      <c r="E29" s="74">
        <v>0.8</v>
      </c>
      <c r="F29" s="11" t="s">
        <v>1656</v>
      </c>
      <c r="G29" s="174"/>
    </row>
    <row r="30">
      <c r="A30" s="88" t="s">
        <v>17774</v>
      </c>
      <c r="B30" s="88">
        <v>3307.0</v>
      </c>
      <c r="C30" s="245" t="s">
        <v>17387</v>
      </c>
      <c r="D30" s="74">
        <v>0.8</v>
      </c>
      <c r="E30" s="74">
        <v>0.8</v>
      </c>
      <c r="F30" s="11" t="s">
        <v>1656</v>
      </c>
      <c r="G30" s="174"/>
    </row>
    <row r="31">
      <c r="A31" s="88" t="s">
        <v>17775</v>
      </c>
      <c r="B31" s="88">
        <v>6989.0</v>
      </c>
      <c r="C31" s="245" t="s">
        <v>17387</v>
      </c>
      <c r="D31" s="74">
        <v>0.8</v>
      </c>
      <c r="E31" s="74">
        <v>0.8</v>
      </c>
      <c r="F31" s="11" t="s">
        <v>1656</v>
      </c>
      <c r="G31" s="174"/>
    </row>
    <row r="32">
      <c r="A32" s="88" t="s">
        <v>17776</v>
      </c>
      <c r="B32" s="88">
        <v>6903.0</v>
      </c>
      <c r="C32" s="245" t="s">
        <v>17387</v>
      </c>
      <c r="D32" s="74">
        <v>0.8</v>
      </c>
      <c r="E32" s="74">
        <v>0.8</v>
      </c>
      <c r="F32" s="11" t="s">
        <v>1656</v>
      </c>
      <c r="G32" s="174"/>
    </row>
    <row r="33">
      <c r="A33" s="88" t="s">
        <v>17777</v>
      </c>
      <c r="B33" s="88">
        <v>930.0</v>
      </c>
      <c r="C33" s="245" t="s">
        <v>17387</v>
      </c>
      <c r="D33" s="74">
        <v>0.8</v>
      </c>
      <c r="E33" s="74">
        <v>0.8</v>
      </c>
      <c r="F33" s="11" t="s">
        <v>1656</v>
      </c>
      <c r="G33" s="174"/>
    </row>
    <row r="34">
      <c r="A34" s="88" t="s">
        <v>17778</v>
      </c>
      <c r="B34" s="88">
        <v>6726.0</v>
      </c>
      <c r="C34" s="245" t="s">
        <v>17387</v>
      </c>
      <c r="D34" s="74">
        <v>0.8</v>
      </c>
      <c r="E34" s="74">
        <v>0.8</v>
      </c>
      <c r="F34" s="11" t="s">
        <v>1656</v>
      </c>
      <c r="G34" s="174"/>
    </row>
    <row r="35">
      <c r="A35" s="88" t="s">
        <v>17779</v>
      </c>
      <c r="B35" s="88">
        <v>6726.0</v>
      </c>
      <c r="C35" s="245" t="s">
        <v>17387</v>
      </c>
      <c r="D35" s="74">
        <v>0.8</v>
      </c>
      <c r="E35" s="74">
        <v>0.8</v>
      </c>
      <c r="F35" s="11" t="s">
        <v>1656</v>
      </c>
      <c r="G35" s="174"/>
    </row>
    <row r="36">
      <c r="A36" s="88" t="s">
        <v>17780</v>
      </c>
      <c r="B36" s="88">
        <v>189.0</v>
      </c>
      <c r="C36" s="245" t="s">
        <v>17387</v>
      </c>
      <c r="D36" s="74">
        <v>0.85</v>
      </c>
      <c r="E36" s="74">
        <v>0.85</v>
      </c>
      <c r="F36" s="11" t="s">
        <v>1656</v>
      </c>
      <c r="G36" s="174"/>
    </row>
    <row r="37">
      <c r="A37" s="88" t="s">
        <v>17781</v>
      </c>
      <c r="B37" s="88">
        <v>189.0</v>
      </c>
      <c r="C37" s="245" t="s">
        <v>17387</v>
      </c>
      <c r="D37" s="74">
        <v>0.85</v>
      </c>
      <c r="E37" s="74">
        <v>0.85</v>
      </c>
      <c r="F37" s="11" t="s">
        <v>1656</v>
      </c>
      <c r="G37" s="174"/>
    </row>
    <row r="38">
      <c r="A38" s="88" t="s">
        <v>17782</v>
      </c>
      <c r="B38" s="88">
        <v>189.0</v>
      </c>
      <c r="C38" s="245" t="s">
        <v>17387</v>
      </c>
      <c r="D38" s="74">
        <v>0.85</v>
      </c>
      <c r="E38" s="74">
        <v>0.85</v>
      </c>
      <c r="F38" s="11" t="s">
        <v>1656</v>
      </c>
      <c r="G38" s="174"/>
    </row>
    <row r="39">
      <c r="A39" s="88" t="s">
        <v>17783</v>
      </c>
      <c r="B39" s="88">
        <v>189.0</v>
      </c>
      <c r="C39" s="245" t="s">
        <v>17387</v>
      </c>
      <c r="D39" s="74">
        <v>0.85</v>
      </c>
      <c r="E39" s="74">
        <v>0.85</v>
      </c>
      <c r="F39" s="11" t="s">
        <v>1656</v>
      </c>
      <c r="G39" s="174"/>
    </row>
    <row r="40">
      <c r="A40" s="88" t="s">
        <v>17784</v>
      </c>
      <c r="B40" s="88">
        <v>189.0</v>
      </c>
      <c r="C40" s="245" t="s">
        <v>17387</v>
      </c>
      <c r="D40" s="74">
        <v>0.85</v>
      </c>
      <c r="E40" s="74">
        <v>0.85</v>
      </c>
      <c r="F40" s="11" t="s">
        <v>1656</v>
      </c>
      <c r="G40" s="174"/>
    </row>
    <row r="41">
      <c r="A41" s="88" t="s">
        <v>17785</v>
      </c>
      <c r="B41" s="88">
        <v>7183.0</v>
      </c>
      <c r="C41" s="245" t="s">
        <v>17387</v>
      </c>
      <c r="D41" s="74">
        <v>0.8</v>
      </c>
      <c r="E41" s="74">
        <v>0.8</v>
      </c>
      <c r="F41" s="11" t="s">
        <v>1656</v>
      </c>
      <c r="G41" s="174"/>
    </row>
    <row r="42">
      <c r="A42" s="88" t="s">
        <v>17786</v>
      </c>
      <c r="B42" s="88">
        <v>6133.0</v>
      </c>
      <c r="C42" s="245" t="s">
        <v>17387</v>
      </c>
      <c r="D42" s="74">
        <v>0.8</v>
      </c>
      <c r="E42" s="74">
        <v>0.8</v>
      </c>
      <c r="F42" s="11" t="s">
        <v>1656</v>
      </c>
      <c r="G42" s="174"/>
    </row>
    <row r="43">
      <c r="A43" s="88" t="s">
        <v>17787</v>
      </c>
      <c r="B43" s="88">
        <v>6133.0</v>
      </c>
      <c r="C43" s="245" t="s">
        <v>17387</v>
      </c>
      <c r="D43" s="74">
        <v>0.8</v>
      </c>
      <c r="E43" s="74">
        <v>0.8</v>
      </c>
      <c r="F43" s="11" t="s">
        <v>1656</v>
      </c>
      <c r="G43" s="174"/>
    </row>
    <row r="44">
      <c r="A44" s="88" t="s">
        <v>17788</v>
      </c>
      <c r="B44" s="88">
        <v>6133.0</v>
      </c>
      <c r="C44" s="245" t="s">
        <v>17387</v>
      </c>
      <c r="D44" s="74">
        <v>0.8</v>
      </c>
      <c r="E44" s="74">
        <v>0.8</v>
      </c>
      <c r="F44" s="11" t="s">
        <v>1656</v>
      </c>
      <c r="G44" s="174"/>
    </row>
    <row r="45">
      <c r="A45" s="88" t="s">
        <v>17789</v>
      </c>
      <c r="B45" s="88">
        <v>6133.0</v>
      </c>
      <c r="C45" s="245" t="s">
        <v>17387</v>
      </c>
      <c r="D45" s="74">
        <v>0.8</v>
      </c>
      <c r="E45" s="74">
        <v>0.8</v>
      </c>
      <c r="F45" s="11" t="s">
        <v>1656</v>
      </c>
      <c r="G45" s="174"/>
    </row>
    <row r="46">
      <c r="A46" s="88" t="s">
        <v>17790</v>
      </c>
      <c r="B46" s="88">
        <v>7492.0</v>
      </c>
      <c r="C46" s="245" t="s">
        <v>17387</v>
      </c>
      <c r="D46" s="74">
        <v>0.85</v>
      </c>
      <c r="E46" s="74">
        <v>0.85</v>
      </c>
      <c r="F46" s="11" t="s">
        <v>1656</v>
      </c>
      <c r="G46" s="174"/>
    </row>
    <row r="47">
      <c r="A47" s="88" t="s">
        <v>17791</v>
      </c>
      <c r="B47" s="88">
        <v>7492.0</v>
      </c>
      <c r="C47" s="245" t="s">
        <v>17387</v>
      </c>
      <c r="D47" s="74">
        <v>0.85</v>
      </c>
      <c r="E47" s="74">
        <v>0.85</v>
      </c>
      <c r="F47" s="11" t="s">
        <v>1656</v>
      </c>
      <c r="G47" s="174"/>
    </row>
    <row r="48">
      <c r="A48" s="88" t="s">
        <v>17792</v>
      </c>
      <c r="B48" s="88">
        <v>12941.0</v>
      </c>
      <c r="C48" s="245" t="s">
        <v>17387</v>
      </c>
      <c r="D48" s="74">
        <v>0.85</v>
      </c>
      <c r="E48" s="74">
        <v>0.85</v>
      </c>
      <c r="F48" s="11" t="s">
        <v>1656</v>
      </c>
      <c r="G48" s="174"/>
    </row>
    <row r="49">
      <c r="A49" s="88" t="s">
        <v>17793</v>
      </c>
      <c r="B49" s="88">
        <v>12941.0</v>
      </c>
      <c r="C49" s="245" t="s">
        <v>17387</v>
      </c>
      <c r="D49" s="74">
        <v>0.85</v>
      </c>
      <c r="E49" s="74">
        <v>0.85</v>
      </c>
      <c r="F49" s="11" t="s">
        <v>1656</v>
      </c>
      <c r="G49" s="174"/>
    </row>
    <row r="50">
      <c r="A50" s="88" t="s">
        <v>17794</v>
      </c>
      <c r="B50" s="88">
        <v>12941.0</v>
      </c>
      <c r="C50" s="245" t="s">
        <v>17387</v>
      </c>
      <c r="D50" s="74">
        <v>0.85</v>
      </c>
      <c r="E50" s="74">
        <v>0.85</v>
      </c>
      <c r="F50" s="11" t="s">
        <v>1656</v>
      </c>
      <c r="G50" s="174"/>
    </row>
    <row r="51">
      <c r="A51" s="88" t="s">
        <v>17795</v>
      </c>
      <c r="B51" s="88">
        <v>7186.0</v>
      </c>
      <c r="C51" s="245" t="s">
        <v>17387</v>
      </c>
      <c r="D51" s="74">
        <v>0.8</v>
      </c>
      <c r="E51" s="74">
        <v>0.8</v>
      </c>
      <c r="F51" s="11" t="s">
        <v>1656</v>
      </c>
      <c r="G51" s="174"/>
    </row>
    <row r="52">
      <c r="A52" s="88" t="s">
        <v>17796</v>
      </c>
      <c r="B52" s="88">
        <v>12941.0</v>
      </c>
      <c r="C52" s="245" t="s">
        <v>17387</v>
      </c>
      <c r="D52" s="74">
        <v>0.85</v>
      </c>
      <c r="E52" s="74">
        <v>0.85</v>
      </c>
      <c r="F52" s="11" t="s">
        <v>1656</v>
      </c>
      <c r="G52" s="174"/>
    </row>
    <row r="53">
      <c r="A53" s="88" t="s">
        <v>17797</v>
      </c>
      <c r="B53" s="88">
        <v>12941.0</v>
      </c>
      <c r="C53" s="245" t="s">
        <v>17387</v>
      </c>
      <c r="D53" s="74">
        <v>0.85</v>
      </c>
      <c r="E53" s="74">
        <v>0.85</v>
      </c>
      <c r="F53" s="11" t="s">
        <v>1656</v>
      </c>
      <c r="G53" s="174"/>
    </row>
    <row r="54">
      <c r="A54" s="88" t="s">
        <v>17798</v>
      </c>
      <c r="B54" s="88">
        <v>12941.0</v>
      </c>
      <c r="C54" s="245" t="s">
        <v>17387</v>
      </c>
      <c r="D54" s="74">
        <v>0.85</v>
      </c>
      <c r="E54" s="74">
        <v>0.85</v>
      </c>
      <c r="F54" s="11" t="s">
        <v>1656</v>
      </c>
      <c r="G54" s="174"/>
    </row>
    <row r="55">
      <c r="A55" s="88" t="s">
        <v>17799</v>
      </c>
      <c r="B55" s="88">
        <v>12941.0</v>
      </c>
      <c r="C55" s="245" t="s">
        <v>17387</v>
      </c>
      <c r="D55" s="74">
        <v>0.85</v>
      </c>
      <c r="E55" s="74">
        <v>0.85</v>
      </c>
      <c r="F55" s="11" t="s">
        <v>1656</v>
      </c>
      <c r="G55" s="174"/>
    </row>
    <row r="56">
      <c r="A56" s="88" t="s">
        <v>17800</v>
      </c>
      <c r="B56" s="88">
        <v>6924.0</v>
      </c>
      <c r="C56" s="245" t="s">
        <v>17387</v>
      </c>
      <c r="D56" s="74">
        <v>0.85</v>
      </c>
      <c r="E56" s="74">
        <v>0.85</v>
      </c>
      <c r="F56" s="11" t="s">
        <v>1656</v>
      </c>
      <c r="G56" s="174"/>
    </row>
    <row r="57">
      <c r="A57" s="88" t="s">
        <v>17801</v>
      </c>
      <c r="B57" s="88">
        <v>14065.0</v>
      </c>
      <c r="C57" s="245" t="s">
        <v>17387</v>
      </c>
      <c r="D57" s="74">
        <v>0.8</v>
      </c>
      <c r="E57" s="74">
        <v>0.8</v>
      </c>
      <c r="F57" s="11" t="s">
        <v>1656</v>
      </c>
      <c r="G57" s="174"/>
    </row>
    <row r="58">
      <c r="A58" s="88" t="s">
        <v>17802</v>
      </c>
      <c r="B58" s="88">
        <v>4933.0</v>
      </c>
      <c r="C58" s="245" t="s">
        <v>17387</v>
      </c>
      <c r="D58" s="74">
        <v>0.8</v>
      </c>
      <c r="E58" s="74">
        <v>0.8</v>
      </c>
      <c r="F58" s="11" t="s">
        <v>1656</v>
      </c>
      <c r="G58" s="174"/>
    </row>
    <row r="59">
      <c r="A59" s="88" t="s">
        <v>17803</v>
      </c>
      <c r="B59" s="88">
        <v>12941.0</v>
      </c>
      <c r="C59" s="245" t="s">
        <v>17387</v>
      </c>
      <c r="D59" s="74">
        <v>0.85</v>
      </c>
      <c r="E59" s="74">
        <v>0.85</v>
      </c>
      <c r="F59" s="11" t="s">
        <v>1656</v>
      </c>
      <c r="G59" s="174"/>
    </row>
    <row r="60">
      <c r="A60" s="88" t="s">
        <v>17804</v>
      </c>
      <c r="B60" s="88">
        <v>12941.0</v>
      </c>
      <c r="C60" s="245" t="s">
        <v>17387</v>
      </c>
      <c r="D60" s="74">
        <v>0.85</v>
      </c>
      <c r="E60" s="74">
        <v>0.85</v>
      </c>
      <c r="F60" s="11" t="s">
        <v>1656</v>
      </c>
      <c r="G60" s="174"/>
    </row>
    <row r="61">
      <c r="A61" s="88" t="s">
        <v>17805</v>
      </c>
      <c r="B61" s="88">
        <v>6893.0</v>
      </c>
      <c r="C61" s="245" t="s">
        <v>17387</v>
      </c>
      <c r="D61" s="74">
        <v>0.8</v>
      </c>
      <c r="E61" s="74">
        <v>0.8</v>
      </c>
      <c r="F61" s="11" t="s">
        <v>1656</v>
      </c>
      <c r="G61" s="174"/>
    </row>
    <row r="62">
      <c r="A62" s="88" t="s">
        <v>17806</v>
      </c>
      <c r="B62" s="88">
        <v>12941.0</v>
      </c>
      <c r="C62" s="245" t="s">
        <v>17387</v>
      </c>
      <c r="D62" s="74">
        <v>0.85</v>
      </c>
      <c r="E62" s="74">
        <v>0.85</v>
      </c>
      <c r="F62" s="11" t="s">
        <v>1656</v>
      </c>
      <c r="G62" s="174"/>
    </row>
    <row r="63">
      <c r="A63" s="88" t="s">
        <v>17807</v>
      </c>
      <c r="B63" s="88">
        <v>12941.0</v>
      </c>
      <c r="C63" s="245" t="s">
        <v>17387</v>
      </c>
      <c r="D63" s="74">
        <v>0.85</v>
      </c>
      <c r="E63" s="74">
        <v>0.85</v>
      </c>
      <c r="F63" s="11" t="s">
        <v>1656</v>
      </c>
      <c r="G63" s="174"/>
    </row>
    <row r="64">
      <c r="A64" s="88" t="s">
        <v>17808</v>
      </c>
      <c r="B64" s="88">
        <v>12941.0</v>
      </c>
      <c r="C64" s="245" t="s">
        <v>17387</v>
      </c>
      <c r="D64" s="74">
        <v>0.85</v>
      </c>
      <c r="E64" s="74">
        <v>0.85</v>
      </c>
      <c r="F64" s="11" t="s">
        <v>1656</v>
      </c>
      <c r="G64" s="174"/>
    </row>
    <row r="65">
      <c r="A65" s="88" t="s">
        <v>17809</v>
      </c>
      <c r="B65" s="88">
        <v>13829.0</v>
      </c>
      <c r="C65" s="245" t="s">
        <v>17387</v>
      </c>
      <c r="D65" s="74">
        <v>0.8</v>
      </c>
      <c r="E65" s="74">
        <v>0.8</v>
      </c>
      <c r="F65" s="11" t="s">
        <v>1656</v>
      </c>
      <c r="G65" s="174"/>
    </row>
    <row r="66">
      <c r="A66" s="88" t="s">
        <v>17810</v>
      </c>
      <c r="B66" s="88">
        <v>6893.0</v>
      </c>
      <c r="C66" s="245" t="s">
        <v>17387</v>
      </c>
      <c r="D66" s="74">
        <v>0.8</v>
      </c>
      <c r="E66" s="74">
        <v>0.8</v>
      </c>
      <c r="F66" s="11" t="s">
        <v>1656</v>
      </c>
      <c r="G66" s="174"/>
    </row>
    <row r="67">
      <c r="A67" s="88" t="s">
        <v>17811</v>
      </c>
      <c r="B67" s="88">
        <v>6893.0</v>
      </c>
      <c r="C67" s="245" t="s">
        <v>17387</v>
      </c>
      <c r="D67" s="74">
        <v>0.8</v>
      </c>
      <c r="E67" s="74">
        <v>0.8</v>
      </c>
      <c r="F67" s="11" t="s">
        <v>1656</v>
      </c>
      <c r="G67" s="174"/>
    </row>
    <row r="68">
      <c r="A68" s="88" t="s">
        <v>17812</v>
      </c>
      <c r="B68" s="88">
        <v>189.0</v>
      </c>
      <c r="C68" s="245" t="s">
        <v>17387</v>
      </c>
      <c r="D68" s="74">
        <v>0.85</v>
      </c>
      <c r="E68" s="74">
        <v>0.85</v>
      </c>
      <c r="F68" s="11" t="s">
        <v>1656</v>
      </c>
      <c r="G68" s="174"/>
    </row>
    <row r="69">
      <c r="A69" s="88" t="s">
        <v>17813</v>
      </c>
      <c r="B69" s="88">
        <v>189.0</v>
      </c>
      <c r="C69" s="245" t="s">
        <v>17387</v>
      </c>
      <c r="D69" s="74">
        <v>0.85</v>
      </c>
      <c r="E69" s="74">
        <v>0.85</v>
      </c>
      <c r="F69" s="11" t="s">
        <v>1656</v>
      </c>
      <c r="G69" s="174"/>
    </row>
    <row r="70">
      <c r="A70" s="88" t="s">
        <v>17814</v>
      </c>
      <c r="B70" s="88">
        <v>189.0</v>
      </c>
      <c r="C70" s="245" t="s">
        <v>17387</v>
      </c>
      <c r="D70" s="74">
        <v>0.85</v>
      </c>
      <c r="E70" s="74">
        <v>0.85</v>
      </c>
      <c r="F70" s="11" t="s">
        <v>1656</v>
      </c>
      <c r="G70" s="174"/>
    </row>
    <row r="71">
      <c r="A71" s="88" t="s">
        <v>17815</v>
      </c>
      <c r="B71" s="88">
        <v>189.0</v>
      </c>
      <c r="C71" s="245" t="s">
        <v>17387</v>
      </c>
      <c r="D71" s="74">
        <v>0.85</v>
      </c>
      <c r="E71" s="74">
        <v>0.85</v>
      </c>
      <c r="F71" s="11" t="s">
        <v>1656</v>
      </c>
      <c r="G71" s="174"/>
    </row>
    <row r="72">
      <c r="A72" s="88" t="s">
        <v>17816</v>
      </c>
      <c r="B72" s="88">
        <v>189.0</v>
      </c>
      <c r="C72" s="245" t="s">
        <v>17387</v>
      </c>
      <c r="D72" s="74">
        <v>0.85</v>
      </c>
      <c r="E72" s="74">
        <v>0.85</v>
      </c>
      <c r="F72" s="11" t="s">
        <v>1656</v>
      </c>
      <c r="G72" s="174"/>
    </row>
    <row r="73">
      <c r="A73" s="88" t="s">
        <v>17817</v>
      </c>
      <c r="B73" s="88">
        <v>13862.0</v>
      </c>
      <c r="C73" s="245" t="s">
        <v>17387</v>
      </c>
      <c r="D73" s="74">
        <v>0.8</v>
      </c>
      <c r="E73" s="74">
        <v>0.8</v>
      </c>
      <c r="F73" s="11" t="s">
        <v>1656</v>
      </c>
      <c r="G73" s="174"/>
    </row>
    <row r="74">
      <c r="A74" s="88" t="s">
        <v>17818</v>
      </c>
      <c r="B74" s="88">
        <v>6106.0</v>
      </c>
      <c r="C74" s="245" t="s">
        <v>17387</v>
      </c>
      <c r="D74" s="74">
        <v>0.8</v>
      </c>
      <c r="E74" s="74">
        <v>0.8</v>
      </c>
      <c r="F74" s="11" t="s">
        <v>1656</v>
      </c>
      <c r="G74" s="174"/>
    </row>
    <row r="75">
      <c r="A75" s="88" t="s">
        <v>17819</v>
      </c>
      <c r="B75" s="11">
        <v>14659.0</v>
      </c>
      <c r="C75" s="245" t="s">
        <v>17387</v>
      </c>
      <c r="D75" s="74">
        <v>0.8</v>
      </c>
      <c r="E75" s="74">
        <v>0.8</v>
      </c>
      <c r="F75" s="11" t="s">
        <v>1656</v>
      </c>
      <c r="G75" s="174"/>
    </row>
    <row r="76">
      <c r="A76" s="88" t="s">
        <v>17820</v>
      </c>
      <c r="B76" s="88">
        <v>11708.0</v>
      </c>
      <c r="C76" s="245" t="s">
        <v>17387</v>
      </c>
      <c r="D76" s="74">
        <v>0.8</v>
      </c>
      <c r="E76" s="74">
        <v>0.8</v>
      </c>
      <c r="F76" s="11" t="s">
        <v>1656</v>
      </c>
      <c r="G76" s="174"/>
    </row>
    <row r="77">
      <c r="A77" s="88" t="s">
        <v>17821</v>
      </c>
      <c r="B77" s="195">
        <v>14646.0</v>
      </c>
      <c r="C77" s="245" t="s">
        <v>17387</v>
      </c>
      <c r="D77" s="74">
        <v>0.8</v>
      </c>
      <c r="E77" s="74">
        <v>0.8</v>
      </c>
      <c r="F77" s="11" t="s">
        <v>1656</v>
      </c>
      <c r="G77" s="174"/>
    </row>
    <row r="78">
      <c r="A78" s="88" t="s">
        <v>17822</v>
      </c>
      <c r="B78" s="88">
        <v>189.0</v>
      </c>
      <c r="C78" s="245" t="s">
        <v>17387</v>
      </c>
      <c r="D78" s="74">
        <v>0.85</v>
      </c>
      <c r="E78" s="74">
        <v>0.85</v>
      </c>
      <c r="F78" s="11" t="s">
        <v>1656</v>
      </c>
      <c r="G78" s="174"/>
    </row>
    <row r="79">
      <c r="A79" s="88" t="s">
        <v>17823</v>
      </c>
      <c r="B79" s="88">
        <v>14480.0</v>
      </c>
      <c r="C79" s="245" t="s">
        <v>17387</v>
      </c>
      <c r="D79" s="74">
        <v>0.8</v>
      </c>
      <c r="E79" s="74">
        <v>0.8</v>
      </c>
      <c r="F79" s="11" t="s">
        <v>1656</v>
      </c>
      <c r="G79" s="174"/>
    </row>
    <row r="80">
      <c r="A80" s="88" t="s">
        <v>17824</v>
      </c>
      <c r="B80" s="88">
        <v>14465.0</v>
      </c>
      <c r="C80" s="245" t="s">
        <v>17387</v>
      </c>
      <c r="D80" s="74">
        <v>0.9</v>
      </c>
      <c r="E80" s="74">
        <v>0.9</v>
      </c>
      <c r="F80" s="11" t="s">
        <v>1656</v>
      </c>
      <c r="G80" s="174"/>
    </row>
    <row r="81">
      <c r="A81" s="88" t="s">
        <v>17825</v>
      </c>
      <c r="B81" s="88">
        <v>315.0</v>
      </c>
      <c r="C81" s="245" t="s">
        <v>17387</v>
      </c>
      <c r="D81" s="74">
        <v>0.8</v>
      </c>
      <c r="E81" s="74">
        <v>0.8</v>
      </c>
      <c r="F81" s="11" t="s">
        <v>1656</v>
      </c>
      <c r="G81" s="174"/>
    </row>
    <row r="82">
      <c r="A82" s="88" t="s">
        <v>17826</v>
      </c>
      <c r="B82" s="88"/>
      <c r="C82" s="245" t="s">
        <v>17387</v>
      </c>
      <c r="D82" s="74">
        <v>0.8</v>
      </c>
      <c r="E82" s="74">
        <v>0.8</v>
      </c>
      <c r="F82" s="11" t="s">
        <v>1656</v>
      </c>
      <c r="G82" s="174"/>
    </row>
    <row r="83">
      <c r="A83" s="88" t="s">
        <v>17827</v>
      </c>
      <c r="B83" s="88"/>
      <c r="C83" s="245" t="s">
        <v>17387</v>
      </c>
      <c r="D83" s="74">
        <v>0.8</v>
      </c>
      <c r="E83" s="74">
        <v>0.8</v>
      </c>
      <c r="F83" s="11" t="s">
        <v>1656</v>
      </c>
      <c r="G83" s="174"/>
    </row>
    <row r="84">
      <c r="A84" s="88" t="s">
        <v>17828</v>
      </c>
      <c r="B84" s="88">
        <v>14005.0</v>
      </c>
      <c r="C84" s="245" t="s">
        <v>17387</v>
      </c>
      <c r="D84" s="74">
        <v>0.8</v>
      </c>
      <c r="E84" s="74">
        <v>0.8</v>
      </c>
      <c r="F84" s="11" t="s">
        <v>1656</v>
      </c>
      <c r="G84" s="174"/>
    </row>
    <row r="85">
      <c r="A85" s="88" t="s">
        <v>17829</v>
      </c>
      <c r="B85" s="88"/>
      <c r="C85" s="245" t="s">
        <v>17387</v>
      </c>
      <c r="D85" s="74">
        <v>0.8</v>
      </c>
      <c r="E85" s="74">
        <v>0.8</v>
      </c>
      <c r="F85" s="11" t="s">
        <v>1656</v>
      </c>
      <c r="G85" s="174"/>
    </row>
    <row r="86">
      <c r="A86" s="88" t="s">
        <v>17830</v>
      </c>
      <c r="B86" s="88">
        <v>7003.0</v>
      </c>
      <c r="C86" s="245" t="s">
        <v>17387</v>
      </c>
      <c r="D86" s="74">
        <v>0.8</v>
      </c>
      <c r="E86" s="74">
        <v>0.8</v>
      </c>
      <c r="F86" s="11" t="s">
        <v>1656</v>
      </c>
      <c r="G86" s="174"/>
    </row>
    <row r="87">
      <c r="A87" s="88" t="s">
        <v>17831</v>
      </c>
      <c r="B87" s="88"/>
      <c r="C87" s="245" t="s">
        <v>17387</v>
      </c>
      <c r="D87" s="74">
        <v>0.8</v>
      </c>
      <c r="E87" s="74">
        <v>0.8</v>
      </c>
      <c r="F87" s="11" t="s">
        <v>1656</v>
      </c>
      <c r="G87" s="174"/>
    </row>
    <row r="88">
      <c r="A88" s="88" t="s">
        <v>17832</v>
      </c>
      <c r="B88" s="88">
        <v>14507.0</v>
      </c>
      <c r="C88" s="245" t="s">
        <v>17387</v>
      </c>
      <c r="D88" s="74">
        <v>0.8</v>
      </c>
      <c r="E88" s="74">
        <v>0.8</v>
      </c>
      <c r="F88" s="11" t="s">
        <v>1656</v>
      </c>
      <c r="G88" s="174"/>
    </row>
    <row r="89">
      <c r="A89" s="88" t="s">
        <v>17833</v>
      </c>
      <c r="B89" s="88">
        <v>9307.0</v>
      </c>
      <c r="C89" s="245" t="s">
        <v>17387</v>
      </c>
      <c r="D89" s="74">
        <v>0.8</v>
      </c>
      <c r="E89" s="74">
        <v>0.8</v>
      </c>
      <c r="F89" s="11" t="s">
        <v>1656</v>
      </c>
      <c r="G89" s="174"/>
    </row>
    <row r="90">
      <c r="A90" s="88" t="s">
        <v>17834</v>
      </c>
      <c r="B90" s="11">
        <v>3404.0</v>
      </c>
      <c r="C90" s="245" t="s">
        <v>17387</v>
      </c>
      <c r="D90" s="74">
        <v>0.8</v>
      </c>
      <c r="E90" s="74">
        <v>0.8</v>
      </c>
      <c r="F90" s="11" t="s">
        <v>1656</v>
      </c>
      <c r="G90" s="174"/>
    </row>
    <row r="91">
      <c r="A91" s="88" t="s">
        <v>17835</v>
      </c>
      <c r="B91" s="88">
        <v>7283.0</v>
      </c>
      <c r="C91" s="245" t="s">
        <v>17387</v>
      </c>
      <c r="D91" s="74">
        <v>0.8</v>
      </c>
      <c r="E91" s="74">
        <v>0.8</v>
      </c>
      <c r="F91" s="11" t="s">
        <v>1656</v>
      </c>
      <c r="G91" s="174"/>
    </row>
    <row r="92">
      <c r="A92" s="88" t="s">
        <v>17836</v>
      </c>
      <c r="B92" s="88">
        <v>12609.0</v>
      </c>
      <c r="C92" s="245" t="s">
        <v>17387</v>
      </c>
      <c r="D92" s="74">
        <v>0.8</v>
      </c>
      <c r="E92" s="74">
        <v>0.8</v>
      </c>
      <c r="F92" s="11" t="s">
        <v>1656</v>
      </c>
      <c r="G92" s="174"/>
    </row>
    <row r="93">
      <c r="A93" s="88" t="s">
        <v>17837</v>
      </c>
      <c r="B93" s="88"/>
      <c r="C93" s="245" t="s">
        <v>17387</v>
      </c>
      <c r="D93" s="74">
        <v>0.8</v>
      </c>
      <c r="E93" s="74">
        <v>0.8</v>
      </c>
      <c r="F93" s="11" t="s">
        <v>1656</v>
      </c>
      <c r="G93" s="174"/>
    </row>
    <row r="94">
      <c r="A94" s="88" t="s">
        <v>17838</v>
      </c>
      <c r="B94" s="88">
        <v>14525.0</v>
      </c>
      <c r="C94" s="245" t="s">
        <v>17387</v>
      </c>
      <c r="D94" s="74">
        <v>0.8</v>
      </c>
      <c r="E94" s="74">
        <v>0.8</v>
      </c>
      <c r="F94" s="11" t="s">
        <v>1656</v>
      </c>
      <c r="G94" s="174"/>
    </row>
    <row r="95">
      <c r="A95" s="88" t="s">
        <v>17839</v>
      </c>
      <c r="B95" s="11">
        <v>14663.0</v>
      </c>
      <c r="C95" s="245" t="s">
        <v>17387</v>
      </c>
      <c r="D95" s="74">
        <v>0.8</v>
      </c>
      <c r="E95" s="74">
        <v>0.8</v>
      </c>
      <c r="F95" s="11" t="s">
        <v>1656</v>
      </c>
      <c r="G95" s="174"/>
    </row>
    <row r="96">
      <c r="A96" s="88" t="s">
        <v>17840</v>
      </c>
      <c r="B96" s="88">
        <v>5389.0</v>
      </c>
      <c r="C96" s="245" t="s">
        <v>17387</v>
      </c>
      <c r="D96" s="74">
        <v>0.8</v>
      </c>
      <c r="E96" s="74">
        <v>0.8</v>
      </c>
      <c r="F96" s="11" t="s">
        <v>1656</v>
      </c>
      <c r="G96" s="174"/>
    </row>
    <row r="97">
      <c r="A97" s="88" t="s">
        <v>17841</v>
      </c>
      <c r="B97" s="88">
        <v>11049.0</v>
      </c>
      <c r="C97" s="245" t="s">
        <v>17387</v>
      </c>
      <c r="D97" s="74">
        <v>0.85</v>
      </c>
      <c r="E97" s="74">
        <v>0.85</v>
      </c>
      <c r="F97" s="11" t="s">
        <v>1656</v>
      </c>
      <c r="G97" s="326"/>
    </row>
    <row r="98">
      <c r="A98" s="88" t="s">
        <v>17842</v>
      </c>
      <c r="B98" s="88">
        <v>11049.0</v>
      </c>
      <c r="C98" s="245" t="s">
        <v>17387</v>
      </c>
      <c r="D98" s="74">
        <v>0.85</v>
      </c>
      <c r="E98" s="74">
        <v>0.85</v>
      </c>
      <c r="F98" s="11" t="s">
        <v>1656</v>
      </c>
      <c r="G98" s="326"/>
    </row>
    <row r="99">
      <c r="A99" s="88" t="s">
        <v>17843</v>
      </c>
      <c r="B99" s="88">
        <v>11049.0</v>
      </c>
      <c r="C99" s="245" t="s">
        <v>17387</v>
      </c>
      <c r="D99" s="74">
        <v>0.85</v>
      </c>
      <c r="E99" s="74">
        <v>0.85</v>
      </c>
      <c r="F99" s="11" t="s">
        <v>1656</v>
      </c>
      <c r="G99" s="326"/>
    </row>
    <row r="100">
      <c r="A100" s="88" t="s">
        <v>17844</v>
      </c>
      <c r="B100" s="88">
        <v>7040.0</v>
      </c>
      <c r="C100" s="245" t="s">
        <v>17387</v>
      </c>
      <c r="D100" s="74">
        <v>0.8</v>
      </c>
      <c r="E100" s="74">
        <v>0.8</v>
      </c>
      <c r="F100" s="11" t="s">
        <v>1656</v>
      </c>
      <c r="G100" s="326"/>
    </row>
    <row r="101">
      <c r="A101" s="88" t="s">
        <v>17845</v>
      </c>
      <c r="B101" s="88">
        <v>9363.0</v>
      </c>
      <c r="C101" s="245" t="s">
        <v>17387</v>
      </c>
      <c r="D101" s="74">
        <v>0.8</v>
      </c>
      <c r="E101" s="74">
        <v>0.8</v>
      </c>
      <c r="F101" s="11" t="s">
        <v>1656</v>
      </c>
      <c r="G101" s="326"/>
    </row>
    <row r="102">
      <c r="A102" s="88" t="s">
        <v>17846</v>
      </c>
      <c r="B102" s="88">
        <v>909.0</v>
      </c>
      <c r="C102" s="245" t="s">
        <v>17387</v>
      </c>
      <c r="D102" s="74">
        <v>0.8</v>
      </c>
      <c r="E102" s="74">
        <v>0.8</v>
      </c>
      <c r="F102" s="11" t="s">
        <v>1656</v>
      </c>
      <c r="G102" s="326"/>
    </row>
    <row r="103">
      <c r="A103" s="88" t="s">
        <v>17847</v>
      </c>
      <c r="B103" s="88">
        <v>9363.0</v>
      </c>
      <c r="C103" s="245" t="s">
        <v>17387</v>
      </c>
      <c r="D103" s="74">
        <v>0.8</v>
      </c>
      <c r="E103" s="74">
        <v>0.8</v>
      </c>
      <c r="F103" s="11" t="s">
        <v>1656</v>
      </c>
      <c r="G103" s="326"/>
    </row>
    <row r="104">
      <c r="A104" s="88" t="s">
        <v>17848</v>
      </c>
      <c r="B104" s="88">
        <v>2095.0</v>
      </c>
      <c r="C104" s="245" t="s">
        <v>17387</v>
      </c>
      <c r="D104" s="74">
        <v>0.8</v>
      </c>
      <c r="E104" s="74">
        <v>0.8</v>
      </c>
      <c r="F104" s="11" t="s">
        <v>1656</v>
      </c>
      <c r="G104" s="326"/>
    </row>
    <row r="105">
      <c r="A105" s="88" t="s">
        <v>17849</v>
      </c>
      <c r="B105" s="88">
        <v>2095.0</v>
      </c>
      <c r="C105" s="245" t="s">
        <v>17387</v>
      </c>
      <c r="D105" s="74">
        <v>0.8</v>
      </c>
      <c r="E105" s="74">
        <v>0.8</v>
      </c>
      <c r="F105" s="11" t="s">
        <v>1656</v>
      </c>
      <c r="G105" s="326"/>
    </row>
    <row r="106">
      <c r="A106" s="88" t="s">
        <v>17850</v>
      </c>
      <c r="B106" s="88">
        <v>7010.0</v>
      </c>
      <c r="C106" s="245" t="s">
        <v>17387</v>
      </c>
      <c r="D106" s="74">
        <v>0.85</v>
      </c>
      <c r="E106" s="74">
        <v>0.85</v>
      </c>
      <c r="F106" s="11" t="s">
        <v>1656</v>
      </c>
      <c r="G106" s="326"/>
    </row>
    <row r="107">
      <c r="A107" s="88" t="s">
        <v>17851</v>
      </c>
      <c r="B107" s="88">
        <v>13951.0</v>
      </c>
      <c r="C107" s="245" t="s">
        <v>17387</v>
      </c>
      <c r="D107" s="74">
        <v>0.8</v>
      </c>
      <c r="E107" s="74">
        <v>0.8</v>
      </c>
      <c r="F107" s="11" t="s">
        <v>1656</v>
      </c>
      <c r="G107" s="326"/>
    </row>
    <row r="108">
      <c r="A108" s="88" t="s">
        <v>17852</v>
      </c>
      <c r="B108" s="88">
        <v>11049.0</v>
      </c>
      <c r="C108" s="245" t="s">
        <v>17387</v>
      </c>
      <c r="D108" s="74">
        <v>0.85</v>
      </c>
      <c r="E108" s="74">
        <v>0.85</v>
      </c>
      <c r="F108" s="11" t="s">
        <v>1656</v>
      </c>
      <c r="G108" s="326"/>
    </row>
    <row r="109">
      <c r="A109" s="88" t="s">
        <v>17853</v>
      </c>
      <c r="B109" s="88">
        <v>11049.0</v>
      </c>
      <c r="C109" s="245" t="s">
        <v>17387</v>
      </c>
      <c r="D109" s="74">
        <v>0.85</v>
      </c>
      <c r="E109" s="74">
        <v>0.85</v>
      </c>
      <c r="F109" s="11" t="s">
        <v>1656</v>
      </c>
      <c r="G109" s="326"/>
    </row>
    <row r="110">
      <c r="A110" s="88" t="s">
        <v>17854</v>
      </c>
      <c r="B110" s="88">
        <v>7137.0</v>
      </c>
      <c r="C110" s="245" t="s">
        <v>17387</v>
      </c>
      <c r="D110" s="74">
        <v>0.8</v>
      </c>
      <c r="E110" s="74">
        <v>0.8</v>
      </c>
      <c r="F110" s="11" t="s">
        <v>1656</v>
      </c>
      <c r="G110" s="326"/>
    </row>
    <row r="111">
      <c r="A111" s="88" t="s">
        <v>17855</v>
      </c>
      <c r="B111" s="88">
        <v>11601.0</v>
      </c>
      <c r="C111" s="245" t="s">
        <v>17387</v>
      </c>
      <c r="D111" s="74">
        <v>0.8</v>
      </c>
      <c r="E111" s="74">
        <v>0.8</v>
      </c>
      <c r="F111" s="11" t="s">
        <v>1656</v>
      </c>
      <c r="G111" s="326"/>
    </row>
    <row r="112">
      <c r="A112" s="88" t="s">
        <v>17856</v>
      </c>
      <c r="B112" s="88">
        <v>7492.0</v>
      </c>
      <c r="C112" s="245" t="s">
        <v>17387</v>
      </c>
      <c r="D112" s="74">
        <v>0.85</v>
      </c>
      <c r="E112" s="74">
        <v>0.85</v>
      </c>
      <c r="F112" s="11" t="s">
        <v>1656</v>
      </c>
      <c r="G112" s="326"/>
    </row>
    <row r="113">
      <c r="A113" s="88" t="s">
        <v>17857</v>
      </c>
      <c r="B113" s="88">
        <v>7492.0</v>
      </c>
      <c r="C113" s="245" t="s">
        <v>17387</v>
      </c>
      <c r="D113" s="74">
        <v>0.85</v>
      </c>
      <c r="E113" s="74">
        <v>0.85</v>
      </c>
      <c r="F113" s="11" t="s">
        <v>1656</v>
      </c>
      <c r="G113" s="326"/>
    </row>
    <row r="114">
      <c r="A114" s="88" t="s">
        <v>17858</v>
      </c>
      <c r="B114" s="88">
        <v>7492.0</v>
      </c>
      <c r="C114" s="245" t="s">
        <v>17387</v>
      </c>
      <c r="D114" s="74">
        <v>0.85</v>
      </c>
      <c r="E114" s="74">
        <v>0.85</v>
      </c>
      <c r="F114" s="11" t="s">
        <v>1656</v>
      </c>
      <c r="G114" s="326"/>
    </row>
    <row r="115">
      <c r="A115" s="88" t="s">
        <v>17859</v>
      </c>
      <c r="B115" s="88">
        <v>7492.0</v>
      </c>
      <c r="C115" s="245" t="s">
        <v>17387</v>
      </c>
      <c r="D115" s="74">
        <v>0.85</v>
      </c>
      <c r="E115" s="74">
        <v>0.85</v>
      </c>
      <c r="F115" s="11" t="s">
        <v>1656</v>
      </c>
      <c r="G115" s="326"/>
    </row>
    <row r="116">
      <c r="A116" s="88" t="s">
        <v>17860</v>
      </c>
      <c r="B116" s="88">
        <v>7492.0</v>
      </c>
      <c r="C116" s="245" t="s">
        <v>17387</v>
      </c>
      <c r="D116" s="74">
        <v>0.85</v>
      </c>
      <c r="E116" s="74">
        <v>0.85</v>
      </c>
      <c r="F116" s="11" t="s">
        <v>1656</v>
      </c>
      <c r="G116" s="326"/>
    </row>
    <row r="117">
      <c r="A117" s="88" t="s">
        <v>17861</v>
      </c>
      <c r="B117" s="88">
        <v>7492.0</v>
      </c>
      <c r="C117" s="245" t="s">
        <v>17387</v>
      </c>
      <c r="D117" s="74">
        <v>0.85</v>
      </c>
      <c r="E117" s="74">
        <v>0.85</v>
      </c>
      <c r="F117" s="11" t="s">
        <v>1656</v>
      </c>
      <c r="G117" s="326"/>
    </row>
    <row r="118">
      <c r="A118" s="88" t="s">
        <v>17862</v>
      </c>
      <c r="B118" s="88">
        <v>7492.0</v>
      </c>
      <c r="C118" s="245" t="s">
        <v>17387</v>
      </c>
      <c r="D118" s="74">
        <v>0.85</v>
      </c>
      <c r="E118" s="74">
        <v>0.85</v>
      </c>
      <c r="F118" s="11" t="s">
        <v>1656</v>
      </c>
      <c r="G118" s="326"/>
    </row>
    <row r="119">
      <c r="A119" s="88" t="s">
        <v>17863</v>
      </c>
      <c r="B119" s="88">
        <v>7492.0</v>
      </c>
      <c r="C119" s="245" t="s">
        <v>17387</v>
      </c>
      <c r="D119" s="74">
        <v>0.85</v>
      </c>
      <c r="E119" s="74">
        <v>0.85</v>
      </c>
      <c r="F119" s="11" t="s">
        <v>1656</v>
      </c>
      <c r="G119" s="326"/>
    </row>
    <row r="120">
      <c r="A120" s="88" t="s">
        <v>17864</v>
      </c>
      <c r="B120" s="88">
        <v>7492.0</v>
      </c>
      <c r="C120" s="245" t="s">
        <v>17387</v>
      </c>
      <c r="D120" s="74">
        <v>0.85</v>
      </c>
      <c r="E120" s="74">
        <v>0.85</v>
      </c>
      <c r="F120" s="11" t="s">
        <v>1656</v>
      </c>
      <c r="G120" s="326"/>
    </row>
    <row r="121">
      <c r="A121" s="88" t="s">
        <v>17865</v>
      </c>
      <c r="B121" s="88">
        <v>7492.0</v>
      </c>
      <c r="C121" s="245" t="s">
        <v>17387</v>
      </c>
      <c r="D121" s="74">
        <v>0.85</v>
      </c>
      <c r="E121" s="74">
        <v>0.85</v>
      </c>
      <c r="F121" s="11" t="s">
        <v>1656</v>
      </c>
      <c r="G121" s="326"/>
    </row>
    <row r="122">
      <c r="A122" s="88" t="s">
        <v>17866</v>
      </c>
      <c r="B122" s="88">
        <v>7492.0</v>
      </c>
      <c r="C122" s="245" t="s">
        <v>17387</v>
      </c>
      <c r="D122" s="74">
        <v>0.85</v>
      </c>
      <c r="E122" s="74">
        <v>0.85</v>
      </c>
      <c r="F122" s="11" t="s">
        <v>1656</v>
      </c>
      <c r="G122" s="326"/>
    </row>
    <row r="123">
      <c r="A123" s="88" t="s">
        <v>17867</v>
      </c>
      <c r="B123" s="88">
        <v>7492.0</v>
      </c>
      <c r="C123" s="245" t="s">
        <v>17387</v>
      </c>
      <c r="D123" s="74">
        <v>0.85</v>
      </c>
      <c r="E123" s="74">
        <v>0.85</v>
      </c>
      <c r="F123" s="11" t="s">
        <v>1656</v>
      </c>
      <c r="G123" s="326"/>
    </row>
    <row r="124">
      <c r="A124" s="88" t="s">
        <v>17868</v>
      </c>
      <c r="B124" s="88">
        <v>7492.0</v>
      </c>
      <c r="C124" s="245" t="s">
        <v>17387</v>
      </c>
      <c r="D124" s="74">
        <v>0.85</v>
      </c>
      <c r="E124" s="74">
        <v>0.85</v>
      </c>
      <c r="F124" s="11" t="s">
        <v>1656</v>
      </c>
      <c r="G124" s="326"/>
    </row>
    <row r="125">
      <c r="A125" s="88" t="s">
        <v>17869</v>
      </c>
      <c r="B125" s="88">
        <v>7492.0</v>
      </c>
      <c r="C125" s="245" t="s">
        <v>17387</v>
      </c>
      <c r="D125" s="74">
        <v>0.85</v>
      </c>
      <c r="E125" s="74">
        <v>0.85</v>
      </c>
      <c r="F125" s="11" t="s">
        <v>1656</v>
      </c>
      <c r="G125" s="326"/>
    </row>
    <row r="126">
      <c r="A126" s="88" t="s">
        <v>17870</v>
      </c>
      <c r="B126" s="88">
        <v>7492.0</v>
      </c>
      <c r="C126" s="245" t="s">
        <v>17387</v>
      </c>
      <c r="D126" s="74">
        <v>0.85</v>
      </c>
      <c r="E126" s="74">
        <v>0.85</v>
      </c>
      <c r="F126" s="11" t="s">
        <v>1656</v>
      </c>
      <c r="G126" s="326"/>
    </row>
    <row r="127">
      <c r="A127" s="88" t="s">
        <v>17871</v>
      </c>
      <c r="B127" s="88">
        <v>7492.0</v>
      </c>
      <c r="C127" s="245" t="s">
        <v>17387</v>
      </c>
      <c r="D127" s="74">
        <v>0.85</v>
      </c>
      <c r="E127" s="74">
        <v>0.85</v>
      </c>
      <c r="F127" s="11" t="s">
        <v>1656</v>
      </c>
      <c r="G127" s="326"/>
    </row>
    <row r="128">
      <c r="A128" s="88" t="s">
        <v>17872</v>
      </c>
      <c r="B128" s="88">
        <v>7492.0</v>
      </c>
      <c r="C128" s="245" t="s">
        <v>17387</v>
      </c>
      <c r="D128" s="74">
        <v>0.85</v>
      </c>
      <c r="E128" s="74">
        <v>0.85</v>
      </c>
      <c r="F128" s="11" t="s">
        <v>1656</v>
      </c>
      <c r="G128" s="326"/>
    </row>
    <row r="129">
      <c r="A129" s="88" t="s">
        <v>17873</v>
      </c>
      <c r="B129" s="88">
        <v>7492.0</v>
      </c>
      <c r="C129" s="245" t="s">
        <v>17387</v>
      </c>
      <c r="D129" s="74">
        <v>0.85</v>
      </c>
      <c r="E129" s="74">
        <v>0.85</v>
      </c>
      <c r="F129" s="11" t="s">
        <v>1656</v>
      </c>
      <c r="G129" s="326"/>
    </row>
    <row r="130">
      <c r="A130" s="88" t="s">
        <v>17874</v>
      </c>
      <c r="B130" s="88">
        <v>7492.0</v>
      </c>
      <c r="C130" s="245" t="s">
        <v>17387</v>
      </c>
      <c r="D130" s="74">
        <v>0.85</v>
      </c>
      <c r="E130" s="74">
        <v>0.85</v>
      </c>
      <c r="F130" s="11" t="s">
        <v>1656</v>
      </c>
      <c r="G130" s="326"/>
    </row>
    <row r="131">
      <c r="A131" s="88" t="s">
        <v>17875</v>
      </c>
      <c r="B131" s="88">
        <v>7492.0</v>
      </c>
      <c r="C131" s="245" t="s">
        <v>17387</v>
      </c>
      <c r="D131" s="74">
        <v>0.85</v>
      </c>
      <c r="E131" s="74">
        <v>0.85</v>
      </c>
      <c r="F131" s="11" t="s">
        <v>1656</v>
      </c>
      <c r="G131" s="326"/>
    </row>
    <row r="132">
      <c r="A132" s="88" t="s">
        <v>17876</v>
      </c>
      <c r="B132" s="88">
        <v>7492.0</v>
      </c>
      <c r="C132" s="245" t="s">
        <v>17387</v>
      </c>
      <c r="D132" s="74">
        <v>0.85</v>
      </c>
      <c r="E132" s="74">
        <v>0.85</v>
      </c>
      <c r="F132" s="11" t="s">
        <v>1656</v>
      </c>
      <c r="G132" s="326"/>
    </row>
    <row r="133">
      <c r="A133" s="88" t="s">
        <v>17877</v>
      </c>
      <c r="B133" s="88">
        <v>7492.0</v>
      </c>
      <c r="C133" s="245" t="s">
        <v>17387</v>
      </c>
      <c r="D133" s="74">
        <v>0.85</v>
      </c>
      <c r="E133" s="74">
        <v>0.85</v>
      </c>
      <c r="F133" s="11" t="s">
        <v>1656</v>
      </c>
      <c r="G133" s="326"/>
    </row>
    <row r="134">
      <c r="A134" s="88" t="s">
        <v>17878</v>
      </c>
      <c r="B134" s="88">
        <v>7492.0</v>
      </c>
      <c r="C134" s="245" t="s">
        <v>17387</v>
      </c>
      <c r="D134" s="74">
        <v>0.85</v>
      </c>
      <c r="E134" s="74">
        <v>0.85</v>
      </c>
      <c r="F134" s="11" t="s">
        <v>1656</v>
      </c>
      <c r="G134" s="326"/>
    </row>
    <row r="135">
      <c r="A135" s="88" t="s">
        <v>17879</v>
      </c>
      <c r="B135" s="88">
        <v>7492.0</v>
      </c>
      <c r="C135" s="245" t="s">
        <v>17387</v>
      </c>
      <c r="D135" s="74">
        <v>0.85</v>
      </c>
      <c r="E135" s="74">
        <v>0.85</v>
      </c>
      <c r="F135" s="11" t="s">
        <v>1656</v>
      </c>
      <c r="G135" s="326"/>
    </row>
    <row r="136">
      <c r="A136" s="88" t="s">
        <v>17880</v>
      </c>
      <c r="B136" s="88">
        <v>7492.0</v>
      </c>
      <c r="C136" s="245" t="s">
        <v>17387</v>
      </c>
      <c r="D136" s="74">
        <v>0.85</v>
      </c>
      <c r="E136" s="74">
        <v>0.85</v>
      </c>
      <c r="F136" s="11" t="s">
        <v>1656</v>
      </c>
      <c r="G136" s="326"/>
    </row>
    <row r="137">
      <c r="A137" s="88" t="s">
        <v>17881</v>
      </c>
      <c r="B137" s="88">
        <v>7492.0</v>
      </c>
      <c r="C137" s="245" t="s">
        <v>17387</v>
      </c>
      <c r="D137" s="74">
        <v>0.85</v>
      </c>
      <c r="E137" s="74">
        <v>0.85</v>
      </c>
      <c r="F137" s="11" t="s">
        <v>1656</v>
      </c>
      <c r="G137" s="326"/>
    </row>
    <row r="138">
      <c r="A138" s="88" t="s">
        <v>17882</v>
      </c>
      <c r="B138" s="88">
        <v>7492.0</v>
      </c>
      <c r="C138" s="245" t="s">
        <v>17387</v>
      </c>
      <c r="D138" s="74">
        <v>0.85</v>
      </c>
      <c r="E138" s="74">
        <v>0.85</v>
      </c>
      <c r="F138" s="11" t="s">
        <v>1656</v>
      </c>
      <c r="G138" s="326"/>
    </row>
    <row r="139">
      <c r="A139" s="88" t="s">
        <v>17883</v>
      </c>
      <c r="B139" s="88">
        <v>7492.0</v>
      </c>
      <c r="C139" s="245" t="s">
        <v>17387</v>
      </c>
      <c r="D139" s="74">
        <v>0.85</v>
      </c>
      <c r="E139" s="74">
        <v>0.85</v>
      </c>
      <c r="F139" s="11" t="s">
        <v>1656</v>
      </c>
      <c r="G139" s="326"/>
    </row>
    <row r="140">
      <c r="A140" s="88" t="s">
        <v>17884</v>
      </c>
      <c r="B140" s="88">
        <v>7492.0</v>
      </c>
      <c r="C140" s="245" t="s">
        <v>17387</v>
      </c>
      <c r="D140" s="74">
        <v>0.85</v>
      </c>
      <c r="E140" s="74">
        <v>0.85</v>
      </c>
      <c r="F140" s="11" t="s">
        <v>1656</v>
      </c>
      <c r="G140" s="326"/>
    </row>
    <row r="141">
      <c r="A141" s="88" t="s">
        <v>17885</v>
      </c>
      <c r="B141" s="88">
        <v>7492.0</v>
      </c>
      <c r="C141" s="245" t="s">
        <v>17387</v>
      </c>
      <c r="D141" s="74">
        <v>0.85</v>
      </c>
      <c r="E141" s="74">
        <v>0.85</v>
      </c>
      <c r="F141" s="11" t="s">
        <v>1656</v>
      </c>
      <c r="G141" s="326"/>
    </row>
    <row r="142">
      <c r="A142" s="88" t="s">
        <v>17886</v>
      </c>
      <c r="B142" s="88"/>
      <c r="C142" s="245" t="s">
        <v>17387</v>
      </c>
      <c r="D142" s="74">
        <v>0.8</v>
      </c>
      <c r="E142" s="74">
        <v>0.8</v>
      </c>
      <c r="F142" s="11" t="s">
        <v>1656</v>
      </c>
      <c r="G142" s="326"/>
    </row>
    <row r="143">
      <c r="A143" s="88" t="s">
        <v>17887</v>
      </c>
      <c r="B143" s="88"/>
      <c r="C143" s="245" t="s">
        <v>17387</v>
      </c>
      <c r="D143" s="74">
        <v>0.8</v>
      </c>
      <c r="E143" s="74">
        <v>0.8</v>
      </c>
      <c r="F143" s="11" t="s">
        <v>1656</v>
      </c>
      <c r="G143" s="326"/>
    </row>
    <row r="144">
      <c r="A144" s="88" t="s">
        <v>17888</v>
      </c>
      <c r="B144" s="88"/>
      <c r="C144" s="245" t="s">
        <v>17387</v>
      </c>
      <c r="D144" s="74">
        <v>0.8</v>
      </c>
      <c r="E144" s="74">
        <v>0.8</v>
      </c>
      <c r="F144" s="11" t="s">
        <v>1656</v>
      </c>
      <c r="G144" s="326"/>
    </row>
    <row r="145">
      <c r="A145" s="88" t="s">
        <v>17889</v>
      </c>
      <c r="B145" s="88">
        <v>11049.0</v>
      </c>
      <c r="C145" s="245" t="s">
        <v>17387</v>
      </c>
      <c r="D145" s="74">
        <v>0.85</v>
      </c>
      <c r="E145" s="74">
        <v>0.85</v>
      </c>
      <c r="F145" s="11" t="s">
        <v>1656</v>
      </c>
      <c r="G145" s="326"/>
    </row>
    <row r="146">
      <c r="A146" s="88" t="s">
        <v>17890</v>
      </c>
      <c r="B146" s="88">
        <v>11049.0</v>
      </c>
      <c r="C146" s="245" t="s">
        <v>17387</v>
      </c>
      <c r="D146" s="74">
        <v>0.85</v>
      </c>
      <c r="E146" s="74">
        <v>0.85</v>
      </c>
      <c r="F146" s="11" t="s">
        <v>1656</v>
      </c>
      <c r="G146" s="326"/>
    </row>
    <row r="147">
      <c r="A147" s="88" t="s">
        <v>17891</v>
      </c>
      <c r="B147" s="88">
        <v>6729.0</v>
      </c>
      <c r="C147" s="245" t="s">
        <v>17387</v>
      </c>
      <c r="D147" s="74">
        <v>0.85</v>
      </c>
      <c r="E147" s="74">
        <v>0.85</v>
      </c>
      <c r="F147" s="11" t="s">
        <v>1656</v>
      </c>
      <c r="G147" s="326"/>
    </row>
    <row r="148">
      <c r="A148" s="88" t="s">
        <v>17892</v>
      </c>
      <c r="B148" s="88"/>
      <c r="C148" s="245" t="s">
        <v>17387</v>
      </c>
      <c r="D148" s="74">
        <v>0.8</v>
      </c>
      <c r="E148" s="74">
        <v>0.8</v>
      </c>
      <c r="F148" s="11" t="s">
        <v>1656</v>
      </c>
      <c r="G148" s="326"/>
    </row>
    <row r="149">
      <c r="A149" s="88" t="s">
        <v>17893</v>
      </c>
      <c r="B149" s="88"/>
      <c r="C149" s="245" t="s">
        <v>17387</v>
      </c>
      <c r="D149" s="74">
        <v>0.8</v>
      </c>
      <c r="E149" s="74">
        <v>0.8</v>
      </c>
      <c r="F149" s="11" t="s">
        <v>1656</v>
      </c>
      <c r="G149" s="326"/>
    </row>
    <row r="150">
      <c r="A150" s="88" t="s">
        <v>17894</v>
      </c>
      <c r="B150" s="88">
        <v>889.0</v>
      </c>
      <c r="C150" s="245" t="s">
        <v>17387</v>
      </c>
      <c r="D150" s="74">
        <v>0.8</v>
      </c>
      <c r="E150" s="74">
        <v>0.8</v>
      </c>
      <c r="F150" s="11" t="s">
        <v>1656</v>
      </c>
      <c r="G150" s="326"/>
    </row>
    <row r="151">
      <c r="A151" s="88" t="s">
        <v>17895</v>
      </c>
      <c r="B151" s="88">
        <v>12932.0</v>
      </c>
      <c r="C151" s="245" t="s">
        <v>17387</v>
      </c>
      <c r="D151" s="74">
        <v>0.8</v>
      </c>
      <c r="E151" s="74">
        <v>0.8</v>
      </c>
      <c r="F151" s="11" t="s">
        <v>1656</v>
      </c>
      <c r="G151" s="326"/>
    </row>
    <row r="152">
      <c r="A152" s="88" t="s">
        <v>17896</v>
      </c>
      <c r="B152" s="88"/>
      <c r="C152" s="245" t="s">
        <v>17387</v>
      </c>
      <c r="D152" s="74">
        <v>0.8</v>
      </c>
      <c r="E152" s="74">
        <v>0.8</v>
      </c>
      <c r="F152" s="11" t="s">
        <v>1656</v>
      </c>
      <c r="G152" s="326"/>
    </row>
    <row r="153">
      <c r="A153" s="88" t="s">
        <v>17897</v>
      </c>
      <c r="B153" s="88"/>
      <c r="C153" s="245" t="s">
        <v>17387</v>
      </c>
      <c r="D153" s="74">
        <v>0.8</v>
      </c>
      <c r="E153" s="74">
        <v>0.8</v>
      </c>
      <c r="F153" s="11" t="s">
        <v>1656</v>
      </c>
      <c r="G153" s="326"/>
    </row>
    <row r="154">
      <c r="A154" s="88" t="s">
        <v>17898</v>
      </c>
      <c r="B154" s="88"/>
      <c r="C154" s="245" t="s">
        <v>17387</v>
      </c>
      <c r="D154" s="74">
        <v>0.8</v>
      </c>
      <c r="E154" s="74">
        <v>0.8</v>
      </c>
      <c r="F154" s="11" t="s">
        <v>1656</v>
      </c>
      <c r="G154" s="326"/>
    </row>
    <row r="155">
      <c r="A155" s="88" t="s">
        <v>17899</v>
      </c>
      <c r="B155" s="88"/>
      <c r="C155" s="245" t="s">
        <v>17387</v>
      </c>
      <c r="D155" s="74">
        <v>0.8</v>
      </c>
      <c r="E155" s="74">
        <v>0.8</v>
      </c>
      <c r="F155" s="11" t="s">
        <v>1656</v>
      </c>
      <c r="G155" s="326"/>
    </row>
    <row r="156">
      <c r="A156" s="88" t="s">
        <v>17900</v>
      </c>
      <c r="B156" s="88">
        <v>6697.0</v>
      </c>
      <c r="C156" s="245" t="s">
        <v>17387</v>
      </c>
      <c r="D156" s="74">
        <v>0.8</v>
      </c>
      <c r="E156" s="74">
        <v>0.8</v>
      </c>
      <c r="F156" s="11" t="s">
        <v>1656</v>
      </c>
      <c r="G156" s="326"/>
    </row>
    <row r="157">
      <c r="A157" s="88" t="s">
        <v>17901</v>
      </c>
      <c r="B157" s="11">
        <v>7031.0</v>
      </c>
      <c r="C157" s="245" t="s">
        <v>17387</v>
      </c>
      <c r="D157" s="74">
        <v>0.8</v>
      </c>
      <c r="E157" s="74">
        <v>0.8</v>
      </c>
      <c r="F157" s="11" t="s">
        <v>1656</v>
      </c>
      <c r="G157" s="326"/>
    </row>
    <row r="158">
      <c r="A158" s="88" t="s">
        <v>17902</v>
      </c>
      <c r="B158" s="88">
        <v>7023.0</v>
      </c>
      <c r="C158" s="245" t="s">
        <v>17387</v>
      </c>
      <c r="D158" s="74">
        <v>0.8</v>
      </c>
      <c r="E158" s="74">
        <v>0.8</v>
      </c>
      <c r="F158" s="11" t="s">
        <v>1656</v>
      </c>
      <c r="G158" s="326"/>
    </row>
    <row r="159">
      <c r="A159" s="88" t="s">
        <v>17903</v>
      </c>
      <c r="B159" s="88">
        <v>7040.0</v>
      </c>
      <c r="C159" s="245" t="s">
        <v>17387</v>
      </c>
      <c r="D159" s="74">
        <v>0.8</v>
      </c>
      <c r="E159" s="74">
        <v>0.8</v>
      </c>
      <c r="F159" s="11" t="s">
        <v>1656</v>
      </c>
      <c r="G159" s="326"/>
    </row>
    <row r="160">
      <c r="A160" s="88" t="s">
        <v>17904</v>
      </c>
      <c r="B160" s="88"/>
      <c r="C160" s="245" t="s">
        <v>17387</v>
      </c>
      <c r="D160" s="74">
        <v>0.8</v>
      </c>
      <c r="E160" s="74">
        <v>0.8</v>
      </c>
      <c r="F160" s="11" t="s">
        <v>1656</v>
      </c>
      <c r="G160" s="326"/>
    </row>
    <row r="161">
      <c r="A161" s="88" t="s">
        <v>17905</v>
      </c>
      <c r="B161" s="88">
        <v>13858.0</v>
      </c>
      <c r="C161" s="245" t="s">
        <v>17387</v>
      </c>
      <c r="D161" s="74">
        <v>0.8</v>
      </c>
      <c r="E161" s="74">
        <v>0.8</v>
      </c>
      <c r="F161" s="11" t="s">
        <v>1656</v>
      </c>
      <c r="G161" s="326"/>
    </row>
    <row r="162">
      <c r="A162" s="88" t="s">
        <v>17906</v>
      </c>
      <c r="B162" s="88">
        <v>14298.0</v>
      </c>
      <c r="C162" s="245" t="s">
        <v>17387</v>
      </c>
      <c r="D162" s="74">
        <v>0.8</v>
      </c>
      <c r="E162" s="74">
        <v>0.8</v>
      </c>
      <c r="F162" s="11" t="s">
        <v>1656</v>
      </c>
      <c r="G162" s="326"/>
    </row>
    <row r="163">
      <c r="A163" s="88" t="s">
        <v>17907</v>
      </c>
      <c r="B163" s="88"/>
      <c r="C163" s="245" t="s">
        <v>17387</v>
      </c>
      <c r="D163" s="74">
        <v>0.8</v>
      </c>
      <c r="E163" s="74">
        <v>0.8</v>
      </c>
      <c r="F163" s="11" t="s">
        <v>1656</v>
      </c>
      <c r="G163" s="326"/>
    </row>
    <row r="164">
      <c r="A164" s="88" t="s">
        <v>17908</v>
      </c>
      <c r="B164" s="88"/>
      <c r="C164" s="245" t="s">
        <v>17387</v>
      </c>
      <c r="D164" s="74">
        <v>0.8</v>
      </c>
      <c r="E164" s="74">
        <v>0.8</v>
      </c>
      <c r="F164" s="11" t="s">
        <v>1656</v>
      </c>
      <c r="G164" s="326"/>
    </row>
    <row r="165">
      <c r="A165" s="88" t="s">
        <v>17909</v>
      </c>
      <c r="B165" s="88">
        <v>12388.0</v>
      </c>
      <c r="C165" s="245" t="s">
        <v>17387</v>
      </c>
      <c r="D165" s="74">
        <v>0.8</v>
      </c>
      <c r="E165" s="74">
        <v>0.8</v>
      </c>
      <c r="F165" s="11" t="s">
        <v>1656</v>
      </c>
      <c r="G165" s="326"/>
    </row>
    <row r="166">
      <c r="A166" s="88" t="s">
        <v>17910</v>
      </c>
      <c r="B166" s="88">
        <v>11875.0</v>
      </c>
      <c r="C166" s="245" t="s">
        <v>17387</v>
      </c>
      <c r="D166" s="74">
        <v>0.8</v>
      </c>
      <c r="E166" s="74">
        <v>0.8</v>
      </c>
      <c r="F166" s="11" t="s">
        <v>1656</v>
      </c>
      <c r="G166" s="326"/>
    </row>
    <row r="167">
      <c r="A167" s="88" t="s">
        <v>17911</v>
      </c>
      <c r="B167" s="88"/>
      <c r="C167" s="245" t="s">
        <v>17387</v>
      </c>
      <c r="D167" s="74">
        <v>0.8</v>
      </c>
      <c r="E167" s="74">
        <v>0.8</v>
      </c>
      <c r="F167" s="11" t="s">
        <v>1656</v>
      </c>
      <c r="G167" s="326"/>
    </row>
    <row r="168">
      <c r="A168" s="88" t="s">
        <v>17912</v>
      </c>
      <c r="B168" s="88">
        <v>7229.0</v>
      </c>
      <c r="C168" s="245" t="s">
        <v>17387</v>
      </c>
      <c r="D168" s="74">
        <v>0.8</v>
      </c>
      <c r="E168" s="74">
        <v>0.8</v>
      </c>
      <c r="F168" s="11" t="s">
        <v>1656</v>
      </c>
      <c r="G168" s="326"/>
    </row>
    <row r="169">
      <c r="A169" s="88" t="s">
        <v>17913</v>
      </c>
      <c r="B169" s="88">
        <v>7083.0</v>
      </c>
      <c r="C169" s="245" t="s">
        <v>17387</v>
      </c>
      <c r="D169" s="74">
        <v>0.8</v>
      </c>
      <c r="E169" s="74">
        <v>0.8</v>
      </c>
      <c r="F169" s="11" t="s">
        <v>1656</v>
      </c>
      <c r="G169" s="326"/>
    </row>
    <row r="170">
      <c r="A170" s="88" t="s">
        <v>17914</v>
      </c>
      <c r="B170" s="88">
        <v>6831.0</v>
      </c>
      <c r="C170" s="245" t="s">
        <v>17387</v>
      </c>
      <c r="D170" s="74">
        <v>0.8</v>
      </c>
      <c r="E170" s="74">
        <v>0.8</v>
      </c>
      <c r="F170" s="11" t="s">
        <v>1656</v>
      </c>
      <c r="G170" s="326"/>
    </row>
    <row r="171">
      <c r="A171" s="88" t="s">
        <v>17915</v>
      </c>
      <c r="B171" s="88">
        <v>6272.0</v>
      </c>
      <c r="C171" s="245" t="s">
        <v>17387</v>
      </c>
      <c r="D171" s="74">
        <v>0.8</v>
      </c>
      <c r="E171" s="74">
        <v>0.8</v>
      </c>
      <c r="F171" s="11" t="s">
        <v>1656</v>
      </c>
      <c r="G171" s="326"/>
    </row>
    <row r="172">
      <c r="A172" s="88" t="s">
        <v>17916</v>
      </c>
      <c r="B172" s="88"/>
      <c r="C172" s="245" t="s">
        <v>17387</v>
      </c>
      <c r="D172" s="74">
        <v>0.8</v>
      </c>
      <c r="E172" s="74">
        <v>0.8</v>
      </c>
      <c r="F172" s="11" t="s">
        <v>1656</v>
      </c>
      <c r="G172" s="326"/>
    </row>
    <row r="173">
      <c r="A173" s="88" t="s">
        <v>17917</v>
      </c>
      <c r="B173" s="88"/>
      <c r="C173" s="245" t="s">
        <v>17387</v>
      </c>
      <c r="D173" s="74">
        <v>0.8</v>
      </c>
      <c r="E173" s="74">
        <v>0.8</v>
      </c>
      <c r="F173" s="11" t="s">
        <v>1656</v>
      </c>
      <c r="G173" s="326"/>
    </row>
    <row r="174">
      <c r="A174" s="88" t="s">
        <v>17918</v>
      </c>
      <c r="B174" s="88">
        <v>5125.0</v>
      </c>
      <c r="C174" s="245" t="s">
        <v>17387</v>
      </c>
      <c r="D174" s="74">
        <v>0.8</v>
      </c>
      <c r="E174" s="74">
        <v>0.8</v>
      </c>
      <c r="F174" s="11" t="s">
        <v>1656</v>
      </c>
      <c r="G174" s="326"/>
    </row>
    <row r="175">
      <c r="A175" s="88" t="s">
        <v>17919</v>
      </c>
      <c r="B175" s="88">
        <v>12553.0</v>
      </c>
      <c r="C175" s="245" t="s">
        <v>17387</v>
      </c>
      <c r="D175" s="74">
        <v>0.8</v>
      </c>
      <c r="E175" s="74">
        <v>0.8</v>
      </c>
      <c r="F175" s="11" t="s">
        <v>1656</v>
      </c>
      <c r="G175" s="326"/>
    </row>
    <row r="176">
      <c r="A176" s="88" t="s">
        <v>17920</v>
      </c>
      <c r="B176" s="88">
        <v>189.0</v>
      </c>
      <c r="C176" s="245" t="s">
        <v>17387</v>
      </c>
      <c r="D176" s="74">
        <v>0.85</v>
      </c>
      <c r="E176" s="74">
        <v>0.85</v>
      </c>
      <c r="F176" s="11" t="s">
        <v>1656</v>
      </c>
      <c r="G176" s="326"/>
    </row>
    <row r="177">
      <c r="A177" s="88" t="s">
        <v>17921</v>
      </c>
      <c r="B177" s="88">
        <v>189.0</v>
      </c>
      <c r="C177" s="245" t="s">
        <v>17387</v>
      </c>
      <c r="D177" s="74">
        <v>0.85</v>
      </c>
      <c r="E177" s="74">
        <v>0.85</v>
      </c>
      <c r="F177" s="11" t="s">
        <v>1656</v>
      </c>
      <c r="G177" s="326"/>
    </row>
    <row r="178">
      <c r="A178" s="88" t="s">
        <v>17922</v>
      </c>
      <c r="B178" s="88">
        <v>2205.0</v>
      </c>
      <c r="C178" s="245" t="s">
        <v>17387</v>
      </c>
      <c r="D178" s="74">
        <v>0.8</v>
      </c>
      <c r="E178" s="74">
        <v>0.8</v>
      </c>
      <c r="F178" s="11" t="s">
        <v>1656</v>
      </c>
      <c r="G178" s="326"/>
    </row>
    <row r="179">
      <c r="A179" s="88" t="s">
        <v>17923</v>
      </c>
      <c r="B179" s="88">
        <v>6873.0</v>
      </c>
      <c r="C179" s="245" t="s">
        <v>17387</v>
      </c>
      <c r="D179" s="74">
        <v>0.8</v>
      </c>
      <c r="E179" s="74">
        <v>0.8</v>
      </c>
      <c r="F179" s="11" t="s">
        <v>1656</v>
      </c>
      <c r="G179" s="326"/>
    </row>
    <row r="180">
      <c r="A180" s="88" t="s">
        <v>17924</v>
      </c>
      <c r="B180" s="88">
        <v>7142.0</v>
      </c>
      <c r="C180" s="245" t="s">
        <v>17387</v>
      </c>
      <c r="D180" s="74">
        <v>0.8</v>
      </c>
      <c r="E180" s="74">
        <v>0.8</v>
      </c>
      <c r="F180" s="11" t="s">
        <v>1656</v>
      </c>
      <c r="G180" s="326"/>
    </row>
    <row r="181">
      <c r="A181" s="88" t="s">
        <v>17925</v>
      </c>
      <c r="B181" s="88">
        <v>7010.0</v>
      </c>
      <c r="C181" s="245" t="s">
        <v>17387</v>
      </c>
      <c r="D181" s="74">
        <v>0.85</v>
      </c>
      <c r="E181" s="74">
        <v>0.85</v>
      </c>
      <c r="F181" s="11" t="s">
        <v>1656</v>
      </c>
      <c r="G181" s="326"/>
    </row>
    <row r="182">
      <c r="A182" s="88" t="s">
        <v>17926</v>
      </c>
      <c r="B182" s="88">
        <v>7010.0</v>
      </c>
      <c r="C182" s="245" t="s">
        <v>17387</v>
      </c>
      <c r="D182" s="74">
        <v>0.85</v>
      </c>
      <c r="E182" s="74">
        <v>0.85</v>
      </c>
      <c r="F182" s="11" t="s">
        <v>1656</v>
      </c>
      <c r="G182" s="326"/>
    </row>
    <row r="183">
      <c r="A183" s="88" t="s">
        <v>17927</v>
      </c>
      <c r="B183" s="88"/>
      <c r="C183" s="245" t="s">
        <v>17387</v>
      </c>
      <c r="D183" s="74">
        <v>0.8</v>
      </c>
      <c r="E183" s="74">
        <v>0.8</v>
      </c>
      <c r="F183" s="11" t="s">
        <v>1656</v>
      </c>
      <c r="G183" s="326"/>
    </row>
    <row r="184">
      <c r="A184" s="88" t="s">
        <v>1798</v>
      </c>
      <c r="B184" s="88">
        <v>8486.0</v>
      </c>
      <c r="C184" s="245" t="s">
        <v>17387</v>
      </c>
      <c r="D184" s="74">
        <v>0.9</v>
      </c>
      <c r="E184" s="74">
        <v>0.9</v>
      </c>
      <c r="F184" s="11" t="s">
        <v>1656</v>
      </c>
      <c r="G184" s="326"/>
    </row>
    <row r="185">
      <c r="A185" s="88" t="s">
        <v>1800</v>
      </c>
      <c r="B185" s="88">
        <v>8486.0</v>
      </c>
      <c r="C185" s="245" t="s">
        <v>17387</v>
      </c>
      <c r="D185" s="74">
        <v>0.9</v>
      </c>
      <c r="E185" s="74">
        <v>0.9</v>
      </c>
      <c r="F185" s="11" t="s">
        <v>1656</v>
      </c>
      <c r="G185" s="326"/>
    </row>
    <row r="186">
      <c r="A186" s="88" t="s">
        <v>1788</v>
      </c>
      <c r="B186" s="88">
        <v>7040.0</v>
      </c>
      <c r="C186" s="245" t="s">
        <v>17387</v>
      </c>
      <c r="D186" s="74">
        <v>0.8</v>
      </c>
      <c r="E186" s="74">
        <v>0.8</v>
      </c>
      <c r="F186" s="11" t="s">
        <v>1656</v>
      </c>
      <c r="G186" s="326"/>
    </row>
    <row r="187">
      <c r="A187" s="88" t="s">
        <v>1803</v>
      </c>
      <c r="B187" s="88">
        <v>6706.0</v>
      </c>
      <c r="C187" s="245" t="s">
        <v>17387</v>
      </c>
      <c r="D187" s="74">
        <v>0.8</v>
      </c>
      <c r="E187" s="74">
        <v>0.8</v>
      </c>
      <c r="F187" s="11" t="s">
        <v>1656</v>
      </c>
      <c r="G187" s="326"/>
    </row>
    <row r="188">
      <c r="A188" s="88" t="s">
        <v>1805</v>
      </c>
      <c r="B188" s="88">
        <v>6924.0</v>
      </c>
      <c r="C188" s="245" t="s">
        <v>17387</v>
      </c>
      <c r="D188" s="74">
        <v>0.85</v>
      </c>
      <c r="E188" s="74">
        <v>0.85</v>
      </c>
      <c r="F188" s="11" t="s">
        <v>1656</v>
      </c>
      <c r="G188" s="326"/>
    </row>
    <row r="189">
      <c r="A189" s="88" t="s">
        <v>1789</v>
      </c>
      <c r="B189" s="88">
        <v>6728.0</v>
      </c>
      <c r="C189" s="245" t="s">
        <v>17387</v>
      </c>
      <c r="D189" s="74">
        <v>0.85</v>
      </c>
      <c r="E189" s="74">
        <v>0.85</v>
      </c>
      <c r="F189" s="11" t="s">
        <v>1656</v>
      </c>
      <c r="G189" s="326"/>
    </row>
    <row r="190">
      <c r="A190" s="88" t="s">
        <v>1791</v>
      </c>
      <c r="B190" s="88">
        <v>4431.0</v>
      </c>
      <c r="C190" s="245" t="s">
        <v>17387</v>
      </c>
      <c r="D190" s="74">
        <v>0.8</v>
      </c>
      <c r="E190" s="74">
        <v>0.8</v>
      </c>
      <c r="F190" s="11" t="s">
        <v>1656</v>
      </c>
      <c r="G190" s="326"/>
    </row>
    <row r="191">
      <c r="A191" s="88" t="s">
        <v>1792</v>
      </c>
      <c r="B191" s="88">
        <v>11049.0</v>
      </c>
      <c r="C191" s="245" t="s">
        <v>17387</v>
      </c>
      <c r="D191" s="74">
        <v>0.85</v>
      </c>
      <c r="E191" s="74">
        <v>0.85</v>
      </c>
      <c r="F191" s="11" t="s">
        <v>1656</v>
      </c>
      <c r="G191" s="326"/>
    </row>
    <row r="192">
      <c r="A192" s="88" t="s">
        <v>1811</v>
      </c>
      <c r="B192" s="88">
        <v>11049.0</v>
      </c>
      <c r="C192" s="245" t="s">
        <v>17387</v>
      </c>
      <c r="D192" s="74">
        <v>0.85</v>
      </c>
      <c r="E192" s="74">
        <v>0.85</v>
      </c>
      <c r="F192" s="11" t="s">
        <v>1656</v>
      </c>
      <c r="G192" s="326"/>
    </row>
    <row r="193">
      <c r="A193" s="88" t="s">
        <v>1793</v>
      </c>
      <c r="B193" s="11">
        <v>14727.0</v>
      </c>
      <c r="C193" s="245" t="s">
        <v>17387</v>
      </c>
      <c r="D193" s="74">
        <v>0.8</v>
      </c>
      <c r="E193" s="74">
        <v>0.8</v>
      </c>
      <c r="F193" s="11" t="s">
        <v>1656</v>
      </c>
      <c r="G193" s="326"/>
    </row>
    <row r="194">
      <c r="A194" s="88" t="s">
        <v>1794</v>
      </c>
      <c r="B194" s="88">
        <v>11049.0</v>
      </c>
      <c r="C194" s="245" t="s">
        <v>17387</v>
      </c>
      <c r="D194" s="74">
        <v>0.85</v>
      </c>
      <c r="E194" s="74">
        <v>0.85</v>
      </c>
      <c r="F194" s="11" t="s">
        <v>1656</v>
      </c>
      <c r="G194" s="326"/>
    </row>
    <row r="195">
      <c r="A195" s="88" t="s">
        <v>1795</v>
      </c>
      <c r="B195" s="88">
        <v>11049.0</v>
      </c>
      <c r="C195" s="245" t="s">
        <v>17387</v>
      </c>
      <c r="D195" s="74">
        <v>0.85</v>
      </c>
      <c r="E195" s="74">
        <v>0.85</v>
      </c>
      <c r="F195" s="11" t="s">
        <v>1656</v>
      </c>
      <c r="G195" s="326"/>
    </row>
    <row r="196">
      <c r="A196" s="88" t="s">
        <v>1797</v>
      </c>
      <c r="B196" s="88">
        <v>11049.0</v>
      </c>
      <c r="C196" s="245" t="s">
        <v>17387</v>
      </c>
      <c r="D196" s="74">
        <v>0.85</v>
      </c>
      <c r="E196" s="74">
        <v>0.85</v>
      </c>
      <c r="F196" s="11" t="s">
        <v>1656</v>
      </c>
      <c r="G196" s="326"/>
    </row>
    <row r="197">
      <c r="A197" s="88" t="s">
        <v>1799</v>
      </c>
      <c r="B197" s="88">
        <v>6706.0</v>
      </c>
      <c r="C197" s="245" t="s">
        <v>17387</v>
      </c>
      <c r="D197" s="74">
        <v>0.8</v>
      </c>
      <c r="E197" s="74">
        <v>0.8</v>
      </c>
      <c r="F197" s="11" t="s">
        <v>1656</v>
      </c>
      <c r="G197" s="326"/>
    </row>
    <row r="198">
      <c r="A198" s="88" t="s">
        <v>1801</v>
      </c>
      <c r="B198" s="88">
        <v>663.0</v>
      </c>
      <c r="C198" s="245" t="s">
        <v>17387</v>
      </c>
      <c r="D198" s="74">
        <v>0.9</v>
      </c>
      <c r="E198" s="74">
        <v>0.9</v>
      </c>
      <c r="F198" s="11" t="s">
        <v>1656</v>
      </c>
      <c r="G198" s="326"/>
    </row>
    <row r="199">
      <c r="A199" s="88" t="s">
        <v>1802</v>
      </c>
      <c r="B199" s="88">
        <v>663.0</v>
      </c>
      <c r="C199" s="245" t="s">
        <v>17387</v>
      </c>
      <c r="D199" s="74">
        <v>0.9</v>
      </c>
      <c r="E199" s="74">
        <v>0.9</v>
      </c>
      <c r="F199" s="11" t="s">
        <v>1656</v>
      </c>
      <c r="G199" s="326"/>
    </row>
    <row r="200">
      <c r="A200" s="88" t="s">
        <v>1804</v>
      </c>
      <c r="B200" s="88">
        <v>663.0</v>
      </c>
      <c r="C200" s="245" t="s">
        <v>17387</v>
      </c>
      <c r="D200" s="74">
        <v>0.9</v>
      </c>
      <c r="E200" s="74">
        <v>0.9</v>
      </c>
      <c r="F200" s="11" t="s">
        <v>1656</v>
      </c>
      <c r="G200" s="326"/>
    </row>
    <row r="201">
      <c r="A201" s="88" t="s">
        <v>1806</v>
      </c>
      <c r="B201" s="88">
        <v>663.0</v>
      </c>
      <c r="C201" s="245" t="s">
        <v>17387</v>
      </c>
      <c r="D201" s="74">
        <v>0.9</v>
      </c>
      <c r="E201" s="74">
        <v>0.9</v>
      </c>
      <c r="F201" s="11" t="s">
        <v>1656</v>
      </c>
    </row>
    <row r="202">
      <c r="A202" s="88" t="s">
        <v>1807</v>
      </c>
      <c r="B202" s="88">
        <v>663.0</v>
      </c>
      <c r="C202" s="245" t="s">
        <v>17387</v>
      </c>
      <c r="D202" s="74">
        <v>0.9</v>
      </c>
      <c r="E202" s="74">
        <v>0.9</v>
      </c>
      <c r="F202" s="11" t="s">
        <v>1656</v>
      </c>
    </row>
    <row r="203">
      <c r="A203" s="88" t="s">
        <v>4621</v>
      </c>
      <c r="B203" s="88">
        <v>663.0</v>
      </c>
      <c r="C203" s="245" t="s">
        <v>17387</v>
      </c>
      <c r="D203" s="74">
        <v>0.9</v>
      </c>
      <c r="E203" s="74">
        <v>0.9</v>
      </c>
      <c r="F203" s="11" t="s">
        <v>1656</v>
      </c>
    </row>
    <row r="204">
      <c r="A204" s="88" t="s">
        <v>4622</v>
      </c>
      <c r="B204" s="88">
        <v>2345.0</v>
      </c>
      <c r="C204" s="245" t="s">
        <v>17387</v>
      </c>
      <c r="D204" s="74">
        <v>0.9</v>
      </c>
      <c r="E204" s="74">
        <v>0.9</v>
      </c>
      <c r="F204" s="11" t="s">
        <v>1656</v>
      </c>
    </row>
    <row r="205">
      <c r="A205" s="88" t="s">
        <v>4623</v>
      </c>
      <c r="B205" s="88">
        <v>2345.0</v>
      </c>
      <c r="C205" s="245" t="s">
        <v>17387</v>
      </c>
      <c r="D205" s="74">
        <v>0.9</v>
      </c>
      <c r="E205" s="74">
        <v>0.9</v>
      </c>
      <c r="F205" s="11" t="s">
        <v>1656</v>
      </c>
    </row>
    <row r="206">
      <c r="A206" s="88" t="s">
        <v>4624</v>
      </c>
      <c r="B206" s="88">
        <v>2345.0</v>
      </c>
      <c r="C206" s="245" t="s">
        <v>17387</v>
      </c>
      <c r="D206" s="74">
        <v>0.9</v>
      </c>
      <c r="E206" s="74">
        <v>0.9</v>
      </c>
      <c r="F206" s="11" t="s">
        <v>1656</v>
      </c>
    </row>
    <row r="207">
      <c r="A207" s="88" t="s">
        <v>4625</v>
      </c>
      <c r="B207" s="88">
        <v>2345.0</v>
      </c>
      <c r="C207" s="245" t="s">
        <v>17387</v>
      </c>
      <c r="D207" s="74">
        <v>0.9</v>
      </c>
      <c r="E207" s="74">
        <v>0.9</v>
      </c>
      <c r="F207" s="11" t="s">
        <v>1656</v>
      </c>
    </row>
    <row r="208">
      <c r="A208" s="88" t="s">
        <v>15335</v>
      </c>
      <c r="B208" s="88">
        <v>2345.0</v>
      </c>
      <c r="C208" s="245" t="s">
        <v>17387</v>
      </c>
      <c r="D208" s="74">
        <v>0.9</v>
      </c>
      <c r="E208" s="74">
        <v>0.9</v>
      </c>
      <c r="F208" s="11" t="s">
        <v>1656</v>
      </c>
    </row>
    <row r="209">
      <c r="A209" s="88" t="s">
        <v>15336</v>
      </c>
      <c r="B209" s="88">
        <v>2345.0</v>
      </c>
      <c r="C209" s="245" t="s">
        <v>17387</v>
      </c>
      <c r="D209" s="74">
        <v>0.9</v>
      </c>
      <c r="E209" s="74">
        <v>0.9</v>
      </c>
      <c r="F209" s="11" t="s">
        <v>1656</v>
      </c>
    </row>
    <row r="210">
      <c r="A210" s="88" t="s">
        <v>15337</v>
      </c>
      <c r="B210" s="88">
        <v>14594.0</v>
      </c>
      <c r="C210" s="245" t="s">
        <v>17387</v>
      </c>
      <c r="D210" s="74">
        <v>0.8</v>
      </c>
      <c r="E210" s="74">
        <v>0.8</v>
      </c>
      <c r="F210" s="11" t="s">
        <v>1656</v>
      </c>
    </row>
    <row r="211">
      <c r="A211" s="88" t="s">
        <v>15338</v>
      </c>
      <c r="B211" s="88">
        <v>9645.0</v>
      </c>
      <c r="C211" s="245" t="s">
        <v>17387</v>
      </c>
      <c r="D211" s="74">
        <v>0.8</v>
      </c>
      <c r="E211" s="74">
        <v>0.8</v>
      </c>
      <c r="F211" s="11" t="s">
        <v>1656</v>
      </c>
    </row>
    <row r="212">
      <c r="A212" s="88" t="s">
        <v>15339</v>
      </c>
      <c r="B212" s="88">
        <v>11049.0</v>
      </c>
      <c r="C212" s="245" t="s">
        <v>17387</v>
      </c>
      <c r="D212" s="74">
        <v>0.85</v>
      </c>
      <c r="E212" s="74">
        <v>0.85</v>
      </c>
      <c r="F212" s="11" t="s">
        <v>1656</v>
      </c>
    </row>
    <row r="213">
      <c r="A213" s="88" t="s">
        <v>15340</v>
      </c>
      <c r="B213" s="88">
        <v>11049.0</v>
      </c>
      <c r="C213" s="245" t="s">
        <v>17387</v>
      </c>
      <c r="D213" s="74">
        <v>0.85</v>
      </c>
      <c r="E213" s="74">
        <v>0.85</v>
      </c>
      <c r="F213" s="11" t="s">
        <v>1656</v>
      </c>
    </row>
    <row r="214">
      <c r="A214" s="88" t="s">
        <v>15341</v>
      </c>
      <c r="B214" s="88">
        <v>467.0</v>
      </c>
      <c r="C214" s="245" t="s">
        <v>17387</v>
      </c>
      <c r="D214" s="74">
        <v>0.8</v>
      </c>
      <c r="E214" s="74">
        <v>0.8</v>
      </c>
      <c r="F214" s="11" t="s">
        <v>1656</v>
      </c>
    </row>
    <row r="215">
      <c r="A215" s="88" t="s">
        <v>15342</v>
      </c>
      <c r="B215" s="88">
        <v>11049.0</v>
      </c>
      <c r="C215" s="245" t="s">
        <v>17387</v>
      </c>
      <c r="D215" s="74">
        <v>0.85</v>
      </c>
      <c r="E215" s="74">
        <v>0.85</v>
      </c>
      <c r="F215" s="11" t="s">
        <v>1656</v>
      </c>
    </row>
    <row r="216">
      <c r="A216" s="88" t="s">
        <v>15343</v>
      </c>
      <c r="B216" s="88">
        <v>11049.0</v>
      </c>
      <c r="C216" s="245" t="s">
        <v>17387</v>
      </c>
      <c r="D216" s="74">
        <v>0.85</v>
      </c>
      <c r="E216" s="74">
        <v>0.85</v>
      </c>
      <c r="F216" s="11" t="s">
        <v>1656</v>
      </c>
    </row>
    <row r="217">
      <c r="A217" s="88" t="s">
        <v>15344</v>
      </c>
      <c r="B217" s="88">
        <v>11049.0</v>
      </c>
      <c r="C217" s="245" t="s">
        <v>17387</v>
      </c>
      <c r="D217" s="74">
        <v>0.85</v>
      </c>
      <c r="E217" s="74">
        <v>0.85</v>
      </c>
      <c r="F217" s="11" t="s">
        <v>1656</v>
      </c>
    </row>
    <row r="218">
      <c r="A218" s="88" t="s">
        <v>17928</v>
      </c>
      <c r="B218" s="88">
        <v>11049.0</v>
      </c>
      <c r="C218" s="245" t="s">
        <v>17387</v>
      </c>
      <c r="D218" s="74">
        <v>0.85</v>
      </c>
      <c r="E218" s="74">
        <v>0.85</v>
      </c>
      <c r="F218" s="11" t="s">
        <v>1656</v>
      </c>
    </row>
    <row r="219">
      <c r="A219" s="88" t="s">
        <v>17929</v>
      </c>
      <c r="B219" s="88">
        <v>11049.0</v>
      </c>
      <c r="C219" s="245" t="s">
        <v>17387</v>
      </c>
      <c r="D219" s="74">
        <v>0.85</v>
      </c>
      <c r="E219" s="74">
        <v>0.85</v>
      </c>
      <c r="F219" s="11" t="s">
        <v>1656</v>
      </c>
    </row>
    <row r="220">
      <c r="A220" s="88" t="s">
        <v>17930</v>
      </c>
      <c r="B220" s="88">
        <v>11049.0</v>
      </c>
      <c r="C220" s="245" t="s">
        <v>17387</v>
      </c>
      <c r="D220" s="74">
        <v>0.85</v>
      </c>
      <c r="E220" s="74">
        <v>0.85</v>
      </c>
      <c r="F220" s="11" t="s">
        <v>1656</v>
      </c>
    </row>
    <row r="221">
      <c r="A221" s="88" t="s">
        <v>17931</v>
      </c>
      <c r="B221" s="11">
        <v>14575.0</v>
      </c>
      <c r="C221" s="245" t="s">
        <v>17387</v>
      </c>
      <c r="D221" s="74">
        <v>0.85</v>
      </c>
      <c r="E221" s="74">
        <v>0.85</v>
      </c>
      <c r="F221" s="11" t="s">
        <v>1656</v>
      </c>
    </row>
    <row r="222">
      <c r="A222" s="88" t="s">
        <v>17932</v>
      </c>
      <c r="B222" s="88">
        <v>6947.0</v>
      </c>
      <c r="C222" s="245" t="s">
        <v>17933</v>
      </c>
      <c r="D222" s="74">
        <v>0.8</v>
      </c>
      <c r="E222" s="74">
        <v>0.8</v>
      </c>
      <c r="F222" s="11" t="s">
        <v>1656</v>
      </c>
    </row>
    <row r="223">
      <c r="A223" s="660" t="s">
        <v>17934</v>
      </c>
      <c r="B223" s="660">
        <v>8486.0</v>
      </c>
      <c r="C223" s="661" t="s">
        <v>17935</v>
      </c>
      <c r="D223" s="74">
        <v>0.9</v>
      </c>
      <c r="E223" s="74">
        <v>0.9</v>
      </c>
      <c r="F223" s="11" t="s">
        <v>1656</v>
      </c>
    </row>
    <row r="224">
      <c r="A224" s="660" t="s">
        <v>17936</v>
      </c>
      <c r="B224" s="660">
        <v>8486.0</v>
      </c>
      <c r="C224" s="661" t="s">
        <v>17935</v>
      </c>
      <c r="D224" s="74">
        <v>0.9</v>
      </c>
      <c r="E224" s="74">
        <v>0.9</v>
      </c>
      <c r="F224" s="11" t="s">
        <v>1656</v>
      </c>
    </row>
    <row r="225">
      <c r="A225" s="660" t="s">
        <v>17937</v>
      </c>
      <c r="B225" s="37">
        <v>7142.0</v>
      </c>
      <c r="C225" s="661" t="s">
        <v>17935</v>
      </c>
      <c r="D225" s="74">
        <v>0.8</v>
      </c>
      <c r="E225" s="74">
        <v>0.8</v>
      </c>
      <c r="F225" s="11" t="s">
        <v>1656</v>
      </c>
    </row>
    <row r="226">
      <c r="A226" s="660" t="s">
        <v>17938</v>
      </c>
      <c r="B226" s="660">
        <v>6675.0</v>
      </c>
      <c r="C226" s="661" t="s">
        <v>17935</v>
      </c>
      <c r="D226" s="74">
        <v>0.85</v>
      </c>
      <c r="E226" s="74">
        <v>0.85</v>
      </c>
      <c r="F226" s="11" t="s">
        <v>1656</v>
      </c>
    </row>
    <row r="227">
      <c r="A227" s="660" t="s">
        <v>17939</v>
      </c>
      <c r="B227" s="660">
        <v>2345.0</v>
      </c>
      <c r="C227" s="661" t="s">
        <v>17935</v>
      </c>
      <c r="D227" s="74">
        <v>0.9</v>
      </c>
      <c r="E227" s="74">
        <v>0.9</v>
      </c>
      <c r="F227" s="11" t="s">
        <v>1656</v>
      </c>
    </row>
    <row r="228">
      <c r="A228" s="660" t="s">
        <v>17940</v>
      </c>
      <c r="B228" s="37">
        <v>6729.0</v>
      </c>
      <c r="C228" s="661" t="s">
        <v>17935</v>
      </c>
      <c r="D228" s="74">
        <v>0.85</v>
      </c>
      <c r="E228" s="74">
        <v>0.85</v>
      </c>
      <c r="F228" s="11" t="s">
        <v>1656</v>
      </c>
    </row>
    <row r="229">
      <c r="A229" s="660" t="s">
        <v>17941</v>
      </c>
      <c r="B229" s="660">
        <v>2345.0</v>
      </c>
      <c r="C229" s="661" t="s">
        <v>17935</v>
      </c>
      <c r="D229" s="74">
        <v>0.9</v>
      </c>
      <c r="E229" s="74">
        <v>0.9</v>
      </c>
      <c r="F229" s="11" t="s">
        <v>1656</v>
      </c>
    </row>
    <row r="230">
      <c r="A230" s="660" t="s">
        <v>17942</v>
      </c>
      <c r="B230" s="660">
        <v>2345.0</v>
      </c>
      <c r="C230" s="661" t="s">
        <v>17935</v>
      </c>
      <c r="D230" s="74">
        <v>0.9</v>
      </c>
      <c r="E230" s="74">
        <v>0.9</v>
      </c>
      <c r="F230" s="11" t="s">
        <v>1656</v>
      </c>
    </row>
    <row r="231">
      <c r="A231" s="660" t="s">
        <v>17943</v>
      </c>
      <c r="B231" s="660">
        <v>2345.0</v>
      </c>
      <c r="C231" s="661" t="s">
        <v>17935</v>
      </c>
      <c r="D231" s="74">
        <v>0.9</v>
      </c>
      <c r="E231" s="74">
        <v>0.9</v>
      </c>
      <c r="F231" s="11" t="s">
        <v>1656</v>
      </c>
    </row>
    <row r="232">
      <c r="A232" s="660" t="s">
        <v>17944</v>
      </c>
      <c r="B232" s="660">
        <v>2345.0</v>
      </c>
      <c r="C232" s="661" t="s">
        <v>17935</v>
      </c>
      <c r="D232" s="74">
        <v>0.9</v>
      </c>
      <c r="E232" s="74">
        <v>0.9</v>
      </c>
      <c r="F232" s="11" t="s">
        <v>1656</v>
      </c>
    </row>
    <row r="233">
      <c r="A233" s="660" t="s">
        <v>17945</v>
      </c>
      <c r="B233" s="37">
        <v>189.0</v>
      </c>
      <c r="C233" s="661" t="s">
        <v>17935</v>
      </c>
      <c r="D233" s="74">
        <v>0.85</v>
      </c>
      <c r="E233" s="74">
        <v>0.85</v>
      </c>
      <c r="F233" s="11" t="s">
        <v>1656</v>
      </c>
    </row>
    <row r="234">
      <c r="A234" s="660" t="s">
        <v>17946</v>
      </c>
      <c r="B234" s="660">
        <v>2345.0</v>
      </c>
      <c r="C234" s="661" t="s">
        <v>17935</v>
      </c>
      <c r="D234" s="74">
        <v>0.9</v>
      </c>
      <c r="E234" s="74">
        <v>0.9</v>
      </c>
      <c r="F234" s="11" t="s">
        <v>1656</v>
      </c>
    </row>
    <row r="235">
      <c r="A235" s="660" t="s">
        <v>17947</v>
      </c>
      <c r="B235" s="660">
        <v>7083.0</v>
      </c>
      <c r="C235" s="661" t="s">
        <v>17935</v>
      </c>
      <c r="D235" s="74">
        <v>0.8</v>
      </c>
      <c r="E235" s="74">
        <v>0.8</v>
      </c>
      <c r="F235" s="11" t="s">
        <v>1656</v>
      </c>
    </row>
    <row r="236">
      <c r="A236" s="660" t="s">
        <v>17948</v>
      </c>
      <c r="B236" s="660">
        <v>7083.0</v>
      </c>
      <c r="C236" s="661" t="s">
        <v>17935</v>
      </c>
      <c r="D236" s="74">
        <v>0.8</v>
      </c>
      <c r="E236" s="74">
        <v>0.8</v>
      </c>
      <c r="F236" s="11" t="s">
        <v>1656</v>
      </c>
    </row>
    <row r="237">
      <c r="A237" s="660" t="s">
        <v>17949</v>
      </c>
      <c r="B237" s="660">
        <v>14505.0</v>
      </c>
      <c r="C237" s="661" t="s">
        <v>17935</v>
      </c>
      <c r="D237" s="74">
        <v>0.8</v>
      </c>
      <c r="E237" s="74">
        <v>0.8</v>
      </c>
      <c r="F237" s="11" t="s">
        <v>1656</v>
      </c>
    </row>
    <row r="238">
      <c r="A238" s="660" t="s">
        <v>17950</v>
      </c>
      <c r="B238" s="660">
        <v>14638.0</v>
      </c>
      <c r="C238" s="661" t="s">
        <v>17935</v>
      </c>
      <c r="D238" s="74">
        <v>0.8</v>
      </c>
      <c r="E238" s="74">
        <v>0.8</v>
      </c>
      <c r="F238" s="11" t="s">
        <v>1656</v>
      </c>
    </row>
    <row r="239">
      <c r="A239" s="660" t="s">
        <v>17951</v>
      </c>
      <c r="B239" s="37">
        <v>6706.0</v>
      </c>
      <c r="C239" s="661" t="s">
        <v>17935</v>
      </c>
      <c r="D239" s="74">
        <v>0.8</v>
      </c>
      <c r="E239" s="74">
        <v>0.8</v>
      </c>
      <c r="F239" s="11" t="s">
        <v>1656</v>
      </c>
    </row>
    <row r="240">
      <c r="A240" s="660" t="s">
        <v>17952</v>
      </c>
      <c r="B240" s="660">
        <v>663.0</v>
      </c>
      <c r="C240" s="661" t="s">
        <v>17935</v>
      </c>
      <c r="D240" s="74">
        <v>0.9</v>
      </c>
      <c r="E240" s="74">
        <v>0.9</v>
      </c>
      <c r="F240" s="11" t="s">
        <v>1656</v>
      </c>
    </row>
    <row r="241">
      <c r="A241" s="660" t="s">
        <v>17953</v>
      </c>
      <c r="B241" s="660">
        <v>663.0</v>
      </c>
      <c r="C241" s="661" t="s">
        <v>17935</v>
      </c>
      <c r="D241" s="74">
        <v>0.9</v>
      </c>
      <c r="E241" s="74">
        <v>0.9</v>
      </c>
      <c r="F241" s="11" t="s">
        <v>1656</v>
      </c>
    </row>
    <row r="242">
      <c r="A242" s="660" t="s">
        <v>17954</v>
      </c>
      <c r="B242" s="37">
        <v>189.0</v>
      </c>
      <c r="C242" s="661" t="s">
        <v>17935</v>
      </c>
      <c r="D242" s="74">
        <v>0.85</v>
      </c>
      <c r="E242" s="74">
        <v>0.85</v>
      </c>
      <c r="F242" s="11" t="s">
        <v>1656</v>
      </c>
    </row>
    <row r="243">
      <c r="A243" s="660" t="s">
        <v>17955</v>
      </c>
      <c r="B243" s="660">
        <v>14298.0</v>
      </c>
      <c r="C243" s="661" t="s">
        <v>17935</v>
      </c>
      <c r="D243" s="74">
        <v>0.8</v>
      </c>
      <c r="E243" s="74">
        <v>0.8</v>
      </c>
      <c r="F243" s="11" t="s">
        <v>1656</v>
      </c>
    </row>
    <row r="244">
      <c r="A244" s="660" t="s">
        <v>17956</v>
      </c>
      <c r="B244" s="660">
        <v>663.0</v>
      </c>
      <c r="C244" s="661" t="s">
        <v>17935</v>
      </c>
      <c r="D244" s="74">
        <v>0.9</v>
      </c>
      <c r="E244" s="74">
        <v>0.9</v>
      </c>
      <c r="F244" s="11" t="s">
        <v>1656</v>
      </c>
    </row>
    <row r="245">
      <c r="A245" s="660" t="s">
        <v>17957</v>
      </c>
      <c r="B245" s="660">
        <v>663.0</v>
      </c>
      <c r="C245" s="661" t="s">
        <v>17935</v>
      </c>
      <c r="D245" s="74">
        <v>0.9</v>
      </c>
      <c r="E245" s="74">
        <v>0.9</v>
      </c>
      <c r="F245" s="11" t="s">
        <v>1656</v>
      </c>
    </row>
    <row r="246">
      <c r="A246" s="660" t="s">
        <v>17958</v>
      </c>
      <c r="B246" s="37">
        <v>10856.0</v>
      </c>
      <c r="C246" s="661" t="s">
        <v>17935</v>
      </c>
      <c r="D246" s="74">
        <v>0.8</v>
      </c>
      <c r="E246" s="74">
        <v>0.8</v>
      </c>
      <c r="F246" s="11" t="s">
        <v>1656</v>
      </c>
    </row>
    <row r="247">
      <c r="A247" s="660" t="s">
        <v>17959</v>
      </c>
      <c r="B247" s="37">
        <v>189.0</v>
      </c>
      <c r="C247" s="661" t="s">
        <v>17935</v>
      </c>
      <c r="D247" s="74">
        <v>0.85</v>
      </c>
      <c r="E247" s="74">
        <v>0.85</v>
      </c>
      <c r="F247" s="11" t="s">
        <v>1656</v>
      </c>
    </row>
    <row r="248">
      <c r="A248" s="660" t="s">
        <v>17960</v>
      </c>
      <c r="B248" s="660">
        <v>2345.0</v>
      </c>
      <c r="C248" s="661" t="s">
        <v>17935</v>
      </c>
      <c r="D248" s="74">
        <v>0.9</v>
      </c>
      <c r="E248" s="74">
        <v>0.9</v>
      </c>
      <c r="F248" s="11" t="s">
        <v>1656</v>
      </c>
    </row>
    <row r="249">
      <c r="A249" s="660" t="s">
        <v>17961</v>
      </c>
      <c r="B249" s="660">
        <v>14516.0</v>
      </c>
      <c r="C249" s="661" t="s">
        <v>17935</v>
      </c>
      <c r="D249" s="74">
        <v>0.8</v>
      </c>
      <c r="E249" s="74">
        <v>0.8</v>
      </c>
      <c r="F249" s="11" t="s">
        <v>1656</v>
      </c>
    </row>
    <row r="250">
      <c r="A250" s="660" t="s">
        <v>17962</v>
      </c>
      <c r="B250" s="37">
        <v>189.0</v>
      </c>
      <c r="C250" s="661" t="s">
        <v>17935</v>
      </c>
      <c r="D250" s="74">
        <v>0.85</v>
      </c>
      <c r="E250" s="74">
        <v>0.85</v>
      </c>
      <c r="F250" s="11" t="s">
        <v>1656</v>
      </c>
    </row>
    <row r="251">
      <c r="A251" s="660" t="s">
        <v>17963</v>
      </c>
      <c r="B251" s="660">
        <v>663.0</v>
      </c>
      <c r="C251" s="661" t="s">
        <v>17935</v>
      </c>
      <c r="D251" s="74">
        <v>0.9</v>
      </c>
      <c r="E251" s="74">
        <v>0.9</v>
      </c>
      <c r="F251" s="11" t="s">
        <v>1656</v>
      </c>
    </row>
    <row r="252">
      <c r="A252" s="660" t="s">
        <v>17964</v>
      </c>
      <c r="B252" s="660">
        <v>9307.0</v>
      </c>
      <c r="C252" s="661" t="s">
        <v>17935</v>
      </c>
      <c r="D252" s="74">
        <v>0.8</v>
      </c>
      <c r="E252" s="74">
        <v>0.8</v>
      </c>
      <c r="F252" s="11" t="s">
        <v>1656</v>
      </c>
    </row>
    <row r="253">
      <c r="A253" s="660" t="s">
        <v>17965</v>
      </c>
      <c r="B253" s="37">
        <v>189.0</v>
      </c>
      <c r="C253" s="661" t="s">
        <v>17935</v>
      </c>
      <c r="D253" s="74">
        <v>0.85</v>
      </c>
      <c r="E253" s="74">
        <v>0.85</v>
      </c>
      <c r="F253" s="11" t="s">
        <v>1656</v>
      </c>
    </row>
    <row r="254">
      <c r="A254" s="660" t="s">
        <v>17966</v>
      </c>
      <c r="B254" s="660">
        <v>663.0</v>
      </c>
      <c r="C254" s="661" t="s">
        <v>17935</v>
      </c>
      <c r="D254" s="74">
        <v>0.9</v>
      </c>
      <c r="E254" s="74">
        <v>0.9</v>
      </c>
      <c r="F254" s="11" t="s">
        <v>1656</v>
      </c>
    </row>
    <row r="255">
      <c r="A255" s="660" t="s">
        <v>17967</v>
      </c>
      <c r="B255" s="660">
        <v>8199.0</v>
      </c>
      <c r="C255" s="661" t="s">
        <v>17935</v>
      </c>
      <c r="D255" s="74">
        <v>0.8</v>
      </c>
      <c r="E255" s="74">
        <v>0.8</v>
      </c>
      <c r="F255" s="11" t="s">
        <v>1656</v>
      </c>
    </row>
    <row r="256">
      <c r="A256" s="660" t="s">
        <v>17968</v>
      </c>
      <c r="B256" s="660">
        <v>663.0</v>
      </c>
      <c r="C256" s="661" t="s">
        <v>17935</v>
      </c>
      <c r="D256" s="74">
        <v>0.9</v>
      </c>
      <c r="E256" s="74">
        <v>0.9</v>
      </c>
      <c r="F256" s="11" t="s">
        <v>1656</v>
      </c>
    </row>
    <row r="257">
      <c r="A257" s="660" t="s">
        <v>17969</v>
      </c>
      <c r="B257" s="660">
        <v>2345.0</v>
      </c>
      <c r="C257" s="661" t="s">
        <v>17935</v>
      </c>
      <c r="D257" s="74">
        <v>0.9</v>
      </c>
      <c r="E257" s="74">
        <v>0.9</v>
      </c>
      <c r="F257" s="11" t="s">
        <v>1656</v>
      </c>
    </row>
    <row r="258">
      <c r="A258" s="660" t="s">
        <v>17970</v>
      </c>
      <c r="B258" s="660">
        <v>2345.0</v>
      </c>
      <c r="C258" s="661" t="s">
        <v>17935</v>
      </c>
      <c r="D258" s="74">
        <v>0.9</v>
      </c>
      <c r="E258" s="74">
        <v>0.9</v>
      </c>
      <c r="F258" s="11" t="s">
        <v>1656</v>
      </c>
    </row>
    <row r="259">
      <c r="A259" s="660" t="s">
        <v>17971</v>
      </c>
      <c r="B259" s="660">
        <v>2345.0</v>
      </c>
      <c r="C259" s="661" t="s">
        <v>17935</v>
      </c>
      <c r="D259" s="74">
        <v>0.9</v>
      </c>
      <c r="E259" s="74">
        <v>0.9</v>
      </c>
      <c r="F259" s="11" t="s">
        <v>1656</v>
      </c>
    </row>
    <row r="260">
      <c r="A260" s="660" t="s">
        <v>17972</v>
      </c>
      <c r="B260" s="660">
        <v>2345.0</v>
      </c>
      <c r="C260" s="661" t="s">
        <v>17935</v>
      </c>
      <c r="D260" s="74">
        <v>0.9</v>
      </c>
      <c r="E260" s="74">
        <v>0.9</v>
      </c>
      <c r="F260" s="11" t="s">
        <v>1656</v>
      </c>
    </row>
    <row r="261">
      <c r="A261" s="660" t="s">
        <v>17973</v>
      </c>
      <c r="B261" s="660">
        <v>663.0</v>
      </c>
      <c r="C261" s="661" t="s">
        <v>17935</v>
      </c>
      <c r="D261" s="74">
        <v>0.9</v>
      </c>
      <c r="E261" s="74">
        <v>0.9</v>
      </c>
      <c r="F261" s="11" t="s">
        <v>1656</v>
      </c>
    </row>
    <row r="262">
      <c r="A262" s="660" t="s">
        <v>17974</v>
      </c>
      <c r="B262" s="660">
        <v>2345.0</v>
      </c>
      <c r="C262" s="661" t="s">
        <v>17935</v>
      </c>
      <c r="D262" s="74">
        <v>0.9</v>
      </c>
      <c r="E262" s="74">
        <v>0.9</v>
      </c>
      <c r="F262" s="11" t="s">
        <v>1656</v>
      </c>
    </row>
    <row r="263">
      <c r="A263" s="660" t="s">
        <v>17975</v>
      </c>
      <c r="B263" s="660">
        <v>2345.0</v>
      </c>
      <c r="C263" s="661" t="s">
        <v>17935</v>
      </c>
      <c r="D263" s="74">
        <v>0.9</v>
      </c>
      <c r="E263" s="74">
        <v>0.9</v>
      </c>
      <c r="F263" s="11" t="s">
        <v>1656</v>
      </c>
    </row>
    <row r="264">
      <c r="A264" s="660" t="s">
        <v>17976</v>
      </c>
      <c r="B264" s="660">
        <v>14465.0</v>
      </c>
      <c r="C264" s="661" t="s">
        <v>17935</v>
      </c>
      <c r="D264" s="74">
        <v>0.9</v>
      </c>
      <c r="E264" s="74">
        <v>0.9</v>
      </c>
      <c r="F264" s="11" t="s">
        <v>1656</v>
      </c>
    </row>
    <row r="265">
      <c r="A265" s="660" t="s">
        <v>17977</v>
      </c>
      <c r="B265" s="660">
        <v>2345.0</v>
      </c>
      <c r="C265" s="661" t="s">
        <v>17935</v>
      </c>
      <c r="D265" s="74">
        <v>0.9</v>
      </c>
      <c r="E265" s="74">
        <v>0.9</v>
      </c>
      <c r="F265" s="11" t="s">
        <v>1656</v>
      </c>
    </row>
    <row r="266">
      <c r="A266" s="660" t="s">
        <v>17978</v>
      </c>
      <c r="B266" s="660">
        <v>6875.0</v>
      </c>
      <c r="C266" s="661" t="s">
        <v>17935</v>
      </c>
      <c r="D266" s="74">
        <v>0.8</v>
      </c>
      <c r="E266" s="74">
        <v>0.8</v>
      </c>
      <c r="F266" s="11" t="s">
        <v>1656</v>
      </c>
    </row>
    <row r="267">
      <c r="A267" s="660" t="s">
        <v>17979</v>
      </c>
      <c r="B267" s="37">
        <v>189.0</v>
      </c>
      <c r="C267" s="661" t="s">
        <v>17935</v>
      </c>
      <c r="D267" s="74">
        <v>0.85</v>
      </c>
      <c r="E267" s="74">
        <v>0.85</v>
      </c>
      <c r="F267" s="11" t="s">
        <v>1656</v>
      </c>
    </row>
    <row r="268">
      <c r="A268" s="660" t="s">
        <v>17980</v>
      </c>
      <c r="B268" s="660">
        <v>189.0</v>
      </c>
      <c r="C268" s="661" t="s">
        <v>17935</v>
      </c>
      <c r="D268" s="74">
        <v>0.85</v>
      </c>
      <c r="E268" s="74">
        <v>0.85</v>
      </c>
      <c r="F268" s="11" t="s">
        <v>1656</v>
      </c>
    </row>
    <row r="269">
      <c r="A269" s="660" t="s">
        <v>17981</v>
      </c>
      <c r="B269" s="37">
        <v>189.0</v>
      </c>
      <c r="C269" s="661" t="s">
        <v>17935</v>
      </c>
      <c r="D269" s="74">
        <v>0.85</v>
      </c>
      <c r="E269" s="74">
        <v>0.85</v>
      </c>
      <c r="F269" s="11" t="s">
        <v>1656</v>
      </c>
    </row>
    <row r="270">
      <c r="A270" s="660" t="s">
        <v>17982</v>
      </c>
      <c r="B270" s="660">
        <v>189.0</v>
      </c>
      <c r="C270" s="661" t="s">
        <v>17935</v>
      </c>
      <c r="D270" s="74">
        <v>0.85</v>
      </c>
      <c r="E270" s="74">
        <v>0.85</v>
      </c>
      <c r="F270" s="11" t="s">
        <v>1656</v>
      </c>
    </row>
    <row r="271">
      <c r="A271" s="660" t="s">
        <v>17983</v>
      </c>
      <c r="B271" s="660">
        <v>663.0</v>
      </c>
      <c r="C271" s="661" t="s">
        <v>17935</v>
      </c>
      <c r="D271" s="74">
        <v>0.9</v>
      </c>
      <c r="E271" s="74">
        <v>0.9</v>
      </c>
      <c r="F271" s="11" t="s">
        <v>1656</v>
      </c>
    </row>
    <row r="272">
      <c r="A272" s="660" t="s">
        <v>17984</v>
      </c>
      <c r="B272" s="660">
        <v>8486.0</v>
      </c>
      <c r="C272" s="661" t="s">
        <v>17935</v>
      </c>
      <c r="D272" s="74">
        <v>0.9</v>
      </c>
      <c r="E272" s="74">
        <v>0.9</v>
      </c>
      <c r="F272" s="11" t="s">
        <v>1656</v>
      </c>
    </row>
    <row r="273">
      <c r="A273" s="660" t="s">
        <v>39</v>
      </c>
      <c r="B273" s="660">
        <v>6722.0</v>
      </c>
      <c r="C273" s="661" t="s">
        <v>17935</v>
      </c>
      <c r="D273" s="74">
        <v>0.8</v>
      </c>
      <c r="E273" s="74">
        <v>0.8</v>
      </c>
      <c r="F273" s="11" t="s">
        <v>1656</v>
      </c>
    </row>
    <row r="274">
      <c r="A274" s="660" t="s">
        <v>17985</v>
      </c>
      <c r="B274" s="660">
        <v>189.0</v>
      </c>
      <c r="C274" s="661" t="s">
        <v>17935</v>
      </c>
      <c r="D274" s="74">
        <v>0.85</v>
      </c>
      <c r="E274" s="74">
        <v>0.85</v>
      </c>
      <c r="F274" s="11" t="s">
        <v>1656</v>
      </c>
    </row>
    <row r="275">
      <c r="A275" s="45" t="s">
        <v>17986</v>
      </c>
      <c r="B275" s="45">
        <v>8623.0</v>
      </c>
      <c r="C275" s="245" t="s">
        <v>17387</v>
      </c>
      <c r="D275" s="74">
        <v>0.85</v>
      </c>
      <c r="E275" s="74">
        <v>0.85</v>
      </c>
      <c r="F275" s="11" t="s">
        <v>1656</v>
      </c>
      <c r="G275" s="112" t="s">
        <v>10980</v>
      </c>
    </row>
    <row r="276">
      <c r="A276" s="45" t="s">
        <v>17987</v>
      </c>
      <c r="B276" s="45">
        <v>11768.0</v>
      </c>
      <c r="C276" s="245" t="s">
        <v>17387</v>
      </c>
      <c r="D276" s="74">
        <v>0.8</v>
      </c>
      <c r="E276" s="74">
        <v>0.8</v>
      </c>
      <c r="F276" s="11" t="s">
        <v>1656</v>
      </c>
      <c r="G276" s="112" t="s">
        <v>10980</v>
      </c>
    </row>
    <row r="277">
      <c r="A277" s="45" t="s">
        <v>17988</v>
      </c>
      <c r="B277" s="45">
        <v>13323.0</v>
      </c>
      <c r="C277" s="245" t="s">
        <v>17387</v>
      </c>
      <c r="D277" s="74">
        <v>0.8</v>
      </c>
      <c r="E277" s="74">
        <v>0.8</v>
      </c>
      <c r="F277" s="11" t="s">
        <v>1656</v>
      </c>
      <c r="G277" s="112" t="s">
        <v>10980</v>
      </c>
    </row>
    <row r="278">
      <c r="A278" s="45" t="s">
        <v>17989</v>
      </c>
      <c r="B278" s="45">
        <v>10368.0</v>
      </c>
      <c r="C278" s="245" t="s">
        <v>17387</v>
      </c>
      <c r="D278" s="74">
        <v>0.8</v>
      </c>
      <c r="E278" s="74">
        <v>0.8</v>
      </c>
      <c r="F278" s="11" t="s">
        <v>1656</v>
      </c>
      <c r="G278" s="112" t="s">
        <v>10980</v>
      </c>
    </row>
    <row r="279">
      <c r="A279" s="45" t="s">
        <v>17990</v>
      </c>
      <c r="B279" s="45">
        <v>12277.0</v>
      </c>
      <c r="C279" s="245" t="s">
        <v>17387</v>
      </c>
      <c r="D279" s="74">
        <v>0.8</v>
      </c>
      <c r="E279" s="74">
        <v>0.8</v>
      </c>
      <c r="F279" s="11" t="s">
        <v>1656</v>
      </c>
      <c r="G279" s="112" t="s">
        <v>10980</v>
      </c>
    </row>
    <row r="280">
      <c r="A280" s="45" t="s">
        <v>17991</v>
      </c>
      <c r="B280" s="45">
        <v>13988.0</v>
      </c>
      <c r="C280" s="245" t="s">
        <v>17387</v>
      </c>
      <c r="D280" s="74">
        <v>0.8</v>
      </c>
      <c r="E280" s="74">
        <v>0.8</v>
      </c>
      <c r="F280" s="11" t="s">
        <v>1656</v>
      </c>
      <c r="G280" s="112" t="s">
        <v>10980</v>
      </c>
    </row>
    <row r="281">
      <c r="A281" s="45" t="s">
        <v>17992</v>
      </c>
      <c r="B281" s="45">
        <v>14031.0</v>
      </c>
      <c r="C281" s="245" t="s">
        <v>17387</v>
      </c>
      <c r="D281" s="74">
        <v>0.8</v>
      </c>
      <c r="E281" s="74">
        <v>0.8</v>
      </c>
      <c r="F281" s="11" t="s">
        <v>1656</v>
      </c>
      <c r="G281" s="112" t="s">
        <v>10980</v>
      </c>
    </row>
    <row r="282">
      <c r="A282" s="45" t="s">
        <v>17993</v>
      </c>
      <c r="B282" s="37">
        <v>14771.0</v>
      </c>
      <c r="C282" s="245" t="s">
        <v>17387</v>
      </c>
      <c r="D282" s="74">
        <v>0.8</v>
      </c>
      <c r="E282" s="74">
        <v>0.8</v>
      </c>
      <c r="F282" s="11" t="s">
        <v>1656</v>
      </c>
      <c r="G282" s="112" t="s">
        <v>10980</v>
      </c>
    </row>
    <row r="283">
      <c r="A283" s="45" t="s">
        <v>17994</v>
      </c>
      <c r="B283" s="45">
        <v>14253.0</v>
      </c>
      <c r="C283" s="245" t="s">
        <v>17387</v>
      </c>
      <c r="D283" s="74">
        <v>0.8</v>
      </c>
      <c r="E283" s="74">
        <v>0.8</v>
      </c>
      <c r="F283" s="11" t="s">
        <v>1656</v>
      </c>
      <c r="G283" s="112" t="s">
        <v>10980</v>
      </c>
    </row>
    <row r="284">
      <c r="A284" s="45" t="s">
        <v>17995</v>
      </c>
      <c r="B284" s="45"/>
      <c r="C284" s="245" t="s">
        <v>17387</v>
      </c>
      <c r="D284" s="74">
        <v>0.8</v>
      </c>
      <c r="E284" s="74">
        <v>0.8</v>
      </c>
      <c r="F284" s="11" t="s">
        <v>1656</v>
      </c>
      <c r="G284" s="112" t="s">
        <v>10980</v>
      </c>
    </row>
    <row r="285">
      <c r="A285" s="45" t="s">
        <v>17996</v>
      </c>
      <c r="B285" s="37">
        <v>10861.0</v>
      </c>
      <c r="C285" s="245" t="s">
        <v>17387</v>
      </c>
      <c r="D285" s="74">
        <v>0.8</v>
      </c>
      <c r="E285" s="74">
        <v>0.8</v>
      </c>
      <c r="F285" s="11" t="s">
        <v>1656</v>
      </c>
      <c r="G285" s="112" t="s">
        <v>10980</v>
      </c>
    </row>
    <row r="286">
      <c r="A286" s="45" t="s">
        <v>17997</v>
      </c>
      <c r="B286" s="45">
        <v>7416.0</v>
      </c>
      <c r="C286" s="245" t="s">
        <v>17387</v>
      </c>
      <c r="D286" s="74">
        <v>0.8</v>
      </c>
      <c r="E286" s="74">
        <v>0.8</v>
      </c>
      <c r="F286" s="11" t="s">
        <v>1656</v>
      </c>
      <c r="G286" s="112" t="s">
        <v>10980</v>
      </c>
    </row>
    <row r="287">
      <c r="A287" s="45" t="s">
        <v>17998</v>
      </c>
      <c r="B287" s="45"/>
      <c r="C287" s="245" t="s">
        <v>17387</v>
      </c>
      <c r="D287" s="74">
        <v>0.8</v>
      </c>
      <c r="E287" s="74">
        <v>0.8</v>
      </c>
      <c r="F287" s="11" t="s">
        <v>1656</v>
      </c>
      <c r="G287" s="112" t="s">
        <v>10980</v>
      </c>
    </row>
    <row r="288">
      <c r="A288" s="45" t="s">
        <v>17999</v>
      </c>
      <c r="B288" s="45">
        <v>13987.0</v>
      </c>
      <c r="C288" s="245" t="s">
        <v>17387</v>
      </c>
      <c r="D288" s="74">
        <v>0.8</v>
      </c>
      <c r="E288" s="74">
        <v>0.8</v>
      </c>
      <c r="F288" s="11" t="s">
        <v>1656</v>
      </c>
      <c r="G288" s="112" t="s">
        <v>10980</v>
      </c>
    </row>
    <row r="289">
      <c r="A289" s="45" t="s">
        <v>18000</v>
      </c>
      <c r="B289" s="45"/>
      <c r="C289" s="245" t="s">
        <v>17387</v>
      </c>
      <c r="D289" s="74">
        <v>0.8</v>
      </c>
      <c r="E289" s="74">
        <v>0.8</v>
      </c>
      <c r="F289" s="11" t="s">
        <v>1656</v>
      </c>
      <c r="G289" s="112" t="s">
        <v>10980</v>
      </c>
    </row>
    <row r="290">
      <c r="A290" s="45" t="s">
        <v>18001</v>
      </c>
      <c r="B290" s="45"/>
      <c r="C290" s="245" t="s">
        <v>17387</v>
      </c>
      <c r="D290" s="74">
        <v>0.8</v>
      </c>
      <c r="E290" s="74">
        <v>0.8</v>
      </c>
      <c r="F290" s="11" t="s">
        <v>1656</v>
      </c>
      <c r="G290" s="112" t="s">
        <v>10980</v>
      </c>
    </row>
    <row r="291">
      <c r="A291" s="45" t="s">
        <v>18002</v>
      </c>
      <c r="B291" s="37">
        <v>14681.0</v>
      </c>
      <c r="C291" s="245" t="s">
        <v>17387</v>
      </c>
      <c r="D291" s="74">
        <v>0.8</v>
      </c>
      <c r="E291" s="74">
        <v>0.8</v>
      </c>
      <c r="F291" s="11" t="s">
        <v>1656</v>
      </c>
      <c r="G291" s="112" t="s">
        <v>10980</v>
      </c>
    </row>
    <row r="292">
      <c r="A292" s="45" t="s">
        <v>18003</v>
      </c>
      <c r="B292" s="45"/>
      <c r="C292" s="245" t="s">
        <v>17387</v>
      </c>
      <c r="D292" s="74">
        <v>0.8</v>
      </c>
      <c r="E292" s="74">
        <v>0.8</v>
      </c>
      <c r="F292" s="11" t="s">
        <v>1656</v>
      </c>
      <c r="G292" s="112" t="s">
        <v>10980</v>
      </c>
    </row>
    <row r="293">
      <c r="A293" s="45" t="s">
        <v>18004</v>
      </c>
      <c r="B293" s="660">
        <v>14185.0</v>
      </c>
      <c r="C293" s="245" t="s">
        <v>17387</v>
      </c>
      <c r="D293" s="74">
        <v>0.8</v>
      </c>
      <c r="E293" s="74">
        <v>0.8</v>
      </c>
      <c r="F293" s="11" t="s">
        <v>1656</v>
      </c>
      <c r="G293" s="112" t="s">
        <v>10980</v>
      </c>
    </row>
    <row r="294">
      <c r="A294" s="45" t="s">
        <v>18005</v>
      </c>
      <c r="B294" s="45"/>
      <c r="C294" s="245" t="s">
        <v>17387</v>
      </c>
      <c r="D294" s="74">
        <v>0.8</v>
      </c>
      <c r="E294" s="74">
        <v>0.8</v>
      </c>
      <c r="F294" s="11" t="s">
        <v>1656</v>
      </c>
      <c r="G294" s="112" t="s">
        <v>10980</v>
      </c>
    </row>
    <row r="295">
      <c r="A295" s="45" t="s">
        <v>18006</v>
      </c>
      <c r="B295" s="37">
        <v>14770.0</v>
      </c>
      <c r="C295" s="245" t="s">
        <v>17387</v>
      </c>
      <c r="D295" s="74">
        <v>0.8</v>
      </c>
      <c r="E295" s="74">
        <v>0.8</v>
      </c>
      <c r="F295" s="11" t="s">
        <v>1656</v>
      </c>
      <c r="G295" s="112" t="s">
        <v>10980</v>
      </c>
    </row>
    <row r="296">
      <c r="A296" s="45" t="s">
        <v>18007</v>
      </c>
      <c r="B296" s="45"/>
      <c r="C296" s="245" t="s">
        <v>17387</v>
      </c>
      <c r="D296" s="74">
        <v>0.8</v>
      </c>
      <c r="E296" s="74">
        <v>0.8</v>
      </c>
      <c r="F296" s="11" t="s">
        <v>1656</v>
      </c>
      <c r="G296" s="112" t="s">
        <v>10980</v>
      </c>
    </row>
    <row r="297">
      <c r="A297" s="45" t="s">
        <v>18008</v>
      </c>
      <c r="B297" s="37"/>
      <c r="C297" s="245" t="s">
        <v>17387</v>
      </c>
      <c r="D297" s="74">
        <v>0.8</v>
      </c>
      <c r="E297" s="74">
        <v>0.8</v>
      </c>
      <c r="F297" s="11" t="s">
        <v>1656</v>
      </c>
      <c r="G297" s="112" t="s">
        <v>10980</v>
      </c>
    </row>
    <row r="298">
      <c r="A298" s="45" t="s">
        <v>18009</v>
      </c>
      <c r="B298" s="37"/>
      <c r="C298" s="245" t="s">
        <v>17387</v>
      </c>
      <c r="D298" s="74">
        <v>0.8</v>
      </c>
      <c r="E298" s="74">
        <v>0.8</v>
      </c>
      <c r="F298" s="11" t="s">
        <v>1656</v>
      </c>
      <c r="G298" s="112" t="s">
        <v>10980</v>
      </c>
    </row>
    <row r="299">
      <c r="A299" s="45" t="s">
        <v>18010</v>
      </c>
      <c r="B299" s="45">
        <v>10368.0</v>
      </c>
      <c r="C299" s="245" t="s">
        <v>17387</v>
      </c>
      <c r="D299" s="74">
        <v>0.8</v>
      </c>
      <c r="E299" s="74">
        <v>0.8</v>
      </c>
      <c r="F299" s="11" t="s">
        <v>1656</v>
      </c>
      <c r="G299" s="112" t="s">
        <v>10980</v>
      </c>
    </row>
    <row r="300">
      <c r="A300" s="231"/>
      <c r="B300" s="307"/>
      <c r="C300" s="231"/>
      <c r="E300" s="326"/>
    </row>
    <row r="301">
      <c r="A301" s="231"/>
      <c r="B301" s="307"/>
      <c r="C301" s="231"/>
      <c r="E301" s="326"/>
    </row>
    <row r="302">
      <c r="A302" s="231"/>
      <c r="B302" s="307"/>
      <c r="C302" s="231"/>
      <c r="E302" s="326"/>
    </row>
    <row r="303">
      <c r="A303" s="231"/>
      <c r="B303" s="307"/>
      <c r="C303" s="231"/>
      <c r="E303" s="326"/>
    </row>
    <row r="304">
      <c r="A304" s="231"/>
      <c r="B304" s="307"/>
      <c r="C304" s="231"/>
      <c r="E304" s="326"/>
    </row>
    <row r="305">
      <c r="A305" s="231"/>
      <c r="B305" s="307"/>
      <c r="C305" s="231"/>
      <c r="E305" s="326"/>
    </row>
    <row r="306">
      <c r="A306" s="231"/>
      <c r="B306" s="307"/>
      <c r="C306" s="231"/>
      <c r="E306" s="326"/>
    </row>
    <row r="307">
      <c r="A307" s="231"/>
      <c r="B307" s="307"/>
      <c r="C307" s="231"/>
      <c r="E307" s="326"/>
    </row>
    <row r="308">
      <c r="A308" s="231"/>
      <c r="B308" s="307"/>
      <c r="C308" s="231"/>
      <c r="E308" s="326"/>
    </row>
    <row r="309">
      <c r="A309" s="231"/>
      <c r="B309" s="307"/>
      <c r="C309" s="231"/>
      <c r="E309" s="326"/>
    </row>
    <row r="310">
      <c r="A310" s="231"/>
      <c r="B310" s="307"/>
      <c r="C310" s="231"/>
      <c r="E310" s="326"/>
    </row>
    <row r="311">
      <c r="A311" s="231"/>
      <c r="B311" s="307"/>
      <c r="C311" s="231"/>
      <c r="E311" s="326"/>
    </row>
    <row r="312">
      <c r="A312" s="231"/>
      <c r="B312" s="307"/>
      <c r="C312" s="231"/>
      <c r="E312" s="326"/>
    </row>
    <row r="313">
      <c r="A313" s="231"/>
      <c r="B313" s="307"/>
      <c r="C313" s="231"/>
      <c r="E313" s="326"/>
    </row>
    <row r="314">
      <c r="A314" s="231"/>
      <c r="B314" s="307"/>
      <c r="C314" s="231"/>
      <c r="E314" s="326"/>
    </row>
    <row r="315">
      <c r="A315" s="231"/>
      <c r="B315" s="307"/>
      <c r="C315" s="231"/>
      <c r="E315" s="326"/>
    </row>
    <row r="316">
      <c r="A316" s="231"/>
      <c r="B316" s="307"/>
      <c r="C316" s="231"/>
      <c r="E316" s="326"/>
    </row>
    <row r="317">
      <c r="A317" s="231"/>
      <c r="B317" s="307"/>
      <c r="C317" s="231"/>
      <c r="E317" s="326"/>
    </row>
    <row r="318">
      <c r="A318" s="231"/>
      <c r="B318" s="307"/>
      <c r="C318" s="231"/>
      <c r="E318" s="326"/>
    </row>
    <row r="319">
      <c r="A319" s="231"/>
      <c r="B319" s="307"/>
      <c r="C319" s="231"/>
      <c r="E319" s="326"/>
    </row>
    <row r="320">
      <c r="A320" s="231"/>
      <c r="B320" s="307"/>
      <c r="C320" s="231"/>
      <c r="E320" s="326"/>
    </row>
    <row r="321">
      <c r="A321" s="231"/>
      <c r="B321" s="307"/>
      <c r="C321" s="231"/>
      <c r="E321" s="326"/>
    </row>
    <row r="322">
      <c r="A322" s="231"/>
      <c r="B322" s="307"/>
      <c r="C322" s="231"/>
      <c r="E322" s="326"/>
    </row>
    <row r="323">
      <c r="A323" s="231"/>
      <c r="B323" s="307"/>
      <c r="C323" s="231"/>
      <c r="E323" s="326"/>
    </row>
    <row r="324">
      <c r="A324" s="231"/>
      <c r="B324" s="307"/>
      <c r="C324" s="231"/>
      <c r="E324" s="326"/>
    </row>
    <row r="325">
      <c r="A325" s="231"/>
      <c r="B325" s="307"/>
      <c r="C325" s="231"/>
      <c r="E325" s="326"/>
    </row>
    <row r="326">
      <c r="A326" s="231"/>
      <c r="B326" s="307"/>
      <c r="C326" s="231"/>
      <c r="E326" s="326"/>
    </row>
    <row r="327">
      <c r="A327" s="231"/>
      <c r="B327" s="307"/>
      <c r="C327" s="231"/>
      <c r="E327" s="326"/>
    </row>
    <row r="328">
      <c r="A328" s="231"/>
      <c r="B328" s="307"/>
      <c r="C328" s="231"/>
      <c r="E328" s="326"/>
    </row>
    <row r="329">
      <c r="A329" s="231"/>
      <c r="B329" s="307"/>
      <c r="C329" s="231"/>
      <c r="E329" s="326"/>
    </row>
    <row r="330">
      <c r="A330" s="231"/>
      <c r="B330" s="307"/>
      <c r="C330" s="231"/>
      <c r="E330" s="326"/>
    </row>
    <row r="331">
      <c r="A331" s="231"/>
      <c r="B331" s="307"/>
      <c r="C331" s="231"/>
      <c r="E331" s="326"/>
    </row>
    <row r="332">
      <c r="A332" s="231"/>
      <c r="B332" s="307"/>
      <c r="C332" s="231"/>
      <c r="E332" s="326"/>
    </row>
    <row r="333">
      <c r="A333" s="231"/>
      <c r="B333" s="307"/>
      <c r="C333" s="231"/>
      <c r="E333" s="326"/>
    </row>
    <row r="334">
      <c r="A334" s="231"/>
      <c r="B334" s="307"/>
      <c r="C334" s="231"/>
      <c r="E334" s="326"/>
    </row>
    <row r="335">
      <c r="A335" s="231"/>
      <c r="B335" s="307"/>
      <c r="C335" s="231"/>
      <c r="E335" s="326"/>
    </row>
    <row r="336">
      <c r="A336" s="231"/>
      <c r="B336" s="307"/>
      <c r="C336" s="231"/>
      <c r="E336" s="326"/>
    </row>
    <row r="337">
      <c r="A337" s="231"/>
      <c r="B337" s="307"/>
      <c r="C337" s="231"/>
      <c r="E337" s="326"/>
    </row>
    <row r="338">
      <c r="A338" s="231"/>
      <c r="B338" s="307"/>
      <c r="C338" s="231"/>
      <c r="E338" s="326"/>
    </row>
    <row r="339">
      <c r="A339" s="231"/>
      <c r="B339" s="307"/>
      <c r="C339" s="231"/>
      <c r="E339" s="326"/>
    </row>
    <row r="340">
      <c r="A340" s="231"/>
      <c r="B340" s="307"/>
      <c r="C340" s="231"/>
      <c r="E340" s="326"/>
    </row>
    <row r="341">
      <c r="A341" s="231"/>
      <c r="B341" s="307"/>
      <c r="C341" s="231"/>
      <c r="E341" s="326"/>
    </row>
    <row r="342">
      <c r="A342" s="231"/>
      <c r="B342" s="307"/>
      <c r="C342" s="231"/>
      <c r="E342" s="326"/>
    </row>
    <row r="343">
      <c r="A343" s="231"/>
      <c r="B343" s="307"/>
      <c r="C343" s="231"/>
      <c r="E343" s="326"/>
    </row>
    <row r="344">
      <c r="A344" s="231"/>
      <c r="B344" s="307"/>
      <c r="C344" s="231"/>
      <c r="E344" s="326"/>
    </row>
    <row r="345">
      <c r="A345" s="231"/>
      <c r="B345" s="307"/>
      <c r="C345" s="231"/>
      <c r="E345" s="326"/>
    </row>
    <row r="346">
      <c r="A346" s="231"/>
      <c r="B346" s="307"/>
      <c r="C346" s="231"/>
      <c r="E346" s="326"/>
    </row>
    <row r="347">
      <c r="A347" s="231"/>
      <c r="B347" s="307"/>
      <c r="C347" s="231"/>
      <c r="E347" s="326"/>
    </row>
    <row r="348">
      <c r="A348" s="231"/>
      <c r="B348" s="307"/>
      <c r="C348" s="231"/>
      <c r="E348" s="326"/>
    </row>
    <row r="349">
      <c r="A349" s="231"/>
      <c r="B349" s="307"/>
      <c r="C349" s="231"/>
      <c r="E349" s="326"/>
    </row>
    <row r="350">
      <c r="A350" s="231"/>
      <c r="B350" s="307"/>
      <c r="C350" s="231"/>
      <c r="E350" s="326"/>
    </row>
    <row r="351">
      <c r="A351" s="231"/>
      <c r="B351" s="307"/>
      <c r="C351" s="231"/>
      <c r="E351" s="326"/>
    </row>
    <row r="352">
      <c r="A352" s="231"/>
      <c r="B352" s="307"/>
      <c r="C352" s="231"/>
      <c r="E352" s="326"/>
    </row>
    <row r="353">
      <c r="A353" s="231"/>
      <c r="B353" s="307"/>
      <c r="C353" s="231"/>
      <c r="E353" s="326"/>
    </row>
    <row r="354">
      <c r="A354" s="231"/>
      <c r="B354" s="307"/>
      <c r="C354" s="231"/>
      <c r="E354" s="326"/>
    </row>
    <row r="355">
      <c r="A355" s="231"/>
      <c r="B355" s="307"/>
      <c r="C355" s="231"/>
      <c r="E355" s="326"/>
    </row>
    <row r="356">
      <c r="A356" s="231"/>
      <c r="B356" s="307"/>
      <c r="C356" s="231"/>
      <c r="E356" s="326"/>
    </row>
    <row r="357">
      <c r="A357" s="231"/>
      <c r="B357" s="307"/>
      <c r="C357" s="231"/>
      <c r="E357" s="326"/>
    </row>
    <row r="358">
      <c r="A358" s="231"/>
      <c r="B358" s="307"/>
      <c r="C358" s="231"/>
      <c r="E358" s="326"/>
    </row>
    <row r="359">
      <c r="A359" s="231"/>
      <c r="B359" s="307"/>
      <c r="C359" s="231"/>
      <c r="E359" s="326"/>
    </row>
    <row r="360">
      <c r="A360" s="231"/>
      <c r="B360" s="307"/>
      <c r="C360" s="231"/>
      <c r="E360" s="326"/>
    </row>
    <row r="361">
      <c r="A361" s="231"/>
      <c r="B361" s="307"/>
      <c r="C361" s="231"/>
      <c r="E361" s="326"/>
    </row>
    <row r="362">
      <c r="A362" s="231"/>
      <c r="B362" s="307"/>
      <c r="C362" s="231"/>
      <c r="E362" s="326"/>
    </row>
    <row r="363">
      <c r="A363" s="231"/>
      <c r="B363" s="307"/>
      <c r="C363" s="231"/>
      <c r="E363" s="326"/>
    </row>
    <row r="364">
      <c r="A364" s="231"/>
      <c r="B364" s="307"/>
      <c r="C364" s="231"/>
      <c r="E364" s="326"/>
    </row>
    <row r="365">
      <c r="A365" s="231"/>
      <c r="B365" s="307"/>
      <c r="C365" s="231"/>
      <c r="E365" s="326"/>
    </row>
    <row r="366">
      <c r="A366" s="231"/>
      <c r="B366" s="307"/>
      <c r="C366" s="231"/>
      <c r="E366" s="326"/>
    </row>
    <row r="367">
      <c r="A367" s="231"/>
      <c r="B367" s="307"/>
      <c r="C367" s="231"/>
      <c r="E367" s="326"/>
    </row>
    <row r="368">
      <c r="A368" s="231"/>
      <c r="B368" s="307"/>
      <c r="C368" s="231"/>
      <c r="E368" s="326"/>
    </row>
    <row r="369">
      <c r="A369" s="231"/>
      <c r="B369" s="307"/>
      <c r="C369" s="231"/>
      <c r="E369" s="326"/>
    </row>
    <row r="370">
      <c r="A370" s="231"/>
      <c r="B370" s="307"/>
      <c r="C370" s="231"/>
      <c r="E370" s="326"/>
    </row>
    <row r="371">
      <c r="A371" s="231"/>
      <c r="B371" s="307"/>
      <c r="C371" s="231"/>
      <c r="E371" s="326"/>
    </row>
    <row r="372">
      <c r="A372" s="231"/>
      <c r="B372" s="307"/>
      <c r="C372" s="231"/>
      <c r="E372" s="326"/>
    </row>
    <row r="373">
      <c r="A373" s="231"/>
      <c r="B373" s="307"/>
      <c r="C373" s="231"/>
      <c r="E373" s="326"/>
    </row>
    <row r="374">
      <c r="A374" s="231"/>
      <c r="B374" s="307"/>
      <c r="C374" s="231"/>
      <c r="E374" s="326"/>
    </row>
    <row r="375">
      <c r="A375" s="231"/>
      <c r="B375" s="307"/>
      <c r="C375" s="231"/>
      <c r="E375" s="326"/>
    </row>
    <row r="376">
      <c r="A376" s="231"/>
      <c r="B376" s="307"/>
      <c r="C376" s="231"/>
      <c r="E376" s="326"/>
    </row>
    <row r="377">
      <c r="A377" s="231"/>
      <c r="B377" s="307"/>
      <c r="C377" s="231"/>
      <c r="E377" s="326"/>
    </row>
    <row r="378">
      <c r="A378" s="231"/>
      <c r="B378" s="307"/>
      <c r="C378" s="231"/>
      <c r="E378" s="326"/>
    </row>
    <row r="379">
      <c r="A379" s="231"/>
      <c r="B379" s="307"/>
      <c r="C379" s="231"/>
      <c r="E379" s="326"/>
    </row>
    <row r="380">
      <c r="A380" s="231"/>
      <c r="B380" s="307"/>
      <c r="C380" s="231"/>
      <c r="E380" s="326"/>
    </row>
    <row r="381">
      <c r="A381" s="231"/>
      <c r="B381" s="307"/>
      <c r="C381" s="231"/>
      <c r="E381" s="326"/>
    </row>
    <row r="382">
      <c r="A382" s="231"/>
      <c r="B382" s="307"/>
      <c r="C382" s="231"/>
      <c r="E382" s="326"/>
    </row>
    <row r="383">
      <c r="A383" s="231"/>
      <c r="B383" s="307"/>
      <c r="C383" s="231"/>
      <c r="E383" s="326"/>
    </row>
    <row r="384">
      <c r="A384" s="231"/>
      <c r="B384" s="307"/>
      <c r="C384" s="231"/>
      <c r="E384" s="326"/>
    </row>
    <row r="385">
      <c r="A385" s="231"/>
      <c r="B385" s="307"/>
      <c r="C385" s="231"/>
      <c r="E385" s="326"/>
    </row>
    <row r="386">
      <c r="A386" s="231"/>
      <c r="B386" s="307"/>
      <c r="C386" s="231"/>
      <c r="E386" s="326"/>
    </row>
    <row r="387">
      <c r="A387" s="231"/>
      <c r="B387" s="307"/>
      <c r="C387" s="231"/>
      <c r="E387" s="326"/>
    </row>
    <row r="388">
      <c r="A388" s="231"/>
      <c r="B388" s="307"/>
      <c r="C388" s="231"/>
      <c r="E388" s="326"/>
    </row>
    <row r="389">
      <c r="A389" s="231"/>
      <c r="B389" s="307"/>
      <c r="C389" s="231"/>
      <c r="E389" s="326"/>
    </row>
    <row r="390">
      <c r="A390" s="231"/>
      <c r="B390" s="307"/>
      <c r="C390" s="231"/>
      <c r="E390" s="326"/>
    </row>
    <row r="391">
      <c r="A391" s="231"/>
      <c r="B391" s="307"/>
      <c r="C391" s="231"/>
      <c r="E391" s="326"/>
    </row>
    <row r="392">
      <c r="A392" s="231"/>
      <c r="B392" s="307"/>
      <c r="C392" s="231"/>
      <c r="E392" s="326"/>
    </row>
    <row r="393">
      <c r="A393" s="231"/>
      <c r="B393" s="307"/>
      <c r="C393" s="231"/>
      <c r="E393" s="326"/>
    </row>
    <row r="394">
      <c r="A394" s="231"/>
      <c r="B394" s="307"/>
      <c r="C394" s="231"/>
      <c r="E394" s="326"/>
    </row>
    <row r="395">
      <c r="A395" s="231"/>
      <c r="B395" s="307"/>
      <c r="C395" s="231"/>
      <c r="E395" s="326"/>
    </row>
    <row r="396">
      <c r="A396" s="231"/>
      <c r="B396" s="307"/>
      <c r="C396" s="231"/>
      <c r="E396" s="326"/>
    </row>
    <row r="397">
      <c r="A397" s="231"/>
      <c r="B397" s="307"/>
      <c r="C397" s="231"/>
      <c r="E397" s="326"/>
    </row>
    <row r="398">
      <c r="A398" s="231"/>
      <c r="B398" s="307"/>
      <c r="C398" s="231"/>
      <c r="E398" s="326"/>
    </row>
    <row r="399">
      <c r="A399" s="231"/>
      <c r="B399" s="307"/>
      <c r="C399" s="231"/>
      <c r="E399" s="326"/>
    </row>
    <row r="400">
      <c r="A400" s="231"/>
      <c r="B400" s="307"/>
      <c r="C400" s="231"/>
      <c r="E400" s="326"/>
    </row>
    <row r="401">
      <c r="A401" s="231"/>
      <c r="B401" s="307"/>
      <c r="C401" s="231"/>
      <c r="E401" s="326"/>
    </row>
    <row r="402">
      <c r="A402" s="231"/>
      <c r="B402" s="307"/>
      <c r="C402" s="231"/>
      <c r="E402" s="326"/>
    </row>
    <row r="403">
      <c r="A403" s="231"/>
      <c r="B403" s="307"/>
      <c r="C403" s="231"/>
      <c r="E403" s="326"/>
    </row>
    <row r="404">
      <c r="A404" s="231"/>
      <c r="B404" s="307"/>
      <c r="C404" s="231"/>
      <c r="E404" s="326"/>
    </row>
    <row r="405">
      <c r="A405" s="231"/>
      <c r="B405" s="307"/>
      <c r="C405" s="231"/>
      <c r="E405" s="326"/>
    </row>
    <row r="406">
      <c r="A406" s="231"/>
      <c r="B406" s="307"/>
      <c r="C406" s="231"/>
      <c r="E406" s="326"/>
    </row>
    <row r="407">
      <c r="A407" s="231"/>
      <c r="B407" s="307"/>
      <c r="C407" s="231"/>
      <c r="E407" s="326"/>
    </row>
    <row r="408">
      <c r="A408" s="231"/>
      <c r="B408" s="307"/>
      <c r="C408" s="231"/>
      <c r="E408" s="326"/>
    </row>
    <row r="409">
      <c r="A409" s="231"/>
      <c r="B409" s="307"/>
      <c r="C409" s="231"/>
      <c r="E409" s="326"/>
    </row>
    <row r="410">
      <c r="A410" s="231"/>
      <c r="B410" s="307"/>
      <c r="C410" s="231"/>
      <c r="E410" s="326"/>
    </row>
    <row r="411">
      <c r="A411" s="231"/>
      <c r="B411" s="307"/>
      <c r="C411" s="231"/>
      <c r="E411" s="326"/>
    </row>
    <row r="412">
      <c r="A412" s="231"/>
      <c r="B412" s="307"/>
      <c r="C412" s="231"/>
      <c r="E412" s="326"/>
    </row>
    <row r="413">
      <c r="A413" s="231"/>
      <c r="B413" s="307"/>
      <c r="C413" s="231"/>
      <c r="E413" s="326"/>
    </row>
    <row r="414">
      <c r="A414" s="231"/>
      <c r="B414" s="307"/>
      <c r="C414" s="231"/>
      <c r="E414" s="326"/>
    </row>
    <row r="415">
      <c r="A415" s="231"/>
      <c r="B415" s="307"/>
      <c r="C415" s="231"/>
      <c r="E415" s="326"/>
    </row>
    <row r="416">
      <c r="A416" s="231"/>
      <c r="B416" s="307"/>
      <c r="C416" s="231"/>
      <c r="E416" s="326"/>
    </row>
    <row r="417">
      <c r="A417" s="231"/>
      <c r="B417" s="307"/>
      <c r="C417" s="231"/>
      <c r="E417" s="326"/>
    </row>
    <row r="418">
      <c r="A418" s="231"/>
      <c r="B418" s="307"/>
      <c r="C418" s="231"/>
      <c r="E418" s="326"/>
    </row>
    <row r="419">
      <c r="A419" s="231"/>
      <c r="B419" s="307"/>
      <c r="C419" s="231"/>
      <c r="E419" s="326"/>
    </row>
    <row r="420">
      <c r="A420" s="231"/>
      <c r="B420" s="307"/>
      <c r="C420" s="231"/>
      <c r="E420" s="326"/>
    </row>
    <row r="421">
      <c r="A421" s="231"/>
      <c r="B421" s="307"/>
      <c r="C421" s="231"/>
      <c r="E421" s="326"/>
    </row>
    <row r="422">
      <c r="A422" s="231"/>
      <c r="B422" s="307"/>
      <c r="C422" s="231"/>
      <c r="E422" s="326"/>
    </row>
    <row r="423">
      <c r="A423" s="231"/>
      <c r="B423" s="307"/>
      <c r="C423" s="231"/>
      <c r="E423" s="326"/>
    </row>
    <row r="424">
      <c r="A424" s="231"/>
      <c r="B424" s="307"/>
      <c r="C424" s="231"/>
      <c r="E424" s="326"/>
    </row>
    <row r="425">
      <c r="A425" s="231"/>
      <c r="B425" s="307"/>
      <c r="C425" s="231"/>
      <c r="E425" s="326"/>
    </row>
    <row r="426">
      <c r="A426" s="231"/>
      <c r="B426" s="307"/>
      <c r="C426" s="231"/>
      <c r="E426" s="326"/>
    </row>
    <row r="427">
      <c r="A427" s="231"/>
      <c r="B427" s="307"/>
      <c r="C427" s="231"/>
      <c r="E427" s="326"/>
    </row>
    <row r="428">
      <c r="A428" s="231"/>
      <c r="B428" s="307"/>
      <c r="C428" s="231"/>
      <c r="E428" s="326"/>
    </row>
    <row r="429">
      <c r="A429" s="231"/>
      <c r="B429" s="307"/>
      <c r="C429" s="231"/>
      <c r="E429" s="326"/>
    </row>
    <row r="430">
      <c r="A430" s="231"/>
      <c r="B430" s="307"/>
      <c r="C430" s="231"/>
      <c r="E430" s="326"/>
    </row>
    <row r="431">
      <c r="A431" s="231"/>
      <c r="B431" s="307"/>
      <c r="C431" s="231"/>
      <c r="E431" s="326"/>
    </row>
    <row r="432">
      <c r="A432" s="231"/>
      <c r="B432" s="307"/>
      <c r="C432" s="231"/>
      <c r="E432" s="326"/>
    </row>
    <row r="433">
      <c r="A433" s="231"/>
      <c r="B433" s="307"/>
      <c r="C433" s="231"/>
      <c r="E433" s="326"/>
    </row>
    <row r="434">
      <c r="A434" s="231"/>
      <c r="B434" s="307"/>
      <c r="C434" s="231"/>
      <c r="E434" s="326"/>
    </row>
    <row r="435">
      <c r="A435" s="231"/>
      <c r="B435" s="307"/>
      <c r="C435" s="231"/>
      <c r="E435" s="326"/>
    </row>
    <row r="436">
      <c r="A436" s="231"/>
      <c r="B436" s="307"/>
      <c r="C436" s="231"/>
      <c r="E436" s="326"/>
    </row>
    <row r="437">
      <c r="A437" s="231"/>
      <c r="B437" s="307"/>
      <c r="C437" s="231"/>
      <c r="E437" s="326"/>
    </row>
    <row r="438">
      <c r="A438" s="231"/>
      <c r="B438" s="307"/>
      <c r="C438" s="231"/>
      <c r="E438" s="326"/>
    </row>
    <row r="439">
      <c r="A439" s="231"/>
      <c r="B439" s="307"/>
      <c r="C439" s="231"/>
      <c r="E439" s="326"/>
    </row>
    <row r="440">
      <c r="A440" s="231"/>
      <c r="B440" s="307"/>
      <c r="C440" s="231"/>
      <c r="E440" s="326"/>
    </row>
    <row r="441">
      <c r="A441" s="231"/>
      <c r="B441" s="307"/>
      <c r="C441" s="231"/>
      <c r="E441" s="326"/>
    </row>
    <row r="442">
      <c r="A442" s="231"/>
      <c r="B442" s="307"/>
      <c r="C442" s="231"/>
      <c r="E442" s="326"/>
    </row>
    <row r="443">
      <c r="A443" s="231"/>
      <c r="B443" s="307"/>
      <c r="C443" s="231"/>
      <c r="E443" s="326"/>
    </row>
    <row r="444">
      <c r="A444" s="231"/>
      <c r="B444" s="307"/>
      <c r="C444" s="231"/>
      <c r="E444" s="326"/>
    </row>
    <row r="445">
      <c r="A445" s="231"/>
      <c r="B445" s="307"/>
      <c r="C445" s="231"/>
      <c r="E445" s="326"/>
    </row>
    <row r="446">
      <c r="A446" s="231"/>
      <c r="B446" s="307"/>
      <c r="C446" s="231"/>
      <c r="E446" s="326"/>
    </row>
    <row r="447">
      <c r="A447" s="231"/>
      <c r="B447" s="307"/>
      <c r="C447" s="231"/>
      <c r="E447" s="326"/>
    </row>
    <row r="448">
      <c r="A448" s="231"/>
      <c r="B448" s="307"/>
      <c r="C448" s="231"/>
      <c r="E448" s="326"/>
    </row>
    <row r="449">
      <c r="A449" s="231"/>
      <c r="B449" s="307"/>
      <c r="C449" s="231"/>
      <c r="E449" s="326"/>
    </row>
    <row r="450">
      <c r="A450" s="231"/>
      <c r="B450" s="307"/>
      <c r="C450" s="231"/>
      <c r="E450" s="326"/>
    </row>
    <row r="451">
      <c r="A451" s="231"/>
      <c r="B451" s="307"/>
      <c r="C451" s="231"/>
      <c r="E451" s="326"/>
    </row>
    <row r="452">
      <c r="A452" s="231"/>
      <c r="B452" s="307"/>
      <c r="C452" s="231"/>
      <c r="E452" s="326"/>
    </row>
    <row r="453">
      <c r="A453" s="231"/>
      <c r="B453" s="307"/>
      <c r="C453" s="231"/>
      <c r="E453" s="326"/>
    </row>
    <row r="454">
      <c r="A454" s="231"/>
      <c r="B454" s="307"/>
      <c r="C454" s="231"/>
      <c r="E454" s="326"/>
    </row>
    <row r="455">
      <c r="A455" s="231"/>
      <c r="B455" s="307"/>
      <c r="C455" s="231"/>
      <c r="E455" s="326"/>
    </row>
    <row r="456">
      <c r="A456" s="231"/>
      <c r="B456" s="307"/>
      <c r="C456" s="231"/>
      <c r="E456" s="326"/>
    </row>
    <row r="457">
      <c r="A457" s="231"/>
      <c r="B457" s="307"/>
      <c r="C457" s="231"/>
      <c r="E457" s="326"/>
    </row>
    <row r="458">
      <c r="A458" s="231"/>
      <c r="B458" s="307"/>
      <c r="C458" s="231"/>
      <c r="E458" s="326"/>
    </row>
    <row r="459">
      <c r="A459" s="231"/>
      <c r="B459" s="307"/>
      <c r="C459" s="231"/>
      <c r="E459" s="326"/>
    </row>
    <row r="460">
      <c r="A460" s="231"/>
      <c r="B460" s="307"/>
      <c r="C460" s="231"/>
      <c r="E460" s="326"/>
    </row>
    <row r="461">
      <c r="A461" s="231"/>
      <c r="B461" s="307"/>
      <c r="C461" s="231"/>
      <c r="E461" s="326"/>
    </row>
    <row r="462">
      <c r="A462" s="231"/>
      <c r="B462" s="307"/>
      <c r="C462" s="231"/>
      <c r="E462" s="326"/>
    </row>
    <row r="463">
      <c r="A463" s="231"/>
      <c r="B463" s="307"/>
      <c r="C463" s="231"/>
      <c r="E463" s="326"/>
    </row>
    <row r="464">
      <c r="A464" s="231"/>
      <c r="B464" s="307"/>
      <c r="C464" s="231"/>
      <c r="E464" s="326"/>
    </row>
    <row r="465">
      <c r="A465" s="231"/>
      <c r="B465" s="307"/>
      <c r="C465" s="231"/>
      <c r="E465" s="326"/>
    </row>
    <row r="466">
      <c r="A466" s="231"/>
      <c r="B466" s="307"/>
      <c r="C466" s="231"/>
      <c r="E466" s="326"/>
    </row>
    <row r="467">
      <c r="A467" s="231"/>
      <c r="B467" s="307"/>
      <c r="C467" s="231"/>
      <c r="E467" s="326"/>
    </row>
    <row r="468">
      <c r="A468" s="231"/>
      <c r="B468" s="307"/>
      <c r="C468" s="231"/>
      <c r="E468" s="326"/>
    </row>
    <row r="469">
      <c r="A469" s="231"/>
      <c r="B469" s="307"/>
      <c r="C469" s="231"/>
      <c r="E469" s="326"/>
    </row>
    <row r="470">
      <c r="A470" s="231"/>
      <c r="B470" s="307"/>
      <c r="C470" s="231"/>
      <c r="E470" s="326"/>
    </row>
    <row r="471">
      <c r="A471" s="231"/>
      <c r="B471" s="307"/>
      <c r="C471" s="231"/>
      <c r="E471" s="326"/>
    </row>
    <row r="472">
      <c r="A472" s="231"/>
      <c r="B472" s="307"/>
      <c r="C472" s="231"/>
      <c r="E472" s="326"/>
    </row>
    <row r="473">
      <c r="A473" s="231"/>
      <c r="B473" s="307"/>
      <c r="C473" s="231"/>
      <c r="E473" s="326"/>
    </row>
    <row r="474">
      <c r="A474" s="231"/>
      <c r="B474" s="307"/>
      <c r="C474" s="231"/>
      <c r="E474" s="326"/>
    </row>
    <row r="475">
      <c r="A475" s="231"/>
      <c r="B475" s="307"/>
      <c r="C475" s="231"/>
      <c r="E475" s="326"/>
    </row>
    <row r="476">
      <c r="A476" s="231"/>
      <c r="B476" s="307"/>
      <c r="C476" s="231"/>
      <c r="E476" s="326"/>
    </row>
    <row r="477">
      <c r="A477" s="231"/>
      <c r="B477" s="307"/>
      <c r="C477" s="231"/>
      <c r="E477" s="326"/>
    </row>
    <row r="478">
      <c r="A478" s="231"/>
      <c r="B478" s="307"/>
      <c r="C478" s="231"/>
      <c r="E478" s="326"/>
    </row>
    <row r="479">
      <c r="A479" s="231"/>
      <c r="B479" s="307"/>
      <c r="C479" s="231"/>
      <c r="E479" s="326"/>
    </row>
    <row r="480">
      <c r="A480" s="231"/>
      <c r="B480" s="307"/>
      <c r="C480" s="231"/>
      <c r="E480" s="326"/>
    </row>
    <row r="481">
      <c r="A481" s="231"/>
      <c r="B481" s="307"/>
      <c r="C481" s="231"/>
      <c r="E481" s="326"/>
    </row>
    <row r="482">
      <c r="A482" s="231"/>
      <c r="B482" s="307"/>
      <c r="C482" s="231"/>
      <c r="E482" s="326"/>
    </row>
    <row r="483">
      <c r="A483" s="231"/>
      <c r="B483" s="307"/>
      <c r="C483" s="231"/>
      <c r="E483" s="326"/>
    </row>
    <row r="484">
      <c r="A484" s="231"/>
      <c r="B484" s="307"/>
      <c r="C484" s="231"/>
      <c r="E484" s="326"/>
    </row>
    <row r="485">
      <c r="A485" s="231"/>
      <c r="B485" s="307"/>
      <c r="C485" s="231"/>
      <c r="E485" s="326"/>
    </row>
    <row r="486">
      <c r="A486" s="231"/>
      <c r="B486" s="307"/>
      <c r="C486" s="231"/>
      <c r="E486" s="326"/>
    </row>
    <row r="487">
      <c r="A487" s="231"/>
      <c r="B487" s="307"/>
      <c r="C487" s="231"/>
      <c r="E487" s="326"/>
    </row>
    <row r="488">
      <c r="A488" s="231"/>
      <c r="B488" s="307"/>
      <c r="C488" s="231"/>
      <c r="E488" s="326"/>
    </row>
    <row r="489">
      <c r="A489" s="231"/>
      <c r="B489" s="307"/>
      <c r="C489" s="231"/>
      <c r="E489" s="326"/>
    </row>
    <row r="490">
      <c r="A490" s="231"/>
      <c r="B490" s="307"/>
      <c r="C490" s="231"/>
      <c r="E490" s="326"/>
    </row>
    <row r="491">
      <c r="A491" s="231"/>
      <c r="B491" s="307"/>
      <c r="C491" s="231"/>
      <c r="E491" s="326"/>
    </row>
    <row r="492">
      <c r="A492" s="231"/>
      <c r="B492" s="307"/>
      <c r="C492" s="231"/>
      <c r="E492" s="326"/>
    </row>
    <row r="493">
      <c r="A493" s="231"/>
      <c r="B493" s="307"/>
      <c r="C493" s="231"/>
      <c r="E493" s="326"/>
    </row>
    <row r="494">
      <c r="A494" s="231"/>
      <c r="B494" s="307"/>
      <c r="C494" s="231"/>
      <c r="E494" s="326"/>
    </row>
    <row r="495">
      <c r="A495" s="231"/>
      <c r="B495" s="307"/>
      <c r="C495" s="231"/>
      <c r="E495" s="326"/>
    </row>
    <row r="496">
      <c r="A496" s="231"/>
      <c r="B496" s="307"/>
      <c r="C496" s="231"/>
      <c r="E496" s="326"/>
    </row>
    <row r="497">
      <c r="A497" s="231"/>
      <c r="B497" s="307"/>
      <c r="C497" s="231"/>
      <c r="E497" s="326"/>
    </row>
    <row r="498">
      <c r="A498" s="231"/>
      <c r="B498" s="307"/>
      <c r="C498" s="231"/>
      <c r="E498" s="326"/>
    </row>
    <row r="499">
      <c r="A499" s="231"/>
      <c r="B499" s="307"/>
      <c r="C499" s="231"/>
      <c r="E499" s="326"/>
    </row>
    <row r="500">
      <c r="A500" s="231"/>
      <c r="B500" s="307"/>
      <c r="C500" s="231"/>
      <c r="E500" s="326"/>
    </row>
    <row r="501">
      <c r="A501" s="231"/>
      <c r="B501" s="307"/>
      <c r="C501" s="231"/>
      <c r="E501" s="326"/>
    </row>
    <row r="502">
      <c r="A502" s="231"/>
      <c r="B502" s="307"/>
      <c r="C502" s="231"/>
      <c r="E502" s="326"/>
    </row>
    <row r="503">
      <c r="A503" s="231"/>
      <c r="B503" s="307"/>
      <c r="C503" s="231"/>
      <c r="E503" s="326"/>
    </row>
    <row r="504">
      <c r="A504" s="231"/>
      <c r="B504" s="307"/>
      <c r="C504" s="231"/>
      <c r="E504" s="326"/>
    </row>
    <row r="505">
      <c r="A505" s="231"/>
      <c r="B505" s="307"/>
      <c r="C505" s="231"/>
      <c r="E505" s="326"/>
    </row>
    <row r="506">
      <c r="A506" s="231"/>
      <c r="B506" s="307"/>
      <c r="C506" s="231"/>
      <c r="E506" s="326"/>
    </row>
    <row r="507">
      <c r="A507" s="231"/>
      <c r="B507" s="307"/>
      <c r="C507" s="231"/>
      <c r="E507" s="326"/>
    </row>
    <row r="508">
      <c r="A508" s="231"/>
      <c r="B508" s="307"/>
      <c r="C508" s="231"/>
      <c r="E508" s="326"/>
    </row>
    <row r="509">
      <c r="A509" s="231"/>
      <c r="B509" s="307"/>
      <c r="C509" s="231"/>
      <c r="E509" s="326"/>
    </row>
    <row r="510">
      <c r="A510" s="231"/>
      <c r="B510" s="307"/>
      <c r="C510" s="231"/>
      <c r="E510" s="326"/>
    </row>
    <row r="511">
      <c r="A511" s="231"/>
      <c r="B511" s="307"/>
      <c r="C511" s="231"/>
      <c r="E511" s="326"/>
    </row>
    <row r="512">
      <c r="A512" s="231"/>
      <c r="B512" s="307"/>
      <c r="C512" s="231"/>
      <c r="E512" s="326"/>
    </row>
    <row r="513">
      <c r="A513" s="231"/>
      <c r="B513" s="307"/>
      <c r="C513" s="231"/>
      <c r="E513" s="326"/>
    </row>
    <row r="514">
      <c r="A514" s="231"/>
      <c r="B514" s="307"/>
      <c r="C514" s="231"/>
      <c r="E514" s="326"/>
    </row>
    <row r="515">
      <c r="A515" s="231"/>
      <c r="B515" s="307"/>
      <c r="C515" s="231"/>
      <c r="E515" s="326"/>
    </row>
    <row r="516">
      <c r="A516" s="231"/>
      <c r="B516" s="307"/>
      <c r="C516" s="231"/>
      <c r="E516" s="326"/>
    </row>
    <row r="517">
      <c r="A517" s="231"/>
      <c r="B517" s="307"/>
      <c r="C517" s="231"/>
      <c r="E517" s="326"/>
    </row>
    <row r="518">
      <c r="A518" s="231"/>
      <c r="B518" s="307"/>
      <c r="C518" s="231"/>
      <c r="E518" s="326"/>
    </row>
    <row r="519">
      <c r="A519" s="231"/>
      <c r="B519" s="307"/>
      <c r="C519" s="231"/>
      <c r="E519" s="326"/>
    </row>
    <row r="520">
      <c r="A520" s="231"/>
      <c r="B520" s="307"/>
      <c r="C520" s="231"/>
      <c r="E520" s="326"/>
    </row>
    <row r="521">
      <c r="A521" s="231"/>
      <c r="B521" s="307"/>
      <c r="C521" s="231"/>
      <c r="E521" s="326"/>
    </row>
    <row r="522">
      <c r="A522" s="231"/>
      <c r="B522" s="307"/>
      <c r="C522" s="231"/>
      <c r="E522" s="326"/>
    </row>
    <row r="523">
      <c r="A523" s="231"/>
      <c r="B523" s="307"/>
      <c r="C523" s="231"/>
      <c r="E523" s="326"/>
    </row>
    <row r="524">
      <c r="A524" s="231"/>
      <c r="B524" s="307"/>
      <c r="C524" s="231"/>
      <c r="E524" s="326"/>
    </row>
    <row r="525">
      <c r="A525" s="231"/>
      <c r="B525" s="307"/>
      <c r="C525" s="231"/>
      <c r="E525" s="326"/>
    </row>
    <row r="526">
      <c r="A526" s="231"/>
      <c r="B526" s="307"/>
      <c r="C526" s="231"/>
      <c r="E526" s="326"/>
    </row>
    <row r="527">
      <c r="A527" s="231"/>
      <c r="B527" s="307"/>
      <c r="C527" s="231"/>
      <c r="E527" s="326"/>
    </row>
    <row r="528">
      <c r="A528" s="231"/>
      <c r="B528" s="307"/>
      <c r="C528" s="231"/>
      <c r="E528" s="326"/>
    </row>
    <row r="529">
      <c r="A529" s="231"/>
      <c r="B529" s="307"/>
      <c r="C529" s="231"/>
      <c r="E529" s="326"/>
    </row>
    <row r="530">
      <c r="A530" s="231"/>
      <c r="B530" s="307"/>
      <c r="C530" s="231"/>
      <c r="E530" s="326"/>
    </row>
    <row r="531">
      <c r="A531" s="231"/>
      <c r="B531" s="307"/>
      <c r="C531" s="231"/>
      <c r="E531" s="326"/>
    </row>
    <row r="532">
      <c r="A532" s="231"/>
      <c r="B532" s="307"/>
      <c r="C532" s="231"/>
      <c r="E532" s="326"/>
    </row>
    <row r="533">
      <c r="A533" s="231"/>
      <c r="B533" s="307"/>
      <c r="C533" s="231"/>
      <c r="E533" s="326"/>
    </row>
    <row r="534">
      <c r="A534" s="231"/>
      <c r="B534" s="307"/>
      <c r="C534" s="231"/>
      <c r="E534" s="326"/>
    </row>
    <row r="535">
      <c r="A535" s="231"/>
      <c r="B535" s="307"/>
      <c r="C535" s="231"/>
      <c r="E535" s="326"/>
    </row>
    <row r="536">
      <c r="A536" s="231"/>
      <c r="B536" s="307"/>
      <c r="C536" s="231"/>
      <c r="E536" s="326"/>
    </row>
    <row r="537">
      <c r="A537" s="231"/>
      <c r="B537" s="307"/>
      <c r="C537" s="231"/>
      <c r="E537" s="326"/>
    </row>
    <row r="538">
      <c r="A538" s="231"/>
      <c r="B538" s="307"/>
      <c r="C538" s="231"/>
      <c r="E538" s="326"/>
    </row>
    <row r="539">
      <c r="A539" s="231"/>
      <c r="B539" s="307"/>
      <c r="C539" s="231"/>
      <c r="E539" s="326"/>
    </row>
    <row r="540">
      <c r="A540" s="231"/>
      <c r="B540" s="307"/>
      <c r="C540" s="231"/>
      <c r="E540" s="326"/>
    </row>
    <row r="541">
      <c r="A541" s="231"/>
      <c r="B541" s="307"/>
      <c r="C541" s="231"/>
      <c r="E541" s="326"/>
    </row>
    <row r="542">
      <c r="A542" s="231"/>
      <c r="B542" s="307"/>
      <c r="C542" s="231"/>
      <c r="E542" s="326"/>
    </row>
    <row r="543">
      <c r="A543" s="231"/>
      <c r="B543" s="307"/>
      <c r="C543" s="231"/>
      <c r="E543" s="326"/>
    </row>
    <row r="544">
      <c r="A544" s="231"/>
      <c r="B544" s="307"/>
      <c r="C544" s="231"/>
      <c r="E544" s="326"/>
    </row>
    <row r="545">
      <c r="A545" s="231"/>
      <c r="B545" s="307"/>
      <c r="C545" s="231"/>
      <c r="E545" s="326"/>
    </row>
    <row r="546">
      <c r="A546" s="231"/>
      <c r="B546" s="307"/>
      <c r="C546" s="231"/>
      <c r="E546" s="326"/>
    </row>
    <row r="547">
      <c r="A547" s="231"/>
      <c r="B547" s="307"/>
      <c r="C547" s="231"/>
      <c r="E547" s="326"/>
    </row>
    <row r="548">
      <c r="A548" s="231"/>
      <c r="B548" s="307"/>
      <c r="C548" s="231"/>
      <c r="E548" s="326"/>
    </row>
    <row r="549">
      <c r="A549" s="231"/>
      <c r="B549" s="307"/>
      <c r="C549" s="231"/>
      <c r="E549" s="326"/>
    </row>
    <row r="550">
      <c r="A550" s="231"/>
      <c r="B550" s="307"/>
      <c r="C550" s="231"/>
      <c r="E550" s="326"/>
    </row>
    <row r="551">
      <c r="A551" s="231"/>
      <c r="B551" s="307"/>
      <c r="C551" s="231"/>
      <c r="E551" s="326"/>
    </row>
    <row r="552">
      <c r="A552" s="231"/>
      <c r="B552" s="307"/>
      <c r="C552" s="231"/>
      <c r="E552" s="326"/>
    </row>
    <row r="553">
      <c r="A553" s="231"/>
      <c r="B553" s="307"/>
      <c r="C553" s="231"/>
      <c r="E553" s="326"/>
    </row>
    <row r="554">
      <c r="A554" s="231"/>
      <c r="B554" s="307"/>
      <c r="C554" s="231"/>
      <c r="E554" s="326"/>
    </row>
    <row r="555">
      <c r="A555" s="231"/>
      <c r="B555" s="307"/>
      <c r="C555" s="231"/>
      <c r="E555" s="326"/>
    </row>
    <row r="556">
      <c r="A556" s="231"/>
      <c r="B556" s="307"/>
      <c r="C556" s="231"/>
      <c r="E556" s="326"/>
    </row>
    <row r="557">
      <c r="A557" s="231"/>
      <c r="B557" s="307"/>
      <c r="C557" s="231"/>
      <c r="E557" s="326"/>
    </row>
    <row r="558">
      <c r="A558" s="231"/>
      <c r="B558" s="307"/>
      <c r="C558" s="231"/>
      <c r="E558" s="326"/>
    </row>
    <row r="559">
      <c r="A559" s="231"/>
      <c r="B559" s="307"/>
      <c r="C559" s="231"/>
      <c r="E559" s="326"/>
    </row>
    <row r="560">
      <c r="A560" s="231"/>
      <c r="B560" s="307"/>
      <c r="C560" s="231"/>
      <c r="E560" s="326"/>
    </row>
    <row r="561">
      <c r="A561" s="231"/>
      <c r="B561" s="307"/>
      <c r="C561" s="231"/>
      <c r="E561" s="326"/>
    </row>
    <row r="562">
      <c r="A562" s="231"/>
      <c r="B562" s="307"/>
      <c r="C562" s="231"/>
      <c r="E562" s="326"/>
    </row>
    <row r="563">
      <c r="A563" s="231"/>
      <c r="B563" s="307"/>
      <c r="C563" s="231"/>
      <c r="E563" s="326"/>
    </row>
    <row r="564">
      <c r="A564" s="231"/>
      <c r="B564" s="307"/>
      <c r="C564" s="231"/>
      <c r="E564" s="326"/>
    </row>
    <row r="565">
      <c r="A565" s="231"/>
      <c r="B565" s="307"/>
      <c r="C565" s="231"/>
      <c r="E565" s="326"/>
    </row>
    <row r="566">
      <c r="A566" s="231"/>
      <c r="B566" s="307"/>
      <c r="C566" s="231"/>
      <c r="E566" s="326"/>
    </row>
    <row r="567">
      <c r="A567" s="231"/>
      <c r="B567" s="307"/>
      <c r="C567" s="231"/>
      <c r="E567" s="326"/>
    </row>
    <row r="568">
      <c r="A568" s="231"/>
      <c r="B568" s="307"/>
      <c r="C568" s="231"/>
      <c r="E568" s="326"/>
    </row>
    <row r="569">
      <c r="A569" s="231"/>
      <c r="B569" s="307"/>
      <c r="C569" s="231"/>
      <c r="E569" s="326"/>
    </row>
    <row r="570">
      <c r="A570" s="231"/>
      <c r="B570" s="307"/>
      <c r="C570" s="231"/>
      <c r="E570" s="326"/>
    </row>
    <row r="571">
      <c r="A571" s="231"/>
      <c r="B571" s="307"/>
      <c r="C571" s="231"/>
      <c r="E571" s="326"/>
    </row>
    <row r="572">
      <c r="A572" s="231"/>
      <c r="B572" s="307"/>
      <c r="C572" s="231"/>
      <c r="E572" s="326"/>
    </row>
    <row r="573">
      <c r="A573" s="231"/>
      <c r="B573" s="307"/>
      <c r="C573" s="231"/>
      <c r="E573" s="326"/>
    </row>
    <row r="574">
      <c r="A574" s="231"/>
      <c r="B574" s="307"/>
      <c r="C574" s="231"/>
      <c r="E574" s="326"/>
    </row>
    <row r="575">
      <c r="A575" s="231"/>
      <c r="B575" s="307"/>
      <c r="C575" s="231"/>
      <c r="E575" s="326"/>
    </row>
    <row r="576">
      <c r="A576" s="231"/>
      <c r="B576" s="307"/>
      <c r="C576" s="231"/>
      <c r="E576" s="326"/>
    </row>
    <row r="577">
      <c r="A577" s="231"/>
      <c r="B577" s="307"/>
      <c r="C577" s="231"/>
      <c r="E577" s="326"/>
    </row>
    <row r="578">
      <c r="A578" s="231"/>
      <c r="B578" s="307"/>
      <c r="C578" s="231"/>
      <c r="E578" s="326"/>
    </row>
    <row r="579">
      <c r="A579" s="231"/>
      <c r="B579" s="307"/>
      <c r="C579" s="231"/>
      <c r="E579" s="326"/>
    </row>
    <row r="580">
      <c r="A580" s="231"/>
      <c r="B580" s="307"/>
      <c r="C580" s="231"/>
      <c r="E580" s="326"/>
    </row>
    <row r="581">
      <c r="A581" s="231"/>
      <c r="B581" s="307"/>
      <c r="C581" s="231"/>
      <c r="E581" s="326"/>
    </row>
    <row r="582">
      <c r="A582" s="231"/>
      <c r="B582" s="307"/>
      <c r="C582" s="231"/>
      <c r="E582" s="326"/>
    </row>
    <row r="583">
      <c r="A583" s="231"/>
      <c r="B583" s="307"/>
      <c r="C583" s="231"/>
      <c r="E583" s="326"/>
    </row>
    <row r="584">
      <c r="A584" s="231"/>
      <c r="B584" s="307"/>
      <c r="C584" s="231"/>
      <c r="E584" s="326"/>
    </row>
    <row r="585">
      <c r="A585" s="231"/>
      <c r="B585" s="307"/>
      <c r="C585" s="231"/>
      <c r="E585" s="326"/>
    </row>
    <row r="586">
      <c r="A586" s="231"/>
      <c r="B586" s="307"/>
      <c r="C586" s="231"/>
      <c r="E586" s="326"/>
    </row>
    <row r="587">
      <c r="A587" s="231"/>
      <c r="B587" s="307"/>
      <c r="C587" s="231"/>
      <c r="E587" s="326"/>
    </row>
    <row r="588">
      <c r="A588" s="231"/>
      <c r="B588" s="307"/>
      <c r="C588" s="231"/>
      <c r="E588" s="326"/>
    </row>
    <row r="589">
      <c r="A589" s="231"/>
      <c r="B589" s="307"/>
      <c r="C589" s="231"/>
      <c r="E589" s="326"/>
    </row>
    <row r="590">
      <c r="A590" s="231"/>
      <c r="B590" s="307"/>
      <c r="C590" s="231"/>
      <c r="E590" s="326"/>
    </row>
    <row r="591">
      <c r="A591" s="231"/>
      <c r="B591" s="307"/>
      <c r="C591" s="231"/>
      <c r="E591" s="326"/>
    </row>
    <row r="592">
      <c r="A592" s="231"/>
      <c r="B592" s="307"/>
      <c r="C592" s="231"/>
      <c r="E592" s="326"/>
    </row>
    <row r="593">
      <c r="A593" s="231"/>
      <c r="B593" s="307"/>
      <c r="C593" s="231"/>
      <c r="E593" s="326"/>
    </row>
    <row r="594">
      <c r="A594" s="231"/>
      <c r="B594" s="307"/>
      <c r="C594" s="231"/>
      <c r="E594" s="326"/>
    </row>
    <row r="595">
      <c r="A595" s="231"/>
      <c r="B595" s="307"/>
      <c r="C595" s="231"/>
      <c r="E595" s="326"/>
    </row>
    <row r="596">
      <c r="A596" s="231"/>
      <c r="B596" s="307"/>
      <c r="C596" s="231"/>
      <c r="E596" s="326"/>
    </row>
    <row r="597">
      <c r="A597" s="231"/>
      <c r="B597" s="307"/>
      <c r="C597" s="231"/>
      <c r="E597" s="326"/>
    </row>
    <row r="598">
      <c r="A598" s="231"/>
      <c r="B598" s="307"/>
      <c r="C598" s="231"/>
      <c r="E598" s="326"/>
    </row>
    <row r="599">
      <c r="A599" s="231"/>
      <c r="B599" s="307"/>
      <c r="C599" s="231"/>
      <c r="E599" s="326"/>
    </row>
    <row r="600">
      <c r="A600" s="231"/>
      <c r="B600" s="307"/>
      <c r="C600" s="231"/>
      <c r="E600" s="326"/>
    </row>
    <row r="601">
      <c r="A601" s="231"/>
      <c r="B601" s="307"/>
      <c r="C601" s="231"/>
      <c r="E601" s="326"/>
    </row>
    <row r="602">
      <c r="A602" s="231"/>
      <c r="B602" s="307"/>
      <c r="C602" s="231"/>
      <c r="E602" s="326"/>
    </row>
    <row r="603">
      <c r="A603" s="231"/>
      <c r="B603" s="307"/>
      <c r="C603" s="231"/>
      <c r="E603" s="326"/>
    </row>
    <row r="604">
      <c r="A604" s="231"/>
      <c r="B604" s="307"/>
      <c r="C604" s="231"/>
      <c r="E604" s="326"/>
    </row>
    <row r="605">
      <c r="A605" s="231"/>
      <c r="B605" s="307"/>
      <c r="C605" s="231"/>
      <c r="E605" s="326"/>
    </row>
    <row r="606">
      <c r="A606" s="231"/>
      <c r="B606" s="307"/>
      <c r="C606" s="231"/>
      <c r="E606" s="326"/>
    </row>
    <row r="607">
      <c r="A607" s="231"/>
      <c r="B607" s="307"/>
      <c r="C607" s="231"/>
      <c r="E607" s="326"/>
    </row>
    <row r="608">
      <c r="A608" s="231"/>
      <c r="B608" s="307"/>
      <c r="C608" s="231"/>
      <c r="E608" s="326"/>
    </row>
    <row r="609">
      <c r="A609" s="231"/>
      <c r="B609" s="307"/>
      <c r="C609" s="231"/>
      <c r="E609" s="326"/>
    </row>
    <row r="610">
      <c r="A610" s="231"/>
      <c r="B610" s="307"/>
      <c r="C610" s="231"/>
      <c r="E610" s="326"/>
    </row>
    <row r="611">
      <c r="A611" s="231"/>
      <c r="B611" s="307"/>
      <c r="C611" s="231"/>
      <c r="E611" s="326"/>
    </row>
    <row r="612">
      <c r="A612" s="231"/>
      <c r="B612" s="307"/>
      <c r="C612" s="231"/>
      <c r="E612" s="326"/>
    </row>
    <row r="613">
      <c r="A613" s="231"/>
      <c r="B613" s="307"/>
      <c r="C613" s="231"/>
      <c r="E613" s="326"/>
    </row>
    <row r="614">
      <c r="A614" s="231"/>
      <c r="B614" s="307"/>
      <c r="C614" s="231"/>
      <c r="E614" s="326"/>
    </row>
    <row r="615">
      <c r="A615" s="231"/>
      <c r="B615" s="307"/>
      <c r="C615" s="231"/>
      <c r="E615" s="326"/>
    </row>
    <row r="616">
      <c r="A616" s="231"/>
      <c r="B616" s="307"/>
      <c r="C616" s="231"/>
      <c r="E616" s="326"/>
    </row>
    <row r="617">
      <c r="A617" s="231"/>
      <c r="B617" s="307"/>
      <c r="C617" s="231"/>
      <c r="E617" s="326"/>
    </row>
    <row r="618">
      <c r="A618" s="231"/>
      <c r="B618" s="307"/>
      <c r="C618" s="231"/>
      <c r="E618" s="326"/>
    </row>
    <row r="619">
      <c r="A619" s="231"/>
      <c r="B619" s="307"/>
      <c r="C619" s="231"/>
      <c r="E619" s="326"/>
    </row>
    <row r="620">
      <c r="A620" s="231"/>
      <c r="B620" s="307"/>
      <c r="C620" s="231"/>
      <c r="E620" s="326"/>
    </row>
    <row r="621">
      <c r="A621" s="231"/>
      <c r="B621" s="307"/>
      <c r="C621" s="231"/>
      <c r="E621" s="326"/>
    </row>
    <row r="622">
      <c r="A622" s="231"/>
      <c r="B622" s="307"/>
      <c r="C622" s="231"/>
      <c r="E622" s="326"/>
    </row>
    <row r="623">
      <c r="A623" s="231"/>
      <c r="B623" s="307"/>
      <c r="C623" s="231"/>
      <c r="E623" s="326"/>
    </row>
    <row r="624">
      <c r="A624" s="231"/>
      <c r="B624" s="307"/>
      <c r="C624" s="231"/>
      <c r="E624" s="326"/>
    </row>
    <row r="625">
      <c r="A625" s="231"/>
      <c r="B625" s="307"/>
      <c r="C625" s="231"/>
      <c r="E625" s="326"/>
    </row>
    <row r="626">
      <c r="A626" s="231"/>
      <c r="B626" s="307"/>
      <c r="C626" s="231"/>
      <c r="E626" s="326"/>
    </row>
    <row r="627">
      <c r="A627" s="231"/>
      <c r="B627" s="307"/>
      <c r="C627" s="231"/>
      <c r="E627" s="326"/>
    </row>
    <row r="628">
      <c r="A628" s="231"/>
      <c r="B628" s="307"/>
      <c r="C628" s="231"/>
      <c r="E628" s="326"/>
    </row>
    <row r="629">
      <c r="A629" s="231"/>
      <c r="B629" s="307"/>
      <c r="C629" s="231"/>
      <c r="E629" s="326"/>
    </row>
    <row r="630">
      <c r="A630" s="231"/>
      <c r="B630" s="307"/>
      <c r="C630" s="231"/>
      <c r="E630" s="326"/>
    </row>
    <row r="631">
      <c r="A631" s="231"/>
      <c r="B631" s="307"/>
      <c r="C631" s="231"/>
      <c r="E631" s="326"/>
    </row>
    <row r="632">
      <c r="A632" s="231"/>
      <c r="B632" s="307"/>
      <c r="C632" s="231"/>
      <c r="E632" s="326"/>
    </row>
    <row r="633">
      <c r="A633" s="231"/>
      <c r="B633" s="307"/>
      <c r="C633" s="231"/>
      <c r="E633" s="326"/>
    </row>
    <row r="634">
      <c r="A634" s="231"/>
      <c r="B634" s="307"/>
      <c r="C634" s="231"/>
      <c r="E634" s="326"/>
    </row>
    <row r="635">
      <c r="A635" s="231"/>
      <c r="B635" s="307"/>
      <c r="C635" s="231"/>
      <c r="E635" s="326"/>
    </row>
    <row r="636">
      <c r="A636" s="231"/>
      <c r="B636" s="307"/>
      <c r="C636" s="231"/>
      <c r="E636" s="326"/>
    </row>
    <row r="637">
      <c r="A637" s="231"/>
      <c r="B637" s="307"/>
      <c r="C637" s="231"/>
      <c r="E637" s="326"/>
    </row>
    <row r="638">
      <c r="A638" s="231"/>
      <c r="B638" s="307"/>
      <c r="C638" s="231"/>
      <c r="E638" s="326"/>
    </row>
    <row r="639">
      <c r="A639" s="231"/>
      <c r="B639" s="307"/>
      <c r="C639" s="231"/>
      <c r="E639" s="326"/>
    </row>
    <row r="640">
      <c r="A640" s="231"/>
      <c r="B640" s="307"/>
      <c r="C640" s="231"/>
      <c r="E640" s="326"/>
    </row>
    <row r="641">
      <c r="A641" s="231"/>
      <c r="B641" s="307"/>
      <c r="C641" s="231"/>
      <c r="E641" s="326"/>
    </row>
    <row r="642">
      <c r="A642" s="231"/>
      <c r="B642" s="307"/>
      <c r="C642" s="231"/>
      <c r="E642" s="326"/>
    </row>
    <row r="643">
      <c r="A643" s="231"/>
      <c r="B643" s="307"/>
      <c r="C643" s="231"/>
      <c r="E643" s="326"/>
    </row>
    <row r="644">
      <c r="A644" s="231"/>
      <c r="B644" s="307"/>
      <c r="C644" s="231"/>
      <c r="E644" s="326"/>
    </row>
    <row r="645">
      <c r="A645" s="231"/>
      <c r="B645" s="307"/>
      <c r="C645" s="231"/>
      <c r="E645" s="326"/>
    </row>
    <row r="646">
      <c r="A646" s="231"/>
      <c r="B646" s="307"/>
      <c r="C646" s="231"/>
      <c r="E646" s="326"/>
    </row>
    <row r="647">
      <c r="A647" s="231"/>
      <c r="B647" s="307"/>
      <c r="C647" s="231"/>
      <c r="E647" s="326"/>
    </row>
    <row r="648">
      <c r="A648" s="231"/>
      <c r="B648" s="307"/>
      <c r="C648" s="231"/>
      <c r="E648" s="326"/>
    </row>
    <row r="649">
      <c r="A649" s="231"/>
      <c r="B649" s="307"/>
      <c r="C649" s="231"/>
      <c r="E649" s="326"/>
    </row>
    <row r="650">
      <c r="A650" s="231"/>
      <c r="B650" s="307"/>
      <c r="C650" s="231"/>
      <c r="E650" s="326"/>
    </row>
    <row r="651">
      <c r="A651" s="231"/>
      <c r="B651" s="307"/>
      <c r="C651" s="231"/>
      <c r="E651" s="326"/>
    </row>
    <row r="652">
      <c r="A652" s="231"/>
      <c r="B652" s="307"/>
      <c r="C652" s="231"/>
      <c r="E652" s="326"/>
    </row>
    <row r="653">
      <c r="A653" s="231"/>
      <c r="B653" s="307"/>
      <c r="C653" s="231"/>
      <c r="E653" s="326"/>
    </row>
    <row r="654">
      <c r="A654" s="231"/>
      <c r="B654" s="307"/>
      <c r="C654" s="231"/>
      <c r="E654" s="326"/>
    </row>
    <row r="655">
      <c r="A655" s="231"/>
      <c r="B655" s="307"/>
      <c r="C655" s="231"/>
      <c r="E655" s="326"/>
    </row>
    <row r="656">
      <c r="A656" s="231"/>
      <c r="B656" s="307"/>
      <c r="C656" s="231"/>
      <c r="E656" s="326"/>
    </row>
    <row r="657">
      <c r="A657" s="231"/>
      <c r="B657" s="307"/>
      <c r="C657" s="231"/>
      <c r="E657" s="326"/>
    </row>
    <row r="658">
      <c r="A658" s="231"/>
      <c r="B658" s="307"/>
      <c r="C658" s="231"/>
      <c r="E658" s="326"/>
    </row>
    <row r="659">
      <c r="A659" s="231"/>
      <c r="B659" s="307"/>
      <c r="C659" s="231"/>
      <c r="E659" s="326"/>
    </row>
    <row r="660">
      <c r="A660" s="231"/>
      <c r="B660" s="307"/>
      <c r="C660" s="231"/>
      <c r="E660" s="326"/>
    </row>
    <row r="661">
      <c r="A661" s="231"/>
      <c r="B661" s="307"/>
      <c r="C661" s="231"/>
      <c r="E661" s="326"/>
    </row>
    <row r="662">
      <c r="A662" s="231"/>
      <c r="B662" s="307"/>
      <c r="C662" s="231"/>
      <c r="E662" s="326"/>
    </row>
    <row r="663">
      <c r="A663" s="231"/>
      <c r="B663" s="307"/>
      <c r="C663" s="231"/>
      <c r="E663" s="326"/>
    </row>
    <row r="664">
      <c r="A664" s="231"/>
      <c r="B664" s="307"/>
      <c r="C664" s="231"/>
      <c r="E664" s="326"/>
    </row>
    <row r="665">
      <c r="A665" s="231"/>
      <c r="B665" s="307"/>
      <c r="C665" s="231"/>
      <c r="E665" s="326"/>
    </row>
    <row r="666">
      <c r="A666" s="231"/>
      <c r="B666" s="307"/>
      <c r="C666" s="231"/>
      <c r="E666" s="326"/>
    </row>
    <row r="667">
      <c r="A667" s="231"/>
      <c r="B667" s="307"/>
      <c r="C667" s="231"/>
      <c r="E667" s="326"/>
    </row>
    <row r="668">
      <c r="A668" s="231"/>
      <c r="B668" s="307"/>
      <c r="C668" s="231"/>
      <c r="E668" s="326"/>
    </row>
    <row r="669">
      <c r="A669" s="231"/>
      <c r="B669" s="307"/>
      <c r="C669" s="231"/>
      <c r="E669" s="326"/>
    </row>
    <row r="670">
      <c r="A670" s="231"/>
      <c r="B670" s="307"/>
      <c r="C670" s="231"/>
      <c r="E670" s="326"/>
    </row>
    <row r="671">
      <c r="A671" s="231"/>
      <c r="B671" s="307"/>
      <c r="C671" s="231"/>
      <c r="E671" s="326"/>
    </row>
    <row r="672">
      <c r="A672" s="231"/>
      <c r="B672" s="307"/>
      <c r="C672" s="231"/>
      <c r="E672" s="326"/>
    </row>
    <row r="673">
      <c r="A673" s="231"/>
      <c r="B673" s="307"/>
      <c r="C673" s="231"/>
      <c r="E673" s="326"/>
    </row>
    <row r="674">
      <c r="A674" s="231"/>
      <c r="B674" s="307"/>
      <c r="C674" s="231"/>
      <c r="E674" s="326"/>
    </row>
    <row r="675">
      <c r="A675" s="231"/>
      <c r="B675" s="307"/>
      <c r="C675" s="231"/>
      <c r="E675" s="326"/>
    </row>
    <row r="676">
      <c r="A676" s="231"/>
      <c r="B676" s="307"/>
      <c r="C676" s="231"/>
      <c r="E676" s="326"/>
    </row>
    <row r="677">
      <c r="A677" s="231"/>
      <c r="B677" s="307"/>
      <c r="C677" s="231"/>
      <c r="E677" s="326"/>
    </row>
    <row r="678">
      <c r="A678" s="231"/>
      <c r="B678" s="307"/>
      <c r="C678" s="231"/>
      <c r="E678" s="326"/>
    </row>
    <row r="679">
      <c r="A679" s="231"/>
      <c r="B679" s="307"/>
      <c r="C679" s="231"/>
      <c r="E679" s="326"/>
    </row>
    <row r="680">
      <c r="A680" s="231"/>
      <c r="B680" s="307"/>
      <c r="C680" s="231"/>
      <c r="E680" s="326"/>
    </row>
    <row r="681">
      <c r="A681" s="231"/>
      <c r="B681" s="307"/>
      <c r="C681" s="231"/>
      <c r="E681" s="326"/>
    </row>
    <row r="682">
      <c r="A682" s="231"/>
      <c r="B682" s="307"/>
      <c r="C682" s="231"/>
      <c r="E682" s="326"/>
    </row>
    <row r="683">
      <c r="A683" s="231"/>
      <c r="B683" s="307"/>
      <c r="C683" s="231"/>
      <c r="E683" s="326"/>
    </row>
    <row r="684">
      <c r="A684" s="231"/>
      <c r="B684" s="307"/>
      <c r="C684" s="231"/>
      <c r="E684" s="326"/>
    </row>
    <row r="685">
      <c r="A685" s="231"/>
      <c r="B685" s="307"/>
      <c r="C685" s="231"/>
      <c r="E685" s="326"/>
    </row>
    <row r="686">
      <c r="A686" s="231"/>
      <c r="B686" s="307"/>
      <c r="C686" s="231"/>
      <c r="E686" s="326"/>
    </row>
    <row r="687">
      <c r="A687" s="231"/>
      <c r="B687" s="307"/>
      <c r="C687" s="231"/>
      <c r="E687" s="326"/>
    </row>
    <row r="688">
      <c r="A688" s="231"/>
      <c r="B688" s="307"/>
      <c r="C688" s="231"/>
      <c r="E688" s="326"/>
    </row>
    <row r="689">
      <c r="A689" s="231"/>
      <c r="B689" s="307"/>
      <c r="C689" s="231"/>
      <c r="E689" s="326"/>
    </row>
    <row r="690">
      <c r="A690" s="231"/>
      <c r="B690" s="307"/>
      <c r="C690" s="231"/>
      <c r="E690" s="326"/>
    </row>
    <row r="691">
      <c r="A691" s="231"/>
      <c r="B691" s="307"/>
      <c r="C691" s="231"/>
      <c r="E691" s="326"/>
    </row>
    <row r="692">
      <c r="A692" s="231"/>
      <c r="B692" s="307"/>
      <c r="C692" s="231"/>
      <c r="E692" s="326"/>
    </row>
    <row r="693">
      <c r="A693" s="231"/>
      <c r="B693" s="307"/>
      <c r="C693" s="231"/>
      <c r="E693" s="326"/>
    </row>
    <row r="694">
      <c r="A694" s="231"/>
      <c r="B694" s="307"/>
      <c r="C694" s="231"/>
      <c r="E694" s="326"/>
    </row>
    <row r="695">
      <c r="A695" s="231"/>
      <c r="B695" s="307"/>
      <c r="C695" s="231"/>
      <c r="E695" s="326"/>
    </row>
    <row r="696">
      <c r="A696" s="231"/>
      <c r="B696" s="307"/>
      <c r="C696" s="231"/>
      <c r="E696" s="326"/>
    </row>
    <row r="697">
      <c r="A697" s="231"/>
      <c r="B697" s="307"/>
      <c r="C697" s="231"/>
      <c r="E697" s="326"/>
    </row>
    <row r="698">
      <c r="A698" s="231"/>
      <c r="B698" s="307"/>
      <c r="C698" s="231"/>
      <c r="E698" s="326"/>
    </row>
    <row r="699">
      <c r="A699" s="231"/>
      <c r="B699" s="307"/>
      <c r="C699" s="231"/>
      <c r="E699" s="326"/>
    </row>
    <row r="700">
      <c r="A700" s="231"/>
      <c r="B700" s="307"/>
      <c r="C700" s="231"/>
      <c r="E700" s="326"/>
    </row>
    <row r="701">
      <c r="A701" s="231"/>
      <c r="B701" s="307"/>
      <c r="C701" s="231"/>
      <c r="E701" s="326"/>
    </row>
    <row r="702">
      <c r="A702" s="231"/>
      <c r="B702" s="307"/>
      <c r="C702" s="231"/>
      <c r="E702" s="326"/>
    </row>
    <row r="703">
      <c r="A703" s="231"/>
      <c r="B703" s="307"/>
      <c r="C703" s="231"/>
      <c r="E703" s="326"/>
    </row>
    <row r="704">
      <c r="A704" s="231"/>
      <c r="B704" s="307"/>
      <c r="C704" s="231"/>
      <c r="E704" s="326"/>
    </row>
    <row r="705">
      <c r="A705" s="231"/>
      <c r="B705" s="307"/>
      <c r="C705" s="231"/>
      <c r="E705" s="326"/>
    </row>
    <row r="706">
      <c r="A706" s="231"/>
      <c r="B706" s="307"/>
      <c r="C706" s="231"/>
      <c r="E706" s="326"/>
    </row>
    <row r="707">
      <c r="A707" s="231"/>
      <c r="B707" s="307"/>
      <c r="C707" s="231"/>
      <c r="E707" s="326"/>
    </row>
    <row r="708">
      <c r="A708" s="231"/>
      <c r="B708" s="307"/>
      <c r="C708" s="231"/>
      <c r="E708" s="326"/>
    </row>
    <row r="709">
      <c r="A709" s="231"/>
      <c r="B709" s="307"/>
      <c r="C709" s="231"/>
      <c r="E709" s="326"/>
    </row>
    <row r="710">
      <c r="A710" s="231"/>
      <c r="B710" s="307"/>
      <c r="C710" s="231"/>
      <c r="E710" s="326"/>
    </row>
    <row r="711">
      <c r="A711" s="231"/>
      <c r="B711" s="307"/>
      <c r="C711" s="231"/>
      <c r="E711" s="326"/>
    </row>
    <row r="712">
      <c r="A712" s="231"/>
      <c r="B712" s="307"/>
      <c r="C712" s="231"/>
      <c r="E712" s="326"/>
    </row>
    <row r="713">
      <c r="A713" s="231"/>
      <c r="B713" s="307"/>
      <c r="C713" s="231"/>
      <c r="E713" s="326"/>
    </row>
    <row r="714">
      <c r="A714" s="231"/>
      <c r="B714" s="307"/>
      <c r="C714" s="231"/>
      <c r="E714" s="326"/>
    </row>
    <row r="715">
      <c r="A715" s="231"/>
      <c r="B715" s="307"/>
      <c r="C715" s="231"/>
      <c r="E715" s="326"/>
    </row>
    <row r="716">
      <c r="A716" s="231"/>
      <c r="B716" s="307"/>
      <c r="C716" s="231"/>
      <c r="E716" s="326"/>
    </row>
    <row r="717">
      <c r="A717" s="231"/>
      <c r="B717" s="307"/>
      <c r="C717" s="231"/>
      <c r="E717" s="326"/>
    </row>
    <row r="718">
      <c r="A718" s="231"/>
      <c r="B718" s="307"/>
      <c r="C718" s="231"/>
      <c r="E718" s="326"/>
    </row>
    <row r="719">
      <c r="A719" s="231"/>
      <c r="B719" s="307"/>
      <c r="C719" s="231"/>
      <c r="E719" s="326"/>
    </row>
    <row r="720">
      <c r="A720" s="231"/>
      <c r="B720" s="307"/>
      <c r="C720" s="231"/>
      <c r="E720" s="326"/>
    </row>
    <row r="721">
      <c r="A721" s="231"/>
      <c r="B721" s="307"/>
      <c r="C721" s="231"/>
      <c r="E721" s="326"/>
    </row>
    <row r="722">
      <c r="A722" s="231"/>
      <c r="B722" s="307"/>
      <c r="C722" s="231"/>
      <c r="E722" s="326"/>
    </row>
    <row r="723">
      <c r="A723" s="231"/>
      <c r="B723" s="307"/>
      <c r="C723" s="231"/>
      <c r="E723" s="326"/>
    </row>
    <row r="724">
      <c r="A724" s="231"/>
      <c r="B724" s="307"/>
      <c r="C724" s="231"/>
      <c r="E724" s="326"/>
    </row>
    <row r="725">
      <c r="A725" s="231"/>
      <c r="B725" s="307"/>
      <c r="C725" s="231"/>
      <c r="E725" s="326"/>
    </row>
    <row r="726">
      <c r="A726" s="231"/>
      <c r="B726" s="307"/>
      <c r="C726" s="231"/>
      <c r="E726" s="326"/>
    </row>
    <row r="727">
      <c r="A727" s="231"/>
      <c r="B727" s="307"/>
      <c r="C727" s="231"/>
      <c r="E727" s="326"/>
    </row>
    <row r="728">
      <c r="A728" s="231"/>
      <c r="B728" s="307"/>
      <c r="C728" s="231"/>
      <c r="E728" s="326"/>
    </row>
    <row r="729">
      <c r="A729" s="231"/>
      <c r="B729" s="307"/>
      <c r="C729" s="231"/>
      <c r="E729" s="326"/>
    </row>
    <row r="730">
      <c r="A730" s="231"/>
      <c r="B730" s="307"/>
      <c r="C730" s="231"/>
      <c r="E730" s="326"/>
    </row>
    <row r="731">
      <c r="A731" s="231"/>
      <c r="B731" s="307"/>
      <c r="C731" s="231"/>
      <c r="E731" s="326"/>
    </row>
    <row r="732">
      <c r="A732" s="231"/>
      <c r="B732" s="307"/>
      <c r="C732" s="231"/>
      <c r="E732" s="326"/>
    </row>
    <row r="733">
      <c r="A733" s="231"/>
      <c r="B733" s="307"/>
      <c r="C733" s="231"/>
      <c r="E733" s="326"/>
    </row>
    <row r="734">
      <c r="A734" s="231"/>
      <c r="B734" s="307"/>
      <c r="C734" s="231"/>
      <c r="E734" s="326"/>
    </row>
    <row r="735">
      <c r="A735" s="231"/>
      <c r="B735" s="307"/>
      <c r="C735" s="231"/>
      <c r="E735" s="326"/>
    </row>
    <row r="736">
      <c r="A736" s="231"/>
      <c r="B736" s="307"/>
      <c r="C736" s="231"/>
      <c r="E736" s="326"/>
    </row>
    <row r="737">
      <c r="A737" s="231"/>
      <c r="B737" s="307"/>
      <c r="C737" s="231"/>
      <c r="E737" s="326"/>
    </row>
    <row r="738">
      <c r="A738" s="231"/>
      <c r="B738" s="307"/>
      <c r="C738" s="231"/>
      <c r="E738" s="326"/>
    </row>
    <row r="739">
      <c r="A739" s="231"/>
      <c r="B739" s="307"/>
      <c r="C739" s="231"/>
      <c r="E739" s="326"/>
    </row>
    <row r="740">
      <c r="A740" s="231"/>
      <c r="B740" s="307"/>
      <c r="C740" s="231"/>
      <c r="E740" s="326"/>
    </row>
    <row r="741">
      <c r="A741" s="231"/>
      <c r="B741" s="307"/>
      <c r="C741" s="231"/>
      <c r="E741" s="326"/>
    </row>
    <row r="742">
      <c r="A742" s="231"/>
      <c r="B742" s="307"/>
      <c r="C742" s="231"/>
      <c r="E742" s="326"/>
    </row>
    <row r="743">
      <c r="A743" s="231"/>
      <c r="B743" s="307"/>
      <c r="C743" s="231"/>
      <c r="E743" s="326"/>
    </row>
    <row r="744">
      <c r="A744" s="231"/>
      <c r="B744" s="307"/>
      <c r="C744" s="231"/>
      <c r="E744" s="326"/>
    </row>
    <row r="745">
      <c r="A745" s="231"/>
      <c r="B745" s="307"/>
      <c r="C745" s="231"/>
      <c r="E745" s="326"/>
    </row>
    <row r="746">
      <c r="A746" s="231"/>
      <c r="B746" s="307"/>
      <c r="C746" s="231"/>
      <c r="E746" s="326"/>
    </row>
    <row r="747">
      <c r="A747" s="231"/>
      <c r="B747" s="307"/>
      <c r="C747" s="231"/>
      <c r="E747" s="326"/>
    </row>
    <row r="748">
      <c r="A748" s="231"/>
      <c r="B748" s="307"/>
      <c r="C748" s="231"/>
      <c r="E748" s="326"/>
    </row>
    <row r="749">
      <c r="A749" s="231"/>
      <c r="B749" s="307"/>
      <c r="C749" s="231"/>
      <c r="E749" s="326"/>
    </row>
    <row r="750">
      <c r="A750" s="231"/>
      <c r="B750" s="307"/>
      <c r="C750" s="231"/>
      <c r="E750" s="326"/>
    </row>
    <row r="751">
      <c r="A751" s="231"/>
      <c r="B751" s="307"/>
      <c r="C751" s="231"/>
      <c r="E751" s="326"/>
    </row>
    <row r="752">
      <c r="A752" s="231"/>
      <c r="B752" s="307"/>
      <c r="C752" s="231"/>
      <c r="E752" s="326"/>
    </row>
    <row r="753">
      <c r="A753" s="231"/>
      <c r="B753" s="307"/>
      <c r="C753" s="231"/>
      <c r="E753" s="326"/>
    </row>
    <row r="754">
      <c r="A754" s="231"/>
      <c r="B754" s="307"/>
      <c r="C754" s="231"/>
      <c r="E754" s="326"/>
    </row>
    <row r="755">
      <c r="A755" s="231"/>
      <c r="B755" s="307"/>
      <c r="C755" s="231"/>
      <c r="E755" s="326"/>
    </row>
    <row r="756">
      <c r="A756" s="231"/>
      <c r="B756" s="307"/>
      <c r="C756" s="231"/>
      <c r="E756" s="326"/>
    </row>
    <row r="757">
      <c r="A757" s="231"/>
      <c r="B757" s="307"/>
      <c r="C757" s="231"/>
      <c r="E757" s="326"/>
    </row>
    <row r="758">
      <c r="A758" s="231"/>
      <c r="B758" s="307"/>
      <c r="C758" s="231"/>
      <c r="E758" s="326"/>
    </row>
    <row r="759">
      <c r="A759" s="231"/>
      <c r="B759" s="307"/>
      <c r="C759" s="231"/>
      <c r="E759" s="326"/>
    </row>
    <row r="760">
      <c r="A760" s="231"/>
      <c r="B760" s="307"/>
      <c r="C760" s="231"/>
      <c r="E760" s="326"/>
    </row>
    <row r="761">
      <c r="A761" s="231"/>
      <c r="B761" s="307"/>
      <c r="C761" s="231"/>
      <c r="E761" s="326"/>
    </row>
    <row r="762">
      <c r="A762" s="231"/>
      <c r="B762" s="307"/>
      <c r="C762" s="231"/>
      <c r="E762" s="326"/>
    </row>
    <row r="763">
      <c r="A763" s="231"/>
      <c r="B763" s="307"/>
      <c r="C763" s="231"/>
      <c r="E763" s="326"/>
    </row>
    <row r="764">
      <c r="A764" s="231"/>
      <c r="B764" s="307"/>
      <c r="C764" s="231"/>
      <c r="E764" s="326"/>
    </row>
    <row r="765">
      <c r="A765" s="231"/>
      <c r="B765" s="307"/>
      <c r="C765" s="231"/>
      <c r="E765" s="326"/>
    </row>
    <row r="766">
      <c r="A766" s="231"/>
      <c r="B766" s="307"/>
      <c r="C766" s="231"/>
      <c r="E766" s="326"/>
    </row>
    <row r="767">
      <c r="A767" s="231"/>
      <c r="B767" s="307"/>
      <c r="C767" s="231"/>
      <c r="E767" s="326"/>
    </row>
    <row r="768">
      <c r="A768" s="231"/>
      <c r="B768" s="307"/>
      <c r="C768" s="231"/>
      <c r="E768" s="326"/>
    </row>
    <row r="769">
      <c r="A769" s="231"/>
      <c r="B769" s="307"/>
      <c r="C769" s="231"/>
      <c r="E769" s="326"/>
    </row>
    <row r="770">
      <c r="A770" s="231"/>
      <c r="B770" s="307"/>
      <c r="C770" s="231"/>
      <c r="E770" s="326"/>
    </row>
    <row r="771">
      <c r="A771" s="231"/>
      <c r="B771" s="307"/>
      <c r="C771" s="231"/>
      <c r="E771" s="326"/>
    </row>
    <row r="772">
      <c r="A772" s="231"/>
      <c r="B772" s="307"/>
      <c r="C772" s="231"/>
      <c r="E772" s="326"/>
    </row>
    <row r="773">
      <c r="A773" s="231"/>
      <c r="B773" s="307"/>
      <c r="C773" s="231"/>
      <c r="E773" s="326"/>
    </row>
    <row r="774">
      <c r="A774" s="231"/>
      <c r="B774" s="307"/>
      <c r="C774" s="231"/>
      <c r="E774" s="326"/>
    </row>
    <row r="775">
      <c r="A775" s="231"/>
      <c r="B775" s="307"/>
      <c r="C775" s="231"/>
      <c r="E775" s="326"/>
    </row>
    <row r="776">
      <c r="A776" s="231"/>
      <c r="B776" s="307"/>
      <c r="C776" s="231"/>
      <c r="E776" s="326"/>
    </row>
    <row r="777">
      <c r="A777" s="231"/>
      <c r="B777" s="307"/>
      <c r="C777" s="231"/>
      <c r="E777" s="326"/>
    </row>
    <row r="778">
      <c r="A778" s="231"/>
      <c r="B778" s="307"/>
      <c r="C778" s="231"/>
      <c r="E778" s="326"/>
    </row>
    <row r="779">
      <c r="A779" s="231"/>
      <c r="B779" s="307"/>
      <c r="C779" s="231"/>
      <c r="E779" s="326"/>
    </row>
    <row r="780">
      <c r="A780" s="231"/>
      <c r="B780" s="307"/>
      <c r="C780" s="231"/>
      <c r="E780" s="326"/>
    </row>
    <row r="781">
      <c r="A781" s="231"/>
      <c r="B781" s="307"/>
      <c r="C781" s="231"/>
      <c r="E781" s="326"/>
    </row>
    <row r="782">
      <c r="A782" s="231"/>
      <c r="B782" s="307"/>
      <c r="C782" s="231"/>
      <c r="E782" s="326"/>
    </row>
    <row r="783">
      <c r="A783" s="231"/>
      <c r="B783" s="307"/>
      <c r="C783" s="231"/>
      <c r="E783" s="326"/>
    </row>
    <row r="784">
      <c r="A784" s="231"/>
      <c r="B784" s="307"/>
      <c r="C784" s="231"/>
      <c r="E784" s="326"/>
    </row>
    <row r="785">
      <c r="A785" s="231"/>
      <c r="B785" s="307"/>
      <c r="C785" s="231"/>
      <c r="E785" s="326"/>
    </row>
    <row r="786">
      <c r="A786" s="231"/>
      <c r="B786" s="307"/>
      <c r="C786" s="231"/>
      <c r="E786" s="326"/>
    </row>
    <row r="787">
      <c r="A787" s="231"/>
      <c r="B787" s="307"/>
      <c r="C787" s="231"/>
      <c r="E787" s="326"/>
    </row>
    <row r="788">
      <c r="A788" s="231"/>
      <c r="B788" s="307"/>
      <c r="C788" s="231"/>
      <c r="E788" s="326"/>
    </row>
    <row r="789">
      <c r="A789" s="231"/>
      <c r="B789" s="307"/>
      <c r="C789" s="231"/>
      <c r="E789" s="326"/>
    </row>
    <row r="790">
      <c r="A790" s="231"/>
      <c r="B790" s="307"/>
      <c r="C790" s="231"/>
      <c r="E790" s="326"/>
    </row>
    <row r="791">
      <c r="A791" s="231"/>
      <c r="B791" s="307"/>
      <c r="C791" s="231"/>
      <c r="E791" s="326"/>
    </row>
    <row r="792">
      <c r="A792" s="231"/>
      <c r="B792" s="307"/>
      <c r="C792" s="231"/>
      <c r="E792" s="326"/>
    </row>
    <row r="793">
      <c r="A793" s="231"/>
      <c r="B793" s="307"/>
      <c r="C793" s="231"/>
      <c r="E793" s="326"/>
    </row>
    <row r="794">
      <c r="A794" s="231"/>
      <c r="B794" s="307"/>
      <c r="C794" s="231"/>
      <c r="E794" s="326"/>
    </row>
    <row r="795">
      <c r="A795" s="231"/>
      <c r="B795" s="307"/>
      <c r="C795" s="231"/>
      <c r="E795" s="326"/>
    </row>
    <row r="796">
      <c r="A796" s="231"/>
      <c r="B796" s="307"/>
      <c r="C796" s="231"/>
      <c r="E796" s="326"/>
    </row>
    <row r="797">
      <c r="A797" s="231"/>
      <c r="B797" s="307"/>
      <c r="C797" s="231"/>
      <c r="E797" s="326"/>
    </row>
    <row r="798">
      <c r="A798" s="231"/>
      <c r="B798" s="307"/>
      <c r="C798" s="231"/>
      <c r="E798" s="326"/>
    </row>
    <row r="799">
      <c r="A799" s="231"/>
      <c r="B799" s="307"/>
      <c r="C799" s="231"/>
      <c r="E799" s="326"/>
    </row>
    <row r="800">
      <c r="A800" s="231"/>
      <c r="B800" s="307"/>
      <c r="C800" s="231"/>
      <c r="E800" s="326"/>
    </row>
    <row r="801">
      <c r="A801" s="231"/>
      <c r="B801" s="307"/>
      <c r="C801" s="231"/>
      <c r="E801" s="326"/>
    </row>
    <row r="802">
      <c r="A802" s="231"/>
      <c r="B802" s="307"/>
      <c r="C802" s="231"/>
      <c r="E802" s="326"/>
    </row>
    <row r="803">
      <c r="A803" s="231"/>
      <c r="B803" s="307"/>
      <c r="C803" s="231"/>
      <c r="E803" s="326"/>
    </row>
    <row r="804">
      <c r="A804" s="231"/>
      <c r="B804" s="307"/>
      <c r="C804" s="231"/>
      <c r="E804" s="326"/>
    </row>
    <row r="805">
      <c r="A805" s="231"/>
      <c r="B805" s="307"/>
      <c r="C805" s="231"/>
      <c r="E805" s="326"/>
    </row>
    <row r="806">
      <c r="A806" s="231"/>
      <c r="B806" s="307"/>
      <c r="C806" s="231"/>
      <c r="E806" s="326"/>
    </row>
    <row r="807">
      <c r="A807" s="231"/>
      <c r="B807" s="307"/>
      <c r="C807" s="231"/>
      <c r="E807" s="326"/>
    </row>
    <row r="808">
      <c r="A808" s="231"/>
      <c r="B808" s="307"/>
      <c r="C808" s="231"/>
      <c r="E808" s="326"/>
    </row>
    <row r="809">
      <c r="A809" s="231"/>
      <c r="B809" s="307"/>
      <c r="C809" s="231"/>
      <c r="E809" s="326"/>
    </row>
    <row r="810">
      <c r="A810" s="231"/>
      <c r="B810" s="307"/>
      <c r="C810" s="231"/>
      <c r="E810" s="326"/>
    </row>
    <row r="811">
      <c r="A811" s="231"/>
      <c r="B811" s="307"/>
      <c r="C811" s="231"/>
      <c r="E811" s="326"/>
    </row>
    <row r="812">
      <c r="A812" s="231"/>
      <c r="B812" s="307"/>
      <c r="C812" s="231"/>
      <c r="E812" s="326"/>
    </row>
    <row r="813">
      <c r="A813" s="231"/>
      <c r="B813" s="307"/>
      <c r="C813" s="231"/>
      <c r="E813" s="326"/>
    </row>
    <row r="814">
      <c r="A814" s="231"/>
      <c r="B814" s="307"/>
      <c r="C814" s="231"/>
      <c r="E814" s="326"/>
    </row>
    <row r="815">
      <c r="A815" s="231"/>
      <c r="B815" s="307"/>
      <c r="C815" s="231"/>
      <c r="E815" s="326"/>
    </row>
    <row r="816">
      <c r="A816" s="231"/>
      <c r="B816" s="307"/>
      <c r="C816" s="231"/>
      <c r="E816" s="326"/>
    </row>
    <row r="817">
      <c r="A817" s="231"/>
      <c r="B817" s="307"/>
      <c r="C817" s="231"/>
      <c r="E817" s="326"/>
    </row>
    <row r="818">
      <c r="A818" s="231"/>
      <c r="B818" s="307"/>
      <c r="C818" s="231"/>
      <c r="E818" s="326"/>
    </row>
    <row r="819">
      <c r="A819" s="231"/>
      <c r="B819" s="307"/>
      <c r="C819" s="231"/>
      <c r="E819" s="326"/>
    </row>
    <row r="820">
      <c r="A820" s="231"/>
      <c r="B820" s="307"/>
      <c r="C820" s="231"/>
      <c r="E820" s="326"/>
    </row>
    <row r="821">
      <c r="A821" s="231"/>
      <c r="B821" s="307"/>
      <c r="C821" s="231"/>
      <c r="E821" s="326"/>
    </row>
    <row r="822">
      <c r="A822" s="231"/>
      <c r="B822" s="307"/>
      <c r="C822" s="231"/>
      <c r="E822" s="326"/>
    </row>
    <row r="823">
      <c r="A823" s="231"/>
      <c r="B823" s="307"/>
      <c r="C823" s="231"/>
      <c r="E823" s="326"/>
    </row>
    <row r="824">
      <c r="A824" s="231"/>
      <c r="B824" s="307"/>
      <c r="C824" s="231"/>
      <c r="E824" s="326"/>
    </row>
    <row r="825">
      <c r="A825" s="231"/>
      <c r="B825" s="307"/>
      <c r="C825" s="231"/>
      <c r="E825" s="326"/>
    </row>
    <row r="826">
      <c r="A826" s="231"/>
      <c r="B826" s="307"/>
      <c r="C826" s="231"/>
      <c r="E826" s="326"/>
    </row>
    <row r="827">
      <c r="A827" s="231"/>
      <c r="B827" s="307"/>
      <c r="C827" s="231"/>
      <c r="E827" s="326"/>
    </row>
    <row r="828">
      <c r="A828" s="231"/>
      <c r="B828" s="307"/>
      <c r="C828" s="231"/>
      <c r="E828" s="326"/>
    </row>
    <row r="829">
      <c r="A829" s="231"/>
      <c r="B829" s="307"/>
      <c r="C829" s="231"/>
      <c r="E829" s="326"/>
    </row>
    <row r="830">
      <c r="A830" s="231"/>
      <c r="B830" s="307"/>
      <c r="C830" s="231"/>
      <c r="E830" s="326"/>
    </row>
    <row r="831">
      <c r="A831" s="231"/>
      <c r="B831" s="307"/>
      <c r="C831" s="231"/>
      <c r="E831" s="326"/>
    </row>
    <row r="832">
      <c r="A832" s="231"/>
      <c r="B832" s="307"/>
      <c r="C832" s="231"/>
      <c r="E832" s="326"/>
    </row>
    <row r="833">
      <c r="A833" s="231"/>
      <c r="B833" s="307"/>
      <c r="C833" s="231"/>
      <c r="E833" s="326"/>
    </row>
    <row r="834">
      <c r="A834" s="231"/>
      <c r="B834" s="307"/>
      <c r="C834" s="231"/>
      <c r="E834" s="326"/>
    </row>
    <row r="835">
      <c r="A835" s="231"/>
      <c r="B835" s="307"/>
      <c r="C835" s="231"/>
      <c r="E835" s="326"/>
    </row>
    <row r="836">
      <c r="A836" s="231"/>
      <c r="B836" s="307"/>
      <c r="C836" s="231"/>
      <c r="E836" s="326"/>
    </row>
    <row r="837">
      <c r="A837" s="231"/>
      <c r="B837" s="307"/>
      <c r="C837" s="231"/>
      <c r="E837" s="326"/>
    </row>
    <row r="838">
      <c r="A838" s="231"/>
      <c r="B838" s="307"/>
      <c r="C838" s="231"/>
      <c r="E838" s="326"/>
    </row>
    <row r="839">
      <c r="A839" s="231"/>
      <c r="B839" s="307"/>
      <c r="C839" s="231"/>
      <c r="E839" s="326"/>
    </row>
    <row r="840">
      <c r="A840" s="231"/>
      <c r="B840" s="307"/>
      <c r="C840" s="231"/>
      <c r="E840" s="326"/>
    </row>
    <row r="841">
      <c r="A841" s="231"/>
      <c r="B841" s="307"/>
      <c r="C841" s="231"/>
      <c r="E841" s="326"/>
    </row>
    <row r="842">
      <c r="A842" s="231"/>
      <c r="B842" s="307"/>
      <c r="C842" s="231"/>
      <c r="E842" s="326"/>
    </row>
    <row r="843">
      <c r="A843" s="231"/>
      <c r="B843" s="307"/>
      <c r="C843" s="231"/>
      <c r="E843" s="326"/>
    </row>
    <row r="844">
      <c r="A844" s="231"/>
      <c r="B844" s="307"/>
      <c r="C844" s="231"/>
      <c r="E844" s="326"/>
    </row>
    <row r="845">
      <c r="A845" s="231"/>
      <c r="B845" s="307"/>
      <c r="C845" s="231"/>
      <c r="E845" s="326"/>
    </row>
    <row r="846">
      <c r="A846" s="231"/>
      <c r="B846" s="307"/>
      <c r="C846" s="231"/>
      <c r="E846" s="326"/>
    </row>
    <row r="847">
      <c r="A847" s="231"/>
      <c r="B847" s="307"/>
      <c r="C847" s="231"/>
      <c r="E847" s="326"/>
    </row>
    <row r="848">
      <c r="A848" s="231"/>
      <c r="B848" s="307"/>
      <c r="C848" s="231"/>
      <c r="E848" s="326"/>
    </row>
    <row r="849">
      <c r="A849" s="231"/>
      <c r="B849" s="307"/>
      <c r="C849" s="231"/>
      <c r="E849" s="326"/>
    </row>
    <row r="850">
      <c r="A850" s="231"/>
      <c r="B850" s="307"/>
      <c r="C850" s="231"/>
      <c r="E850" s="326"/>
    </row>
    <row r="851">
      <c r="A851" s="231"/>
      <c r="B851" s="307"/>
      <c r="C851" s="231"/>
      <c r="E851" s="326"/>
    </row>
    <row r="852">
      <c r="A852" s="231"/>
      <c r="B852" s="307"/>
      <c r="C852" s="231"/>
      <c r="E852" s="326"/>
    </row>
    <row r="853">
      <c r="A853" s="231"/>
      <c r="B853" s="307"/>
      <c r="C853" s="231"/>
      <c r="E853" s="326"/>
    </row>
    <row r="854">
      <c r="A854" s="231"/>
      <c r="B854" s="307"/>
      <c r="C854" s="231"/>
      <c r="E854" s="326"/>
    </row>
    <row r="855">
      <c r="A855" s="231"/>
      <c r="B855" s="307"/>
      <c r="C855" s="231"/>
      <c r="E855" s="326"/>
    </row>
    <row r="856">
      <c r="A856" s="231"/>
      <c r="B856" s="307"/>
      <c r="C856" s="231"/>
      <c r="E856" s="326"/>
    </row>
    <row r="857">
      <c r="A857" s="231"/>
      <c r="B857" s="307"/>
      <c r="C857" s="231"/>
      <c r="E857" s="326"/>
    </row>
    <row r="858">
      <c r="A858" s="231"/>
      <c r="B858" s="307"/>
      <c r="C858" s="231"/>
      <c r="E858" s="326"/>
    </row>
    <row r="859">
      <c r="A859" s="231"/>
      <c r="B859" s="307"/>
      <c r="C859" s="231"/>
      <c r="E859" s="326"/>
    </row>
    <row r="860">
      <c r="A860" s="231"/>
      <c r="B860" s="307"/>
      <c r="C860" s="231"/>
      <c r="E860" s="326"/>
    </row>
    <row r="861">
      <c r="A861" s="231"/>
      <c r="B861" s="307"/>
      <c r="C861" s="231"/>
      <c r="E861" s="326"/>
    </row>
    <row r="862">
      <c r="A862" s="231"/>
      <c r="B862" s="307"/>
      <c r="C862" s="231"/>
      <c r="E862" s="326"/>
    </row>
    <row r="863">
      <c r="A863" s="231"/>
      <c r="B863" s="307"/>
      <c r="C863" s="231"/>
      <c r="E863" s="326"/>
    </row>
    <row r="864">
      <c r="A864" s="231"/>
      <c r="B864" s="307"/>
      <c r="C864" s="231"/>
      <c r="E864" s="326"/>
    </row>
    <row r="865">
      <c r="A865" s="231"/>
      <c r="B865" s="307"/>
      <c r="C865" s="231"/>
      <c r="E865" s="326"/>
    </row>
    <row r="866">
      <c r="A866" s="231"/>
      <c r="B866" s="307"/>
      <c r="C866" s="231"/>
      <c r="E866" s="326"/>
    </row>
    <row r="867">
      <c r="A867" s="231"/>
      <c r="B867" s="307"/>
      <c r="C867" s="231"/>
      <c r="E867" s="326"/>
    </row>
    <row r="868">
      <c r="A868" s="231"/>
      <c r="B868" s="307"/>
      <c r="C868" s="231"/>
      <c r="E868" s="326"/>
    </row>
    <row r="869">
      <c r="A869" s="231"/>
      <c r="B869" s="307"/>
      <c r="C869" s="231"/>
      <c r="E869" s="326"/>
    </row>
    <row r="870">
      <c r="A870" s="231"/>
      <c r="B870" s="307"/>
      <c r="C870" s="231"/>
      <c r="E870" s="326"/>
    </row>
    <row r="871">
      <c r="A871" s="231"/>
      <c r="B871" s="307"/>
      <c r="C871" s="231"/>
      <c r="E871" s="326"/>
    </row>
    <row r="872">
      <c r="A872" s="231"/>
      <c r="B872" s="307"/>
      <c r="C872" s="231"/>
      <c r="E872" s="326"/>
    </row>
    <row r="873">
      <c r="A873" s="231"/>
      <c r="B873" s="307"/>
      <c r="C873" s="231"/>
      <c r="E873" s="326"/>
    </row>
    <row r="874">
      <c r="A874" s="231"/>
      <c r="B874" s="307"/>
      <c r="C874" s="231"/>
      <c r="E874" s="326"/>
    </row>
    <row r="875">
      <c r="A875" s="231"/>
      <c r="B875" s="307"/>
      <c r="C875" s="231"/>
      <c r="E875" s="326"/>
    </row>
    <row r="876">
      <c r="A876" s="231"/>
      <c r="B876" s="307"/>
      <c r="C876" s="231"/>
      <c r="E876" s="326"/>
    </row>
    <row r="877">
      <c r="A877" s="231"/>
      <c r="B877" s="307"/>
      <c r="C877" s="231"/>
      <c r="E877" s="326"/>
    </row>
    <row r="878">
      <c r="A878" s="231"/>
      <c r="B878" s="307"/>
      <c r="C878" s="231"/>
      <c r="E878" s="326"/>
    </row>
    <row r="879">
      <c r="A879" s="231"/>
      <c r="B879" s="307"/>
      <c r="C879" s="231"/>
      <c r="E879" s="326"/>
    </row>
    <row r="880">
      <c r="A880" s="231"/>
      <c r="B880" s="307"/>
      <c r="C880" s="231"/>
      <c r="E880" s="326"/>
    </row>
    <row r="881">
      <c r="A881" s="231"/>
      <c r="B881" s="307"/>
      <c r="C881" s="231"/>
      <c r="E881" s="326"/>
    </row>
    <row r="882">
      <c r="A882" s="231"/>
      <c r="B882" s="307"/>
      <c r="C882" s="231"/>
      <c r="E882" s="326"/>
    </row>
    <row r="883">
      <c r="A883" s="231"/>
      <c r="B883" s="307"/>
      <c r="C883" s="231"/>
      <c r="E883" s="326"/>
    </row>
    <row r="884">
      <c r="A884" s="231"/>
      <c r="B884" s="307"/>
      <c r="C884" s="231"/>
      <c r="E884" s="326"/>
    </row>
    <row r="885">
      <c r="A885" s="231"/>
      <c r="B885" s="307"/>
      <c r="C885" s="231"/>
      <c r="E885" s="326"/>
    </row>
    <row r="886">
      <c r="A886" s="231"/>
      <c r="B886" s="307"/>
      <c r="C886" s="231"/>
      <c r="E886" s="326"/>
    </row>
    <row r="887">
      <c r="A887" s="231"/>
      <c r="B887" s="307"/>
      <c r="C887" s="231"/>
      <c r="E887" s="326"/>
    </row>
    <row r="888">
      <c r="A888" s="231"/>
      <c r="B888" s="307"/>
      <c r="C888" s="231"/>
      <c r="E888" s="326"/>
    </row>
    <row r="889">
      <c r="A889" s="231"/>
      <c r="B889" s="307"/>
      <c r="C889" s="231"/>
      <c r="E889" s="326"/>
    </row>
    <row r="890">
      <c r="A890" s="231"/>
      <c r="B890" s="307"/>
      <c r="C890" s="231"/>
      <c r="E890" s="326"/>
    </row>
    <row r="891">
      <c r="A891" s="231"/>
      <c r="B891" s="307"/>
      <c r="C891" s="231"/>
      <c r="E891" s="326"/>
    </row>
    <row r="892">
      <c r="A892" s="231"/>
      <c r="B892" s="307"/>
      <c r="C892" s="231"/>
      <c r="E892" s="326"/>
    </row>
    <row r="893">
      <c r="A893" s="231"/>
      <c r="B893" s="307"/>
      <c r="C893" s="231"/>
      <c r="E893" s="326"/>
    </row>
    <row r="894">
      <c r="A894" s="231"/>
      <c r="B894" s="307"/>
      <c r="C894" s="231"/>
      <c r="E894" s="326"/>
    </row>
    <row r="895">
      <c r="A895" s="231"/>
      <c r="B895" s="307"/>
      <c r="C895" s="231"/>
      <c r="E895" s="326"/>
    </row>
    <row r="896">
      <c r="A896" s="231"/>
      <c r="B896" s="307"/>
      <c r="C896" s="231"/>
      <c r="E896" s="326"/>
    </row>
    <row r="897">
      <c r="A897" s="231"/>
      <c r="B897" s="307"/>
      <c r="C897" s="231"/>
      <c r="E897" s="326"/>
    </row>
    <row r="898">
      <c r="A898" s="231"/>
      <c r="B898" s="307"/>
      <c r="C898" s="231"/>
      <c r="E898" s="326"/>
    </row>
    <row r="899">
      <c r="A899" s="231"/>
      <c r="B899" s="307"/>
      <c r="C899" s="231"/>
      <c r="E899" s="326"/>
    </row>
    <row r="900">
      <c r="A900" s="231"/>
      <c r="B900" s="307"/>
      <c r="C900" s="231"/>
      <c r="E900" s="326"/>
    </row>
    <row r="901">
      <c r="A901" s="231"/>
      <c r="B901" s="307"/>
      <c r="C901" s="231"/>
      <c r="E901" s="326"/>
    </row>
    <row r="902">
      <c r="A902" s="231"/>
      <c r="B902" s="307"/>
      <c r="C902" s="231"/>
      <c r="E902" s="326"/>
    </row>
    <row r="903">
      <c r="A903" s="231"/>
      <c r="B903" s="307"/>
      <c r="C903" s="231"/>
      <c r="E903" s="326"/>
    </row>
    <row r="904">
      <c r="A904" s="231"/>
      <c r="B904" s="307"/>
      <c r="C904" s="231"/>
      <c r="E904" s="326"/>
    </row>
    <row r="905">
      <c r="A905" s="231"/>
      <c r="B905" s="307"/>
      <c r="C905" s="231"/>
      <c r="E905" s="326"/>
    </row>
    <row r="906">
      <c r="A906" s="231"/>
      <c r="B906" s="307"/>
      <c r="C906" s="231"/>
      <c r="E906" s="326"/>
    </row>
    <row r="907">
      <c r="A907" s="231"/>
      <c r="B907" s="307"/>
      <c r="C907" s="231"/>
      <c r="E907" s="326"/>
    </row>
    <row r="908">
      <c r="A908" s="231"/>
      <c r="B908" s="307"/>
      <c r="C908" s="231"/>
      <c r="E908" s="326"/>
    </row>
    <row r="909">
      <c r="A909" s="231"/>
      <c r="B909" s="307"/>
      <c r="C909" s="231"/>
      <c r="E909" s="326"/>
    </row>
    <row r="910">
      <c r="A910" s="231"/>
      <c r="B910" s="307"/>
      <c r="C910" s="231"/>
      <c r="E910" s="326"/>
    </row>
    <row r="911">
      <c r="A911" s="231"/>
      <c r="B911" s="307"/>
      <c r="C911" s="231"/>
      <c r="E911" s="326"/>
    </row>
    <row r="912">
      <c r="A912" s="231"/>
      <c r="B912" s="307"/>
      <c r="C912" s="231"/>
      <c r="E912" s="326"/>
    </row>
    <row r="913">
      <c r="A913" s="231"/>
      <c r="B913" s="307"/>
      <c r="C913" s="231"/>
      <c r="E913" s="326"/>
    </row>
    <row r="914">
      <c r="A914" s="231"/>
      <c r="B914" s="307"/>
      <c r="C914" s="231"/>
      <c r="E914" s="326"/>
    </row>
    <row r="915">
      <c r="A915" s="231"/>
      <c r="B915" s="307"/>
      <c r="C915" s="231"/>
      <c r="E915" s="326"/>
    </row>
    <row r="916">
      <c r="A916" s="231"/>
      <c r="B916" s="307"/>
      <c r="C916" s="231"/>
      <c r="E916" s="326"/>
    </row>
    <row r="917">
      <c r="A917" s="231"/>
      <c r="B917" s="307"/>
      <c r="C917" s="231"/>
      <c r="E917" s="326"/>
    </row>
    <row r="918">
      <c r="A918" s="231"/>
      <c r="B918" s="307"/>
      <c r="C918" s="231"/>
      <c r="E918" s="326"/>
    </row>
    <row r="919">
      <c r="A919" s="231"/>
      <c r="B919" s="307"/>
      <c r="C919" s="231"/>
      <c r="E919" s="326"/>
    </row>
    <row r="920">
      <c r="A920" s="231"/>
      <c r="B920" s="307"/>
      <c r="C920" s="231"/>
      <c r="E920" s="326"/>
    </row>
    <row r="921">
      <c r="A921" s="231"/>
      <c r="B921" s="307"/>
      <c r="C921" s="231"/>
      <c r="E921" s="326"/>
    </row>
    <row r="922">
      <c r="A922" s="231"/>
      <c r="B922" s="307"/>
      <c r="C922" s="231"/>
      <c r="E922" s="326"/>
    </row>
    <row r="923">
      <c r="A923" s="231"/>
      <c r="B923" s="307"/>
      <c r="C923" s="231"/>
      <c r="E923" s="326"/>
    </row>
    <row r="924">
      <c r="A924" s="231"/>
      <c r="B924" s="307"/>
      <c r="C924" s="231"/>
      <c r="E924" s="326"/>
    </row>
    <row r="925">
      <c r="A925" s="231"/>
      <c r="B925" s="307"/>
      <c r="C925" s="231"/>
      <c r="E925" s="326"/>
    </row>
    <row r="926">
      <c r="A926" s="231"/>
      <c r="B926" s="307"/>
      <c r="C926" s="231"/>
      <c r="E926" s="326"/>
    </row>
    <row r="927">
      <c r="A927" s="231"/>
      <c r="B927" s="307"/>
      <c r="C927" s="231"/>
      <c r="E927" s="326"/>
    </row>
    <row r="928">
      <c r="A928" s="231"/>
      <c r="B928" s="307"/>
      <c r="C928" s="231"/>
      <c r="E928" s="326"/>
    </row>
    <row r="929">
      <c r="A929" s="231"/>
      <c r="B929" s="307"/>
      <c r="C929" s="231"/>
      <c r="E929" s="326"/>
    </row>
    <row r="930">
      <c r="A930" s="231"/>
      <c r="B930" s="307"/>
      <c r="C930" s="231"/>
      <c r="E930" s="326"/>
    </row>
    <row r="931">
      <c r="A931" s="231"/>
      <c r="B931" s="307"/>
      <c r="C931" s="231"/>
      <c r="E931" s="326"/>
    </row>
    <row r="932">
      <c r="A932" s="231"/>
      <c r="B932" s="307"/>
      <c r="C932" s="231"/>
      <c r="E932" s="326"/>
    </row>
    <row r="933">
      <c r="A933" s="231"/>
      <c r="B933" s="307"/>
      <c r="C933" s="231"/>
      <c r="E933" s="326"/>
    </row>
    <row r="934">
      <c r="A934" s="231"/>
      <c r="B934" s="307"/>
      <c r="C934" s="231"/>
      <c r="E934" s="326"/>
    </row>
    <row r="935">
      <c r="A935" s="231"/>
      <c r="B935" s="307"/>
      <c r="C935" s="231"/>
      <c r="E935" s="326"/>
    </row>
    <row r="936">
      <c r="A936" s="231"/>
      <c r="B936" s="307"/>
      <c r="C936" s="231"/>
      <c r="E936" s="326"/>
    </row>
    <row r="937">
      <c r="A937" s="231"/>
      <c r="B937" s="307"/>
      <c r="C937" s="231"/>
      <c r="E937" s="326"/>
    </row>
    <row r="938">
      <c r="A938" s="231"/>
      <c r="B938" s="307"/>
      <c r="C938" s="231"/>
      <c r="E938" s="326"/>
    </row>
    <row r="939">
      <c r="A939" s="231"/>
      <c r="B939" s="307"/>
      <c r="C939" s="231"/>
      <c r="E939" s="326"/>
    </row>
    <row r="940">
      <c r="A940" s="231"/>
      <c r="B940" s="307"/>
      <c r="C940" s="231"/>
      <c r="E940" s="326"/>
    </row>
    <row r="941">
      <c r="A941" s="231"/>
      <c r="B941" s="307"/>
      <c r="C941" s="231"/>
      <c r="E941" s="326"/>
    </row>
    <row r="942">
      <c r="A942" s="231"/>
      <c r="B942" s="307"/>
      <c r="C942" s="231"/>
      <c r="E942" s="326"/>
    </row>
    <row r="943">
      <c r="A943" s="231"/>
      <c r="B943" s="307"/>
      <c r="C943" s="231"/>
      <c r="E943" s="326"/>
    </row>
    <row r="944">
      <c r="A944" s="231"/>
      <c r="B944" s="307"/>
      <c r="C944" s="231"/>
      <c r="E944" s="326"/>
    </row>
    <row r="945">
      <c r="A945" s="231"/>
      <c r="B945" s="307"/>
      <c r="C945" s="231"/>
      <c r="E945" s="326"/>
    </row>
    <row r="946">
      <c r="A946" s="231"/>
      <c r="B946" s="307"/>
      <c r="C946" s="231"/>
      <c r="E946" s="326"/>
    </row>
    <row r="947">
      <c r="A947" s="231"/>
      <c r="B947" s="307"/>
      <c r="C947" s="231"/>
      <c r="E947" s="326"/>
    </row>
    <row r="948">
      <c r="A948" s="231"/>
      <c r="B948" s="307"/>
      <c r="C948" s="231"/>
      <c r="E948" s="326"/>
    </row>
    <row r="949">
      <c r="A949" s="231"/>
      <c r="B949" s="307"/>
      <c r="C949" s="231"/>
      <c r="E949" s="326"/>
    </row>
    <row r="950">
      <c r="A950" s="231"/>
      <c r="B950" s="307"/>
      <c r="C950" s="231"/>
      <c r="E950" s="326"/>
    </row>
    <row r="951">
      <c r="A951" s="231"/>
      <c r="B951" s="307"/>
      <c r="C951" s="231"/>
      <c r="E951" s="326"/>
    </row>
    <row r="952">
      <c r="A952" s="231"/>
      <c r="B952" s="307"/>
      <c r="C952" s="231"/>
      <c r="E952" s="326"/>
    </row>
    <row r="953">
      <c r="A953" s="231"/>
      <c r="B953" s="307"/>
      <c r="C953" s="231"/>
      <c r="E953" s="326"/>
    </row>
    <row r="954">
      <c r="A954" s="231"/>
      <c r="B954" s="307"/>
      <c r="C954" s="231"/>
      <c r="E954" s="326"/>
    </row>
    <row r="955">
      <c r="A955" s="231"/>
      <c r="B955" s="307"/>
      <c r="C955" s="231"/>
      <c r="E955" s="326"/>
    </row>
    <row r="956">
      <c r="A956" s="231"/>
      <c r="B956" s="307"/>
      <c r="C956" s="231"/>
      <c r="E956" s="326"/>
    </row>
    <row r="957">
      <c r="A957" s="231"/>
      <c r="B957" s="307"/>
      <c r="C957" s="231"/>
      <c r="E957" s="326"/>
    </row>
    <row r="958">
      <c r="A958" s="231"/>
      <c r="B958" s="307"/>
      <c r="C958" s="231"/>
      <c r="E958" s="326"/>
    </row>
    <row r="959">
      <c r="A959" s="231"/>
      <c r="B959" s="307"/>
      <c r="C959" s="231"/>
      <c r="E959" s="326"/>
    </row>
    <row r="960">
      <c r="A960" s="231"/>
      <c r="B960" s="307"/>
      <c r="C960" s="231"/>
      <c r="E960" s="326"/>
    </row>
    <row r="961">
      <c r="A961" s="231"/>
      <c r="B961" s="307"/>
      <c r="C961" s="231"/>
      <c r="E961" s="326"/>
    </row>
    <row r="962">
      <c r="A962" s="231"/>
      <c r="B962" s="307"/>
      <c r="C962" s="231"/>
      <c r="E962" s="326"/>
    </row>
    <row r="963">
      <c r="A963" s="231"/>
      <c r="B963" s="307"/>
      <c r="C963" s="231"/>
      <c r="E963" s="326"/>
    </row>
    <row r="964">
      <c r="A964" s="231"/>
      <c r="B964" s="307"/>
      <c r="C964" s="231"/>
      <c r="E964" s="326"/>
    </row>
    <row r="965">
      <c r="A965" s="231"/>
      <c r="B965" s="307"/>
      <c r="C965" s="231"/>
      <c r="E965" s="326"/>
    </row>
    <row r="966">
      <c r="A966" s="231"/>
      <c r="B966" s="307"/>
      <c r="C966" s="231"/>
      <c r="E966" s="326"/>
    </row>
    <row r="967">
      <c r="A967" s="231"/>
      <c r="B967" s="307"/>
      <c r="C967" s="231"/>
      <c r="E967" s="326"/>
    </row>
    <row r="968">
      <c r="A968" s="231"/>
      <c r="B968" s="307"/>
      <c r="C968" s="231"/>
      <c r="E968" s="326"/>
    </row>
    <row r="969">
      <c r="A969" s="231"/>
      <c r="B969" s="307"/>
      <c r="C969" s="231"/>
      <c r="E969" s="326"/>
    </row>
    <row r="970">
      <c r="A970" s="231"/>
      <c r="B970" s="307"/>
      <c r="C970" s="231"/>
      <c r="E970" s="326"/>
    </row>
  </sheetData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81.38"/>
    <col customWidth="1" min="4" max="4" width="16.88"/>
  </cols>
  <sheetData>
    <row r="1">
      <c r="A1" s="358" t="s">
        <v>44</v>
      </c>
      <c r="B1" s="184" t="s">
        <v>1</v>
      </c>
      <c r="C1" s="57" t="s">
        <v>294</v>
      </c>
      <c r="D1" s="55" t="s">
        <v>248</v>
      </c>
      <c r="E1" s="348" t="s">
        <v>249</v>
      </c>
      <c r="F1" s="349" t="s">
        <v>250</v>
      </c>
    </row>
    <row r="2">
      <c r="A2" s="195" t="s">
        <v>3547</v>
      </c>
      <c r="B2" s="195">
        <v>663.0</v>
      </c>
      <c r="C2" s="11" t="s">
        <v>18011</v>
      </c>
      <c r="D2" s="74">
        <v>0.8</v>
      </c>
      <c r="E2" s="74">
        <v>0.8</v>
      </c>
      <c r="F2" s="11" t="s">
        <v>1656</v>
      </c>
    </row>
    <row r="3">
      <c r="A3" s="195" t="s">
        <v>3548</v>
      </c>
      <c r="B3" s="11">
        <v>663.0</v>
      </c>
      <c r="C3" s="11" t="s">
        <v>18011</v>
      </c>
      <c r="D3" s="74">
        <v>0.8</v>
      </c>
      <c r="E3" s="74">
        <v>0.8</v>
      </c>
      <c r="F3" s="11" t="s">
        <v>1656</v>
      </c>
    </row>
    <row r="4">
      <c r="A4" s="195" t="s">
        <v>3549</v>
      </c>
      <c r="B4" s="195">
        <v>189.0</v>
      </c>
      <c r="C4" s="11" t="s">
        <v>18011</v>
      </c>
      <c r="D4" s="74">
        <v>0.8</v>
      </c>
      <c r="E4" s="74">
        <v>0.8</v>
      </c>
      <c r="F4" s="11" t="s">
        <v>1656</v>
      </c>
    </row>
    <row r="5">
      <c r="A5" s="195" t="s">
        <v>3550</v>
      </c>
      <c r="B5" s="195">
        <v>2345.0</v>
      </c>
      <c r="C5" s="11" t="s">
        <v>18011</v>
      </c>
      <c r="D5" s="74">
        <v>0.9</v>
      </c>
      <c r="E5" s="74">
        <v>0.9</v>
      </c>
      <c r="F5" s="11" t="s">
        <v>1656</v>
      </c>
    </row>
    <row r="6">
      <c r="A6" s="195" t="s">
        <v>3551</v>
      </c>
      <c r="B6" s="195">
        <v>5458.0</v>
      </c>
      <c r="C6" s="11" t="s">
        <v>18011</v>
      </c>
      <c r="D6" s="74">
        <v>0.8</v>
      </c>
      <c r="E6" s="74">
        <v>0.8</v>
      </c>
      <c r="F6" s="11" t="s">
        <v>1656</v>
      </c>
    </row>
    <row r="7">
      <c r="A7" s="195" t="s">
        <v>3552</v>
      </c>
      <c r="B7" s="195">
        <v>6675.0</v>
      </c>
      <c r="C7" s="11" t="s">
        <v>18011</v>
      </c>
      <c r="D7" s="74">
        <v>0.8</v>
      </c>
      <c r="E7" s="74">
        <v>0.8</v>
      </c>
      <c r="F7" s="11" t="s">
        <v>1656</v>
      </c>
    </row>
    <row r="8">
      <c r="A8" s="195" t="s">
        <v>70</v>
      </c>
      <c r="B8" s="195">
        <v>5458.0</v>
      </c>
      <c r="C8" s="11" t="s">
        <v>18011</v>
      </c>
      <c r="D8" s="74">
        <v>0.8</v>
      </c>
      <c r="E8" s="74">
        <v>0.8</v>
      </c>
      <c r="F8" s="11" t="s">
        <v>1656</v>
      </c>
    </row>
    <row r="9">
      <c r="A9" s="195" t="s">
        <v>71</v>
      </c>
      <c r="B9" s="195">
        <v>5421.0</v>
      </c>
      <c r="C9" s="11" t="s">
        <v>18011</v>
      </c>
      <c r="D9" s="74">
        <v>0.8</v>
      </c>
      <c r="E9" s="74">
        <v>0.8</v>
      </c>
      <c r="F9" s="11" t="s">
        <v>1656</v>
      </c>
    </row>
    <row r="10">
      <c r="A10" s="195" t="s">
        <v>72</v>
      </c>
      <c r="B10" s="195">
        <v>5421.0</v>
      </c>
      <c r="C10" s="11" t="s">
        <v>18011</v>
      </c>
      <c r="D10" s="74">
        <v>0.8</v>
      </c>
      <c r="E10" s="74">
        <v>0.8</v>
      </c>
      <c r="F10" s="11" t="s">
        <v>1656</v>
      </c>
    </row>
    <row r="11">
      <c r="A11" s="195" t="s">
        <v>73</v>
      </c>
      <c r="B11" s="195">
        <v>5421.0</v>
      </c>
      <c r="C11" s="11" t="s">
        <v>18011</v>
      </c>
      <c r="D11" s="74">
        <v>0.8</v>
      </c>
      <c r="E11" s="74">
        <v>0.8</v>
      </c>
      <c r="F11" s="11" t="s">
        <v>1656</v>
      </c>
    </row>
    <row r="12">
      <c r="A12" s="195" t="s">
        <v>74</v>
      </c>
      <c r="B12" s="195">
        <v>5421.0</v>
      </c>
      <c r="C12" s="11" t="s">
        <v>18011</v>
      </c>
      <c r="D12" s="74">
        <v>0.8</v>
      </c>
      <c r="E12" s="74">
        <v>0.8</v>
      </c>
      <c r="F12" s="11" t="s">
        <v>1656</v>
      </c>
    </row>
    <row r="13">
      <c r="A13" s="195" t="s">
        <v>75</v>
      </c>
      <c r="B13" s="11">
        <v>7747.0</v>
      </c>
      <c r="C13" s="11" t="s">
        <v>18011</v>
      </c>
      <c r="D13" s="74">
        <v>0.8</v>
      </c>
      <c r="E13" s="74">
        <v>0.8</v>
      </c>
      <c r="F13" s="11" t="s">
        <v>1656</v>
      </c>
    </row>
    <row r="14">
      <c r="A14" s="195" t="s">
        <v>76</v>
      </c>
      <c r="B14" s="11">
        <v>3307.0</v>
      </c>
      <c r="C14" s="11" t="s">
        <v>18011</v>
      </c>
      <c r="D14" s="74">
        <v>0.8</v>
      </c>
      <c r="E14" s="74">
        <v>0.8</v>
      </c>
      <c r="F14" s="11" t="s">
        <v>1656</v>
      </c>
    </row>
    <row r="15">
      <c r="A15" s="195" t="s">
        <v>77</v>
      </c>
      <c r="B15" s="11">
        <v>14480.0</v>
      </c>
      <c r="C15" s="11" t="s">
        <v>18011</v>
      </c>
      <c r="D15" s="74">
        <v>0.8</v>
      </c>
      <c r="E15" s="74">
        <v>0.8</v>
      </c>
      <c r="F15" s="11" t="s">
        <v>1656</v>
      </c>
    </row>
    <row r="16">
      <c r="A16" s="195" t="s">
        <v>78</v>
      </c>
      <c r="B16" s="11">
        <v>7157.0</v>
      </c>
      <c r="C16" s="11" t="s">
        <v>18011</v>
      </c>
      <c r="D16" s="74">
        <v>0.8</v>
      </c>
      <c r="E16" s="74">
        <v>0.8</v>
      </c>
      <c r="F16" s="11" t="s">
        <v>1656</v>
      </c>
    </row>
    <row r="17">
      <c r="A17" s="195" t="s">
        <v>79</v>
      </c>
      <c r="B17" s="11">
        <v>12553.0</v>
      </c>
      <c r="C17" s="11" t="s">
        <v>18011</v>
      </c>
      <c r="D17" s="74">
        <v>0.8</v>
      </c>
      <c r="E17" s="74">
        <v>0.8</v>
      </c>
      <c r="F17" s="11" t="s">
        <v>1656</v>
      </c>
    </row>
    <row r="18">
      <c r="A18" s="195" t="s">
        <v>80</v>
      </c>
      <c r="B18" s="11">
        <v>189.0</v>
      </c>
      <c r="C18" s="11" t="s">
        <v>18011</v>
      </c>
      <c r="D18" s="74">
        <v>0.8</v>
      </c>
      <c r="E18" s="74">
        <v>0.8</v>
      </c>
      <c r="F18" s="11" t="s">
        <v>1656</v>
      </c>
    </row>
    <row r="19">
      <c r="A19" s="195" t="s">
        <v>81</v>
      </c>
      <c r="B19" s="11">
        <v>189.0</v>
      </c>
      <c r="C19" s="11" t="s">
        <v>18011</v>
      </c>
      <c r="D19" s="74">
        <v>0.8</v>
      </c>
      <c r="E19" s="74">
        <v>0.8</v>
      </c>
      <c r="F19" s="11" t="s">
        <v>1656</v>
      </c>
    </row>
    <row r="20">
      <c r="A20" s="195" t="s">
        <v>82</v>
      </c>
      <c r="B20" s="195">
        <v>14646.0</v>
      </c>
      <c r="C20" s="11" t="s">
        <v>18011</v>
      </c>
      <c r="D20" s="74">
        <v>0.8</v>
      </c>
      <c r="E20" s="74">
        <v>0.8</v>
      </c>
      <c r="F20" s="11" t="s">
        <v>1656</v>
      </c>
    </row>
    <row r="21">
      <c r="A21" s="195" t="s">
        <v>83</v>
      </c>
      <c r="B21" s="11">
        <v>6669.0</v>
      </c>
      <c r="C21" s="11" t="s">
        <v>18011</v>
      </c>
      <c r="D21" s="74">
        <v>0.8</v>
      </c>
      <c r="E21" s="74">
        <v>0.8</v>
      </c>
      <c r="F21" s="11" t="s">
        <v>1656</v>
      </c>
    </row>
    <row r="22">
      <c r="A22" s="195" t="s">
        <v>84</v>
      </c>
      <c r="C22" s="11" t="s">
        <v>18011</v>
      </c>
      <c r="D22" s="74">
        <v>0.8</v>
      </c>
      <c r="E22" s="74">
        <v>0.8</v>
      </c>
      <c r="F22" s="11" t="s">
        <v>1656</v>
      </c>
    </row>
    <row r="23">
      <c r="A23" s="195" t="s">
        <v>85</v>
      </c>
      <c r="B23" s="11">
        <v>12932.0</v>
      </c>
      <c r="C23" s="11" t="s">
        <v>18011</v>
      </c>
      <c r="D23" s="74">
        <v>0.8</v>
      </c>
      <c r="E23" s="74">
        <v>0.8</v>
      </c>
      <c r="F23" s="11" t="s">
        <v>1656</v>
      </c>
    </row>
    <row r="24">
      <c r="A24" s="195" t="s">
        <v>86</v>
      </c>
      <c r="B24" s="11">
        <v>2345.0</v>
      </c>
      <c r="C24" s="11" t="s">
        <v>18011</v>
      </c>
      <c r="D24" s="74">
        <v>0.9</v>
      </c>
      <c r="E24" s="74">
        <v>0.9</v>
      </c>
      <c r="F24" s="11" t="s">
        <v>1656</v>
      </c>
    </row>
    <row r="25">
      <c r="A25" s="195" t="s">
        <v>87</v>
      </c>
      <c r="B25" s="11">
        <v>2345.0</v>
      </c>
      <c r="C25" s="11" t="s">
        <v>18011</v>
      </c>
      <c r="D25" s="74">
        <v>0.9</v>
      </c>
      <c r="E25" s="74">
        <v>0.9</v>
      </c>
      <c r="F25" s="11" t="s">
        <v>1656</v>
      </c>
    </row>
    <row r="26">
      <c r="A26" s="195" t="s">
        <v>88</v>
      </c>
      <c r="B26" s="11">
        <v>2345.0</v>
      </c>
      <c r="C26" s="11" t="s">
        <v>18011</v>
      </c>
      <c r="D26" s="74">
        <v>0.9</v>
      </c>
      <c r="E26" s="74">
        <v>0.9</v>
      </c>
      <c r="F26" s="11" t="s">
        <v>1656</v>
      </c>
    </row>
    <row r="27">
      <c r="A27" s="195" t="s">
        <v>89</v>
      </c>
      <c r="B27" s="11">
        <v>2345.0</v>
      </c>
      <c r="C27" s="11" t="s">
        <v>18011</v>
      </c>
      <c r="D27" s="74">
        <v>0.9</v>
      </c>
      <c r="E27" s="74">
        <v>0.9</v>
      </c>
      <c r="F27" s="11" t="s">
        <v>1656</v>
      </c>
    </row>
    <row r="28">
      <c r="A28" s="195" t="s">
        <v>90</v>
      </c>
      <c r="B28" s="11">
        <v>2345.0</v>
      </c>
      <c r="C28" s="11" t="s">
        <v>18011</v>
      </c>
      <c r="D28" s="74">
        <v>0.9</v>
      </c>
      <c r="E28" s="74">
        <v>0.9</v>
      </c>
      <c r="F28" s="11" t="s">
        <v>1656</v>
      </c>
    </row>
    <row r="29">
      <c r="A29" s="195" t="s">
        <v>91</v>
      </c>
      <c r="B29" s="11">
        <v>2345.0</v>
      </c>
      <c r="C29" s="11" t="s">
        <v>18011</v>
      </c>
      <c r="D29" s="74">
        <v>0.9</v>
      </c>
      <c r="E29" s="74">
        <v>0.9</v>
      </c>
      <c r="F29" s="11" t="s">
        <v>1656</v>
      </c>
    </row>
    <row r="30">
      <c r="A30" s="195" t="s">
        <v>92</v>
      </c>
      <c r="B30" s="11">
        <v>14659.0</v>
      </c>
      <c r="C30" s="11" t="s">
        <v>18011</v>
      </c>
      <c r="D30" s="74">
        <v>0.8</v>
      </c>
      <c r="E30" s="74">
        <v>0.8</v>
      </c>
      <c r="F30" s="11" t="s">
        <v>1656</v>
      </c>
    </row>
    <row r="31">
      <c r="A31" s="195" t="s">
        <v>93</v>
      </c>
      <c r="C31" s="11" t="s">
        <v>18011</v>
      </c>
      <c r="D31" s="74">
        <v>0.8</v>
      </c>
      <c r="E31" s="74">
        <v>0.8</v>
      </c>
      <c r="F31" s="11" t="s">
        <v>1656</v>
      </c>
    </row>
    <row r="32">
      <c r="A32" s="195" t="s">
        <v>94</v>
      </c>
      <c r="C32" s="11" t="s">
        <v>18011</v>
      </c>
      <c r="D32" s="74">
        <v>0.8</v>
      </c>
      <c r="E32" s="74">
        <v>0.8</v>
      </c>
      <c r="F32" s="11" t="s">
        <v>1656</v>
      </c>
    </row>
    <row r="33">
      <c r="A33" s="195" t="s">
        <v>95</v>
      </c>
      <c r="B33" s="11">
        <v>6668.0</v>
      </c>
      <c r="C33" s="11" t="s">
        <v>18011</v>
      </c>
      <c r="D33" s="74">
        <v>0.8</v>
      </c>
      <c r="E33" s="74">
        <v>0.8</v>
      </c>
      <c r="F33" s="11" t="s">
        <v>1656</v>
      </c>
    </row>
    <row r="34">
      <c r="A34" s="195" t="s">
        <v>96</v>
      </c>
      <c r="C34" s="11" t="s">
        <v>18011</v>
      </c>
      <c r="D34" s="74">
        <v>0.8</v>
      </c>
      <c r="E34" s="74">
        <v>0.8</v>
      </c>
      <c r="F34" s="11" t="s">
        <v>1656</v>
      </c>
    </row>
    <row r="35">
      <c r="A35" s="195" t="s">
        <v>97</v>
      </c>
      <c r="B35" s="11">
        <v>6903.0</v>
      </c>
      <c r="C35" s="11" t="s">
        <v>18011</v>
      </c>
      <c r="D35" s="74">
        <v>0.8</v>
      </c>
      <c r="E35" s="74">
        <v>0.8</v>
      </c>
      <c r="F35" s="11" t="s">
        <v>1656</v>
      </c>
    </row>
    <row r="36">
      <c r="A36" s="195" t="s">
        <v>98</v>
      </c>
      <c r="C36" s="11" t="s">
        <v>18011</v>
      </c>
      <c r="D36" s="74">
        <v>0.8</v>
      </c>
      <c r="E36" s="74">
        <v>0.8</v>
      </c>
      <c r="F36" s="11" t="s">
        <v>1656</v>
      </c>
    </row>
    <row r="37">
      <c r="A37" s="195" t="s">
        <v>99</v>
      </c>
      <c r="B37" s="11">
        <v>6668.0</v>
      </c>
      <c r="C37" s="11" t="s">
        <v>18011</v>
      </c>
      <c r="D37" s="74">
        <v>0.8</v>
      </c>
      <c r="E37" s="74">
        <v>0.8</v>
      </c>
      <c r="F37" s="11" t="s">
        <v>1656</v>
      </c>
    </row>
    <row r="38">
      <c r="A38" s="195" t="s">
        <v>100</v>
      </c>
      <c r="C38" s="11" t="s">
        <v>18011</v>
      </c>
      <c r="D38" s="74">
        <v>0.8</v>
      </c>
      <c r="E38" s="74">
        <v>0.8</v>
      </c>
      <c r="F38" s="11" t="s">
        <v>1656</v>
      </c>
    </row>
    <row r="39">
      <c r="A39" s="195" t="s">
        <v>101</v>
      </c>
      <c r="C39" s="11" t="s">
        <v>18011</v>
      </c>
      <c r="D39" s="74">
        <v>0.8</v>
      </c>
      <c r="E39" s="74">
        <v>0.8</v>
      </c>
      <c r="F39" s="11" t="s">
        <v>1656</v>
      </c>
    </row>
    <row r="40">
      <c r="A40" s="195" t="s">
        <v>102</v>
      </c>
      <c r="C40" s="11" t="s">
        <v>18011</v>
      </c>
      <c r="D40" s="74">
        <v>0.8</v>
      </c>
      <c r="E40" s="74">
        <v>0.8</v>
      </c>
      <c r="F40" s="11" t="s">
        <v>1656</v>
      </c>
    </row>
    <row r="41">
      <c r="A41" s="195" t="s">
        <v>103</v>
      </c>
      <c r="C41" s="11" t="s">
        <v>18011</v>
      </c>
      <c r="D41" s="74">
        <v>0.8</v>
      </c>
      <c r="E41" s="74">
        <v>0.8</v>
      </c>
      <c r="F41" s="11" t="s">
        <v>1656</v>
      </c>
    </row>
    <row r="42">
      <c r="A42" s="195" t="s">
        <v>104</v>
      </c>
      <c r="C42" s="11" t="s">
        <v>18011</v>
      </c>
      <c r="D42" s="74">
        <v>0.8</v>
      </c>
      <c r="E42" s="74">
        <v>0.8</v>
      </c>
      <c r="F42" s="11" t="s">
        <v>1656</v>
      </c>
    </row>
    <row r="43">
      <c r="A43" s="195" t="s">
        <v>105</v>
      </c>
      <c r="C43" s="11" t="s">
        <v>18011</v>
      </c>
      <c r="D43" s="74">
        <v>0.8</v>
      </c>
      <c r="E43" s="74">
        <v>0.8</v>
      </c>
      <c r="F43" s="11" t="s">
        <v>1656</v>
      </c>
    </row>
    <row r="44">
      <c r="A44" s="195" t="s">
        <v>3554</v>
      </c>
      <c r="C44" s="11" t="s">
        <v>18011</v>
      </c>
      <c r="D44" s="74">
        <v>0.8</v>
      </c>
      <c r="E44" s="74">
        <v>0.8</v>
      </c>
      <c r="F44" s="11" t="s">
        <v>1656</v>
      </c>
    </row>
    <row r="45">
      <c r="A45" s="195" t="s">
        <v>3555</v>
      </c>
      <c r="C45" s="11" t="s">
        <v>18011</v>
      </c>
      <c r="D45" s="74">
        <v>0.8</v>
      </c>
      <c r="E45" s="74">
        <v>0.8</v>
      </c>
      <c r="F45" s="11" t="s">
        <v>1656</v>
      </c>
    </row>
    <row r="46">
      <c r="A46" s="195" t="s">
        <v>3556</v>
      </c>
      <c r="C46" s="11" t="s">
        <v>18011</v>
      </c>
      <c r="D46" s="74">
        <v>0.8</v>
      </c>
      <c r="E46" s="74">
        <v>0.8</v>
      </c>
      <c r="F46" s="11" t="s">
        <v>1656</v>
      </c>
    </row>
    <row r="47">
      <c r="A47" s="195" t="s">
        <v>3557</v>
      </c>
      <c r="C47" s="11" t="s">
        <v>18011</v>
      </c>
      <c r="D47" s="74">
        <v>0.8</v>
      </c>
      <c r="E47" s="74">
        <v>0.8</v>
      </c>
      <c r="F47" s="11" t="s">
        <v>1656</v>
      </c>
    </row>
    <row r="48">
      <c r="A48" s="195" t="s">
        <v>3558</v>
      </c>
      <c r="C48" s="11" t="s">
        <v>18011</v>
      </c>
      <c r="D48" s="74">
        <v>0.8</v>
      </c>
      <c r="E48" s="74">
        <v>0.8</v>
      </c>
      <c r="F48" s="11" t="s">
        <v>1656</v>
      </c>
    </row>
    <row r="49">
      <c r="A49" s="195" t="s">
        <v>3559</v>
      </c>
      <c r="C49" s="11" t="s">
        <v>18011</v>
      </c>
      <c r="D49" s="74">
        <v>0.8</v>
      </c>
      <c r="E49" s="74">
        <v>0.8</v>
      </c>
      <c r="F49" s="11" t="s">
        <v>1656</v>
      </c>
    </row>
    <row r="50">
      <c r="A50" s="195" t="s">
        <v>3560</v>
      </c>
      <c r="C50" s="11" t="s">
        <v>18011</v>
      </c>
      <c r="D50" s="74">
        <v>0.8</v>
      </c>
      <c r="E50" s="74">
        <v>0.8</v>
      </c>
      <c r="F50" s="11" t="s">
        <v>1656</v>
      </c>
    </row>
    <row r="51">
      <c r="A51" s="195" t="s">
        <v>3561</v>
      </c>
      <c r="C51" s="11" t="s">
        <v>18011</v>
      </c>
      <c r="D51" s="74">
        <v>0.8</v>
      </c>
      <c r="E51" s="74">
        <v>0.8</v>
      </c>
      <c r="F51" s="11" t="s">
        <v>1656</v>
      </c>
    </row>
    <row r="52">
      <c r="A52" s="195" t="s">
        <v>3562</v>
      </c>
      <c r="C52" s="11" t="s">
        <v>18011</v>
      </c>
      <c r="D52" s="74">
        <v>0.8</v>
      </c>
      <c r="E52" s="74">
        <v>0.8</v>
      </c>
      <c r="F52" s="11" t="s">
        <v>1656</v>
      </c>
    </row>
    <row r="53">
      <c r="A53" s="195" t="s">
        <v>3563</v>
      </c>
      <c r="C53" s="11" t="s">
        <v>18011</v>
      </c>
      <c r="D53" s="74">
        <v>0.8</v>
      </c>
      <c r="E53" s="74">
        <v>0.8</v>
      </c>
      <c r="F53" s="11" t="s">
        <v>1656</v>
      </c>
    </row>
    <row r="54">
      <c r="A54" s="195" t="s">
        <v>3564</v>
      </c>
      <c r="C54" s="11" t="s">
        <v>18011</v>
      </c>
      <c r="D54" s="74">
        <v>0.8</v>
      </c>
      <c r="E54" s="74">
        <v>0.8</v>
      </c>
      <c r="F54" s="11" t="s">
        <v>1656</v>
      </c>
    </row>
    <row r="55">
      <c r="A55" s="195" t="s">
        <v>3565</v>
      </c>
      <c r="C55" s="11" t="s">
        <v>18011</v>
      </c>
      <c r="D55" s="74">
        <v>0.8</v>
      </c>
      <c r="E55" s="74">
        <v>0.8</v>
      </c>
      <c r="F55" s="11" t="s">
        <v>1656</v>
      </c>
    </row>
    <row r="56">
      <c r="A56" s="195" t="s">
        <v>3566</v>
      </c>
      <c r="C56" s="11" t="s">
        <v>18011</v>
      </c>
      <c r="D56" s="74">
        <v>0.8</v>
      </c>
      <c r="E56" s="74">
        <v>0.8</v>
      </c>
      <c r="F56" s="11" t="s">
        <v>1656</v>
      </c>
    </row>
    <row r="57">
      <c r="A57" s="195" t="s">
        <v>3567</v>
      </c>
      <c r="C57" s="11" t="s">
        <v>18011</v>
      </c>
      <c r="D57" s="74">
        <v>0.8</v>
      </c>
      <c r="E57" s="74">
        <v>0.8</v>
      </c>
      <c r="F57" s="11" t="s">
        <v>1656</v>
      </c>
    </row>
    <row r="58">
      <c r="A58" s="195" t="s">
        <v>3568</v>
      </c>
      <c r="C58" s="11" t="s">
        <v>18011</v>
      </c>
      <c r="D58" s="74">
        <v>0.8</v>
      </c>
      <c r="E58" s="74">
        <v>0.8</v>
      </c>
      <c r="F58" s="11" t="s">
        <v>1656</v>
      </c>
    </row>
    <row r="59">
      <c r="A59" s="195" t="s">
        <v>3569</v>
      </c>
      <c r="C59" s="11" t="s">
        <v>18011</v>
      </c>
      <c r="D59" s="74">
        <v>0.8</v>
      </c>
      <c r="E59" s="74">
        <v>0.8</v>
      </c>
      <c r="F59" s="11" t="s">
        <v>1656</v>
      </c>
    </row>
    <row r="60">
      <c r="A60" s="195" t="s">
        <v>3570</v>
      </c>
      <c r="C60" s="11" t="s">
        <v>18011</v>
      </c>
      <c r="D60" s="74">
        <v>0.8</v>
      </c>
      <c r="E60" s="74">
        <v>0.8</v>
      </c>
      <c r="F60" s="11" t="s">
        <v>1656</v>
      </c>
    </row>
    <row r="61">
      <c r="A61" s="195" t="s">
        <v>3571</v>
      </c>
      <c r="C61" s="11" t="s">
        <v>18011</v>
      </c>
      <c r="D61" s="74">
        <v>0.8</v>
      </c>
      <c r="E61" s="74">
        <v>0.8</v>
      </c>
      <c r="F61" s="11" t="s">
        <v>1656</v>
      </c>
    </row>
    <row r="62">
      <c r="A62" s="195" t="s">
        <v>3572</v>
      </c>
      <c r="C62" s="11" t="s">
        <v>18011</v>
      </c>
      <c r="D62" s="74">
        <v>0.8</v>
      </c>
      <c r="E62" s="74">
        <v>0.8</v>
      </c>
      <c r="F62" s="11" t="s">
        <v>1656</v>
      </c>
    </row>
    <row r="63">
      <c r="A63" s="195" t="s">
        <v>3573</v>
      </c>
      <c r="C63" s="11" t="s">
        <v>18011</v>
      </c>
      <c r="D63" s="74">
        <v>0.8</v>
      </c>
      <c r="E63" s="74">
        <v>0.8</v>
      </c>
      <c r="F63" s="11" t="s">
        <v>1656</v>
      </c>
    </row>
    <row r="64">
      <c r="A64" s="195" t="s">
        <v>3574</v>
      </c>
      <c r="C64" s="11" t="s">
        <v>18011</v>
      </c>
      <c r="D64" s="74">
        <v>0.8</v>
      </c>
      <c r="E64" s="74">
        <v>0.8</v>
      </c>
      <c r="F64" s="11" t="s">
        <v>1656</v>
      </c>
    </row>
    <row r="65">
      <c r="A65" s="195" t="s">
        <v>3575</v>
      </c>
      <c r="C65" s="11" t="s">
        <v>18011</v>
      </c>
      <c r="D65" s="74">
        <v>0.8</v>
      </c>
      <c r="E65" s="74">
        <v>0.8</v>
      </c>
      <c r="F65" s="11" t="s">
        <v>1656</v>
      </c>
    </row>
    <row r="66">
      <c r="A66" s="195" t="s">
        <v>3576</v>
      </c>
      <c r="C66" s="11" t="s">
        <v>18011</v>
      </c>
      <c r="D66" s="74">
        <v>0.8</v>
      </c>
      <c r="E66" s="74">
        <v>0.8</v>
      </c>
      <c r="F66" s="11" t="s">
        <v>1656</v>
      </c>
    </row>
    <row r="67">
      <c r="A67" s="195" t="s">
        <v>3577</v>
      </c>
      <c r="C67" s="11" t="s">
        <v>18011</v>
      </c>
      <c r="D67" s="74">
        <v>0.8</v>
      </c>
      <c r="E67" s="74">
        <v>0.8</v>
      </c>
      <c r="F67" s="11" t="s">
        <v>1656</v>
      </c>
    </row>
    <row r="68">
      <c r="A68" s="195" t="s">
        <v>3578</v>
      </c>
      <c r="C68" s="11" t="s">
        <v>18011</v>
      </c>
      <c r="D68" s="74">
        <v>0.8</v>
      </c>
      <c r="E68" s="74">
        <v>0.8</v>
      </c>
      <c r="F68" s="11" t="s">
        <v>1656</v>
      </c>
    </row>
    <row r="69">
      <c r="A69" s="195" t="s">
        <v>3579</v>
      </c>
      <c r="C69" s="11" t="s">
        <v>18011</v>
      </c>
      <c r="D69" s="74">
        <v>0.8</v>
      </c>
      <c r="E69" s="74">
        <v>0.8</v>
      </c>
      <c r="F69" s="11" t="s">
        <v>1656</v>
      </c>
    </row>
    <row r="70">
      <c r="A70" s="195" t="s">
        <v>3580</v>
      </c>
      <c r="C70" s="11" t="s">
        <v>18011</v>
      </c>
      <c r="D70" s="74">
        <v>0.8</v>
      </c>
      <c r="E70" s="74">
        <v>0.8</v>
      </c>
      <c r="F70" s="11" t="s">
        <v>1656</v>
      </c>
    </row>
    <row r="71">
      <c r="A71" s="195" t="s">
        <v>3581</v>
      </c>
      <c r="C71" s="11" t="s">
        <v>18011</v>
      </c>
      <c r="D71" s="74">
        <v>0.8</v>
      </c>
      <c r="E71" s="74">
        <v>0.8</v>
      </c>
      <c r="F71" s="11" t="s">
        <v>1656</v>
      </c>
    </row>
    <row r="72">
      <c r="A72" s="195" t="s">
        <v>3582</v>
      </c>
      <c r="C72" s="11" t="s">
        <v>18011</v>
      </c>
      <c r="D72" s="74">
        <v>0.8</v>
      </c>
      <c r="E72" s="74">
        <v>0.8</v>
      </c>
      <c r="F72" s="11" t="s">
        <v>1656</v>
      </c>
    </row>
    <row r="73">
      <c r="A73" s="195" t="s">
        <v>3583</v>
      </c>
      <c r="C73" s="11" t="s">
        <v>18011</v>
      </c>
      <c r="D73" s="74">
        <v>0.8</v>
      </c>
      <c r="E73" s="74">
        <v>0.8</v>
      </c>
      <c r="F73" s="11" t="s">
        <v>1656</v>
      </c>
    </row>
    <row r="74">
      <c r="A74" s="195" t="s">
        <v>3584</v>
      </c>
      <c r="C74" s="11" t="s">
        <v>18011</v>
      </c>
      <c r="D74" s="74">
        <v>0.8</v>
      </c>
      <c r="E74" s="74">
        <v>0.8</v>
      </c>
      <c r="F74" s="11" t="s">
        <v>1656</v>
      </c>
    </row>
    <row r="75">
      <c r="A75" s="195" t="s">
        <v>3585</v>
      </c>
      <c r="C75" s="11" t="s">
        <v>18011</v>
      </c>
      <c r="D75" s="74">
        <v>0.8</v>
      </c>
      <c r="E75" s="74">
        <v>0.8</v>
      </c>
      <c r="F75" s="11" t="s">
        <v>1656</v>
      </c>
    </row>
    <row r="76">
      <c r="A76" s="195" t="s">
        <v>3586</v>
      </c>
      <c r="C76" s="11" t="s">
        <v>18011</v>
      </c>
      <c r="D76" s="74">
        <v>0.8</v>
      </c>
      <c r="E76" s="74">
        <v>0.8</v>
      </c>
      <c r="F76" s="11" t="s">
        <v>1656</v>
      </c>
    </row>
    <row r="77">
      <c r="A77" s="195" t="s">
        <v>3587</v>
      </c>
      <c r="C77" s="11" t="s">
        <v>18011</v>
      </c>
      <c r="D77" s="74">
        <v>0.8</v>
      </c>
      <c r="E77" s="74">
        <v>0.8</v>
      </c>
      <c r="F77" s="11" t="s">
        <v>1656</v>
      </c>
    </row>
    <row r="78">
      <c r="A78" s="195" t="s">
        <v>3588</v>
      </c>
      <c r="C78" s="11" t="s">
        <v>18011</v>
      </c>
      <c r="D78" s="74">
        <v>0.8</v>
      </c>
      <c r="E78" s="74">
        <v>0.8</v>
      </c>
      <c r="F78" s="11" t="s">
        <v>1656</v>
      </c>
    </row>
    <row r="79">
      <c r="A79" s="195" t="s">
        <v>3589</v>
      </c>
      <c r="C79" s="11" t="s">
        <v>18011</v>
      </c>
      <c r="D79" s="74">
        <v>0.8</v>
      </c>
      <c r="E79" s="74">
        <v>0.8</v>
      </c>
      <c r="F79" s="11" t="s">
        <v>1656</v>
      </c>
    </row>
    <row r="80">
      <c r="A80" s="195" t="s">
        <v>3590</v>
      </c>
      <c r="C80" s="11" t="s">
        <v>18011</v>
      </c>
      <c r="D80" s="74">
        <v>0.8</v>
      </c>
      <c r="E80" s="74">
        <v>0.8</v>
      </c>
      <c r="F80" s="11" t="s">
        <v>1656</v>
      </c>
    </row>
    <row r="81">
      <c r="A81" s="195" t="s">
        <v>3591</v>
      </c>
      <c r="B81" s="11">
        <v>6706.0</v>
      </c>
      <c r="C81" s="11" t="s">
        <v>18011</v>
      </c>
      <c r="D81" s="74">
        <v>0.8</v>
      </c>
      <c r="E81" s="74">
        <v>0.8</v>
      </c>
      <c r="F81" s="11" t="s">
        <v>1656</v>
      </c>
    </row>
    <row r="82">
      <c r="A82" s="195" t="s">
        <v>3592</v>
      </c>
      <c r="C82" s="11" t="s">
        <v>18011</v>
      </c>
      <c r="D82" s="74">
        <v>0.8</v>
      </c>
      <c r="E82" s="74">
        <v>0.8</v>
      </c>
      <c r="F82" s="11" t="s">
        <v>1656</v>
      </c>
    </row>
    <row r="83">
      <c r="A83" s="195" t="s">
        <v>3593</v>
      </c>
      <c r="B83" s="11">
        <v>3607.0</v>
      </c>
      <c r="C83" s="11" t="s">
        <v>18011</v>
      </c>
      <c r="D83" s="74">
        <v>0.8</v>
      </c>
      <c r="E83" s="74">
        <v>0.8</v>
      </c>
      <c r="F83" s="11" t="s">
        <v>1656</v>
      </c>
    </row>
    <row r="84">
      <c r="A84" s="195" t="s">
        <v>3594</v>
      </c>
      <c r="B84" s="11">
        <v>3607.0</v>
      </c>
      <c r="C84" s="11" t="s">
        <v>18011</v>
      </c>
      <c r="D84" s="74">
        <v>0.8</v>
      </c>
      <c r="E84" s="74">
        <v>0.8</v>
      </c>
      <c r="F84" s="11" t="s">
        <v>1656</v>
      </c>
    </row>
    <row r="85">
      <c r="A85" s="195" t="s">
        <v>3595</v>
      </c>
      <c r="B85" s="11">
        <v>3607.0</v>
      </c>
      <c r="C85" s="11" t="s">
        <v>18011</v>
      </c>
      <c r="D85" s="74">
        <v>0.8</v>
      </c>
      <c r="E85" s="74">
        <v>0.8</v>
      </c>
      <c r="F85" s="11" t="s">
        <v>1656</v>
      </c>
    </row>
    <row r="86">
      <c r="A86" s="195" t="s">
        <v>3596</v>
      </c>
      <c r="B86" s="11">
        <v>3607.0</v>
      </c>
      <c r="C86" s="11" t="s">
        <v>18011</v>
      </c>
      <c r="D86" s="74">
        <v>0.8</v>
      </c>
      <c r="E86" s="74">
        <v>0.8</v>
      </c>
      <c r="F86" s="11" t="s">
        <v>1656</v>
      </c>
    </row>
    <row r="87">
      <c r="A87" s="195" t="s">
        <v>3597</v>
      </c>
      <c r="B87" s="11">
        <v>3607.0</v>
      </c>
      <c r="C87" s="11" t="s">
        <v>18011</v>
      </c>
      <c r="D87" s="74">
        <v>0.8</v>
      </c>
      <c r="E87" s="74">
        <v>0.8</v>
      </c>
      <c r="F87" s="11" t="s">
        <v>1656</v>
      </c>
    </row>
    <row r="88">
      <c r="A88" s="195" t="s">
        <v>3598</v>
      </c>
      <c r="B88" s="11">
        <v>3607.0</v>
      </c>
      <c r="C88" s="11" t="s">
        <v>18011</v>
      </c>
      <c r="D88" s="74">
        <v>0.8</v>
      </c>
      <c r="E88" s="74">
        <v>0.8</v>
      </c>
      <c r="F88" s="11" t="s">
        <v>1656</v>
      </c>
    </row>
    <row r="89">
      <c r="A89" s="195" t="s">
        <v>3599</v>
      </c>
      <c r="B89" s="11">
        <v>3607.0</v>
      </c>
      <c r="C89" s="11" t="s">
        <v>18011</v>
      </c>
      <c r="D89" s="74">
        <v>0.8</v>
      </c>
      <c r="E89" s="74">
        <v>0.8</v>
      </c>
      <c r="F89" s="11" t="s">
        <v>1656</v>
      </c>
    </row>
    <row r="90">
      <c r="A90" s="195" t="s">
        <v>3600</v>
      </c>
      <c r="B90" s="11">
        <v>3607.0</v>
      </c>
      <c r="C90" s="11" t="s">
        <v>18011</v>
      </c>
      <c r="D90" s="74">
        <v>0.8</v>
      </c>
      <c r="E90" s="74">
        <v>0.8</v>
      </c>
      <c r="F90" s="11" t="s">
        <v>1656</v>
      </c>
    </row>
    <row r="91">
      <c r="A91" s="195" t="s">
        <v>3601</v>
      </c>
      <c r="B91" s="11">
        <v>3607.0</v>
      </c>
      <c r="C91" s="11" t="s">
        <v>18011</v>
      </c>
      <c r="D91" s="74">
        <v>0.8</v>
      </c>
      <c r="E91" s="74">
        <v>0.8</v>
      </c>
      <c r="F91" s="11" t="s">
        <v>1656</v>
      </c>
    </row>
    <row r="92">
      <c r="A92" s="195" t="s">
        <v>3602</v>
      </c>
      <c r="B92" s="11">
        <v>3607.0</v>
      </c>
      <c r="C92" s="11" t="s">
        <v>18011</v>
      </c>
      <c r="D92" s="74">
        <v>0.8</v>
      </c>
      <c r="E92" s="74">
        <v>0.8</v>
      </c>
      <c r="F92" s="11" t="s">
        <v>1656</v>
      </c>
    </row>
    <row r="93">
      <c r="A93" s="195" t="s">
        <v>3603</v>
      </c>
      <c r="B93" s="11">
        <v>3607.0</v>
      </c>
      <c r="C93" s="11" t="s">
        <v>18011</v>
      </c>
      <c r="D93" s="74">
        <v>0.8</v>
      </c>
      <c r="E93" s="74">
        <v>0.8</v>
      </c>
      <c r="F93" s="11" t="s">
        <v>1656</v>
      </c>
    </row>
    <row r="94">
      <c r="A94" s="7" t="s">
        <v>3553</v>
      </c>
      <c r="B94" s="7"/>
      <c r="C94" s="11" t="s">
        <v>18011</v>
      </c>
      <c r="D94" s="74">
        <v>0.8</v>
      </c>
      <c r="E94" s="74">
        <v>0.8</v>
      </c>
      <c r="F94" s="11" t="s">
        <v>1656</v>
      </c>
    </row>
    <row r="95">
      <c r="A95" s="7" t="s">
        <v>3704</v>
      </c>
      <c r="B95" s="7"/>
      <c r="C95" s="11" t="s">
        <v>18011</v>
      </c>
      <c r="D95" s="74">
        <v>0.8</v>
      </c>
      <c r="E95" s="74">
        <v>0.8</v>
      </c>
      <c r="F95" s="11" t="s">
        <v>1656</v>
      </c>
    </row>
    <row r="96">
      <c r="A96" s="7" t="s">
        <v>3705</v>
      </c>
      <c r="B96" s="7"/>
      <c r="C96" s="11" t="s">
        <v>18011</v>
      </c>
      <c r="D96" s="74">
        <v>0.8</v>
      </c>
      <c r="E96" s="74">
        <v>0.8</v>
      </c>
      <c r="F96" s="11" t="s">
        <v>1656</v>
      </c>
    </row>
    <row r="97">
      <c r="A97" s="7" t="s">
        <v>65</v>
      </c>
      <c r="B97" s="7"/>
      <c r="C97" s="11" t="s">
        <v>18011</v>
      </c>
      <c r="D97" s="74">
        <v>0.8</v>
      </c>
      <c r="E97" s="74">
        <v>0.8</v>
      </c>
      <c r="F97" s="11" t="s">
        <v>1656</v>
      </c>
    </row>
    <row r="98">
      <c r="A98" s="7" t="s">
        <v>66</v>
      </c>
      <c r="B98" s="7"/>
      <c r="C98" s="11" t="s">
        <v>18011</v>
      </c>
      <c r="D98" s="74">
        <v>0.8</v>
      </c>
      <c r="E98" s="74">
        <v>0.8</v>
      </c>
      <c r="F98" s="11" t="s">
        <v>1656</v>
      </c>
    </row>
    <row r="99">
      <c r="A99" s="7" t="s">
        <v>67</v>
      </c>
      <c r="B99" s="7"/>
      <c r="C99" s="11" t="s">
        <v>18011</v>
      </c>
      <c r="D99" s="74">
        <v>0.8</v>
      </c>
      <c r="E99" s="74">
        <v>0.8</v>
      </c>
      <c r="F99" s="11" t="s">
        <v>1656</v>
      </c>
    </row>
    <row r="100">
      <c r="A100" s="7" t="s">
        <v>68</v>
      </c>
      <c r="B100" s="7"/>
      <c r="C100" s="11" t="s">
        <v>18011</v>
      </c>
      <c r="D100" s="74">
        <v>0.8</v>
      </c>
      <c r="E100" s="74">
        <v>0.8</v>
      </c>
      <c r="F100" s="11" t="s">
        <v>1656</v>
      </c>
    </row>
    <row r="101">
      <c r="A101" s="7" t="s">
        <v>69</v>
      </c>
      <c r="B101" s="7"/>
      <c r="C101" s="11" t="s">
        <v>18011</v>
      </c>
      <c r="D101" s="74">
        <v>0.8</v>
      </c>
      <c r="E101" s="74">
        <v>0.8</v>
      </c>
      <c r="F101" s="11" t="s">
        <v>1656</v>
      </c>
    </row>
  </sheetData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90.5"/>
    <col customWidth="1" min="4" max="4" width="17.13"/>
    <col customWidth="1" min="5" max="5" width="44.38"/>
    <col hidden="1" min="11" max="12" width="12.63"/>
  </cols>
  <sheetData>
    <row r="1">
      <c r="A1" s="358" t="s">
        <v>44</v>
      </c>
      <c r="B1" s="660" t="s">
        <v>4477</v>
      </c>
      <c r="C1" s="37" t="s">
        <v>294</v>
      </c>
      <c r="D1" s="37" t="s">
        <v>248</v>
      </c>
      <c r="E1" s="37" t="s">
        <v>249</v>
      </c>
      <c r="F1" s="57" t="s">
        <v>250</v>
      </c>
      <c r="G1" s="55"/>
      <c r="H1" s="348"/>
      <c r="I1" s="349"/>
      <c r="J1" s="45"/>
      <c r="K1" s="324" t="s">
        <v>1654</v>
      </c>
      <c r="L1" s="324" t="s">
        <v>4477</v>
      </c>
    </row>
    <row r="2">
      <c r="A2" s="662" t="s">
        <v>18012</v>
      </c>
      <c r="B2" s="45">
        <v>7083.0</v>
      </c>
      <c r="C2" s="663" t="s">
        <v>18013</v>
      </c>
      <c r="D2" s="664">
        <v>0.8</v>
      </c>
      <c r="E2" s="664">
        <v>0.8</v>
      </c>
      <c r="F2" s="37" t="s">
        <v>1656</v>
      </c>
      <c r="G2" s="45"/>
      <c r="H2" s="45"/>
      <c r="I2" s="45"/>
      <c r="J2" s="45"/>
      <c r="K2" s="25" t="s">
        <v>18014</v>
      </c>
      <c r="L2" s="25">
        <v>499.0</v>
      </c>
    </row>
    <row r="3">
      <c r="A3" s="665" t="s">
        <v>18015</v>
      </c>
      <c r="B3" s="45">
        <v>14248.0</v>
      </c>
      <c r="C3" s="663" t="s">
        <v>18013</v>
      </c>
      <c r="D3" s="664">
        <v>0.7</v>
      </c>
      <c r="E3" s="664">
        <v>0.7</v>
      </c>
      <c r="F3" s="37" t="s">
        <v>1656</v>
      </c>
      <c r="G3" s="45"/>
      <c r="H3" s="45"/>
      <c r="I3" s="45"/>
      <c r="J3" s="45"/>
      <c r="K3" s="25" t="s">
        <v>18016</v>
      </c>
      <c r="L3" s="25">
        <v>2345.0</v>
      </c>
    </row>
    <row r="4">
      <c r="A4" s="665" t="s">
        <v>18017</v>
      </c>
      <c r="B4" s="45"/>
      <c r="C4" s="663" t="s">
        <v>18013</v>
      </c>
      <c r="D4" s="664">
        <v>0.7</v>
      </c>
      <c r="E4" s="664">
        <v>0.7</v>
      </c>
      <c r="F4" s="37" t="s">
        <v>1656</v>
      </c>
      <c r="G4" s="45"/>
      <c r="H4" s="45"/>
      <c r="I4" s="45"/>
      <c r="J4" s="45"/>
      <c r="K4" s="25" t="s">
        <v>18018</v>
      </c>
      <c r="L4" s="25">
        <v>2345.0</v>
      </c>
    </row>
    <row r="5">
      <c r="A5" s="665" t="s">
        <v>18019</v>
      </c>
      <c r="B5" s="45"/>
      <c r="C5" s="663" t="s">
        <v>18013</v>
      </c>
      <c r="D5" s="664">
        <v>0.7</v>
      </c>
      <c r="E5" s="664">
        <v>0.7</v>
      </c>
      <c r="F5" s="37" t="s">
        <v>1656</v>
      </c>
      <c r="G5" s="45"/>
      <c r="H5" s="45"/>
      <c r="I5" s="45"/>
      <c r="J5" s="45"/>
      <c r="K5" s="25" t="s">
        <v>18020</v>
      </c>
      <c r="L5" s="25">
        <v>2345.0</v>
      </c>
    </row>
    <row r="6">
      <c r="A6" s="665" t="s">
        <v>18021</v>
      </c>
      <c r="B6" s="45"/>
      <c r="C6" s="663" t="s">
        <v>18013</v>
      </c>
      <c r="D6" s="664">
        <v>0.7</v>
      </c>
      <c r="E6" s="664">
        <v>0.7</v>
      </c>
      <c r="F6" s="37" t="s">
        <v>1656</v>
      </c>
      <c r="G6" s="45"/>
      <c r="H6" s="45"/>
      <c r="I6" s="45"/>
      <c r="J6" s="45"/>
      <c r="K6" s="25" t="s">
        <v>18022</v>
      </c>
      <c r="L6" s="25">
        <v>5458.0</v>
      </c>
    </row>
    <row r="7">
      <c r="A7" s="665" t="s">
        <v>18023</v>
      </c>
      <c r="B7" s="45">
        <v>2095.0</v>
      </c>
      <c r="C7" s="663" t="s">
        <v>18013</v>
      </c>
      <c r="D7" s="664">
        <v>0.7</v>
      </c>
      <c r="E7" s="664">
        <v>0.7</v>
      </c>
      <c r="F7" s="37" t="s">
        <v>1656</v>
      </c>
      <c r="G7" s="45"/>
      <c r="H7" s="45"/>
      <c r="I7" s="45"/>
      <c r="J7" s="45"/>
      <c r="K7" s="25" t="s">
        <v>18024</v>
      </c>
      <c r="L7" s="25">
        <v>5458.0</v>
      </c>
    </row>
    <row r="8">
      <c r="A8" s="665" t="s">
        <v>18025</v>
      </c>
      <c r="B8" s="45">
        <v>2095.0</v>
      </c>
      <c r="C8" s="663" t="s">
        <v>18013</v>
      </c>
      <c r="D8" s="664">
        <v>0.7</v>
      </c>
      <c r="E8" s="664">
        <v>0.7</v>
      </c>
      <c r="F8" s="37" t="s">
        <v>1656</v>
      </c>
      <c r="G8" s="45"/>
      <c r="H8" s="45"/>
      <c r="I8" s="45"/>
      <c r="J8" s="45"/>
      <c r="K8" s="25" t="s">
        <v>18026</v>
      </c>
      <c r="L8" s="25">
        <v>6133.0</v>
      </c>
    </row>
    <row r="9">
      <c r="A9" s="665" t="s">
        <v>18027</v>
      </c>
      <c r="B9" s="45"/>
      <c r="C9" s="663" t="s">
        <v>18013</v>
      </c>
      <c r="D9" s="664">
        <v>0.7</v>
      </c>
      <c r="E9" s="664">
        <v>0.7</v>
      </c>
      <c r="F9" s="37" t="s">
        <v>1656</v>
      </c>
      <c r="G9" s="45"/>
      <c r="H9" s="45"/>
      <c r="I9" s="45"/>
      <c r="J9" s="45"/>
      <c r="K9" s="25" t="s">
        <v>18028</v>
      </c>
      <c r="L9" s="25">
        <v>1.0</v>
      </c>
    </row>
    <row r="10">
      <c r="A10" s="665" t="s">
        <v>18029</v>
      </c>
      <c r="B10" s="45"/>
      <c r="C10" s="663" t="s">
        <v>18013</v>
      </c>
      <c r="D10" s="664">
        <v>0.7</v>
      </c>
      <c r="E10" s="664">
        <v>0.7</v>
      </c>
      <c r="F10" s="37" t="s">
        <v>1656</v>
      </c>
      <c r="G10" s="45"/>
      <c r="H10" s="45"/>
      <c r="I10" s="45"/>
      <c r="J10" s="45"/>
      <c r="K10" s="25" t="s">
        <v>18030</v>
      </c>
      <c r="L10" s="25">
        <v>6675.0</v>
      </c>
    </row>
    <row r="11">
      <c r="A11" s="665" t="s">
        <v>18031</v>
      </c>
      <c r="B11" s="45"/>
      <c r="C11" s="663" t="s">
        <v>18013</v>
      </c>
      <c r="D11" s="664">
        <v>0.7</v>
      </c>
      <c r="E11" s="664">
        <v>0.7</v>
      </c>
      <c r="F11" s="37" t="s">
        <v>1656</v>
      </c>
      <c r="G11" s="45"/>
      <c r="H11" s="45"/>
      <c r="I11" s="45"/>
      <c r="J11" s="45"/>
      <c r="K11" s="25" t="s">
        <v>18032</v>
      </c>
      <c r="L11" s="25">
        <v>6132.0</v>
      </c>
    </row>
    <row r="12">
      <c r="A12" s="665" t="s">
        <v>18033</v>
      </c>
      <c r="B12" s="45">
        <v>11708.0</v>
      </c>
      <c r="C12" s="663" t="s">
        <v>18013</v>
      </c>
      <c r="D12" s="664">
        <v>0.7</v>
      </c>
      <c r="E12" s="664">
        <v>0.7</v>
      </c>
      <c r="F12" s="37" t="s">
        <v>1656</v>
      </c>
      <c r="G12" s="45"/>
      <c r="H12" s="45"/>
      <c r="I12" s="45"/>
      <c r="J12" s="45"/>
      <c r="K12" s="25" t="s">
        <v>18034</v>
      </c>
      <c r="L12" s="25">
        <v>6557.0</v>
      </c>
    </row>
    <row r="13">
      <c r="A13" s="665" t="s">
        <v>18035</v>
      </c>
      <c r="B13" s="45"/>
      <c r="C13" s="663" t="s">
        <v>18013</v>
      </c>
      <c r="D13" s="664">
        <v>0.7</v>
      </c>
      <c r="E13" s="664">
        <v>0.7</v>
      </c>
      <c r="F13" s="37" t="s">
        <v>1656</v>
      </c>
      <c r="G13" s="45"/>
      <c r="H13" s="45"/>
      <c r="I13" s="45"/>
      <c r="J13" s="45"/>
      <c r="K13" s="25" t="s">
        <v>18036</v>
      </c>
      <c r="L13" s="25">
        <v>6658.0</v>
      </c>
    </row>
    <row r="14">
      <c r="A14" s="665" t="s">
        <v>18037</v>
      </c>
      <c r="B14" s="45">
        <v>14417.0</v>
      </c>
      <c r="C14" s="663" t="s">
        <v>18013</v>
      </c>
      <c r="D14" s="664">
        <v>0.7</v>
      </c>
      <c r="E14" s="664">
        <v>0.7</v>
      </c>
      <c r="F14" s="37" t="s">
        <v>1656</v>
      </c>
      <c r="G14" s="45"/>
      <c r="H14" s="45"/>
      <c r="I14" s="45"/>
      <c r="J14" s="45"/>
      <c r="K14" s="25" t="s">
        <v>18038</v>
      </c>
      <c r="L14" s="25">
        <v>7747.0</v>
      </c>
    </row>
    <row r="15">
      <c r="A15" s="665" t="s">
        <v>18039</v>
      </c>
      <c r="B15" s="45">
        <v>6947.0</v>
      </c>
      <c r="C15" s="663" t="s">
        <v>18013</v>
      </c>
      <c r="D15" s="664">
        <v>0.7</v>
      </c>
      <c r="E15" s="664">
        <v>0.7</v>
      </c>
      <c r="F15" s="37" t="s">
        <v>1656</v>
      </c>
      <c r="G15" s="45"/>
      <c r="H15" s="45"/>
      <c r="I15" s="45"/>
      <c r="J15" s="45"/>
      <c r="K15" s="25" t="s">
        <v>18040</v>
      </c>
      <c r="L15" s="37">
        <v>7083.0</v>
      </c>
    </row>
    <row r="16">
      <c r="A16" s="665" t="s">
        <v>18041</v>
      </c>
      <c r="B16" s="45"/>
      <c r="C16" s="663" t="s">
        <v>18013</v>
      </c>
      <c r="D16" s="664">
        <v>0.7</v>
      </c>
      <c r="E16" s="664">
        <v>0.7</v>
      </c>
      <c r="F16" s="37" t="s">
        <v>1656</v>
      </c>
      <c r="G16" s="45"/>
      <c r="H16" s="45"/>
      <c r="I16" s="45"/>
      <c r="J16" s="45"/>
      <c r="K16" s="25" t="s">
        <v>18042</v>
      </c>
      <c r="L16" s="37">
        <v>6924.0</v>
      </c>
    </row>
    <row r="17">
      <c r="A17" s="665" t="s">
        <v>18043</v>
      </c>
      <c r="B17" s="37">
        <v>6772.0</v>
      </c>
      <c r="C17" s="663" t="s">
        <v>18013</v>
      </c>
      <c r="D17" s="664">
        <v>0.7</v>
      </c>
      <c r="E17" s="664">
        <v>0.7</v>
      </c>
      <c r="F17" s="37" t="s">
        <v>1656</v>
      </c>
      <c r="G17" s="45"/>
      <c r="H17" s="45"/>
      <c r="I17" s="45"/>
      <c r="J17" s="45"/>
      <c r="K17" s="25" t="s">
        <v>18044</v>
      </c>
      <c r="L17" s="37">
        <v>6779.0</v>
      </c>
    </row>
    <row r="18">
      <c r="A18" s="665" t="s">
        <v>18045</v>
      </c>
      <c r="B18" s="45">
        <v>14020.0</v>
      </c>
      <c r="C18" s="663" t="s">
        <v>18013</v>
      </c>
      <c r="D18" s="664">
        <v>0.7</v>
      </c>
      <c r="E18" s="664">
        <v>0.7</v>
      </c>
      <c r="F18" s="37" t="s">
        <v>1656</v>
      </c>
      <c r="G18" s="45"/>
      <c r="H18" s="45"/>
      <c r="I18" s="45"/>
      <c r="J18" s="45"/>
      <c r="K18" s="25" t="s">
        <v>18046</v>
      </c>
      <c r="L18" s="25">
        <v>6998.0</v>
      </c>
    </row>
    <row r="19">
      <c r="A19" s="665" t="s">
        <v>18047</v>
      </c>
      <c r="B19" s="45"/>
      <c r="C19" s="663" t="s">
        <v>18013</v>
      </c>
      <c r="D19" s="664">
        <v>0.7</v>
      </c>
      <c r="E19" s="664">
        <v>0.7</v>
      </c>
      <c r="F19" s="37" t="s">
        <v>1656</v>
      </c>
      <c r="G19" s="45"/>
      <c r="H19" s="45"/>
      <c r="I19" s="45"/>
      <c r="J19" s="45"/>
      <c r="K19" s="25" t="s">
        <v>18048</v>
      </c>
      <c r="L19" s="25">
        <v>11049.0</v>
      </c>
    </row>
    <row r="20">
      <c r="A20" s="665" t="s">
        <v>18049</v>
      </c>
      <c r="B20" s="45"/>
      <c r="C20" s="663" t="s">
        <v>18013</v>
      </c>
      <c r="D20" s="664">
        <v>0.7</v>
      </c>
      <c r="E20" s="664">
        <v>0.7</v>
      </c>
      <c r="F20" s="37" t="s">
        <v>1656</v>
      </c>
      <c r="G20" s="45"/>
      <c r="H20" s="45"/>
      <c r="I20" s="45"/>
      <c r="J20" s="45"/>
      <c r="K20" s="25" t="s">
        <v>18050</v>
      </c>
      <c r="L20" s="25">
        <v>11049.0</v>
      </c>
    </row>
    <row r="21">
      <c r="A21" s="665" t="s">
        <v>18051</v>
      </c>
      <c r="B21" s="45"/>
      <c r="C21" s="663" t="s">
        <v>18013</v>
      </c>
      <c r="D21" s="664">
        <v>0.7</v>
      </c>
      <c r="E21" s="664">
        <v>0.7</v>
      </c>
      <c r="F21" s="37" t="s">
        <v>1656</v>
      </c>
      <c r="G21" s="45"/>
      <c r="H21" s="45"/>
      <c r="I21" s="45"/>
      <c r="J21" s="45"/>
      <c r="K21" s="25" t="s">
        <v>18052</v>
      </c>
      <c r="L21" s="25">
        <v>11049.0</v>
      </c>
    </row>
    <row r="22">
      <c r="A22" s="665" t="s">
        <v>18053</v>
      </c>
      <c r="B22" s="45">
        <v>5389.0</v>
      </c>
      <c r="C22" s="663" t="s">
        <v>18013</v>
      </c>
      <c r="D22" s="664">
        <v>0.7</v>
      </c>
      <c r="E22" s="664">
        <v>0.7</v>
      </c>
      <c r="F22" s="37" t="s">
        <v>1656</v>
      </c>
      <c r="G22" s="45"/>
      <c r="H22" s="45"/>
      <c r="I22" s="45"/>
      <c r="J22" s="45"/>
      <c r="K22" s="25" t="s">
        <v>18054</v>
      </c>
      <c r="L22" s="25">
        <v>11049.0</v>
      </c>
    </row>
    <row r="23">
      <c r="A23" s="665" t="s">
        <v>18055</v>
      </c>
      <c r="B23" s="45">
        <v>7847.0</v>
      </c>
      <c r="C23" s="663" t="s">
        <v>18013</v>
      </c>
      <c r="D23" s="664">
        <v>0.7</v>
      </c>
      <c r="E23" s="664">
        <v>0.7</v>
      </c>
      <c r="F23" s="37" t="s">
        <v>1656</v>
      </c>
      <c r="G23" s="45"/>
      <c r="H23" s="45"/>
      <c r="I23" s="45"/>
      <c r="J23" s="45"/>
      <c r="K23" s="25" t="s">
        <v>18056</v>
      </c>
      <c r="L23" s="25">
        <v>11049.0</v>
      </c>
    </row>
    <row r="24">
      <c r="A24" s="665" t="s">
        <v>18057</v>
      </c>
      <c r="B24" s="45">
        <v>6873.0</v>
      </c>
      <c r="C24" s="663" t="s">
        <v>18013</v>
      </c>
      <c r="D24" s="664">
        <v>0.7</v>
      </c>
      <c r="E24" s="664">
        <v>0.7</v>
      </c>
      <c r="F24" s="37" t="s">
        <v>1656</v>
      </c>
      <c r="G24" s="45"/>
      <c r="H24" s="45"/>
      <c r="I24" s="45"/>
      <c r="J24" s="45"/>
      <c r="K24" s="25" t="s">
        <v>18058</v>
      </c>
      <c r="L24" s="25">
        <v>11049.0</v>
      </c>
    </row>
    <row r="25">
      <c r="A25" s="665" t="s">
        <v>18059</v>
      </c>
      <c r="B25" s="45"/>
      <c r="C25" s="663" t="s">
        <v>18013</v>
      </c>
      <c r="D25" s="664">
        <v>0.7</v>
      </c>
      <c r="E25" s="664">
        <v>0.7</v>
      </c>
      <c r="F25" s="37" t="s">
        <v>1656</v>
      </c>
      <c r="G25" s="45"/>
      <c r="H25" s="45"/>
      <c r="I25" s="45"/>
      <c r="J25" s="45"/>
      <c r="K25" s="25" t="s">
        <v>18060</v>
      </c>
      <c r="L25" s="25">
        <v>11049.0</v>
      </c>
    </row>
    <row r="26">
      <c r="A26" s="665" t="s">
        <v>18061</v>
      </c>
      <c r="B26" s="45"/>
      <c r="C26" s="663" t="s">
        <v>18013</v>
      </c>
      <c r="D26" s="664">
        <v>0.7</v>
      </c>
      <c r="E26" s="664">
        <v>0.7</v>
      </c>
      <c r="F26" s="37" t="s">
        <v>1656</v>
      </c>
      <c r="G26" s="45"/>
      <c r="H26" s="45"/>
      <c r="I26" s="45"/>
      <c r="J26" s="45"/>
      <c r="K26" s="25" t="s">
        <v>18062</v>
      </c>
      <c r="L26" s="25">
        <v>6658.0</v>
      </c>
    </row>
    <row r="27">
      <c r="A27" s="665" t="s">
        <v>18063</v>
      </c>
      <c r="B27" s="37">
        <v>283.0</v>
      </c>
      <c r="C27" s="663" t="s">
        <v>18013</v>
      </c>
      <c r="D27" s="664">
        <v>0.7</v>
      </c>
      <c r="E27" s="664">
        <v>0.7</v>
      </c>
      <c r="F27" s="37" t="s">
        <v>1656</v>
      </c>
      <c r="G27" s="45"/>
      <c r="H27" s="45"/>
      <c r="I27" s="45"/>
      <c r="J27" s="45"/>
      <c r="K27" s="25" t="s">
        <v>18064</v>
      </c>
      <c r="L27" s="25">
        <v>12553.0</v>
      </c>
    </row>
    <row r="28">
      <c r="A28" s="665" t="s">
        <v>18065</v>
      </c>
      <c r="B28" s="45"/>
      <c r="C28" s="663" t="s">
        <v>18013</v>
      </c>
      <c r="D28" s="664">
        <v>0.7</v>
      </c>
      <c r="E28" s="664">
        <v>0.7</v>
      </c>
      <c r="F28" s="37" t="s">
        <v>1656</v>
      </c>
      <c r="G28" s="45"/>
      <c r="H28" s="45"/>
      <c r="I28" s="45"/>
      <c r="J28" s="45"/>
      <c r="K28" s="25" t="s">
        <v>18066</v>
      </c>
      <c r="L28" s="37">
        <v>6722.0</v>
      </c>
    </row>
    <row r="29">
      <c r="A29" s="665" t="s">
        <v>18067</v>
      </c>
      <c r="B29" s="45">
        <v>7157.0</v>
      </c>
      <c r="C29" s="663" t="s">
        <v>18013</v>
      </c>
      <c r="D29" s="664">
        <v>0.7</v>
      </c>
      <c r="E29" s="664">
        <v>0.7</v>
      </c>
      <c r="F29" s="37" t="s">
        <v>1656</v>
      </c>
      <c r="G29" s="45"/>
      <c r="H29" s="45"/>
      <c r="I29" s="45"/>
      <c r="J29" s="45"/>
      <c r="K29" s="25" t="s">
        <v>18068</v>
      </c>
      <c r="L29" s="37">
        <v>14025.0</v>
      </c>
    </row>
    <row r="30">
      <c r="A30" s="665" t="s">
        <v>18069</v>
      </c>
      <c r="B30" s="37">
        <v>14575.0</v>
      </c>
      <c r="C30" s="663" t="s">
        <v>18013</v>
      </c>
      <c r="D30" s="179">
        <v>0.85</v>
      </c>
      <c r="E30" s="179">
        <v>0.85</v>
      </c>
      <c r="F30" s="37" t="s">
        <v>1656</v>
      </c>
      <c r="G30" s="45"/>
      <c r="H30" s="45"/>
      <c r="I30" s="45"/>
      <c r="J30" s="45"/>
      <c r="K30" s="25" t="s">
        <v>18070</v>
      </c>
      <c r="L30" s="37">
        <v>7083.0</v>
      </c>
    </row>
    <row r="31">
      <c r="A31" s="665" t="s">
        <v>18071</v>
      </c>
      <c r="B31" s="45"/>
      <c r="C31" s="663" t="s">
        <v>18013</v>
      </c>
      <c r="D31" s="664">
        <v>0.7</v>
      </c>
      <c r="E31" s="664">
        <v>0.7</v>
      </c>
      <c r="F31" s="37" t="s">
        <v>1656</v>
      </c>
      <c r="G31" s="45"/>
      <c r="H31" s="45"/>
      <c r="I31" s="45"/>
      <c r="J31" s="45"/>
      <c r="K31" s="25" t="s">
        <v>18072</v>
      </c>
      <c r="L31" s="37">
        <v>14480.0</v>
      </c>
    </row>
    <row r="32">
      <c r="A32" s="665" t="s">
        <v>18073</v>
      </c>
      <c r="B32" s="45">
        <v>7149.0</v>
      </c>
      <c r="C32" s="663" t="s">
        <v>18013</v>
      </c>
      <c r="D32" s="664">
        <v>0.7</v>
      </c>
      <c r="E32" s="664">
        <v>0.7</v>
      </c>
      <c r="F32" s="37" t="s">
        <v>1656</v>
      </c>
      <c r="G32" s="45"/>
      <c r="H32" s="45"/>
      <c r="I32" s="45"/>
      <c r="J32" s="45"/>
      <c r="K32" s="25" t="s">
        <v>18074</v>
      </c>
      <c r="L32" s="16">
        <v>14646.0</v>
      </c>
    </row>
    <row r="33">
      <c r="A33" s="665" t="s">
        <v>18075</v>
      </c>
      <c r="B33" s="45"/>
      <c r="C33" s="663" t="s">
        <v>18013</v>
      </c>
      <c r="D33" s="664">
        <v>0.7</v>
      </c>
      <c r="E33" s="664">
        <v>0.7</v>
      </c>
      <c r="F33" s="37" t="s">
        <v>1656</v>
      </c>
      <c r="G33" s="45"/>
      <c r="H33" s="45"/>
      <c r="I33" s="45"/>
      <c r="J33" s="45"/>
      <c r="K33" s="25" t="s">
        <v>18076</v>
      </c>
      <c r="L33" s="25">
        <v>14672.0</v>
      </c>
    </row>
    <row r="34">
      <c r="A34" s="665" t="s">
        <v>18077</v>
      </c>
      <c r="B34" s="45"/>
      <c r="C34" s="663" t="s">
        <v>18013</v>
      </c>
      <c r="D34" s="664">
        <v>0.7</v>
      </c>
      <c r="E34" s="664">
        <v>0.7</v>
      </c>
      <c r="F34" s="37" t="s">
        <v>1656</v>
      </c>
      <c r="G34" s="45"/>
      <c r="H34" s="45"/>
      <c r="I34" s="45"/>
      <c r="J34" s="45"/>
      <c r="K34" s="25" t="s">
        <v>18078</v>
      </c>
      <c r="L34" s="25">
        <v>14505.0</v>
      </c>
    </row>
    <row r="35">
      <c r="A35" s="665" t="s">
        <v>18079</v>
      </c>
      <c r="B35" s="45"/>
      <c r="C35" s="663" t="s">
        <v>18013</v>
      </c>
      <c r="D35" s="664">
        <v>0.7</v>
      </c>
      <c r="E35" s="664">
        <v>0.7</v>
      </c>
      <c r="F35" s="37" t="s">
        <v>1656</v>
      </c>
      <c r="G35" s="45"/>
      <c r="H35" s="45"/>
      <c r="I35" s="45"/>
      <c r="J35" s="45"/>
      <c r="K35" s="25" t="s">
        <v>18080</v>
      </c>
      <c r="L35" s="25"/>
    </row>
    <row r="36">
      <c r="A36" s="665" t="s">
        <v>18081</v>
      </c>
      <c r="B36" s="45"/>
      <c r="C36" s="663" t="s">
        <v>18013</v>
      </c>
      <c r="D36" s="664">
        <v>0.7</v>
      </c>
      <c r="E36" s="664">
        <v>0.7</v>
      </c>
      <c r="F36" s="37" t="s">
        <v>1656</v>
      </c>
      <c r="G36" s="45"/>
      <c r="H36" s="45"/>
      <c r="I36" s="45"/>
      <c r="J36" s="45"/>
      <c r="K36" s="25" t="s">
        <v>18082</v>
      </c>
      <c r="L36" s="37">
        <v>6924.0</v>
      </c>
    </row>
    <row r="37">
      <c r="A37" s="665" t="s">
        <v>18083</v>
      </c>
      <c r="B37" s="45">
        <v>14659.0</v>
      </c>
      <c r="C37" s="663" t="s">
        <v>18013</v>
      </c>
      <c r="D37" s="664">
        <v>0.7</v>
      </c>
      <c r="E37" s="664">
        <v>0.7</v>
      </c>
      <c r="F37" s="37" t="s">
        <v>1656</v>
      </c>
      <c r="G37" s="45"/>
      <c r="H37" s="45"/>
      <c r="I37" s="45"/>
      <c r="J37" s="45"/>
      <c r="K37" s="25" t="s">
        <v>18084</v>
      </c>
      <c r="L37" s="25">
        <v>189.0</v>
      </c>
    </row>
    <row r="38">
      <c r="A38" s="665" t="s">
        <v>18085</v>
      </c>
      <c r="B38" s="45">
        <v>6668.0</v>
      </c>
      <c r="C38" s="663" t="s">
        <v>18013</v>
      </c>
      <c r="D38" s="664">
        <v>0.7</v>
      </c>
      <c r="E38" s="664">
        <v>0.7</v>
      </c>
      <c r="F38" s="37" t="s">
        <v>1656</v>
      </c>
      <c r="G38" s="45"/>
      <c r="H38" s="45"/>
      <c r="I38" s="45"/>
      <c r="J38" s="45"/>
      <c r="K38" s="25" t="s">
        <v>18086</v>
      </c>
      <c r="L38" s="25">
        <v>189.0</v>
      </c>
    </row>
    <row r="39">
      <c r="A39" s="665" t="s">
        <v>18087</v>
      </c>
      <c r="B39" s="45">
        <v>6668.0</v>
      </c>
      <c r="C39" s="663" t="s">
        <v>18013</v>
      </c>
      <c r="D39" s="664">
        <v>0.7</v>
      </c>
      <c r="E39" s="664">
        <v>0.7</v>
      </c>
      <c r="F39" s="37" t="s">
        <v>1656</v>
      </c>
      <c r="G39" s="45"/>
      <c r="H39" s="45"/>
      <c r="I39" s="45"/>
      <c r="J39" s="45"/>
      <c r="K39" s="25" t="s">
        <v>18088</v>
      </c>
      <c r="L39" s="25">
        <v>189.0</v>
      </c>
    </row>
    <row r="40">
      <c r="A40" s="665" t="s">
        <v>18089</v>
      </c>
      <c r="B40" s="45">
        <v>6924.0</v>
      </c>
      <c r="C40" s="663" t="s">
        <v>18013</v>
      </c>
      <c r="D40" s="664">
        <v>0.7</v>
      </c>
      <c r="E40" s="664">
        <v>0.7</v>
      </c>
      <c r="F40" s="37" t="s">
        <v>1656</v>
      </c>
      <c r="G40" s="45"/>
      <c r="H40" s="45"/>
      <c r="I40" s="45"/>
      <c r="J40" s="45"/>
      <c r="K40" s="25" t="s">
        <v>18090</v>
      </c>
      <c r="L40" s="25">
        <v>14465.0</v>
      </c>
    </row>
    <row r="41">
      <c r="A41" s="665" t="s">
        <v>18091</v>
      </c>
      <c r="B41" s="45">
        <v>7227.0</v>
      </c>
      <c r="C41" s="663" t="s">
        <v>18013</v>
      </c>
      <c r="D41" s="179">
        <v>0.88</v>
      </c>
      <c r="E41" s="179">
        <v>0.88</v>
      </c>
      <c r="F41" s="37" t="s">
        <v>1656</v>
      </c>
      <c r="G41" s="45"/>
      <c r="H41" s="45"/>
      <c r="I41" s="45"/>
      <c r="J41" s="45"/>
      <c r="K41" s="25" t="s">
        <v>18092</v>
      </c>
      <c r="L41" s="25"/>
    </row>
    <row r="42">
      <c r="A42" s="665" t="s">
        <v>18093</v>
      </c>
      <c r="B42" s="45">
        <v>13192.0</v>
      </c>
      <c r="C42" s="663" t="s">
        <v>18013</v>
      </c>
      <c r="D42" s="664">
        <v>0.7</v>
      </c>
      <c r="E42" s="664">
        <v>0.7</v>
      </c>
      <c r="F42" s="37" t="s">
        <v>1656</v>
      </c>
      <c r="G42" s="45"/>
      <c r="H42" s="45"/>
      <c r="I42" s="45"/>
      <c r="J42" s="45"/>
      <c r="K42" s="25" t="s">
        <v>18094</v>
      </c>
      <c r="L42" s="25"/>
    </row>
    <row r="43">
      <c r="A43" s="665" t="s">
        <v>18095</v>
      </c>
      <c r="B43" s="45"/>
      <c r="C43" s="663" t="s">
        <v>18013</v>
      </c>
      <c r="D43" s="664">
        <v>0.7</v>
      </c>
      <c r="E43" s="664">
        <v>0.7</v>
      </c>
      <c r="F43" s="37" t="s">
        <v>1656</v>
      </c>
      <c r="G43" s="45"/>
      <c r="H43" s="45"/>
      <c r="I43" s="45"/>
      <c r="J43" s="45"/>
      <c r="K43" s="25" t="s">
        <v>18096</v>
      </c>
      <c r="L43" s="25">
        <v>6924.0</v>
      </c>
    </row>
    <row r="44">
      <c r="A44" s="665" t="s">
        <v>18097</v>
      </c>
      <c r="B44" s="45"/>
      <c r="C44" s="663" t="s">
        <v>18013</v>
      </c>
      <c r="D44" s="664">
        <v>0.7</v>
      </c>
      <c r="E44" s="664">
        <v>0.7</v>
      </c>
      <c r="F44" s="37" t="s">
        <v>1656</v>
      </c>
      <c r="G44" s="45"/>
      <c r="H44" s="45"/>
      <c r="I44" s="45"/>
      <c r="J44" s="45"/>
      <c r="K44" s="25" t="s">
        <v>18098</v>
      </c>
      <c r="L44" s="25"/>
    </row>
    <row r="45">
      <c r="A45" s="665" t="s">
        <v>18099</v>
      </c>
      <c r="B45" s="45"/>
      <c r="C45" s="663" t="s">
        <v>18013</v>
      </c>
      <c r="D45" s="664">
        <v>0.7</v>
      </c>
      <c r="E45" s="664">
        <v>0.7</v>
      </c>
      <c r="F45" s="37" t="s">
        <v>1656</v>
      </c>
      <c r="G45" s="45"/>
      <c r="H45" s="45"/>
      <c r="I45" s="45"/>
      <c r="J45" s="45"/>
      <c r="K45" s="25" t="s">
        <v>18100</v>
      </c>
      <c r="L45" s="37">
        <v>7083.0</v>
      </c>
    </row>
    <row r="46">
      <c r="A46" s="665" t="s">
        <v>18101</v>
      </c>
      <c r="B46" s="45">
        <v>7227.0</v>
      </c>
      <c r="C46" s="663" t="s">
        <v>18013</v>
      </c>
      <c r="D46" s="179">
        <v>0.88</v>
      </c>
      <c r="E46" s="179">
        <v>0.88</v>
      </c>
      <c r="F46" s="37" t="s">
        <v>1656</v>
      </c>
      <c r="G46" s="45"/>
      <c r="H46" s="45"/>
      <c r="I46" s="45"/>
      <c r="J46" s="45"/>
      <c r="K46" s="25" t="s">
        <v>18102</v>
      </c>
      <c r="L46" s="37">
        <v>6924.0</v>
      </c>
    </row>
    <row r="47">
      <c r="A47" s="665" t="s">
        <v>18103</v>
      </c>
      <c r="B47" s="45">
        <v>7227.0</v>
      </c>
      <c r="C47" s="663" t="s">
        <v>18013</v>
      </c>
      <c r="D47" s="179">
        <v>0.88</v>
      </c>
      <c r="E47" s="179">
        <v>0.88</v>
      </c>
      <c r="F47" s="37" t="s">
        <v>1656</v>
      </c>
      <c r="G47" s="45"/>
      <c r="H47" s="45"/>
      <c r="I47" s="45"/>
      <c r="J47" s="45"/>
      <c r="K47" s="25" t="s">
        <v>18104</v>
      </c>
      <c r="L47" s="37">
        <v>7083.0</v>
      </c>
    </row>
    <row r="48">
      <c r="A48" s="665" t="s">
        <v>18105</v>
      </c>
      <c r="B48" s="37">
        <v>14465.0</v>
      </c>
      <c r="C48" s="663" t="s">
        <v>18013</v>
      </c>
      <c r="D48" s="179">
        <v>0.95</v>
      </c>
      <c r="E48" s="179">
        <v>0.95</v>
      </c>
      <c r="F48" s="37" t="s">
        <v>1656</v>
      </c>
      <c r="G48" s="45"/>
      <c r="H48" s="45"/>
      <c r="I48" s="45"/>
      <c r="J48" s="45"/>
      <c r="K48" s="25" t="s">
        <v>18106</v>
      </c>
      <c r="L48" s="37">
        <v>5389.0</v>
      </c>
    </row>
    <row r="49">
      <c r="A49" s="665" t="s">
        <v>18107</v>
      </c>
      <c r="B49" s="37">
        <v>14465.0</v>
      </c>
      <c r="C49" s="663" t="s">
        <v>18013</v>
      </c>
      <c r="D49" s="179">
        <v>0.95</v>
      </c>
      <c r="E49" s="179">
        <v>0.95</v>
      </c>
      <c r="F49" s="37" t="s">
        <v>1656</v>
      </c>
      <c r="G49" s="45"/>
      <c r="H49" s="45"/>
      <c r="I49" s="45"/>
      <c r="J49" s="45"/>
      <c r="K49" s="25" t="s">
        <v>18108</v>
      </c>
      <c r="L49" s="37">
        <v>5389.0</v>
      </c>
    </row>
    <row r="50">
      <c r="A50" s="665" t="s">
        <v>18109</v>
      </c>
      <c r="B50" s="37">
        <v>14465.0</v>
      </c>
      <c r="C50" s="663" t="s">
        <v>18013</v>
      </c>
      <c r="D50" s="179">
        <v>0.95</v>
      </c>
      <c r="E50" s="179">
        <v>0.95</v>
      </c>
      <c r="F50" s="37" t="s">
        <v>1656</v>
      </c>
      <c r="G50" s="45"/>
      <c r="H50" s="45"/>
      <c r="I50" s="45"/>
      <c r="J50" s="45"/>
      <c r="K50" s="25" t="s">
        <v>18110</v>
      </c>
      <c r="L50" s="25"/>
    </row>
    <row r="51">
      <c r="A51" s="665" t="s">
        <v>18111</v>
      </c>
      <c r="B51" s="45">
        <v>6774.0</v>
      </c>
      <c r="C51" s="663" t="s">
        <v>18013</v>
      </c>
      <c r="D51" s="664">
        <v>0.7</v>
      </c>
      <c r="E51" s="664">
        <v>0.7</v>
      </c>
      <c r="F51" s="37" t="s">
        <v>1656</v>
      </c>
      <c r="G51" s="45"/>
      <c r="H51" s="45"/>
      <c r="I51" s="45"/>
      <c r="J51" s="45"/>
      <c r="K51" s="25" t="s">
        <v>18112</v>
      </c>
      <c r="L51" s="25">
        <v>889.0</v>
      </c>
    </row>
    <row r="52">
      <c r="A52" s="665" t="s">
        <v>18113</v>
      </c>
      <c r="B52" s="45">
        <v>8199.0</v>
      </c>
      <c r="C52" s="663" t="s">
        <v>18013</v>
      </c>
      <c r="D52" s="664">
        <v>0.7</v>
      </c>
      <c r="E52" s="664">
        <v>0.7</v>
      </c>
      <c r="F52" s="37" t="s">
        <v>1656</v>
      </c>
      <c r="G52" s="45"/>
      <c r="H52" s="45"/>
      <c r="I52" s="45"/>
      <c r="J52" s="45"/>
      <c r="K52" s="101" t="s">
        <v>18114</v>
      </c>
      <c r="L52" s="25">
        <v>189.0</v>
      </c>
    </row>
    <row r="53">
      <c r="A53" s="665" t="s">
        <v>11319</v>
      </c>
      <c r="B53" s="45"/>
      <c r="C53" s="663" t="s">
        <v>18013</v>
      </c>
      <c r="D53" s="664">
        <v>0.7</v>
      </c>
      <c r="E53" s="664">
        <v>0.7</v>
      </c>
      <c r="F53" s="37" t="s">
        <v>1656</v>
      </c>
      <c r="G53" s="45"/>
      <c r="H53" s="45"/>
      <c r="I53" s="45"/>
      <c r="J53" s="45"/>
      <c r="K53" s="101" t="s">
        <v>18115</v>
      </c>
      <c r="L53" s="25">
        <v>8002.0</v>
      </c>
    </row>
    <row r="54">
      <c r="A54" s="665" t="s">
        <v>11325</v>
      </c>
      <c r="B54" s="45"/>
      <c r="C54" s="663" t="s">
        <v>18013</v>
      </c>
      <c r="D54" s="664">
        <v>0.7</v>
      </c>
      <c r="E54" s="664">
        <v>0.7</v>
      </c>
      <c r="F54" s="37" t="s">
        <v>1656</v>
      </c>
      <c r="G54" s="45"/>
      <c r="H54" s="45"/>
      <c r="I54" s="45"/>
      <c r="J54" s="45"/>
      <c r="K54" s="101" t="s">
        <v>18116</v>
      </c>
      <c r="L54" s="25">
        <v>6132.0</v>
      </c>
    </row>
    <row r="55">
      <c r="A55" s="665" t="s">
        <v>11297</v>
      </c>
      <c r="B55" s="45"/>
      <c r="C55" s="663" t="s">
        <v>18013</v>
      </c>
      <c r="D55" s="664">
        <v>0.7</v>
      </c>
      <c r="E55" s="664">
        <v>0.7</v>
      </c>
      <c r="F55" s="37" t="s">
        <v>1656</v>
      </c>
      <c r="G55" s="45"/>
      <c r="H55" s="45"/>
      <c r="I55" s="45"/>
      <c r="J55" s="45"/>
      <c r="K55" s="101" t="s">
        <v>18117</v>
      </c>
      <c r="L55" s="25">
        <v>189.0</v>
      </c>
    </row>
    <row r="56">
      <c r="A56" s="665" t="s">
        <v>11303</v>
      </c>
      <c r="B56" s="45"/>
      <c r="C56" s="663" t="s">
        <v>18013</v>
      </c>
      <c r="D56" s="664">
        <v>0.7</v>
      </c>
      <c r="E56" s="664">
        <v>0.7</v>
      </c>
      <c r="F56" s="37" t="s">
        <v>1656</v>
      </c>
      <c r="G56" s="45"/>
      <c r="H56" s="45"/>
      <c r="I56" s="45"/>
      <c r="J56" s="45"/>
      <c r="K56" s="101" t="s">
        <v>18118</v>
      </c>
      <c r="L56" s="25">
        <v>189.0</v>
      </c>
    </row>
    <row r="57">
      <c r="A57" s="665" t="s">
        <v>11334</v>
      </c>
      <c r="B57" s="45"/>
      <c r="C57" s="663" t="s">
        <v>18013</v>
      </c>
      <c r="D57" s="664">
        <v>0.7</v>
      </c>
      <c r="E57" s="664">
        <v>0.7</v>
      </c>
      <c r="F57" s="37" t="s">
        <v>1656</v>
      </c>
      <c r="G57" s="45"/>
      <c r="H57" s="45"/>
      <c r="I57" s="45"/>
      <c r="J57" s="45"/>
      <c r="K57" s="101" t="s">
        <v>18119</v>
      </c>
      <c r="L57" s="25">
        <v>2345.0</v>
      </c>
    </row>
    <row r="58">
      <c r="A58" s="665" t="s">
        <v>18120</v>
      </c>
      <c r="B58" s="45" t="e">
        <v>#N/A</v>
      </c>
      <c r="C58" s="663" t="s">
        <v>18013</v>
      </c>
      <c r="D58" s="664">
        <v>0.7</v>
      </c>
      <c r="E58" s="664">
        <v>0.7</v>
      </c>
      <c r="F58" s="37" t="s">
        <v>1656</v>
      </c>
      <c r="G58" s="45"/>
      <c r="H58" s="45"/>
      <c r="I58" s="45"/>
      <c r="J58" s="45"/>
      <c r="K58" s="101" t="s">
        <v>18121</v>
      </c>
      <c r="L58" s="25">
        <v>2345.0</v>
      </c>
    </row>
    <row r="59">
      <c r="A59" s="665" t="s">
        <v>4475</v>
      </c>
      <c r="B59" s="45" t="e">
        <v>#N/A</v>
      </c>
      <c r="C59" s="663" t="s">
        <v>18013</v>
      </c>
      <c r="D59" s="664">
        <v>0.7</v>
      </c>
      <c r="E59" s="664">
        <v>0.7</v>
      </c>
      <c r="F59" s="37" t="s">
        <v>1656</v>
      </c>
      <c r="G59" s="45"/>
      <c r="H59" s="45"/>
      <c r="I59" s="45"/>
      <c r="J59" s="45"/>
      <c r="K59" s="101" t="s">
        <v>18122</v>
      </c>
      <c r="L59" s="25">
        <v>2345.0</v>
      </c>
    </row>
    <row r="60">
      <c r="A60" s="662" t="s">
        <v>18014</v>
      </c>
      <c r="B60" s="45">
        <v>499.0</v>
      </c>
      <c r="C60" s="663" t="s">
        <v>18123</v>
      </c>
      <c r="D60" s="664">
        <v>0.7</v>
      </c>
      <c r="E60" s="664">
        <v>0.7</v>
      </c>
      <c r="F60" s="37" t="s">
        <v>1656</v>
      </c>
      <c r="G60" s="45"/>
      <c r="H60" s="45"/>
      <c r="I60" s="45"/>
      <c r="J60" s="45"/>
      <c r="K60" s="101" t="s">
        <v>18124</v>
      </c>
      <c r="L60" s="25">
        <v>14593.0</v>
      </c>
    </row>
    <row r="61">
      <c r="A61" s="665" t="s">
        <v>18016</v>
      </c>
      <c r="B61" s="45">
        <v>2345.0</v>
      </c>
      <c r="C61" s="663" t="s">
        <v>18123</v>
      </c>
      <c r="D61" s="664">
        <v>0.9</v>
      </c>
      <c r="E61" s="664">
        <v>0.9</v>
      </c>
      <c r="F61" s="37" t="s">
        <v>1656</v>
      </c>
      <c r="G61" s="45"/>
      <c r="H61" s="45"/>
      <c r="I61" s="45"/>
      <c r="J61" s="45"/>
      <c r="K61" s="101" t="s">
        <v>18125</v>
      </c>
      <c r="L61" s="25">
        <v>11875.0</v>
      </c>
    </row>
    <row r="62">
      <c r="A62" s="665" t="s">
        <v>18018</v>
      </c>
      <c r="B62" s="45">
        <v>2345.0</v>
      </c>
      <c r="C62" s="663" t="s">
        <v>18123</v>
      </c>
      <c r="D62" s="664">
        <v>0.9</v>
      </c>
      <c r="E62" s="664">
        <v>0.9</v>
      </c>
      <c r="F62" s="37" t="s">
        <v>1656</v>
      </c>
      <c r="G62" s="45"/>
      <c r="H62" s="45"/>
      <c r="I62" s="45"/>
      <c r="J62" s="45"/>
      <c r="K62" s="101" t="s">
        <v>18126</v>
      </c>
      <c r="L62" s="25">
        <v>6675.0</v>
      </c>
    </row>
    <row r="63">
      <c r="A63" s="665" t="s">
        <v>18020</v>
      </c>
      <c r="B63" s="45">
        <v>2345.0</v>
      </c>
      <c r="C63" s="663" t="s">
        <v>18123</v>
      </c>
      <c r="D63" s="664">
        <v>0.9</v>
      </c>
      <c r="E63" s="664">
        <v>0.9</v>
      </c>
      <c r="F63" s="37" t="s">
        <v>1656</v>
      </c>
      <c r="G63" s="45"/>
      <c r="H63" s="45"/>
      <c r="I63" s="45"/>
      <c r="J63" s="45"/>
      <c r="K63" s="101" t="s">
        <v>18127</v>
      </c>
      <c r="L63" s="25">
        <v>6771.0</v>
      </c>
    </row>
    <row r="64">
      <c r="A64" s="665" t="s">
        <v>18022</v>
      </c>
      <c r="B64" s="45">
        <v>5458.0</v>
      </c>
      <c r="C64" s="663" t="s">
        <v>18123</v>
      </c>
      <c r="D64" s="664">
        <v>0.7</v>
      </c>
      <c r="E64" s="664">
        <v>0.7</v>
      </c>
      <c r="F64" s="37" t="s">
        <v>1656</v>
      </c>
      <c r="G64" s="45"/>
      <c r="H64" s="45"/>
      <c r="I64" s="45"/>
      <c r="J64" s="45"/>
      <c r="K64" s="101" t="s">
        <v>18128</v>
      </c>
      <c r="L64" s="25">
        <v>14507.0</v>
      </c>
    </row>
    <row r="65">
      <c r="A65" s="665" t="s">
        <v>18024</v>
      </c>
      <c r="B65" s="45">
        <v>5458.0</v>
      </c>
      <c r="C65" s="663" t="s">
        <v>18123</v>
      </c>
      <c r="D65" s="664">
        <v>0.7</v>
      </c>
      <c r="E65" s="664">
        <v>0.7</v>
      </c>
      <c r="F65" s="37" t="s">
        <v>1656</v>
      </c>
      <c r="G65" s="45"/>
      <c r="H65" s="45"/>
      <c r="I65" s="45"/>
      <c r="J65" s="45"/>
      <c r="K65" s="101" t="s">
        <v>18129</v>
      </c>
      <c r="L65" s="25">
        <v>7104.0</v>
      </c>
    </row>
    <row r="66">
      <c r="A66" s="665" t="s">
        <v>18026</v>
      </c>
      <c r="B66" s="45">
        <v>6133.0</v>
      </c>
      <c r="C66" s="663" t="s">
        <v>18123</v>
      </c>
      <c r="D66" s="664">
        <v>0.7</v>
      </c>
      <c r="E66" s="664">
        <v>0.7</v>
      </c>
      <c r="F66" s="37" t="s">
        <v>1656</v>
      </c>
      <c r="G66" s="45"/>
      <c r="H66" s="45"/>
      <c r="I66" s="45"/>
      <c r="J66" s="45"/>
      <c r="K66" s="101" t="s">
        <v>18130</v>
      </c>
      <c r="L66" s="25">
        <v>6829.0</v>
      </c>
    </row>
    <row r="67">
      <c r="A67" s="665" t="s">
        <v>18028</v>
      </c>
      <c r="B67" s="45">
        <v>1.0</v>
      </c>
      <c r="C67" s="663" t="s">
        <v>18123</v>
      </c>
      <c r="D67" s="664">
        <v>0.7</v>
      </c>
      <c r="E67" s="664">
        <v>0.7</v>
      </c>
      <c r="F67" s="37" t="s">
        <v>1656</v>
      </c>
      <c r="G67" s="45"/>
      <c r="H67" s="45"/>
      <c r="I67" s="45"/>
      <c r="J67" s="45"/>
      <c r="K67" s="101" t="s">
        <v>18131</v>
      </c>
      <c r="L67" s="25">
        <v>12388.0</v>
      </c>
    </row>
    <row r="68">
      <c r="A68" s="665" t="s">
        <v>18030</v>
      </c>
      <c r="B68" s="45">
        <v>6675.0</v>
      </c>
      <c r="C68" s="663" t="s">
        <v>18123</v>
      </c>
      <c r="D68" s="179">
        <v>0.9</v>
      </c>
      <c r="E68" s="179">
        <v>0.9</v>
      </c>
      <c r="F68" s="37" t="s">
        <v>1656</v>
      </c>
      <c r="G68" s="45"/>
      <c r="H68" s="45"/>
      <c r="I68" s="45"/>
      <c r="J68" s="45"/>
      <c r="K68" s="101" t="s">
        <v>18132</v>
      </c>
      <c r="L68" s="25"/>
    </row>
    <row r="69">
      <c r="A69" s="665" t="s">
        <v>18032</v>
      </c>
      <c r="B69" s="45">
        <v>6132.0</v>
      </c>
      <c r="C69" s="663" t="s">
        <v>18123</v>
      </c>
      <c r="D69" s="664">
        <v>0.7</v>
      </c>
      <c r="E69" s="664">
        <v>0.7</v>
      </c>
      <c r="F69" s="37" t="s">
        <v>1656</v>
      </c>
      <c r="G69" s="45"/>
      <c r="H69" s="45"/>
      <c r="I69" s="45"/>
      <c r="J69" s="45"/>
      <c r="K69" s="101" t="s">
        <v>18133</v>
      </c>
      <c r="L69" s="25">
        <v>6887.0</v>
      </c>
    </row>
    <row r="70">
      <c r="A70" s="665" t="s">
        <v>18034</v>
      </c>
      <c r="B70" s="45">
        <v>6557.0</v>
      </c>
      <c r="C70" s="663" t="s">
        <v>18123</v>
      </c>
      <c r="D70" s="664">
        <v>0.7</v>
      </c>
      <c r="E70" s="664">
        <v>0.7</v>
      </c>
      <c r="F70" s="37" t="s">
        <v>1656</v>
      </c>
      <c r="G70" s="45"/>
      <c r="H70" s="45"/>
      <c r="I70" s="45"/>
      <c r="J70" s="45"/>
      <c r="K70" s="101" t="s">
        <v>18134</v>
      </c>
      <c r="L70" s="25"/>
    </row>
    <row r="71">
      <c r="A71" s="665" t="s">
        <v>18036</v>
      </c>
      <c r="B71" s="45">
        <v>6658.0</v>
      </c>
      <c r="C71" s="663" t="s">
        <v>18123</v>
      </c>
      <c r="D71" s="179">
        <v>0.88</v>
      </c>
      <c r="E71" s="179">
        <v>0.88</v>
      </c>
      <c r="F71" s="37" t="s">
        <v>1656</v>
      </c>
      <c r="G71" s="45"/>
      <c r="H71" s="45"/>
      <c r="I71" s="45"/>
      <c r="J71" s="45"/>
      <c r="K71" s="101" t="s">
        <v>18135</v>
      </c>
      <c r="L71" s="25">
        <v>6675.0</v>
      </c>
    </row>
    <row r="72">
      <c r="A72" s="665" t="s">
        <v>18038</v>
      </c>
      <c r="B72" s="45">
        <v>7747.0</v>
      </c>
      <c r="C72" s="663" t="s">
        <v>18123</v>
      </c>
      <c r="D72" s="664">
        <v>0.7</v>
      </c>
      <c r="E72" s="664">
        <v>0.7</v>
      </c>
      <c r="F72" s="37" t="s">
        <v>1656</v>
      </c>
      <c r="G72" s="45"/>
      <c r="H72" s="45"/>
      <c r="I72" s="45"/>
      <c r="J72" s="45"/>
      <c r="K72" s="101" t="s">
        <v>18136</v>
      </c>
      <c r="L72" s="25"/>
    </row>
    <row r="73">
      <c r="A73" s="665" t="s">
        <v>18040</v>
      </c>
      <c r="B73" s="45">
        <v>7083.0</v>
      </c>
      <c r="C73" s="663" t="s">
        <v>18123</v>
      </c>
      <c r="D73" s="664">
        <v>0.8</v>
      </c>
      <c r="E73" s="664">
        <v>0.8</v>
      </c>
      <c r="F73" s="37" t="s">
        <v>1656</v>
      </c>
      <c r="G73" s="45"/>
      <c r="H73" s="45"/>
      <c r="I73" s="45"/>
      <c r="J73" s="45"/>
      <c r="K73" s="101" t="s">
        <v>18137</v>
      </c>
      <c r="L73" s="25">
        <v>6675.0</v>
      </c>
    </row>
    <row r="74">
      <c r="A74" s="665" t="s">
        <v>18042</v>
      </c>
      <c r="B74" s="45">
        <v>6924.0</v>
      </c>
      <c r="C74" s="663" t="s">
        <v>18123</v>
      </c>
      <c r="D74" s="664">
        <v>0.7</v>
      </c>
      <c r="E74" s="664">
        <v>0.7</v>
      </c>
      <c r="F74" s="37" t="s">
        <v>1656</v>
      </c>
      <c r="G74" s="45"/>
      <c r="H74" s="45"/>
      <c r="I74" s="45"/>
      <c r="J74" s="45"/>
      <c r="K74" s="101" t="s">
        <v>18138</v>
      </c>
      <c r="L74" s="37">
        <v>6947.0</v>
      </c>
    </row>
    <row r="75">
      <c r="A75" s="665" t="s">
        <v>18044</v>
      </c>
      <c r="B75" s="45">
        <v>6779.0</v>
      </c>
      <c r="C75" s="663" t="s">
        <v>18123</v>
      </c>
      <c r="D75" s="664">
        <v>0.7</v>
      </c>
      <c r="E75" s="664">
        <v>0.7</v>
      </c>
      <c r="F75" s="37" t="s">
        <v>1656</v>
      </c>
      <c r="G75" s="45"/>
      <c r="H75" s="45"/>
      <c r="I75" s="45"/>
      <c r="J75" s="45"/>
      <c r="K75" s="101" t="s">
        <v>18139</v>
      </c>
      <c r="L75" s="25">
        <v>6924.0</v>
      </c>
    </row>
    <row r="76">
      <c r="A76" s="665" t="s">
        <v>18046</v>
      </c>
      <c r="B76" s="45">
        <v>6998.0</v>
      </c>
      <c r="C76" s="663" t="s">
        <v>18123</v>
      </c>
      <c r="D76" s="664">
        <v>0.7</v>
      </c>
      <c r="E76" s="664">
        <v>0.7</v>
      </c>
      <c r="F76" s="37" t="s">
        <v>1656</v>
      </c>
      <c r="G76" s="45"/>
      <c r="H76" s="45"/>
      <c r="I76" s="45"/>
      <c r="J76" s="45"/>
      <c r="K76" s="101" t="s">
        <v>18140</v>
      </c>
      <c r="L76" s="25">
        <v>5125.0</v>
      </c>
    </row>
    <row r="77">
      <c r="A77" s="665" t="s">
        <v>18048</v>
      </c>
      <c r="B77" s="45">
        <v>11049.0</v>
      </c>
      <c r="C77" s="663" t="s">
        <v>18123</v>
      </c>
      <c r="D77" s="664">
        <v>0.8</v>
      </c>
      <c r="E77" s="664">
        <v>0.8</v>
      </c>
      <c r="F77" s="37" t="s">
        <v>1656</v>
      </c>
      <c r="G77" s="45"/>
      <c r="H77" s="45"/>
      <c r="I77" s="45"/>
      <c r="J77" s="45"/>
      <c r="K77" s="101" t="s">
        <v>18141</v>
      </c>
      <c r="L77" s="25"/>
    </row>
    <row r="78">
      <c r="A78" s="665" t="s">
        <v>18050</v>
      </c>
      <c r="B78" s="45">
        <v>11049.0</v>
      </c>
      <c r="C78" s="663" t="s">
        <v>18123</v>
      </c>
      <c r="D78" s="664">
        <v>0.8</v>
      </c>
      <c r="E78" s="664">
        <v>0.8</v>
      </c>
      <c r="F78" s="37" t="s">
        <v>1656</v>
      </c>
      <c r="G78" s="45"/>
      <c r="H78" s="45"/>
      <c r="I78" s="45"/>
      <c r="J78" s="45"/>
      <c r="K78" s="101" t="s">
        <v>18142</v>
      </c>
      <c r="L78" s="25">
        <v>3404.0</v>
      </c>
    </row>
    <row r="79">
      <c r="A79" s="665" t="s">
        <v>18052</v>
      </c>
      <c r="B79" s="45">
        <v>11049.0</v>
      </c>
      <c r="C79" s="663" t="s">
        <v>18123</v>
      </c>
      <c r="D79" s="664">
        <v>0.8</v>
      </c>
      <c r="E79" s="664">
        <v>0.8</v>
      </c>
      <c r="F79" s="37" t="s">
        <v>1656</v>
      </c>
      <c r="G79" s="45"/>
      <c r="H79" s="45"/>
      <c r="I79" s="45"/>
      <c r="J79" s="45"/>
      <c r="K79" s="101" t="s">
        <v>18143</v>
      </c>
      <c r="L79" s="25">
        <v>9645.0</v>
      </c>
    </row>
    <row r="80">
      <c r="A80" s="665" t="s">
        <v>18054</v>
      </c>
      <c r="B80" s="45">
        <v>11049.0</v>
      </c>
      <c r="C80" s="663" t="s">
        <v>18123</v>
      </c>
      <c r="D80" s="664">
        <v>0.8</v>
      </c>
      <c r="E80" s="664">
        <v>0.8</v>
      </c>
      <c r="F80" s="37" t="s">
        <v>1656</v>
      </c>
      <c r="G80" s="45"/>
      <c r="H80" s="45"/>
      <c r="I80" s="45"/>
      <c r="J80" s="45"/>
      <c r="K80" s="101" t="s">
        <v>18144</v>
      </c>
      <c r="L80" s="25"/>
    </row>
    <row r="81">
      <c r="A81" s="665" t="s">
        <v>18056</v>
      </c>
      <c r="B81" s="45">
        <v>11049.0</v>
      </c>
      <c r="C81" s="663" t="s">
        <v>18123</v>
      </c>
      <c r="D81" s="664">
        <v>0.8</v>
      </c>
      <c r="E81" s="664">
        <v>0.8</v>
      </c>
      <c r="F81" s="37" t="s">
        <v>1656</v>
      </c>
      <c r="G81" s="45"/>
      <c r="H81" s="45"/>
      <c r="I81" s="45"/>
      <c r="J81" s="45"/>
      <c r="K81" s="101" t="s">
        <v>18145</v>
      </c>
      <c r="L81" s="25">
        <v>6829.0</v>
      </c>
    </row>
    <row r="82">
      <c r="A82" s="665" t="s">
        <v>18058</v>
      </c>
      <c r="B82" s="45">
        <v>11049.0</v>
      </c>
      <c r="C82" s="663" t="s">
        <v>18123</v>
      </c>
      <c r="D82" s="664">
        <v>0.8</v>
      </c>
      <c r="E82" s="664">
        <v>0.8</v>
      </c>
      <c r="F82" s="37" t="s">
        <v>1656</v>
      </c>
      <c r="G82" s="45"/>
      <c r="H82" s="45"/>
      <c r="I82" s="45"/>
      <c r="J82" s="45"/>
      <c r="K82" s="101" t="s">
        <v>18146</v>
      </c>
      <c r="L82" s="25"/>
    </row>
    <row r="83">
      <c r="A83" s="665" t="s">
        <v>18060</v>
      </c>
      <c r="B83" s="45">
        <v>11049.0</v>
      </c>
      <c r="C83" s="663" t="s">
        <v>18123</v>
      </c>
      <c r="D83" s="664">
        <v>0.8</v>
      </c>
      <c r="E83" s="664">
        <v>0.8</v>
      </c>
      <c r="F83" s="37" t="s">
        <v>1656</v>
      </c>
      <c r="G83" s="45"/>
      <c r="H83" s="45"/>
      <c r="I83" s="45"/>
      <c r="J83" s="45"/>
      <c r="K83" s="101" t="s">
        <v>18147</v>
      </c>
      <c r="L83" s="25">
        <v>2205.0</v>
      </c>
    </row>
    <row r="84">
      <c r="A84" s="665" t="s">
        <v>18062</v>
      </c>
      <c r="B84" s="45">
        <v>6658.0</v>
      </c>
      <c r="C84" s="663" t="s">
        <v>18123</v>
      </c>
      <c r="D84" s="179">
        <v>0.88</v>
      </c>
      <c r="E84" s="179">
        <v>0.88</v>
      </c>
      <c r="F84" s="37" t="s">
        <v>1656</v>
      </c>
      <c r="G84" s="45"/>
      <c r="H84" s="45"/>
      <c r="I84" s="45"/>
      <c r="J84" s="45"/>
      <c r="K84" s="101" t="s">
        <v>18148</v>
      </c>
      <c r="L84" s="136">
        <v>6675.0</v>
      </c>
    </row>
    <row r="85">
      <c r="A85" s="665" t="s">
        <v>18064</v>
      </c>
      <c r="B85" s="45">
        <v>12553.0</v>
      </c>
      <c r="C85" s="663" t="s">
        <v>18123</v>
      </c>
      <c r="D85" s="664">
        <v>0.7</v>
      </c>
      <c r="E85" s="664">
        <v>0.7</v>
      </c>
      <c r="F85" s="37" t="s">
        <v>1656</v>
      </c>
      <c r="G85" s="45"/>
      <c r="H85" s="45"/>
      <c r="I85" s="45"/>
      <c r="J85" s="45"/>
      <c r="K85" s="101" t="s">
        <v>18149</v>
      </c>
      <c r="L85" s="25"/>
    </row>
    <row r="86">
      <c r="A86" s="665" t="s">
        <v>18066</v>
      </c>
      <c r="B86" s="45">
        <v>6722.0</v>
      </c>
      <c r="C86" s="663" t="s">
        <v>18123</v>
      </c>
      <c r="D86" s="664">
        <v>0.7</v>
      </c>
      <c r="E86" s="664">
        <v>0.7</v>
      </c>
      <c r="F86" s="37" t="s">
        <v>1656</v>
      </c>
      <c r="G86" s="45"/>
      <c r="H86" s="45"/>
      <c r="I86" s="45"/>
      <c r="J86" s="45"/>
      <c r="K86" s="101" t="s">
        <v>18150</v>
      </c>
      <c r="L86" s="25">
        <v>7104.0</v>
      </c>
    </row>
    <row r="87">
      <c r="A87" s="665" t="s">
        <v>18068</v>
      </c>
      <c r="B87" s="45">
        <v>14025.0</v>
      </c>
      <c r="C87" s="663" t="s">
        <v>18123</v>
      </c>
      <c r="D87" s="664">
        <v>0.7</v>
      </c>
      <c r="E87" s="664">
        <v>0.7</v>
      </c>
      <c r="F87" s="37" t="s">
        <v>1656</v>
      </c>
      <c r="G87" s="45"/>
      <c r="H87" s="45"/>
      <c r="I87" s="45"/>
      <c r="J87" s="45"/>
      <c r="K87" s="101" t="s">
        <v>18151</v>
      </c>
      <c r="L87" s="25"/>
    </row>
    <row r="88">
      <c r="A88" s="665" t="s">
        <v>18070</v>
      </c>
      <c r="B88" s="45">
        <v>7083.0</v>
      </c>
      <c r="C88" s="663" t="s">
        <v>18123</v>
      </c>
      <c r="D88" s="664">
        <v>0.8</v>
      </c>
      <c r="E88" s="664">
        <v>0.8</v>
      </c>
      <c r="F88" s="37" t="s">
        <v>1656</v>
      </c>
      <c r="G88" s="45"/>
      <c r="H88" s="45"/>
      <c r="I88" s="45"/>
      <c r="J88" s="45"/>
      <c r="K88" s="101" t="s">
        <v>18152</v>
      </c>
      <c r="L88" s="25">
        <v>14580.0</v>
      </c>
    </row>
    <row r="89">
      <c r="A89" s="665" t="s">
        <v>18072</v>
      </c>
      <c r="B89" s="45">
        <v>14480.0</v>
      </c>
      <c r="C89" s="663" t="s">
        <v>18123</v>
      </c>
      <c r="D89" s="664">
        <v>0.7</v>
      </c>
      <c r="E89" s="664">
        <v>0.7</v>
      </c>
      <c r="F89" s="37" t="s">
        <v>1656</v>
      </c>
      <c r="G89" s="45"/>
      <c r="H89" s="45"/>
      <c r="I89" s="45"/>
      <c r="J89" s="45"/>
      <c r="K89" s="101" t="s">
        <v>18153</v>
      </c>
      <c r="L89" s="25">
        <v>14580.0</v>
      </c>
    </row>
    <row r="90">
      <c r="A90" s="665" t="s">
        <v>18074</v>
      </c>
      <c r="B90" s="45">
        <v>14646.0</v>
      </c>
      <c r="C90" s="663" t="s">
        <v>18123</v>
      </c>
      <c r="D90" s="664">
        <v>0.7</v>
      </c>
      <c r="E90" s="664">
        <v>0.7</v>
      </c>
      <c r="F90" s="37" t="s">
        <v>1656</v>
      </c>
      <c r="G90" s="45"/>
      <c r="H90" s="45"/>
      <c r="I90" s="45"/>
      <c r="J90" s="45"/>
      <c r="K90" s="101" t="s">
        <v>18154</v>
      </c>
      <c r="L90" s="25"/>
    </row>
    <row r="91">
      <c r="A91" s="665" t="s">
        <v>18076</v>
      </c>
      <c r="B91" s="45">
        <v>14672.0</v>
      </c>
      <c r="C91" s="663" t="s">
        <v>18123</v>
      </c>
      <c r="D91" s="664">
        <v>0.7</v>
      </c>
      <c r="E91" s="664">
        <v>0.7</v>
      </c>
      <c r="F91" s="37" t="s">
        <v>1656</v>
      </c>
      <c r="G91" s="45"/>
      <c r="H91" s="45"/>
      <c r="I91" s="45"/>
      <c r="J91" s="45"/>
      <c r="K91" s="101" t="s">
        <v>18155</v>
      </c>
      <c r="L91" s="25">
        <v>6767.0</v>
      </c>
    </row>
    <row r="92">
      <c r="A92" s="665" t="s">
        <v>18078</v>
      </c>
      <c r="B92" s="45">
        <v>14505.0</v>
      </c>
      <c r="C92" s="663" t="s">
        <v>18123</v>
      </c>
      <c r="D92" s="664">
        <v>0.7</v>
      </c>
      <c r="E92" s="664">
        <v>0.7</v>
      </c>
      <c r="F92" s="37" t="s">
        <v>1656</v>
      </c>
      <c r="G92" s="45"/>
      <c r="H92" s="45"/>
      <c r="I92" s="45"/>
      <c r="J92" s="45"/>
      <c r="K92" s="101" t="s">
        <v>18156</v>
      </c>
      <c r="L92" s="25"/>
    </row>
    <row r="93">
      <c r="A93" s="665" t="s">
        <v>18080</v>
      </c>
      <c r="B93" s="45"/>
      <c r="C93" s="663" t="s">
        <v>18123</v>
      </c>
      <c r="D93" s="664">
        <v>0.7</v>
      </c>
      <c r="E93" s="664">
        <v>0.7</v>
      </c>
      <c r="F93" s="37" t="s">
        <v>1656</v>
      </c>
      <c r="G93" s="45"/>
      <c r="H93" s="45"/>
      <c r="I93" s="45"/>
      <c r="J93" s="45"/>
      <c r="K93" s="101" t="s">
        <v>18157</v>
      </c>
      <c r="L93" s="25">
        <v>14525.0</v>
      </c>
    </row>
    <row r="94">
      <c r="A94" s="665" t="s">
        <v>18082</v>
      </c>
      <c r="B94" s="45">
        <v>6924.0</v>
      </c>
      <c r="C94" s="663" t="s">
        <v>18123</v>
      </c>
      <c r="D94" s="664">
        <v>0.7</v>
      </c>
      <c r="E94" s="664">
        <v>0.7</v>
      </c>
      <c r="F94" s="37" t="s">
        <v>1656</v>
      </c>
      <c r="G94" s="45"/>
      <c r="H94" s="45"/>
      <c r="I94" s="45"/>
      <c r="J94" s="45"/>
      <c r="K94" s="101" t="s">
        <v>18158</v>
      </c>
      <c r="L94" s="25">
        <v>6936.0</v>
      </c>
    </row>
    <row r="95">
      <c r="A95" s="665" t="s">
        <v>18084</v>
      </c>
      <c r="B95" s="45">
        <v>189.0</v>
      </c>
      <c r="C95" s="663" t="s">
        <v>18123</v>
      </c>
      <c r="D95" s="664">
        <v>0.9</v>
      </c>
      <c r="E95" s="664">
        <v>0.9</v>
      </c>
      <c r="F95" s="37" t="s">
        <v>1656</v>
      </c>
      <c r="G95" s="45"/>
      <c r="H95" s="45"/>
      <c r="I95" s="45"/>
      <c r="J95" s="45"/>
      <c r="K95" s="101" t="s">
        <v>18159</v>
      </c>
      <c r="L95" s="25">
        <v>6811.0</v>
      </c>
    </row>
    <row r="96">
      <c r="A96" s="665" t="s">
        <v>18086</v>
      </c>
      <c r="B96" s="45">
        <v>189.0</v>
      </c>
      <c r="C96" s="663" t="s">
        <v>18123</v>
      </c>
      <c r="D96" s="664">
        <v>0.9</v>
      </c>
      <c r="E96" s="664">
        <v>0.9</v>
      </c>
      <c r="F96" s="37" t="s">
        <v>1656</v>
      </c>
      <c r="G96" s="45"/>
      <c r="H96" s="45"/>
      <c r="I96" s="45"/>
      <c r="J96" s="45"/>
      <c r="K96" s="101" t="s">
        <v>18160</v>
      </c>
      <c r="L96" s="25">
        <v>3307.0</v>
      </c>
    </row>
    <row r="97">
      <c r="A97" s="665" t="s">
        <v>18088</v>
      </c>
      <c r="B97" s="45">
        <v>189.0</v>
      </c>
      <c r="C97" s="663" t="s">
        <v>18123</v>
      </c>
      <c r="D97" s="664">
        <v>0.9</v>
      </c>
      <c r="E97" s="664">
        <v>0.9</v>
      </c>
      <c r="F97" s="37" t="s">
        <v>1656</v>
      </c>
      <c r="G97" s="45"/>
      <c r="H97" s="45"/>
      <c r="I97" s="45"/>
      <c r="J97" s="45"/>
      <c r="K97" s="101" t="s">
        <v>18161</v>
      </c>
      <c r="L97" s="252"/>
    </row>
    <row r="98">
      <c r="A98" s="665" t="s">
        <v>18090</v>
      </c>
      <c r="B98" s="45">
        <v>14465.0</v>
      </c>
      <c r="C98" s="663" t="s">
        <v>18123</v>
      </c>
      <c r="D98" s="179">
        <v>0.95</v>
      </c>
      <c r="E98" s="179">
        <v>0.95</v>
      </c>
      <c r="F98" s="37" t="s">
        <v>1656</v>
      </c>
      <c r="G98" s="45"/>
      <c r="H98" s="45"/>
      <c r="I98" s="45"/>
      <c r="J98" s="45"/>
      <c r="K98" s="101" t="s">
        <v>18162</v>
      </c>
      <c r="L98" s="25">
        <v>5389.0</v>
      </c>
    </row>
    <row r="99">
      <c r="A99" s="665" t="s">
        <v>18092</v>
      </c>
      <c r="B99" s="37">
        <v>14465.0</v>
      </c>
      <c r="C99" s="663" t="s">
        <v>18123</v>
      </c>
      <c r="D99" s="179">
        <v>0.95</v>
      </c>
      <c r="E99" s="179">
        <v>0.95</v>
      </c>
      <c r="F99" s="37" t="s">
        <v>1656</v>
      </c>
      <c r="G99" s="45"/>
      <c r="H99" s="45"/>
      <c r="I99" s="45"/>
      <c r="J99" s="45"/>
      <c r="K99" s="101" t="s">
        <v>18163</v>
      </c>
      <c r="L99" s="25"/>
    </row>
    <row r="100">
      <c r="A100" s="665" t="s">
        <v>18094</v>
      </c>
      <c r="B100" s="37">
        <v>14465.0</v>
      </c>
      <c r="C100" s="663" t="s">
        <v>18123</v>
      </c>
      <c r="D100" s="179">
        <v>0.95</v>
      </c>
      <c r="E100" s="179">
        <v>0.95</v>
      </c>
      <c r="F100" s="37" t="s">
        <v>1656</v>
      </c>
      <c r="G100" s="45"/>
      <c r="H100" s="45"/>
      <c r="I100" s="45"/>
      <c r="J100" s="45"/>
      <c r="K100" s="101" t="s">
        <v>18164</v>
      </c>
      <c r="L100" s="25"/>
    </row>
    <row r="101">
      <c r="A101" s="665" t="s">
        <v>18096</v>
      </c>
      <c r="B101" s="45">
        <v>6924.0</v>
      </c>
      <c r="C101" s="663" t="s">
        <v>18123</v>
      </c>
      <c r="D101" s="664">
        <v>0.7</v>
      </c>
      <c r="E101" s="664">
        <v>0.7</v>
      </c>
      <c r="F101" s="37" t="s">
        <v>1656</v>
      </c>
      <c r="G101" s="45"/>
      <c r="H101" s="45"/>
      <c r="I101" s="45"/>
      <c r="J101" s="45"/>
      <c r="K101" s="101" t="s">
        <v>18165</v>
      </c>
      <c r="L101" s="136">
        <v>986.0</v>
      </c>
    </row>
    <row r="102">
      <c r="A102" s="665" t="s">
        <v>18098</v>
      </c>
      <c r="B102" s="45"/>
      <c r="C102" s="663" t="s">
        <v>18123</v>
      </c>
      <c r="D102" s="664">
        <v>0.7</v>
      </c>
      <c r="E102" s="664">
        <v>0.7</v>
      </c>
      <c r="F102" s="37" t="s">
        <v>1656</v>
      </c>
      <c r="G102" s="45"/>
      <c r="H102" s="45"/>
      <c r="I102" s="45"/>
      <c r="J102" s="45"/>
      <c r="K102" s="101" t="s">
        <v>18166</v>
      </c>
      <c r="L102" s="25"/>
    </row>
    <row r="103">
      <c r="A103" s="665" t="s">
        <v>18100</v>
      </c>
      <c r="B103" s="45">
        <v>7083.0</v>
      </c>
      <c r="C103" s="663" t="s">
        <v>18123</v>
      </c>
      <c r="D103" s="664">
        <v>0.8</v>
      </c>
      <c r="E103" s="664">
        <v>0.8</v>
      </c>
      <c r="F103" s="37" t="s">
        <v>1656</v>
      </c>
      <c r="G103" s="45"/>
      <c r="H103" s="45"/>
      <c r="I103" s="45"/>
      <c r="J103" s="45"/>
      <c r="K103" s="101" t="s">
        <v>18167</v>
      </c>
      <c r="L103" s="25"/>
    </row>
    <row r="104">
      <c r="A104" s="665" t="s">
        <v>18102</v>
      </c>
      <c r="B104" s="45">
        <v>6924.0</v>
      </c>
      <c r="C104" s="663" t="s">
        <v>18123</v>
      </c>
      <c r="D104" s="664">
        <v>0.7</v>
      </c>
      <c r="E104" s="664">
        <v>0.7</v>
      </c>
      <c r="F104" s="37" t="s">
        <v>1656</v>
      </c>
      <c r="G104" s="45"/>
      <c r="H104" s="45"/>
      <c r="I104" s="45"/>
      <c r="J104" s="45"/>
      <c r="K104" s="101" t="s">
        <v>18168</v>
      </c>
      <c r="L104" s="25"/>
    </row>
    <row r="105">
      <c r="A105" s="665" t="s">
        <v>18104</v>
      </c>
      <c r="B105" s="45">
        <v>7083.0</v>
      </c>
      <c r="C105" s="663" t="s">
        <v>18123</v>
      </c>
      <c r="D105" s="664">
        <v>0.8</v>
      </c>
      <c r="E105" s="664">
        <v>0.8</v>
      </c>
      <c r="F105" s="37" t="s">
        <v>1656</v>
      </c>
      <c r="G105" s="45"/>
      <c r="H105" s="45"/>
      <c r="I105" s="45"/>
      <c r="J105" s="45"/>
      <c r="K105" s="101" t="s">
        <v>18169</v>
      </c>
      <c r="L105" s="25"/>
    </row>
    <row r="106">
      <c r="A106" s="665" t="s">
        <v>18106</v>
      </c>
      <c r="B106" s="45">
        <v>5389.0</v>
      </c>
      <c r="C106" s="663" t="s">
        <v>18123</v>
      </c>
      <c r="D106" s="664">
        <v>0.7</v>
      </c>
      <c r="E106" s="664">
        <v>0.7</v>
      </c>
      <c r="F106" s="37" t="s">
        <v>1656</v>
      </c>
      <c r="G106" s="45"/>
      <c r="H106" s="45"/>
      <c r="I106" s="45"/>
      <c r="J106" s="45"/>
      <c r="K106" s="101" t="s">
        <v>18170</v>
      </c>
      <c r="L106" s="25">
        <v>14638.0</v>
      </c>
    </row>
    <row r="107">
      <c r="A107" s="665" t="s">
        <v>18108</v>
      </c>
      <c r="B107" s="45">
        <v>5389.0</v>
      </c>
      <c r="C107" s="663" t="s">
        <v>18123</v>
      </c>
      <c r="D107" s="664">
        <v>0.7</v>
      </c>
      <c r="E107" s="664">
        <v>0.7</v>
      </c>
      <c r="F107" s="37" t="s">
        <v>1656</v>
      </c>
      <c r="G107" s="45"/>
      <c r="H107" s="45"/>
      <c r="I107" s="45"/>
      <c r="J107" s="45"/>
      <c r="K107" s="101" t="s">
        <v>18171</v>
      </c>
      <c r="L107" s="25"/>
    </row>
    <row r="108">
      <c r="A108" s="665" t="s">
        <v>18110</v>
      </c>
      <c r="B108" s="45"/>
      <c r="C108" s="663" t="s">
        <v>18123</v>
      </c>
      <c r="D108" s="664">
        <v>0.7</v>
      </c>
      <c r="E108" s="664">
        <v>0.7</v>
      </c>
      <c r="F108" s="37" t="s">
        <v>1656</v>
      </c>
      <c r="G108" s="45"/>
      <c r="H108" s="45"/>
      <c r="I108" s="45"/>
      <c r="J108" s="45"/>
      <c r="K108" s="101" t="s">
        <v>18172</v>
      </c>
      <c r="L108" s="25">
        <v>7157.0</v>
      </c>
    </row>
    <row r="109">
      <c r="A109" s="665" t="s">
        <v>18112</v>
      </c>
      <c r="B109" s="45">
        <v>889.0</v>
      </c>
      <c r="C109" s="663" t="s">
        <v>18123</v>
      </c>
      <c r="D109" s="664">
        <v>0.7</v>
      </c>
      <c r="E109" s="664">
        <v>0.7</v>
      </c>
      <c r="F109" s="37" t="s">
        <v>1656</v>
      </c>
      <c r="G109" s="45"/>
      <c r="H109" s="45"/>
      <c r="I109" s="45"/>
      <c r="J109" s="45"/>
      <c r="K109" s="101" t="s">
        <v>18173</v>
      </c>
      <c r="L109" s="25">
        <v>7243.0</v>
      </c>
    </row>
    <row r="110">
      <c r="A110" s="665" t="s">
        <v>18114</v>
      </c>
      <c r="B110" s="45">
        <v>189.0</v>
      </c>
      <c r="C110" s="663" t="s">
        <v>18123</v>
      </c>
      <c r="D110" s="664">
        <v>0.9</v>
      </c>
      <c r="E110" s="664">
        <v>0.9</v>
      </c>
      <c r="F110" s="37" t="s">
        <v>1656</v>
      </c>
      <c r="G110" s="45"/>
      <c r="H110" s="45"/>
      <c r="I110" s="45"/>
      <c r="J110" s="45"/>
      <c r="K110" s="101" t="s">
        <v>18174</v>
      </c>
      <c r="L110" s="25"/>
    </row>
    <row r="111">
      <c r="A111" s="665" t="s">
        <v>18115</v>
      </c>
      <c r="B111" s="37">
        <v>14734.0</v>
      </c>
      <c r="C111" s="663" t="s">
        <v>18123</v>
      </c>
      <c r="D111" s="664">
        <v>0.7</v>
      </c>
      <c r="E111" s="664">
        <v>0.7</v>
      </c>
      <c r="F111" s="37" t="s">
        <v>1656</v>
      </c>
      <c r="G111" s="45"/>
      <c r="H111" s="45"/>
      <c r="I111" s="45"/>
      <c r="J111" s="45"/>
      <c r="K111" s="101" t="s">
        <v>18175</v>
      </c>
      <c r="L111" s="136">
        <v>7010.0</v>
      </c>
    </row>
    <row r="112">
      <c r="A112" s="665" t="s">
        <v>18116</v>
      </c>
      <c r="B112" s="45">
        <v>6132.0</v>
      </c>
      <c r="C112" s="663" t="s">
        <v>18123</v>
      </c>
      <c r="D112" s="664">
        <v>0.7</v>
      </c>
      <c r="E112" s="664">
        <v>0.7</v>
      </c>
      <c r="F112" s="37" t="s">
        <v>1656</v>
      </c>
      <c r="G112" s="45"/>
      <c r="H112" s="45"/>
      <c r="I112" s="45"/>
      <c r="J112" s="45"/>
      <c r="K112" s="101" t="s">
        <v>18176</v>
      </c>
      <c r="L112" s="25"/>
    </row>
    <row r="113">
      <c r="A113" s="665" t="s">
        <v>18117</v>
      </c>
      <c r="B113" s="45">
        <v>189.0</v>
      </c>
      <c r="C113" s="663" t="s">
        <v>18123</v>
      </c>
      <c r="D113" s="664">
        <v>0.9</v>
      </c>
      <c r="E113" s="664">
        <v>0.9</v>
      </c>
      <c r="F113" s="37" t="s">
        <v>1656</v>
      </c>
      <c r="G113" s="45"/>
      <c r="H113" s="45"/>
      <c r="I113" s="45"/>
      <c r="J113" s="45"/>
      <c r="K113" s="101" t="s">
        <v>18177</v>
      </c>
      <c r="L113" s="25">
        <v>6949.0</v>
      </c>
    </row>
    <row r="114">
      <c r="A114" s="665" t="s">
        <v>18118</v>
      </c>
      <c r="B114" s="45">
        <v>189.0</v>
      </c>
      <c r="C114" s="663" t="s">
        <v>18123</v>
      </c>
      <c r="D114" s="664">
        <v>0.9</v>
      </c>
      <c r="E114" s="664">
        <v>0.9</v>
      </c>
      <c r="F114" s="37" t="s">
        <v>1656</v>
      </c>
      <c r="G114" s="45"/>
      <c r="H114" s="45"/>
      <c r="I114" s="45"/>
      <c r="J114" s="45"/>
      <c r="K114" s="101" t="s">
        <v>18178</v>
      </c>
      <c r="L114" s="25"/>
    </row>
    <row r="115">
      <c r="A115" s="665" t="s">
        <v>18119</v>
      </c>
      <c r="B115" s="45">
        <v>2345.0</v>
      </c>
      <c r="C115" s="663" t="s">
        <v>18123</v>
      </c>
      <c r="D115" s="664">
        <v>0.9</v>
      </c>
      <c r="E115" s="664">
        <v>0.9</v>
      </c>
      <c r="F115" s="37" t="s">
        <v>1656</v>
      </c>
      <c r="G115" s="45"/>
      <c r="H115" s="45"/>
      <c r="I115" s="45"/>
      <c r="J115" s="45"/>
      <c r="K115" s="101" t="s">
        <v>18179</v>
      </c>
      <c r="L115" s="25"/>
    </row>
    <row r="116">
      <c r="A116" s="665" t="s">
        <v>18121</v>
      </c>
      <c r="B116" s="45">
        <v>2345.0</v>
      </c>
      <c r="C116" s="663" t="s">
        <v>18123</v>
      </c>
      <c r="D116" s="664">
        <v>0.9</v>
      </c>
      <c r="E116" s="664">
        <v>0.9</v>
      </c>
      <c r="F116" s="37" t="s">
        <v>1656</v>
      </c>
      <c r="G116" s="45"/>
      <c r="H116" s="45"/>
      <c r="I116" s="45"/>
      <c r="J116" s="45"/>
      <c r="K116" s="101" t="s">
        <v>18180</v>
      </c>
      <c r="L116" s="136">
        <v>7010.0</v>
      </c>
    </row>
    <row r="117">
      <c r="A117" s="665" t="s">
        <v>18122</v>
      </c>
      <c r="B117" s="45">
        <v>2345.0</v>
      </c>
      <c r="C117" s="663" t="s">
        <v>18123</v>
      </c>
      <c r="D117" s="664">
        <v>0.9</v>
      </c>
      <c r="E117" s="664">
        <v>0.9</v>
      </c>
      <c r="F117" s="37" t="s">
        <v>1656</v>
      </c>
      <c r="G117" s="45"/>
      <c r="H117" s="45"/>
      <c r="I117" s="45"/>
      <c r="J117" s="45"/>
      <c r="K117" s="101" t="s">
        <v>18181</v>
      </c>
      <c r="L117" s="136">
        <v>7010.0</v>
      </c>
    </row>
    <row r="118">
      <c r="A118" s="665" t="s">
        <v>18124</v>
      </c>
      <c r="B118" s="45">
        <v>14593.0</v>
      </c>
      <c r="C118" s="663" t="s">
        <v>18123</v>
      </c>
      <c r="D118" s="664">
        <v>0.7</v>
      </c>
      <c r="E118" s="664">
        <v>0.7</v>
      </c>
      <c r="F118" s="37" t="s">
        <v>1656</v>
      </c>
      <c r="G118" s="45"/>
      <c r="H118" s="45"/>
      <c r="I118" s="45"/>
      <c r="J118" s="45"/>
      <c r="K118" s="101" t="s">
        <v>18182</v>
      </c>
      <c r="L118" s="25">
        <v>411.0</v>
      </c>
    </row>
    <row r="119">
      <c r="A119" s="665" t="s">
        <v>18125</v>
      </c>
      <c r="B119" s="45">
        <v>11875.0</v>
      </c>
      <c r="C119" s="663" t="s">
        <v>18123</v>
      </c>
      <c r="D119" s="664">
        <v>0.7</v>
      </c>
      <c r="E119" s="664">
        <v>0.7</v>
      </c>
      <c r="F119" s="37" t="s">
        <v>1656</v>
      </c>
      <c r="G119" s="45"/>
      <c r="H119" s="45"/>
      <c r="I119" s="45"/>
      <c r="J119" s="45"/>
      <c r="K119" s="101" t="s">
        <v>18183</v>
      </c>
      <c r="L119" s="25"/>
    </row>
    <row r="120">
      <c r="A120" s="665" t="s">
        <v>18126</v>
      </c>
      <c r="B120" s="45">
        <v>6675.0</v>
      </c>
      <c r="C120" s="663" t="s">
        <v>18123</v>
      </c>
      <c r="D120" s="179">
        <v>0.9</v>
      </c>
      <c r="E120" s="179">
        <v>0.9</v>
      </c>
      <c r="F120" s="37" t="s">
        <v>1656</v>
      </c>
      <c r="G120" s="45"/>
      <c r="H120" s="45"/>
      <c r="I120" s="45"/>
      <c r="J120" s="45"/>
      <c r="K120" s="101" t="s">
        <v>18184</v>
      </c>
      <c r="L120" s="25">
        <v>14536.0</v>
      </c>
    </row>
    <row r="121">
      <c r="A121" s="665" t="s">
        <v>18127</v>
      </c>
      <c r="B121" s="45">
        <v>6771.0</v>
      </c>
      <c r="C121" s="663" t="s">
        <v>18123</v>
      </c>
      <c r="D121" s="664">
        <v>0.7</v>
      </c>
      <c r="E121" s="664">
        <v>0.7</v>
      </c>
      <c r="F121" s="37" t="s">
        <v>1656</v>
      </c>
      <c r="G121" s="45"/>
      <c r="H121" s="45"/>
      <c r="I121" s="45"/>
      <c r="J121" s="45"/>
      <c r="K121" s="101" t="s">
        <v>18185</v>
      </c>
      <c r="L121" s="25">
        <v>5389.0</v>
      </c>
    </row>
    <row r="122">
      <c r="A122" s="665" t="s">
        <v>18128</v>
      </c>
      <c r="B122" s="45">
        <v>14507.0</v>
      </c>
      <c r="C122" s="663" t="s">
        <v>18123</v>
      </c>
      <c r="D122" s="664">
        <v>0.7</v>
      </c>
      <c r="E122" s="664">
        <v>0.7</v>
      </c>
      <c r="F122" s="37" t="s">
        <v>1656</v>
      </c>
      <c r="G122" s="45"/>
      <c r="H122" s="45"/>
      <c r="I122" s="45"/>
      <c r="J122" s="45"/>
      <c r="K122" s="101" t="s">
        <v>18186</v>
      </c>
      <c r="L122" s="25"/>
    </row>
    <row r="123">
      <c r="A123" s="665" t="s">
        <v>18129</v>
      </c>
      <c r="B123" s="45">
        <v>7104.0</v>
      </c>
      <c r="C123" s="663" t="s">
        <v>18123</v>
      </c>
      <c r="D123" s="664">
        <v>0.7</v>
      </c>
      <c r="E123" s="664">
        <v>0.7</v>
      </c>
      <c r="F123" s="37" t="s">
        <v>1656</v>
      </c>
      <c r="G123" s="45"/>
      <c r="H123" s="45"/>
      <c r="I123" s="45"/>
      <c r="J123" s="45"/>
      <c r="K123" s="101" t="s">
        <v>18187</v>
      </c>
      <c r="L123" s="25">
        <v>5458.0</v>
      </c>
    </row>
    <row r="124">
      <c r="A124" s="665" t="s">
        <v>18130</v>
      </c>
      <c r="B124" s="45">
        <v>6829.0</v>
      </c>
      <c r="C124" s="663" t="s">
        <v>18123</v>
      </c>
      <c r="D124" s="664">
        <v>0.7</v>
      </c>
      <c r="E124" s="664">
        <v>0.7</v>
      </c>
      <c r="F124" s="37" t="s">
        <v>1656</v>
      </c>
      <c r="G124" s="45"/>
      <c r="H124" s="45"/>
      <c r="I124" s="45"/>
      <c r="J124" s="45"/>
      <c r="K124" s="101" t="s">
        <v>18188</v>
      </c>
      <c r="L124" s="25"/>
    </row>
    <row r="125">
      <c r="A125" s="665" t="s">
        <v>18131</v>
      </c>
      <c r="B125" s="45">
        <v>12388.0</v>
      </c>
      <c r="C125" s="663" t="s">
        <v>18123</v>
      </c>
      <c r="D125" s="664">
        <v>0.7</v>
      </c>
      <c r="E125" s="664">
        <v>0.7</v>
      </c>
      <c r="F125" s="37" t="s">
        <v>1656</v>
      </c>
      <c r="G125" s="45"/>
      <c r="H125" s="45"/>
      <c r="I125" s="45"/>
      <c r="J125" s="45"/>
      <c r="K125" s="101" t="s">
        <v>18189</v>
      </c>
      <c r="L125" s="25"/>
    </row>
    <row r="126">
      <c r="A126" s="665" t="s">
        <v>18132</v>
      </c>
      <c r="B126" s="37">
        <v>7023.0</v>
      </c>
      <c r="C126" s="663" t="s">
        <v>18123</v>
      </c>
      <c r="D126" s="664">
        <v>0.7</v>
      </c>
      <c r="E126" s="664">
        <v>0.7</v>
      </c>
      <c r="F126" s="37" t="s">
        <v>1656</v>
      </c>
      <c r="G126" s="45"/>
      <c r="H126" s="45"/>
      <c r="I126" s="45"/>
      <c r="J126" s="45"/>
      <c r="K126" s="101" t="s">
        <v>18190</v>
      </c>
      <c r="L126" s="25">
        <v>6557.0</v>
      </c>
    </row>
    <row r="127">
      <c r="A127" s="665" t="s">
        <v>18133</v>
      </c>
      <c r="B127" s="45">
        <v>6887.0</v>
      </c>
      <c r="C127" s="663" t="s">
        <v>18123</v>
      </c>
      <c r="D127" s="664">
        <v>0.7</v>
      </c>
      <c r="E127" s="664">
        <v>0.7</v>
      </c>
      <c r="F127" s="37" t="s">
        <v>1656</v>
      </c>
      <c r="G127" s="45"/>
      <c r="H127" s="45"/>
      <c r="I127" s="45"/>
      <c r="J127" s="45"/>
      <c r="K127" s="101" t="s">
        <v>18191</v>
      </c>
      <c r="L127" s="25">
        <v>7142.0</v>
      </c>
    </row>
    <row r="128">
      <c r="A128" s="665" t="s">
        <v>18134</v>
      </c>
      <c r="B128" s="45"/>
      <c r="C128" s="663" t="s">
        <v>18123</v>
      </c>
      <c r="D128" s="664">
        <v>0.7</v>
      </c>
      <c r="E128" s="664">
        <v>0.7</v>
      </c>
      <c r="F128" s="37" t="s">
        <v>1656</v>
      </c>
      <c r="G128" s="45"/>
      <c r="H128" s="45"/>
      <c r="I128" s="45"/>
      <c r="J128" s="45"/>
      <c r="K128" s="101" t="s">
        <v>18192</v>
      </c>
      <c r="L128" s="25">
        <v>6557.0</v>
      </c>
    </row>
    <row r="129">
      <c r="A129" s="665" t="s">
        <v>18135</v>
      </c>
      <c r="B129" s="45">
        <v>6675.0</v>
      </c>
      <c r="C129" s="663" t="s">
        <v>18123</v>
      </c>
      <c r="D129" s="179">
        <v>0.9</v>
      </c>
      <c r="E129" s="179">
        <v>0.9</v>
      </c>
      <c r="F129" s="37" t="s">
        <v>1656</v>
      </c>
      <c r="G129" s="45"/>
      <c r="H129" s="45"/>
      <c r="I129" s="45"/>
      <c r="J129" s="45"/>
      <c r="K129" s="101" t="s">
        <v>18193</v>
      </c>
      <c r="L129" s="25">
        <v>6802.0</v>
      </c>
    </row>
    <row r="130">
      <c r="A130" s="665" t="s">
        <v>18136</v>
      </c>
      <c r="B130" s="37">
        <v>14734.0</v>
      </c>
      <c r="C130" s="663" t="s">
        <v>18123</v>
      </c>
      <c r="D130" s="664">
        <v>0.7</v>
      </c>
      <c r="E130" s="664">
        <v>0.7</v>
      </c>
      <c r="F130" s="37" t="s">
        <v>1656</v>
      </c>
      <c r="G130" s="45"/>
      <c r="H130" s="45"/>
      <c r="I130" s="45"/>
      <c r="J130" s="45"/>
      <c r="K130" s="101" t="s">
        <v>18194</v>
      </c>
      <c r="L130" s="25">
        <v>7073.0</v>
      </c>
    </row>
    <row r="131">
      <c r="A131" s="665" t="s">
        <v>18137</v>
      </c>
      <c r="B131" s="45">
        <v>6675.0</v>
      </c>
      <c r="C131" s="663" t="s">
        <v>18123</v>
      </c>
      <c r="D131" s="179">
        <v>0.9</v>
      </c>
      <c r="E131" s="179">
        <v>0.9</v>
      </c>
      <c r="F131" s="37" t="s">
        <v>1656</v>
      </c>
      <c r="G131" s="45"/>
      <c r="H131" s="45"/>
      <c r="I131" s="45"/>
      <c r="J131" s="45"/>
      <c r="K131" s="101" t="s">
        <v>18195</v>
      </c>
      <c r="L131" s="25">
        <v>6831.0</v>
      </c>
    </row>
    <row r="132">
      <c r="A132" s="665" t="s">
        <v>18138</v>
      </c>
      <c r="B132" s="45">
        <v>6947.0</v>
      </c>
      <c r="C132" s="663" t="s">
        <v>18123</v>
      </c>
      <c r="D132" s="664">
        <v>0.7</v>
      </c>
      <c r="E132" s="664">
        <v>0.7</v>
      </c>
      <c r="F132" s="37" t="s">
        <v>1656</v>
      </c>
      <c r="G132" s="45"/>
      <c r="H132" s="45"/>
      <c r="I132" s="45"/>
      <c r="J132" s="45"/>
      <c r="K132" s="101" t="s">
        <v>18196</v>
      </c>
      <c r="L132" s="25"/>
    </row>
    <row r="133">
      <c r="A133" s="665" t="s">
        <v>18139</v>
      </c>
      <c r="B133" s="45">
        <v>6924.0</v>
      </c>
      <c r="C133" s="663" t="s">
        <v>18123</v>
      </c>
      <c r="D133" s="664">
        <v>0.7</v>
      </c>
      <c r="E133" s="664">
        <v>0.7</v>
      </c>
      <c r="F133" s="37" t="s">
        <v>1656</v>
      </c>
      <c r="G133" s="45"/>
      <c r="H133" s="45"/>
      <c r="I133" s="45"/>
      <c r="J133" s="45"/>
      <c r="K133" s="101" t="s">
        <v>18197</v>
      </c>
      <c r="L133" s="25"/>
    </row>
    <row r="134">
      <c r="A134" s="665" t="s">
        <v>18140</v>
      </c>
      <c r="B134" s="45">
        <v>5125.0</v>
      </c>
      <c r="C134" s="663" t="s">
        <v>18123</v>
      </c>
      <c r="D134" s="664">
        <v>0.7</v>
      </c>
      <c r="E134" s="664">
        <v>0.7</v>
      </c>
      <c r="F134" s="37" t="s">
        <v>1656</v>
      </c>
      <c r="G134" s="45"/>
      <c r="H134" s="45"/>
      <c r="I134" s="45"/>
      <c r="J134" s="45"/>
      <c r="K134" s="101" t="s">
        <v>18198</v>
      </c>
      <c r="L134" s="25"/>
    </row>
    <row r="135">
      <c r="A135" s="665" t="s">
        <v>18141</v>
      </c>
      <c r="B135" s="45"/>
      <c r="C135" s="663" t="s">
        <v>18123</v>
      </c>
      <c r="D135" s="664">
        <v>0.7</v>
      </c>
      <c r="E135" s="664">
        <v>0.7</v>
      </c>
      <c r="F135" s="37" t="s">
        <v>1656</v>
      </c>
      <c r="G135" s="45"/>
      <c r="H135" s="45"/>
      <c r="I135" s="45"/>
      <c r="J135" s="45"/>
      <c r="K135" s="101" t="s">
        <v>18199</v>
      </c>
      <c r="L135" s="25"/>
    </row>
    <row r="136">
      <c r="A136" s="665" t="s">
        <v>18142</v>
      </c>
      <c r="B136" s="45">
        <v>3404.0</v>
      </c>
      <c r="C136" s="663" t="s">
        <v>18123</v>
      </c>
      <c r="D136" s="664">
        <v>0.7</v>
      </c>
      <c r="E136" s="664">
        <v>0.7</v>
      </c>
      <c r="F136" s="37" t="s">
        <v>1656</v>
      </c>
      <c r="G136" s="45"/>
      <c r="H136" s="45"/>
      <c r="I136" s="45"/>
      <c r="J136" s="45"/>
      <c r="K136" s="101" t="s">
        <v>18200</v>
      </c>
      <c r="L136" s="25">
        <v>14197.0</v>
      </c>
    </row>
    <row r="137">
      <c r="A137" s="665" t="s">
        <v>18143</v>
      </c>
      <c r="B137" s="45">
        <v>9645.0</v>
      </c>
      <c r="C137" s="663" t="s">
        <v>18123</v>
      </c>
      <c r="D137" s="664">
        <v>0.7</v>
      </c>
      <c r="E137" s="664">
        <v>0.7</v>
      </c>
      <c r="F137" s="37" t="s">
        <v>1656</v>
      </c>
      <c r="G137" s="45"/>
      <c r="H137" s="45"/>
      <c r="I137" s="45"/>
      <c r="J137" s="45"/>
      <c r="K137" s="101" t="s">
        <v>18201</v>
      </c>
      <c r="L137" s="25"/>
    </row>
    <row r="138">
      <c r="A138" s="665" t="s">
        <v>18144</v>
      </c>
      <c r="B138" s="45"/>
      <c r="C138" s="663" t="s">
        <v>18123</v>
      </c>
      <c r="D138" s="664">
        <v>0.7</v>
      </c>
      <c r="E138" s="664">
        <v>0.7</v>
      </c>
      <c r="F138" s="37" t="s">
        <v>1656</v>
      </c>
      <c r="G138" s="45"/>
      <c r="H138" s="45"/>
      <c r="I138" s="45"/>
      <c r="J138" s="45"/>
      <c r="K138" s="101" t="s">
        <v>18202</v>
      </c>
      <c r="L138" s="25"/>
    </row>
    <row r="139">
      <c r="A139" s="665" t="s">
        <v>18145</v>
      </c>
      <c r="B139" s="45">
        <v>6829.0</v>
      </c>
      <c r="C139" s="663" t="s">
        <v>18123</v>
      </c>
      <c r="D139" s="664">
        <v>0.7</v>
      </c>
      <c r="E139" s="664">
        <v>0.7</v>
      </c>
      <c r="F139" s="37" t="s">
        <v>1656</v>
      </c>
      <c r="G139" s="45"/>
      <c r="H139" s="45"/>
      <c r="I139" s="45"/>
      <c r="J139" s="45"/>
      <c r="K139" s="101" t="s">
        <v>18203</v>
      </c>
      <c r="L139" s="25">
        <v>9645.0</v>
      </c>
    </row>
    <row r="140">
      <c r="A140" s="665" t="s">
        <v>18146</v>
      </c>
      <c r="B140" s="45"/>
      <c r="C140" s="663" t="s">
        <v>18123</v>
      </c>
      <c r="D140" s="664">
        <v>0.7</v>
      </c>
      <c r="E140" s="664">
        <v>0.7</v>
      </c>
      <c r="F140" s="37" t="s">
        <v>1656</v>
      </c>
      <c r="G140" s="45"/>
      <c r="H140" s="45"/>
      <c r="I140" s="45"/>
      <c r="J140" s="45"/>
      <c r="K140" s="101" t="s">
        <v>18204</v>
      </c>
      <c r="L140" s="25"/>
    </row>
    <row r="141">
      <c r="A141" s="665" t="s">
        <v>18147</v>
      </c>
      <c r="B141" s="45">
        <v>2205.0</v>
      </c>
      <c r="C141" s="663" t="s">
        <v>18123</v>
      </c>
      <c r="D141" s="664">
        <v>0.7</v>
      </c>
      <c r="E141" s="664">
        <v>0.7</v>
      </c>
      <c r="F141" s="37" t="s">
        <v>1656</v>
      </c>
      <c r="G141" s="45"/>
      <c r="H141" s="45"/>
      <c r="I141" s="45"/>
      <c r="J141" s="45"/>
      <c r="K141" s="101" t="s">
        <v>18205</v>
      </c>
      <c r="L141" s="25">
        <v>6658.0</v>
      </c>
    </row>
    <row r="142">
      <c r="A142" s="665" t="s">
        <v>18148</v>
      </c>
      <c r="B142" s="45">
        <v>6675.0</v>
      </c>
      <c r="C142" s="663" t="s">
        <v>18123</v>
      </c>
      <c r="D142" s="179">
        <v>0.9</v>
      </c>
      <c r="E142" s="179">
        <v>0.9</v>
      </c>
      <c r="F142" s="37" t="s">
        <v>1656</v>
      </c>
      <c r="G142" s="45"/>
      <c r="H142" s="45"/>
      <c r="I142" s="45"/>
      <c r="J142" s="45"/>
      <c r="K142" s="101" t="s">
        <v>18206</v>
      </c>
      <c r="L142" s="25"/>
    </row>
    <row r="143">
      <c r="A143" s="665" t="s">
        <v>18149</v>
      </c>
      <c r="B143" s="45"/>
      <c r="C143" s="663" t="s">
        <v>18123</v>
      </c>
      <c r="D143" s="664">
        <v>0.7</v>
      </c>
      <c r="E143" s="664">
        <v>0.7</v>
      </c>
      <c r="F143" s="37" t="s">
        <v>1656</v>
      </c>
      <c r="G143" s="45"/>
      <c r="H143" s="45"/>
      <c r="I143" s="45"/>
      <c r="J143" s="45"/>
      <c r="K143" s="101" t="s">
        <v>18207</v>
      </c>
      <c r="L143" s="25"/>
    </row>
    <row r="144">
      <c r="A144" s="665" t="s">
        <v>18150</v>
      </c>
      <c r="B144" s="45">
        <v>7104.0</v>
      </c>
      <c r="C144" s="663" t="s">
        <v>18123</v>
      </c>
      <c r="D144" s="664">
        <v>0.7</v>
      </c>
      <c r="E144" s="664">
        <v>0.7</v>
      </c>
      <c r="F144" s="37" t="s">
        <v>1656</v>
      </c>
      <c r="G144" s="45"/>
      <c r="H144" s="45"/>
      <c r="I144" s="45"/>
      <c r="J144" s="45"/>
      <c r="K144" s="101" t="s">
        <v>18208</v>
      </c>
      <c r="L144" s="25"/>
    </row>
    <row r="145">
      <c r="A145" s="665" t="s">
        <v>18151</v>
      </c>
      <c r="B145" s="45"/>
      <c r="C145" s="663" t="s">
        <v>18123</v>
      </c>
      <c r="D145" s="664">
        <v>0.7</v>
      </c>
      <c r="E145" s="664">
        <v>0.7</v>
      </c>
      <c r="F145" s="37" t="s">
        <v>1656</v>
      </c>
      <c r="G145" s="45"/>
      <c r="H145" s="45"/>
      <c r="I145" s="45"/>
      <c r="J145" s="45"/>
      <c r="K145" s="101" t="s">
        <v>18209</v>
      </c>
      <c r="L145" s="25">
        <v>6675.0</v>
      </c>
    </row>
    <row r="146">
      <c r="A146" s="665" t="s">
        <v>18152</v>
      </c>
      <c r="B146" s="45">
        <v>14580.0</v>
      </c>
      <c r="C146" s="663" t="s">
        <v>18123</v>
      </c>
      <c r="D146" s="664">
        <v>0.7</v>
      </c>
      <c r="E146" s="664">
        <v>0.7</v>
      </c>
      <c r="F146" s="37" t="s">
        <v>1656</v>
      </c>
      <c r="G146" s="45"/>
      <c r="H146" s="45"/>
      <c r="I146" s="45"/>
      <c r="J146" s="45"/>
      <c r="K146" s="101" t="s">
        <v>18210</v>
      </c>
      <c r="L146" s="25"/>
    </row>
    <row r="147">
      <c r="A147" s="665" t="s">
        <v>18153</v>
      </c>
      <c r="B147" s="45">
        <v>14580.0</v>
      </c>
      <c r="C147" s="663" t="s">
        <v>18123</v>
      </c>
      <c r="D147" s="664">
        <v>0.7</v>
      </c>
      <c r="E147" s="664">
        <v>0.7</v>
      </c>
      <c r="F147" s="37" t="s">
        <v>1656</v>
      </c>
      <c r="G147" s="45"/>
      <c r="H147" s="45"/>
      <c r="I147" s="45"/>
      <c r="J147" s="45"/>
      <c r="K147" s="101" t="s">
        <v>18211</v>
      </c>
      <c r="L147" s="25"/>
    </row>
    <row r="148">
      <c r="A148" s="665" t="s">
        <v>18154</v>
      </c>
      <c r="B148" s="45"/>
      <c r="C148" s="663" t="s">
        <v>18123</v>
      </c>
      <c r="D148" s="664">
        <v>0.7</v>
      </c>
      <c r="E148" s="664">
        <v>0.7</v>
      </c>
      <c r="F148" s="37" t="s">
        <v>1656</v>
      </c>
      <c r="G148" s="45"/>
      <c r="H148" s="45"/>
      <c r="I148" s="45"/>
      <c r="J148" s="45"/>
      <c r="K148" s="101" t="s">
        <v>18212</v>
      </c>
      <c r="L148" s="25"/>
    </row>
    <row r="149">
      <c r="A149" s="665" t="s">
        <v>18155</v>
      </c>
      <c r="B149" s="45">
        <v>6767.0</v>
      </c>
      <c r="C149" s="663" t="s">
        <v>18123</v>
      </c>
      <c r="D149" s="664">
        <v>0.7</v>
      </c>
      <c r="E149" s="664">
        <v>0.7</v>
      </c>
      <c r="F149" s="37" t="s">
        <v>1656</v>
      </c>
      <c r="G149" s="45"/>
      <c r="H149" s="45"/>
      <c r="I149" s="45"/>
      <c r="J149" s="45"/>
      <c r="K149" s="101" t="s">
        <v>18213</v>
      </c>
      <c r="L149" s="25"/>
    </row>
    <row r="150">
      <c r="A150" s="665" t="s">
        <v>18156</v>
      </c>
      <c r="B150" s="45"/>
      <c r="C150" s="663" t="s">
        <v>18123</v>
      </c>
      <c r="D150" s="664">
        <v>0.7</v>
      </c>
      <c r="E150" s="664">
        <v>0.7</v>
      </c>
      <c r="F150" s="37" t="s">
        <v>1656</v>
      </c>
      <c r="G150" s="45"/>
      <c r="H150" s="45"/>
      <c r="I150" s="45"/>
      <c r="J150" s="45"/>
      <c r="K150" s="101" t="s">
        <v>18214</v>
      </c>
      <c r="L150" s="25">
        <v>14076.0</v>
      </c>
    </row>
    <row r="151">
      <c r="A151" s="665" t="s">
        <v>18157</v>
      </c>
      <c r="B151" s="45">
        <v>14525.0</v>
      </c>
      <c r="C151" s="663" t="s">
        <v>18123</v>
      </c>
      <c r="D151" s="664">
        <v>0.7</v>
      </c>
      <c r="E151" s="664">
        <v>0.7</v>
      </c>
      <c r="F151" s="37" t="s">
        <v>1656</v>
      </c>
      <c r="G151" s="45"/>
      <c r="H151" s="45"/>
      <c r="I151" s="45"/>
      <c r="J151" s="45"/>
      <c r="K151" s="101" t="s">
        <v>18215</v>
      </c>
      <c r="L151" s="25">
        <v>7132.0</v>
      </c>
    </row>
    <row r="152">
      <c r="A152" s="665" t="s">
        <v>18158</v>
      </c>
      <c r="B152" s="45">
        <v>6936.0</v>
      </c>
      <c r="C152" s="663" t="s">
        <v>18123</v>
      </c>
      <c r="D152" s="664">
        <v>0.7</v>
      </c>
      <c r="E152" s="664">
        <v>0.7</v>
      </c>
      <c r="F152" s="37" t="s">
        <v>1656</v>
      </c>
      <c r="G152" s="45"/>
      <c r="H152" s="45"/>
      <c r="I152" s="45"/>
      <c r="J152" s="45"/>
      <c r="K152" s="101" t="s">
        <v>18216</v>
      </c>
      <c r="L152" s="25"/>
    </row>
    <row r="153">
      <c r="A153" s="665" t="s">
        <v>18159</v>
      </c>
      <c r="B153" s="45">
        <v>6811.0</v>
      </c>
      <c r="C153" s="663" t="s">
        <v>18123</v>
      </c>
      <c r="D153" s="664">
        <v>0.7</v>
      </c>
      <c r="E153" s="664">
        <v>0.7</v>
      </c>
      <c r="F153" s="37" t="s">
        <v>1656</v>
      </c>
      <c r="G153" s="45"/>
      <c r="H153" s="45"/>
      <c r="I153" s="45"/>
      <c r="J153" s="45"/>
      <c r="K153" s="101" t="s">
        <v>18217</v>
      </c>
      <c r="L153" s="25"/>
    </row>
    <row r="154">
      <c r="A154" s="665" t="s">
        <v>18160</v>
      </c>
      <c r="B154" s="45">
        <v>3307.0</v>
      </c>
      <c r="C154" s="663" t="s">
        <v>18123</v>
      </c>
      <c r="D154" s="664">
        <v>0.7</v>
      </c>
      <c r="E154" s="664">
        <v>0.7</v>
      </c>
      <c r="F154" s="37" t="s">
        <v>1656</v>
      </c>
      <c r="G154" s="45"/>
      <c r="H154" s="45"/>
      <c r="I154" s="45"/>
      <c r="J154" s="45"/>
      <c r="K154" s="101" t="s">
        <v>18218</v>
      </c>
      <c r="L154" s="25"/>
    </row>
    <row r="155">
      <c r="A155" s="665" t="s">
        <v>18161</v>
      </c>
      <c r="B155" s="45"/>
      <c r="C155" s="663" t="s">
        <v>18123</v>
      </c>
      <c r="D155" s="664">
        <v>0.7</v>
      </c>
      <c r="E155" s="664">
        <v>0.7</v>
      </c>
      <c r="F155" s="37" t="s">
        <v>1656</v>
      </c>
      <c r="G155" s="45"/>
      <c r="H155" s="45"/>
      <c r="I155" s="45"/>
      <c r="J155" s="45"/>
      <c r="K155" s="101" t="s">
        <v>18219</v>
      </c>
      <c r="L155" s="25"/>
    </row>
    <row r="156">
      <c r="A156" s="665" t="s">
        <v>18162</v>
      </c>
      <c r="B156" s="45">
        <v>5389.0</v>
      </c>
      <c r="C156" s="663" t="s">
        <v>18123</v>
      </c>
      <c r="D156" s="664">
        <v>0.7</v>
      </c>
      <c r="E156" s="664">
        <v>0.7</v>
      </c>
      <c r="F156" s="37" t="s">
        <v>1656</v>
      </c>
      <c r="G156" s="45"/>
      <c r="H156" s="45"/>
      <c r="I156" s="45"/>
      <c r="J156" s="45"/>
      <c r="K156" s="101" t="s">
        <v>18220</v>
      </c>
      <c r="L156" s="25">
        <v>6669.0</v>
      </c>
    </row>
    <row r="157">
      <c r="A157" s="665" t="s">
        <v>18163</v>
      </c>
      <c r="B157" s="45"/>
      <c r="C157" s="663" t="s">
        <v>18123</v>
      </c>
      <c r="D157" s="664">
        <v>0.7</v>
      </c>
      <c r="E157" s="664">
        <v>0.7</v>
      </c>
      <c r="F157" s="37" t="s">
        <v>1656</v>
      </c>
      <c r="G157" s="45"/>
      <c r="H157" s="45"/>
      <c r="I157" s="45"/>
      <c r="J157" s="45"/>
      <c r="K157" s="101" t="s">
        <v>18221</v>
      </c>
      <c r="L157" s="25">
        <v>6669.0</v>
      </c>
    </row>
    <row r="158">
      <c r="A158" s="665" t="s">
        <v>18164</v>
      </c>
      <c r="B158" s="45"/>
      <c r="C158" s="663" t="s">
        <v>18123</v>
      </c>
      <c r="D158" s="664">
        <v>0.7</v>
      </c>
      <c r="E158" s="664">
        <v>0.7</v>
      </c>
      <c r="F158" s="37" t="s">
        <v>1656</v>
      </c>
      <c r="G158" s="45"/>
      <c r="H158" s="45"/>
      <c r="I158" s="45"/>
      <c r="J158" s="45"/>
      <c r="K158" s="101" t="s">
        <v>18222</v>
      </c>
      <c r="L158" s="25"/>
    </row>
    <row r="159">
      <c r="A159" s="665" t="s">
        <v>18165</v>
      </c>
      <c r="B159" s="45">
        <v>986.0</v>
      </c>
      <c r="C159" s="663" t="s">
        <v>18123</v>
      </c>
      <c r="D159" s="664">
        <v>0.7</v>
      </c>
      <c r="E159" s="664">
        <v>0.7</v>
      </c>
      <c r="F159" s="37" t="s">
        <v>1656</v>
      </c>
      <c r="G159" s="45"/>
      <c r="H159" s="45"/>
      <c r="I159" s="45"/>
      <c r="J159" s="45"/>
      <c r="K159" s="101" t="s">
        <v>18223</v>
      </c>
      <c r="L159" s="25"/>
    </row>
    <row r="160">
      <c r="A160" s="665" t="s">
        <v>18166</v>
      </c>
      <c r="B160" s="45"/>
      <c r="C160" s="663" t="s">
        <v>18123</v>
      </c>
      <c r="D160" s="664">
        <v>0.7</v>
      </c>
      <c r="E160" s="664">
        <v>0.7</v>
      </c>
      <c r="F160" s="37" t="s">
        <v>1656</v>
      </c>
      <c r="G160" s="45"/>
      <c r="H160" s="45"/>
      <c r="I160" s="45"/>
      <c r="J160" s="45"/>
      <c r="K160" s="101" t="s">
        <v>18224</v>
      </c>
      <c r="L160" s="25"/>
    </row>
    <row r="161">
      <c r="A161" s="665" t="s">
        <v>18167</v>
      </c>
      <c r="B161" s="45"/>
      <c r="C161" s="663" t="s">
        <v>18123</v>
      </c>
      <c r="D161" s="664">
        <v>0.7</v>
      </c>
      <c r="E161" s="664">
        <v>0.7</v>
      </c>
      <c r="F161" s="37" t="s">
        <v>1656</v>
      </c>
      <c r="G161" s="45"/>
      <c r="H161" s="45"/>
      <c r="I161" s="45"/>
      <c r="J161" s="45"/>
      <c r="K161" s="101" t="s">
        <v>18225</v>
      </c>
      <c r="L161" s="25"/>
    </row>
    <row r="162">
      <c r="A162" s="665" t="s">
        <v>18168</v>
      </c>
      <c r="B162" s="45"/>
      <c r="C162" s="663" t="s">
        <v>18123</v>
      </c>
      <c r="D162" s="664">
        <v>0.7</v>
      </c>
      <c r="E162" s="664">
        <v>0.7</v>
      </c>
      <c r="F162" s="37" t="s">
        <v>1656</v>
      </c>
      <c r="G162" s="45"/>
      <c r="H162" s="45"/>
      <c r="I162" s="45"/>
      <c r="J162" s="45"/>
      <c r="K162" s="101" t="s">
        <v>18226</v>
      </c>
      <c r="L162" s="25">
        <v>14663.0</v>
      </c>
    </row>
    <row r="163">
      <c r="A163" s="665" t="s">
        <v>18169</v>
      </c>
      <c r="B163" s="45"/>
      <c r="C163" s="663" t="s">
        <v>18123</v>
      </c>
      <c r="D163" s="664">
        <v>0.7</v>
      </c>
      <c r="E163" s="664">
        <v>0.7</v>
      </c>
      <c r="F163" s="37" t="s">
        <v>1656</v>
      </c>
      <c r="G163" s="45"/>
      <c r="H163" s="45"/>
      <c r="I163" s="45"/>
      <c r="J163" s="45"/>
      <c r="K163" s="101" t="s">
        <v>18227</v>
      </c>
      <c r="L163" s="25">
        <v>663.0</v>
      </c>
    </row>
    <row r="164">
      <c r="A164" s="665" t="s">
        <v>18170</v>
      </c>
      <c r="B164" s="45">
        <v>14638.0</v>
      </c>
      <c r="C164" s="663" t="s">
        <v>18123</v>
      </c>
      <c r="D164" s="664">
        <v>0.7</v>
      </c>
      <c r="E164" s="664">
        <v>0.7</v>
      </c>
      <c r="F164" s="37" t="s">
        <v>1656</v>
      </c>
      <c r="G164" s="45"/>
      <c r="H164" s="45"/>
      <c r="I164" s="45"/>
      <c r="J164" s="45"/>
      <c r="K164" s="101" t="s">
        <v>18228</v>
      </c>
      <c r="L164" s="25">
        <v>14571.0</v>
      </c>
    </row>
    <row r="165">
      <c r="A165" s="665" t="s">
        <v>18171</v>
      </c>
      <c r="B165" s="45"/>
      <c r="C165" s="663" t="s">
        <v>18123</v>
      </c>
      <c r="D165" s="664">
        <v>0.7</v>
      </c>
      <c r="E165" s="664">
        <v>0.7</v>
      </c>
      <c r="F165" s="37" t="s">
        <v>1656</v>
      </c>
      <c r="G165" s="45"/>
      <c r="H165" s="45"/>
      <c r="I165" s="45"/>
      <c r="J165" s="45"/>
      <c r="K165" s="101" t="s">
        <v>18229</v>
      </c>
      <c r="L165" s="25">
        <v>14571.0</v>
      </c>
    </row>
    <row r="166">
      <c r="A166" s="665" t="s">
        <v>18172</v>
      </c>
      <c r="B166" s="45">
        <v>7157.0</v>
      </c>
      <c r="C166" s="663" t="s">
        <v>18123</v>
      </c>
      <c r="D166" s="664">
        <v>0.7</v>
      </c>
      <c r="E166" s="664">
        <v>0.7</v>
      </c>
      <c r="F166" s="37" t="s">
        <v>1656</v>
      </c>
      <c r="G166" s="45"/>
      <c r="H166" s="45"/>
      <c r="I166" s="45"/>
      <c r="J166" s="45"/>
      <c r="K166" s="101" t="s">
        <v>18230</v>
      </c>
      <c r="L166" s="25"/>
    </row>
    <row r="167">
      <c r="A167" s="665" t="s">
        <v>18173</v>
      </c>
      <c r="B167" s="45">
        <v>7243.0</v>
      </c>
      <c r="C167" s="663" t="s">
        <v>18123</v>
      </c>
      <c r="D167" s="664">
        <v>0.7</v>
      </c>
      <c r="E167" s="664">
        <v>0.7</v>
      </c>
      <c r="F167" s="37" t="s">
        <v>1656</v>
      </c>
      <c r="G167" s="45"/>
      <c r="H167" s="45"/>
      <c r="I167" s="45"/>
      <c r="J167" s="45"/>
      <c r="K167" s="101" t="s">
        <v>18231</v>
      </c>
      <c r="L167" s="25"/>
    </row>
    <row r="168">
      <c r="A168" s="665" t="s">
        <v>18174</v>
      </c>
      <c r="B168" s="45"/>
      <c r="C168" s="663" t="s">
        <v>18123</v>
      </c>
      <c r="D168" s="664">
        <v>0.7</v>
      </c>
      <c r="E168" s="664">
        <v>0.7</v>
      </c>
      <c r="F168" s="37" t="s">
        <v>1656</v>
      </c>
      <c r="G168" s="45"/>
      <c r="H168" s="45"/>
      <c r="I168" s="45"/>
      <c r="J168" s="45"/>
      <c r="K168" s="101" t="s">
        <v>18232</v>
      </c>
      <c r="L168" s="25">
        <v>9701.0</v>
      </c>
    </row>
    <row r="169">
      <c r="A169" s="665" t="s">
        <v>18175</v>
      </c>
      <c r="B169" s="45">
        <v>7010.0</v>
      </c>
      <c r="C169" s="663" t="s">
        <v>18123</v>
      </c>
      <c r="D169" s="664">
        <v>0.7</v>
      </c>
      <c r="E169" s="664">
        <v>0.7</v>
      </c>
      <c r="F169" s="37" t="s">
        <v>1656</v>
      </c>
      <c r="G169" s="45"/>
      <c r="H169" s="45"/>
      <c r="I169" s="45"/>
      <c r="J169" s="45"/>
      <c r="K169" s="101" t="s">
        <v>18233</v>
      </c>
      <c r="L169" s="25"/>
    </row>
    <row r="170">
      <c r="A170" s="665" t="s">
        <v>18176</v>
      </c>
      <c r="B170" s="45"/>
      <c r="C170" s="663" t="s">
        <v>18123</v>
      </c>
      <c r="D170" s="664">
        <v>0.7</v>
      </c>
      <c r="E170" s="664">
        <v>0.7</v>
      </c>
      <c r="F170" s="37" t="s">
        <v>1656</v>
      </c>
      <c r="G170" s="45"/>
      <c r="H170" s="45"/>
      <c r="I170" s="45"/>
      <c r="J170" s="45"/>
      <c r="K170" s="101" t="s">
        <v>18234</v>
      </c>
      <c r="L170" s="25"/>
    </row>
    <row r="171">
      <c r="A171" s="665" t="s">
        <v>18177</v>
      </c>
      <c r="B171" s="45">
        <v>6949.0</v>
      </c>
      <c r="C171" s="663" t="s">
        <v>18123</v>
      </c>
      <c r="D171" s="664">
        <v>0.7</v>
      </c>
      <c r="E171" s="664">
        <v>0.7</v>
      </c>
      <c r="F171" s="37" t="s">
        <v>1656</v>
      </c>
      <c r="G171" s="45"/>
      <c r="H171" s="45"/>
      <c r="I171" s="45"/>
      <c r="J171" s="45"/>
      <c r="K171" s="101" t="s">
        <v>18235</v>
      </c>
      <c r="L171" s="25">
        <v>7100.0</v>
      </c>
    </row>
    <row r="172">
      <c r="A172" s="665" t="s">
        <v>18178</v>
      </c>
      <c r="B172" s="45"/>
      <c r="C172" s="663" t="s">
        <v>18123</v>
      </c>
      <c r="D172" s="664">
        <v>0.7</v>
      </c>
      <c r="E172" s="664">
        <v>0.7</v>
      </c>
      <c r="F172" s="37" t="s">
        <v>1656</v>
      </c>
      <c r="G172" s="45"/>
      <c r="H172" s="45"/>
      <c r="I172" s="45"/>
      <c r="J172" s="45"/>
      <c r="K172" s="101" t="s">
        <v>18236</v>
      </c>
      <c r="L172" s="25"/>
    </row>
    <row r="173">
      <c r="A173" s="665" t="s">
        <v>18179</v>
      </c>
      <c r="B173" s="45"/>
      <c r="C173" s="663" t="s">
        <v>18123</v>
      </c>
      <c r="D173" s="664">
        <v>0.7</v>
      </c>
      <c r="E173" s="664">
        <v>0.7</v>
      </c>
      <c r="F173" s="37" t="s">
        <v>1656</v>
      </c>
      <c r="G173" s="45"/>
      <c r="H173" s="45"/>
      <c r="I173" s="45"/>
      <c r="J173" s="45"/>
      <c r="K173" s="101" t="s">
        <v>18237</v>
      </c>
      <c r="L173" s="25"/>
    </row>
    <row r="174">
      <c r="A174" s="665" t="s">
        <v>18180</v>
      </c>
      <c r="B174" s="45">
        <v>7010.0</v>
      </c>
      <c r="C174" s="663" t="s">
        <v>18123</v>
      </c>
      <c r="D174" s="664">
        <v>0.7</v>
      </c>
      <c r="E174" s="664">
        <v>0.7</v>
      </c>
      <c r="F174" s="37" t="s">
        <v>1656</v>
      </c>
      <c r="G174" s="45"/>
      <c r="H174" s="45"/>
      <c r="I174" s="45"/>
      <c r="J174" s="45"/>
      <c r="K174" s="101" t="s">
        <v>18238</v>
      </c>
      <c r="L174" s="25">
        <v>7100.0</v>
      </c>
    </row>
    <row r="175">
      <c r="A175" s="665" t="s">
        <v>18181</v>
      </c>
      <c r="B175" s="45">
        <v>7010.0</v>
      </c>
      <c r="C175" s="663" t="s">
        <v>18123</v>
      </c>
      <c r="D175" s="664">
        <v>0.7</v>
      </c>
      <c r="E175" s="664">
        <v>0.7</v>
      </c>
      <c r="F175" s="37" t="s">
        <v>1656</v>
      </c>
      <c r="G175" s="45"/>
      <c r="H175" s="45"/>
      <c r="I175" s="45"/>
      <c r="J175" s="45"/>
      <c r="K175" s="101" t="s">
        <v>18239</v>
      </c>
      <c r="L175" s="25"/>
    </row>
    <row r="176">
      <c r="A176" s="665" t="s">
        <v>18182</v>
      </c>
      <c r="B176" s="45">
        <v>411.0</v>
      </c>
      <c r="C176" s="663" t="s">
        <v>18123</v>
      </c>
      <c r="D176" s="664">
        <v>0.7</v>
      </c>
      <c r="E176" s="664">
        <v>0.7</v>
      </c>
      <c r="F176" s="37" t="s">
        <v>1656</v>
      </c>
      <c r="G176" s="45"/>
      <c r="H176" s="45"/>
      <c r="I176" s="45"/>
      <c r="J176" s="45"/>
      <c r="K176" s="101" t="s">
        <v>18240</v>
      </c>
      <c r="L176" s="25"/>
    </row>
    <row r="177">
      <c r="A177" s="665" t="s">
        <v>18183</v>
      </c>
      <c r="B177" s="45"/>
      <c r="C177" s="663" t="s">
        <v>18123</v>
      </c>
      <c r="D177" s="664">
        <v>0.7</v>
      </c>
      <c r="E177" s="664">
        <v>0.7</v>
      </c>
      <c r="F177" s="37" t="s">
        <v>1656</v>
      </c>
      <c r="G177" s="45"/>
      <c r="H177" s="45"/>
      <c r="I177" s="45"/>
      <c r="J177" s="45"/>
      <c r="K177" s="101" t="s">
        <v>18241</v>
      </c>
      <c r="L177" s="25"/>
    </row>
    <row r="178">
      <c r="A178" s="665" t="s">
        <v>18184</v>
      </c>
      <c r="B178" s="45">
        <v>14536.0</v>
      </c>
      <c r="C178" s="663" t="s">
        <v>18123</v>
      </c>
      <c r="D178" s="664">
        <v>0.7</v>
      </c>
      <c r="E178" s="664">
        <v>0.7</v>
      </c>
      <c r="F178" s="37" t="s">
        <v>1656</v>
      </c>
      <c r="G178" s="45"/>
      <c r="H178" s="45"/>
      <c r="I178" s="45"/>
      <c r="J178" s="45"/>
      <c r="K178" s="101" t="s">
        <v>18242</v>
      </c>
      <c r="L178" s="25"/>
    </row>
    <row r="179">
      <c r="A179" s="665" t="s">
        <v>18185</v>
      </c>
      <c r="B179" s="45">
        <v>5389.0</v>
      </c>
      <c r="C179" s="663" t="s">
        <v>18123</v>
      </c>
      <c r="D179" s="664">
        <v>0.7</v>
      </c>
      <c r="E179" s="664">
        <v>0.7</v>
      </c>
      <c r="F179" s="37" t="s">
        <v>1656</v>
      </c>
      <c r="G179" s="45"/>
      <c r="H179" s="45"/>
      <c r="I179" s="45"/>
      <c r="J179" s="45"/>
      <c r="K179" s="101" t="s">
        <v>18243</v>
      </c>
      <c r="L179" s="666">
        <v>7031.0</v>
      </c>
    </row>
    <row r="180">
      <c r="A180" s="665" t="s">
        <v>18186</v>
      </c>
      <c r="B180" s="45"/>
      <c r="C180" s="663" t="s">
        <v>18123</v>
      </c>
      <c r="D180" s="664">
        <v>0.7</v>
      </c>
      <c r="E180" s="664">
        <v>0.7</v>
      </c>
      <c r="F180" s="37" t="s">
        <v>1656</v>
      </c>
      <c r="G180" s="45"/>
      <c r="H180" s="45"/>
      <c r="I180" s="45"/>
      <c r="J180" s="45"/>
      <c r="K180" s="101" t="s">
        <v>18244</v>
      </c>
      <c r="L180" s="25"/>
    </row>
    <row r="181">
      <c r="A181" s="665" t="s">
        <v>18187</v>
      </c>
      <c r="B181" s="45">
        <v>5458.0</v>
      </c>
      <c r="C181" s="663" t="s">
        <v>18123</v>
      </c>
      <c r="D181" s="664">
        <v>0.7</v>
      </c>
      <c r="E181" s="664">
        <v>0.7</v>
      </c>
      <c r="F181" s="37" t="s">
        <v>1656</v>
      </c>
      <c r="G181" s="45"/>
      <c r="H181" s="45"/>
      <c r="I181" s="45"/>
      <c r="J181" s="45"/>
      <c r="K181" s="101" t="s">
        <v>18245</v>
      </c>
      <c r="L181" s="25"/>
    </row>
    <row r="182">
      <c r="A182" s="665" t="s">
        <v>18188</v>
      </c>
      <c r="B182" s="45"/>
      <c r="C182" s="663" t="s">
        <v>18123</v>
      </c>
      <c r="D182" s="664">
        <v>0.7</v>
      </c>
      <c r="E182" s="664">
        <v>0.7</v>
      </c>
      <c r="F182" s="37" t="s">
        <v>1656</v>
      </c>
      <c r="G182" s="45"/>
      <c r="H182" s="45"/>
      <c r="I182" s="45"/>
      <c r="J182" s="45"/>
      <c r="K182" s="101" t="s">
        <v>18246</v>
      </c>
      <c r="L182" s="25"/>
    </row>
    <row r="183">
      <c r="A183" s="665" t="s">
        <v>18189</v>
      </c>
      <c r="B183" s="45"/>
      <c r="C183" s="663" t="s">
        <v>18123</v>
      </c>
      <c r="D183" s="664">
        <v>0.7</v>
      </c>
      <c r="E183" s="664">
        <v>0.7</v>
      </c>
      <c r="F183" s="37" t="s">
        <v>1656</v>
      </c>
      <c r="G183" s="45"/>
      <c r="H183" s="45"/>
      <c r="I183" s="45"/>
      <c r="J183" s="45"/>
      <c r="K183" s="101" t="s">
        <v>18247</v>
      </c>
      <c r="L183" s="25">
        <v>1.0</v>
      </c>
    </row>
    <row r="184">
      <c r="A184" s="665" t="s">
        <v>18190</v>
      </c>
      <c r="B184" s="45">
        <v>6557.0</v>
      </c>
      <c r="C184" s="663" t="s">
        <v>18123</v>
      </c>
      <c r="D184" s="664">
        <v>0.7</v>
      </c>
      <c r="E184" s="664">
        <v>0.7</v>
      </c>
      <c r="F184" s="37" t="s">
        <v>1656</v>
      </c>
      <c r="G184" s="45"/>
      <c r="H184" s="45"/>
      <c r="I184" s="45"/>
      <c r="J184" s="45"/>
      <c r="K184" s="101" t="s">
        <v>18248</v>
      </c>
      <c r="L184" s="25">
        <v>9307.0</v>
      </c>
    </row>
    <row r="185">
      <c r="A185" s="665" t="s">
        <v>18191</v>
      </c>
      <c r="B185" s="45">
        <v>7142.0</v>
      </c>
      <c r="C185" s="663" t="s">
        <v>18123</v>
      </c>
      <c r="D185" s="664">
        <v>0.7</v>
      </c>
      <c r="E185" s="664">
        <v>0.7</v>
      </c>
      <c r="F185" s="37" t="s">
        <v>1656</v>
      </c>
      <c r="G185" s="45"/>
      <c r="H185" s="45"/>
      <c r="I185" s="45"/>
      <c r="J185" s="45"/>
      <c r="K185" s="101" t="s">
        <v>18249</v>
      </c>
      <c r="L185" s="25"/>
    </row>
    <row r="186">
      <c r="A186" s="665" t="s">
        <v>18192</v>
      </c>
      <c r="B186" s="45">
        <v>6557.0</v>
      </c>
      <c r="C186" s="663" t="s">
        <v>18123</v>
      </c>
      <c r="D186" s="664">
        <v>0.7</v>
      </c>
      <c r="E186" s="664">
        <v>0.7</v>
      </c>
      <c r="F186" s="37" t="s">
        <v>1656</v>
      </c>
      <c r="G186" s="45"/>
      <c r="H186" s="45"/>
      <c r="I186" s="45"/>
      <c r="J186" s="45"/>
      <c r="K186" s="101" t="s">
        <v>18250</v>
      </c>
      <c r="L186" s="136">
        <v>6989.0</v>
      </c>
    </row>
    <row r="187">
      <c r="A187" s="665" t="s">
        <v>18193</v>
      </c>
      <c r="B187" s="45">
        <v>6802.0</v>
      </c>
      <c r="C187" s="663" t="s">
        <v>18123</v>
      </c>
      <c r="D187" s="664">
        <v>0.7</v>
      </c>
      <c r="E187" s="664">
        <v>0.7</v>
      </c>
      <c r="F187" s="37" t="s">
        <v>1656</v>
      </c>
      <c r="G187" s="45"/>
      <c r="H187" s="45"/>
      <c r="I187" s="45"/>
      <c r="J187" s="45"/>
      <c r="K187" s="101" t="s">
        <v>18251</v>
      </c>
      <c r="L187" s="25"/>
    </row>
    <row r="188">
      <c r="A188" s="665" t="s">
        <v>18194</v>
      </c>
      <c r="B188" s="45">
        <v>7073.0</v>
      </c>
      <c r="C188" s="663" t="s">
        <v>18123</v>
      </c>
      <c r="D188" s="664">
        <v>0.7</v>
      </c>
      <c r="E188" s="664">
        <v>0.7</v>
      </c>
      <c r="F188" s="37" t="s">
        <v>1656</v>
      </c>
      <c r="G188" s="45"/>
      <c r="H188" s="45"/>
      <c r="I188" s="45"/>
      <c r="J188" s="45"/>
      <c r="K188" s="101" t="s">
        <v>18252</v>
      </c>
      <c r="L188" s="42">
        <v>6736.0</v>
      </c>
    </row>
    <row r="189">
      <c r="A189" s="665" t="s">
        <v>18195</v>
      </c>
      <c r="B189" s="45">
        <v>6831.0</v>
      </c>
      <c r="C189" s="663" t="s">
        <v>18123</v>
      </c>
      <c r="D189" s="664">
        <v>0.7</v>
      </c>
      <c r="E189" s="664">
        <v>0.7</v>
      </c>
      <c r="F189" s="37" t="s">
        <v>1656</v>
      </c>
      <c r="G189" s="45"/>
      <c r="H189" s="45"/>
      <c r="I189" s="45"/>
      <c r="J189" s="45"/>
      <c r="K189" s="101" t="s">
        <v>18253</v>
      </c>
      <c r="L189" s="25"/>
    </row>
    <row r="190">
      <c r="A190" s="665" t="s">
        <v>18196</v>
      </c>
      <c r="B190" s="45"/>
      <c r="C190" s="663" t="s">
        <v>18123</v>
      </c>
      <c r="D190" s="664">
        <v>0.7</v>
      </c>
      <c r="E190" s="664">
        <v>0.7</v>
      </c>
      <c r="F190" s="37" t="s">
        <v>1656</v>
      </c>
      <c r="G190" s="45"/>
      <c r="H190" s="45"/>
      <c r="I190" s="45"/>
      <c r="J190" s="45"/>
      <c r="K190" s="101" t="s">
        <v>18254</v>
      </c>
      <c r="L190" s="25"/>
    </row>
    <row r="191">
      <c r="A191" s="665" t="s">
        <v>18197</v>
      </c>
      <c r="B191" s="45"/>
      <c r="C191" s="663" t="s">
        <v>18123</v>
      </c>
      <c r="D191" s="664">
        <v>0.7</v>
      </c>
      <c r="E191" s="664">
        <v>0.7</v>
      </c>
      <c r="F191" s="37" t="s">
        <v>1656</v>
      </c>
      <c r="G191" s="45"/>
      <c r="H191" s="45"/>
      <c r="I191" s="45"/>
      <c r="J191" s="45"/>
      <c r="K191" s="101" t="s">
        <v>18255</v>
      </c>
      <c r="L191" s="25"/>
    </row>
    <row r="192">
      <c r="A192" s="665" t="s">
        <v>18198</v>
      </c>
      <c r="B192" s="45"/>
      <c r="C192" s="663" t="s">
        <v>18123</v>
      </c>
      <c r="D192" s="664">
        <v>0.7</v>
      </c>
      <c r="E192" s="664">
        <v>0.7</v>
      </c>
      <c r="F192" s="37" t="s">
        <v>1656</v>
      </c>
      <c r="G192" s="45"/>
      <c r="H192" s="45"/>
      <c r="I192" s="45"/>
      <c r="J192" s="45"/>
      <c r="K192" s="101" t="s">
        <v>18256</v>
      </c>
      <c r="L192" s="25"/>
    </row>
    <row r="193">
      <c r="A193" s="665" t="s">
        <v>18199</v>
      </c>
      <c r="B193" s="45"/>
      <c r="C193" s="663" t="s">
        <v>18123</v>
      </c>
      <c r="D193" s="664">
        <v>0.7</v>
      </c>
      <c r="E193" s="664">
        <v>0.7</v>
      </c>
      <c r="F193" s="37" t="s">
        <v>1656</v>
      </c>
      <c r="G193" s="45"/>
      <c r="H193" s="45"/>
      <c r="I193" s="45"/>
      <c r="J193" s="45"/>
      <c r="K193" s="101" t="s">
        <v>18257</v>
      </c>
      <c r="L193" s="25"/>
    </row>
    <row r="194">
      <c r="A194" s="665" t="s">
        <v>18200</v>
      </c>
      <c r="B194" s="45">
        <v>14197.0</v>
      </c>
      <c r="C194" s="663" t="s">
        <v>18123</v>
      </c>
      <c r="D194" s="664">
        <v>0.7</v>
      </c>
      <c r="E194" s="664">
        <v>0.7</v>
      </c>
      <c r="F194" s="37" t="s">
        <v>1656</v>
      </c>
      <c r="G194" s="45"/>
      <c r="H194" s="45"/>
      <c r="I194" s="45"/>
      <c r="J194" s="45"/>
      <c r="K194" s="101" t="s">
        <v>18258</v>
      </c>
      <c r="L194" s="25">
        <v>12932.0</v>
      </c>
    </row>
    <row r="195">
      <c r="A195" s="665" t="s">
        <v>18201</v>
      </c>
      <c r="B195" s="45"/>
      <c r="C195" s="663" t="s">
        <v>18123</v>
      </c>
      <c r="D195" s="664">
        <v>0.7</v>
      </c>
      <c r="E195" s="664">
        <v>0.7</v>
      </c>
      <c r="F195" s="37" t="s">
        <v>1656</v>
      </c>
      <c r="G195" s="45"/>
      <c r="H195" s="45"/>
      <c r="I195" s="45"/>
      <c r="J195" s="45"/>
      <c r="K195" s="101" t="s">
        <v>18259</v>
      </c>
      <c r="L195" s="25">
        <v>7083.0</v>
      </c>
    </row>
    <row r="196">
      <c r="A196" s="665" t="s">
        <v>18202</v>
      </c>
      <c r="B196" s="45"/>
      <c r="C196" s="663" t="s">
        <v>18123</v>
      </c>
      <c r="D196" s="664">
        <v>0.7</v>
      </c>
      <c r="E196" s="664">
        <v>0.7</v>
      </c>
      <c r="F196" s="37" t="s">
        <v>1656</v>
      </c>
      <c r="G196" s="45"/>
      <c r="H196" s="45"/>
      <c r="I196" s="45"/>
      <c r="J196" s="45"/>
      <c r="K196" s="101" t="s">
        <v>18260</v>
      </c>
      <c r="L196" s="25"/>
    </row>
    <row r="197">
      <c r="A197" s="665" t="s">
        <v>18203</v>
      </c>
      <c r="B197" s="45">
        <v>9645.0</v>
      </c>
      <c r="C197" s="663" t="s">
        <v>18123</v>
      </c>
      <c r="D197" s="664">
        <v>0.7</v>
      </c>
      <c r="E197" s="664">
        <v>0.7</v>
      </c>
      <c r="F197" s="37" t="s">
        <v>1656</v>
      </c>
      <c r="G197" s="45"/>
      <c r="H197" s="45"/>
      <c r="I197" s="45"/>
      <c r="J197" s="45"/>
      <c r="K197" s="101" t="s">
        <v>18261</v>
      </c>
      <c r="L197" s="25"/>
    </row>
    <row r="198">
      <c r="A198" s="665" t="s">
        <v>18204</v>
      </c>
      <c r="B198" s="45"/>
      <c r="C198" s="663" t="s">
        <v>18123</v>
      </c>
      <c r="D198" s="664">
        <v>0.7</v>
      </c>
      <c r="E198" s="664">
        <v>0.7</v>
      </c>
      <c r="F198" s="37" t="s">
        <v>1656</v>
      </c>
      <c r="G198" s="45"/>
      <c r="H198" s="45"/>
      <c r="I198" s="45"/>
      <c r="J198" s="45"/>
      <c r="K198" s="101" t="s">
        <v>18262</v>
      </c>
      <c r="L198" s="25"/>
    </row>
    <row r="199">
      <c r="A199" s="665" t="s">
        <v>18205</v>
      </c>
      <c r="B199" s="45">
        <v>6658.0</v>
      </c>
      <c r="C199" s="663" t="s">
        <v>18123</v>
      </c>
      <c r="D199" s="179">
        <v>0.88</v>
      </c>
      <c r="E199" s="179">
        <v>0.88</v>
      </c>
      <c r="F199" s="37" t="s">
        <v>1656</v>
      </c>
      <c r="G199" s="45"/>
      <c r="H199" s="45"/>
      <c r="I199" s="45"/>
      <c r="J199" s="45"/>
      <c r="K199" s="101" t="s">
        <v>18263</v>
      </c>
      <c r="L199" s="25"/>
    </row>
    <row r="200">
      <c r="A200" s="665" t="s">
        <v>18206</v>
      </c>
      <c r="B200" s="45"/>
      <c r="C200" s="663" t="s">
        <v>18123</v>
      </c>
      <c r="D200" s="664">
        <v>0.7</v>
      </c>
      <c r="E200" s="664">
        <v>0.7</v>
      </c>
      <c r="F200" s="37" t="s">
        <v>1656</v>
      </c>
      <c r="G200" s="45"/>
      <c r="H200" s="45"/>
      <c r="I200" s="45"/>
      <c r="J200" s="45"/>
      <c r="K200" s="101" t="s">
        <v>18264</v>
      </c>
      <c r="L200" s="25"/>
    </row>
    <row r="201">
      <c r="A201" s="665" t="s">
        <v>18207</v>
      </c>
      <c r="B201" s="45"/>
      <c r="C201" s="663" t="s">
        <v>18123</v>
      </c>
      <c r="D201" s="664">
        <v>0.7</v>
      </c>
      <c r="E201" s="664">
        <v>0.7</v>
      </c>
      <c r="F201" s="37" t="s">
        <v>1656</v>
      </c>
      <c r="G201" s="45"/>
      <c r="H201" s="45"/>
      <c r="I201" s="45"/>
      <c r="J201" s="45"/>
      <c r="K201" s="101" t="s">
        <v>18265</v>
      </c>
      <c r="L201" s="25"/>
    </row>
    <row r="202">
      <c r="A202" s="665" t="s">
        <v>18208</v>
      </c>
      <c r="B202" s="45"/>
      <c r="C202" s="663" t="s">
        <v>18123</v>
      </c>
      <c r="D202" s="664">
        <v>0.7</v>
      </c>
      <c r="E202" s="664">
        <v>0.7</v>
      </c>
      <c r="F202" s="37" t="s">
        <v>1656</v>
      </c>
      <c r="G202" s="45"/>
      <c r="H202" s="45"/>
      <c r="I202" s="45"/>
      <c r="J202" s="45"/>
      <c r="K202" s="101" t="s">
        <v>18266</v>
      </c>
      <c r="L202" s="25"/>
    </row>
    <row r="203">
      <c r="A203" s="665" t="s">
        <v>18209</v>
      </c>
      <c r="B203" s="45">
        <v>6675.0</v>
      </c>
      <c r="C203" s="663" t="s">
        <v>18123</v>
      </c>
      <c r="D203" s="179">
        <v>0.9</v>
      </c>
      <c r="E203" s="179">
        <v>0.9</v>
      </c>
      <c r="F203" s="37" t="s">
        <v>1656</v>
      </c>
      <c r="G203" s="45"/>
      <c r="H203" s="45"/>
      <c r="I203" s="45"/>
      <c r="J203" s="45"/>
      <c r="K203" s="101" t="s">
        <v>18267</v>
      </c>
      <c r="L203" s="25"/>
    </row>
    <row r="204">
      <c r="A204" s="665" t="s">
        <v>18210</v>
      </c>
      <c r="B204" s="37">
        <v>14575.0</v>
      </c>
      <c r="C204" s="663" t="s">
        <v>18123</v>
      </c>
      <c r="D204" s="179">
        <v>0.85</v>
      </c>
      <c r="E204" s="179">
        <v>0.85</v>
      </c>
      <c r="F204" s="37" t="s">
        <v>1656</v>
      </c>
      <c r="G204" s="45"/>
      <c r="H204" s="45"/>
      <c r="I204" s="45"/>
      <c r="J204" s="45"/>
      <c r="K204" s="101" t="s">
        <v>18268</v>
      </c>
      <c r="L204" s="136">
        <v>7137.0</v>
      </c>
    </row>
    <row r="205">
      <c r="A205" s="665" t="s">
        <v>18211</v>
      </c>
      <c r="B205" s="45"/>
      <c r="C205" s="663" t="s">
        <v>18123</v>
      </c>
      <c r="D205" s="664">
        <v>0.7</v>
      </c>
      <c r="E205" s="664">
        <v>0.7</v>
      </c>
      <c r="F205" s="37" t="s">
        <v>1656</v>
      </c>
      <c r="G205" s="45"/>
      <c r="H205" s="45"/>
      <c r="I205" s="45"/>
      <c r="J205" s="45"/>
      <c r="K205" s="101" t="s">
        <v>18269</v>
      </c>
      <c r="L205" s="25"/>
    </row>
    <row r="206">
      <c r="A206" s="665" t="s">
        <v>18212</v>
      </c>
      <c r="B206" s="45"/>
      <c r="C206" s="663" t="s">
        <v>18123</v>
      </c>
      <c r="D206" s="664">
        <v>0.7</v>
      </c>
      <c r="E206" s="664">
        <v>0.7</v>
      </c>
      <c r="F206" s="37" t="s">
        <v>1656</v>
      </c>
      <c r="G206" s="45"/>
      <c r="H206" s="45"/>
      <c r="I206" s="45"/>
      <c r="J206" s="45"/>
      <c r="K206" s="101" t="s">
        <v>18270</v>
      </c>
      <c r="L206" s="25"/>
    </row>
    <row r="207">
      <c r="A207" s="665" t="s">
        <v>18213</v>
      </c>
      <c r="B207" s="45"/>
      <c r="C207" s="663" t="s">
        <v>18123</v>
      </c>
      <c r="D207" s="664">
        <v>0.7</v>
      </c>
      <c r="E207" s="664">
        <v>0.7</v>
      </c>
      <c r="F207" s="37" t="s">
        <v>1656</v>
      </c>
      <c r="G207" s="45"/>
      <c r="H207" s="45"/>
      <c r="I207" s="45"/>
      <c r="J207" s="45"/>
      <c r="K207" s="101" t="s">
        <v>18271</v>
      </c>
      <c r="L207" s="25"/>
    </row>
    <row r="208">
      <c r="A208" s="665" t="s">
        <v>18214</v>
      </c>
      <c r="B208" s="45">
        <v>14076.0</v>
      </c>
      <c r="C208" s="663" t="s">
        <v>18123</v>
      </c>
      <c r="D208" s="664">
        <v>0.7</v>
      </c>
      <c r="E208" s="664">
        <v>0.7</v>
      </c>
      <c r="F208" s="37" t="s">
        <v>1656</v>
      </c>
      <c r="G208" s="45"/>
      <c r="H208" s="45"/>
      <c r="I208" s="45"/>
      <c r="J208" s="45"/>
      <c r="K208" s="101" t="s">
        <v>18272</v>
      </c>
      <c r="L208" s="25"/>
    </row>
    <row r="209">
      <c r="A209" s="665" t="s">
        <v>18215</v>
      </c>
      <c r="B209" s="45">
        <v>7132.0</v>
      </c>
      <c r="C209" s="663" t="s">
        <v>18123</v>
      </c>
      <c r="D209" s="664">
        <v>0.7</v>
      </c>
      <c r="E209" s="664">
        <v>0.7</v>
      </c>
      <c r="F209" s="37" t="s">
        <v>1656</v>
      </c>
      <c r="G209" s="45"/>
      <c r="H209" s="45"/>
      <c r="I209" s="45"/>
      <c r="J209" s="45"/>
      <c r="K209" s="101" t="s">
        <v>18273</v>
      </c>
      <c r="L209" s="25"/>
    </row>
    <row r="210">
      <c r="A210" s="665" t="s">
        <v>18216</v>
      </c>
      <c r="B210" s="45"/>
      <c r="C210" s="663" t="s">
        <v>18123</v>
      </c>
      <c r="D210" s="664">
        <v>0.7</v>
      </c>
      <c r="E210" s="664">
        <v>0.7</v>
      </c>
      <c r="F210" s="37" t="s">
        <v>1656</v>
      </c>
      <c r="G210" s="45"/>
      <c r="H210" s="45"/>
      <c r="I210" s="45"/>
      <c r="J210" s="45"/>
      <c r="K210" s="101" t="s">
        <v>18274</v>
      </c>
      <c r="L210" s="25"/>
    </row>
    <row r="211">
      <c r="A211" s="665" t="s">
        <v>18217</v>
      </c>
      <c r="B211" s="45"/>
      <c r="C211" s="663" t="s">
        <v>18123</v>
      </c>
      <c r="D211" s="664">
        <v>0.7</v>
      </c>
      <c r="E211" s="664">
        <v>0.7</v>
      </c>
      <c r="F211" s="37" t="s">
        <v>1656</v>
      </c>
      <c r="G211" s="45"/>
      <c r="H211" s="45"/>
      <c r="I211" s="45"/>
      <c r="J211" s="45"/>
      <c r="K211" s="101" t="s">
        <v>18275</v>
      </c>
      <c r="L211" s="25"/>
    </row>
    <row r="212">
      <c r="A212" s="665" t="s">
        <v>18218</v>
      </c>
      <c r="B212" s="45"/>
      <c r="C212" s="663" t="s">
        <v>18123</v>
      </c>
      <c r="D212" s="664">
        <v>0.7</v>
      </c>
      <c r="E212" s="664">
        <v>0.7</v>
      </c>
      <c r="F212" s="37" t="s">
        <v>1656</v>
      </c>
      <c r="G212" s="45"/>
      <c r="H212" s="45"/>
      <c r="I212" s="45"/>
      <c r="J212" s="45"/>
      <c r="K212" s="101" t="s">
        <v>18276</v>
      </c>
      <c r="L212" s="25"/>
    </row>
    <row r="213">
      <c r="A213" s="665" t="s">
        <v>18219</v>
      </c>
      <c r="B213" s="45"/>
      <c r="C213" s="663" t="s">
        <v>18123</v>
      </c>
      <c r="D213" s="664">
        <v>0.7</v>
      </c>
      <c r="E213" s="664">
        <v>0.7</v>
      </c>
      <c r="F213" s="37" t="s">
        <v>1656</v>
      </c>
      <c r="G213" s="45"/>
      <c r="H213" s="45"/>
      <c r="I213" s="45"/>
      <c r="J213" s="45"/>
      <c r="K213" s="101" t="s">
        <v>18277</v>
      </c>
      <c r="L213" s="25"/>
    </row>
    <row r="214">
      <c r="A214" s="665" t="s">
        <v>18220</v>
      </c>
      <c r="B214" s="45">
        <v>6669.0</v>
      </c>
      <c r="C214" s="663" t="s">
        <v>18123</v>
      </c>
      <c r="D214" s="664">
        <v>0.7</v>
      </c>
      <c r="E214" s="664">
        <v>0.7</v>
      </c>
      <c r="F214" s="37" t="s">
        <v>1656</v>
      </c>
      <c r="G214" s="45"/>
      <c r="H214" s="45"/>
      <c r="I214" s="45"/>
      <c r="J214" s="45"/>
      <c r="K214" s="101" t="s">
        <v>18278</v>
      </c>
      <c r="L214" s="25"/>
    </row>
    <row r="215">
      <c r="A215" s="665" t="s">
        <v>18221</v>
      </c>
      <c r="B215" s="45">
        <v>6669.0</v>
      </c>
      <c r="C215" s="663" t="s">
        <v>18123</v>
      </c>
      <c r="D215" s="664">
        <v>0.7</v>
      </c>
      <c r="E215" s="664">
        <v>0.7</v>
      </c>
      <c r="F215" s="37" t="s">
        <v>1656</v>
      </c>
      <c r="G215" s="45"/>
      <c r="H215" s="45"/>
      <c r="I215" s="45"/>
      <c r="J215" s="45"/>
      <c r="K215" s="101" t="s">
        <v>18279</v>
      </c>
      <c r="L215" s="25"/>
    </row>
    <row r="216">
      <c r="A216" s="665" t="s">
        <v>18222</v>
      </c>
      <c r="B216" s="45"/>
      <c r="C216" s="663" t="s">
        <v>18123</v>
      </c>
      <c r="D216" s="664">
        <v>0.7</v>
      </c>
      <c r="E216" s="664">
        <v>0.7</v>
      </c>
      <c r="F216" s="37" t="s">
        <v>1656</v>
      </c>
      <c r="G216" s="45"/>
      <c r="H216" s="45"/>
      <c r="I216" s="45"/>
      <c r="J216" s="45"/>
      <c r="K216" s="101" t="s">
        <v>18280</v>
      </c>
      <c r="L216" s="25"/>
    </row>
    <row r="217">
      <c r="A217" s="665" t="s">
        <v>18223</v>
      </c>
      <c r="B217" s="45"/>
      <c r="C217" s="663" t="s">
        <v>18123</v>
      </c>
      <c r="D217" s="664">
        <v>0.7</v>
      </c>
      <c r="E217" s="664">
        <v>0.7</v>
      </c>
      <c r="F217" s="37" t="s">
        <v>1656</v>
      </c>
      <c r="G217" s="45"/>
      <c r="H217" s="45"/>
      <c r="I217" s="45"/>
      <c r="J217" s="45"/>
      <c r="K217" s="101" t="s">
        <v>18281</v>
      </c>
      <c r="L217" s="25"/>
    </row>
    <row r="218">
      <c r="A218" s="665" t="s">
        <v>18224</v>
      </c>
      <c r="B218" s="45"/>
      <c r="C218" s="663" t="s">
        <v>18123</v>
      </c>
      <c r="D218" s="664">
        <v>0.7</v>
      </c>
      <c r="E218" s="664">
        <v>0.7</v>
      </c>
      <c r="F218" s="37" t="s">
        <v>1656</v>
      </c>
      <c r="G218" s="45"/>
      <c r="H218" s="45"/>
      <c r="I218" s="45"/>
      <c r="J218" s="45"/>
      <c r="K218" s="101" t="s">
        <v>18282</v>
      </c>
      <c r="L218" s="25"/>
    </row>
    <row r="219">
      <c r="A219" s="665" t="s">
        <v>18225</v>
      </c>
      <c r="B219" s="45"/>
      <c r="C219" s="663" t="s">
        <v>18123</v>
      </c>
      <c r="D219" s="664">
        <v>0.7</v>
      </c>
      <c r="E219" s="664">
        <v>0.7</v>
      </c>
      <c r="F219" s="37" t="s">
        <v>1656</v>
      </c>
      <c r="G219" s="45"/>
      <c r="H219" s="45"/>
      <c r="I219" s="45"/>
      <c r="J219" s="45"/>
      <c r="K219" s="101" t="s">
        <v>18283</v>
      </c>
      <c r="L219" s="25"/>
    </row>
    <row r="220">
      <c r="A220" s="665" t="s">
        <v>18226</v>
      </c>
      <c r="B220" s="45"/>
      <c r="C220" s="663" t="s">
        <v>18123</v>
      </c>
      <c r="D220" s="664">
        <v>0.7</v>
      </c>
      <c r="E220" s="664">
        <v>0.7</v>
      </c>
      <c r="F220" s="37" t="s">
        <v>1656</v>
      </c>
      <c r="G220" s="45"/>
      <c r="H220" s="45"/>
      <c r="I220" s="45"/>
      <c r="J220" s="45"/>
      <c r="K220" s="101" t="s">
        <v>18284</v>
      </c>
      <c r="L220" s="25"/>
    </row>
    <row r="221">
      <c r="A221" s="665" t="s">
        <v>18227</v>
      </c>
      <c r="B221" s="45">
        <v>663.0</v>
      </c>
      <c r="C221" s="663" t="s">
        <v>18123</v>
      </c>
      <c r="D221" s="664">
        <v>0.8</v>
      </c>
      <c r="E221" s="664">
        <v>0.8</v>
      </c>
      <c r="F221" s="37" t="s">
        <v>1656</v>
      </c>
      <c r="G221" s="45"/>
      <c r="H221" s="45"/>
      <c r="I221" s="45"/>
      <c r="J221" s="45"/>
      <c r="K221" s="101" t="s">
        <v>18285</v>
      </c>
      <c r="L221" s="25">
        <v>6875.0</v>
      </c>
    </row>
    <row r="222">
      <c r="A222" s="665" t="s">
        <v>18228</v>
      </c>
      <c r="B222" s="45">
        <v>14571.0</v>
      </c>
      <c r="C222" s="663" t="s">
        <v>18123</v>
      </c>
      <c r="D222" s="664">
        <v>0.7</v>
      </c>
      <c r="E222" s="664">
        <v>0.7</v>
      </c>
      <c r="F222" s="37" t="s">
        <v>1656</v>
      </c>
      <c r="G222" s="45"/>
      <c r="H222" s="45"/>
      <c r="I222" s="45"/>
      <c r="J222" s="45"/>
      <c r="K222" s="101" t="s">
        <v>18286</v>
      </c>
      <c r="L222" s="25"/>
    </row>
    <row r="223">
      <c r="A223" s="665" t="s">
        <v>18229</v>
      </c>
      <c r="B223" s="45">
        <v>14571.0</v>
      </c>
      <c r="C223" s="663" t="s">
        <v>18123</v>
      </c>
      <c r="D223" s="664">
        <v>0.7</v>
      </c>
      <c r="E223" s="664">
        <v>0.7</v>
      </c>
      <c r="F223" s="37" t="s">
        <v>1656</v>
      </c>
      <c r="G223" s="45"/>
      <c r="H223" s="45"/>
      <c r="I223" s="45"/>
      <c r="J223" s="45"/>
      <c r="K223" s="101" t="s">
        <v>18287</v>
      </c>
      <c r="L223" s="25"/>
    </row>
    <row r="224">
      <c r="A224" s="665" t="s">
        <v>18230</v>
      </c>
      <c r="B224" s="45"/>
      <c r="C224" s="663" t="s">
        <v>18123</v>
      </c>
      <c r="D224" s="664">
        <v>0.7</v>
      </c>
      <c r="E224" s="664">
        <v>0.7</v>
      </c>
      <c r="F224" s="37" t="s">
        <v>1656</v>
      </c>
      <c r="G224" s="45"/>
      <c r="H224" s="45"/>
      <c r="I224" s="45"/>
      <c r="J224" s="45"/>
      <c r="K224" s="101" t="s">
        <v>18288</v>
      </c>
      <c r="L224" s="25"/>
    </row>
    <row r="225">
      <c r="A225" s="665" t="s">
        <v>18231</v>
      </c>
      <c r="B225" s="45"/>
      <c r="C225" s="663" t="s">
        <v>18123</v>
      </c>
      <c r="D225" s="664">
        <v>0.7</v>
      </c>
      <c r="E225" s="664">
        <v>0.7</v>
      </c>
      <c r="F225" s="37" t="s">
        <v>1656</v>
      </c>
      <c r="G225" s="45"/>
      <c r="H225" s="45"/>
      <c r="I225" s="45"/>
      <c r="J225" s="45"/>
      <c r="K225" s="101" t="s">
        <v>18289</v>
      </c>
      <c r="L225" s="25">
        <v>6106.0</v>
      </c>
    </row>
    <row r="226">
      <c r="A226" s="665" t="s">
        <v>18232</v>
      </c>
      <c r="B226" s="45">
        <v>9701.0</v>
      </c>
      <c r="C226" s="663" t="s">
        <v>18123</v>
      </c>
      <c r="D226" s="664">
        <v>0.7</v>
      </c>
      <c r="E226" s="664">
        <v>0.7</v>
      </c>
      <c r="F226" s="37" t="s">
        <v>1656</v>
      </c>
      <c r="G226" s="45"/>
      <c r="H226" s="45"/>
      <c r="I226" s="45"/>
      <c r="J226" s="45"/>
      <c r="K226" s="101" t="s">
        <v>18290</v>
      </c>
      <c r="L226" s="57"/>
    </row>
    <row r="227">
      <c r="A227" s="665" t="s">
        <v>18233</v>
      </c>
      <c r="B227" s="45"/>
      <c r="C227" s="663" t="s">
        <v>18123</v>
      </c>
      <c r="D227" s="664">
        <v>0.7</v>
      </c>
      <c r="E227" s="664">
        <v>0.7</v>
      </c>
      <c r="F227" s="37" t="s">
        <v>1656</v>
      </c>
      <c r="G227" s="45"/>
      <c r="H227" s="45"/>
      <c r="I227" s="45"/>
      <c r="J227" s="45"/>
      <c r="K227" s="101" t="s">
        <v>18291</v>
      </c>
      <c r="L227" s="25"/>
    </row>
    <row r="228">
      <c r="A228" s="665" t="s">
        <v>18234</v>
      </c>
      <c r="B228" s="45"/>
      <c r="C228" s="663" t="s">
        <v>18123</v>
      </c>
      <c r="D228" s="664">
        <v>0.7</v>
      </c>
      <c r="E228" s="664">
        <v>0.7</v>
      </c>
      <c r="F228" s="37" t="s">
        <v>1656</v>
      </c>
      <c r="G228" s="45"/>
      <c r="H228" s="45"/>
      <c r="I228" s="45"/>
      <c r="J228" s="45"/>
      <c r="K228" s="101" t="s">
        <v>18292</v>
      </c>
      <c r="L228" s="25">
        <v>7157.0</v>
      </c>
    </row>
    <row r="229">
      <c r="A229" s="665" t="s">
        <v>18235</v>
      </c>
      <c r="B229" s="45">
        <v>7100.0</v>
      </c>
      <c r="C229" s="663" t="s">
        <v>18123</v>
      </c>
      <c r="D229" s="664">
        <v>0.7</v>
      </c>
      <c r="E229" s="664">
        <v>0.7</v>
      </c>
      <c r="F229" s="37" t="s">
        <v>1656</v>
      </c>
      <c r="G229" s="45"/>
      <c r="H229" s="45"/>
      <c r="I229" s="45"/>
      <c r="J229" s="45"/>
      <c r="K229" s="101" t="s">
        <v>18293</v>
      </c>
      <c r="L229" s="25"/>
    </row>
    <row r="230">
      <c r="A230" s="665" t="s">
        <v>18236</v>
      </c>
      <c r="B230" s="45"/>
      <c r="C230" s="663" t="s">
        <v>18123</v>
      </c>
      <c r="D230" s="664">
        <v>0.7</v>
      </c>
      <c r="E230" s="664">
        <v>0.7</v>
      </c>
      <c r="F230" s="37" t="s">
        <v>1656</v>
      </c>
      <c r="G230" s="45"/>
      <c r="H230" s="45"/>
      <c r="I230" s="45"/>
      <c r="J230" s="45"/>
      <c r="K230" s="101" t="s">
        <v>18294</v>
      </c>
      <c r="L230" s="25"/>
    </row>
    <row r="231">
      <c r="A231" s="665" t="s">
        <v>18237</v>
      </c>
      <c r="B231" s="45"/>
      <c r="C231" s="663" t="s">
        <v>18123</v>
      </c>
      <c r="D231" s="664">
        <v>0.7</v>
      </c>
      <c r="E231" s="664">
        <v>0.7</v>
      </c>
      <c r="F231" s="37" t="s">
        <v>1656</v>
      </c>
      <c r="G231" s="45"/>
      <c r="H231" s="45"/>
      <c r="I231" s="45"/>
      <c r="J231" s="45"/>
      <c r="K231" s="101" t="s">
        <v>18295</v>
      </c>
      <c r="L231" s="25">
        <v>14482.0</v>
      </c>
    </row>
    <row r="232">
      <c r="A232" s="665" t="s">
        <v>18238</v>
      </c>
      <c r="B232" s="45">
        <v>7100.0</v>
      </c>
      <c r="C232" s="663" t="s">
        <v>18123</v>
      </c>
      <c r="D232" s="664">
        <v>0.7</v>
      </c>
      <c r="E232" s="664">
        <v>0.7</v>
      </c>
      <c r="F232" s="37" t="s">
        <v>1656</v>
      </c>
      <c r="G232" s="45"/>
      <c r="H232" s="45"/>
      <c r="I232" s="45"/>
      <c r="J232" s="45"/>
      <c r="K232" s="101" t="s">
        <v>18296</v>
      </c>
      <c r="L232" s="57"/>
    </row>
    <row r="233">
      <c r="A233" s="665" t="s">
        <v>18239</v>
      </c>
      <c r="B233" s="45"/>
      <c r="C233" s="663" t="s">
        <v>18123</v>
      </c>
      <c r="D233" s="664">
        <v>0.7</v>
      </c>
      <c r="E233" s="664">
        <v>0.7</v>
      </c>
      <c r="F233" s="37" t="s">
        <v>1656</v>
      </c>
      <c r="G233" s="45"/>
      <c r="H233" s="45"/>
      <c r="I233" s="45"/>
      <c r="J233" s="45"/>
      <c r="K233" s="101" t="s">
        <v>18297</v>
      </c>
      <c r="L233" s="25">
        <v>14482.0</v>
      </c>
    </row>
    <row r="234">
      <c r="A234" s="665" t="s">
        <v>18240</v>
      </c>
      <c r="B234" s="45"/>
      <c r="C234" s="663" t="s">
        <v>18123</v>
      </c>
      <c r="D234" s="664">
        <v>0.7</v>
      </c>
      <c r="E234" s="664">
        <v>0.7</v>
      </c>
      <c r="F234" s="37" t="s">
        <v>1656</v>
      </c>
      <c r="G234" s="45"/>
      <c r="H234" s="45"/>
      <c r="I234" s="45"/>
      <c r="J234" s="45"/>
      <c r="K234" s="101" t="s">
        <v>18298</v>
      </c>
      <c r="L234" s="25">
        <v>14482.0</v>
      </c>
    </row>
    <row r="235">
      <c r="A235" s="665" t="s">
        <v>18241</v>
      </c>
      <c r="B235" s="45"/>
      <c r="C235" s="663" t="s">
        <v>18123</v>
      </c>
      <c r="D235" s="664">
        <v>0.7</v>
      </c>
      <c r="E235" s="664">
        <v>0.7</v>
      </c>
      <c r="F235" s="37" t="s">
        <v>1656</v>
      </c>
      <c r="G235" s="45"/>
      <c r="H235" s="45"/>
      <c r="I235" s="45"/>
      <c r="J235" s="45"/>
      <c r="K235" s="101" t="s">
        <v>18299</v>
      </c>
      <c r="L235" s="25"/>
    </row>
    <row r="236">
      <c r="A236" s="665" t="s">
        <v>18242</v>
      </c>
      <c r="B236" s="45"/>
      <c r="C236" s="663" t="s">
        <v>18123</v>
      </c>
      <c r="D236" s="664">
        <v>0.7</v>
      </c>
      <c r="E236" s="664">
        <v>0.7</v>
      </c>
      <c r="F236" s="37" t="s">
        <v>1656</v>
      </c>
      <c r="G236" s="45"/>
      <c r="H236" s="45"/>
      <c r="I236" s="45"/>
      <c r="J236" s="45"/>
      <c r="K236" s="101" t="s">
        <v>18300</v>
      </c>
      <c r="L236" s="25">
        <v>11708.0</v>
      </c>
    </row>
    <row r="237">
      <c r="A237" s="665" t="s">
        <v>18243</v>
      </c>
      <c r="B237" s="45">
        <v>7031.0</v>
      </c>
      <c r="C237" s="663" t="s">
        <v>18123</v>
      </c>
      <c r="D237" s="664">
        <v>0.7</v>
      </c>
      <c r="E237" s="664">
        <v>0.7</v>
      </c>
      <c r="F237" s="37" t="s">
        <v>1656</v>
      </c>
      <c r="G237" s="45"/>
      <c r="H237" s="45"/>
      <c r="I237" s="45"/>
      <c r="J237" s="45"/>
      <c r="K237" s="101" t="s">
        <v>18301</v>
      </c>
      <c r="L237" s="25"/>
    </row>
    <row r="238">
      <c r="A238" s="665" t="s">
        <v>18244</v>
      </c>
      <c r="B238" s="45"/>
      <c r="C238" s="663" t="s">
        <v>18123</v>
      </c>
      <c r="D238" s="664">
        <v>0.7</v>
      </c>
      <c r="E238" s="664">
        <v>0.7</v>
      </c>
      <c r="F238" s="37" t="s">
        <v>1656</v>
      </c>
      <c r="G238" s="45"/>
      <c r="H238" s="45"/>
      <c r="I238" s="45"/>
      <c r="J238" s="45"/>
      <c r="K238" s="101" t="s">
        <v>18302</v>
      </c>
      <c r="L238" s="25"/>
    </row>
    <row r="239">
      <c r="A239" s="665" t="s">
        <v>18245</v>
      </c>
      <c r="B239" s="45"/>
      <c r="C239" s="663" t="s">
        <v>18123</v>
      </c>
      <c r="D239" s="664">
        <v>0.7</v>
      </c>
      <c r="E239" s="664">
        <v>0.7</v>
      </c>
      <c r="F239" s="37" t="s">
        <v>1656</v>
      </c>
      <c r="G239" s="45"/>
      <c r="H239" s="45"/>
      <c r="I239" s="45"/>
      <c r="J239" s="45"/>
      <c r="K239" s="25" t="s">
        <v>12251</v>
      </c>
      <c r="L239" s="25">
        <v>6924.0</v>
      </c>
    </row>
    <row r="240">
      <c r="A240" s="665" t="s">
        <v>18246</v>
      </c>
      <c r="B240" s="45"/>
      <c r="C240" s="663" t="s">
        <v>18123</v>
      </c>
      <c r="D240" s="664">
        <v>0.7</v>
      </c>
      <c r="E240" s="664">
        <v>0.7</v>
      </c>
      <c r="F240" s="37" t="s">
        <v>1656</v>
      </c>
      <c r="G240" s="45"/>
      <c r="H240" s="45"/>
      <c r="I240" s="45"/>
      <c r="J240" s="45"/>
      <c r="K240" s="25" t="s">
        <v>12173</v>
      </c>
      <c r="L240" s="25">
        <v>6924.0</v>
      </c>
    </row>
    <row r="241">
      <c r="A241" s="665" t="s">
        <v>18247</v>
      </c>
      <c r="B241" s="45">
        <v>1.0</v>
      </c>
      <c r="C241" s="663" t="s">
        <v>18123</v>
      </c>
      <c r="D241" s="664">
        <v>0.7</v>
      </c>
      <c r="E241" s="664">
        <v>0.7</v>
      </c>
      <c r="F241" s="37" t="s">
        <v>1656</v>
      </c>
      <c r="G241" s="45"/>
      <c r="H241" s="45"/>
      <c r="I241" s="45"/>
      <c r="J241" s="45"/>
      <c r="K241" s="25" t="s">
        <v>18303</v>
      </c>
      <c r="L241" s="25">
        <v>5389.0</v>
      </c>
    </row>
    <row r="242">
      <c r="A242" s="665" t="s">
        <v>18248</v>
      </c>
      <c r="B242" s="45">
        <v>9307.0</v>
      </c>
      <c r="C242" s="663" t="s">
        <v>18123</v>
      </c>
      <c r="D242" s="664">
        <v>0.7</v>
      </c>
      <c r="E242" s="664">
        <v>0.7</v>
      </c>
      <c r="F242" s="37" t="s">
        <v>1656</v>
      </c>
      <c r="G242" s="45"/>
      <c r="H242" s="45"/>
      <c r="I242" s="45"/>
      <c r="J242" s="45"/>
      <c r="K242" s="25" t="s">
        <v>18304</v>
      </c>
      <c r="L242" s="25">
        <v>8486.0</v>
      </c>
    </row>
    <row r="243">
      <c r="A243" s="665" t="s">
        <v>18249</v>
      </c>
      <c r="B243" s="45"/>
      <c r="C243" s="663" t="s">
        <v>18123</v>
      </c>
      <c r="D243" s="664">
        <v>0.7</v>
      </c>
      <c r="E243" s="664">
        <v>0.7</v>
      </c>
      <c r="F243" s="37" t="s">
        <v>1656</v>
      </c>
      <c r="G243" s="45"/>
      <c r="H243" s="45"/>
      <c r="I243" s="45"/>
      <c r="J243" s="45"/>
      <c r="K243" s="25" t="s">
        <v>18305</v>
      </c>
      <c r="L243" s="25">
        <v>6729.0</v>
      </c>
    </row>
    <row r="244">
      <c r="A244" s="665" t="s">
        <v>18250</v>
      </c>
      <c r="B244" s="45">
        <v>6989.0</v>
      </c>
      <c r="C244" s="663" t="s">
        <v>18123</v>
      </c>
      <c r="D244" s="664">
        <v>0.7</v>
      </c>
      <c r="E244" s="664">
        <v>0.7</v>
      </c>
      <c r="F244" s="37" t="s">
        <v>1656</v>
      </c>
      <c r="G244" s="45"/>
      <c r="H244" s="45"/>
      <c r="I244" s="45"/>
      <c r="J244" s="45"/>
      <c r="K244" s="25" t="s">
        <v>18306</v>
      </c>
      <c r="L244" s="25">
        <v>8486.0</v>
      </c>
    </row>
    <row r="245">
      <c r="A245" s="665" t="s">
        <v>18251</v>
      </c>
      <c r="B245" s="45"/>
      <c r="C245" s="663" t="s">
        <v>18123</v>
      </c>
      <c r="D245" s="664">
        <v>0.7</v>
      </c>
      <c r="E245" s="664">
        <v>0.7</v>
      </c>
      <c r="F245" s="37" t="s">
        <v>1656</v>
      </c>
      <c r="G245" s="45"/>
      <c r="H245" s="45"/>
      <c r="I245" s="45"/>
      <c r="J245" s="45"/>
      <c r="K245" s="25" t="s">
        <v>18307</v>
      </c>
      <c r="L245" s="25">
        <v>283.0</v>
      </c>
    </row>
    <row r="246">
      <c r="A246" s="665" t="s">
        <v>18252</v>
      </c>
      <c r="B246" s="45">
        <v>6736.0</v>
      </c>
      <c r="C246" s="663" t="s">
        <v>18123</v>
      </c>
      <c r="D246" s="664">
        <v>0.7</v>
      </c>
      <c r="E246" s="664">
        <v>0.7</v>
      </c>
      <c r="F246" s="37" t="s">
        <v>1656</v>
      </c>
      <c r="G246" s="45"/>
      <c r="H246" s="45"/>
      <c r="I246" s="45"/>
      <c r="J246" s="45"/>
      <c r="K246" s="25" t="s">
        <v>18308</v>
      </c>
      <c r="L246" s="25">
        <v>283.0</v>
      </c>
    </row>
    <row r="247">
      <c r="A247" s="665" t="s">
        <v>18253</v>
      </c>
      <c r="B247" s="45"/>
      <c r="C247" s="663" t="s">
        <v>18123</v>
      </c>
      <c r="D247" s="664">
        <v>0.7</v>
      </c>
      <c r="E247" s="664">
        <v>0.7</v>
      </c>
      <c r="F247" s="37" t="s">
        <v>1656</v>
      </c>
      <c r="G247" s="45"/>
      <c r="H247" s="45"/>
      <c r="I247" s="45"/>
      <c r="J247" s="45"/>
      <c r="K247" s="25" t="s">
        <v>18309</v>
      </c>
      <c r="L247" s="25">
        <v>283.0</v>
      </c>
    </row>
    <row r="248">
      <c r="A248" s="665" t="s">
        <v>18254</v>
      </c>
      <c r="B248" s="45"/>
      <c r="C248" s="663" t="s">
        <v>18123</v>
      </c>
      <c r="D248" s="664">
        <v>0.7</v>
      </c>
      <c r="E248" s="664">
        <v>0.7</v>
      </c>
      <c r="F248" s="37" t="s">
        <v>1656</v>
      </c>
      <c r="G248" s="45"/>
      <c r="H248" s="45"/>
      <c r="I248" s="45"/>
      <c r="J248" s="45"/>
      <c r="K248" s="25" t="s">
        <v>18310</v>
      </c>
      <c r="L248" s="25">
        <v>7083.0</v>
      </c>
    </row>
    <row r="249">
      <c r="A249" s="665" t="s">
        <v>18255</v>
      </c>
      <c r="B249" s="45"/>
      <c r="C249" s="663" t="s">
        <v>18123</v>
      </c>
      <c r="D249" s="664">
        <v>0.7</v>
      </c>
      <c r="E249" s="664">
        <v>0.7</v>
      </c>
      <c r="F249" s="37" t="s">
        <v>1656</v>
      </c>
      <c r="G249" s="45"/>
      <c r="H249" s="45"/>
      <c r="I249" s="45"/>
      <c r="J249" s="45"/>
      <c r="K249" s="25" t="s">
        <v>18311</v>
      </c>
      <c r="L249" s="25">
        <v>13829.0</v>
      </c>
    </row>
    <row r="250">
      <c r="A250" s="665" t="s">
        <v>18256</v>
      </c>
      <c r="B250" s="45"/>
      <c r="C250" s="663" t="s">
        <v>18123</v>
      </c>
      <c r="D250" s="664">
        <v>0.7</v>
      </c>
      <c r="E250" s="664">
        <v>0.7</v>
      </c>
      <c r="F250" s="37" t="s">
        <v>1656</v>
      </c>
      <c r="G250" s="45"/>
      <c r="H250" s="45"/>
      <c r="I250" s="45"/>
      <c r="J250" s="45"/>
      <c r="K250" s="25" t="s">
        <v>18312</v>
      </c>
      <c r="L250" s="25">
        <v>6924.0</v>
      </c>
    </row>
    <row r="251">
      <c r="A251" s="665" t="s">
        <v>18257</v>
      </c>
      <c r="B251" s="45"/>
      <c r="C251" s="663" t="s">
        <v>18123</v>
      </c>
      <c r="D251" s="664">
        <v>0.7</v>
      </c>
      <c r="E251" s="664">
        <v>0.7</v>
      </c>
      <c r="F251" s="37" t="s">
        <v>1656</v>
      </c>
      <c r="G251" s="45"/>
      <c r="H251" s="45"/>
      <c r="I251" s="45"/>
      <c r="J251" s="45"/>
      <c r="K251" s="25" t="s">
        <v>18313</v>
      </c>
      <c r="L251" s="25">
        <v>467.0</v>
      </c>
    </row>
    <row r="252">
      <c r="A252" s="665" t="s">
        <v>18258</v>
      </c>
      <c r="B252" s="45">
        <v>12932.0</v>
      </c>
      <c r="C252" s="663" t="s">
        <v>18123</v>
      </c>
      <c r="D252" s="664">
        <v>0.7</v>
      </c>
      <c r="E252" s="664">
        <v>0.7</v>
      </c>
      <c r="F252" s="37" t="s">
        <v>1656</v>
      </c>
      <c r="G252" s="45"/>
      <c r="H252" s="45"/>
      <c r="I252" s="45"/>
      <c r="J252" s="45"/>
      <c r="K252" s="25" t="s">
        <v>18314</v>
      </c>
      <c r="L252" s="25"/>
    </row>
    <row r="253">
      <c r="A253" s="665" t="s">
        <v>18259</v>
      </c>
      <c r="B253" s="45">
        <v>7083.0</v>
      </c>
      <c r="C253" s="663" t="s">
        <v>18123</v>
      </c>
      <c r="D253" s="664">
        <v>0.8</v>
      </c>
      <c r="E253" s="664">
        <v>0.8</v>
      </c>
      <c r="F253" s="37" t="s">
        <v>1656</v>
      </c>
      <c r="G253" s="45"/>
      <c r="H253" s="45"/>
      <c r="I253" s="45"/>
      <c r="J253" s="45"/>
      <c r="K253" s="25" t="s">
        <v>18315</v>
      </c>
      <c r="L253" s="25">
        <v>489.0</v>
      </c>
    </row>
    <row r="254">
      <c r="A254" s="665" t="s">
        <v>18260</v>
      </c>
      <c r="B254" s="45"/>
      <c r="C254" s="663" t="s">
        <v>18123</v>
      </c>
      <c r="D254" s="664">
        <v>0.7</v>
      </c>
      <c r="E254" s="664">
        <v>0.7</v>
      </c>
      <c r="F254" s="37" t="s">
        <v>1656</v>
      </c>
      <c r="G254" s="45"/>
      <c r="H254" s="45"/>
      <c r="I254" s="45"/>
      <c r="J254" s="45"/>
      <c r="K254" s="25" t="s">
        <v>18316</v>
      </c>
      <c r="L254" s="25"/>
    </row>
    <row r="255">
      <c r="A255" s="665" t="s">
        <v>18261</v>
      </c>
      <c r="B255" s="45"/>
      <c r="C255" s="663" t="s">
        <v>18123</v>
      </c>
      <c r="D255" s="664">
        <v>0.7</v>
      </c>
      <c r="E255" s="664">
        <v>0.7</v>
      </c>
      <c r="F255" s="37" t="s">
        <v>1656</v>
      </c>
      <c r="G255" s="45"/>
      <c r="H255" s="45"/>
      <c r="I255" s="45"/>
      <c r="J255" s="45"/>
      <c r="K255" s="25" t="s">
        <v>18317</v>
      </c>
      <c r="L255" s="25"/>
    </row>
    <row r="256">
      <c r="A256" s="665" t="s">
        <v>18262</v>
      </c>
      <c r="B256" s="45"/>
      <c r="C256" s="663" t="s">
        <v>18123</v>
      </c>
      <c r="D256" s="664">
        <v>0.7</v>
      </c>
      <c r="E256" s="664">
        <v>0.7</v>
      </c>
      <c r="F256" s="37" t="s">
        <v>1656</v>
      </c>
      <c r="G256" s="45"/>
      <c r="H256" s="45"/>
      <c r="I256" s="45"/>
      <c r="J256" s="45"/>
      <c r="K256" s="25" t="s">
        <v>18318</v>
      </c>
      <c r="L256" s="25">
        <v>11049.0</v>
      </c>
    </row>
    <row r="257">
      <c r="A257" s="665" t="s">
        <v>18263</v>
      </c>
      <c r="B257" s="45"/>
      <c r="C257" s="663" t="s">
        <v>18123</v>
      </c>
      <c r="D257" s="664">
        <v>0.7</v>
      </c>
      <c r="E257" s="664">
        <v>0.7</v>
      </c>
      <c r="F257" s="37" t="s">
        <v>1656</v>
      </c>
      <c r="G257" s="45"/>
      <c r="H257" s="45"/>
      <c r="I257" s="45"/>
      <c r="J257" s="45"/>
      <c r="K257" s="25" t="s">
        <v>18319</v>
      </c>
      <c r="L257" s="25">
        <v>11049.0</v>
      </c>
    </row>
    <row r="258">
      <c r="A258" s="665" t="s">
        <v>18264</v>
      </c>
      <c r="B258" s="45"/>
      <c r="C258" s="663" t="s">
        <v>18123</v>
      </c>
      <c r="D258" s="664">
        <v>0.7</v>
      </c>
      <c r="E258" s="664">
        <v>0.7</v>
      </c>
      <c r="F258" s="37" t="s">
        <v>1656</v>
      </c>
      <c r="G258" s="45"/>
      <c r="H258" s="45"/>
      <c r="I258" s="45"/>
      <c r="J258" s="45"/>
      <c r="K258" s="25" t="s">
        <v>18320</v>
      </c>
      <c r="L258" s="25">
        <v>13204.0</v>
      </c>
    </row>
    <row r="259">
      <c r="A259" s="665" t="s">
        <v>18265</v>
      </c>
      <c r="B259" s="45"/>
      <c r="C259" s="663" t="s">
        <v>18123</v>
      </c>
      <c r="D259" s="664">
        <v>0.7</v>
      </c>
      <c r="E259" s="664">
        <v>0.7</v>
      </c>
      <c r="F259" s="37" t="s">
        <v>1656</v>
      </c>
      <c r="G259" s="45"/>
      <c r="H259" s="45"/>
      <c r="I259" s="45"/>
      <c r="J259" s="45"/>
      <c r="K259" s="25" t="s">
        <v>18321</v>
      </c>
      <c r="L259" s="25"/>
    </row>
    <row r="260">
      <c r="A260" s="665" t="s">
        <v>18266</v>
      </c>
      <c r="B260" s="45"/>
      <c r="C260" s="663" t="s">
        <v>18123</v>
      </c>
      <c r="D260" s="664">
        <v>0.7</v>
      </c>
      <c r="E260" s="664">
        <v>0.7</v>
      </c>
      <c r="F260" s="37" t="s">
        <v>1656</v>
      </c>
      <c r="G260" s="45"/>
      <c r="H260" s="45"/>
      <c r="I260" s="45"/>
      <c r="J260" s="45"/>
      <c r="K260" s="25" t="s">
        <v>18322</v>
      </c>
      <c r="L260" s="25">
        <v>13951.0</v>
      </c>
    </row>
    <row r="261">
      <c r="A261" s="665" t="s">
        <v>18267</v>
      </c>
      <c r="B261" s="45"/>
      <c r="C261" s="663" t="s">
        <v>18123</v>
      </c>
      <c r="D261" s="664">
        <v>0.7</v>
      </c>
      <c r="E261" s="664">
        <v>0.7</v>
      </c>
      <c r="F261" s="37" t="s">
        <v>1656</v>
      </c>
      <c r="G261" s="45"/>
      <c r="H261" s="45"/>
      <c r="I261" s="45"/>
      <c r="J261" s="45"/>
      <c r="K261" s="25" t="s">
        <v>18323</v>
      </c>
      <c r="L261" s="25">
        <v>11049.0</v>
      </c>
    </row>
    <row r="262">
      <c r="A262" s="665" t="s">
        <v>18268</v>
      </c>
      <c r="B262" s="45">
        <v>7137.0</v>
      </c>
      <c r="C262" s="663" t="s">
        <v>18123</v>
      </c>
      <c r="D262" s="664">
        <v>0.7</v>
      </c>
      <c r="E262" s="664">
        <v>0.7</v>
      </c>
      <c r="F262" s="37" t="s">
        <v>1656</v>
      </c>
      <c r="G262" s="45"/>
      <c r="H262" s="45"/>
      <c r="I262" s="45"/>
      <c r="J262" s="45"/>
      <c r="K262" s="25" t="s">
        <v>18324</v>
      </c>
      <c r="L262" s="25">
        <v>11049.0</v>
      </c>
    </row>
    <row r="263">
      <c r="A263" s="665" t="s">
        <v>18269</v>
      </c>
      <c r="B263" s="45"/>
      <c r="C263" s="663" t="s">
        <v>18123</v>
      </c>
      <c r="D263" s="664">
        <v>0.7</v>
      </c>
      <c r="E263" s="664">
        <v>0.7</v>
      </c>
      <c r="F263" s="37" t="s">
        <v>1656</v>
      </c>
      <c r="G263" s="45"/>
      <c r="H263" s="45"/>
      <c r="I263" s="45"/>
      <c r="J263" s="45"/>
      <c r="K263" s="25" t="s">
        <v>18325</v>
      </c>
      <c r="L263" s="25">
        <v>7083.0</v>
      </c>
    </row>
    <row r="264">
      <c r="A264" s="665" t="s">
        <v>18270</v>
      </c>
      <c r="B264" s="45"/>
      <c r="C264" s="663" t="s">
        <v>18123</v>
      </c>
      <c r="D264" s="664">
        <v>0.7</v>
      </c>
      <c r="E264" s="664">
        <v>0.7</v>
      </c>
      <c r="F264" s="37" t="s">
        <v>1656</v>
      </c>
      <c r="G264" s="45"/>
      <c r="H264" s="45"/>
      <c r="I264" s="45"/>
      <c r="J264" s="45"/>
      <c r="K264" s="25" t="s">
        <v>18326</v>
      </c>
      <c r="L264" s="25"/>
    </row>
    <row r="265">
      <c r="A265" s="665" t="s">
        <v>18271</v>
      </c>
      <c r="B265" s="45"/>
      <c r="C265" s="663" t="s">
        <v>18123</v>
      </c>
      <c r="D265" s="664">
        <v>0.7</v>
      </c>
      <c r="E265" s="664">
        <v>0.7</v>
      </c>
      <c r="F265" s="37" t="s">
        <v>1656</v>
      </c>
      <c r="G265" s="45"/>
      <c r="H265" s="45"/>
      <c r="I265" s="45"/>
      <c r="J265" s="45"/>
      <c r="K265" s="25" t="s">
        <v>18327</v>
      </c>
      <c r="L265" s="25">
        <v>11049.0</v>
      </c>
    </row>
    <row r="266">
      <c r="A266" s="665" t="s">
        <v>18272</v>
      </c>
      <c r="B266" s="45"/>
      <c r="C266" s="663" t="s">
        <v>18123</v>
      </c>
      <c r="D266" s="664">
        <v>0.7</v>
      </c>
      <c r="E266" s="664">
        <v>0.7</v>
      </c>
      <c r="F266" s="37" t="s">
        <v>1656</v>
      </c>
      <c r="G266" s="45"/>
      <c r="H266" s="45"/>
      <c r="I266" s="45"/>
      <c r="J266" s="45"/>
      <c r="K266" s="25" t="s">
        <v>18328</v>
      </c>
      <c r="L266" s="25">
        <v>6706.0</v>
      </c>
    </row>
    <row r="267">
      <c r="A267" s="665" t="s">
        <v>18273</v>
      </c>
      <c r="B267" s="45"/>
      <c r="C267" s="663" t="s">
        <v>18123</v>
      </c>
      <c r="D267" s="664">
        <v>0.7</v>
      </c>
      <c r="E267" s="664">
        <v>0.7</v>
      </c>
      <c r="F267" s="37" t="s">
        <v>1656</v>
      </c>
      <c r="G267" s="45"/>
      <c r="H267" s="45"/>
      <c r="I267" s="45"/>
      <c r="J267" s="45"/>
      <c r="K267" s="25" t="s">
        <v>18329</v>
      </c>
      <c r="L267" s="25">
        <v>663.0</v>
      </c>
    </row>
    <row r="268">
      <c r="A268" s="665" t="s">
        <v>18274</v>
      </c>
      <c r="B268" s="45"/>
      <c r="C268" s="663" t="s">
        <v>18123</v>
      </c>
      <c r="D268" s="664">
        <v>0.7</v>
      </c>
      <c r="E268" s="664">
        <v>0.7</v>
      </c>
      <c r="F268" s="37" t="s">
        <v>1656</v>
      </c>
      <c r="G268" s="45"/>
      <c r="H268" s="45"/>
      <c r="I268" s="45"/>
      <c r="J268" s="45"/>
      <c r="K268" s="25" t="s">
        <v>18330</v>
      </c>
      <c r="L268" s="25">
        <v>6706.0</v>
      </c>
    </row>
    <row r="269">
      <c r="A269" s="665" t="s">
        <v>18275</v>
      </c>
      <c r="B269" s="45"/>
      <c r="C269" s="663" t="s">
        <v>18123</v>
      </c>
      <c r="D269" s="664">
        <v>0.7</v>
      </c>
      <c r="E269" s="664">
        <v>0.7</v>
      </c>
      <c r="F269" s="37" t="s">
        <v>1656</v>
      </c>
      <c r="G269" s="45"/>
      <c r="H269" s="45"/>
      <c r="I269" s="45"/>
      <c r="J269" s="45"/>
      <c r="K269" s="25" t="s">
        <v>18331</v>
      </c>
      <c r="L269" s="25">
        <v>6706.0</v>
      </c>
    </row>
    <row r="270">
      <c r="A270" s="665" t="s">
        <v>18276</v>
      </c>
      <c r="B270" s="45"/>
      <c r="C270" s="663" t="s">
        <v>18123</v>
      </c>
      <c r="D270" s="664">
        <v>0.7</v>
      </c>
      <c r="E270" s="664">
        <v>0.7</v>
      </c>
      <c r="F270" s="37" t="s">
        <v>1656</v>
      </c>
      <c r="G270" s="45"/>
      <c r="H270" s="45"/>
      <c r="I270" s="45"/>
      <c r="J270" s="45"/>
      <c r="K270" s="25" t="s">
        <v>18332</v>
      </c>
      <c r="L270" s="25">
        <v>6706.0</v>
      </c>
    </row>
    <row r="271">
      <c r="A271" s="665" t="s">
        <v>18277</v>
      </c>
      <c r="B271" s="45"/>
      <c r="C271" s="663" t="s">
        <v>18123</v>
      </c>
      <c r="D271" s="664">
        <v>0.7</v>
      </c>
      <c r="E271" s="664">
        <v>0.7</v>
      </c>
      <c r="F271" s="37" t="s">
        <v>1656</v>
      </c>
      <c r="G271" s="45"/>
      <c r="H271" s="45"/>
      <c r="I271" s="45"/>
      <c r="J271" s="45"/>
      <c r="K271" s="25" t="s">
        <v>18333</v>
      </c>
      <c r="L271" s="25">
        <v>6706.0</v>
      </c>
    </row>
    <row r="272">
      <c r="A272" s="665" t="s">
        <v>18278</v>
      </c>
      <c r="B272" s="45"/>
      <c r="C272" s="663" t="s">
        <v>18123</v>
      </c>
      <c r="D272" s="664">
        <v>0.7</v>
      </c>
      <c r="E272" s="664">
        <v>0.7</v>
      </c>
      <c r="F272" s="37" t="s">
        <v>1656</v>
      </c>
      <c r="G272" s="45"/>
      <c r="H272" s="45"/>
      <c r="I272" s="45"/>
      <c r="J272" s="45"/>
      <c r="K272" s="25" t="s">
        <v>18334</v>
      </c>
      <c r="L272" s="25">
        <v>6706.0</v>
      </c>
    </row>
    <row r="273">
      <c r="A273" s="665" t="s">
        <v>18279</v>
      </c>
      <c r="B273" s="45"/>
      <c r="C273" s="663" t="s">
        <v>18123</v>
      </c>
      <c r="D273" s="664">
        <v>0.7</v>
      </c>
      <c r="E273" s="664">
        <v>0.7</v>
      </c>
      <c r="F273" s="37" t="s">
        <v>1656</v>
      </c>
      <c r="G273" s="45"/>
      <c r="H273" s="45"/>
      <c r="I273" s="45"/>
      <c r="J273" s="45"/>
      <c r="K273" s="25" t="s">
        <v>18335</v>
      </c>
      <c r="L273" s="25">
        <v>7083.0</v>
      </c>
    </row>
    <row r="274">
      <c r="A274" s="665" t="s">
        <v>18280</v>
      </c>
      <c r="B274" s="37">
        <v>14465.0</v>
      </c>
      <c r="C274" s="663" t="s">
        <v>18123</v>
      </c>
      <c r="D274" s="179">
        <v>0.95</v>
      </c>
      <c r="E274" s="179">
        <v>0.95</v>
      </c>
      <c r="F274" s="37" t="s">
        <v>1656</v>
      </c>
      <c r="G274" s="45"/>
      <c r="H274" s="45"/>
      <c r="I274" s="45"/>
      <c r="J274" s="45"/>
      <c r="K274" s="25" t="s">
        <v>18336</v>
      </c>
      <c r="L274" s="25"/>
    </row>
    <row r="275">
      <c r="A275" s="665" t="s">
        <v>18281</v>
      </c>
      <c r="B275" s="37">
        <v>14465.0</v>
      </c>
      <c r="C275" s="663" t="s">
        <v>18123</v>
      </c>
      <c r="D275" s="179">
        <v>0.95</v>
      </c>
      <c r="E275" s="179">
        <v>0.95</v>
      </c>
      <c r="F275" s="37" t="s">
        <v>1656</v>
      </c>
      <c r="G275" s="45"/>
      <c r="H275" s="45"/>
      <c r="I275" s="45"/>
      <c r="J275" s="45"/>
      <c r="K275" s="25" t="s">
        <v>18337</v>
      </c>
      <c r="L275" s="25">
        <v>14529.0</v>
      </c>
    </row>
    <row r="276">
      <c r="A276" s="665" t="s">
        <v>18282</v>
      </c>
      <c r="B276" s="45"/>
      <c r="C276" s="663" t="s">
        <v>18123</v>
      </c>
      <c r="D276" s="664">
        <v>0.7</v>
      </c>
      <c r="E276" s="664">
        <v>0.7</v>
      </c>
      <c r="F276" s="37" t="s">
        <v>1656</v>
      </c>
      <c r="G276" s="45"/>
      <c r="H276" s="45"/>
      <c r="I276" s="45"/>
      <c r="J276" s="45"/>
      <c r="K276" s="25" t="s">
        <v>18338</v>
      </c>
      <c r="L276" s="25">
        <v>6133.0</v>
      </c>
    </row>
    <row r="277">
      <c r="A277" s="665" t="s">
        <v>18283</v>
      </c>
      <c r="B277" s="45"/>
      <c r="C277" s="663" t="s">
        <v>18123</v>
      </c>
      <c r="D277" s="664">
        <v>0.7</v>
      </c>
      <c r="E277" s="664">
        <v>0.7</v>
      </c>
      <c r="F277" s="37" t="s">
        <v>1656</v>
      </c>
      <c r="G277" s="45"/>
      <c r="H277" s="45"/>
      <c r="I277" s="45"/>
      <c r="J277" s="45"/>
      <c r="K277" s="25" t="s">
        <v>18339</v>
      </c>
      <c r="L277" s="25">
        <v>9307.0</v>
      </c>
    </row>
    <row r="278">
      <c r="A278" s="665" t="s">
        <v>18284</v>
      </c>
      <c r="B278" s="45"/>
      <c r="C278" s="663" t="s">
        <v>18123</v>
      </c>
      <c r="D278" s="664">
        <v>0.7</v>
      </c>
      <c r="E278" s="664">
        <v>0.7</v>
      </c>
      <c r="F278" s="37" t="s">
        <v>1656</v>
      </c>
      <c r="G278" s="45"/>
      <c r="H278" s="45"/>
      <c r="I278" s="45"/>
      <c r="J278" s="45"/>
      <c r="K278" s="25" t="s">
        <v>18340</v>
      </c>
      <c r="L278" s="25">
        <v>6706.0</v>
      </c>
    </row>
    <row r="279">
      <c r="A279" s="665" t="s">
        <v>18285</v>
      </c>
      <c r="B279" s="45">
        <v>6875.0</v>
      </c>
      <c r="C279" s="663" t="s">
        <v>18123</v>
      </c>
      <c r="D279" s="664">
        <v>0.7</v>
      </c>
      <c r="E279" s="664">
        <v>0.7</v>
      </c>
      <c r="F279" s="37" t="s">
        <v>1656</v>
      </c>
      <c r="G279" s="45"/>
      <c r="H279" s="45"/>
      <c r="I279" s="45"/>
      <c r="J279" s="45"/>
      <c r="K279" s="25" t="s">
        <v>18341</v>
      </c>
      <c r="L279" s="78"/>
    </row>
    <row r="280">
      <c r="A280" s="665" t="s">
        <v>18286</v>
      </c>
      <c r="B280" s="45"/>
      <c r="C280" s="663" t="s">
        <v>18123</v>
      </c>
      <c r="D280" s="664">
        <v>0.7</v>
      </c>
      <c r="E280" s="664">
        <v>0.7</v>
      </c>
      <c r="F280" s="37" t="s">
        <v>1656</v>
      </c>
      <c r="G280" s="45"/>
      <c r="H280" s="45"/>
      <c r="I280" s="45"/>
      <c r="J280" s="45"/>
      <c r="K280" s="25" t="s">
        <v>18342</v>
      </c>
      <c r="L280" s="25"/>
    </row>
    <row r="281">
      <c r="A281" s="665" t="s">
        <v>18287</v>
      </c>
      <c r="B281" s="45"/>
      <c r="C281" s="663" t="s">
        <v>18123</v>
      </c>
      <c r="D281" s="664">
        <v>0.7</v>
      </c>
      <c r="E281" s="664">
        <v>0.7</v>
      </c>
      <c r="F281" s="37" t="s">
        <v>1656</v>
      </c>
      <c r="G281" s="45"/>
      <c r="H281" s="45"/>
      <c r="I281" s="45"/>
      <c r="J281" s="45"/>
      <c r="K281" s="25" t="s">
        <v>18343</v>
      </c>
      <c r="L281" s="78"/>
    </row>
    <row r="282">
      <c r="A282" s="665" t="s">
        <v>18288</v>
      </c>
      <c r="B282" s="45"/>
      <c r="C282" s="663" t="s">
        <v>18123</v>
      </c>
      <c r="D282" s="664">
        <v>0.7</v>
      </c>
      <c r="E282" s="664">
        <v>0.7</v>
      </c>
      <c r="F282" s="37" t="s">
        <v>1656</v>
      </c>
      <c r="G282" s="45"/>
      <c r="H282" s="45"/>
      <c r="I282" s="45"/>
      <c r="J282" s="45"/>
      <c r="K282" s="25" t="s">
        <v>18344</v>
      </c>
      <c r="L282" s="25">
        <v>6947.0</v>
      </c>
    </row>
    <row r="283">
      <c r="A283" s="665" t="s">
        <v>18289</v>
      </c>
      <c r="B283" s="45">
        <v>6106.0</v>
      </c>
      <c r="C283" s="663" t="s">
        <v>18123</v>
      </c>
      <c r="D283" s="664">
        <v>0.7</v>
      </c>
      <c r="E283" s="664">
        <v>0.7</v>
      </c>
      <c r="F283" s="37" t="s">
        <v>1656</v>
      </c>
      <c r="G283" s="45"/>
      <c r="H283" s="45"/>
      <c r="I283" s="45"/>
      <c r="J283" s="45"/>
      <c r="K283" s="25" t="s">
        <v>18012</v>
      </c>
      <c r="L283" s="25">
        <v>7083.0</v>
      </c>
    </row>
    <row r="284">
      <c r="A284" s="665" t="s">
        <v>18290</v>
      </c>
      <c r="B284" s="45"/>
      <c r="C284" s="663" t="s">
        <v>18123</v>
      </c>
      <c r="D284" s="664">
        <v>0.7</v>
      </c>
      <c r="E284" s="664">
        <v>0.7</v>
      </c>
      <c r="F284" s="37" t="s">
        <v>1656</v>
      </c>
      <c r="G284" s="45"/>
      <c r="H284" s="45"/>
      <c r="I284" s="45"/>
      <c r="J284" s="45"/>
      <c r="K284" s="25" t="s">
        <v>18015</v>
      </c>
      <c r="L284" s="25">
        <v>14248.0</v>
      </c>
    </row>
    <row r="285">
      <c r="A285" s="665" t="s">
        <v>18291</v>
      </c>
      <c r="B285" s="45"/>
      <c r="C285" s="663" t="s">
        <v>18123</v>
      </c>
      <c r="D285" s="664">
        <v>0.7</v>
      </c>
      <c r="E285" s="664">
        <v>0.7</v>
      </c>
      <c r="F285" s="37" t="s">
        <v>1656</v>
      </c>
      <c r="G285" s="45"/>
      <c r="H285" s="45"/>
      <c r="I285" s="45"/>
      <c r="J285" s="45"/>
      <c r="K285" s="25" t="s">
        <v>18017</v>
      </c>
      <c r="L285" s="78"/>
    </row>
    <row r="286">
      <c r="A286" s="665" t="s">
        <v>18292</v>
      </c>
      <c r="B286" s="45">
        <v>7157.0</v>
      </c>
      <c r="C286" s="663" t="s">
        <v>18123</v>
      </c>
      <c r="D286" s="664">
        <v>0.7</v>
      </c>
      <c r="E286" s="664">
        <v>0.7</v>
      </c>
      <c r="F286" s="37" t="s">
        <v>1656</v>
      </c>
      <c r="G286" s="45"/>
      <c r="H286" s="45"/>
      <c r="I286" s="45"/>
      <c r="J286" s="45"/>
      <c r="K286" s="25" t="s">
        <v>18019</v>
      </c>
      <c r="L286" s="25"/>
    </row>
    <row r="287">
      <c r="A287" s="665" t="s">
        <v>18293</v>
      </c>
      <c r="B287" s="45"/>
      <c r="C287" s="663" t="s">
        <v>18123</v>
      </c>
      <c r="D287" s="664">
        <v>0.7</v>
      </c>
      <c r="E287" s="664">
        <v>0.7</v>
      </c>
      <c r="F287" s="37" t="s">
        <v>1656</v>
      </c>
      <c r="G287" s="45"/>
      <c r="H287" s="45"/>
      <c r="I287" s="45"/>
      <c r="J287" s="45"/>
      <c r="K287" s="25" t="s">
        <v>18021</v>
      </c>
      <c r="L287" s="78"/>
    </row>
    <row r="288">
      <c r="A288" s="665" t="s">
        <v>18294</v>
      </c>
      <c r="B288" s="45"/>
      <c r="C288" s="663" t="s">
        <v>18123</v>
      </c>
      <c r="D288" s="664">
        <v>0.7</v>
      </c>
      <c r="E288" s="664">
        <v>0.7</v>
      </c>
      <c r="F288" s="37" t="s">
        <v>1656</v>
      </c>
      <c r="G288" s="45"/>
      <c r="H288" s="45"/>
      <c r="I288" s="45"/>
      <c r="J288" s="45"/>
      <c r="K288" s="25" t="s">
        <v>18023</v>
      </c>
      <c r="L288" s="25">
        <v>2095.0</v>
      </c>
    </row>
    <row r="289">
      <c r="A289" s="665" t="s">
        <v>18295</v>
      </c>
      <c r="B289" s="45">
        <v>14482.0</v>
      </c>
      <c r="C289" s="663" t="s">
        <v>18123</v>
      </c>
      <c r="D289" s="664">
        <v>0.7</v>
      </c>
      <c r="E289" s="664">
        <v>0.7</v>
      </c>
      <c r="F289" s="37" t="s">
        <v>1656</v>
      </c>
      <c r="G289" s="45"/>
      <c r="H289" s="45"/>
      <c r="I289" s="45"/>
      <c r="J289" s="45"/>
      <c r="K289" s="25" t="s">
        <v>18025</v>
      </c>
      <c r="L289" s="25">
        <v>2095.0</v>
      </c>
    </row>
    <row r="290">
      <c r="A290" s="665" t="s">
        <v>18345</v>
      </c>
      <c r="B290" s="45">
        <v>8576.0</v>
      </c>
      <c r="C290" s="663" t="s">
        <v>18123</v>
      </c>
      <c r="D290" s="664">
        <v>0.7</v>
      </c>
      <c r="E290" s="664">
        <v>0.7</v>
      </c>
      <c r="F290" s="37" t="s">
        <v>1656</v>
      </c>
      <c r="G290" s="45"/>
      <c r="H290" s="45"/>
      <c r="I290" s="45"/>
      <c r="J290" s="45"/>
      <c r="K290" s="25" t="s">
        <v>18027</v>
      </c>
      <c r="L290" s="25"/>
    </row>
    <row r="291">
      <c r="A291" s="665" t="s">
        <v>18346</v>
      </c>
      <c r="B291" s="45">
        <v>9030.0</v>
      </c>
      <c r="C291" s="663" t="s">
        <v>18123</v>
      </c>
      <c r="D291" s="664">
        <v>0.7</v>
      </c>
      <c r="E291" s="664">
        <v>0.7</v>
      </c>
      <c r="F291" s="37" t="s">
        <v>1656</v>
      </c>
      <c r="G291" s="45"/>
      <c r="H291" s="45"/>
      <c r="I291" s="45"/>
      <c r="J291" s="45"/>
      <c r="K291" s="25" t="s">
        <v>18029</v>
      </c>
      <c r="L291" s="25"/>
    </row>
    <row r="292">
      <c r="A292" s="665" t="s">
        <v>18347</v>
      </c>
      <c r="B292" s="45">
        <v>10368.0</v>
      </c>
      <c r="C292" s="663" t="s">
        <v>18123</v>
      </c>
      <c r="D292" s="664">
        <v>0.7</v>
      </c>
      <c r="E292" s="664">
        <v>0.7</v>
      </c>
      <c r="F292" s="37" t="s">
        <v>1656</v>
      </c>
      <c r="G292" s="45"/>
      <c r="H292" s="45"/>
      <c r="I292" s="45"/>
      <c r="J292" s="45"/>
      <c r="K292" s="25" t="s">
        <v>18031</v>
      </c>
      <c r="L292" s="78"/>
    </row>
    <row r="293">
      <c r="A293" s="665" t="s">
        <v>18348</v>
      </c>
      <c r="B293" s="45">
        <v>10861.0</v>
      </c>
      <c r="C293" s="663" t="s">
        <v>18123</v>
      </c>
      <c r="D293" s="664">
        <v>0.7</v>
      </c>
      <c r="E293" s="664">
        <v>0.7</v>
      </c>
      <c r="F293" s="37" t="s">
        <v>1656</v>
      </c>
      <c r="G293" s="45"/>
      <c r="H293" s="45"/>
      <c r="I293" s="45"/>
      <c r="J293" s="45"/>
      <c r="K293" s="25" t="s">
        <v>18033</v>
      </c>
      <c r="L293" s="25">
        <v>11708.0</v>
      </c>
    </row>
    <row r="294">
      <c r="A294" s="665" t="s">
        <v>18349</v>
      </c>
      <c r="B294" s="45">
        <v>11105.0</v>
      </c>
      <c r="C294" s="663" t="s">
        <v>18123</v>
      </c>
      <c r="D294" s="664">
        <v>0.7</v>
      </c>
      <c r="E294" s="664">
        <v>0.7</v>
      </c>
      <c r="F294" s="37" t="s">
        <v>1656</v>
      </c>
      <c r="G294" s="45"/>
      <c r="H294" s="45"/>
      <c r="I294" s="45"/>
      <c r="J294" s="45"/>
      <c r="K294" s="25" t="s">
        <v>18035</v>
      </c>
      <c r="L294" s="78"/>
    </row>
    <row r="295">
      <c r="A295" s="665" t="s">
        <v>18350</v>
      </c>
      <c r="B295" s="45">
        <v>12163.0</v>
      </c>
      <c r="C295" s="663" t="s">
        <v>18123</v>
      </c>
      <c r="D295" s="664">
        <v>0.7</v>
      </c>
      <c r="E295" s="664">
        <v>0.7</v>
      </c>
      <c r="F295" s="37" t="s">
        <v>1656</v>
      </c>
      <c r="G295" s="45"/>
      <c r="H295" s="45"/>
      <c r="I295" s="45"/>
      <c r="J295" s="45"/>
      <c r="K295" s="25" t="s">
        <v>18037</v>
      </c>
      <c r="L295" s="136">
        <v>14417.0</v>
      </c>
    </row>
    <row r="296">
      <c r="A296" s="665" t="s">
        <v>18351</v>
      </c>
      <c r="B296" s="45"/>
      <c r="C296" s="663" t="s">
        <v>18123</v>
      </c>
      <c r="D296" s="664">
        <v>0.7</v>
      </c>
      <c r="E296" s="664">
        <v>0.7</v>
      </c>
      <c r="F296" s="37" t="s">
        <v>1656</v>
      </c>
      <c r="G296" s="45"/>
      <c r="H296" s="45"/>
      <c r="I296" s="45"/>
      <c r="J296" s="45"/>
      <c r="K296" s="25" t="s">
        <v>18039</v>
      </c>
      <c r="L296" s="25">
        <v>6947.0</v>
      </c>
    </row>
    <row r="297">
      <c r="A297" s="665" t="s">
        <v>18352</v>
      </c>
      <c r="B297" s="45">
        <v>8623.0</v>
      </c>
      <c r="C297" s="663" t="s">
        <v>18123</v>
      </c>
      <c r="D297" s="179">
        <v>0.88</v>
      </c>
      <c r="E297" s="179">
        <v>0.88</v>
      </c>
      <c r="F297" s="37" t="s">
        <v>1656</v>
      </c>
      <c r="G297" s="45"/>
      <c r="H297" s="45"/>
      <c r="I297" s="45"/>
      <c r="J297" s="45"/>
      <c r="K297" s="25" t="s">
        <v>18041</v>
      </c>
      <c r="L297" s="78"/>
    </row>
    <row r="298">
      <c r="A298" s="665" t="s">
        <v>18353</v>
      </c>
      <c r="B298" s="45">
        <v>12277.0</v>
      </c>
      <c r="C298" s="663" t="s">
        <v>18123</v>
      </c>
      <c r="D298" s="664">
        <v>0.7</v>
      </c>
      <c r="E298" s="664">
        <v>0.7</v>
      </c>
      <c r="F298" s="37" t="s">
        <v>1656</v>
      </c>
      <c r="G298" s="45"/>
      <c r="H298" s="45"/>
      <c r="I298" s="45"/>
      <c r="J298" s="45"/>
      <c r="K298" s="25" t="s">
        <v>18043</v>
      </c>
      <c r="L298" s="25"/>
    </row>
    <row r="299">
      <c r="A299" s="665" t="s">
        <v>18354</v>
      </c>
      <c r="B299" s="45">
        <v>9768.0</v>
      </c>
      <c r="C299" s="663" t="s">
        <v>18123</v>
      </c>
      <c r="D299" s="664">
        <v>0.7</v>
      </c>
      <c r="E299" s="664">
        <v>0.7</v>
      </c>
      <c r="F299" s="37" t="s">
        <v>1656</v>
      </c>
      <c r="G299" s="45"/>
      <c r="H299" s="45"/>
      <c r="I299" s="45"/>
      <c r="J299" s="45"/>
      <c r="K299" s="25" t="s">
        <v>18045</v>
      </c>
      <c r="L299" s="25">
        <v>14020.0</v>
      </c>
    </row>
    <row r="300">
      <c r="A300" s="665" t="s">
        <v>18355</v>
      </c>
      <c r="B300" s="45">
        <v>12572.0</v>
      </c>
      <c r="C300" s="663" t="s">
        <v>18123</v>
      </c>
      <c r="D300" s="664">
        <v>0.7</v>
      </c>
      <c r="E300" s="664">
        <v>0.7</v>
      </c>
      <c r="F300" s="37" t="s">
        <v>1656</v>
      </c>
      <c r="G300" s="45"/>
      <c r="H300" s="45"/>
      <c r="I300" s="45"/>
      <c r="J300" s="45"/>
      <c r="K300" s="25" t="s">
        <v>18047</v>
      </c>
      <c r="L300" s="78"/>
    </row>
    <row r="301">
      <c r="A301" s="665" t="s">
        <v>18356</v>
      </c>
      <c r="B301" s="45"/>
      <c r="C301" s="663" t="s">
        <v>18123</v>
      </c>
      <c r="D301" s="664">
        <v>0.7</v>
      </c>
      <c r="E301" s="664">
        <v>0.7</v>
      </c>
      <c r="F301" s="37" t="s">
        <v>1656</v>
      </c>
      <c r="G301" s="45"/>
      <c r="H301" s="45"/>
      <c r="I301" s="45"/>
      <c r="J301" s="45"/>
      <c r="K301" s="25" t="s">
        <v>18049</v>
      </c>
      <c r="L301" s="78"/>
    </row>
    <row r="302">
      <c r="A302" s="665" t="s">
        <v>18357</v>
      </c>
      <c r="B302" s="45">
        <v>12391.0</v>
      </c>
      <c r="C302" s="663" t="s">
        <v>18123</v>
      </c>
      <c r="D302" s="664">
        <v>0.7</v>
      </c>
      <c r="E302" s="664">
        <v>0.7</v>
      </c>
      <c r="F302" s="37" t="s">
        <v>1656</v>
      </c>
      <c r="G302" s="45"/>
      <c r="H302" s="45"/>
      <c r="I302" s="45"/>
      <c r="J302" s="45"/>
      <c r="K302" s="25" t="s">
        <v>18051</v>
      </c>
      <c r="L302" s="78"/>
    </row>
    <row r="303">
      <c r="A303" s="665" t="s">
        <v>18296</v>
      </c>
      <c r="B303" s="45"/>
      <c r="C303" s="663" t="s">
        <v>18123</v>
      </c>
      <c r="D303" s="664">
        <v>0.7</v>
      </c>
      <c r="E303" s="664">
        <v>0.7</v>
      </c>
      <c r="F303" s="37" t="s">
        <v>1656</v>
      </c>
      <c r="G303" s="45"/>
      <c r="H303" s="45"/>
      <c r="I303" s="45"/>
      <c r="J303" s="45"/>
      <c r="K303" s="25" t="s">
        <v>18053</v>
      </c>
      <c r="L303" s="25">
        <v>5389.0</v>
      </c>
    </row>
    <row r="304">
      <c r="A304" s="665" t="s">
        <v>18297</v>
      </c>
      <c r="B304" s="45">
        <v>14482.0</v>
      </c>
      <c r="C304" s="663" t="s">
        <v>18123</v>
      </c>
      <c r="D304" s="664">
        <v>0.7</v>
      </c>
      <c r="E304" s="664">
        <v>0.7</v>
      </c>
      <c r="F304" s="37" t="s">
        <v>1656</v>
      </c>
      <c r="G304" s="45"/>
      <c r="H304" s="45"/>
      <c r="I304" s="45"/>
      <c r="J304" s="45"/>
      <c r="K304" s="25" t="s">
        <v>18055</v>
      </c>
      <c r="L304" s="25">
        <v>7847.0</v>
      </c>
    </row>
    <row r="305">
      <c r="A305" s="665" t="s">
        <v>18298</v>
      </c>
      <c r="B305" s="45">
        <v>14482.0</v>
      </c>
      <c r="C305" s="663" t="s">
        <v>18123</v>
      </c>
      <c r="D305" s="664">
        <v>0.7</v>
      </c>
      <c r="E305" s="664">
        <v>0.7</v>
      </c>
      <c r="F305" s="37" t="s">
        <v>1656</v>
      </c>
      <c r="G305" s="45"/>
      <c r="H305" s="45"/>
      <c r="I305" s="45"/>
      <c r="J305" s="45"/>
      <c r="K305" s="25" t="s">
        <v>18057</v>
      </c>
      <c r="L305" s="25">
        <v>6873.0</v>
      </c>
    </row>
    <row r="306">
      <c r="A306" s="665" t="s">
        <v>18299</v>
      </c>
      <c r="B306" s="45"/>
      <c r="C306" s="663" t="s">
        <v>18123</v>
      </c>
      <c r="D306" s="664">
        <v>0.7</v>
      </c>
      <c r="E306" s="664">
        <v>0.7</v>
      </c>
      <c r="F306" s="37" t="s">
        <v>1656</v>
      </c>
      <c r="G306" s="45"/>
      <c r="H306" s="45"/>
      <c r="I306" s="45"/>
      <c r="J306" s="45"/>
      <c r="K306" s="25" t="s">
        <v>18059</v>
      </c>
      <c r="L306" s="78"/>
    </row>
    <row r="307">
      <c r="A307" s="665" t="s">
        <v>18300</v>
      </c>
      <c r="B307" s="45">
        <v>11708.0</v>
      </c>
      <c r="C307" s="663" t="s">
        <v>18123</v>
      </c>
      <c r="D307" s="664">
        <v>0.7</v>
      </c>
      <c r="E307" s="664">
        <v>0.7</v>
      </c>
      <c r="F307" s="37" t="s">
        <v>1656</v>
      </c>
      <c r="G307" s="45"/>
      <c r="H307" s="45"/>
      <c r="I307" s="45"/>
      <c r="J307" s="45"/>
      <c r="K307" s="25" t="s">
        <v>18061</v>
      </c>
      <c r="L307" s="25"/>
    </row>
    <row r="308">
      <c r="A308" s="665" t="s">
        <v>18301</v>
      </c>
      <c r="B308" s="37">
        <v>14607.0</v>
      </c>
      <c r="C308" s="663" t="s">
        <v>18123</v>
      </c>
      <c r="D308" s="664">
        <v>0.7</v>
      </c>
      <c r="E308" s="664">
        <v>0.7</v>
      </c>
      <c r="F308" s="37" t="s">
        <v>1656</v>
      </c>
      <c r="G308" s="45"/>
      <c r="H308" s="45"/>
      <c r="I308" s="45"/>
      <c r="J308" s="45"/>
      <c r="K308" s="25" t="s">
        <v>18063</v>
      </c>
      <c r="L308" s="25"/>
    </row>
    <row r="309">
      <c r="A309" s="665" t="s">
        <v>18302</v>
      </c>
      <c r="B309" s="37">
        <v>14607.0</v>
      </c>
      <c r="C309" s="663" t="s">
        <v>18123</v>
      </c>
      <c r="D309" s="664">
        <v>0.7</v>
      </c>
      <c r="E309" s="664">
        <v>0.7</v>
      </c>
      <c r="F309" s="37" t="s">
        <v>1656</v>
      </c>
      <c r="G309" s="45"/>
      <c r="H309" s="45"/>
      <c r="I309" s="45"/>
      <c r="J309" s="45"/>
      <c r="K309" s="25" t="s">
        <v>18065</v>
      </c>
      <c r="L309" s="25"/>
    </row>
    <row r="310">
      <c r="A310" s="665" t="s">
        <v>12251</v>
      </c>
      <c r="B310" s="45">
        <v>6924.0</v>
      </c>
      <c r="C310" s="663" t="s">
        <v>18123</v>
      </c>
      <c r="D310" s="664">
        <v>0.7</v>
      </c>
      <c r="E310" s="664">
        <v>0.7</v>
      </c>
      <c r="F310" s="37" t="s">
        <v>1656</v>
      </c>
      <c r="G310" s="45"/>
      <c r="H310" s="45"/>
      <c r="I310" s="45"/>
      <c r="J310" s="45"/>
      <c r="K310" s="25" t="s">
        <v>18067</v>
      </c>
      <c r="L310" s="25">
        <v>7157.0</v>
      </c>
    </row>
    <row r="311">
      <c r="A311" s="665" t="s">
        <v>12173</v>
      </c>
      <c r="B311" s="45">
        <v>6924.0</v>
      </c>
      <c r="C311" s="663" t="s">
        <v>18123</v>
      </c>
      <c r="D311" s="664">
        <v>0.7</v>
      </c>
      <c r="E311" s="664">
        <v>0.7</v>
      </c>
      <c r="F311" s="37" t="s">
        <v>1656</v>
      </c>
      <c r="G311" s="45"/>
      <c r="H311" s="45"/>
      <c r="I311" s="45"/>
      <c r="J311" s="45"/>
      <c r="K311" s="25" t="s">
        <v>18069</v>
      </c>
      <c r="L311" s="25"/>
    </row>
    <row r="312">
      <c r="A312" s="665" t="s">
        <v>18303</v>
      </c>
      <c r="B312" s="45">
        <v>5389.0</v>
      </c>
      <c r="C312" s="663" t="s">
        <v>18123</v>
      </c>
      <c r="D312" s="664">
        <v>0.7</v>
      </c>
      <c r="E312" s="664">
        <v>0.7</v>
      </c>
      <c r="F312" s="37" t="s">
        <v>1656</v>
      </c>
      <c r="G312" s="45"/>
      <c r="H312" s="45"/>
      <c r="I312" s="45"/>
      <c r="J312" s="45"/>
      <c r="K312" s="25" t="s">
        <v>18071</v>
      </c>
      <c r="L312" s="25"/>
    </row>
    <row r="313">
      <c r="A313" s="665" t="s">
        <v>18304</v>
      </c>
      <c r="B313" s="45">
        <v>8486.0</v>
      </c>
      <c r="C313" s="663" t="s">
        <v>18123</v>
      </c>
      <c r="D313" s="664">
        <v>0.7</v>
      </c>
      <c r="E313" s="664">
        <v>0.7</v>
      </c>
      <c r="F313" s="37" t="s">
        <v>1656</v>
      </c>
      <c r="G313" s="45"/>
      <c r="H313" s="45"/>
      <c r="I313" s="45"/>
      <c r="J313" s="45"/>
      <c r="K313" s="25" t="s">
        <v>18073</v>
      </c>
      <c r="L313" s="25">
        <v>7149.0</v>
      </c>
    </row>
    <row r="314">
      <c r="A314" s="665" t="s">
        <v>18305</v>
      </c>
      <c r="B314" s="45">
        <v>6729.0</v>
      </c>
      <c r="C314" s="663" t="s">
        <v>18123</v>
      </c>
      <c r="D314" s="664">
        <v>0.7</v>
      </c>
      <c r="E314" s="664">
        <v>0.7</v>
      </c>
      <c r="F314" s="37" t="s">
        <v>1656</v>
      </c>
      <c r="G314" s="45"/>
      <c r="H314" s="45"/>
      <c r="I314" s="45"/>
      <c r="J314" s="45"/>
      <c r="K314" s="25" t="s">
        <v>18075</v>
      </c>
      <c r="L314" s="25"/>
    </row>
    <row r="315">
      <c r="A315" s="665" t="s">
        <v>18306</v>
      </c>
      <c r="B315" s="45">
        <v>8486.0</v>
      </c>
      <c r="C315" s="663" t="s">
        <v>18123</v>
      </c>
      <c r="D315" s="664">
        <v>0.7</v>
      </c>
      <c r="E315" s="664">
        <v>0.7</v>
      </c>
      <c r="F315" s="37" t="s">
        <v>1656</v>
      </c>
      <c r="G315" s="45"/>
      <c r="H315" s="45"/>
      <c r="I315" s="45"/>
      <c r="J315" s="45"/>
      <c r="K315" s="25" t="s">
        <v>18077</v>
      </c>
      <c r="L315" s="25"/>
    </row>
    <row r="316">
      <c r="A316" s="665" t="s">
        <v>18307</v>
      </c>
      <c r="B316" s="45">
        <v>283.0</v>
      </c>
      <c r="C316" s="663" t="s">
        <v>18123</v>
      </c>
      <c r="D316" s="664">
        <v>0.7</v>
      </c>
      <c r="E316" s="664">
        <v>0.7</v>
      </c>
      <c r="F316" s="37" t="s">
        <v>1656</v>
      </c>
      <c r="G316" s="45"/>
      <c r="H316" s="45"/>
      <c r="I316" s="45"/>
      <c r="J316" s="45"/>
      <c r="K316" s="25" t="s">
        <v>18079</v>
      </c>
      <c r="L316" s="25"/>
    </row>
    <row r="317">
      <c r="A317" s="665" t="s">
        <v>18308</v>
      </c>
      <c r="B317" s="45">
        <v>283.0</v>
      </c>
      <c r="C317" s="663" t="s">
        <v>18123</v>
      </c>
      <c r="D317" s="664">
        <v>0.7</v>
      </c>
      <c r="E317" s="664">
        <v>0.7</v>
      </c>
      <c r="F317" s="37" t="s">
        <v>1656</v>
      </c>
      <c r="G317" s="45"/>
      <c r="H317" s="45"/>
      <c r="I317" s="45"/>
      <c r="J317" s="45"/>
      <c r="K317" s="25" t="s">
        <v>18081</v>
      </c>
      <c r="L317" s="25"/>
    </row>
    <row r="318">
      <c r="A318" s="665" t="s">
        <v>18309</v>
      </c>
      <c r="B318" s="45">
        <v>283.0</v>
      </c>
      <c r="C318" s="663" t="s">
        <v>18123</v>
      </c>
      <c r="D318" s="664">
        <v>0.7</v>
      </c>
      <c r="E318" s="664">
        <v>0.7</v>
      </c>
      <c r="F318" s="37" t="s">
        <v>1656</v>
      </c>
      <c r="G318" s="45"/>
      <c r="H318" s="45"/>
      <c r="I318" s="45"/>
      <c r="J318" s="45"/>
      <c r="K318" s="25" t="s">
        <v>18083</v>
      </c>
      <c r="L318" s="25">
        <v>14659.0</v>
      </c>
    </row>
    <row r="319">
      <c r="A319" s="665" t="s">
        <v>18310</v>
      </c>
      <c r="B319" s="45">
        <v>7083.0</v>
      </c>
      <c r="C319" s="663" t="s">
        <v>18123</v>
      </c>
      <c r="D319" s="664">
        <v>0.8</v>
      </c>
      <c r="E319" s="664">
        <v>0.8</v>
      </c>
      <c r="F319" s="37" t="s">
        <v>1656</v>
      </c>
      <c r="G319" s="45"/>
      <c r="H319" s="45"/>
      <c r="I319" s="45"/>
      <c r="J319" s="45"/>
      <c r="K319" s="25" t="s">
        <v>18085</v>
      </c>
      <c r="L319" s="25">
        <v>6668.0</v>
      </c>
    </row>
    <row r="320">
      <c r="A320" s="665" t="s">
        <v>18311</v>
      </c>
      <c r="B320" s="45">
        <v>13829.0</v>
      </c>
      <c r="C320" s="663" t="s">
        <v>18123</v>
      </c>
      <c r="D320" s="664">
        <v>0.7</v>
      </c>
      <c r="E320" s="664">
        <v>0.7</v>
      </c>
      <c r="F320" s="37" t="s">
        <v>1656</v>
      </c>
      <c r="G320" s="45"/>
      <c r="H320" s="45"/>
      <c r="I320" s="45"/>
      <c r="J320" s="45"/>
      <c r="K320" s="25" t="s">
        <v>18087</v>
      </c>
      <c r="L320" s="25">
        <v>6668.0</v>
      </c>
    </row>
    <row r="321">
      <c r="A321" s="665" t="s">
        <v>18312</v>
      </c>
      <c r="B321" s="45">
        <v>6924.0</v>
      </c>
      <c r="C321" s="663" t="s">
        <v>18123</v>
      </c>
      <c r="D321" s="664">
        <v>0.7</v>
      </c>
      <c r="E321" s="664">
        <v>0.7</v>
      </c>
      <c r="F321" s="37" t="s">
        <v>1656</v>
      </c>
      <c r="G321" s="45"/>
      <c r="H321" s="45"/>
      <c r="I321" s="45"/>
      <c r="J321" s="45"/>
      <c r="K321" s="25" t="s">
        <v>18089</v>
      </c>
      <c r="L321" s="25">
        <v>6924.0</v>
      </c>
    </row>
    <row r="322">
      <c r="A322" s="665" t="s">
        <v>18313</v>
      </c>
      <c r="B322" s="45">
        <v>467.0</v>
      </c>
      <c r="C322" s="663" t="s">
        <v>18123</v>
      </c>
      <c r="D322" s="664">
        <v>0.7</v>
      </c>
      <c r="E322" s="664">
        <v>0.7</v>
      </c>
      <c r="F322" s="37" t="s">
        <v>1656</v>
      </c>
      <c r="G322" s="45"/>
      <c r="H322" s="45"/>
      <c r="I322" s="45"/>
      <c r="J322" s="45"/>
      <c r="K322" s="25" t="s">
        <v>18091</v>
      </c>
      <c r="L322" s="25">
        <v>7227.0</v>
      </c>
    </row>
    <row r="323">
      <c r="A323" s="665" t="s">
        <v>18314</v>
      </c>
      <c r="B323" s="45"/>
      <c r="C323" s="663" t="s">
        <v>18123</v>
      </c>
      <c r="D323" s="664">
        <v>0.7</v>
      </c>
      <c r="E323" s="664">
        <v>0.7</v>
      </c>
      <c r="F323" s="37" t="s">
        <v>1656</v>
      </c>
      <c r="G323" s="45"/>
      <c r="H323" s="45"/>
      <c r="I323" s="45"/>
      <c r="J323" s="45"/>
      <c r="K323" s="25" t="s">
        <v>18093</v>
      </c>
      <c r="L323" s="25">
        <v>13192.0</v>
      </c>
    </row>
    <row r="324">
      <c r="A324" s="665" t="s">
        <v>18315</v>
      </c>
      <c r="B324" s="45">
        <v>489.0</v>
      </c>
      <c r="C324" s="663" t="s">
        <v>18123</v>
      </c>
      <c r="D324" s="664">
        <v>0.7</v>
      </c>
      <c r="E324" s="664">
        <v>0.7</v>
      </c>
      <c r="F324" s="37" t="s">
        <v>1656</v>
      </c>
      <c r="G324" s="45"/>
      <c r="H324" s="45"/>
      <c r="I324" s="45"/>
      <c r="J324" s="45"/>
      <c r="K324" s="25" t="s">
        <v>18095</v>
      </c>
      <c r="L324" s="25"/>
    </row>
    <row r="325">
      <c r="A325" s="665" t="s">
        <v>18316</v>
      </c>
      <c r="B325" s="45"/>
      <c r="C325" s="663" t="s">
        <v>18123</v>
      </c>
      <c r="D325" s="664">
        <v>0.7</v>
      </c>
      <c r="E325" s="664">
        <v>0.7</v>
      </c>
      <c r="F325" s="37" t="s">
        <v>1656</v>
      </c>
      <c r="G325" s="45"/>
      <c r="H325" s="45"/>
      <c r="I325" s="45"/>
      <c r="J325" s="45"/>
      <c r="K325" s="25" t="s">
        <v>18097</v>
      </c>
      <c r="L325" s="25"/>
    </row>
    <row r="326">
      <c r="A326" s="665" t="s">
        <v>18317</v>
      </c>
      <c r="B326" s="45"/>
      <c r="C326" s="663" t="s">
        <v>18123</v>
      </c>
      <c r="D326" s="664">
        <v>0.7</v>
      </c>
      <c r="E326" s="664">
        <v>0.7</v>
      </c>
      <c r="F326" s="37" t="s">
        <v>1656</v>
      </c>
      <c r="G326" s="45"/>
      <c r="H326" s="45"/>
      <c r="I326" s="45"/>
      <c r="J326" s="45"/>
      <c r="K326" s="25" t="s">
        <v>18099</v>
      </c>
      <c r="L326" s="25"/>
    </row>
    <row r="327">
      <c r="A327" s="665" t="s">
        <v>18318</v>
      </c>
      <c r="B327" s="45">
        <v>11049.0</v>
      </c>
      <c r="C327" s="663" t="s">
        <v>18123</v>
      </c>
      <c r="D327" s="664">
        <v>0.8</v>
      </c>
      <c r="E327" s="664">
        <v>0.8</v>
      </c>
      <c r="F327" s="37" t="s">
        <v>1656</v>
      </c>
      <c r="G327" s="45"/>
      <c r="H327" s="45"/>
      <c r="I327" s="45"/>
      <c r="J327" s="45"/>
      <c r="K327" s="25" t="s">
        <v>18101</v>
      </c>
      <c r="L327" s="25">
        <v>7227.0</v>
      </c>
    </row>
    <row r="328">
      <c r="A328" s="665" t="s">
        <v>18319</v>
      </c>
      <c r="B328" s="45">
        <v>11049.0</v>
      </c>
      <c r="C328" s="663" t="s">
        <v>18123</v>
      </c>
      <c r="D328" s="664">
        <v>0.8</v>
      </c>
      <c r="E328" s="664">
        <v>0.8</v>
      </c>
      <c r="F328" s="37" t="s">
        <v>1656</v>
      </c>
      <c r="G328" s="45"/>
      <c r="H328" s="45"/>
      <c r="I328" s="45"/>
      <c r="J328" s="45"/>
      <c r="K328" s="25" t="s">
        <v>18103</v>
      </c>
      <c r="L328" s="25">
        <v>7227.0</v>
      </c>
    </row>
    <row r="329">
      <c r="A329" s="665" t="s">
        <v>18320</v>
      </c>
      <c r="B329" s="45">
        <v>13204.0</v>
      </c>
      <c r="C329" s="663" t="s">
        <v>18123</v>
      </c>
      <c r="D329" s="664">
        <v>0.7</v>
      </c>
      <c r="E329" s="664">
        <v>0.7</v>
      </c>
      <c r="F329" s="37" t="s">
        <v>1656</v>
      </c>
      <c r="G329" s="45"/>
      <c r="H329" s="45"/>
      <c r="I329" s="45"/>
      <c r="J329" s="45"/>
      <c r="K329" s="25" t="s">
        <v>18105</v>
      </c>
      <c r="L329" s="25"/>
    </row>
    <row r="330">
      <c r="A330" s="665" t="s">
        <v>18321</v>
      </c>
      <c r="B330" s="45"/>
      <c r="C330" s="663" t="s">
        <v>18123</v>
      </c>
      <c r="D330" s="664">
        <v>0.7</v>
      </c>
      <c r="E330" s="664">
        <v>0.7</v>
      </c>
      <c r="F330" s="37" t="s">
        <v>1656</v>
      </c>
      <c r="G330" s="45"/>
      <c r="H330" s="45"/>
      <c r="I330" s="45"/>
      <c r="J330" s="45"/>
      <c r="K330" s="25" t="s">
        <v>18107</v>
      </c>
      <c r="L330" s="25"/>
    </row>
    <row r="331">
      <c r="A331" s="665" t="s">
        <v>18358</v>
      </c>
      <c r="B331" s="45">
        <v>7416.0</v>
      </c>
      <c r="C331" s="663" t="s">
        <v>18123</v>
      </c>
      <c r="D331" s="664">
        <v>0.7</v>
      </c>
      <c r="E331" s="664">
        <v>0.7</v>
      </c>
      <c r="F331" s="37" t="s">
        <v>1656</v>
      </c>
      <c r="G331" s="45"/>
      <c r="H331" s="45"/>
      <c r="I331" s="45"/>
      <c r="J331" s="45"/>
      <c r="K331" s="25" t="s">
        <v>18109</v>
      </c>
      <c r="L331" s="25"/>
    </row>
    <row r="332">
      <c r="A332" s="665" t="s">
        <v>18359</v>
      </c>
      <c r="B332" s="45">
        <v>11271.0</v>
      </c>
      <c r="C332" s="663" t="s">
        <v>18123</v>
      </c>
      <c r="D332" s="664">
        <v>0.7</v>
      </c>
      <c r="E332" s="664">
        <v>0.7</v>
      </c>
      <c r="F332" s="37" t="s">
        <v>1656</v>
      </c>
      <c r="G332" s="45"/>
      <c r="H332" s="45"/>
      <c r="I332" s="45"/>
      <c r="J332" s="45"/>
      <c r="K332" s="25" t="s">
        <v>18111</v>
      </c>
      <c r="L332" s="25">
        <v>6774.0</v>
      </c>
    </row>
    <row r="333">
      <c r="A333" s="665" t="s">
        <v>18360</v>
      </c>
      <c r="B333" s="45">
        <v>9767.0</v>
      </c>
      <c r="C333" s="663" t="s">
        <v>18123</v>
      </c>
      <c r="D333" s="664">
        <v>0.7</v>
      </c>
      <c r="E333" s="664">
        <v>0.7</v>
      </c>
      <c r="F333" s="37" t="s">
        <v>1656</v>
      </c>
      <c r="G333" s="45"/>
      <c r="H333" s="45"/>
      <c r="I333" s="45"/>
      <c r="J333" s="45"/>
      <c r="K333" s="25" t="s">
        <v>18113</v>
      </c>
      <c r="L333" s="25">
        <v>8199.0</v>
      </c>
    </row>
    <row r="334">
      <c r="A334" s="665" t="s">
        <v>18361</v>
      </c>
      <c r="B334" s="45">
        <v>14253.0</v>
      </c>
      <c r="C334" s="663" t="s">
        <v>18123</v>
      </c>
      <c r="D334" s="664">
        <v>0.7</v>
      </c>
      <c r="E334" s="664">
        <v>0.7</v>
      </c>
      <c r="F334" s="37" t="s">
        <v>1656</v>
      </c>
      <c r="G334" s="45"/>
      <c r="H334" s="45"/>
      <c r="I334" s="45"/>
      <c r="J334" s="45"/>
      <c r="K334" s="202" t="s">
        <v>18345</v>
      </c>
      <c r="L334" s="186">
        <v>8576.0</v>
      </c>
    </row>
    <row r="335">
      <c r="A335" s="665" t="s">
        <v>18362</v>
      </c>
      <c r="B335" s="45">
        <v>14540.0</v>
      </c>
      <c r="C335" s="663" t="s">
        <v>18123</v>
      </c>
      <c r="D335" s="664">
        <v>0.7</v>
      </c>
      <c r="E335" s="664">
        <v>0.7</v>
      </c>
      <c r="F335" s="37" t="s">
        <v>1656</v>
      </c>
      <c r="G335" s="45"/>
      <c r="H335" s="45"/>
      <c r="I335" s="45"/>
      <c r="J335" s="45"/>
      <c r="K335" s="202" t="s">
        <v>18346</v>
      </c>
      <c r="L335" s="51">
        <v>9030.0</v>
      </c>
    </row>
    <row r="336">
      <c r="A336" s="665" t="s">
        <v>18322</v>
      </c>
      <c r="B336" s="45">
        <v>13951.0</v>
      </c>
      <c r="C336" s="663" t="s">
        <v>18123</v>
      </c>
      <c r="D336" s="664">
        <v>0.7</v>
      </c>
      <c r="E336" s="664">
        <v>0.7</v>
      </c>
      <c r="F336" s="37" t="s">
        <v>1656</v>
      </c>
      <c r="G336" s="45"/>
      <c r="H336" s="45"/>
      <c r="I336" s="45"/>
      <c r="J336" s="45"/>
      <c r="K336" s="202" t="s">
        <v>18347</v>
      </c>
      <c r="L336" s="188">
        <v>10368.0</v>
      </c>
    </row>
    <row r="337">
      <c r="A337" s="665" t="s">
        <v>18323</v>
      </c>
      <c r="B337" s="45">
        <v>11049.0</v>
      </c>
      <c r="C337" s="663" t="s">
        <v>18123</v>
      </c>
      <c r="D337" s="664">
        <v>0.8</v>
      </c>
      <c r="E337" s="664">
        <v>0.8</v>
      </c>
      <c r="F337" s="37" t="s">
        <v>1656</v>
      </c>
      <c r="G337" s="45"/>
      <c r="H337" s="45"/>
      <c r="I337" s="45"/>
      <c r="J337" s="45"/>
      <c r="K337" s="202" t="s">
        <v>18348</v>
      </c>
      <c r="L337" s="188">
        <v>10861.0</v>
      </c>
    </row>
    <row r="338">
      <c r="A338" s="665" t="s">
        <v>18324</v>
      </c>
      <c r="B338" s="45">
        <v>11049.0</v>
      </c>
      <c r="C338" s="663" t="s">
        <v>18123</v>
      </c>
      <c r="D338" s="664">
        <v>0.8</v>
      </c>
      <c r="E338" s="664">
        <v>0.8</v>
      </c>
      <c r="F338" s="37" t="s">
        <v>1656</v>
      </c>
      <c r="G338" s="45"/>
      <c r="H338" s="45"/>
      <c r="I338" s="45"/>
      <c r="J338" s="45"/>
      <c r="K338" s="202" t="s">
        <v>18349</v>
      </c>
      <c r="L338" s="188">
        <v>11105.0</v>
      </c>
    </row>
    <row r="339">
      <c r="A339" s="665" t="s">
        <v>18325</v>
      </c>
      <c r="B339" s="45">
        <v>7083.0</v>
      </c>
      <c r="C339" s="663" t="s">
        <v>18123</v>
      </c>
      <c r="D339" s="664">
        <v>0.8</v>
      </c>
      <c r="E339" s="664">
        <v>0.8</v>
      </c>
      <c r="F339" s="37" t="s">
        <v>1656</v>
      </c>
      <c r="G339" s="45"/>
      <c r="H339" s="45"/>
      <c r="I339" s="45"/>
      <c r="J339" s="45"/>
      <c r="K339" s="202" t="s">
        <v>18350</v>
      </c>
      <c r="L339" s="72">
        <v>12163.0</v>
      </c>
    </row>
    <row r="340">
      <c r="A340" s="665" t="s">
        <v>18326</v>
      </c>
      <c r="B340" s="37">
        <v>14749.0</v>
      </c>
      <c r="C340" s="663" t="s">
        <v>18123</v>
      </c>
      <c r="D340" s="664">
        <v>0.7</v>
      </c>
      <c r="E340" s="664">
        <v>0.7</v>
      </c>
      <c r="F340" s="37" t="s">
        <v>1656</v>
      </c>
      <c r="G340" s="45"/>
      <c r="H340" s="45"/>
      <c r="I340" s="45"/>
      <c r="J340" s="45"/>
      <c r="K340" s="202" t="s">
        <v>18351</v>
      </c>
      <c r="L340" s="202"/>
    </row>
    <row r="341">
      <c r="A341" s="665" t="s">
        <v>18327</v>
      </c>
      <c r="B341" s="45">
        <v>11049.0</v>
      </c>
      <c r="C341" s="663" t="s">
        <v>18123</v>
      </c>
      <c r="D341" s="664">
        <v>0.8</v>
      </c>
      <c r="E341" s="664">
        <v>0.8</v>
      </c>
      <c r="F341" s="37" t="s">
        <v>1656</v>
      </c>
      <c r="G341" s="45"/>
      <c r="H341" s="45"/>
      <c r="I341" s="45"/>
      <c r="J341" s="45"/>
      <c r="K341" s="202" t="s">
        <v>18352</v>
      </c>
      <c r="L341" s="72">
        <v>8623.0</v>
      </c>
    </row>
    <row r="342">
      <c r="A342" s="665" t="s">
        <v>18328</v>
      </c>
      <c r="B342" s="45">
        <v>6706.0</v>
      </c>
      <c r="C342" s="663" t="s">
        <v>18123</v>
      </c>
      <c r="D342" s="179">
        <v>0.88</v>
      </c>
      <c r="E342" s="179">
        <v>0.88</v>
      </c>
      <c r="F342" s="37" t="s">
        <v>1656</v>
      </c>
      <c r="G342" s="45"/>
      <c r="H342" s="45"/>
      <c r="I342" s="45"/>
      <c r="J342" s="45"/>
      <c r="K342" s="202" t="s">
        <v>18353</v>
      </c>
      <c r="L342" s="72">
        <v>12277.0</v>
      </c>
    </row>
    <row r="343">
      <c r="A343" s="665" t="s">
        <v>18329</v>
      </c>
      <c r="B343" s="45">
        <v>663.0</v>
      </c>
      <c r="C343" s="663" t="s">
        <v>18123</v>
      </c>
      <c r="D343" s="664">
        <v>0.8</v>
      </c>
      <c r="E343" s="664">
        <v>0.8</v>
      </c>
      <c r="F343" s="37" t="s">
        <v>1656</v>
      </c>
      <c r="G343" s="45"/>
      <c r="H343" s="45"/>
      <c r="I343" s="45"/>
      <c r="J343" s="45"/>
      <c r="K343" s="202" t="s">
        <v>18354</v>
      </c>
      <c r="L343" s="188">
        <v>9768.0</v>
      </c>
    </row>
    <row r="344">
      <c r="A344" s="665" t="s">
        <v>18330</v>
      </c>
      <c r="B344" s="45">
        <v>6706.0</v>
      </c>
      <c r="C344" s="663" t="s">
        <v>18123</v>
      </c>
      <c r="D344" s="179">
        <v>0.88</v>
      </c>
      <c r="E344" s="179">
        <v>0.88</v>
      </c>
      <c r="F344" s="37" t="s">
        <v>1656</v>
      </c>
      <c r="G344" s="45"/>
      <c r="H344" s="45"/>
      <c r="I344" s="45"/>
      <c r="J344" s="45"/>
      <c r="K344" s="202" t="s">
        <v>18355</v>
      </c>
      <c r="L344" s="51">
        <v>12572.0</v>
      </c>
    </row>
    <row r="345">
      <c r="A345" s="665" t="s">
        <v>18331</v>
      </c>
      <c r="B345" s="45">
        <v>6706.0</v>
      </c>
      <c r="C345" s="663" t="s">
        <v>18123</v>
      </c>
      <c r="D345" s="179">
        <v>0.88</v>
      </c>
      <c r="E345" s="179">
        <v>0.88</v>
      </c>
      <c r="F345" s="37" t="s">
        <v>1656</v>
      </c>
      <c r="G345" s="45"/>
      <c r="H345" s="45"/>
      <c r="I345" s="45"/>
      <c r="J345" s="45"/>
      <c r="K345" s="202" t="s">
        <v>18356</v>
      </c>
      <c r="L345" s="202"/>
    </row>
    <row r="346">
      <c r="A346" s="665" t="s">
        <v>18332</v>
      </c>
      <c r="B346" s="45">
        <v>6706.0</v>
      </c>
      <c r="C346" s="663" t="s">
        <v>18123</v>
      </c>
      <c r="D346" s="179">
        <v>0.88</v>
      </c>
      <c r="E346" s="179">
        <v>0.88</v>
      </c>
      <c r="F346" s="37" t="s">
        <v>1656</v>
      </c>
      <c r="G346" s="45"/>
      <c r="H346" s="45"/>
      <c r="I346" s="45"/>
      <c r="J346" s="45"/>
      <c r="K346" s="202" t="s">
        <v>18357</v>
      </c>
      <c r="L346" s="667">
        <v>12391.0</v>
      </c>
    </row>
    <row r="347">
      <c r="A347" s="665" t="s">
        <v>18333</v>
      </c>
      <c r="B347" s="45">
        <v>6706.0</v>
      </c>
      <c r="C347" s="663" t="s">
        <v>18123</v>
      </c>
      <c r="D347" s="179">
        <v>0.88</v>
      </c>
      <c r="E347" s="179">
        <v>0.88</v>
      </c>
      <c r="F347" s="37" t="s">
        <v>1656</v>
      </c>
      <c r="G347" s="45"/>
      <c r="H347" s="45"/>
      <c r="I347" s="45"/>
      <c r="J347" s="45"/>
      <c r="K347" s="202" t="s">
        <v>18358</v>
      </c>
      <c r="L347" s="72">
        <v>7416.0</v>
      </c>
    </row>
    <row r="348">
      <c r="A348" s="665" t="s">
        <v>18334</v>
      </c>
      <c r="B348" s="45">
        <v>6706.0</v>
      </c>
      <c r="C348" s="663" t="s">
        <v>18123</v>
      </c>
      <c r="D348" s="179">
        <v>0.88</v>
      </c>
      <c r="E348" s="179">
        <v>0.88</v>
      </c>
      <c r="F348" s="37" t="s">
        <v>1656</v>
      </c>
      <c r="G348" s="45"/>
      <c r="H348" s="45"/>
      <c r="I348" s="45"/>
      <c r="J348" s="45"/>
      <c r="K348" s="202" t="s">
        <v>18359</v>
      </c>
      <c r="L348" s="72">
        <v>11271.0</v>
      </c>
    </row>
    <row r="349">
      <c r="A349" s="665" t="s">
        <v>18335</v>
      </c>
      <c r="B349" s="45">
        <v>7083.0</v>
      </c>
      <c r="C349" s="663" t="s">
        <v>18123</v>
      </c>
      <c r="D349" s="664">
        <v>0.8</v>
      </c>
      <c r="E349" s="664">
        <v>0.8</v>
      </c>
      <c r="F349" s="37" t="s">
        <v>1656</v>
      </c>
      <c r="G349" s="45"/>
      <c r="H349" s="45"/>
      <c r="I349" s="45"/>
      <c r="J349" s="45"/>
      <c r="K349" s="202" t="s">
        <v>18360</v>
      </c>
      <c r="L349" s="265">
        <v>9767.0</v>
      </c>
    </row>
    <row r="350">
      <c r="A350" s="665" t="s">
        <v>18336</v>
      </c>
      <c r="B350" s="37">
        <v>14752.0</v>
      </c>
      <c r="C350" s="663" t="s">
        <v>18123</v>
      </c>
      <c r="D350" s="664">
        <v>0.7</v>
      </c>
      <c r="E350" s="664">
        <v>0.7</v>
      </c>
      <c r="F350" s="37" t="s">
        <v>1656</v>
      </c>
      <c r="G350" s="45"/>
      <c r="H350" s="45"/>
      <c r="I350" s="45"/>
      <c r="J350" s="45"/>
      <c r="K350" s="202" t="s">
        <v>18361</v>
      </c>
      <c r="L350" s="622">
        <v>14253.0</v>
      </c>
    </row>
    <row r="351">
      <c r="A351" s="665" t="s">
        <v>18337</v>
      </c>
      <c r="B351" s="45">
        <v>14529.0</v>
      </c>
      <c r="C351" s="663" t="s">
        <v>18123</v>
      </c>
      <c r="D351" s="664">
        <v>0.7</v>
      </c>
      <c r="E351" s="664">
        <v>0.7</v>
      </c>
      <c r="F351" s="37" t="s">
        <v>1656</v>
      </c>
      <c r="G351" s="45"/>
      <c r="H351" s="45"/>
      <c r="I351" s="45"/>
      <c r="J351" s="45"/>
      <c r="K351" s="202" t="s">
        <v>18362</v>
      </c>
      <c r="L351" s="668">
        <v>14540.0</v>
      </c>
    </row>
    <row r="352">
      <c r="A352" s="665" t="s">
        <v>18338</v>
      </c>
      <c r="B352" s="45">
        <v>6133.0</v>
      </c>
      <c r="C352" s="663" t="s">
        <v>18123</v>
      </c>
      <c r="D352" s="664">
        <v>0.7</v>
      </c>
      <c r="E352" s="664">
        <v>0.7</v>
      </c>
      <c r="F352" s="37" t="s">
        <v>1656</v>
      </c>
      <c r="G352" s="45"/>
      <c r="H352" s="45"/>
      <c r="I352" s="45"/>
      <c r="J352" s="45"/>
      <c r="K352" s="25" t="s">
        <v>11319</v>
      </c>
      <c r="L352" s="45"/>
    </row>
    <row r="353">
      <c r="A353" s="665" t="s">
        <v>18339</v>
      </c>
      <c r="B353" s="45">
        <v>9307.0</v>
      </c>
      <c r="C353" s="663" t="s">
        <v>18123</v>
      </c>
      <c r="D353" s="664">
        <v>0.7</v>
      </c>
      <c r="E353" s="664">
        <v>0.7</v>
      </c>
      <c r="F353" s="37" t="s">
        <v>1656</v>
      </c>
      <c r="G353" s="45"/>
      <c r="H353" s="45"/>
      <c r="I353" s="45"/>
      <c r="J353" s="45"/>
      <c r="K353" s="25" t="s">
        <v>11325</v>
      </c>
      <c r="L353" s="45"/>
    </row>
    <row r="354">
      <c r="A354" s="665" t="s">
        <v>18340</v>
      </c>
      <c r="B354" s="45">
        <v>6706.0</v>
      </c>
      <c r="C354" s="663" t="s">
        <v>18123</v>
      </c>
      <c r="D354" s="179">
        <v>0.88</v>
      </c>
      <c r="E354" s="179">
        <v>0.88</v>
      </c>
      <c r="F354" s="37" t="s">
        <v>1656</v>
      </c>
      <c r="G354" s="45"/>
      <c r="H354" s="45"/>
      <c r="I354" s="45"/>
      <c r="J354" s="45"/>
      <c r="K354" s="25" t="s">
        <v>11297</v>
      </c>
      <c r="L354" s="45"/>
    </row>
    <row r="355">
      <c r="A355" s="665" t="s">
        <v>18341</v>
      </c>
      <c r="B355" s="37">
        <v>14769.0</v>
      </c>
      <c r="C355" s="663" t="s">
        <v>18123</v>
      </c>
      <c r="D355" s="664">
        <v>0.7</v>
      </c>
      <c r="E355" s="664">
        <v>0.7</v>
      </c>
      <c r="F355" s="37" t="s">
        <v>1656</v>
      </c>
      <c r="G355" s="45"/>
      <c r="H355" s="45"/>
      <c r="I355" s="45"/>
      <c r="J355" s="45"/>
      <c r="K355" s="25" t="s">
        <v>11303</v>
      </c>
      <c r="L355" s="45"/>
    </row>
    <row r="356">
      <c r="A356" s="665" t="s">
        <v>18342</v>
      </c>
      <c r="B356" s="45"/>
      <c r="C356" s="663" t="s">
        <v>18123</v>
      </c>
      <c r="D356" s="664">
        <v>0.7</v>
      </c>
      <c r="E356" s="664">
        <v>0.7</v>
      </c>
      <c r="F356" s="37" t="s">
        <v>1656</v>
      </c>
      <c r="G356" s="45"/>
      <c r="H356" s="45"/>
      <c r="I356" s="45"/>
      <c r="J356" s="45"/>
      <c r="K356" s="25" t="s">
        <v>11334</v>
      </c>
      <c r="L356" s="45"/>
    </row>
    <row r="357">
      <c r="A357" s="665" t="s">
        <v>18343</v>
      </c>
      <c r="B357" s="45"/>
      <c r="C357" s="663" t="s">
        <v>18123</v>
      </c>
      <c r="D357" s="664">
        <v>0.7</v>
      </c>
      <c r="E357" s="664">
        <v>0.7</v>
      </c>
      <c r="F357" s="37" t="s">
        <v>1656</v>
      </c>
      <c r="G357" s="45"/>
      <c r="H357" s="45"/>
      <c r="I357" s="45"/>
      <c r="J357" s="45"/>
      <c r="K357" s="78"/>
      <c r="L357" s="78"/>
    </row>
    <row r="358">
      <c r="A358" s="665" t="s">
        <v>18344</v>
      </c>
      <c r="B358" s="45">
        <v>6947.0</v>
      </c>
      <c r="C358" s="663" t="s">
        <v>18123</v>
      </c>
      <c r="D358" s="664">
        <v>0.7</v>
      </c>
      <c r="E358" s="664">
        <v>0.7</v>
      </c>
      <c r="F358" s="37" t="s">
        <v>1656</v>
      </c>
      <c r="G358" s="45"/>
      <c r="H358" s="45"/>
      <c r="I358" s="45"/>
      <c r="J358" s="45"/>
      <c r="K358" s="78"/>
      <c r="L358" s="78"/>
    </row>
    <row r="359">
      <c r="A359" s="25" t="s">
        <v>220</v>
      </c>
      <c r="B359" s="25">
        <v>14663.0</v>
      </c>
      <c r="C359" s="663" t="s">
        <v>18123</v>
      </c>
      <c r="D359" s="664">
        <v>0.7</v>
      </c>
      <c r="E359" s="664">
        <v>0.7</v>
      </c>
      <c r="F359" s="37" t="s">
        <v>1656</v>
      </c>
      <c r="G359" s="45"/>
      <c r="H359" s="45"/>
      <c r="I359" s="45"/>
      <c r="J359" s="45"/>
      <c r="K359" s="78"/>
      <c r="L359" s="78"/>
    </row>
    <row r="360">
      <c r="A360" s="25" t="s">
        <v>43</v>
      </c>
      <c r="B360" s="25">
        <v>14727.0</v>
      </c>
      <c r="C360" s="663" t="s">
        <v>18123</v>
      </c>
      <c r="D360" s="664">
        <v>0.7</v>
      </c>
      <c r="E360" s="664">
        <v>0.7</v>
      </c>
      <c r="F360" s="37" t="s">
        <v>1656</v>
      </c>
      <c r="G360" s="45"/>
      <c r="H360" s="45"/>
      <c r="I360" s="45"/>
      <c r="J360" s="45"/>
      <c r="K360" s="78"/>
      <c r="L360" s="78"/>
    </row>
    <row r="361">
      <c r="A361" s="78"/>
      <c r="B361" s="78"/>
      <c r="C361" s="45"/>
      <c r="D361" s="45"/>
      <c r="E361" s="45"/>
      <c r="F361" s="45"/>
      <c r="G361" s="45"/>
      <c r="H361" s="45"/>
      <c r="I361" s="45"/>
      <c r="J361" s="45"/>
      <c r="K361" s="78"/>
      <c r="L361" s="78"/>
    </row>
    <row r="362">
      <c r="A362" s="78"/>
      <c r="B362" s="78"/>
      <c r="C362" s="45"/>
      <c r="D362" s="45"/>
      <c r="E362" s="45"/>
      <c r="F362" s="45"/>
      <c r="G362" s="45"/>
      <c r="H362" s="45"/>
      <c r="I362" s="45"/>
      <c r="J362" s="45"/>
      <c r="K362" s="78"/>
      <c r="L362" s="78"/>
    </row>
    <row r="363">
      <c r="A363" s="78"/>
      <c r="B363" s="78"/>
      <c r="C363" s="45"/>
      <c r="D363" s="45"/>
      <c r="E363" s="45"/>
      <c r="F363" s="45"/>
      <c r="G363" s="45"/>
      <c r="H363" s="45"/>
      <c r="I363" s="45"/>
      <c r="J363" s="45"/>
      <c r="K363" s="78"/>
      <c r="L363" s="78"/>
    </row>
    <row r="364">
      <c r="A364" s="78"/>
      <c r="B364" s="78"/>
      <c r="C364" s="45"/>
      <c r="D364" s="45"/>
      <c r="E364" s="45"/>
      <c r="F364" s="45"/>
      <c r="G364" s="45"/>
      <c r="H364" s="45"/>
      <c r="I364" s="45"/>
      <c r="J364" s="45"/>
      <c r="K364" s="78"/>
      <c r="L364" s="78"/>
    </row>
    <row r="365">
      <c r="A365" s="78"/>
      <c r="B365" s="78"/>
      <c r="C365" s="45"/>
      <c r="D365" s="45"/>
      <c r="E365" s="45"/>
      <c r="F365" s="45"/>
      <c r="G365" s="45"/>
      <c r="H365" s="45"/>
      <c r="I365" s="45"/>
      <c r="J365" s="45"/>
      <c r="K365" s="78"/>
      <c r="L365" s="78"/>
    </row>
    <row r="366">
      <c r="A366" s="78"/>
      <c r="B366" s="78"/>
      <c r="C366" s="45"/>
      <c r="D366" s="45"/>
      <c r="E366" s="45"/>
      <c r="F366" s="45"/>
      <c r="G366" s="45"/>
      <c r="H366" s="45"/>
      <c r="I366" s="45"/>
      <c r="J366" s="45"/>
      <c r="K366" s="78"/>
      <c r="L366" s="78"/>
    </row>
    <row r="367">
      <c r="A367" s="78"/>
      <c r="B367" s="78"/>
      <c r="C367" s="45"/>
      <c r="D367" s="45"/>
      <c r="E367" s="45"/>
      <c r="F367" s="45"/>
      <c r="G367" s="45"/>
      <c r="H367" s="45"/>
      <c r="I367" s="45"/>
      <c r="J367" s="45"/>
      <c r="K367" s="78"/>
      <c r="L367" s="78"/>
    </row>
    <row r="368">
      <c r="A368" s="78"/>
      <c r="B368" s="78"/>
      <c r="C368" s="45"/>
      <c r="D368" s="45"/>
      <c r="E368" s="45"/>
      <c r="F368" s="45"/>
      <c r="G368" s="45"/>
      <c r="H368" s="45"/>
      <c r="I368" s="45"/>
      <c r="J368" s="45"/>
      <c r="K368" s="78"/>
      <c r="L368" s="78"/>
    </row>
    <row r="369">
      <c r="A369" s="78"/>
      <c r="B369" s="78"/>
      <c r="C369" s="45"/>
      <c r="D369" s="45"/>
      <c r="E369" s="45"/>
      <c r="F369" s="45"/>
      <c r="G369" s="45"/>
      <c r="H369" s="45"/>
      <c r="I369" s="45"/>
      <c r="J369" s="45"/>
      <c r="K369" s="78"/>
      <c r="L369" s="78"/>
    </row>
    <row r="370">
      <c r="A370" s="78"/>
      <c r="B370" s="78"/>
      <c r="C370" s="45"/>
      <c r="D370" s="45"/>
      <c r="E370" s="45"/>
      <c r="F370" s="45"/>
      <c r="G370" s="45"/>
      <c r="H370" s="45"/>
      <c r="I370" s="45"/>
      <c r="J370" s="45"/>
      <c r="K370" s="78"/>
      <c r="L370" s="78"/>
    </row>
    <row r="371">
      <c r="A371" s="78"/>
      <c r="B371" s="78"/>
      <c r="C371" s="45"/>
      <c r="D371" s="45"/>
      <c r="E371" s="45"/>
      <c r="F371" s="45"/>
      <c r="G371" s="45"/>
      <c r="H371" s="45"/>
      <c r="I371" s="45"/>
      <c r="J371" s="45"/>
      <c r="K371" s="78"/>
      <c r="L371" s="78"/>
    </row>
    <row r="372">
      <c r="A372" s="78"/>
      <c r="B372" s="78"/>
      <c r="C372" s="45"/>
      <c r="D372" s="45"/>
      <c r="E372" s="45"/>
      <c r="F372" s="45"/>
      <c r="G372" s="45"/>
      <c r="H372" s="45"/>
      <c r="I372" s="45"/>
      <c r="J372" s="45"/>
      <c r="K372" s="78"/>
      <c r="L372" s="78"/>
    </row>
    <row r="373">
      <c r="A373" s="78"/>
      <c r="B373" s="78"/>
      <c r="C373" s="45"/>
      <c r="D373" s="45"/>
      <c r="E373" s="45"/>
      <c r="F373" s="45"/>
      <c r="G373" s="45"/>
      <c r="H373" s="45"/>
      <c r="I373" s="45"/>
      <c r="J373" s="45"/>
      <c r="K373" s="78"/>
      <c r="L373" s="78"/>
    </row>
    <row r="374">
      <c r="A374" s="78"/>
      <c r="B374" s="78"/>
      <c r="C374" s="45"/>
      <c r="D374" s="45"/>
      <c r="E374" s="45"/>
      <c r="F374" s="45"/>
      <c r="G374" s="45"/>
      <c r="H374" s="45"/>
      <c r="I374" s="45"/>
      <c r="J374" s="45"/>
      <c r="K374" s="78"/>
      <c r="L374" s="78"/>
    </row>
    <row r="375">
      <c r="A375" s="78"/>
      <c r="B375" s="78"/>
      <c r="C375" s="45"/>
      <c r="D375" s="45"/>
      <c r="E375" s="45"/>
      <c r="F375" s="45"/>
      <c r="G375" s="45"/>
      <c r="H375" s="45"/>
      <c r="I375" s="45"/>
      <c r="J375" s="45"/>
      <c r="K375" s="78"/>
      <c r="L375" s="78"/>
    </row>
    <row r="376">
      <c r="A376" s="78"/>
      <c r="B376" s="78"/>
      <c r="C376" s="45"/>
      <c r="D376" s="45"/>
      <c r="E376" s="45"/>
      <c r="F376" s="45"/>
      <c r="G376" s="45"/>
      <c r="H376" s="45"/>
      <c r="I376" s="45"/>
      <c r="J376" s="45"/>
      <c r="K376" s="78"/>
      <c r="L376" s="78"/>
    </row>
    <row r="377">
      <c r="A377" s="78"/>
      <c r="B377" s="78"/>
      <c r="C377" s="45"/>
      <c r="D377" s="45"/>
      <c r="E377" s="45"/>
      <c r="F377" s="45"/>
      <c r="G377" s="45"/>
      <c r="H377" s="45"/>
      <c r="I377" s="45"/>
      <c r="J377" s="45"/>
      <c r="K377" s="78"/>
      <c r="L377" s="78"/>
    </row>
    <row r="378">
      <c r="A378" s="78"/>
      <c r="B378" s="78"/>
      <c r="C378" s="45"/>
      <c r="D378" s="45"/>
      <c r="E378" s="45"/>
      <c r="F378" s="45"/>
      <c r="G378" s="45"/>
      <c r="H378" s="45"/>
      <c r="I378" s="45"/>
      <c r="J378" s="45"/>
      <c r="K378" s="78"/>
      <c r="L378" s="78"/>
    </row>
    <row r="379">
      <c r="A379" s="78"/>
      <c r="B379" s="78"/>
      <c r="C379" s="45"/>
      <c r="D379" s="45"/>
      <c r="E379" s="45"/>
      <c r="F379" s="45"/>
      <c r="G379" s="45"/>
      <c r="H379" s="45"/>
      <c r="I379" s="45"/>
      <c r="J379" s="45"/>
      <c r="K379" s="78"/>
      <c r="L379" s="78"/>
    </row>
    <row r="380">
      <c r="A380" s="78"/>
      <c r="B380" s="78"/>
      <c r="C380" s="45"/>
      <c r="D380" s="45"/>
      <c r="E380" s="45"/>
      <c r="F380" s="45"/>
      <c r="G380" s="45"/>
      <c r="H380" s="45"/>
      <c r="I380" s="45"/>
      <c r="J380" s="45"/>
      <c r="K380" s="78"/>
      <c r="L380" s="78"/>
    </row>
    <row r="381">
      <c r="A381" s="78"/>
      <c r="B381" s="78"/>
      <c r="C381" s="45"/>
      <c r="D381" s="45"/>
      <c r="E381" s="45"/>
      <c r="F381" s="45"/>
      <c r="G381" s="45"/>
      <c r="H381" s="45"/>
      <c r="I381" s="45"/>
      <c r="J381" s="45"/>
      <c r="K381" s="78"/>
      <c r="L381" s="78"/>
    </row>
    <row r="382">
      <c r="A382" s="78"/>
      <c r="B382" s="78"/>
      <c r="C382" s="45"/>
      <c r="D382" s="45"/>
      <c r="E382" s="45"/>
      <c r="F382" s="45"/>
      <c r="G382" s="45"/>
      <c r="H382" s="45"/>
      <c r="I382" s="45"/>
      <c r="J382" s="45"/>
      <c r="K382" s="78"/>
      <c r="L382" s="78"/>
    </row>
    <row r="383">
      <c r="A383" s="78"/>
      <c r="B383" s="78"/>
      <c r="C383" s="45"/>
      <c r="D383" s="45"/>
      <c r="E383" s="45"/>
      <c r="F383" s="45"/>
      <c r="G383" s="45"/>
      <c r="H383" s="45"/>
      <c r="I383" s="45"/>
      <c r="J383" s="45"/>
      <c r="K383" s="78"/>
      <c r="L383" s="78"/>
    </row>
    <row r="384">
      <c r="A384" s="78"/>
      <c r="B384" s="78"/>
      <c r="C384" s="45"/>
      <c r="D384" s="45"/>
      <c r="E384" s="45"/>
      <c r="F384" s="45"/>
      <c r="G384" s="45"/>
      <c r="H384" s="45"/>
      <c r="I384" s="45"/>
      <c r="J384" s="45"/>
      <c r="K384" s="78"/>
      <c r="L384" s="78"/>
    </row>
    <row r="385">
      <c r="A385" s="78"/>
      <c r="B385" s="78"/>
      <c r="C385" s="45"/>
      <c r="D385" s="45"/>
      <c r="E385" s="45"/>
      <c r="F385" s="45"/>
      <c r="G385" s="45"/>
      <c r="H385" s="45"/>
      <c r="I385" s="45"/>
      <c r="J385" s="45"/>
      <c r="K385" s="78"/>
      <c r="L385" s="78"/>
    </row>
    <row r="386">
      <c r="A386" s="78"/>
      <c r="B386" s="78"/>
      <c r="C386" s="45"/>
      <c r="D386" s="45"/>
      <c r="E386" s="45"/>
      <c r="F386" s="45"/>
      <c r="G386" s="45"/>
      <c r="H386" s="45"/>
      <c r="I386" s="45"/>
      <c r="J386" s="45"/>
      <c r="K386" s="78"/>
      <c r="L386" s="78"/>
    </row>
    <row r="387">
      <c r="A387" s="78"/>
      <c r="B387" s="78"/>
      <c r="C387" s="45"/>
      <c r="D387" s="45"/>
      <c r="E387" s="45"/>
      <c r="F387" s="45"/>
      <c r="G387" s="45"/>
      <c r="H387" s="45"/>
      <c r="I387" s="45"/>
      <c r="J387" s="45"/>
      <c r="K387" s="78"/>
      <c r="L387" s="78"/>
    </row>
    <row r="388">
      <c r="A388" s="78"/>
      <c r="B388" s="78"/>
      <c r="C388" s="45"/>
      <c r="D388" s="45"/>
      <c r="E388" s="45"/>
      <c r="F388" s="45"/>
      <c r="G388" s="45"/>
      <c r="H388" s="45"/>
      <c r="I388" s="45"/>
      <c r="J388" s="45"/>
      <c r="K388" s="78"/>
      <c r="L388" s="78"/>
    </row>
    <row r="389">
      <c r="A389" s="78"/>
      <c r="B389" s="78"/>
      <c r="C389" s="45"/>
      <c r="D389" s="45"/>
      <c r="E389" s="45"/>
      <c r="F389" s="45"/>
      <c r="G389" s="45"/>
      <c r="H389" s="45"/>
      <c r="I389" s="45"/>
      <c r="J389" s="45"/>
      <c r="K389" s="78"/>
      <c r="L389" s="78"/>
    </row>
    <row r="390">
      <c r="A390" s="78"/>
      <c r="B390" s="78"/>
      <c r="C390" s="45"/>
      <c r="D390" s="45"/>
      <c r="E390" s="45"/>
      <c r="F390" s="45"/>
      <c r="G390" s="45"/>
      <c r="H390" s="45"/>
      <c r="I390" s="45"/>
      <c r="J390" s="45"/>
      <c r="K390" s="78"/>
      <c r="L390" s="78"/>
    </row>
    <row r="391">
      <c r="A391" s="78"/>
      <c r="B391" s="78"/>
      <c r="C391" s="45"/>
      <c r="D391" s="45"/>
      <c r="E391" s="45"/>
      <c r="F391" s="45"/>
      <c r="G391" s="45"/>
      <c r="H391" s="45"/>
      <c r="I391" s="45"/>
      <c r="J391" s="45"/>
      <c r="K391" s="78"/>
      <c r="L391" s="78"/>
    </row>
    <row r="392">
      <c r="A392" s="78"/>
      <c r="B392" s="78"/>
      <c r="C392" s="45"/>
      <c r="D392" s="45"/>
      <c r="E392" s="45"/>
      <c r="F392" s="45"/>
      <c r="G392" s="45"/>
      <c r="H392" s="45"/>
      <c r="I392" s="45"/>
      <c r="J392" s="45"/>
      <c r="K392" s="78"/>
      <c r="L392" s="78"/>
    </row>
    <row r="393">
      <c r="A393" s="78"/>
      <c r="B393" s="78"/>
      <c r="C393" s="45"/>
      <c r="D393" s="45"/>
      <c r="E393" s="45"/>
      <c r="F393" s="45"/>
      <c r="G393" s="45"/>
      <c r="H393" s="45"/>
      <c r="I393" s="45"/>
      <c r="J393" s="45"/>
      <c r="K393" s="78"/>
      <c r="L393" s="78"/>
    </row>
    <row r="394">
      <c r="A394" s="78"/>
      <c r="B394" s="78"/>
      <c r="C394" s="45"/>
      <c r="D394" s="45"/>
      <c r="E394" s="45"/>
      <c r="F394" s="45"/>
      <c r="G394" s="45"/>
      <c r="H394" s="45"/>
      <c r="I394" s="45"/>
      <c r="J394" s="45"/>
      <c r="K394" s="78"/>
      <c r="L394" s="78"/>
    </row>
    <row r="395">
      <c r="A395" s="78"/>
      <c r="B395" s="78"/>
      <c r="C395" s="45"/>
      <c r="D395" s="45"/>
      <c r="E395" s="45"/>
      <c r="F395" s="45"/>
      <c r="G395" s="45"/>
      <c r="H395" s="45"/>
      <c r="I395" s="45"/>
      <c r="J395" s="45"/>
      <c r="K395" s="78"/>
      <c r="L395" s="78"/>
    </row>
    <row r="396">
      <c r="A396" s="78"/>
      <c r="B396" s="78"/>
      <c r="C396" s="45"/>
      <c r="D396" s="45"/>
      <c r="E396" s="45"/>
      <c r="F396" s="45"/>
      <c r="G396" s="45"/>
      <c r="H396" s="45"/>
      <c r="I396" s="45"/>
      <c r="J396" s="45"/>
      <c r="K396" s="78"/>
      <c r="L396" s="78"/>
    </row>
    <row r="397">
      <c r="A397" s="78"/>
      <c r="B397" s="78"/>
      <c r="C397" s="45"/>
      <c r="D397" s="45"/>
      <c r="E397" s="45"/>
      <c r="F397" s="45"/>
      <c r="G397" s="45"/>
      <c r="H397" s="45"/>
      <c r="I397" s="45"/>
      <c r="J397" s="45"/>
      <c r="K397" s="78"/>
      <c r="L397" s="78"/>
    </row>
    <row r="398">
      <c r="A398" s="78"/>
      <c r="B398" s="78"/>
      <c r="C398" s="45"/>
      <c r="D398" s="45"/>
      <c r="E398" s="45"/>
      <c r="F398" s="45"/>
      <c r="G398" s="45"/>
      <c r="H398" s="45"/>
      <c r="I398" s="45"/>
      <c r="J398" s="45"/>
      <c r="K398" s="78"/>
      <c r="L398" s="78"/>
    </row>
    <row r="399">
      <c r="A399" s="78"/>
      <c r="B399" s="78"/>
      <c r="C399" s="45"/>
      <c r="D399" s="45"/>
      <c r="E399" s="45"/>
      <c r="F399" s="45"/>
      <c r="G399" s="45"/>
      <c r="H399" s="45"/>
      <c r="I399" s="45"/>
      <c r="J399" s="45"/>
      <c r="K399" s="78"/>
      <c r="L399" s="78"/>
    </row>
    <row r="400">
      <c r="A400" s="78"/>
      <c r="B400" s="78"/>
      <c r="C400" s="45"/>
      <c r="D400" s="45"/>
      <c r="E400" s="45"/>
      <c r="F400" s="45"/>
      <c r="G400" s="45"/>
      <c r="H400" s="45"/>
      <c r="I400" s="45"/>
      <c r="J400" s="45"/>
      <c r="K400" s="78"/>
      <c r="L400" s="78"/>
    </row>
    <row r="401">
      <c r="A401" s="78"/>
      <c r="B401" s="78"/>
      <c r="C401" s="45"/>
      <c r="D401" s="45"/>
      <c r="E401" s="45"/>
      <c r="F401" s="45"/>
      <c r="G401" s="45"/>
      <c r="H401" s="45"/>
      <c r="I401" s="45"/>
      <c r="J401" s="45"/>
      <c r="K401" s="78"/>
      <c r="L401" s="78"/>
    </row>
    <row r="402">
      <c r="A402" s="78"/>
      <c r="B402" s="78"/>
      <c r="C402" s="45"/>
      <c r="D402" s="45"/>
      <c r="E402" s="45"/>
      <c r="F402" s="45"/>
      <c r="G402" s="45"/>
      <c r="H402" s="45"/>
      <c r="I402" s="45"/>
      <c r="J402" s="45"/>
      <c r="K402" s="78"/>
      <c r="L402" s="78"/>
    </row>
    <row r="403">
      <c r="A403" s="78"/>
      <c r="B403" s="78"/>
      <c r="C403" s="45"/>
      <c r="D403" s="45"/>
      <c r="E403" s="45"/>
      <c r="F403" s="45"/>
      <c r="G403" s="45"/>
      <c r="H403" s="45"/>
      <c r="I403" s="45"/>
      <c r="J403" s="45"/>
      <c r="K403" s="78"/>
      <c r="L403" s="78"/>
    </row>
    <row r="404">
      <c r="A404" s="78"/>
      <c r="B404" s="78"/>
      <c r="C404" s="45"/>
      <c r="D404" s="45"/>
      <c r="E404" s="45"/>
      <c r="F404" s="45"/>
      <c r="G404" s="45"/>
      <c r="H404" s="45"/>
      <c r="I404" s="45"/>
      <c r="J404" s="45"/>
      <c r="K404" s="78"/>
      <c r="L404" s="78"/>
    </row>
    <row r="405">
      <c r="A405" s="78"/>
      <c r="B405" s="78"/>
      <c r="C405" s="45"/>
      <c r="D405" s="45"/>
      <c r="E405" s="45"/>
      <c r="F405" s="45"/>
      <c r="G405" s="45"/>
      <c r="H405" s="45"/>
      <c r="I405" s="45"/>
      <c r="J405" s="45"/>
      <c r="K405" s="78"/>
      <c r="L405" s="78"/>
    </row>
    <row r="406">
      <c r="A406" s="78"/>
      <c r="B406" s="78"/>
      <c r="C406" s="45"/>
      <c r="D406" s="45"/>
      <c r="E406" s="45"/>
      <c r="F406" s="45"/>
      <c r="G406" s="45"/>
      <c r="H406" s="45"/>
      <c r="I406" s="45"/>
      <c r="J406" s="45"/>
      <c r="K406" s="78"/>
      <c r="L406" s="78"/>
    </row>
    <row r="407">
      <c r="A407" s="78"/>
      <c r="B407" s="78"/>
      <c r="C407" s="45"/>
      <c r="D407" s="45"/>
      <c r="E407" s="45"/>
      <c r="F407" s="45"/>
      <c r="G407" s="45"/>
      <c r="H407" s="45"/>
      <c r="I407" s="45"/>
      <c r="J407" s="45"/>
      <c r="K407" s="78"/>
      <c r="L407" s="78"/>
    </row>
    <row r="408">
      <c r="A408" s="78"/>
      <c r="B408" s="78"/>
      <c r="C408" s="45"/>
      <c r="D408" s="45"/>
      <c r="E408" s="45"/>
      <c r="F408" s="45"/>
      <c r="G408" s="45"/>
      <c r="H408" s="45"/>
      <c r="I408" s="45"/>
      <c r="J408" s="45"/>
      <c r="K408" s="78"/>
      <c r="L408" s="78"/>
    </row>
    <row r="409">
      <c r="A409" s="78"/>
      <c r="B409" s="78"/>
      <c r="C409" s="45"/>
      <c r="D409" s="45"/>
      <c r="E409" s="45"/>
      <c r="F409" s="45"/>
      <c r="G409" s="45"/>
      <c r="H409" s="45"/>
      <c r="I409" s="45"/>
      <c r="J409" s="45"/>
      <c r="K409" s="78"/>
      <c r="L409" s="78"/>
    </row>
    <row r="410">
      <c r="A410" s="78"/>
      <c r="B410" s="78"/>
      <c r="C410" s="45"/>
      <c r="D410" s="45"/>
      <c r="E410" s="45"/>
      <c r="F410" s="45"/>
      <c r="G410" s="45"/>
      <c r="H410" s="45"/>
      <c r="I410" s="45"/>
      <c r="J410" s="45"/>
      <c r="K410" s="78"/>
      <c r="L410" s="78"/>
    </row>
    <row r="411">
      <c r="A411" s="78"/>
      <c r="B411" s="78"/>
      <c r="C411" s="45"/>
      <c r="D411" s="45"/>
      <c r="E411" s="45"/>
      <c r="F411" s="45"/>
      <c r="G411" s="45"/>
      <c r="H411" s="45"/>
      <c r="I411" s="45"/>
      <c r="J411" s="45"/>
      <c r="K411" s="78"/>
      <c r="L411" s="78"/>
    </row>
    <row r="412">
      <c r="A412" s="78"/>
      <c r="B412" s="78"/>
      <c r="C412" s="45"/>
      <c r="D412" s="45"/>
      <c r="E412" s="45"/>
      <c r="F412" s="45"/>
      <c r="G412" s="45"/>
      <c r="H412" s="45"/>
      <c r="I412" s="45"/>
      <c r="J412" s="45"/>
      <c r="K412" s="78"/>
      <c r="L412" s="78"/>
    </row>
    <row r="413">
      <c r="A413" s="78"/>
      <c r="B413" s="78"/>
      <c r="C413" s="45"/>
      <c r="D413" s="45"/>
      <c r="E413" s="45"/>
      <c r="F413" s="45"/>
      <c r="G413" s="45"/>
      <c r="H413" s="45"/>
      <c r="I413" s="45"/>
      <c r="J413" s="45"/>
      <c r="K413" s="78"/>
      <c r="L413" s="78"/>
    </row>
    <row r="414">
      <c r="A414" s="78"/>
      <c r="B414" s="78"/>
      <c r="C414" s="45"/>
      <c r="D414" s="45"/>
      <c r="E414" s="45"/>
      <c r="F414" s="45"/>
      <c r="G414" s="45"/>
      <c r="H414" s="45"/>
      <c r="I414" s="45"/>
      <c r="J414" s="45"/>
      <c r="K414" s="78"/>
      <c r="L414" s="78"/>
    </row>
    <row r="415">
      <c r="A415" s="78"/>
      <c r="B415" s="78"/>
      <c r="C415" s="45"/>
      <c r="D415" s="45"/>
      <c r="E415" s="45"/>
      <c r="F415" s="45"/>
      <c r="G415" s="45"/>
      <c r="H415" s="45"/>
      <c r="I415" s="45"/>
      <c r="J415" s="45"/>
      <c r="K415" s="78"/>
      <c r="L415" s="78"/>
    </row>
    <row r="416">
      <c r="A416" s="78"/>
      <c r="B416" s="78"/>
      <c r="C416" s="45"/>
      <c r="D416" s="45"/>
      <c r="E416" s="45"/>
      <c r="F416" s="45"/>
      <c r="G416" s="45"/>
      <c r="H416" s="45"/>
      <c r="I416" s="45"/>
      <c r="J416" s="45"/>
      <c r="K416" s="78"/>
      <c r="L416" s="78"/>
    </row>
    <row r="417">
      <c r="A417" s="78"/>
      <c r="B417" s="78"/>
      <c r="C417" s="45"/>
      <c r="D417" s="45"/>
      <c r="E417" s="45"/>
      <c r="F417" s="45"/>
      <c r="G417" s="45"/>
      <c r="H417" s="45"/>
      <c r="I417" s="45"/>
      <c r="J417" s="45"/>
      <c r="K417" s="78"/>
      <c r="L417" s="78"/>
    </row>
    <row r="418">
      <c r="A418" s="78"/>
      <c r="B418" s="78"/>
      <c r="C418" s="45"/>
      <c r="D418" s="45"/>
      <c r="E418" s="45"/>
      <c r="F418" s="45"/>
      <c r="G418" s="45"/>
      <c r="H418" s="45"/>
      <c r="I418" s="45"/>
      <c r="J418" s="45"/>
      <c r="K418" s="78"/>
      <c r="L418" s="78"/>
    </row>
    <row r="419">
      <c r="A419" s="78"/>
      <c r="B419" s="78"/>
      <c r="C419" s="45"/>
      <c r="D419" s="45"/>
      <c r="E419" s="45"/>
      <c r="F419" s="45"/>
      <c r="G419" s="45"/>
      <c r="H419" s="45"/>
      <c r="I419" s="45"/>
      <c r="J419" s="45"/>
      <c r="K419" s="78"/>
      <c r="L419" s="78"/>
    </row>
    <row r="420">
      <c r="A420" s="78"/>
      <c r="B420" s="78"/>
      <c r="C420" s="45"/>
      <c r="D420" s="45"/>
      <c r="E420" s="45"/>
      <c r="F420" s="45"/>
      <c r="G420" s="45"/>
      <c r="H420" s="45"/>
      <c r="I420" s="45"/>
      <c r="J420" s="45"/>
      <c r="K420" s="78"/>
      <c r="L420" s="78"/>
    </row>
    <row r="421">
      <c r="A421" s="78"/>
      <c r="B421" s="78"/>
      <c r="C421" s="45"/>
      <c r="D421" s="45"/>
      <c r="E421" s="45"/>
      <c r="F421" s="45"/>
      <c r="G421" s="45"/>
      <c r="H421" s="45"/>
      <c r="I421" s="45"/>
      <c r="J421" s="45"/>
      <c r="K421" s="78"/>
      <c r="L421" s="78"/>
    </row>
    <row r="422">
      <c r="A422" s="78"/>
      <c r="B422" s="78"/>
      <c r="C422" s="45"/>
      <c r="D422" s="45"/>
      <c r="E422" s="45"/>
      <c r="F422" s="45"/>
      <c r="G422" s="45"/>
      <c r="H422" s="45"/>
      <c r="I422" s="45"/>
      <c r="J422" s="45"/>
      <c r="K422" s="78"/>
      <c r="L422" s="78"/>
    </row>
    <row r="423">
      <c r="A423" s="78"/>
      <c r="B423" s="78"/>
      <c r="C423" s="45"/>
      <c r="D423" s="45"/>
      <c r="E423" s="45"/>
      <c r="F423" s="45"/>
      <c r="G423" s="45"/>
      <c r="H423" s="45"/>
      <c r="I423" s="45"/>
      <c r="J423" s="45"/>
      <c r="K423" s="78"/>
      <c r="L423" s="78"/>
    </row>
    <row r="424">
      <c r="A424" s="78"/>
      <c r="B424" s="78"/>
      <c r="C424" s="45"/>
      <c r="D424" s="45"/>
      <c r="E424" s="45"/>
      <c r="F424" s="45"/>
      <c r="G424" s="45"/>
      <c r="H424" s="45"/>
      <c r="I424" s="45"/>
      <c r="J424" s="45"/>
      <c r="K424" s="78"/>
      <c r="L424" s="78"/>
    </row>
    <row r="425">
      <c r="A425" s="78"/>
      <c r="B425" s="78"/>
      <c r="C425" s="45"/>
      <c r="D425" s="45"/>
      <c r="E425" s="45"/>
      <c r="F425" s="45"/>
      <c r="G425" s="45"/>
      <c r="H425" s="45"/>
      <c r="I425" s="45"/>
      <c r="J425" s="45"/>
      <c r="K425" s="78"/>
      <c r="L425" s="78"/>
    </row>
    <row r="426">
      <c r="A426" s="78"/>
      <c r="B426" s="78"/>
      <c r="C426" s="45"/>
      <c r="D426" s="45"/>
      <c r="E426" s="45"/>
      <c r="F426" s="45"/>
      <c r="G426" s="45"/>
      <c r="H426" s="45"/>
      <c r="I426" s="45"/>
      <c r="J426" s="45"/>
      <c r="K426" s="78"/>
      <c r="L426" s="78"/>
    </row>
    <row r="427">
      <c r="A427" s="78"/>
      <c r="B427" s="78"/>
      <c r="C427" s="45"/>
      <c r="D427" s="45"/>
      <c r="E427" s="45"/>
      <c r="F427" s="45"/>
      <c r="G427" s="45"/>
      <c r="H427" s="45"/>
      <c r="I427" s="45"/>
      <c r="J427" s="45"/>
      <c r="K427" s="78"/>
      <c r="L427" s="78"/>
    </row>
    <row r="428">
      <c r="A428" s="78"/>
      <c r="B428" s="78"/>
      <c r="C428" s="45"/>
      <c r="D428" s="45"/>
      <c r="E428" s="45"/>
      <c r="F428" s="45"/>
      <c r="G428" s="45"/>
      <c r="H428" s="45"/>
      <c r="I428" s="45"/>
      <c r="J428" s="45"/>
      <c r="K428" s="78"/>
      <c r="L428" s="78"/>
    </row>
    <row r="429">
      <c r="A429" s="78"/>
      <c r="B429" s="78"/>
      <c r="C429" s="45"/>
      <c r="D429" s="45"/>
      <c r="E429" s="45"/>
      <c r="F429" s="45"/>
      <c r="G429" s="45"/>
      <c r="H429" s="45"/>
      <c r="I429" s="45"/>
      <c r="J429" s="45"/>
      <c r="K429" s="78"/>
      <c r="L429" s="78"/>
    </row>
    <row r="430">
      <c r="A430" s="78"/>
      <c r="B430" s="78"/>
      <c r="C430" s="45"/>
      <c r="D430" s="45"/>
      <c r="E430" s="45"/>
      <c r="F430" s="45"/>
      <c r="G430" s="45"/>
      <c r="H430" s="45"/>
      <c r="I430" s="45"/>
      <c r="J430" s="45"/>
      <c r="K430" s="78"/>
      <c r="L430" s="78"/>
    </row>
    <row r="431">
      <c r="A431" s="78"/>
      <c r="B431" s="78"/>
      <c r="C431" s="45"/>
      <c r="D431" s="45"/>
      <c r="E431" s="45"/>
      <c r="F431" s="45"/>
      <c r="G431" s="45"/>
      <c r="H431" s="45"/>
      <c r="I431" s="45"/>
      <c r="J431" s="45"/>
      <c r="K431" s="78"/>
      <c r="L431" s="78"/>
    </row>
    <row r="432">
      <c r="A432" s="78"/>
      <c r="B432" s="78"/>
      <c r="C432" s="45"/>
      <c r="D432" s="45"/>
      <c r="E432" s="45"/>
      <c r="F432" s="45"/>
      <c r="G432" s="45"/>
      <c r="H432" s="45"/>
      <c r="I432" s="45"/>
      <c r="J432" s="45"/>
      <c r="K432" s="78"/>
      <c r="L432" s="78"/>
    </row>
    <row r="433">
      <c r="A433" s="78"/>
      <c r="B433" s="78"/>
      <c r="C433" s="45"/>
      <c r="D433" s="45"/>
      <c r="E433" s="45"/>
      <c r="F433" s="45"/>
      <c r="G433" s="45"/>
      <c r="H433" s="45"/>
      <c r="I433" s="45"/>
      <c r="J433" s="45"/>
      <c r="K433" s="78"/>
      <c r="L433" s="78"/>
    </row>
    <row r="434">
      <c r="A434" s="78"/>
      <c r="B434" s="78"/>
      <c r="C434" s="45"/>
      <c r="D434" s="45"/>
      <c r="E434" s="45"/>
      <c r="F434" s="45"/>
      <c r="G434" s="45"/>
      <c r="H434" s="45"/>
      <c r="I434" s="45"/>
      <c r="J434" s="45"/>
      <c r="K434" s="78"/>
      <c r="L434" s="78"/>
    </row>
    <row r="435">
      <c r="A435" s="78"/>
      <c r="B435" s="78"/>
      <c r="C435" s="45"/>
      <c r="D435" s="45"/>
      <c r="E435" s="45"/>
      <c r="F435" s="45"/>
      <c r="G435" s="45"/>
      <c r="H435" s="45"/>
      <c r="I435" s="45"/>
      <c r="J435" s="45"/>
      <c r="K435" s="78"/>
      <c r="L435" s="78"/>
    </row>
    <row r="436">
      <c r="A436" s="78"/>
      <c r="B436" s="78"/>
      <c r="C436" s="45"/>
      <c r="D436" s="45"/>
      <c r="E436" s="45"/>
      <c r="F436" s="45"/>
      <c r="G436" s="45"/>
      <c r="H436" s="45"/>
      <c r="I436" s="45"/>
      <c r="J436" s="45"/>
      <c r="K436" s="78"/>
      <c r="L436" s="78"/>
    </row>
    <row r="437">
      <c r="A437" s="78"/>
      <c r="B437" s="78"/>
      <c r="C437" s="45"/>
      <c r="D437" s="45"/>
      <c r="E437" s="45"/>
      <c r="F437" s="45"/>
      <c r="G437" s="45"/>
      <c r="H437" s="45"/>
      <c r="I437" s="45"/>
      <c r="J437" s="45"/>
      <c r="K437" s="78"/>
      <c r="L437" s="78"/>
    </row>
    <row r="438">
      <c r="A438" s="78"/>
      <c r="B438" s="78"/>
      <c r="C438" s="45"/>
      <c r="D438" s="45"/>
      <c r="E438" s="45"/>
      <c r="F438" s="45"/>
      <c r="G438" s="45"/>
      <c r="H438" s="45"/>
      <c r="I438" s="45"/>
      <c r="J438" s="45"/>
      <c r="K438" s="78"/>
      <c r="L438" s="78"/>
    </row>
    <row r="439">
      <c r="A439" s="78"/>
      <c r="B439" s="78"/>
      <c r="C439" s="45"/>
      <c r="D439" s="45"/>
      <c r="E439" s="45"/>
      <c r="F439" s="45"/>
      <c r="G439" s="45"/>
      <c r="H439" s="45"/>
      <c r="I439" s="45"/>
      <c r="J439" s="45"/>
      <c r="K439" s="78"/>
      <c r="L439" s="78"/>
    </row>
    <row r="440">
      <c r="A440" s="78"/>
      <c r="B440" s="78"/>
      <c r="C440" s="45"/>
      <c r="D440" s="45"/>
      <c r="E440" s="45"/>
      <c r="F440" s="45"/>
      <c r="G440" s="45"/>
      <c r="H440" s="45"/>
      <c r="I440" s="45"/>
      <c r="J440" s="45"/>
      <c r="K440" s="78"/>
      <c r="L440" s="78"/>
    </row>
    <row r="441">
      <c r="A441" s="78"/>
      <c r="B441" s="78"/>
      <c r="C441" s="45"/>
      <c r="D441" s="45"/>
      <c r="E441" s="45"/>
      <c r="F441" s="45"/>
      <c r="G441" s="45"/>
      <c r="H441" s="45"/>
      <c r="I441" s="45"/>
      <c r="J441" s="45"/>
      <c r="K441" s="78"/>
      <c r="L441" s="78"/>
    </row>
    <row r="442">
      <c r="A442" s="78"/>
      <c r="B442" s="78"/>
      <c r="C442" s="45"/>
      <c r="D442" s="45"/>
      <c r="E442" s="45"/>
      <c r="F442" s="45"/>
      <c r="G442" s="45"/>
      <c r="H442" s="45"/>
      <c r="I442" s="45"/>
      <c r="J442" s="45"/>
      <c r="K442" s="78"/>
      <c r="L442" s="78"/>
    </row>
    <row r="443">
      <c r="A443" s="78"/>
      <c r="B443" s="78"/>
      <c r="C443" s="45"/>
      <c r="D443" s="45"/>
      <c r="E443" s="45"/>
      <c r="F443" s="45"/>
      <c r="G443" s="45"/>
      <c r="H443" s="45"/>
      <c r="I443" s="45"/>
      <c r="J443" s="45"/>
      <c r="K443" s="78"/>
      <c r="L443" s="78"/>
    </row>
    <row r="444">
      <c r="A444" s="78"/>
      <c r="B444" s="78"/>
      <c r="C444" s="45"/>
      <c r="D444" s="45"/>
      <c r="E444" s="45"/>
      <c r="F444" s="45"/>
      <c r="G444" s="45"/>
      <c r="H444" s="45"/>
      <c r="I444" s="45"/>
      <c r="J444" s="45"/>
      <c r="K444" s="78"/>
      <c r="L444" s="78"/>
    </row>
    <row r="445">
      <c r="A445" s="78"/>
      <c r="B445" s="78"/>
      <c r="C445" s="45"/>
      <c r="D445" s="45"/>
      <c r="E445" s="45"/>
      <c r="F445" s="45"/>
      <c r="G445" s="45"/>
      <c r="H445" s="45"/>
      <c r="I445" s="45"/>
      <c r="J445" s="45"/>
      <c r="K445" s="78"/>
      <c r="L445" s="78"/>
    </row>
    <row r="446">
      <c r="A446" s="78"/>
      <c r="B446" s="78"/>
      <c r="C446" s="45"/>
      <c r="D446" s="45"/>
      <c r="E446" s="45"/>
      <c r="F446" s="45"/>
      <c r="G446" s="45"/>
      <c r="H446" s="45"/>
      <c r="I446" s="45"/>
      <c r="J446" s="45"/>
      <c r="K446" s="78"/>
      <c r="L446" s="78"/>
    </row>
    <row r="447">
      <c r="A447" s="78"/>
      <c r="B447" s="78"/>
      <c r="C447" s="45"/>
      <c r="D447" s="45"/>
      <c r="E447" s="45"/>
      <c r="F447" s="45"/>
      <c r="G447" s="45"/>
      <c r="H447" s="45"/>
      <c r="I447" s="45"/>
      <c r="J447" s="45"/>
      <c r="K447" s="78"/>
      <c r="L447" s="78"/>
    </row>
    <row r="448">
      <c r="A448" s="78"/>
      <c r="B448" s="78"/>
      <c r="C448" s="45"/>
      <c r="D448" s="45"/>
      <c r="E448" s="45"/>
      <c r="F448" s="45"/>
      <c r="G448" s="45"/>
      <c r="H448" s="45"/>
      <c r="I448" s="45"/>
      <c r="J448" s="45"/>
      <c r="K448" s="78"/>
      <c r="L448" s="78"/>
    </row>
    <row r="449">
      <c r="A449" s="78"/>
      <c r="B449" s="78"/>
      <c r="C449" s="45"/>
      <c r="D449" s="45"/>
      <c r="E449" s="45"/>
      <c r="F449" s="45"/>
      <c r="G449" s="45"/>
      <c r="H449" s="45"/>
      <c r="I449" s="45"/>
      <c r="J449" s="45"/>
      <c r="K449" s="78"/>
      <c r="L449" s="78"/>
    </row>
    <row r="450">
      <c r="A450" s="78"/>
      <c r="B450" s="78"/>
      <c r="C450" s="45"/>
      <c r="D450" s="45"/>
      <c r="E450" s="45"/>
      <c r="F450" s="45"/>
      <c r="G450" s="45"/>
      <c r="H450" s="45"/>
      <c r="I450" s="45"/>
      <c r="J450" s="45"/>
      <c r="K450" s="78"/>
      <c r="L450" s="78"/>
    </row>
    <row r="451">
      <c r="A451" s="78"/>
      <c r="B451" s="78"/>
      <c r="C451" s="45"/>
      <c r="D451" s="45"/>
      <c r="E451" s="45"/>
      <c r="F451" s="45"/>
      <c r="G451" s="45"/>
      <c r="H451" s="45"/>
      <c r="I451" s="45"/>
      <c r="J451" s="45"/>
      <c r="K451" s="78"/>
      <c r="L451" s="78"/>
    </row>
    <row r="452">
      <c r="A452" s="78"/>
      <c r="B452" s="78"/>
      <c r="C452" s="45"/>
      <c r="D452" s="45"/>
      <c r="E452" s="45"/>
      <c r="F452" s="45"/>
      <c r="G452" s="45"/>
      <c r="H452" s="45"/>
      <c r="I452" s="45"/>
      <c r="J452" s="45"/>
      <c r="K452" s="78"/>
      <c r="L452" s="78"/>
    </row>
    <row r="453">
      <c r="A453" s="78"/>
      <c r="B453" s="78"/>
      <c r="C453" s="45"/>
      <c r="D453" s="45"/>
      <c r="E453" s="45"/>
      <c r="F453" s="45"/>
      <c r="G453" s="45"/>
      <c r="H453" s="45"/>
      <c r="I453" s="45"/>
      <c r="J453" s="45"/>
      <c r="K453" s="78"/>
      <c r="L453" s="78"/>
    </row>
    <row r="454">
      <c r="A454" s="78"/>
      <c r="B454" s="78"/>
      <c r="C454" s="45"/>
      <c r="D454" s="45"/>
      <c r="E454" s="45"/>
      <c r="F454" s="45"/>
      <c r="G454" s="45"/>
      <c r="H454" s="45"/>
      <c r="I454" s="45"/>
      <c r="J454" s="45"/>
      <c r="K454" s="78"/>
      <c r="L454" s="78"/>
    </row>
    <row r="455">
      <c r="A455" s="78"/>
      <c r="B455" s="78"/>
      <c r="C455" s="45"/>
      <c r="D455" s="45"/>
      <c r="E455" s="45"/>
      <c r="F455" s="45"/>
      <c r="G455" s="45"/>
      <c r="H455" s="45"/>
      <c r="I455" s="45"/>
      <c r="J455" s="45"/>
      <c r="K455" s="78"/>
      <c r="L455" s="78"/>
    </row>
    <row r="456">
      <c r="A456" s="78"/>
      <c r="B456" s="78"/>
      <c r="C456" s="45"/>
      <c r="D456" s="45"/>
      <c r="E456" s="45"/>
      <c r="F456" s="45"/>
      <c r="G456" s="45"/>
      <c r="H456" s="45"/>
      <c r="I456" s="45"/>
      <c r="J456" s="45"/>
      <c r="K456" s="78"/>
      <c r="L456" s="78"/>
    </row>
    <row r="457">
      <c r="A457" s="78"/>
      <c r="B457" s="78"/>
      <c r="C457" s="45"/>
      <c r="D457" s="45"/>
      <c r="E457" s="45"/>
      <c r="F457" s="45"/>
      <c r="G457" s="45"/>
      <c r="H457" s="45"/>
      <c r="I457" s="45"/>
      <c r="J457" s="45"/>
      <c r="K457" s="78"/>
      <c r="L457" s="78"/>
    </row>
    <row r="458">
      <c r="A458" s="78"/>
      <c r="B458" s="78"/>
      <c r="C458" s="45"/>
      <c r="D458" s="45"/>
      <c r="E458" s="45"/>
      <c r="F458" s="45"/>
      <c r="G458" s="45"/>
      <c r="H458" s="45"/>
      <c r="I458" s="45"/>
      <c r="J458" s="45"/>
      <c r="K458" s="78"/>
      <c r="L458" s="78"/>
    </row>
    <row r="459">
      <c r="A459" s="78"/>
      <c r="B459" s="78"/>
      <c r="C459" s="45"/>
      <c r="D459" s="45"/>
      <c r="E459" s="45"/>
      <c r="F459" s="45"/>
      <c r="G459" s="45"/>
      <c r="H459" s="45"/>
      <c r="I459" s="45"/>
      <c r="J459" s="45"/>
      <c r="K459" s="78"/>
      <c r="L459" s="78"/>
    </row>
    <row r="460">
      <c r="A460" s="78"/>
      <c r="B460" s="78"/>
      <c r="C460" s="45"/>
      <c r="D460" s="45"/>
      <c r="E460" s="45"/>
      <c r="F460" s="45"/>
      <c r="G460" s="45"/>
      <c r="H460" s="45"/>
      <c r="I460" s="45"/>
      <c r="J460" s="45"/>
      <c r="K460" s="78"/>
      <c r="L460" s="78"/>
    </row>
    <row r="461">
      <c r="A461" s="78"/>
      <c r="B461" s="78"/>
      <c r="C461" s="45"/>
      <c r="D461" s="45"/>
      <c r="E461" s="45"/>
      <c r="F461" s="45"/>
      <c r="G461" s="45"/>
      <c r="H461" s="45"/>
      <c r="I461" s="45"/>
      <c r="J461" s="45"/>
      <c r="K461" s="78"/>
      <c r="L461" s="78"/>
    </row>
    <row r="462">
      <c r="A462" s="78"/>
      <c r="B462" s="78"/>
      <c r="C462" s="45"/>
      <c r="D462" s="45"/>
      <c r="E462" s="45"/>
      <c r="F462" s="45"/>
      <c r="G462" s="45"/>
      <c r="H462" s="45"/>
      <c r="I462" s="45"/>
      <c r="J462" s="45"/>
      <c r="K462" s="78"/>
      <c r="L462" s="78"/>
    </row>
    <row r="463">
      <c r="A463" s="78"/>
      <c r="B463" s="78"/>
      <c r="C463" s="45"/>
      <c r="D463" s="45"/>
      <c r="E463" s="45"/>
      <c r="F463" s="45"/>
      <c r="G463" s="45"/>
      <c r="H463" s="45"/>
      <c r="I463" s="45"/>
      <c r="J463" s="45"/>
      <c r="K463" s="78"/>
      <c r="L463" s="78"/>
    </row>
    <row r="464">
      <c r="A464" s="78"/>
      <c r="B464" s="78"/>
      <c r="C464" s="45"/>
      <c r="D464" s="45"/>
      <c r="E464" s="45"/>
      <c r="F464" s="45"/>
      <c r="G464" s="45"/>
      <c r="H464" s="45"/>
      <c r="I464" s="45"/>
      <c r="J464" s="45"/>
      <c r="K464" s="78"/>
      <c r="L464" s="78"/>
    </row>
    <row r="465">
      <c r="A465" s="78"/>
      <c r="B465" s="78"/>
      <c r="C465" s="45"/>
      <c r="D465" s="45"/>
      <c r="E465" s="45"/>
      <c r="F465" s="45"/>
      <c r="G465" s="45"/>
      <c r="H465" s="45"/>
      <c r="I465" s="45"/>
      <c r="J465" s="45"/>
      <c r="K465" s="78"/>
      <c r="L465" s="78"/>
    </row>
    <row r="466">
      <c r="A466" s="78"/>
      <c r="B466" s="78"/>
      <c r="C466" s="45"/>
      <c r="D466" s="45"/>
      <c r="E466" s="45"/>
      <c r="F466" s="45"/>
      <c r="G466" s="45"/>
      <c r="H466" s="45"/>
      <c r="I466" s="45"/>
      <c r="J466" s="45"/>
      <c r="K466" s="78"/>
      <c r="L466" s="78"/>
    </row>
    <row r="467">
      <c r="A467" s="78"/>
      <c r="B467" s="78"/>
      <c r="C467" s="45"/>
      <c r="D467" s="45"/>
      <c r="E467" s="45"/>
      <c r="F467" s="45"/>
      <c r="G467" s="45"/>
      <c r="H467" s="45"/>
      <c r="I467" s="45"/>
      <c r="J467" s="45"/>
      <c r="K467" s="78"/>
      <c r="L467" s="78"/>
    </row>
    <row r="468">
      <c r="A468" s="78"/>
      <c r="B468" s="78"/>
      <c r="C468" s="45"/>
      <c r="D468" s="45"/>
      <c r="E468" s="45"/>
      <c r="F468" s="45"/>
      <c r="G468" s="45"/>
      <c r="H468" s="45"/>
      <c r="I468" s="45"/>
      <c r="J468" s="45"/>
      <c r="K468" s="78"/>
      <c r="L468" s="78"/>
    </row>
    <row r="469">
      <c r="A469" s="78"/>
      <c r="B469" s="78"/>
      <c r="C469" s="45"/>
      <c r="D469" s="45"/>
      <c r="E469" s="45"/>
      <c r="F469" s="45"/>
      <c r="G469" s="45"/>
      <c r="H469" s="45"/>
      <c r="I469" s="45"/>
      <c r="J469" s="45"/>
      <c r="K469" s="78"/>
      <c r="L469" s="78"/>
    </row>
    <row r="470">
      <c r="A470" s="78"/>
      <c r="B470" s="78"/>
      <c r="C470" s="45"/>
      <c r="D470" s="45"/>
      <c r="E470" s="45"/>
      <c r="F470" s="45"/>
      <c r="G470" s="45"/>
      <c r="H470" s="45"/>
      <c r="I470" s="45"/>
      <c r="J470" s="45"/>
      <c r="K470" s="78"/>
      <c r="L470" s="78"/>
    </row>
    <row r="471">
      <c r="A471" s="78"/>
      <c r="B471" s="78"/>
      <c r="C471" s="45"/>
      <c r="D471" s="45"/>
      <c r="E471" s="45"/>
      <c r="F471" s="45"/>
      <c r="G471" s="45"/>
      <c r="H471" s="45"/>
      <c r="I471" s="45"/>
      <c r="J471" s="45"/>
      <c r="K471" s="78"/>
      <c r="L471" s="78"/>
    </row>
    <row r="472">
      <c r="A472" s="78"/>
      <c r="B472" s="78"/>
      <c r="C472" s="45"/>
      <c r="D472" s="45"/>
      <c r="E472" s="45"/>
      <c r="F472" s="45"/>
      <c r="G472" s="45"/>
      <c r="H472" s="45"/>
      <c r="I472" s="45"/>
      <c r="J472" s="45"/>
      <c r="K472" s="78"/>
      <c r="L472" s="78"/>
    </row>
    <row r="473">
      <c r="A473" s="78"/>
      <c r="B473" s="78"/>
      <c r="C473" s="45"/>
      <c r="D473" s="45"/>
      <c r="E473" s="45"/>
      <c r="F473" s="45"/>
      <c r="G473" s="45"/>
      <c r="H473" s="45"/>
      <c r="I473" s="45"/>
      <c r="J473" s="45"/>
      <c r="K473" s="78"/>
      <c r="L473" s="78"/>
    </row>
    <row r="474">
      <c r="A474" s="78"/>
      <c r="B474" s="78"/>
      <c r="C474" s="45"/>
      <c r="D474" s="45"/>
      <c r="E474" s="45"/>
      <c r="F474" s="45"/>
      <c r="G474" s="45"/>
      <c r="H474" s="45"/>
      <c r="I474" s="45"/>
      <c r="J474" s="45"/>
      <c r="K474" s="78"/>
      <c r="L474" s="78"/>
    </row>
    <row r="475">
      <c r="A475" s="78"/>
      <c r="B475" s="78"/>
      <c r="C475" s="45"/>
      <c r="D475" s="45"/>
      <c r="E475" s="45"/>
      <c r="F475" s="45"/>
      <c r="G475" s="45"/>
      <c r="H475" s="45"/>
      <c r="I475" s="45"/>
      <c r="J475" s="45"/>
      <c r="K475" s="78"/>
      <c r="L475" s="78"/>
    </row>
    <row r="476">
      <c r="A476" s="78"/>
      <c r="B476" s="78"/>
      <c r="C476" s="45"/>
      <c r="D476" s="45"/>
      <c r="E476" s="45"/>
      <c r="F476" s="45"/>
      <c r="G476" s="45"/>
      <c r="H476" s="45"/>
      <c r="I476" s="45"/>
      <c r="J476" s="45"/>
      <c r="K476" s="78"/>
      <c r="L476" s="78"/>
    </row>
    <row r="477">
      <c r="A477" s="78"/>
      <c r="B477" s="78"/>
      <c r="C477" s="45"/>
      <c r="D477" s="45"/>
      <c r="E477" s="45"/>
      <c r="F477" s="45"/>
      <c r="G477" s="45"/>
      <c r="H477" s="45"/>
      <c r="I477" s="45"/>
      <c r="J477" s="45"/>
      <c r="K477" s="78"/>
      <c r="L477" s="78"/>
    </row>
    <row r="478">
      <c r="A478" s="78"/>
      <c r="B478" s="78"/>
      <c r="C478" s="45"/>
      <c r="D478" s="45"/>
      <c r="E478" s="45"/>
      <c r="F478" s="45"/>
      <c r="G478" s="45"/>
      <c r="H478" s="45"/>
      <c r="I478" s="45"/>
      <c r="J478" s="45"/>
      <c r="K478" s="78"/>
      <c r="L478" s="78"/>
    </row>
    <row r="479">
      <c r="A479" s="78"/>
      <c r="B479" s="78"/>
      <c r="C479" s="45"/>
      <c r="D479" s="45"/>
      <c r="E479" s="45"/>
      <c r="F479" s="45"/>
      <c r="G479" s="45"/>
      <c r="H479" s="45"/>
      <c r="I479" s="45"/>
      <c r="J479" s="45"/>
      <c r="K479" s="78"/>
      <c r="L479" s="78"/>
    </row>
    <row r="480">
      <c r="A480" s="78"/>
      <c r="B480" s="78"/>
      <c r="C480" s="45"/>
      <c r="D480" s="45"/>
      <c r="E480" s="45"/>
      <c r="F480" s="45"/>
      <c r="G480" s="45"/>
      <c r="H480" s="45"/>
      <c r="I480" s="45"/>
      <c r="J480" s="45"/>
      <c r="K480" s="78"/>
      <c r="L480" s="78"/>
    </row>
    <row r="481">
      <c r="A481" s="78"/>
      <c r="B481" s="78"/>
      <c r="C481" s="45"/>
      <c r="D481" s="45"/>
      <c r="E481" s="45"/>
      <c r="F481" s="45"/>
      <c r="G481" s="45"/>
      <c r="H481" s="45"/>
      <c r="I481" s="45"/>
      <c r="J481" s="45"/>
      <c r="K481" s="78"/>
      <c r="L481" s="78"/>
    </row>
    <row r="482">
      <c r="A482" s="78"/>
      <c r="B482" s="78"/>
      <c r="C482" s="45"/>
      <c r="D482" s="45"/>
      <c r="E482" s="45"/>
      <c r="F482" s="45"/>
      <c r="G482" s="45"/>
      <c r="H482" s="45"/>
      <c r="I482" s="45"/>
      <c r="J482" s="45"/>
      <c r="K482" s="78"/>
      <c r="L482" s="78"/>
    </row>
    <row r="483">
      <c r="A483" s="78"/>
      <c r="B483" s="78"/>
      <c r="C483" s="45"/>
      <c r="D483" s="45"/>
      <c r="E483" s="45"/>
      <c r="F483" s="45"/>
      <c r="G483" s="45"/>
      <c r="H483" s="45"/>
      <c r="I483" s="45"/>
      <c r="J483" s="45"/>
      <c r="K483" s="78"/>
      <c r="L483" s="78"/>
    </row>
    <row r="484">
      <c r="A484" s="78"/>
      <c r="B484" s="78"/>
      <c r="C484" s="45"/>
      <c r="D484" s="45"/>
      <c r="E484" s="45"/>
      <c r="F484" s="45"/>
      <c r="G484" s="45"/>
      <c r="H484" s="45"/>
      <c r="I484" s="45"/>
      <c r="J484" s="45"/>
      <c r="K484" s="78"/>
      <c r="L484" s="78"/>
    </row>
    <row r="485">
      <c r="A485" s="78"/>
      <c r="B485" s="78"/>
      <c r="C485" s="45"/>
      <c r="D485" s="45"/>
      <c r="E485" s="45"/>
      <c r="F485" s="45"/>
      <c r="G485" s="45"/>
      <c r="H485" s="45"/>
      <c r="I485" s="45"/>
      <c r="J485" s="45"/>
      <c r="K485" s="78"/>
      <c r="L485" s="78"/>
    </row>
    <row r="486">
      <c r="A486" s="78"/>
      <c r="B486" s="78"/>
      <c r="C486" s="45"/>
      <c r="D486" s="45"/>
      <c r="E486" s="45"/>
      <c r="F486" s="45"/>
      <c r="G486" s="45"/>
      <c r="H486" s="45"/>
      <c r="I486" s="45"/>
      <c r="J486" s="45"/>
      <c r="K486" s="78"/>
      <c r="L486" s="78"/>
    </row>
    <row r="487">
      <c r="A487" s="78"/>
      <c r="B487" s="78"/>
      <c r="C487" s="45"/>
      <c r="D487" s="45"/>
      <c r="E487" s="45"/>
      <c r="F487" s="45"/>
      <c r="G487" s="45"/>
      <c r="H487" s="45"/>
      <c r="I487" s="45"/>
      <c r="J487" s="45"/>
      <c r="K487" s="78"/>
      <c r="L487" s="78"/>
    </row>
    <row r="488">
      <c r="A488" s="78"/>
      <c r="B488" s="78"/>
      <c r="C488" s="45"/>
      <c r="D488" s="45"/>
      <c r="E488" s="45"/>
      <c r="F488" s="45"/>
      <c r="G488" s="45"/>
      <c r="H488" s="45"/>
      <c r="I488" s="45"/>
      <c r="J488" s="45"/>
      <c r="K488" s="78"/>
      <c r="L488" s="78"/>
    </row>
    <row r="489">
      <c r="A489" s="78"/>
      <c r="B489" s="78"/>
      <c r="C489" s="45"/>
      <c r="D489" s="45"/>
      <c r="E489" s="45"/>
      <c r="F489" s="45"/>
      <c r="G489" s="45"/>
      <c r="H489" s="45"/>
      <c r="I489" s="45"/>
      <c r="J489" s="45"/>
      <c r="K489" s="78"/>
      <c r="L489" s="78"/>
    </row>
    <row r="490">
      <c r="A490" s="78"/>
      <c r="B490" s="78"/>
      <c r="C490" s="45"/>
      <c r="D490" s="45"/>
      <c r="E490" s="45"/>
      <c r="F490" s="45"/>
      <c r="G490" s="45"/>
      <c r="H490" s="45"/>
      <c r="I490" s="45"/>
      <c r="J490" s="45"/>
      <c r="K490" s="78"/>
      <c r="L490" s="78"/>
    </row>
    <row r="491">
      <c r="A491" s="78"/>
      <c r="B491" s="78"/>
      <c r="C491" s="45"/>
      <c r="D491" s="45"/>
      <c r="E491" s="45"/>
      <c r="F491" s="45"/>
      <c r="G491" s="45"/>
      <c r="H491" s="45"/>
      <c r="I491" s="45"/>
      <c r="J491" s="45"/>
      <c r="K491" s="78"/>
      <c r="L491" s="78"/>
    </row>
    <row r="492">
      <c r="A492" s="78"/>
      <c r="B492" s="78"/>
      <c r="C492" s="45"/>
      <c r="D492" s="45"/>
      <c r="E492" s="45"/>
      <c r="F492" s="45"/>
      <c r="G492" s="45"/>
      <c r="H492" s="45"/>
      <c r="I492" s="45"/>
      <c r="J492" s="45"/>
      <c r="K492" s="78"/>
      <c r="L492" s="78"/>
    </row>
    <row r="493">
      <c r="A493" s="78"/>
      <c r="B493" s="78"/>
      <c r="C493" s="45"/>
      <c r="D493" s="45"/>
      <c r="E493" s="45"/>
      <c r="F493" s="45"/>
      <c r="G493" s="45"/>
      <c r="H493" s="45"/>
      <c r="I493" s="45"/>
      <c r="J493" s="45"/>
      <c r="K493" s="78"/>
      <c r="L493" s="78"/>
    </row>
    <row r="494">
      <c r="A494" s="78"/>
      <c r="B494" s="78"/>
      <c r="C494" s="45"/>
      <c r="D494" s="45"/>
      <c r="E494" s="45"/>
      <c r="F494" s="45"/>
      <c r="G494" s="45"/>
      <c r="H494" s="45"/>
      <c r="I494" s="45"/>
      <c r="J494" s="45"/>
      <c r="K494" s="78"/>
      <c r="L494" s="78"/>
    </row>
    <row r="495">
      <c r="A495" s="78"/>
      <c r="B495" s="78"/>
      <c r="C495" s="45"/>
      <c r="D495" s="45"/>
      <c r="E495" s="45"/>
      <c r="F495" s="45"/>
      <c r="G495" s="45"/>
      <c r="H495" s="45"/>
      <c r="I495" s="45"/>
      <c r="J495" s="45"/>
      <c r="K495" s="78"/>
      <c r="L495" s="78"/>
    </row>
    <row r="496">
      <c r="A496" s="78"/>
      <c r="B496" s="78"/>
      <c r="C496" s="45"/>
      <c r="D496" s="45"/>
      <c r="E496" s="45"/>
      <c r="F496" s="45"/>
      <c r="G496" s="45"/>
      <c r="H496" s="45"/>
      <c r="I496" s="45"/>
      <c r="J496" s="45"/>
      <c r="K496" s="78"/>
      <c r="L496" s="78"/>
    </row>
    <row r="497">
      <c r="A497" s="78"/>
      <c r="B497" s="78"/>
      <c r="C497" s="45"/>
      <c r="D497" s="45"/>
      <c r="E497" s="45"/>
      <c r="F497" s="45"/>
      <c r="G497" s="45"/>
      <c r="H497" s="45"/>
      <c r="I497" s="45"/>
      <c r="J497" s="45"/>
      <c r="K497" s="78"/>
      <c r="L497" s="78"/>
    </row>
    <row r="498">
      <c r="A498" s="78"/>
      <c r="B498" s="78"/>
      <c r="C498" s="45"/>
      <c r="D498" s="45"/>
      <c r="E498" s="45"/>
      <c r="F498" s="45"/>
      <c r="G498" s="45"/>
      <c r="H498" s="45"/>
      <c r="I498" s="45"/>
      <c r="J498" s="45"/>
      <c r="K498" s="78"/>
      <c r="L498" s="78"/>
    </row>
    <row r="499">
      <c r="A499" s="78"/>
      <c r="B499" s="78"/>
      <c r="C499" s="45"/>
      <c r="D499" s="45"/>
      <c r="E499" s="45"/>
      <c r="F499" s="45"/>
      <c r="G499" s="45"/>
      <c r="H499" s="45"/>
      <c r="I499" s="45"/>
      <c r="J499" s="45"/>
      <c r="K499" s="78"/>
      <c r="L499" s="78"/>
    </row>
    <row r="500">
      <c r="A500" s="78"/>
      <c r="B500" s="78"/>
      <c r="C500" s="45"/>
      <c r="D500" s="45"/>
      <c r="E500" s="45"/>
      <c r="F500" s="45"/>
      <c r="G500" s="45"/>
      <c r="H500" s="45"/>
      <c r="I500" s="45"/>
      <c r="J500" s="45"/>
      <c r="K500" s="78"/>
      <c r="L500" s="78"/>
    </row>
    <row r="501">
      <c r="A501" s="78"/>
      <c r="B501" s="78"/>
      <c r="C501" s="45"/>
      <c r="D501" s="45"/>
      <c r="E501" s="45"/>
      <c r="F501" s="45"/>
      <c r="G501" s="45"/>
      <c r="H501" s="45"/>
      <c r="I501" s="45"/>
      <c r="J501" s="45"/>
      <c r="K501" s="78"/>
      <c r="L501" s="78"/>
    </row>
    <row r="502">
      <c r="A502" s="78"/>
      <c r="B502" s="78"/>
      <c r="C502" s="45"/>
      <c r="D502" s="45"/>
      <c r="E502" s="45"/>
      <c r="F502" s="45"/>
      <c r="G502" s="45"/>
      <c r="H502" s="45"/>
      <c r="I502" s="45"/>
      <c r="J502" s="45"/>
      <c r="K502" s="78"/>
      <c r="L502" s="78"/>
    </row>
    <row r="503">
      <c r="A503" s="78"/>
      <c r="B503" s="78"/>
      <c r="C503" s="45"/>
      <c r="D503" s="45"/>
      <c r="E503" s="45"/>
      <c r="F503" s="45"/>
      <c r="G503" s="45"/>
      <c r="H503" s="45"/>
      <c r="I503" s="45"/>
      <c r="J503" s="45"/>
      <c r="K503" s="78"/>
      <c r="L503" s="78"/>
    </row>
    <row r="504">
      <c r="A504" s="78"/>
      <c r="B504" s="78"/>
      <c r="C504" s="45"/>
      <c r="D504" s="45"/>
      <c r="E504" s="45"/>
      <c r="F504" s="45"/>
      <c r="G504" s="45"/>
      <c r="H504" s="45"/>
      <c r="I504" s="45"/>
      <c r="J504" s="45"/>
      <c r="K504" s="78"/>
      <c r="L504" s="78"/>
    </row>
    <row r="505">
      <c r="A505" s="78"/>
      <c r="B505" s="78"/>
      <c r="C505" s="45"/>
      <c r="D505" s="45"/>
      <c r="E505" s="45"/>
      <c r="F505" s="45"/>
      <c r="G505" s="45"/>
      <c r="H505" s="45"/>
      <c r="I505" s="45"/>
      <c r="J505" s="45"/>
      <c r="K505" s="78"/>
      <c r="L505" s="78"/>
    </row>
    <row r="506">
      <c r="A506" s="78"/>
      <c r="B506" s="78"/>
      <c r="C506" s="45"/>
      <c r="D506" s="45"/>
      <c r="E506" s="45"/>
      <c r="F506" s="45"/>
      <c r="G506" s="45"/>
      <c r="H506" s="45"/>
      <c r="I506" s="45"/>
      <c r="J506" s="45"/>
      <c r="K506" s="78"/>
      <c r="L506" s="78"/>
    </row>
    <row r="507">
      <c r="A507" s="78"/>
      <c r="B507" s="78"/>
      <c r="C507" s="45"/>
      <c r="D507" s="45"/>
      <c r="E507" s="45"/>
      <c r="F507" s="45"/>
      <c r="G507" s="45"/>
      <c r="H507" s="45"/>
      <c r="I507" s="45"/>
      <c r="J507" s="45"/>
      <c r="K507" s="78"/>
      <c r="L507" s="78"/>
    </row>
    <row r="508">
      <c r="A508" s="78"/>
      <c r="B508" s="78"/>
      <c r="C508" s="45"/>
      <c r="D508" s="45"/>
      <c r="E508" s="45"/>
      <c r="F508" s="45"/>
      <c r="G508" s="45"/>
      <c r="H508" s="45"/>
      <c r="I508" s="45"/>
      <c r="J508" s="45"/>
      <c r="K508" s="78"/>
      <c r="L508" s="78"/>
    </row>
    <row r="509">
      <c r="A509" s="78"/>
      <c r="B509" s="78"/>
      <c r="C509" s="45"/>
      <c r="D509" s="45"/>
      <c r="E509" s="45"/>
      <c r="F509" s="45"/>
      <c r="G509" s="45"/>
      <c r="H509" s="45"/>
      <c r="I509" s="45"/>
      <c r="J509" s="45"/>
      <c r="K509" s="78"/>
      <c r="L509" s="78"/>
    </row>
    <row r="510">
      <c r="A510" s="78"/>
      <c r="B510" s="78"/>
      <c r="C510" s="45"/>
      <c r="D510" s="45"/>
      <c r="E510" s="45"/>
      <c r="F510" s="45"/>
      <c r="G510" s="45"/>
      <c r="H510" s="45"/>
      <c r="I510" s="45"/>
      <c r="J510" s="45"/>
      <c r="K510" s="78"/>
      <c r="L510" s="78"/>
    </row>
    <row r="511">
      <c r="A511" s="78"/>
      <c r="B511" s="78"/>
      <c r="C511" s="45"/>
      <c r="D511" s="45"/>
      <c r="E511" s="45"/>
      <c r="F511" s="45"/>
      <c r="G511" s="45"/>
      <c r="H511" s="45"/>
      <c r="I511" s="45"/>
      <c r="J511" s="45"/>
      <c r="K511" s="78"/>
      <c r="L511" s="78"/>
    </row>
    <row r="512">
      <c r="A512" s="78"/>
      <c r="B512" s="78"/>
      <c r="C512" s="45"/>
      <c r="D512" s="45"/>
      <c r="E512" s="45"/>
      <c r="F512" s="45"/>
      <c r="G512" s="45"/>
      <c r="H512" s="45"/>
      <c r="I512" s="45"/>
      <c r="J512" s="45"/>
      <c r="K512" s="78"/>
      <c r="L512" s="78"/>
    </row>
    <row r="513">
      <c r="A513" s="78"/>
      <c r="B513" s="78"/>
      <c r="C513" s="45"/>
      <c r="D513" s="45"/>
      <c r="E513" s="45"/>
      <c r="F513" s="45"/>
      <c r="G513" s="45"/>
      <c r="H513" s="45"/>
      <c r="I513" s="45"/>
      <c r="J513" s="45"/>
      <c r="K513" s="78"/>
      <c r="L513" s="78"/>
    </row>
    <row r="514">
      <c r="A514" s="78"/>
      <c r="B514" s="78"/>
      <c r="C514" s="45"/>
      <c r="D514" s="45"/>
      <c r="E514" s="45"/>
      <c r="F514" s="45"/>
      <c r="G514" s="45"/>
      <c r="H514" s="45"/>
      <c r="I514" s="45"/>
      <c r="J514" s="45"/>
      <c r="K514" s="78"/>
      <c r="L514" s="78"/>
    </row>
    <row r="515">
      <c r="A515" s="78"/>
      <c r="B515" s="78"/>
      <c r="C515" s="45"/>
      <c r="D515" s="45"/>
      <c r="E515" s="45"/>
      <c r="F515" s="45"/>
      <c r="G515" s="45"/>
      <c r="H515" s="45"/>
      <c r="I515" s="45"/>
      <c r="J515" s="45"/>
      <c r="K515" s="78"/>
      <c r="L515" s="78"/>
    </row>
    <row r="516">
      <c r="A516" s="78"/>
      <c r="B516" s="78"/>
      <c r="C516" s="45"/>
      <c r="D516" s="45"/>
      <c r="E516" s="45"/>
      <c r="F516" s="45"/>
      <c r="G516" s="45"/>
      <c r="H516" s="45"/>
      <c r="I516" s="45"/>
      <c r="J516" s="45"/>
      <c r="K516" s="78"/>
      <c r="L516" s="78"/>
    </row>
    <row r="517">
      <c r="A517" s="78"/>
      <c r="B517" s="78"/>
      <c r="C517" s="45"/>
      <c r="D517" s="45"/>
      <c r="E517" s="45"/>
      <c r="F517" s="45"/>
      <c r="G517" s="45"/>
      <c r="H517" s="45"/>
      <c r="I517" s="45"/>
      <c r="J517" s="45"/>
      <c r="K517" s="78"/>
      <c r="L517" s="78"/>
    </row>
    <row r="518">
      <c r="A518" s="78"/>
      <c r="B518" s="78"/>
      <c r="C518" s="45"/>
      <c r="D518" s="45"/>
      <c r="E518" s="45"/>
      <c r="F518" s="45"/>
      <c r="G518" s="45"/>
      <c r="H518" s="45"/>
      <c r="I518" s="45"/>
      <c r="J518" s="45"/>
      <c r="K518" s="78"/>
      <c r="L518" s="78"/>
    </row>
    <row r="519">
      <c r="A519" s="78"/>
      <c r="B519" s="78"/>
      <c r="C519" s="45"/>
      <c r="D519" s="45"/>
      <c r="E519" s="45"/>
      <c r="F519" s="45"/>
      <c r="G519" s="45"/>
      <c r="H519" s="45"/>
      <c r="I519" s="45"/>
      <c r="J519" s="45"/>
      <c r="K519" s="78"/>
      <c r="L519" s="78"/>
    </row>
    <row r="520">
      <c r="A520" s="78"/>
      <c r="B520" s="78"/>
      <c r="C520" s="45"/>
      <c r="D520" s="45"/>
      <c r="E520" s="45"/>
      <c r="F520" s="45"/>
      <c r="G520" s="45"/>
      <c r="H520" s="45"/>
      <c r="I520" s="45"/>
      <c r="J520" s="45"/>
      <c r="K520" s="78"/>
      <c r="L520" s="78"/>
    </row>
    <row r="521">
      <c r="A521" s="78"/>
      <c r="B521" s="78"/>
      <c r="C521" s="45"/>
      <c r="D521" s="45"/>
      <c r="E521" s="45"/>
      <c r="F521" s="45"/>
      <c r="G521" s="45"/>
      <c r="H521" s="45"/>
      <c r="I521" s="45"/>
      <c r="J521" s="45"/>
      <c r="K521" s="78"/>
      <c r="L521" s="78"/>
    </row>
    <row r="522">
      <c r="A522" s="78"/>
      <c r="B522" s="78"/>
      <c r="C522" s="45"/>
      <c r="D522" s="45"/>
      <c r="E522" s="45"/>
      <c r="F522" s="45"/>
      <c r="G522" s="45"/>
      <c r="H522" s="45"/>
      <c r="I522" s="45"/>
      <c r="J522" s="45"/>
      <c r="K522" s="78"/>
      <c r="L522" s="78"/>
    </row>
    <row r="523">
      <c r="A523" s="78"/>
      <c r="B523" s="78"/>
      <c r="C523" s="45"/>
      <c r="D523" s="45"/>
      <c r="E523" s="45"/>
      <c r="F523" s="45"/>
      <c r="G523" s="45"/>
      <c r="H523" s="45"/>
      <c r="I523" s="45"/>
      <c r="J523" s="45"/>
      <c r="K523" s="78"/>
      <c r="L523" s="78"/>
    </row>
    <row r="524">
      <c r="A524" s="78"/>
      <c r="B524" s="78"/>
      <c r="C524" s="45"/>
      <c r="D524" s="45"/>
      <c r="E524" s="45"/>
      <c r="F524" s="45"/>
      <c r="G524" s="45"/>
      <c r="H524" s="45"/>
      <c r="I524" s="45"/>
      <c r="J524" s="45"/>
      <c r="K524" s="78"/>
      <c r="L524" s="78"/>
    </row>
    <row r="525">
      <c r="A525" s="78"/>
      <c r="B525" s="78"/>
      <c r="C525" s="45"/>
      <c r="D525" s="45"/>
      <c r="E525" s="45"/>
      <c r="F525" s="45"/>
      <c r="G525" s="45"/>
      <c r="H525" s="45"/>
      <c r="I525" s="45"/>
      <c r="J525" s="45"/>
      <c r="K525" s="78"/>
      <c r="L525" s="78"/>
    </row>
    <row r="526">
      <c r="A526" s="78"/>
      <c r="B526" s="78"/>
      <c r="C526" s="45"/>
      <c r="D526" s="45"/>
      <c r="E526" s="45"/>
      <c r="F526" s="45"/>
      <c r="G526" s="45"/>
      <c r="H526" s="45"/>
      <c r="I526" s="45"/>
      <c r="J526" s="45"/>
      <c r="K526" s="78"/>
      <c r="L526" s="78"/>
    </row>
    <row r="527">
      <c r="A527" s="78"/>
      <c r="B527" s="78"/>
      <c r="C527" s="45"/>
      <c r="D527" s="45"/>
      <c r="E527" s="45"/>
      <c r="F527" s="45"/>
      <c r="G527" s="45"/>
      <c r="H527" s="45"/>
      <c r="I527" s="45"/>
      <c r="J527" s="45"/>
      <c r="K527" s="78"/>
      <c r="L527" s="78"/>
    </row>
    <row r="528">
      <c r="A528" s="78"/>
      <c r="B528" s="78"/>
      <c r="C528" s="45"/>
      <c r="D528" s="45"/>
      <c r="E528" s="45"/>
      <c r="F528" s="45"/>
      <c r="G528" s="45"/>
      <c r="H528" s="45"/>
      <c r="I528" s="45"/>
      <c r="J528" s="45"/>
      <c r="K528" s="78"/>
      <c r="L528" s="78"/>
    </row>
    <row r="529">
      <c r="A529" s="78"/>
      <c r="B529" s="78"/>
      <c r="C529" s="45"/>
      <c r="D529" s="45"/>
      <c r="E529" s="45"/>
      <c r="F529" s="45"/>
      <c r="G529" s="45"/>
      <c r="H529" s="45"/>
      <c r="I529" s="45"/>
      <c r="J529" s="45"/>
      <c r="K529" s="78"/>
      <c r="L529" s="78"/>
    </row>
    <row r="530">
      <c r="A530" s="78"/>
      <c r="B530" s="78"/>
      <c r="C530" s="45"/>
      <c r="D530" s="45"/>
      <c r="E530" s="45"/>
      <c r="F530" s="45"/>
      <c r="G530" s="45"/>
      <c r="H530" s="45"/>
      <c r="I530" s="45"/>
      <c r="J530" s="45"/>
      <c r="K530" s="78"/>
      <c r="L530" s="78"/>
    </row>
    <row r="531">
      <c r="A531" s="78"/>
      <c r="B531" s="78"/>
      <c r="C531" s="45"/>
      <c r="D531" s="45"/>
      <c r="E531" s="45"/>
      <c r="F531" s="45"/>
      <c r="G531" s="45"/>
      <c r="H531" s="45"/>
      <c r="I531" s="45"/>
      <c r="J531" s="45"/>
      <c r="K531" s="78"/>
      <c r="L531" s="78"/>
    </row>
    <row r="532">
      <c r="A532" s="78"/>
      <c r="B532" s="78"/>
      <c r="C532" s="45"/>
      <c r="D532" s="45"/>
      <c r="E532" s="45"/>
      <c r="F532" s="45"/>
      <c r="G532" s="45"/>
      <c r="H532" s="45"/>
      <c r="I532" s="45"/>
      <c r="J532" s="45"/>
      <c r="K532" s="78"/>
      <c r="L532" s="78"/>
    </row>
    <row r="533">
      <c r="A533" s="78"/>
      <c r="B533" s="78"/>
      <c r="C533" s="45"/>
      <c r="D533" s="45"/>
      <c r="E533" s="45"/>
      <c r="F533" s="45"/>
      <c r="G533" s="45"/>
      <c r="H533" s="45"/>
      <c r="I533" s="45"/>
      <c r="J533" s="45"/>
      <c r="K533" s="78"/>
      <c r="L533" s="78"/>
    </row>
    <row r="534">
      <c r="A534" s="78"/>
      <c r="B534" s="78"/>
      <c r="C534" s="45"/>
      <c r="D534" s="45"/>
      <c r="E534" s="45"/>
      <c r="F534" s="45"/>
      <c r="G534" s="45"/>
      <c r="H534" s="45"/>
      <c r="I534" s="45"/>
      <c r="J534" s="45"/>
      <c r="K534" s="78"/>
      <c r="L534" s="78"/>
    </row>
    <row r="535">
      <c r="A535" s="78"/>
      <c r="B535" s="78"/>
      <c r="C535" s="45"/>
      <c r="D535" s="45"/>
      <c r="E535" s="45"/>
      <c r="F535" s="45"/>
      <c r="G535" s="45"/>
      <c r="H535" s="45"/>
      <c r="I535" s="45"/>
      <c r="J535" s="45"/>
      <c r="K535" s="78"/>
      <c r="L535" s="78"/>
    </row>
    <row r="536">
      <c r="A536" s="78"/>
      <c r="B536" s="78"/>
      <c r="C536" s="45"/>
      <c r="D536" s="45"/>
      <c r="E536" s="45"/>
      <c r="F536" s="45"/>
      <c r="G536" s="45"/>
      <c r="H536" s="45"/>
      <c r="I536" s="45"/>
      <c r="J536" s="45"/>
      <c r="K536" s="78"/>
      <c r="L536" s="78"/>
    </row>
    <row r="537">
      <c r="A537" s="78"/>
      <c r="B537" s="78"/>
      <c r="C537" s="45"/>
      <c r="D537" s="45"/>
      <c r="E537" s="45"/>
      <c r="F537" s="45"/>
      <c r="G537" s="45"/>
      <c r="H537" s="45"/>
      <c r="I537" s="45"/>
      <c r="J537" s="45"/>
      <c r="K537" s="78"/>
      <c r="L537" s="78"/>
    </row>
    <row r="538">
      <c r="A538" s="78"/>
      <c r="B538" s="78"/>
      <c r="C538" s="45"/>
      <c r="D538" s="45"/>
      <c r="E538" s="45"/>
      <c r="F538" s="45"/>
      <c r="G538" s="45"/>
      <c r="H538" s="45"/>
      <c r="I538" s="45"/>
      <c r="J538" s="45"/>
      <c r="K538" s="78"/>
      <c r="L538" s="78"/>
    </row>
    <row r="539">
      <c r="A539" s="78"/>
      <c r="B539" s="78"/>
      <c r="C539" s="45"/>
      <c r="D539" s="45"/>
      <c r="E539" s="45"/>
      <c r="F539" s="45"/>
      <c r="G539" s="45"/>
      <c r="H539" s="45"/>
      <c r="I539" s="45"/>
      <c r="J539" s="45"/>
      <c r="K539" s="78"/>
      <c r="L539" s="78"/>
    </row>
    <row r="540">
      <c r="A540" s="78"/>
      <c r="B540" s="78"/>
      <c r="C540" s="45"/>
      <c r="D540" s="45"/>
      <c r="E540" s="45"/>
      <c r="F540" s="45"/>
      <c r="G540" s="45"/>
      <c r="H540" s="45"/>
      <c r="I540" s="45"/>
      <c r="J540" s="45"/>
      <c r="K540" s="78"/>
      <c r="L540" s="78"/>
    </row>
    <row r="541">
      <c r="A541" s="78"/>
      <c r="B541" s="78"/>
      <c r="C541" s="45"/>
      <c r="D541" s="45"/>
      <c r="E541" s="45"/>
      <c r="F541" s="45"/>
      <c r="G541" s="45"/>
      <c r="H541" s="45"/>
      <c r="I541" s="45"/>
      <c r="J541" s="45"/>
      <c r="K541" s="78"/>
      <c r="L541" s="78"/>
    </row>
    <row r="542">
      <c r="A542" s="78"/>
      <c r="B542" s="78"/>
      <c r="C542" s="45"/>
      <c r="D542" s="45"/>
      <c r="E542" s="45"/>
      <c r="F542" s="45"/>
      <c r="G542" s="45"/>
      <c r="H542" s="45"/>
      <c r="I542" s="45"/>
      <c r="J542" s="45"/>
      <c r="K542" s="78"/>
      <c r="L542" s="78"/>
    </row>
    <row r="543">
      <c r="A543" s="78"/>
      <c r="B543" s="78"/>
      <c r="C543" s="45"/>
      <c r="D543" s="45"/>
      <c r="E543" s="45"/>
      <c r="F543" s="45"/>
      <c r="G543" s="45"/>
      <c r="H543" s="45"/>
      <c r="I543" s="45"/>
      <c r="J543" s="45"/>
      <c r="K543" s="78"/>
      <c r="L543" s="78"/>
    </row>
    <row r="544">
      <c r="A544" s="78"/>
      <c r="B544" s="78"/>
      <c r="C544" s="45"/>
      <c r="D544" s="45"/>
      <c r="E544" s="45"/>
      <c r="F544" s="45"/>
      <c r="G544" s="45"/>
      <c r="H544" s="45"/>
      <c r="I544" s="45"/>
      <c r="J544" s="45"/>
      <c r="K544" s="78"/>
      <c r="L544" s="78"/>
    </row>
    <row r="545">
      <c r="A545" s="78"/>
      <c r="B545" s="78"/>
      <c r="C545" s="45"/>
      <c r="D545" s="45"/>
      <c r="E545" s="45"/>
      <c r="F545" s="45"/>
      <c r="G545" s="45"/>
      <c r="H545" s="45"/>
      <c r="I545" s="45"/>
      <c r="J545" s="45"/>
      <c r="K545" s="78"/>
      <c r="L545" s="78"/>
    </row>
    <row r="546">
      <c r="A546" s="78"/>
      <c r="B546" s="78"/>
      <c r="C546" s="45"/>
      <c r="D546" s="45"/>
      <c r="E546" s="45"/>
      <c r="F546" s="45"/>
      <c r="G546" s="45"/>
      <c r="H546" s="45"/>
      <c r="I546" s="45"/>
      <c r="J546" s="45"/>
      <c r="K546" s="78"/>
      <c r="L546" s="78"/>
    </row>
    <row r="547">
      <c r="A547" s="78"/>
      <c r="B547" s="78"/>
      <c r="C547" s="45"/>
      <c r="D547" s="45"/>
      <c r="E547" s="45"/>
      <c r="F547" s="45"/>
      <c r="G547" s="45"/>
      <c r="H547" s="45"/>
      <c r="I547" s="45"/>
      <c r="J547" s="45"/>
      <c r="K547" s="78"/>
      <c r="L547" s="78"/>
    </row>
    <row r="548">
      <c r="A548" s="78"/>
      <c r="B548" s="78"/>
      <c r="C548" s="45"/>
      <c r="D548" s="45"/>
      <c r="E548" s="45"/>
      <c r="F548" s="45"/>
      <c r="G548" s="45"/>
      <c r="H548" s="45"/>
      <c r="I548" s="45"/>
      <c r="J548" s="45"/>
      <c r="K548" s="78"/>
      <c r="L548" s="78"/>
    </row>
    <row r="549">
      <c r="A549" s="78"/>
      <c r="B549" s="78"/>
      <c r="C549" s="45"/>
      <c r="D549" s="45"/>
      <c r="E549" s="45"/>
      <c r="F549" s="45"/>
      <c r="G549" s="45"/>
      <c r="H549" s="45"/>
      <c r="I549" s="45"/>
      <c r="J549" s="45"/>
      <c r="K549" s="78"/>
      <c r="L549" s="78"/>
    </row>
    <row r="550">
      <c r="A550" s="78"/>
      <c r="B550" s="78"/>
      <c r="C550" s="45"/>
      <c r="D550" s="45"/>
      <c r="E550" s="45"/>
      <c r="F550" s="45"/>
      <c r="G550" s="45"/>
      <c r="H550" s="45"/>
      <c r="I550" s="45"/>
      <c r="J550" s="45"/>
      <c r="K550" s="78"/>
      <c r="L550" s="78"/>
    </row>
    <row r="551">
      <c r="A551" s="78"/>
      <c r="B551" s="78"/>
      <c r="C551" s="45"/>
      <c r="D551" s="45"/>
      <c r="E551" s="45"/>
      <c r="F551" s="45"/>
      <c r="G551" s="45"/>
      <c r="H551" s="45"/>
      <c r="I551" s="45"/>
      <c r="J551" s="45"/>
      <c r="K551" s="78"/>
      <c r="L551" s="78"/>
    </row>
    <row r="552">
      <c r="A552" s="78"/>
      <c r="B552" s="78"/>
      <c r="C552" s="45"/>
      <c r="D552" s="45"/>
      <c r="E552" s="45"/>
      <c r="F552" s="45"/>
      <c r="G552" s="45"/>
      <c r="H552" s="45"/>
      <c r="I552" s="45"/>
      <c r="J552" s="45"/>
      <c r="K552" s="78"/>
      <c r="L552" s="78"/>
    </row>
    <row r="553">
      <c r="A553" s="78"/>
      <c r="B553" s="78"/>
      <c r="C553" s="45"/>
      <c r="D553" s="45"/>
      <c r="E553" s="45"/>
      <c r="F553" s="45"/>
      <c r="G553" s="45"/>
      <c r="H553" s="45"/>
      <c r="I553" s="45"/>
      <c r="J553" s="45"/>
      <c r="K553" s="78"/>
      <c r="L553" s="78"/>
    </row>
    <row r="554">
      <c r="A554" s="78"/>
      <c r="B554" s="78"/>
      <c r="C554" s="45"/>
      <c r="D554" s="45"/>
      <c r="E554" s="45"/>
      <c r="F554" s="45"/>
      <c r="G554" s="45"/>
      <c r="H554" s="45"/>
      <c r="I554" s="45"/>
      <c r="J554" s="45"/>
      <c r="K554" s="78"/>
      <c r="L554" s="78"/>
    </row>
    <row r="555">
      <c r="A555" s="78"/>
      <c r="B555" s="78"/>
      <c r="C555" s="45"/>
      <c r="D555" s="45"/>
      <c r="E555" s="45"/>
      <c r="F555" s="45"/>
      <c r="G555" s="45"/>
      <c r="H555" s="45"/>
      <c r="I555" s="45"/>
      <c r="J555" s="45"/>
      <c r="K555" s="78"/>
      <c r="L555" s="78"/>
    </row>
    <row r="556">
      <c r="A556" s="78"/>
      <c r="B556" s="78"/>
      <c r="C556" s="45"/>
      <c r="D556" s="45"/>
      <c r="E556" s="45"/>
      <c r="F556" s="45"/>
      <c r="G556" s="45"/>
      <c r="H556" s="45"/>
      <c r="I556" s="45"/>
      <c r="J556" s="45"/>
      <c r="K556" s="78"/>
      <c r="L556" s="78"/>
    </row>
    <row r="557">
      <c r="A557" s="78"/>
      <c r="B557" s="78"/>
      <c r="C557" s="45"/>
      <c r="D557" s="45"/>
      <c r="E557" s="45"/>
      <c r="F557" s="45"/>
      <c r="G557" s="45"/>
      <c r="H557" s="45"/>
      <c r="I557" s="45"/>
      <c r="J557" s="45"/>
      <c r="K557" s="78"/>
      <c r="L557" s="78"/>
    </row>
    <row r="558">
      <c r="A558" s="78"/>
      <c r="B558" s="78"/>
      <c r="C558" s="45"/>
      <c r="D558" s="45"/>
      <c r="E558" s="45"/>
      <c r="F558" s="45"/>
      <c r="G558" s="45"/>
      <c r="H558" s="45"/>
      <c r="I558" s="45"/>
      <c r="J558" s="45"/>
      <c r="K558" s="78"/>
      <c r="L558" s="78"/>
    </row>
    <row r="559">
      <c r="A559" s="78"/>
      <c r="B559" s="78"/>
      <c r="C559" s="45"/>
      <c r="D559" s="45"/>
      <c r="E559" s="45"/>
      <c r="F559" s="45"/>
      <c r="G559" s="45"/>
      <c r="H559" s="45"/>
      <c r="I559" s="45"/>
      <c r="J559" s="45"/>
      <c r="K559" s="78"/>
      <c r="L559" s="78"/>
    </row>
    <row r="560">
      <c r="A560" s="78"/>
      <c r="B560" s="78"/>
      <c r="C560" s="45"/>
      <c r="D560" s="45"/>
      <c r="E560" s="45"/>
      <c r="F560" s="45"/>
      <c r="G560" s="45"/>
      <c r="H560" s="45"/>
      <c r="I560" s="45"/>
      <c r="J560" s="45"/>
      <c r="K560" s="78"/>
      <c r="L560" s="78"/>
    </row>
    <row r="561">
      <c r="A561" s="78"/>
      <c r="B561" s="78"/>
      <c r="C561" s="45"/>
      <c r="D561" s="45"/>
      <c r="E561" s="45"/>
      <c r="F561" s="45"/>
      <c r="G561" s="45"/>
      <c r="H561" s="45"/>
      <c r="I561" s="45"/>
      <c r="J561" s="45"/>
      <c r="K561" s="78"/>
      <c r="L561" s="78"/>
    </row>
    <row r="562">
      <c r="A562" s="78"/>
      <c r="B562" s="78"/>
      <c r="C562" s="45"/>
      <c r="D562" s="45"/>
      <c r="E562" s="45"/>
      <c r="F562" s="45"/>
      <c r="G562" s="45"/>
      <c r="H562" s="45"/>
      <c r="I562" s="45"/>
      <c r="J562" s="45"/>
      <c r="K562" s="78"/>
      <c r="L562" s="78"/>
    </row>
    <row r="563">
      <c r="A563" s="78"/>
      <c r="B563" s="78"/>
      <c r="C563" s="45"/>
      <c r="D563" s="45"/>
      <c r="E563" s="45"/>
      <c r="F563" s="45"/>
      <c r="G563" s="45"/>
      <c r="H563" s="45"/>
      <c r="I563" s="45"/>
      <c r="J563" s="45"/>
      <c r="K563" s="78"/>
      <c r="L563" s="78"/>
    </row>
    <row r="564">
      <c r="A564" s="78"/>
      <c r="B564" s="78"/>
      <c r="C564" s="45"/>
      <c r="D564" s="45"/>
      <c r="E564" s="45"/>
      <c r="F564" s="45"/>
      <c r="G564" s="45"/>
      <c r="H564" s="45"/>
      <c r="I564" s="45"/>
      <c r="J564" s="45"/>
      <c r="K564" s="78"/>
      <c r="L564" s="78"/>
    </row>
    <row r="565">
      <c r="A565" s="78"/>
      <c r="B565" s="78"/>
      <c r="C565" s="45"/>
      <c r="D565" s="45"/>
      <c r="E565" s="45"/>
      <c r="F565" s="45"/>
      <c r="G565" s="45"/>
      <c r="H565" s="45"/>
      <c r="I565" s="45"/>
      <c r="J565" s="45"/>
      <c r="K565" s="78"/>
      <c r="L565" s="78"/>
    </row>
    <row r="566">
      <c r="A566" s="78"/>
      <c r="B566" s="78"/>
      <c r="C566" s="45"/>
      <c r="D566" s="45"/>
      <c r="E566" s="45"/>
      <c r="F566" s="45"/>
      <c r="G566" s="45"/>
      <c r="H566" s="45"/>
      <c r="I566" s="45"/>
      <c r="J566" s="45"/>
      <c r="K566" s="78"/>
      <c r="L566" s="78"/>
    </row>
    <row r="567">
      <c r="A567" s="78"/>
      <c r="B567" s="78"/>
      <c r="C567" s="45"/>
      <c r="D567" s="45"/>
      <c r="E567" s="45"/>
      <c r="F567" s="45"/>
      <c r="G567" s="45"/>
      <c r="H567" s="45"/>
      <c r="I567" s="45"/>
      <c r="J567" s="45"/>
      <c r="K567" s="78"/>
      <c r="L567" s="78"/>
    </row>
    <row r="568">
      <c r="A568" s="78"/>
      <c r="B568" s="78"/>
      <c r="C568" s="45"/>
      <c r="D568" s="45"/>
      <c r="E568" s="45"/>
      <c r="F568" s="45"/>
      <c r="G568" s="45"/>
      <c r="H568" s="45"/>
      <c r="I568" s="45"/>
      <c r="J568" s="45"/>
      <c r="K568" s="78"/>
      <c r="L568" s="78"/>
    </row>
    <row r="569">
      <c r="A569" s="78"/>
      <c r="B569" s="78"/>
      <c r="C569" s="45"/>
      <c r="D569" s="45"/>
      <c r="E569" s="45"/>
      <c r="F569" s="45"/>
      <c r="G569" s="45"/>
      <c r="H569" s="45"/>
      <c r="I569" s="45"/>
      <c r="J569" s="45"/>
      <c r="K569" s="78"/>
      <c r="L569" s="78"/>
    </row>
    <row r="570">
      <c r="A570" s="78"/>
      <c r="B570" s="78"/>
      <c r="C570" s="45"/>
      <c r="D570" s="45"/>
      <c r="E570" s="45"/>
      <c r="F570" s="45"/>
      <c r="G570" s="45"/>
      <c r="H570" s="45"/>
      <c r="I570" s="45"/>
      <c r="J570" s="45"/>
      <c r="K570" s="78"/>
      <c r="L570" s="78"/>
    </row>
    <row r="571">
      <c r="A571" s="78"/>
      <c r="B571" s="78"/>
      <c r="C571" s="45"/>
      <c r="D571" s="45"/>
      <c r="E571" s="45"/>
      <c r="F571" s="45"/>
      <c r="G571" s="45"/>
      <c r="H571" s="45"/>
      <c r="I571" s="45"/>
      <c r="J571" s="45"/>
      <c r="K571" s="78"/>
      <c r="L571" s="78"/>
    </row>
    <row r="572">
      <c r="A572" s="78"/>
      <c r="B572" s="78"/>
      <c r="C572" s="45"/>
      <c r="D572" s="45"/>
      <c r="E572" s="45"/>
      <c r="F572" s="45"/>
      <c r="G572" s="45"/>
      <c r="H572" s="45"/>
      <c r="I572" s="45"/>
      <c r="J572" s="45"/>
      <c r="K572" s="78"/>
      <c r="L572" s="78"/>
    </row>
    <row r="573">
      <c r="A573" s="78"/>
      <c r="B573" s="78"/>
      <c r="C573" s="45"/>
      <c r="D573" s="45"/>
      <c r="E573" s="45"/>
      <c r="F573" s="45"/>
      <c r="G573" s="45"/>
      <c r="H573" s="45"/>
      <c r="I573" s="45"/>
      <c r="J573" s="45"/>
      <c r="K573" s="78"/>
      <c r="L573" s="78"/>
    </row>
    <row r="574">
      <c r="A574" s="78"/>
      <c r="B574" s="78"/>
      <c r="C574" s="45"/>
      <c r="D574" s="45"/>
      <c r="E574" s="45"/>
      <c r="F574" s="45"/>
      <c r="G574" s="45"/>
      <c r="H574" s="45"/>
      <c r="I574" s="45"/>
      <c r="J574" s="45"/>
      <c r="K574" s="78"/>
      <c r="L574" s="78"/>
    </row>
    <row r="575">
      <c r="A575" s="78"/>
      <c r="B575" s="78"/>
      <c r="C575" s="45"/>
      <c r="D575" s="45"/>
      <c r="E575" s="45"/>
      <c r="F575" s="45"/>
      <c r="G575" s="45"/>
      <c r="H575" s="45"/>
      <c r="I575" s="45"/>
      <c r="J575" s="45"/>
      <c r="K575" s="78"/>
      <c r="L575" s="78"/>
    </row>
    <row r="576">
      <c r="A576" s="78"/>
      <c r="B576" s="78"/>
      <c r="C576" s="45"/>
      <c r="D576" s="45"/>
      <c r="E576" s="45"/>
      <c r="F576" s="45"/>
      <c r="G576" s="45"/>
      <c r="H576" s="45"/>
      <c r="I576" s="45"/>
      <c r="J576" s="45"/>
      <c r="K576" s="78"/>
      <c r="L576" s="78"/>
    </row>
    <row r="577">
      <c r="A577" s="78"/>
      <c r="B577" s="78"/>
      <c r="C577" s="45"/>
      <c r="D577" s="45"/>
      <c r="E577" s="45"/>
      <c r="F577" s="45"/>
      <c r="G577" s="45"/>
      <c r="H577" s="45"/>
      <c r="I577" s="45"/>
      <c r="J577" s="45"/>
      <c r="K577" s="78"/>
      <c r="L577" s="78"/>
    </row>
    <row r="578">
      <c r="A578" s="78"/>
      <c r="B578" s="78"/>
      <c r="C578" s="45"/>
      <c r="D578" s="45"/>
      <c r="E578" s="45"/>
      <c r="F578" s="45"/>
      <c r="G578" s="45"/>
      <c r="H578" s="45"/>
      <c r="I578" s="45"/>
      <c r="J578" s="45"/>
      <c r="K578" s="78"/>
      <c r="L578" s="78"/>
    </row>
    <row r="579">
      <c r="A579" s="78"/>
      <c r="B579" s="78"/>
      <c r="C579" s="45"/>
      <c r="D579" s="45"/>
      <c r="E579" s="45"/>
      <c r="F579" s="45"/>
      <c r="G579" s="45"/>
      <c r="H579" s="45"/>
      <c r="I579" s="45"/>
      <c r="J579" s="45"/>
      <c r="K579" s="78"/>
      <c r="L579" s="78"/>
    </row>
    <row r="580">
      <c r="A580" s="78"/>
      <c r="B580" s="78"/>
      <c r="C580" s="45"/>
      <c r="D580" s="45"/>
      <c r="E580" s="45"/>
      <c r="F580" s="45"/>
      <c r="G580" s="45"/>
      <c r="H580" s="45"/>
      <c r="I580" s="45"/>
      <c r="J580" s="45"/>
      <c r="K580" s="78"/>
      <c r="L580" s="78"/>
    </row>
    <row r="581">
      <c r="A581" s="78"/>
      <c r="B581" s="78"/>
      <c r="C581" s="45"/>
      <c r="D581" s="45"/>
      <c r="E581" s="45"/>
      <c r="F581" s="45"/>
      <c r="G581" s="45"/>
      <c r="H581" s="45"/>
      <c r="I581" s="45"/>
      <c r="J581" s="45"/>
      <c r="K581" s="78"/>
      <c r="L581" s="78"/>
    </row>
    <row r="582">
      <c r="A582" s="78"/>
      <c r="B582" s="78"/>
      <c r="C582" s="45"/>
      <c r="D582" s="45"/>
      <c r="E582" s="45"/>
      <c r="F582" s="45"/>
      <c r="G582" s="45"/>
      <c r="H582" s="45"/>
      <c r="I582" s="45"/>
      <c r="J582" s="45"/>
      <c r="K582" s="78"/>
      <c r="L582" s="78"/>
    </row>
    <row r="583">
      <c r="A583" s="78"/>
      <c r="B583" s="78"/>
      <c r="C583" s="45"/>
      <c r="D583" s="45"/>
      <c r="E583" s="45"/>
      <c r="F583" s="45"/>
      <c r="G583" s="45"/>
      <c r="H583" s="45"/>
      <c r="I583" s="45"/>
      <c r="J583" s="45"/>
      <c r="K583" s="78"/>
      <c r="L583" s="78"/>
    </row>
    <row r="584">
      <c r="A584" s="78"/>
      <c r="B584" s="78"/>
      <c r="C584" s="45"/>
      <c r="D584" s="45"/>
      <c r="E584" s="45"/>
      <c r="F584" s="45"/>
      <c r="G584" s="45"/>
      <c r="H584" s="45"/>
      <c r="I584" s="45"/>
      <c r="J584" s="45"/>
      <c r="K584" s="78"/>
      <c r="L584" s="78"/>
    </row>
    <row r="585">
      <c r="A585" s="78"/>
      <c r="B585" s="78"/>
      <c r="C585" s="45"/>
      <c r="D585" s="45"/>
      <c r="E585" s="45"/>
      <c r="F585" s="45"/>
      <c r="G585" s="45"/>
      <c r="H585" s="45"/>
      <c r="I585" s="45"/>
      <c r="J585" s="45"/>
      <c r="K585" s="78"/>
      <c r="L585" s="78"/>
    </row>
    <row r="586">
      <c r="A586" s="78"/>
      <c r="B586" s="78"/>
      <c r="C586" s="45"/>
      <c r="D586" s="45"/>
      <c r="E586" s="45"/>
      <c r="F586" s="45"/>
      <c r="G586" s="45"/>
      <c r="H586" s="45"/>
      <c r="I586" s="45"/>
      <c r="J586" s="45"/>
      <c r="K586" s="78"/>
      <c r="L586" s="78"/>
    </row>
    <row r="587">
      <c r="A587" s="78"/>
      <c r="B587" s="78"/>
      <c r="C587" s="45"/>
      <c r="D587" s="45"/>
      <c r="E587" s="45"/>
      <c r="F587" s="45"/>
      <c r="G587" s="45"/>
      <c r="H587" s="45"/>
      <c r="I587" s="45"/>
      <c r="J587" s="45"/>
      <c r="K587" s="78"/>
      <c r="L587" s="78"/>
    </row>
    <row r="588">
      <c r="A588" s="78"/>
      <c r="B588" s="78"/>
      <c r="C588" s="45"/>
      <c r="D588" s="45"/>
      <c r="E588" s="45"/>
      <c r="F588" s="45"/>
      <c r="G588" s="45"/>
      <c r="H588" s="45"/>
      <c r="I588" s="45"/>
      <c r="J588" s="45"/>
      <c r="K588" s="78"/>
      <c r="L588" s="78"/>
    </row>
    <row r="589">
      <c r="A589" s="78"/>
      <c r="B589" s="78"/>
      <c r="C589" s="45"/>
      <c r="D589" s="45"/>
      <c r="E589" s="45"/>
      <c r="F589" s="45"/>
      <c r="G589" s="45"/>
      <c r="H589" s="45"/>
      <c r="I589" s="45"/>
      <c r="J589" s="45"/>
      <c r="K589" s="78"/>
      <c r="L589" s="78"/>
    </row>
    <row r="590">
      <c r="A590" s="78"/>
      <c r="B590" s="78"/>
      <c r="C590" s="45"/>
      <c r="D590" s="45"/>
      <c r="E590" s="45"/>
      <c r="F590" s="45"/>
      <c r="G590" s="45"/>
      <c r="H590" s="45"/>
      <c r="I590" s="45"/>
      <c r="J590" s="45"/>
      <c r="K590" s="78"/>
      <c r="L590" s="78"/>
    </row>
    <row r="591">
      <c r="A591" s="78"/>
      <c r="B591" s="78"/>
      <c r="C591" s="45"/>
      <c r="D591" s="45"/>
      <c r="E591" s="45"/>
      <c r="F591" s="45"/>
      <c r="G591" s="45"/>
      <c r="H591" s="45"/>
      <c r="I591" s="45"/>
      <c r="J591" s="45"/>
      <c r="K591" s="78"/>
      <c r="L591" s="78"/>
    </row>
    <row r="592">
      <c r="A592" s="78"/>
      <c r="B592" s="78"/>
      <c r="C592" s="45"/>
      <c r="D592" s="45"/>
      <c r="E592" s="45"/>
      <c r="F592" s="45"/>
      <c r="G592" s="45"/>
      <c r="H592" s="45"/>
      <c r="I592" s="45"/>
      <c r="J592" s="45"/>
      <c r="K592" s="78"/>
      <c r="L592" s="78"/>
    </row>
    <row r="593">
      <c r="A593" s="78"/>
      <c r="B593" s="78"/>
      <c r="C593" s="45"/>
      <c r="D593" s="45"/>
      <c r="E593" s="45"/>
      <c r="F593" s="45"/>
      <c r="G593" s="45"/>
      <c r="H593" s="45"/>
      <c r="I593" s="45"/>
      <c r="J593" s="45"/>
      <c r="K593" s="78"/>
      <c r="L593" s="78"/>
    </row>
    <row r="594">
      <c r="A594" s="78"/>
      <c r="B594" s="78"/>
      <c r="C594" s="45"/>
      <c r="D594" s="45"/>
      <c r="E594" s="45"/>
      <c r="F594" s="45"/>
      <c r="G594" s="45"/>
      <c r="H594" s="45"/>
      <c r="I594" s="45"/>
      <c r="J594" s="45"/>
      <c r="K594" s="78"/>
      <c r="L594" s="78"/>
    </row>
    <row r="595">
      <c r="A595" s="78"/>
      <c r="B595" s="78"/>
      <c r="C595" s="45"/>
      <c r="D595" s="45"/>
      <c r="E595" s="45"/>
      <c r="F595" s="45"/>
      <c r="G595" s="45"/>
      <c r="H595" s="45"/>
      <c r="I595" s="45"/>
      <c r="J595" s="45"/>
      <c r="K595" s="78"/>
      <c r="L595" s="78"/>
    </row>
    <row r="596">
      <c r="A596" s="78"/>
      <c r="B596" s="78"/>
      <c r="C596" s="45"/>
      <c r="D596" s="45"/>
      <c r="E596" s="45"/>
      <c r="F596" s="45"/>
      <c r="G596" s="45"/>
      <c r="H596" s="45"/>
      <c r="I596" s="45"/>
      <c r="J596" s="45"/>
      <c r="K596" s="78"/>
      <c r="L596" s="78"/>
    </row>
    <row r="597">
      <c r="A597" s="78"/>
      <c r="B597" s="78"/>
      <c r="C597" s="45"/>
      <c r="D597" s="45"/>
      <c r="E597" s="45"/>
      <c r="F597" s="45"/>
      <c r="G597" s="45"/>
      <c r="H597" s="45"/>
      <c r="I597" s="45"/>
      <c r="J597" s="45"/>
      <c r="K597" s="78"/>
      <c r="L597" s="78"/>
    </row>
    <row r="598">
      <c r="A598" s="78"/>
      <c r="B598" s="78"/>
      <c r="C598" s="45"/>
      <c r="D598" s="45"/>
      <c r="E598" s="45"/>
      <c r="F598" s="45"/>
      <c r="G598" s="45"/>
      <c r="H598" s="45"/>
      <c r="I598" s="45"/>
      <c r="J598" s="45"/>
      <c r="K598" s="78"/>
      <c r="L598" s="78"/>
    </row>
    <row r="599">
      <c r="A599" s="78"/>
      <c r="B599" s="78"/>
      <c r="C599" s="45"/>
      <c r="D599" s="45"/>
      <c r="E599" s="45"/>
      <c r="F599" s="45"/>
      <c r="G599" s="45"/>
      <c r="H599" s="45"/>
      <c r="I599" s="45"/>
      <c r="J599" s="45"/>
      <c r="K599" s="78"/>
      <c r="L599" s="78"/>
    </row>
    <row r="600">
      <c r="A600" s="78"/>
      <c r="B600" s="78"/>
      <c r="C600" s="45"/>
      <c r="D600" s="45"/>
      <c r="E600" s="45"/>
      <c r="F600" s="45"/>
      <c r="G600" s="45"/>
      <c r="H600" s="45"/>
      <c r="I600" s="45"/>
      <c r="J600" s="45"/>
      <c r="K600" s="78"/>
      <c r="L600" s="78"/>
    </row>
    <row r="601">
      <c r="A601" s="78"/>
      <c r="B601" s="78"/>
      <c r="C601" s="45"/>
      <c r="D601" s="45"/>
      <c r="E601" s="45"/>
      <c r="F601" s="45"/>
      <c r="G601" s="45"/>
      <c r="H601" s="45"/>
      <c r="I601" s="45"/>
      <c r="J601" s="45"/>
      <c r="K601" s="78"/>
      <c r="L601" s="78"/>
    </row>
    <row r="602">
      <c r="A602" s="78"/>
      <c r="B602" s="78"/>
      <c r="C602" s="45"/>
      <c r="D602" s="45"/>
      <c r="E602" s="45"/>
      <c r="F602" s="45"/>
      <c r="G602" s="45"/>
      <c r="H602" s="45"/>
      <c r="I602" s="45"/>
      <c r="J602" s="45"/>
      <c r="K602" s="78"/>
      <c r="L602" s="78"/>
    </row>
    <row r="603">
      <c r="A603" s="78"/>
      <c r="B603" s="78"/>
      <c r="C603" s="45"/>
      <c r="D603" s="45"/>
      <c r="E603" s="45"/>
      <c r="F603" s="45"/>
      <c r="G603" s="45"/>
      <c r="H603" s="45"/>
      <c r="I603" s="45"/>
      <c r="J603" s="45"/>
      <c r="K603" s="78"/>
      <c r="L603" s="78"/>
    </row>
    <row r="604">
      <c r="A604" s="78"/>
      <c r="B604" s="78"/>
      <c r="C604" s="45"/>
      <c r="D604" s="45"/>
      <c r="E604" s="45"/>
      <c r="F604" s="45"/>
      <c r="G604" s="45"/>
      <c r="H604" s="45"/>
      <c r="I604" s="45"/>
      <c r="J604" s="45"/>
      <c r="K604" s="78"/>
      <c r="L604" s="78"/>
    </row>
    <row r="605">
      <c r="A605" s="78"/>
      <c r="B605" s="78"/>
      <c r="C605" s="45"/>
      <c r="D605" s="45"/>
      <c r="E605" s="45"/>
      <c r="F605" s="45"/>
      <c r="G605" s="45"/>
      <c r="H605" s="45"/>
      <c r="I605" s="45"/>
      <c r="J605" s="45"/>
      <c r="K605" s="78"/>
      <c r="L605" s="78"/>
    </row>
    <row r="606">
      <c r="A606" s="78"/>
      <c r="B606" s="78"/>
      <c r="C606" s="45"/>
      <c r="D606" s="45"/>
      <c r="E606" s="45"/>
      <c r="F606" s="45"/>
      <c r="G606" s="45"/>
      <c r="H606" s="45"/>
      <c r="I606" s="45"/>
      <c r="J606" s="45"/>
      <c r="K606" s="78"/>
      <c r="L606" s="78"/>
    </row>
    <row r="607">
      <c r="A607" s="78"/>
      <c r="B607" s="78"/>
      <c r="C607" s="45"/>
      <c r="D607" s="45"/>
      <c r="E607" s="45"/>
      <c r="F607" s="45"/>
      <c r="G607" s="45"/>
      <c r="H607" s="45"/>
      <c r="I607" s="45"/>
      <c r="J607" s="45"/>
      <c r="K607" s="78"/>
      <c r="L607" s="78"/>
    </row>
    <row r="608">
      <c r="A608" s="78"/>
      <c r="B608" s="78"/>
      <c r="C608" s="45"/>
      <c r="D608" s="45"/>
      <c r="E608" s="45"/>
      <c r="F608" s="45"/>
      <c r="G608" s="45"/>
      <c r="H608" s="45"/>
      <c r="I608" s="45"/>
      <c r="J608" s="45"/>
      <c r="K608" s="78"/>
      <c r="L608" s="78"/>
    </row>
    <row r="609">
      <c r="A609" s="78"/>
      <c r="B609" s="78"/>
      <c r="C609" s="45"/>
      <c r="D609" s="45"/>
      <c r="E609" s="45"/>
      <c r="F609" s="45"/>
      <c r="G609" s="45"/>
      <c r="H609" s="45"/>
      <c r="I609" s="45"/>
      <c r="J609" s="45"/>
      <c r="K609" s="78"/>
      <c r="L609" s="78"/>
    </row>
    <row r="610">
      <c r="A610" s="78"/>
      <c r="B610" s="78"/>
      <c r="C610" s="45"/>
      <c r="D610" s="45"/>
      <c r="E610" s="45"/>
      <c r="F610" s="45"/>
      <c r="G610" s="45"/>
      <c r="H610" s="45"/>
      <c r="I610" s="45"/>
      <c r="J610" s="45"/>
      <c r="K610" s="78"/>
      <c r="L610" s="78"/>
    </row>
    <row r="611">
      <c r="A611" s="78"/>
      <c r="B611" s="78"/>
      <c r="C611" s="45"/>
      <c r="D611" s="45"/>
      <c r="E611" s="45"/>
      <c r="F611" s="45"/>
      <c r="G611" s="45"/>
      <c r="H611" s="45"/>
      <c r="I611" s="45"/>
      <c r="J611" s="45"/>
      <c r="K611" s="78"/>
      <c r="L611" s="78"/>
    </row>
    <row r="612">
      <c r="A612" s="78"/>
      <c r="B612" s="78"/>
      <c r="C612" s="45"/>
      <c r="D612" s="45"/>
      <c r="E612" s="45"/>
      <c r="F612" s="45"/>
      <c r="G612" s="45"/>
      <c r="H612" s="45"/>
      <c r="I612" s="45"/>
      <c r="J612" s="45"/>
      <c r="K612" s="78"/>
      <c r="L612" s="78"/>
    </row>
    <row r="613">
      <c r="A613" s="78"/>
      <c r="B613" s="78"/>
      <c r="C613" s="45"/>
      <c r="D613" s="45"/>
      <c r="E613" s="45"/>
      <c r="F613" s="45"/>
      <c r="G613" s="45"/>
      <c r="H613" s="45"/>
      <c r="I613" s="45"/>
      <c r="J613" s="45"/>
      <c r="K613" s="78"/>
      <c r="L613" s="78"/>
    </row>
    <row r="614">
      <c r="A614" s="78"/>
      <c r="B614" s="78"/>
      <c r="C614" s="45"/>
      <c r="D614" s="45"/>
      <c r="E614" s="45"/>
      <c r="F614" s="45"/>
      <c r="G614" s="45"/>
      <c r="H614" s="45"/>
      <c r="I614" s="45"/>
      <c r="J614" s="45"/>
      <c r="K614" s="78"/>
      <c r="L614" s="78"/>
    </row>
    <row r="615">
      <c r="A615" s="78"/>
      <c r="B615" s="78"/>
      <c r="C615" s="45"/>
      <c r="D615" s="45"/>
      <c r="E615" s="45"/>
      <c r="F615" s="45"/>
      <c r="G615" s="45"/>
      <c r="H615" s="45"/>
      <c r="I615" s="45"/>
      <c r="J615" s="45"/>
      <c r="K615" s="78"/>
      <c r="L615" s="78"/>
    </row>
    <row r="616">
      <c r="A616" s="78"/>
      <c r="B616" s="78"/>
      <c r="C616" s="45"/>
      <c r="D616" s="45"/>
      <c r="E616" s="45"/>
      <c r="F616" s="45"/>
      <c r="G616" s="45"/>
      <c r="H616" s="45"/>
      <c r="I616" s="45"/>
      <c r="J616" s="45"/>
      <c r="K616" s="78"/>
      <c r="L616" s="78"/>
    </row>
    <row r="617">
      <c r="A617" s="78"/>
      <c r="B617" s="78"/>
      <c r="C617" s="45"/>
      <c r="D617" s="45"/>
      <c r="E617" s="45"/>
      <c r="F617" s="45"/>
      <c r="G617" s="45"/>
      <c r="H617" s="45"/>
      <c r="I617" s="45"/>
      <c r="J617" s="45"/>
      <c r="K617" s="78"/>
      <c r="L617" s="78"/>
    </row>
    <row r="618">
      <c r="A618" s="78"/>
      <c r="B618" s="78"/>
      <c r="C618" s="45"/>
      <c r="D618" s="45"/>
      <c r="E618" s="45"/>
      <c r="F618" s="45"/>
      <c r="G618" s="45"/>
      <c r="H618" s="45"/>
      <c r="I618" s="45"/>
      <c r="J618" s="45"/>
      <c r="K618" s="78"/>
      <c r="L618" s="78"/>
    </row>
    <row r="619">
      <c r="A619" s="78"/>
      <c r="B619" s="78"/>
      <c r="C619" s="45"/>
      <c r="D619" s="45"/>
      <c r="E619" s="45"/>
      <c r="F619" s="45"/>
      <c r="G619" s="45"/>
      <c r="H619" s="45"/>
      <c r="I619" s="45"/>
      <c r="J619" s="45"/>
      <c r="K619" s="78"/>
      <c r="L619" s="78"/>
    </row>
    <row r="620">
      <c r="A620" s="78"/>
      <c r="B620" s="78"/>
      <c r="C620" s="45"/>
      <c r="D620" s="45"/>
      <c r="E620" s="45"/>
      <c r="F620" s="45"/>
      <c r="G620" s="45"/>
      <c r="H620" s="45"/>
      <c r="I620" s="45"/>
      <c r="J620" s="45"/>
      <c r="K620" s="78"/>
      <c r="L620" s="78"/>
    </row>
    <row r="621">
      <c r="A621" s="78"/>
      <c r="B621" s="78"/>
      <c r="C621" s="45"/>
      <c r="D621" s="45"/>
      <c r="E621" s="45"/>
      <c r="F621" s="45"/>
      <c r="G621" s="45"/>
      <c r="H621" s="45"/>
      <c r="I621" s="45"/>
      <c r="J621" s="45"/>
      <c r="K621" s="78"/>
      <c r="L621" s="78"/>
    </row>
    <row r="622">
      <c r="A622" s="78"/>
      <c r="B622" s="78"/>
      <c r="C622" s="45"/>
      <c r="D622" s="45"/>
      <c r="E622" s="45"/>
      <c r="F622" s="45"/>
      <c r="G622" s="45"/>
      <c r="H622" s="45"/>
      <c r="I622" s="45"/>
      <c r="J622" s="45"/>
      <c r="K622" s="78"/>
      <c r="L622" s="78"/>
    </row>
    <row r="623">
      <c r="A623" s="78"/>
      <c r="B623" s="78"/>
      <c r="C623" s="45"/>
      <c r="D623" s="45"/>
      <c r="E623" s="45"/>
      <c r="F623" s="45"/>
      <c r="G623" s="45"/>
      <c r="H623" s="45"/>
      <c r="I623" s="45"/>
      <c r="J623" s="45"/>
      <c r="K623" s="78"/>
      <c r="L623" s="78"/>
    </row>
    <row r="624">
      <c r="A624" s="78"/>
      <c r="B624" s="78"/>
      <c r="C624" s="45"/>
      <c r="D624" s="45"/>
      <c r="E624" s="45"/>
      <c r="F624" s="45"/>
      <c r="G624" s="45"/>
      <c r="H624" s="45"/>
      <c r="I624" s="45"/>
      <c r="J624" s="45"/>
      <c r="K624" s="78"/>
      <c r="L624" s="78"/>
    </row>
    <row r="625">
      <c r="A625" s="78"/>
      <c r="B625" s="78"/>
      <c r="C625" s="45"/>
      <c r="D625" s="45"/>
      <c r="E625" s="45"/>
      <c r="F625" s="45"/>
      <c r="G625" s="45"/>
      <c r="H625" s="45"/>
      <c r="I625" s="45"/>
      <c r="J625" s="45"/>
      <c r="K625" s="78"/>
      <c r="L625" s="78"/>
    </row>
    <row r="626">
      <c r="A626" s="78"/>
      <c r="B626" s="78"/>
      <c r="C626" s="45"/>
      <c r="D626" s="45"/>
      <c r="E626" s="45"/>
      <c r="F626" s="45"/>
      <c r="G626" s="45"/>
      <c r="H626" s="45"/>
      <c r="I626" s="45"/>
      <c r="J626" s="45"/>
      <c r="K626" s="78"/>
      <c r="L626" s="78"/>
    </row>
    <row r="627">
      <c r="A627" s="78"/>
      <c r="B627" s="78"/>
      <c r="C627" s="45"/>
      <c r="D627" s="45"/>
      <c r="E627" s="45"/>
      <c r="F627" s="45"/>
      <c r="G627" s="45"/>
      <c r="H627" s="45"/>
      <c r="I627" s="45"/>
      <c r="J627" s="45"/>
      <c r="K627" s="78"/>
      <c r="L627" s="78"/>
    </row>
    <row r="628">
      <c r="A628" s="78"/>
      <c r="B628" s="78"/>
      <c r="C628" s="45"/>
      <c r="D628" s="45"/>
      <c r="E628" s="45"/>
      <c r="F628" s="45"/>
      <c r="G628" s="45"/>
      <c r="H628" s="45"/>
      <c r="I628" s="45"/>
      <c r="J628" s="45"/>
      <c r="K628" s="78"/>
      <c r="L628" s="78"/>
    </row>
    <row r="629">
      <c r="A629" s="78"/>
      <c r="B629" s="78"/>
      <c r="C629" s="45"/>
      <c r="D629" s="45"/>
      <c r="E629" s="45"/>
      <c r="F629" s="45"/>
      <c r="G629" s="45"/>
      <c r="H629" s="45"/>
      <c r="I629" s="45"/>
      <c r="J629" s="45"/>
      <c r="K629" s="78"/>
      <c r="L629" s="78"/>
    </row>
    <row r="630">
      <c r="A630" s="78"/>
      <c r="B630" s="78"/>
      <c r="C630" s="45"/>
      <c r="D630" s="45"/>
      <c r="E630" s="45"/>
      <c r="F630" s="45"/>
      <c r="G630" s="45"/>
      <c r="H630" s="45"/>
      <c r="I630" s="45"/>
      <c r="J630" s="45"/>
      <c r="K630" s="78"/>
      <c r="L630" s="78"/>
    </row>
    <row r="631">
      <c r="A631" s="78"/>
      <c r="B631" s="78"/>
      <c r="C631" s="45"/>
      <c r="D631" s="45"/>
      <c r="E631" s="45"/>
      <c r="F631" s="45"/>
      <c r="G631" s="45"/>
      <c r="H631" s="45"/>
      <c r="I631" s="45"/>
      <c r="J631" s="45"/>
      <c r="K631" s="78"/>
      <c r="L631" s="78"/>
    </row>
    <row r="632">
      <c r="A632" s="78"/>
      <c r="B632" s="78"/>
      <c r="C632" s="45"/>
      <c r="D632" s="45"/>
      <c r="E632" s="45"/>
      <c r="F632" s="45"/>
      <c r="G632" s="45"/>
      <c r="H632" s="45"/>
      <c r="I632" s="45"/>
      <c r="J632" s="45"/>
      <c r="K632" s="78"/>
      <c r="L632" s="78"/>
    </row>
    <row r="633">
      <c r="A633" s="78"/>
      <c r="B633" s="78"/>
      <c r="C633" s="45"/>
      <c r="D633" s="45"/>
      <c r="E633" s="45"/>
      <c r="F633" s="45"/>
      <c r="G633" s="45"/>
      <c r="H633" s="45"/>
      <c r="I633" s="45"/>
      <c r="J633" s="45"/>
      <c r="K633" s="78"/>
      <c r="L633" s="78"/>
    </row>
    <row r="634">
      <c r="A634" s="78"/>
      <c r="B634" s="78"/>
      <c r="C634" s="45"/>
      <c r="D634" s="45"/>
      <c r="E634" s="45"/>
      <c r="F634" s="45"/>
      <c r="G634" s="45"/>
      <c r="H634" s="45"/>
      <c r="I634" s="45"/>
      <c r="J634" s="45"/>
      <c r="K634" s="78"/>
      <c r="L634" s="78"/>
    </row>
    <row r="635">
      <c r="A635" s="78"/>
      <c r="B635" s="78"/>
      <c r="C635" s="45"/>
      <c r="D635" s="45"/>
      <c r="E635" s="45"/>
      <c r="F635" s="45"/>
      <c r="G635" s="45"/>
      <c r="H635" s="45"/>
      <c r="I635" s="45"/>
      <c r="J635" s="45"/>
      <c r="K635" s="78"/>
      <c r="L635" s="78"/>
    </row>
    <row r="636">
      <c r="A636" s="78"/>
      <c r="B636" s="78"/>
      <c r="C636" s="45"/>
      <c r="D636" s="45"/>
      <c r="E636" s="45"/>
      <c r="F636" s="45"/>
      <c r="G636" s="45"/>
      <c r="H636" s="45"/>
      <c r="I636" s="45"/>
      <c r="J636" s="45"/>
      <c r="K636" s="78"/>
      <c r="L636" s="78"/>
    </row>
    <row r="637">
      <c r="A637" s="78"/>
      <c r="B637" s="78"/>
      <c r="C637" s="45"/>
      <c r="D637" s="45"/>
      <c r="E637" s="45"/>
      <c r="F637" s="45"/>
      <c r="G637" s="45"/>
      <c r="H637" s="45"/>
      <c r="I637" s="45"/>
      <c r="J637" s="45"/>
      <c r="K637" s="78"/>
      <c r="L637" s="78"/>
    </row>
    <row r="638">
      <c r="A638" s="78"/>
      <c r="B638" s="78"/>
      <c r="C638" s="45"/>
      <c r="D638" s="45"/>
      <c r="E638" s="45"/>
      <c r="F638" s="45"/>
      <c r="G638" s="45"/>
      <c r="H638" s="45"/>
      <c r="I638" s="45"/>
      <c r="J638" s="45"/>
      <c r="K638" s="78"/>
      <c r="L638" s="78"/>
    </row>
    <row r="639">
      <c r="A639" s="78"/>
      <c r="B639" s="78"/>
      <c r="C639" s="45"/>
      <c r="D639" s="45"/>
      <c r="E639" s="45"/>
      <c r="F639" s="45"/>
      <c r="G639" s="45"/>
      <c r="H639" s="45"/>
      <c r="I639" s="45"/>
      <c r="J639" s="45"/>
      <c r="K639" s="78"/>
      <c r="L639" s="78"/>
    </row>
    <row r="640">
      <c r="A640" s="78"/>
      <c r="B640" s="78"/>
      <c r="C640" s="45"/>
      <c r="D640" s="45"/>
      <c r="E640" s="45"/>
      <c r="F640" s="45"/>
      <c r="G640" s="45"/>
      <c r="H640" s="45"/>
      <c r="I640" s="45"/>
      <c r="J640" s="45"/>
      <c r="K640" s="78"/>
      <c r="L640" s="78"/>
    </row>
    <row r="641">
      <c r="A641" s="78"/>
      <c r="B641" s="78"/>
      <c r="C641" s="45"/>
      <c r="D641" s="45"/>
      <c r="E641" s="45"/>
      <c r="F641" s="45"/>
      <c r="G641" s="45"/>
      <c r="H641" s="45"/>
      <c r="I641" s="45"/>
      <c r="J641" s="45"/>
      <c r="K641" s="78"/>
      <c r="L641" s="78"/>
    </row>
    <row r="642">
      <c r="A642" s="78"/>
      <c r="B642" s="78"/>
      <c r="C642" s="45"/>
      <c r="D642" s="45"/>
      <c r="E642" s="45"/>
      <c r="F642" s="45"/>
      <c r="G642" s="45"/>
      <c r="H642" s="45"/>
      <c r="I642" s="45"/>
      <c r="J642" s="45"/>
      <c r="K642" s="78"/>
      <c r="L642" s="78"/>
    </row>
    <row r="643">
      <c r="A643" s="78"/>
      <c r="B643" s="78"/>
      <c r="C643" s="45"/>
      <c r="D643" s="45"/>
      <c r="E643" s="45"/>
      <c r="F643" s="45"/>
      <c r="G643" s="45"/>
      <c r="H643" s="45"/>
      <c r="I643" s="45"/>
      <c r="J643" s="45"/>
      <c r="K643" s="78"/>
      <c r="L643" s="78"/>
    </row>
    <row r="644">
      <c r="A644" s="78"/>
      <c r="B644" s="78"/>
      <c r="C644" s="45"/>
      <c r="D644" s="45"/>
      <c r="E644" s="45"/>
      <c r="F644" s="45"/>
      <c r="G644" s="45"/>
      <c r="H644" s="45"/>
      <c r="I644" s="45"/>
      <c r="J644" s="45"/>
      <c r="K644" s="78"/>
      <c r="L644" s="78"/>
    </row>
    <row r="645">
      <c r="A645" s="78"/>
      <c r="B645" s="78"/>
      <c r="C645" s="45"/>
      <c r="D645" s="45"/>
      <c r="E645" s="45"/>
      <c r="F645" s="45"/>
      <c r="G645" s="45"/>
      <c r="H645" s="45"/>
      <c r="I645" s="45"/>
      <c r="J645" s="45"/>
      <c r="K645" s="78"/>
      <c r="L645" s="78"/>
    </row>
    <row r="646">
      <c r="A646" s="78"/>
      <c r="B646" s="78"/>
      <c r="C646" s="45"/>
      <c r="D646" s="45"/>
      <c r="E646" s="45"/>
      <c r="F646" s="45"/>
      <c r="G646" s="45"/>
      <c r="H646" s="45"/>
      <c r="I646" s="45"/>
      <c r="J646" s="45"/>
      <c r="K646" s="78"/>
      <c r="L646" s="78"/>
    </row>
    <row r="647">
      <c r="A647" s="78"/>
      <c r="B647" s="78"/>
      <c r="C647" s="45"/>
      <c r="D647" s="45"/>
      <c r="E647" s="45"/>
      <c r="F647" s="45"/>
      <c r="G647" s="45"/>
      <c r="H647" s="45"/>
      <c r="I647" s="45"/>
      <c r="J647" s="45"/>
      <c r="K647" s="78"/>
      <c r="L647" s="78"/>
    </row>
    <row r="648">
      <c r="A648" s="78"/>
      <c r="B648" s="78"/>
      <c r="C648" s="45"/>
      <c r="D648" s="45"/>
      <c r="E648" s="45"/>
      <c r="F648" s="45"/>
      <c r="G648" s="45"/>
      <c r="H648" s="45"/>
      <c r="I648" s="45"/>
      <c r="J648" s="45"/>
      <c r="K648" s="78"/>
      <c r="L648" s="78"/>
    </row>
    <row r="649">
      <c r="A649" s="78"/>
      <c r="B649" s="78"/>
      <c r="C649" s="45"/>
      <c r="D649" s="45"/>
      <c r="E649" s="45"/>
      <c r="F649" s="45"/>
      <c r="G649" s="45"/>
      <c r="H649" s="45"/>
      <c r="I649" s="45"/>
      <c r="J649" s="45"/>
      <c r="K649" s="78"/>
      <c r="L649" s="78"/>
    </row>
    <row r="650">
      <c r="A650" s="78"/>
      <c r="B650" s="78"/>
      <c r="C650" s="45"/>
      <c r="D650" s="45"/>
      <c r="E650" s="45"/>
      <c r="F650" s="45"/>
      <c r="G650" s="45"/>
      <c r="H650" s="45"/>
      <c r="I650" s="45"/>
      <c r="J650" s="45"/>
      <c r="K650" s="78"/>
      <c r="L650" s="78"/>
    </row>
    <row r="651">
      <c r="A651" s="78"/>
      <c r="B651" s="78"/>
      <c r="C651" s="45"/>
      <c r="D651" s="45"/>
      <c r="E651" s="45"/>
      <c r="F651" s="45"/>
      <c r="G651" s="45"/>
      <c r="H651" s="45"/>
      <c r="I651" s="45"/>
      <c r="J651" s="45"/>
      <c r="K651" s="78"/>
      <c r="L651" s="78"/>
    </row>
    <row r="652">
      <c r="A652" s="78"/>
      <c r="B652" s="78"/>
      <c r="C652" s="45"/>
      <c r="D652" s="45"/>
      <c r="E652" s="45"/>
      <c r="F652" s="45"/>
      <c r="G652" s="45"/>
      <c r="H652" s="45"/>
      <c r="I652" s="45"/>
      <c r="J652" s="45"/>
      <c r="K652" s="78"/>
      <c r="L652" s="78"/>
    </row>
    <row r="653">
      <c r="A653" s="78"/>
      <c r="B653" s="78"/>
      <c r="C653" s="45"/>
      <c r="D653" s="45"/>
      <c r="E653" s="45"/>
      <c r="F653" s="45"/>
      <c r="G653" s="45"/>
      <c r="H653" s="45"/>
      <c r="I653" s="45"/>
      <c r="J653" s="45"/>
      <c r="K653" s="78"/>
      <c r="L653" s="78"/>
    </row>
    <row r="654">
      <c r="A654" s="78"/>
      <c r="B654" s="78"/>
      <c r="C654" s="45"/>
      <c r="D654" s="45"/>
      <c r="E654" s="45"/>
      <c r="F654" s="45"/>
      <c r="G654" s="45"/>
      <c r="H654" s="45"/>
      <c r="I654" s="45"/>
      <c r="J654" s="45"/>
      <c r="K654" s="78"/>
      <c r="L654" s="78"/>
    </row>
    <row r="655">
      <c r="A655" s="78"/>
      <c r="B655" s="78"/>
      <c r="C655" s="45"/>
      <c r="D655" s="45"/>
      <c r="E655" s="45"/>
      <c r="F655" s="45"/>
      <c r="G655" s="45"/>
      <c r="H655" s="45"/>
      <c r="I655" s="45"/>
      <c r="J655" s="45"/>
      <c r="K655" s="78"/>
      <c r="L655" s="78"/>
    </row>
    <row r="656">
      <c r="A656" s="78"/>
      <c r="B656" s="78"/>
      <c r="C656" s="45"/>
      <c r="D656" s="45"/>
      <c r="E656" s="45"/>
      <c r="F656" s="45"/>
      <c r="G656" s="45"/>
      <c r="H656" s="45"/>
      <c r="I656" s="45"/>
      <c r="J656" s="45"/>
      <c r="K656" s="78"/>
      <c r="L656" s="78"/>
    </row>
    <row r="657">
      <c r="A657" s="78"/>
      <c r="B657" s="78"/>
      <c r="C657" s="45"/>
      <c r="D657" s="45"/>
      <c r="E657" s="45"/>
      <c r="F657" s="45"/>
      <c r="G657" s="45"/>
      <c r="H657" s="45"/>
      <c r="I657" s="45"/>
      <c r="J657" s="45"/>
      <c r="K657" s="78"/>
      <c r="L657" s="78"/>
    </row>
    <row r="658">
      <c r="A658" s="78"/>
      <c r="B658" s="78"/>
      <c r="C658" s="45"/>
      <c r="D658" s="45"/>
      <c r="E658" s="45"/>
      <c r="F658" s="45"/>
      <c r="G658" s="45"/>
      <c r="H658" s="45"/>
      <c r="I658" s="45"/>
      <c r="J658" s="45"/>
      <c r="K658" s="78"/>
      <c r="L658" s="78"/>
    </row>
    <row r="659">
      <c r="A659" s="78"/>
      <c r="B659" s="78"/>
      <c r="C659" s="45"/>
      <c r="D659" s="45"/>
      <c r="E659" s="45"/>
      <c r="F659" s="45"/>
      <c r="G659" s="45"/>
      <c r="H659" s="45"/>
      <c r="I659" s="45"/>
      <c r="J659" s="45"/>
      <c r="K659" s="78"/>
      <c r="L659" s="78"/>
    </row>
    <row r="660">
      <c r="A660" s="78"/>
      <c r="B660" s="78"/>
      <c r="C660" s="45"/>
      <c r="D660" s="45"/>
      <c r="E660" s="45"/>
      <c r="F660" s="45"/>
      <c r="G660" s="45"/>
      <c r="H660" s="45"/>
      <c r="I660" s="45"/>
      <c r="J660" s="45"/>
      <c r="K660" s="78"/>
      <c r="L660" s="78"/>
    </row>
    <row r="661">
      <c r="A661" s="78"/>
      <c r="B661" s="78"/>
      <c r="C661" s="45"/>
      <c r="D661" s="45"/>
      <c r="E661" s="45"/>
      <c r="F661" s="45"/>
      <c r="G661" s="45"/>
      <c r="H661" s="45"/>
      <c r="I661" s="45"/>
      <c r="J661" s="45"/>
      <c r="K661" s="78"/>
      <c r="L661" s="78"/>
    </row>
    <row r="662">
      <c r="A662" s="78"/>
      <c r="B662" s="78"/>
      <c r="C662" s="45"/>
      <c r="D662" s="45"/>
      <c r="E662" s="45"/>
      <c r="F662" s="45"/>
      <c r="G662" s="45"/>
      <c r="H662" s="45"/>
      <c r="I662" s="45"/>
      <c r="J662" s="45"/>
      <c r="K662" s="78"/>
      <c r="L662" s="78"/>
    </row>
    <row r="663">
      <c r="A663" s="78"/>
      <c r="B663" s="78"/>
      <c r="C663" s="45"/>
      <c r="D663" s="45"/>
      <c r="E663" s="45"/>
      <c r="F663" s="45"/>
      <c r="G663" s="45"/>
      <c r="H663" s="45"/>
      <c r="I663" s="45"/>
      <c r="J663" s="45"/>
      <c r="K663" s="78"/>
      <c r="L663" s="78"/>
    </row>
    <row r="664">
      <c r="A664" s="78"/>
      <c r="B664" s="78"/>
      <c r="C664" s="45"/>
      <c r="D664" s="45"/>
      <c r="E664" s="45"/>
      <c r="F664" s="45"/>
      <c r="G664" s="45"/>
      <c r="H664" s="45"/>
      <c r="I664" s="45"/>
      <c r="J664" s="45"/>
      <c r="K664" s="78"/>
      <c r="L664" s="78"/>
    </row>
    <row r="665">
      <c r="A665" s="78"/>
      <c r="B665" s="78"/>
      <c r="C665" s="45"/>
      <c r="D665" s="45"/>
      <c r="E665" s="45"/>
      <c r="F665" s="45"/>
      <c r="G665" s="45"/>
      <c r="H665" s="45"/>
      <c r="I665" s="45"/>
      <c r="J665" s="45"/>
      <c r="K665" s="78"/>
      <c r="L665" s="78"/>
    </row>
    <row r="666">
      <c r="A666" s="78"/>
      <c r="B666" s="78"/>
      <c r="C666" s="45"/>
      <c r="D666" s="45"/>
      <c r="E666" s="45"/>
      <c r="F666" s="45"/>
      <c r="G666" s="45"/>
      <c r="H666" s="45"/>
      <c r="I666" s="45"/>
      <c r="J666" s="45"/>
      <c r="K666" s="78"/>
      <c r="L666" s="78"/>
    </row>
    <row r="667">
      <c r="A667" s="78"/>
      <c r="B667" s="78"/>
      <c r="C667" s="45"/>
      <c r="D667" s="45"/>
      <c r="E667" s="45"/>
      <c r="F667" s="45"/>
      <c r="G667" s="45"/>
      <c r="H667" s="45"/>
      <c r="I667" s="45"/>
      <c r="J667" s="45"/>
      <c r="K667" s="78"/>
      <c r="L667" s="78"/>
    </row>
    <row r="668">
      <c r="A668" s="78"/>
      <c r="B668" s="78"/>
      <c r="C668" s="45"/>
      <c r="D668" s="45"/>
      <c r="E668" s="45"/>
      <c r="F668" s="45"/>
      <c r="G668" s="45"/>
      <c r="H668" s="45"/>
      <c r="I668" s="45"/>
      <c r="J668" s="45"/>
      <c r="K668" s="78"/>
      <c r="L668" s="78"/>
    </row>
    <row r="669">
      <c r="A669" s="78"/>
      <c r="B669" s="78"/>
      <c r="C669" s="45"/>
      <c r="D669" s="45"/>
      <c r="E669" s="45"/>
      <c r="F669" s="45"/>
      <c r="G669" s="45"/>
      <c r="H669" s="45"/>
      <c r="I669" s="45"/>
      <c r="J669" s="45"/>
      <c r="K669" s="78"/>
      <c r="L669" s="78"/>
    </row>
    <row r="670">
      <c r="A670" s="78"/>
      <c r="B670" s="78"/>
      <c r="C670" s="45"/>
      <c r="D670" s="45"/>
      <c r="E670" s="45"/>
      <c r="F670" s="45"/>
      <c r="G670" s="45"/>
      <c r="H670" s="45"/>
      <c r="I670" s="45"/>
      <c r="J670" s="45"/>
      <c r="K670" s="78"/>
      <c r="L670" s="78"/>
    </row>
    <row r="671">
      <c r="A671" s="78"/>
      <c r="B671" s="78"/>
      <c r="C671" s="45"/>
      <c r="D671" s="45"/>
      <c r="E671" s="45"/>
      <c r="F671" s="45"/>
      <c r="G671" s="45"/>
      <c r="H671" s="45"/>
      <c r="I671" s="45"/>
      <c r="J671" s="45"/>
      <c r="K671" s="78"/>
      <c r="L671" s="78"/>
    </row>
    <row r="672">
      <c r="A672" s="78"/>
      <c r="B672" s="78"/>
      <c r="C672" s="45"/>
      <c r="D672" s="45"/>
      <c r="E672" s="45"/>
      <c r="F672" s="45"/>
      <c r="G672" s="45"/>
      <c r="H672" s="45"/>
      <c r="I672" s="45"/>
      <c r="J672" s="45"/>
      <c r="K672" s="78"/>
      <c r="L672" s="78"/>
    </row>
    <row r="673">
      <c r="A673" s="78"/>
      <c r="B673" s="78"/>
      <c r="C673" s="45"/>
      <c r="D673" s="45"/>
      <c r="E673" s="45"/>
      <c r="F673" s="45"/>
      <c r="G673" s="45"/>
      <c r="H673" s="45"/>
      <c r="I673" s="45"/>
      <c r="J673" s="45"/>
      <c r="K673" s="78"/>
      <c r="L673" s="78"/>
    </row>
    <row r="674">
      <c r="A674" s="78"/>
      <c r="B674" s="78"/>
      <c r="C674" s="45"/>
      <c r="D674" s="45"/>
      <c r="E674" s="45"/>
      <c r="F674" s="45"/>
      <c r="G674" s="45"/>
      <c r="H674" s="45"/>
      <c r="I674" s="45"/>
      <c r="J674" s="45"/>
      <c r="K674" s="78"/>
      <c r="L674" s="78"/>
    </row>
    <row r="675">
      <c r="A675" s="78"/>
      <c r="B675" s="78"/>
      <c r="C675" s="45"/>
      <c r="D675" s="45"/>
      <c r="E675" s="45"/>
      <c r="F675" s="45"/>
      <c r="G675" s="45"/>
      <c r="H675" s="45"/>
      <c r="I675" s="45"/>
      <c r="J675" s="45"/>
      <c r="K675" s="78"/>
      <c r="L675" s="78"/>
    </row>
    <row r="676">
      <c r="A676" s="78"/>
      <c r="B676" s="78"/>
      <c r="C676" s="45"/>
      <c r="D676" s="45"/>
      <c r="E676" s="45"/>
      <c r="F676" s="45"/>
      <c r="G676" s="45"/>
      <c r="H676" s="45"/>
      <c r="I676" s="45"/>
      <c r="J676" s="45"/>
      <c r="K676" s="78"/>
      <c r="L676" s="78"/>
    </row>
    <row r="677">
      <c r="A677" s="78"/>
      <c r="B677" s="78"/>
      <c r="C677" s="45"/>
      <c r="D677" s="45"/>
      <c r="E677" s="45"/>
      <c r="F677" s="45"/>
      <c r="G677" s="45"/>
      <c r="H677" s="45"/>
      <c r="I677" s="45"/>
      <c r="J677" s="45"/>
      <c r="K677" s="78"/>
      <c r="L677" s="78"/>
    </row>
    <row r="678">
      <c r="A678" s="78"/>
      <c r="B678" s="78"/>
      <c r="C678" s="45"/>
      <c r="D678" s="45"/>
      <c r="E678" s="45"/>
      <c r="F678" s="45"/>
      <c r="G678" s="45"/>
      <c r="H678" s="45"/>
      <c r="I678" s="45"/>
      <c r="J678" s="45"/>
      <c r="K678" s="78"/>
      <c r="L678" s="78"/>
    </row>
    <row r="679">
      <c r="A679" s="78"/>
      <c r="B679" s="78"/>
      <c r="C679" s="45"/>
      <c r="D679" s="45"/>
      <c r="E679" s="45"/>
      <c r="F679" s="45"/>
      <c r="G679" s="45"/>
      <c r="H679" s="45"/>
      <c r="I679" s="45"/>
      <c r="J679" s="45"/>
      <c r="K679" s="78"/>
      <c r="L679" s="78"/>
    </row>
    <row r="680">
      <c r="A680" s="78"/>
      <c r="B680" s="78"/>
      <c r="C680" s="45"/>
      <c r="D680" s="45"/>
      <c r="E680" s="45"/>
      <c r="F680" s="45"/>
      <c r="G680" s="45"/>
      <c r="H680" s="45"/>
      <c r="I680" s="45"/>
      <c r="J680" s="45"/>
      <c r="K680" s="78"/>
      <c r="L680" s="78"/>
    </row>
    <row r="681">
      <c r="A681" s="78"/>
      <c r="B681" s="78"/>
      <c r="C681" s="45"/>
      <c r="D681" s="45"/>
      <c r="E681" s="45"/>
      <c r="F681" s="45"/>
      <c r="G681" s="45"/>
      <c r="H681" s="45"/>
      <c r="I681" s="45"/>
      <c r="J681" s="45"/>
      <c r="K681" s="78"/>
      <c r="L681" s="78"/>
    </row>
    <row r="682">
      <c r="A682" s="78"/>
      <c r="B682" s="78"/>
      <c r="C682" s="45"/>
      <c r="D682" s="45"/>
      <c r="E682" s="45"/>
      <c r="F682" s="45"/>
      <c r="G682" s="45"/>
      <c r="H682" s="45"/>
      <c r="I682" s="45"/>
      <c r="J682" s="45"/>
      <c r="K682" s="78"/>
      <c r="L682" s="78"/>
    </row>
    <row r="683">
      <c r="A683" s="78"/>
      <c r="B683" s="78"/>
      <c r="C683" s="45"/>
      <c r="D683" s="45"/>
      <c r="E683" s="45"/>
      <c r="F683" s="45"/>
      <c r="G683" s="45"/>
      <c r="H683" s="45"/>
      <c r="I683" s="45"/>
      <c r="J683" s="45"/>
      <c r="K683" s="78"/>
      <c r="L683" s="78"/>
    </row>
    <row r="684">
      <c r="A684" s="78"/>
      <c r="B684" s="78"/>
      <c r="C684" s="45"/>
      <c r="D684" s="45"/>
      <c r="E684" s="45"/>
      <c r="F684" s="45"/>
      <c r="G684" s="45"/>
      <c r="H684" s="45"/>
      <c r="I684" s="45"/>
      <c r="J684" s="45"/>
      <c r="K684" s="78"/>
      <c r="L684" s="78"/>
    </row>
    <row r="685">
      <c r="A685" s="78"/>
      <c r="B685" s="78"/>
      <c r="C685" s="45"/>
      <c r="D685" s="45"/>
      <c r="E685" s="45"/>
      <c r="F685" s="45"/>
      <c r="G685" s="45"/>
      <c r="H685" s="45"/>
      <c r="I685" s="45"/>
      <c r="J685" s="45"/>
      <c r="K685" s="78"/>
      <c r="L685" s="78"/>
    </row>
    <row r="686">
      <c r="A686" s="78"/>
      <c r="B686" s="78"/>
      <c r="C686" s="45"/>
      <c r="D686" s="45"/>
      <c r="E686" s="45"/>
      <c r="F686" s="45"/>
      <c r="G686" s="45"/>
      <c r="H686" s="45"/>
      <c r="I686" s="45"/>
      <c r="J686" s="45"/>
      <c r="K686" s="78"/>
      <c r="L686" s="78"/>
    </row>
    <row r="687">
      <c r="A687" s="78"/>
      <c r="B687" s="78"/>
      <c r="C687" s="45"/>
      <c r="D687" s="45"/>
      <c r="E687" s="45"/>
      <c r="F687" s="45"/>
      <c r="G687" s="45"/>
      <c r="H687" s="45"/>
      <c r="I687" s="45"/>
      <c r="J687" s="45"/>
      <c r="K687" s="78"/>
      <c r="L687" s="78"/>
    </row>
    <row r="688">
      <c r="A688" s="78"/>
      <c r="B688" s="78"/>
      <c r="C688" s="45"/>
      <c r="D688" s="45"/>
      <c r="E688" s="45"/>
      <c r="F688" s="45"/>
      <c r="G688" s="45"/>
      <c r="H688" s="45"/>
      <c r="I688" s="45"/>
      <c r="J688" s="45"/>
      <c r="K688" s="78"/>
      <c r="L688" s="78"/>
    </row>
    <row r="689">
      <c r="A689" s="78"/>
      <c r="B689" s="78"/>
      <c r="C689" s="45"/>
      <c r="D689" s="45"/>
      <c r="E689" s="45"/>
      <c r="F689" s="45"/>
      <c r="G689" s="45"/>
      <c r="H689" s="45"/>
      <c r="I689" s="45"/>
      <c r="J689" s="45"/>
      <c r="K689" s="78"/>
      <c r="L689" s="78"/>
    </row>
    <row r="690">
      <c r="A690" s="78"/>
      <c r="B690" s="78"/>
      <c r="C690" s="45"/>
      <c r="D690" s="45"/>
      <c r="E690" s="45"/>
      <c r="F690" s="45"/>
      <c r="G690" s="45"/>
      <c r="H690" s="45"/>
      <c r="I690" s="45"/>
      <c r="J690" s="45"/>
      <c r="K690" s="78"/>
      <c r="L690" s="78"/>
    </row>
    <row r="691">
      <c r="A691" s="78"/>
      <c r="B691" s="78"/>
      <c r="C691" s="45"/>
      <c r="D691" s="45"/>
      <c r="E691" s="45"/>
      <c r="F691" s="45"/>
      <c r="G691" s="45"/>
      <c r="H691" s="45"/>
      <c r="I691" s="45"/>
      <c r="J691" s="45"/>
      <c r="K691" s="78"/>
      <c r="L691" s="78"/>
    </row>
    <row r="692">
      <c r="A692" s="78"/>
      <c r="B692" s="78"/>
      <c r="C692" s="45"/>
      <c r="D692" s="45"/>
      <c r="E692" s="45"/>
      <c r="F692" s="45"/>
      <c r="G692" s="45"/>
      <c r="H692" s="45"/>
      <c r="I692" s="45"/>
      <c r="J692" s="45"/>
      <c r="K692" s="78"/>
      <c r="L692" s="78"/>
    </row>
    <row r="693">
      <c r="A693" s="78"/>
      <c r="B693" s="78"/>
      <c r="C693" s="45"/>
      <c r="D693" s="45"/>
      <c r="E693" s="45"/>
      <c r="F693" s="45"/>
      <c r="G693" s="45"/>
      <c r="H693" s="45"/>
      <c r="I693" s="45"/>
      <c r="J693" s="45"/>
      <c r="K693" s="78"/>
      <c r="L693" s="78"/>
    </row>
    <row r="694">
      <c r="A694" s="78"/>
      <c r="B694" s="78"/>
      <c r="C694" s="45"/>
      <c r="D694" s="45"/>
      <c r="E694" s="45"/>
      <c r="F694" s="45"/>
      <c r="G694" s="45"/>
      <c r="H694" s="45"/>
      <c r="I694" s="45"/>
      <c r="J694" s="45"/>
      <c r="K694" s="78"/>
      <c r="L694" s="78"/>
    </row>
    <row r="695">
      <c r="A695" s="78"/>
      <c r="B695" s="78"/>
      <c r="C695" s="45"/>
      <c r="D695" s="45"/>
      <c r="E695" s="45"/>
      <c r="F695" s="45"/>
      <c r="G695" s="45"/>
      <c r="H695" s="45"/>
      <c r="I695" s="45"/>
      <c r="J695" s="45"/>
      <c r="K695" s="78"/>
      <c r="L695" s="78"/>
    </row>
    <row r="696">
      <c r="A696" s="78"/>
      <c r="B696" s="78"/>
      <c r="C696" s="45"/>
      <c r="D696" s="45"/>
      <c r="E696" s="45"/>
      <c r="F696" s="45"/>
      <c r="G696" s="45"/>
      <c r="H696" s="45"/>
      <c r="I696" s="45"/>
      <c r="J696" s="45"/>
      <c r="K696" s="78"/>
      <c r="L696" s="78"/>
    </row>
    <row r="697">
      <c r="A697" s="78"/>
      <c r="B697" s="78"/>
      <c r="C697" s="45"/>
      <c r="D697" s="45"/>
      <c r="E697" s="45"/>
      <c r="F697" s="45"/>
      <c r="G697" s="45"/>
      <c r="H697" s="45"/>
      <c r="I697" s="45"/>
      <c r="J697" s="45"/>
      <c r="K697" s="78"/>
      <c r="L697" s="78"/>
    </row>
    <row r="698">
      <c r="A698" s="78"/>
      <c r="B698" s="78"/>
      <c r="C698" s="45"/>
      <c r="D698" s="45"/>
      <c r="E698" s="45"/>
      <c r="F698" s="45"/>
      <c r="G698" s="45"/>
      <c r="H698" s="45"/>
      <c r="I698" s="45"/>
      <c r="J698" s="45"/>
      <c r="K698" s="78"/>
      <c r="L698" s="78"/>
    </row>
    <row r="699">
      <c r="A699" s="78"/>
      <c r="B699" s="78"/>
      <c r="C699" s="45"/>
      <c r="D699" s="45"/>
      <c r="E699" s="45"/>
      <c r="F699" s="45"/>
      <c r="G699" s="45"/>
      <c r="H699" s="45"/>
      <c r="I699" s="45"/>
      <c r="J699" s="45"/>
      <c r="K699" s="78"/>
      <c r="L699" s="78"/>
    </row>
    <row r="700">
      <c r="A700" s="78"/>
      <c r="B700" s="78"/>
      <c r="C700" s="45"/>
      <c r="D700" s="45"/>
      <c r="E700" s="45"/>
      <c r="F700" s="45"/>
      <c r="G700" s="45"/>
      <c r="H700" s="45"/>
      <c r="I700" s="45"/>
      <c r="J700" s="45"/>
      <c r="K700" s="78"/>
      <c r="L700" s="78"/>
    </row>
    <row r="701">
      <c r="A701" s="78"/>
      <c r="B701" s="78"/>
      <c r="C701" s="45"/>
      <c r="D701" s="45"/>
      <c r="E701" s="45"/>
      <c r="F701" s="45"/>
      <c r="G701" s="45"/>
      <c r="H701" s="45"/>
      <c r="I701" s="45"/>
      <c r="J701" s="45"/>
      <c r="K701" s="78"/>
      <c r="L701" s="78"/>
    </row>
    <row r="702">
      <c r="A702" s="78"/>
      <c r="B702" s="78"/>
      <c r="C702" s="45"/>
      <c r="D702" s="45"/>
      <c r="E702" s="45"/>
      <c r="F702" s="45"/>
      <c r="G702" s="45"/>
      <c r="H702" s="45"/>
      <c r="I702" s="45"/>
      <c r="J702" s="45"/>
      <c r="K702" s="78"/>
      <c r="L702" s="78"/>
    </row>
    <row r="703">
      <c r="A703" s="78"/>
      <c r="B703" s="78"/>
      <c r="C703" s="45"/>
      <c r="D703" s="45"/>
      <c r="E703" s="45"/>
      <c r="F703" s="45"/>
      <c r="G703" s="45"/>
      <c r="H703" s="45"/>
      <c r="I703" s="45"/>
      <c r="J703" s="45"/>
      <c r="K703" s="78"/>
      <c r="L703" s="78"/>
    </row>
    <row r="704">
      <c r="A704" s="78"/>
      <c r="B704" s="78"/>
      <c r="C704" s="45"/>
      <c r="D704" s="45"/>
      <c r="E704" s="45"/>
      <c r="F704" s="45"/>
      <c r="G704" s="45"/>
      <c r="H704" s="45"/>
      <c r="I704" s="45"/>
      <c r="J704" s="45"/>
      <c r="K704" s="78"/>
      <c r="L704" s="78"/>
    </row>
    <row r="705">
      <c r="A705" s="78"/>
      <c r="B705" s="78"/>
      <c r="C705" s="45"/>
      <c r="D705" s="45"/>
      <c r="E705" s="45"/>
      <c r="F705" s="45"/>
      <c r="G705" s="45"/>
      <c r="H705" s="45"/>
      <c r="I705" s="45"/>
      <c r="J705" s="45"/>
      <c r="K705" s="78"/>
      <c r="L705" s="78"/>
    </row>
    <row r="706">
      <c r="A706" s="78"/>
      <c r="B706" s="78"/>
      <c r="C706" s="45"/>
      <c r="D706" s="45"/>
      <c r="E706" s="45"/>
      <c r="F706" s="45"/>
      <c r="G706" s="45"/>
      <c r="H706" s="45"/>
      <c r="I706" s="45"/>
      <c r="J706" s="45"/>
      <c r="K706" s="78"/>
      <c r="L706" s="78"/>
    </row>
    <row r="707">
      <c r="A707" s="78"/>
      <c r="B707" s="78"/>
      <c r="C707" s="45"/>
      <c r="D707" s="45"/>
      <c r="E707" s="45"/>
      <c r="F707" s="45"/>
      <c r="G707" s="45"/>
      <c r="H707" s="45"/>
      <c r="I707" s="45"/>
      <c r="J707" s="45"/>
      <c r="K707" s="78"/>
      <c r="L707" s="78"/>
    </row>
    <row r="708">
      <c r="A708" s="78"/>
      <c r="B708" s="78"/>
      <c r="C708" s="45"/>
      <c r="D708" s="45"/>
      <c r="E708" s="45"/>
      <c r="F708" s="45"/>
      <c r="G708" s="45"/>
      <c r="H708" s="45"/>
      <c r="I708" s="45"/>
      <c r="J708" s="45"/>
      <c r="K708" s="78"/>
      <c r="L708" s="78"/>
    </row>
    <row r="709">
      <c r="A709" s="78"/>
      <c r="B709" s="78"/>
      <c r="C709" s="45"/>
      <c r="D709" s="45"/>
      <c r="E709" s="45"/>
      <c r="F709" s="45"/>
      <c r="G709" s="45"/>
      <c r="H709" s="45"/>
      <c r="I709" s="45"/>
      <c r="J709" s="45"/>
      <c r="K709" s="78"/>
      <c r="L709" s="78"/>
    </row>
    <row r="710">
      <c r="A710" s="78"/>
      <c r="B710" s="78"/>
      <c r="C710" s="45"/>
      <c r="D710" s="45"/>
      <c r="E710" s="45"/>
      <c r="F710" s="45"/>
      <c r="G710" s="45"/>
      <c r="H710" s="45"/>
      <c r="I710" s="45"/>
      <c r="J710" s="45"/>
      <c r="K710" s="78"/>
      <c r="L710" s="78"/>
    </row>
    <row r="711">
      <c r="A711" s="78"/>
      <c r="B711" s="78"/>
      <c r="C711" s="45"/>
      <c r="D711" s="45"/>
      <c r="E711" s="45"/>
      <c r="F711" s="45"/>
      <c r="G711" s="45"/>
      <c r="H711" s="45"/>
      <c r="I711" s="45"/>
      <c r="J711" s="45"/>
      <c r="K711" s="78"/>
      <c r="L711" s="78"/>
    </row>
    <row r="712">
      <c r="A712" s="78"/>
      <c r="B712" s="78"/>
      <c r="C712" s="45"/>
      <c r="D712" s="45"/>
      <c r="E712" s="45"/>
      <c r="F712" s="45"/>
      <c r="G712" s="45"/>
      <c r="H712" s="45"/>
      <c r="I712" s="45"/>
      <c r="J712" s="45"/>
      <c r="K712" s="78"/>
      <c r="L712" s="78"/>
    </row>
    <row r="713">
      <c r="A713" s="78"/>
      <c r="B713" s="78"/>
      <c r="C713" s="45"/>
      <c r="D713" s="45"/>
      <c r="E713" s="45"/>
      <c r="F713" s="45"/>
      <c r="G713" s="45"/>
      <c r="H713" s="45"/>
      <c r="I713" s="45"/>
      <c r="J713" s="45"/>
      <c r="K713" s="78"/>
      <c r="L713" s="78"/>
    </row>
    <row r="714">
      <c r="A714" s="78"/>
      <c r="B714" s="78"/>
      <c r="C714" s="45"/>
      <c r="D714" s="45"/>
      <c r="E714" s="45"/>
      <c r="F714" s="45"/>
      <c r="G714" s="45"/>
      <c r="H714" s="45"/>
      <c r="I714" s="45"/>
      <c r="J714" s="45"/>
      <c r="K714" s="78"/>
      <c r="L714" s="78"/>
    </row>
    <row r="715">
      <c r="A715" s="78"/>
      <c r="B715" s="78"/>
      <c r="C715" s="45"/>
      <c r="D715" s="45"/>
      <c r="E715" s="45"/>
      <c r="F715" s="45"/>
      <c r="G715" s="45"/>
      <c r="H715" s="45"/>
      <c r="I715" s="45"/>
      <c r="J715" s="45"/>
      <c r="K715" s="78"/>
      <c r="L715" s="78"/>
    </row>
    <row r="716">
      <c r="A716" s="78"/>
      <c r="B716" s="78"/>
      <c r="C716" s="45"/>
      <c r="D716" s="45"/>
      <c r="E716" s="45"/>
      <c r="F716" s="45"/>
      <c r="G716" s="45"/>
      <c r="H716" s="45"/>
      <c r="I716" s="45"/>
      <c r="J716" s="45"/>
      <c r="K716" s="78"/>
      <c r="L716" s="78"/>
    </row>
    <row r="717">
      <c r="A717" s="78"/>
      <c r="B717" s="78"/>
      <c r="C717" s="45"/>
      <c r="D717" s="45"/>
      <c r="E717" s="45"/>
      <c r="F717" s="45"/>
      <c r="G717" s="45"/>
      <c r="H717" s="45"/>
      <c r="I717" s="45"/>
      <c r="J717" s="45"/>
      <c r="K717" s="78"/>
      <c r="L717" s="78"/>
    </row>
    <row r="718">
      <c r="A718" s="78"/>
      <c r="B718" s="78"/>
      <c r="C718" s="45"/>
      <c r="D718" s="45"/>
      <c r="E718" s="45"/>
      <c r="F718" s="45"/>
      <c r="G718" s="45"/>
      <c r="H718" s="45"/>
      <c r="I718" s="45"/>
      <c r="J718" s="45"/>
      <c r="K718" s="78"/>
      <c r="L718" s="78"/>
    </row>
    <row r="719">
      <c r="A719" s="78"/>
      <c r="B719" s="78"/>
      <c r="C719" s="45"/>
      <c r="D719" s="45"/>
      <c r="E719" s="45"/>
      <c r="F719" s="45"/>
      <c r="G719" s="45"/>
      <c r="H719" s="45"/>
      <c r="I719" s="45"/>
      <c r="J719" s="45"/>
      <c r="K719" s="78"/>
      <c r="L719" s="78"/>
    </row>
    <row r="720">
      <c r="A720" s="78"/>
      <c r="B720" s="78"/>
      <c r="C720" s="45"/>
      <c r="D720" s="45"/>
      <c r="E720" s="45"/>
      <c r="F720" s="45"/>
      <c r="G720" s="45"/>
      <c r="H720" s="45"/>
      <c r="I720" s="45"/>
      <c r="J720" s="45"/>
      <c r="K720" s="78"/>
      <c r="L720" s="78"/>
    </row>
    <row r="721">
      <c r="A721" s="78"/>
      <c r="B721" s="78"/>
      <c r="C721" s="45"/>
      <c r="D721" s="45"/>
      <c r="E721" s="45"/>
      <c r="F721" s="45"/>
      <c r="G721" s="45"/>
      <c r="H721" s="45"/>
      <c r="I721" s="45"/>
      <c r="J721" s="45"/>
      <c r="K721" s="78"/>
      <c r="L721" s="78"/>
    </row>
    <row r="722">
      <c r="A722" s="78"/>
      <c r="B722" s="78"/>
      <c r="C722" s="45"/>
      <c r="D722" s="45"/>
      <c r="E722" s="45"/>
      <c r="F722" s="45"/>
      <c r="G722" s="45"/>
      <c r="H722" s="45"/>
      <c r="I722" s="45"/>
      <c r="J722" s="45"/>
      <c r="K722" s="78"/>
      <c r="L722" s="78"/>
    </row>
    <row r="723">
      <c r="A723" s="78"/>
      <c r="B723" s="78"/>
      <c r="C723" s="45"/>
      <c r="D723" s="45"/>
      <c r="E723" s="45"/>
      <c r="F723" s="45"/>
      <c r="G723" s="45"/>
      <c r="H723" s="45"/>
      <c r="I723" s="45"/>
      <c r="J723" s="45"/>
      <c r="K723" s="78"/>
      <c r="L723" s="78"/>
    </row>
    <row r="724">
      <c r="A724" s="78"/>
      <c r="B724" s="78"/>
      <c r="C724" s="45"/>
      <c r="D724" s="45"/>
      <c r="E724" s="45"/>
      <c r="F724" s="45"/>
      <c r="G724" s="45"/>
      <c r="H724" s="45"/>
      <c r="I724" s="45"/>
      <c r="J724" s="45"/>
      <c r="K724" s="78"/>
      <c r="L724" s="78"/>
    </row>
    <row r="725">
      <c r="A725" s="78"/>
      <c r="B725" s="78"/>
      <c r="C725" s="45"/>
      <c r="D725" s="45"/>
      <c r="E725" s="45"/>
      <c r="F725" s="45"/>
      <c r="G725" s="45"/>
      <c r="H725" s="45"/>
      <c r="I725" s="45"/>
      <c r="J725" s="45"/>
      <c r="K725" s="78"/>
      <c r="L725" s="78"/>
    </row>
    <row r="726">
      <c r="A726" s="78"/>
      <c r="B726" s="78"/>
      <c r="C726" s="45"/>
      <c r="D726" s="45"/>
      <c r="E726" s="45"/>
      <c r="F726" s="45"/>
      <c r="G726" s="45"/>
      <c r="H726" s="45"/>
      <c r="I726" s="45"/>
      <c r="J726" s="45"/>
      <c r="K726" s="78"/>
      <c r="L726" s="78"/>
    </row>
    <row r="727">
      <c r="A727" s="78"/>
      <c r="B727" s="78"/>
      <c r="C727" s="45"/>
      <c r="D727" s="45"/>
      <c r="E727" s="45"/>
      <c r="F727" s="45"/>
      <c r="G727" s="45"/>
      <c r="H727" s="45"/>
      <c r="I727" s="45"/>
      <c r="J727" s="45"/>
      <c r="K727" s="78"/>
      <c r="L727" s="78"/>
    </row>
    <row r="728">
      <c r="A728" s="78"/>
      <c r="B728" s="78"/>
      <c r="C728" s="45"/>
      <c r="D728" s="45"/>
      <c r="E728" s="45"/>
      <c r="F728" s="45"/>
      <c r="G728" s="45"/>
      <c r="H728" s="45"/>
      <c r="I728" s="45"/>
      <c r="J728" s="45"/>
      <c r="K728" s="78"/>
      <c r="L728" s="78"/>
    </row>
    <row r="729">
      <c r="A729" s="78"/>
      <c r="B729" s="78"/>
      <c r="C729" s="45"/>
      <c r="D729" s="45"/>
      <c r="E729" s="45"/>
      <c r="F729" s="45"/>
      <c r="G729" s="45"/>
      <c r="H729" s="45"/>
      <c r="I729" s="45"/>
      <c r="J729" s="45"/>
      <c r="K729" s="78"/>
      <c r="L729" s="78"/>
    </row>
    <row r="730">
      <c r="A730" s="78"/>
      <c r="B730" s="78"/>
      <c r="C730" s="45"/>
      <c r="D730" s="45"/>
      <c r="E730" s="45"/>
      <c r="F730" s="45"/>
      <c r="G730" s="45"/>
      <c r="H730" s="45"/>
      <c r="I730" s="45"/>
      <c r="J730" s="45"/>
      <c r="K730" s="78"/>
      <c r="L730" s="78"/>
    </row>
    <row r="731">
      <c r="A731" s="78"/>
      <c r="B731" s="78"/>
      <c r="C731" s="45"/>
      <c r="D731" s="45"/>
      <c r="E731" s="45"/>
      <c r="F731" s="45"/>
      <c r="G731" s="45"/>
      <c r="H731" s="45"/>
      <c r="I731" s="45"/>
      <c r="J731" s="45"/>
      <c r="K731" s="78"/>
      <c r="L731" s="78"/>
    </row>
    <row r="732">
      <c r="A732" s="78"/>
      <c r="B732" s="78"/>
      <c r="C732" s="45"/>
      <c r="D732" s="45"/>
      <c r="E732" s="45"/>
      <c r="F732" s="45"/>
      <c r="G732" s="45"/>
      <c r="H732" s="45"/>
      <c r="I732" s="45"/>
      <c r="J732" s="45"/>
      <c r="K732" s="78"/>
      <c r="L732" s="78"/>
    </row>
    <row r="733">
      <c r="A733" s="78"/>
      <c r="B733" s="78"/>
      <c r="C733" s="45"/>
      <c r="D733" s="45"/>
      <c r="E733" s="45"/>
      <c r="F733" s="45"/>
      <c r="G733" s="45"/>
      <c r="H733" s="45"/>
      <c r="I733" s="45"/>
      <c r="J733" s="45"/>
      <c r="K733" s="78"/>
      <c r="L733" s="78"/>
    </row>
    <row r="734">
      <c r="A734" s="78"/>
      <c r="B734" s="78"/>
      <c r="C734" s="45"/>
      <c r="D734" s="45"/>
      <c r="E734" s="45"/>
      <c r="F734" s="45"/>
      <c r="G734" s="45"/>
      <c r="H734" s="45"/>
      <c r="I734" s="45"/>
      <c r="J734" s="45"/>
      <c r="K734" s="78"/>
      <c r="L734" s="78"/>
    </row>
    <row r="735">
      <c r="A735" s="78"/>
      <c r="B735" s="78"/>
      <c r="C735" s="45"/>
      <c r="D735" s="45"/>
      <c r="E735" s="45"/>
      <c r="F735" s="45"/>
      <c r="G735" s="45"/>
      <c r="H735" s="45"/>
      <c r="I735" s="45"/>
      <c r="J735" s="45"/>
      <c r="K735" s="78"/>
      <c r="L735" s="78"/>
    </row>
    <row r="736">
      <c r="A736" s="78"/>
      <c r="B736" s="78"/>
      <c r="C736" s="45"/>
      <c r="D736" s="45"/>
      <c r="E736" s="45"/>
      <c r="F736" s="45"/>
      <c r="G736" s="45"/>
      <c r="H736" s="45"/>
      <c r="I736" s="45"/>
      <c r="J736" s="45"/>
      <c r="K736" s="78"/>
      <c r="L736" s="78"/>
    </row>
    <row r="737">
      <c r="A737" s="78"/>
      <c r="B737" s="78"/>
      <c r="C737" s="45"/>
      <c r="D737" s="45"/>
      <c r="E737" s="45"/>
      <c r="F737" s="45"/>
      <c r="G737" s="45"/>
      <c r="H737" s="45"/>
      <c r="I737" s="45"/>
      <c r="J737" s="45"/>
      <c r="K737" s="78"/>
      <c r="L737" s="78"/>
    </row>
    <row r="738">
      <c r="A738" s="78"/>
      <c r="B738" s="78"/>
      <c r="C738" s="45"/>
      <c r="D738" s="45"/>
      <c r="E738" s="45"/>
      <c r="F738" s="45"/>
      <c r="G738" s="45"/>
      <c r="H738" s="45"/>
      <c r="I738" s="45"/>
      <c r="J738" s="45"/>
      <c r="K738" s="78"/>
      <c r="L738" s="78"/>
    </row>
    <row r="739">
      <c r="A739" s="78"/>
      <c r="B739" s="78"/>
      <c r="C739" s="45"/>
      <c r="D739" s="45"/>
      <c r="E739" s="45"/>
      <c r="F739" s="45"/>
      <c r="G739" s="45"/>
      <c r="H739" s="45"/>
      <c r="I739" s="45"/>
      <c r="J739" s="45"/>
      <c r="K739" s="78"/>
      <c r="L739" s="78"/>
    </row>
    <row r="740">
      <c r="A740" s="78"/>
      <c r="B740" s="78"/>
      <c r="C740" s="45"/>
      <c r="D740" s="45"/>
      <c r="E740" s="45"/>
      <c r="F740" s="45"/>
      <c r="G740" s="45"/>
      <c r="H740" s="45"/>
      <c r="I740" s="45"/>
      <c r="J740" s="45"/>
      <c r="K740" s="78"/>
      <c r="L740" s="78"/>
    </row>
    <row r="741">
      <c r="A741" s="78"/>
      <c r="B741" s="78"/>
      <c r="C741" s="45"/>
      <c r="D741" s="45"/>
      <c r="E741" s="45"/>
      <c r="F741" s="45"/>
      <c r="G741" s="45"/>
      <c r="H741" s="45"/>
      <c r="I741" s="45"/>
      <c r="J741" s="45"/>
      <c r="K741" s="78"/>
      <c r="L741" s="78"/>
    </row>
    <row r="742">
      <c r="A742" s="78"/>
      <c r="B742" s="78"/>
      <c r="C742" s="45"/>
      <c r="D742" s="45"/>
      <c r="E742" s="45"/>
      <c r="F742" s="45"/>
      <c r="G742" s="45"/>
      <c r="H742" s="45"/>
      <c r="I742" s="45"/>
      <c r="J742" s="45"/>
      <c r="K742" s="78"/>
      <c r="L742" s="78"/>
    </row>
    <row r="743">
      <c r="A743" s="78"/>
      <c r="B743" s="78"/>
      <c r="C743" s="45"/>
      <c r="D743" s="45"/>
      <c r="E743" s="45"/>
      <c r="F743" s="45"/>
      <c r="G743" s="45"/>
      <c r="H743" s="45"/>
      <c r="I743" s="45"/>
      <c r="J743" s="45"/>
      <c r="K743" s="78"/>
      <c r="L743" s="78"/>
    </row>
    <row r="744">
      <c r="A744" s="78"/>
      <c r="B744" s="78"/>
      <c r="C744" s="45"/>
      <c r="D744" s="45"/>
      <c r="E744" s="45"/>
      <c r="F744" s="45"/>
      <c r="G744" s="45"/>
      <c r="H744" s="45"/>
      <c r="I744" s="45"/>
      <c r="J744" s="45"/>
      <c r="K744" s="78"/>
      <c r="L744" s="78"/>
    </row>
    <row r="745">
      <c r="A745" s="78"/>
      <c r="B745" s="78"/>
      <c r="C745" s="45"/>
      <c r="D745" s="45"/>
      <c r="E745" s="45"/>
      <c r="F745" s="45"/>
      <c r="G745" s="45"/>
      <c r="H745" s="45"/>
      <c r="I745" s="45"/>
      <c r="J745" s="45"/>
      <c r="K745" s="78"/>
      <c r="L745" s="78"/>
    </row>
    <row r="746">
      <c r="A746" s="78"/>
      <c r="B746" s="78"/>
      <c r="C746" s="45"/>
      <c r="D746" s="45"/>
      <c r="E746" s="45"/>
      <c r="F746" s="45"/>
      <c r="G746" s="45"/>
      <c r="H746" s="45"/>
      <c r="I746" s="45"/>
      <c r="J746" s="45"/>
      <c r="K746" s="78"/>
      <c r="L746" s="78"/>
    </row>
    <row r="747">
      <c r="A747" s="78"/>
      <c r="B747" s="78"/>
      <c r="C747" s="45"/>
      <c r="D747" s="45"/>
      <c r="E747" s="45"/>
      <c r="F747" s="45"/>
      <c r="G747" s="45"/>
      <c r="H747" s="45"/>
      <c r="I747" s="45"/>
      <c r="J747" s="45"/>
      <c r="K747" s="78"/>
      <c r="L747" s="78"/>
    </row>
    <row r="748">
      <c r="A748" s="78"/>
      <c r="B748" s="78"/>
      <c r="C748" s="45"/>
      <c r="D748" s="45"/>
      <c r="E748" s="45"/>
      <c r="F748" s="45"/>
      <c r="G748" s="45"/>
      <c r="H748" s="45"/>
      <c r="I748" s="45"/>
      <c r="J748" s="45"/>
      <c r="K748" s="78"/>
      <c r="L748" s="78"/>
    </row>
    <row r="749">
      <c r="A749" s="78"/>
      <c r="B749" s="78"/>
      <c r="C749" s="45"/>
      <c r="D749" s="45"/>
      <c r="E749" s="45"/>
      <c r="F749" s="45"/>
      <c r="G749" s="45"/>
      <c r="H749" s="45"/>
      <c r="I749" s="45"/>
      <c r="J749" s="45"/>
      <c r="K749" s="78"/>
      <c r="L749" s="78"/>
    </row>
    <row r="750">
      <c r="A750" s="78"/>
      <c r="B750" s="78"/>
      <c r="C750" s="45"/>
      <c r="D750" s="45"/>
      <c r="E750" s="45"/>
      <c r="F750" s="45"/>
      <c r="G750" s="45"/>
      <c r="H750" s="45"/>
      <c r="I750" s="45"/>
      <c r="J750" s="45"/>
      <c r="K750" s="78"/>
      <c r="L750" s="78"/>
    </row>
    <row r="751">
      <c r="A751" s="78"/>
      <c r="B751" s="78"/>
      <c r="C751" s="45"/>
      <c r="D751" s="45"/>
      <c r="E751" s="45"/>
      <c r="F751" s="45"/>
      <c r="G751" s="45"/>
      <c r="H751" s="45"/>
      <c r="I751" s="45"/>
      <c r="J751" s="45"/>
      <c r="K751" s="78"/>
      <c r="L751" s="78"/>
    </row>
    <row r="752">
      <c r="A752" s="78"/>
      <c r="B752" s="78"/>
      <c r="C752" s="45"/>
      <c r="D752" s="45"/>
      <c r="E752" s="45"/>
      <c r="F752" s="45"/>
      <c r="G752" s="45"/>
      <c r="H752" s="45"/>
      <c r="I752" s="45"/>
      <c r="J752" s="45"/>
      <c r="K752" s="78"/>
      <c r="L752" s="78"/>
    </row>
    <row r="753">
      <c r="A753" s="78"/>
      <c r="B753" s="78"/>
      <c r="C753" s="45"/>
      <c r="D753" s="45"/>
      <c r="E753" s="45"/>
      <c r="F753" s="45"/>
      <c r="G753" s="45"/>
      <c r="H753" s="45"/>
      <c r="I753" s="45"/>
      <c r="J753" s="45"/>
      <c r="K753" s="78"/>
      <c r="L753" s="78"/>
    </row>
    <row r="754">
      <c r="A754" s="78"/>
      <c r="B754" s="78"/>
      <c r="C754" s="45"/>
      <c r="D754" s="45"/>
      <c r="E754" s="45"/>
      <c r="F754" s="45"/>
      <c r="G754" s="45"/>
      <c r="H754" s="45"/>
      <c r="I754" s="45"/>
      <c r="J754" s="45"/>
      <c r="K754" s="78"/>
      <c r="L754" s="78"/>
    </row>
    <row r="755">
      <c r="A755" s="78"/>
      <c r="B755" s="78"/>
      <c r="C755" s="45"/>
      <c r="D755" s="45"/>
      <c r="E755" s="45"/>
      <c r="F755" s="45"/>
      <c r="G755" s="45"/>
      <c r="H755" s="45"/>
      <c r="I755" s="45"/>
      <c r="J755" s="45"/>
      <c r="K755" s="78"/>
      <c r="L755" s="78"/>
    </row>
    <row r="756">
      <c r="A756" s="78"/>
      <c r="B756" s="78"/>
      <c r="C756" s="45"/>
      <c r="D756" s="45"/>
      <c r="E756" s="45"/>
      <c r="F756" s="45"/>
      <c r="G756" s="45"/>
      <c r="H756" s="45"/>
      <c r="I756" s="45"/>
      <c r="J756" s="45"/>
      <c r="K756" s="78"/>
      <c r="L756" s="78"/>
    </row>
    <row r="757">
      <c r="A757" s="78"/>
      <c r="B757" s="78"/>
      <c r="C757" s="45"/>
      <c r="D757" s="45"/>
      <c r="E757" s="45"/>
      <c r="F757" s="45"/>
      <c r="G757" s="45"/>
      <c r="H757" s="45"/>
      <c r="I757" s="45"/>
      <c r="J757" s="45"/>
      <c r="K757" s="78"/>
      <c r="L757" s="78"/>
    </row>
    <row r="758">
      <c r="A758" s="78"/>
      <c r="B758" s="78"/>
      <c r="C758" s="45"/>
      <c r="D758" s="45"/>
      <c r="E758" s="45"/>
      <c r="F758" s="45"/>
      <c r="G758" s="45"/>
      <c r="H758" s="45"/>
      <c r="I758" s="45"/>
      <c r="J758" s="45"/>
      <c r="K758" s="78"/>
      <c r="L758" s="78"/>
    </row>
    <row r="759">
      <c r="A759" s="78"/>
      <c r="B759" s="78"/>
      <c r="C759" s="45"/>
      <c r="D759" s="45"/>
      <c r="E759" s="45"/>
      <c r="F759" s="45"/>
      <c r="G759" s="45"/>
      <c r="H759" s="45"/>
      <c r="I759" s="45"/>
      <c r="J759" s="45"/>
      <c r="K759" s="78"/>
      <c r="L759" s="78"/>
    </row>
    <row r="760">
      <c r="A760" s="78"/>
      <c r="B760" s="78"/>
      <c r="C760" s="45"/>
      <c r="D760" s="45"/>
      <c r="E760" s="45"/>
      <c r="F760" s="45"/>
      <c r="G760" s="45"/>
      <c r="H760" s="45"/>
      <c r="I760" s="45"/>
      <c r="J760" s="45"/>
      <c r="K760" s="78"/>
      <c r="L760" s="78"/>
    </row>
    <row r="761">
      <c r="A761" s="78"/>
      <c r="B761" s="78"/>
      <c r="C761" s="45"/>
      <c r="D761" s="45"/>
      <c r="E761" s="45"/>
      <c r="F761" s="45"/>
      <c r="G761" s="45"/>
      <c r="H761" s="45"/>
      <c r="I761" s="45"/>
      <c r="J761" s="45"/>
      <c r="K761" s="78"/>
      <c r="L761" s="78"/>
    </row>
    <row r="762">
      <c r="A762" s="78"/>
      <c r="B762" s="78"/>
      <c r="C762" s="45"/>
      <c r="D762" s="45"/>
      <c r="E762" s="45"/>
      <c r="F762" s="45"/>
      <c r="G762" s="45"/>
      <c r="H762" s="45"/>
      <c r="I762" s="45"/>
      <c r="J762" s="45"/>
      <c r="K762" s="78"/>
      <c r="L762" s="78"/>
    </row>
    <row r="763">
      <c r="A763" s="78"/>
      <c r="B763" s="78"/>
      <c r="C763" s="45"/>
      <c r="D763" s="45"/>
      <c r="E763" s="45"/>
      <c r="F763" s="45"/>
      <c r="G763" s="45"/>
      <c r="H763" s="45"/>
      <c r="I763" s="45"/>
      <c r="J763" s="45"/>
      <c r="K763" s="78"/>
      <c r="L763" s="78"/>
    </row>
    <row r="764">
      <c r="A764" s="78"/>
      <c r="B764" s="78"/>
      <c r="C764" s="45"/>
      <c r="D764" s="45"/>
      <c r="E764" s="45"/>
      <c r="F764" s="45"/>
      <c r="G764" s="45"/>
      <c r="H764" s="45"/>
      <c r="I764" s="45"/>
      <c r="J764" s="45"/>
      <c r="K764" s="78"/>
      <c r="L764" s="78"/>
    </row>
    <row r="765">
      <c r="A765" s="78"/>
      <c r="B765" s="78"/>
      <c r="C765" s="45"/>
      <c r="D765" s="45"/>
      <c r="E765" s="45"/>
      <c r="F765" s="45"/>
      <c r="G765" s="45"/>
      <c r="H765" s="45"/>
      <c r="I765" s="45"/>
      <c r="J765" s="45"/>
      <c r="K765" s="78"/>
      <c r="L765" s="78"/>
    </row>
    <row r="766">
      <c r="A766" s="78"/>
      <c r="B766" s="78"/>
      <c r="C766" s="45"/>
      <c r="D766" s="45"/>
      <c r="E766" s="45"/>
      <c r="F766" s="45"/>
      <c r="G766" s="45"/>
      <c r="H766" s="45"/>
      <c r="I766" s="45"/>
      <c r="J766" s="45"/>
      <c r="K766" s="78"/>
      <c r="L766" s="78"/>
    </row>
    <row r="767">
      <c r="A767" s="78"/>
      <c r="B767" s="78"/>
      <c r="C767" s="45"/>
      <c r="D767" s="45"/>
      <c r="E767" s="45"/>
      <c r="F767" s="45"/>
      <c r="G767" s="45"/>
      <c r="H767" s="45"/>
      <c r="I767" s="45"/>
      <c r="J767" s="45"/>
      <c r="K767" s="78"/>
      <c r="L767" s="78"/>
    </row>
    <row r="768">
      <c r="A768" s="78"/>
      <c r="B768" s="78"/>
      <c r="C768" s="45"/>
      <c r="D768" s="45"/>
      <c r="E768" s="45"/>
      <c r="F768" s="45"/>
      <c r="G768" s="45"/>
      <c r="H768" s="45"/>
      <c r="I768" s="45"/>
      <c r="J768" s="45"/>
      <c r="K768" s="78"/>
      <c r="L768" s="78"/>
    </row>
    <row r="769">
      <c r="A769" s="78"/>
      <c r="B769" s="78"/>
      <c r="C769" s="45"/>
      <c r="D769" s="45"/>
      <c r="E769" s="45"/>
      <c r="F769" s="45"/>
      <c r="G769" s="45"/>
      <c r="H769" s="45"/>
      <c r="I769" s="45"/>
      <c r="J769" s="45"/>
      <c r="K769" s="78"/>
      <c r="L769" s="78"/>
    </row>
    <row r="770">
      <c r="A770" s="78"/>
      <c r="B770" s="78"/>
      <c r="C770" s="45"/>
      <c r="D770" s="45"/>
      <c r="E770" s="45"/>
      <c r="F770" s="45"/>
      <c r="G770" s="45"/>
      <c r="H770" s="45"/>
      <c r="I770" s="45"/>
      <c r="J770" s="45"/>
      <c r="K770" s="78"/>
      <c r="L770" s="78"/>
    </row>
    <row r="771">
      <c r="A771" s="78"/>
      <c r="B771" s="78"/>
      <c r="C771" s="45"/>
      <c r="D771" s="45"/>
      <c r="E771" s="45"/>
      <c r="F771" s="45"/>
      <c r="G771" s="45"/>
      <c r="H771" s="45"/>
      <c r="I771" s="45"/>
      <c r="J771" s="45"/>
      <c r="K771" s="78"/>
      <c r="L771" s="78"/>
    </row>
    <row r="772">
      <c r="A772" s="78"/>
      <c r="B772" s="78"/>
      <c r="C772" s="45"/>
      <c r="D772" s="45"/>
      <c r="E772" s="45"/>
      <c r="F772" s="45"/>
      <c r="G772" s="45"/>
      <c r="H772" s="45"/>
      <c r="I772" s="45"/>
      <c r="J772" s="45"/>
      <c r="K772" s="78"/>
      <c r="L772" s="78"/>
    </row>
    <row r="773">
      <c r="A773" s="78"/>
      <c r="B773" s="78"/>
      <c r="C773" s="45"/>
      <c r="D773" s="45"/>
      <c r="E773" s="45"/>
      <c r="F773" s="45"/>
      <c r="G773" s="45"/>
      <c r="H773" s="45"/>
      <c r="I773" s="45"/>
      <c r="J773" s="45"/>
      <c r="K773" s="78"/>
      <c r="L773" s="78"/>
    </row>
    <row r="774">
      <c r="A774" s="78"/>
      <c r="B774" s="78"/>
      <c r="C774" s="45"/>
      <c r="D774" s="45"/>
      <c r="E774" s="45"/>
      <c r="F774" s="45"/>
      <c r="G774" s="45"/>
      <c r="H774" s="45"/>
      <c r="I774" s="45"/>
      <c r="J774" s="45"/>
      <c r="K774" s="78"/>
      <c r="L774" s="78"/>
    </row>
    <row r="775">
      <c r="A775" s="78"/>
      <c r="B775" s="78"/>
      <c r="C775" s="45"/>
      <c r="D775" s="45"/>
      <c r="E775" s="45"/>
      <c r="F775" s="45"/>
      <c r="G775" s="45"/>
      <c r="H775" s="45"/>
      <c r="I775" s="45"/>
      <c r="J775" s="45"/>
      <c r="K775" s="78"/>
      <c r="L775" s="78"/>
    </row>
    <row r="776">
      <c r="A776" s="78"/>
      <c r="B776" s="78"/>
      <c r="C776" s="45"/>
      <c r="D776" s="45"/>
      <c r="E776" s="45"/>
      <c r="F776" s="45"/>
      <c r="G776" s="45"/>
      <c r="H776" s="45"/>
      <c r="I776" s="45"/>
      <c r="J776" s="45"/>
      <c r="K776" s="78"/>
      <c r="L776" s="78"/>
    </row>
    <row r="777">
      <c r="A777" s="78"/>
      <c r="B777" s="78"/>
      <c r="C777" s="45"/>
      <c r="D777" s="45"/>
      <c r="E777" s="45"/>
      <c r="F777" s="45"/>
      <c r="G777" s="45"/>
      <c r="H777" s="45"/>
      <c r="I777" s="45"/>
      <c r="J777" s="45"/>
      <c r="K777" s="78"/>
      <c r="L777" s="78"/>
    </row>
    <row r="778">
      <c r="A778" s="78"/>
      <c r="B778" s="78"/>
      <c r="C778" s="45"/>
      <c r="D778" s="45"/>
      <c r="E778" s="45"/>
      <c r="F778" s="45"/>
      <c r="G778" s="45"/>
      <c r="H778" s="45"/>
      <c r="I778" s="45"/>
      <c r="J778" s="45"/>
      <c r="K778" s="78"/>
      <c r="L778" s="78"/>
    </row>
    <row r="779">
      <c r="A779" s="78"/>
      <c r="B779" s="78"/>
      <c r="C779" s="45"/>
      <c r="D779" s="45"/>
      <c r="E779" s="45"/>
      <c r="F779" s="45"/>
      <c r="G779" s="45"/>
      <c r="H779" s="45"/>
      <c r="I779" s="45"/>
      <c r="J779" s="45"/>
      <c r="K779" s="78"/>
      <c r="L779" s="78"/>
    </row>
    <row r="780">
      <c r="A780" s="78"/>
      <c r="B780" s="78"/>
      <c r="C780" s="45"/>
      <c r="D780" s="45"/>
      <c r="E780" s="45"/>
      <c r="F780" s="45"/>
      <c r="G780" s="45"/>
      <c r="H780" s="45"/>
      <c r="I780" s="45"/>
      <c r="J780" s="45"/>
      <c r="K780" s="78"/>
      <c r="L780" s="78"/>
    </row>
    <row r="781">
      <c r="A781" s="78"/>
      <c r="B781" s="78"/>
      <c r="C781" s="45"/>
      <c r="D781" s="45"/>
      <c r="E781" s="45"/>
      <c r="F781" s="45"/>
      <c r="G781" s="45"/>
      <c r="H781" s="45"/>
      <c r="I781" s="45"/>
      <c r="J781" s="45"/>
      <c r="K781" s="78"/>
      <c r="L781" s="78"/>
    </row>
    <row r="782">
      <c r="A782" s="78"/>
      <c r="B782" s="78"/>
      <c r="C782" s="45"/>
      <c r="D782" s="45"/>
      <c r="E782" s="45"/>
      <c r="F782" s="45"/>
      <c r="G782" s="45"/>
      <c r="H782" s="45"/>
      <c r="I782" s="45"/>
      <c r="J782" s="45"/>
      <c r="K782" s="78"/>
      <c r="L782" s="78"/>
    </row>
    <row r="783">
      <c r="A783" s="78"/>
      <c r="B783" s="78"/>
      <c r="C783" s="45"/>
      <c r="D783" s="45"/>
      <c r="E783" s="45"/>
      <c r="F783" s="45"/>
      <c r="G783" s="45"/>
      <c r="H783" s="45"/>
      <c r="I783" s="45"/>
      <c r="J783" s="45"/>
      <c r="K783" s="78"/>
      <c r="L783" s="78"/>
    </row>
    <row r="784">
      <c r="A784" s="78"/>
      <c r="B784" s="78"/>
      <c r="C784" s="45"/>
      <c r="D784" s="45"/>
      <c r="E784" s="45"/>
      <c r="F784" s="45"/>
      <c r="G784" s="45"/>
      <c r="H784" s="45"/>
      <c r="I784" s="45"/>
      <c r="J784" s="45"/>
      <c r="K784" s="78"/>
      <c r="L784" s="78"/>
    </row>
    <row r="785">
      <c r="A785" s="78"/>
      <c r="B785" s="78"/>
      <c r="C785" s="45"/>
      <c r="D785" s="45"/>
      <c r="E785" s="45"/>
      <c r="F785" s="45"/>
      <c r="G785" s="45"/>
      <c r="H785" s="45"/>
      <c r="I785" s="45"/>
      <c r="J785" s="45"/>
      <c r="K785" s="78"/>
      <c r="L785" s="78"/>
    </row>
    <row r="786">
      <c r="A786" s="78"/>
      <c r="B786" s="78"/>
      <c r="C786" s="45"/>
      <c r="D786" s="45"/>
      <c r="E786" s="45"/>
      <c r="F786" s="45"/>
      <c r="G786" s="45"/>
      <c r="H786" s="45"/>
      <c r="I786" s="45"/>
      <c r="J786" s="45"/>
      <c r="K786" s="78"/>
      <c r="L786" s="78"/>
    </row>
    <row r="787">
      <c r="A787" s="78"/>
      <c r="B787" s="78"/>
      <c r="C787" s="45"/>
      <c r="D787" s="45"/>
      <c r="E787" s="45"/>
      <c r="F787" s="45"/>
      <c r="G787" s="45"/>
      <c r="H787" s="45"/>
      <c r="I787" s="45"/>
      <c r="J787" s="45"/>
      <c r="K787" s="78"/>
      <c r="L787" s="78"/>
    </row>
    <row r="788">
      <c r="A788" s="78"/>
      <c r="B788" s="78"/>
      <c r="C788" s="45"/>
      <c r="D788" s="45"/>
      <c r="E788" s="45"/>
      <c r="F788" s="45"/>
      <c r="G788" s="45"/>
      <c r="H788" s="45"/>
      <c r="I788" s="45"/>
      <c r="J788" s="45"/>
      <c r="K788" s="78"/>
      <c r="L788" s="78"/>
    </row>
    <row r="789">
      <c r="A789" s="78"/>
      <c r="B789" s="78"/>
      <c r="C789" s="45"/>
      <c r="D789" s="45"/>
      <c r="E789" s="45"/>
      <c r="F789" s="45"/>
      <c r="G789" s="45"/>
      <c r="H789" s="45"/>
      <c r="I789" s="45"/>
      <c r="J789" s="45"/>
      <c r="K789" s="78"/>
      <c r="L789" s="78"/>
    </row>
    <row r="790">
      <c r="A790" s="78"/>
      <c r="B790" s="78"/>
      <c r="C790" s="45"/>
      <c r="D790" s="45"/>
      <c r="E790" s="45"/>
      <c r="F790" s="45"/>
      <c r="G790" s="45"/>
      <c r="H790" s="45"/>
      <c r="I790" s="45"/>
      <c r="J790" s="45"/>
      <c r="K790" s="78"/>
      <c r="L790" s="78"/>
    </row>
    <row r="791">
      <c r="A791" s="78"/>
      <c r="B791" s="78"/>
      <c r="C791" s="45"/>
      <c r="D791" s="45"/>
      <c r="E791" s="45"/>
      <c r="F791" s="45"/>
      <c r="G791" s="45"/>
      <c r="H791" s="45"/>
      <c r="I791" s="45"/>
      <c r="J791" s="45"/>
      <c r="K791" s="78"/>
      <c r="L791" s="78"/>
    </row>
    <row r="792">
      <c r="A792" s="78"/>
      <c r="B792" s="78"/>
      <c r="C792" s="45"/>
      <c r="D792" s="45"/>
      <c r="E792" s="45"/>
      <c r="F792" s="45"/>
      <c r="G792" s="45"/>
      <c r="H792" s="45"/>
      <c r="I792" s="45"/>
      <c r="J792" s="45"/>
      <c r="K792" s="78"/>
      <c r="L792" s="78"/>
    </row>
    <row r="793">
      <c r="A793" s="78"/>
      <c r="B793" s="78"/>
      <c r="C793" s="45"/>
      <c r="D793" s="45"/>
      <c r="E793" s="45"/>
      <c r="F793" s="45"/>
      <c r="G793" s="45"/>
      <c r="H793" s="45"/>
      <c r="I793" s="45"/>
      <c r="J793" s="45"/>
      <c r="K793" s="78"/>
      <c r="L793" s="78"/>
    </row>
    <row r="794">
      <c r="A794" s="78"/>
      <c r="B794" s="78"/>
      <c r="C794" s="45"/>
      <c r="D794" s="45"/>
      <c r="E794" s="45"/>
      <c r="F794" s="45"/>
      <c r="G794" s="45"/>
      <c r="H794" s="45"/>
      <c r="I794" s="45"/>
      <c r="J794" s="45"/>
      <c r="K794" s="78"/>
      <c r="L794" s="78"/>
    </row>
    <row r="795">
      <c r="A795" s="78"/>
      <c r="B795" s="78"/>
      <c r="C795" s="45"/>
      <c r="D795" s="45"/>
      <c r="E795" s="45"/>
      <c r="F795" s="45"/>
      <c r="G795" s="45"/>
      <c r="H795" s="45"/>
      <c r="I795" s="45"/>
      <c r="J795" s="45"/>
      <c r="K795" s="78"/>
      <c r="L795" s="78"/>
    </row>
    <row r="796">
      <c r="A796" s="78"/>
      <c r="B796" s="78"/>
      <c r="C796" s="45"/>
      <c r="D796" s="45"/>
      <c r="E796" s="45"/>
      <c r="F796" s="45"/>
      <c r="G796" s="45"/>
      <c r="H796" s="45"/>
      <c r="I796" s="45"/>
      <c r="J796" s="45"/>
      <c r="K796" s="78"/>
      <c r="L796" s="78"/>
    </row>
    <row r="797">
      <c r="A797" s="78"/>
      <c r="B797" s="78"/>
      <c r="C797" s="45"/>
      <c r="D797" s="45"/>
      <c r="E797" s="45"/>
      <c r="F797" s="45"/>
      <c r="G797" s="45"/>
      <c r="H797" s="45"/>
      <c r="I797" s="45"/>
      <c r="J797" s="45"/>
      <c r="K797" s="78"/>
      <c r="L797" s="78"/>
    </row>
    <row r="798">
      <c r="A798" s="78"/>
      <c r="B798" s="78"/>
      <c r="C798" s="45"/>
      <c r="D798" s="45"/>
      <c r="E798" s="45"/>
      <c r="F798" s="45"/>
      <c r="G798" s="45"/>
      <c r="H798" s="45"/>
      <c r="I798" s="45"/>
      <c r="J798" s="45"/>
      <c r="K798" s="78"/>
      <c r="L798" s="78"/>
    </row>
    <row r="799">
      <c r="A799" s="78"/>
      <c r="B799" s="78"/>
      <c r="C799" s="45"/>
      <c r="D799" s="45"/>
      <c r="E799" s="45"/>
      <c r="F799" s="45"/>
      <c r="G799" s="45"/>
      <c r="H799" s="45"/>
      <c r="I799" s="45"/>
      <c r="J799" s="45"/>
      <c r="K799" s="78"/>
      <c r="L799" s="78"/>
    </row>
    <row r="800">
      <c r="A800" s="78"/>
      <c r="B800" s="78"/>
      <c r="C800" s="45"/>
      <c r="D800" s="45"/>
      <c r="E800" s="45"/>
      <c r="F800" s="45"/>
      <c r="G800" s="45"/>
      <c r="H800" s="45"/>
      <c r="I800" s="45"/>
      <c r="J800" s="45"/>
      <c r="K800" s="78"/>
      <c r="L800" s="78"/>
    </row>
    <row r="801">
      <c r="A801" s="78"/>
      <c r="B801" s="78"/>
      <c r="C801" s="45"/>
      <c r="D801" s="45"/>
      <c r="E801" s="45"/>
      <c r="F801" s="45"/>
      <c r="G801" s="45"/>
      <c r="H801" s="45"/>
      <c r="I801" s="45"/>
      <c r="J801" s="45"/>
      <c r="K801" s="78"/>
      <c r="L801" s="78"/>
    </row>
    <row r="802">
      <c r="A802" s="78"/>
      <c r="B802" s="78"/>
      <c r="C802" s="45"/>
      <c r="D802" s="45"/>
      <c r="E802" s="45"/>
      <c r="F802" s="45"/>
      <c r="G802" s="45"/>
      <c r="H802" s="45"/>
      <c r="I802" s="45"/>
      <c r="J802" s="45"/>
      <c r="K802" s="78"/>
      <c r="L802" s="78"/>
    </row>
    <row r="803">
      <c r="A803" s="78"/>
      <c r="B803" s="78"/>
      <c r="C803" s="45"/>
      <c r="D803" s="45"/>
      <c r="E803" s="45"/>
      <c r="F803" s="45"/>
      <c r="G803" s="45"/>
      <c r="H803" s="45"/>
      <c r="I803" s="45"/>
      <c r="J803" s="45"/>
      <c r="K803" s="78"/>
      <c r="L803" s="78"/>
    </row>
    <row r="804">
      <c r="A804" s="78"/>
      <c r="B804" s="78"/>
      <c r="C804" s="45"/>
      <c r="D804" s="45"/>
      <c r="E804" s="45"/>
      <c r="F804" s="45"/>
      <c r="G804" s="45"/>
      <c r="H804" s="45"/>
      <c r="I804" s="45"/>
      <c r="J804" s="45"/>
      <c r="K804" s="78"/>
      <c r="L804" s="78"/>
    </row>
    <row r="805">
      <c r="A805" s="78"/>
      <c r="B805" s="78"/>
      <c r="C805" s="45"/>
      <c r="D805" s="45"/>
      <c r="E805" s="45"/>
      <c r="F805" s="45"/>
      <c r="G805" s="45"/>
      <c r="H805" s="45"/>
      <c r="I805" s="45"/>
      <c r="J805" s="45"/>
      <c r="K805" s="78"/>
      <c r="L805" s="78"/>
    </row>
    <row r="806">
      <c r="A806" s="78"/>
      <c r="B806" s="78"/>
      <c r="C806" s="45"/>
      <c r="D806" s="45"/>
      <c r="E806" s="45"/>
      <c r="F806" s="45"/>
      <c r="G806" s="45"/>
      <c r="H806" s="45"/>
      <c r="I806" s="45"/>
      <c r="J806" s="45"/>
      <c r="K806" s="78"/>
      <c r="L806" s="78"/>
    </row>
    <row r="807">
      <c r="A807" s="78"/>
      <c r="B807" s="78"/>
      <c r="C807" s="45"/>
      <c r="D807" s="45"/>
      <c r="E807" s="45"/>
      <c r="F807" s="45"/>
      <c r="G807" s="45"/>
      <c r="H807" s="45"/>
      <c r="I807" s="45"/>
      <c r="J807" s="45"/>
      <c r="K807" s="78"/>
      <c r="L807" s="78"/>
    </row>
    <row r="808">
      <c r="A808" s="78"/>
      <c r="B808" s="78"/>
      <c r="C808" s="45"/>
      <c r="D808" s="45"/>
      <c r="E808" s="45"/>
      <c r="F808" s="45"/>
      <c r="G808" s="45"/>
      <c r="H808" s="45"/>
      <c r="I808" s="45"/>
      <c r="J808" s="45"/>
      <c r="K808" s="78"/>
      <c r="L808" s="78"/>
    </row>
    <row r="809">
      <c r="A809" s="78"/>
      <c r="B809" s="78"/>
      <c r="C809" s="45"/>
      <c r="D809" s="45"/>
      <c r="E809" s="45"/>
      <c r="F809" s="45"/>
      <c r="G809" s="45"/>
      <c r="H809" s="45"/>
      <c r="I809" s="45"/>
      <c r="J809" s="45"/>
      <c r="K809" s="78"/>
      <c r="L809" s="78"/>
    </row>
    <row r="810">
      <c r="A810" s="78"/>
      <c r="B810" s="78"/>
      <c r="C810" s="45"/>
      <c r="D810" s="45"/>
      <c r="E810" s="45"/>
      <c r="F810" s="45"/>
      <c r="G810" s="45"/>
      <c r="H810" s="45"/>
      <c r="I810" s="45"/>
      <c r="J810" s="45"/>
      <c r="K810" s="78"/>
      <c r="L810" s="78"/>
    </row>
    <row r="811">
      <c r="A811" s="78"/>
      <c r="B811" s="78"/>
      <c r="C811" s="45"/>
      <c r="D811" s="45"/>
      <c r="E811" s="45"/>
      <c r="F811" s="45"/>
      <c r="G811" s="45"/>
      <c r="H811" s="45"/>
      <c r="I811" s="45"/>
      <c r="J811" s="45"/>
      <c r="K811" s="78"/>
      <c r="L811" s="78"/>
    </row>
    <row r="812">
      <c r="A812" s="78"/>
      <c r="B812" s="78"/>
      <c r="C812" s="45"/>
      <c r="D812" s="45"/>
      <c r="E812" s="45"/>
      <c r="F812" s="45"/>
      <c r="G812" s="45"/>
      <c r="H812" s="45"/>
      <c r="I812" s="45"/>
      <c r="J812" s="45"/>
      <c r="K812" s="78"/>
      <c r="L812" s="78"/>
    </row>
    <row r="813">
      <c r="A813" s="78"/>
      <c r="B813" s="78"/>
      <c r="C813" s="45"/>
      <c r="D813" s="45"/>
      <c r="E813" s="45"/>
      <c r="F813" s="45"/>
      <c r="G813" s="45"/>
      <c r="H813" s="45"/>
      <c r="I813" s="45"/>
      <c r="J813" s="45"/>
      <c r="K813" s="78"/>
      <c r="L813" s="78"/>
    </row>
    <row r="814">
      <c r="A814" s="78"/>
      <c r="B814" s="78"/>
      <c r="C814" s="45"/>
      <c r="D814" s="45"/>
      <c r="E814" s="45"/>
      <c r="F814" s="45"/>
      <c r="G814" s="45"/>
      <c r="H814" s="45"/>
      <c r="I814" s="45"/>
      <c r="J814" s="45"/>
      <c r="K814" s="78"/>
      <c r="L814" s="78"/>
    </row>
    <row r="815">
      <c r="A815" s="78"/>
      <c r="B815" s="78"/>
      <c r="C815" s="45"/>
      <c r="D815" s="45"/>
      <c r="E815" s="45"/>
      <c r="F815" s="45"/>
      <c r="G815" s="45"/>
      <c r="H815" s="45"/>
      <c r="I815" s="45"/>
      <c r="J815" s="45"/>
      <c r="K815" s="78"/>
      <c r="L815" s="78"/>
    </row>
    <row r="816">
      <c r="A816" s="78"/>
      <c r="B816" s="78"/>
      <c r="C816" s="45"/>
      <c r="D816" s="45"/>
      <c r="E816" s="45"/>
      <c r="F816" s="45"/>
      <c r="G816" s="45"/>
      <c r="H816" s="45"/>
      <c r="I816" s="45"/>
      <c r="J816" s="45"/>
      <c r="K816" s="78"/>
      <c r="L816" s="78"/>
    </row>
    <row r="817">
      <c r="A817" s="78"/>
      <c r="B817" s="78"/>
      <c r="C817" s="45"/>
      <c r="D817" s="45"/>
      <c r="E817" s="45"/>
      <c r="F817" s="45"/>
      <c r="G817" s="45"/>
      <c r="H817" s="45"/>
      <c r="I817" s="45"/>
      <c r="J817" s="45"/>
      <c r="K817" s="78"/>
      <c r="L817" s="78"/>
    </row>
    <row r="818">
      <c r="A818" s="78"/>
      <c r="B818" s="78"/>
      <c r="C818" s="45"/>
      <c r="D818" s="45"/>
      <c r="E818" s="45"/>
      <c r="F818" s="45"/>
      <c r="G818" s="45"/>
      <c r="H818" s="45"/>
      <c r="I818" s="45"/>
      <c r="J818" s="45"/>
      <c r="K818" s="78"/>
      <c r="L818" s="78"/>
    </row>
    <row r="819">
      <c r="A819" s="78"/>
      <c r="B819" s="78"/>
      <c r="C819" s="45"/>
      <c r="D819" s="45"/>
      <c r="E819" s="45"/>
      <c r="F819" s="45"/>
      <c r="G819" s="45"/>
      <c r="H819" s="45"/>
      <c r="I819" s="45"/>
      <c r="J819" s="45"/>
      <c r="K819" s="78"/>
      <c r="L819" s="78"/>
    </row>
    <row r="820">
      <c r="A820" s="78"/>
      <c r="B820" s="78"/>
      <c r="C820" s="45"/>
      <c r="D820" s="45"/>
      <c r="E820" s="45"/>
      <c r="F820" s="45"/>
      <c r="G820" s="45"/>
      <c r="H820" s="45"/>
      <c r="I820" s="45"/>
      <c r="J820" s="45"/>
      <c r="K820" s="78"/>
      <c r="L820" s="78"/>
    </row>
    <row r="821">
      <c r="A821" s="78"/>
      <c r="B821" s="78"/>
      <c r="C821" s="45"/>
      <c r="D821" s="45"/>
      <c r="E821" s="45"/>
      <c r="F821" s="45"/>
      <c r="G821" s="45"/>
      <c r="H821" s="45"/>
      <c r="I821" s="45"/>
      <c r="J821" s="45"/>
      <c r="K821" s="78"/>
      <c r="L821" s="78"/>
    </row>
    <row r="822">
      <c r="A822" s="78"/>
      <c r="B822" s="78"/>
      <c r="C822" s="45"/>
      <c r="D822" s="45"/>
      <c r="E822" s="45"/>
      <c r="F822" s="45"/>
      <c r="G822" s="45"/>
      <c r="H822" s="45"/>
      <c r="I822" s="45"/>
      <c r="J822" s="45"/>
      <c r="K822" s="78"/>
      <c r="L822" s="78"/>
    </row>
    <row r="823">
      <c r="A823" s="78"/>
      <c r="B823" s="78"/>
      <c r="C823" s="45"/>
      <c r="D823" s="45"/>
      <c r="E823" s="45"/>
      <c r="F823" s="45"/>
      <c r="G823" s="45"/>
      <c r="H823" s="45"/>
      <c r="I823" s="45"/>
      <c r="J823" s="45"/>
      <c r="K823" s="78"/>
      <c r="L823" s="78"/>
    </row>
    <row r="824">
      <c r="A824" s="78"/>
      <c r="B824" s="78"/>
      <c r="C824" s="45"/>
      <c r="D824" s="45"/>
      <c r="E824" s="45"/>
      <c r="F824" s="45"/>
      <c r="G824" s="45"/>
      <c r="H824" s="45"/>
      <c r="I824" s="45"/>
      <c r="J824" s="45"/>
      <c r="K824" s="78"/>
      <c r="L824" s="78"/>
    </row>
    <row r="825">
      <c r="A825" s="78"/>
      <c r="B825" s="78"/>
      <c r="C825" s="45"/>
      <c r="D825" s="45"/>
      <c r="E825" s="45"/>
      <c r="F825" s="45"/>
      <c r="G825" s="45"/>
      <c r="H825" s="45"/>
      <c r="I825" s="45"/>
      <c r="J825" s="45"/>
      <c r="K825" s="78"/>
      <c r="L825" s="78"/>
    </row>
    <row r="826">
      <c r="A826" s="78"/>
      <c r="B826" s="78"/>
      <c r="C826" s="45"/>
      <c r="D826" s="45"/>
      <c r="E826" s="45"/>
      <c r="F826" s="45"/>
      <c r="G826" s="45"/>
      <c r="H826" s="45"/>
      <c r="I826" s="45"/>
      <c r="J826" s="45"/>
      <c r="K826" s="78"/>
      <c r="L826" s="78"/>
    </row>
    <row r="827">
      <c r="A827" s="78"/>
      <c r="B827" s="78"/>
      <c r="C827" s="45"/>
      <c r="D827" s="45"/>
      <c r="E827" s="45"/>
      <c r="F827" s="45"/>
      <c r="G827" s="45"/>
      <c r="H827" s="45"/>
      <c r="I827" s="45"/>
      <c r="J827" s="45"/>
      <c r="K827" s="78"/>
      <c r="L827" s="78"/>
    </row>
    <row r="828">
      <c r="A828" s="78"/>
      <c r="B828" s="78"/>
      <c r="C828" s="45"/>
      <c r="D828" s="45"/>
      <c r="E828" s="45"/>
      <c r="F828" s="45"/>
      <c r="G828" s="45"/>
      <c r="H828" s="45"/>
      <c r="I828" s="45"/>
      <c r="J828" s="45"/>
      <c r="K828" s="78"/>
      <c r="L828" s="78"/>
    </row>
    <row r="829">
      <c r="A829" s="78"/>
      <c r="B829" s="78"/>
      <c r="C829" s="45"/>
      <c r="D829" s="45"/>
      <c r="E829" s="45"/>
      <c r="F829" s="45"/>
      <c r="G829" s="45"/>
      <c r="H829" s="45"/>
      <c r="I829" s="45"/>
      <c r="J829" s="45"/>
      <c r="K829" s="78"/>
      <c r="L829" s="78"/>
    </row>
    <row r="830">
      <c r="A830" s="78"/>
      <c r="B830" s="78"/>
      <c r="C830" s="45"/>
      <c r="D830" s="45"/>
      <c r="E830" s="45"/>
      <c r="F830" s="45"/>
      <c r="G830" s="45"/>
      <c r="H830" s="45"/>
      <c r="I830" s="45"/>
      <c r="J830" s="45"/>
      <c r="K830" s="78"/>
      <c r="L830" s="78"/>
    </row>
    <row r="831">
      <c r="A831" s="78"/>
      <c r="B831" s="78"/>
      <c r="C831" s="45"/>
      <c r="D831" s="45"/>
      <c r="E831" s="45"/>
      <c r="F831" s="45"/>
      <c r="G831" s="45"/>
      <c r="H831" s="45"/>
      <c r="I831" s="45"/>
      <c r="J831" s="45"/>
      <c r="K831" s="78"/>
      <c r="L831" s="78"/>
    </row>
    <row r="832">
      <c r="A832" s="78"/>
      <c r="B832" s="78"/>
      <c r="C832" s="45"/>
      <c r="D832" s="45"/>
      <c r="E832" s="45"/>
      <c r="F832" s="45"/>
      <c r="G832" s="45"/>
      <c r="H832" s="45"/>
      <c r="I832" s="45"/>
      <c r="J832" s="45"/>
      <c r="K832" s="78"/>
      <c r="L832" s="78"/>
    </row>
    <row r="833">
      <c r="A833" s="78"/>
      <c r="B833" s="78"/>
      <c r="C833" s="45"/>
      <c r="D833" s="45"/>
      <c r="E833" s="45"/>
      <c r="F833" s="45"/>
      <c r="G833" s="45"/>
      <c r="H833" s="45"/>
      <c r="I833" s="45"/>
      <c r="J833" s="45"/>
      <c r="K833" s="78"/>
      <c r="L833" s="78"/>
    </row>
    <row r="834">
      <c r="A834" s="78"/>
      <c r="B834" s="78"/>
      <c r="C834" s="45"/>
      <c r="D834" s="45"/>
      <c r="E834" s="45"/>
      <c r="F834" s="45"/>
      <c r="G834" s="45"/>
      <c r="H834" s="45"/>
      <c r="I834" s="45"/>
      <c r="J834" s="45"/>
      <c r="K834" s="78"/>
      <c r="L834" s="78"/>
    </row>
    <row r="835">
      <c r="A835" s="78"/>
      <c r="B835" s="78"/>
      <c r="C835" s="45"/>
      <c r="D835" s="45"/>
      <c r="E835" s="45"/>
      <c r="F835" s="45"/>
      <c r="G835" s="45"/>
      <c r="H835" s="45"/>
      <c r="I835" s="45"/>
      <c r="J835" s="45"/>
      <c r="K835" s="78"/>
      <c r="L835" s="78"/>
    </row>
    <row r="836">
      <c r="A836" s="78"/>
      <c r="B836" s="78"/>
      <c r="C836" s="45"/>
      <c r="D836" s="45"/>
      <c r="E836" s="45"/>
      <c r="F836" s="45"/>
      <c r="G836" s="45"/>
      <c r="H836" s="45"/>
      <c r="I836" s="45"/>
      <c r="J836" s="45"/>
      <c r="K836" s="78"/>
      <c r="L836" s="78"/>
    </row>
    <row r="837">
      <c r="A837" s="78"/>
      <c r="B837" s="78"/>
      <c r="C837" s="45"/>
      <c r="D837" s="45"/>
      <c r="E837" s="45"/>
      <c r="F837" s="45"/>
      <c r="G837" s="45"/>
      <c r="H837" s="45"/>
      <c r="I837" s="45"/>
      <c r="J837" s="45"/>
      <c r="K837" s="78"/>
      <c r="L837" s="78"/>
    </row>
    <row r="838">
      <c r="A838" s="78"/>
      <c r="B838" s="78"/>
      <c r="C838" s="45"/>
      <c r="D838" s="45"/>
      <c r="E838" s="45"/>
      <c r="F838" s="45"/>
      <c r="G838" s="45"/>
      <c r="H838" s="45"/>
      <c r="I838" s="45"/>
      <c r="J838" s="45"/>
      <c r="K838" s="78"/>
      <c r="L838" s="78"/>
    </row>
    <row r="839">
      <c r="A839" s="78"/>
      <c r="B839" s="78"/>
      <c r="C839" s="45"/>
      <c r="D839" s="45"/>
      <c r="E839" s="45"/>
      <c r="F839" s="45"/>
      <c r="G839" s="45"/>
      <c r="H839" s="45"/>
      <c r="I839" s="45"/>
      <c r="J839" s="45"/>
      <c r="K839" s="78"/>
      <c r="L839" s="78"/>
    </row>
    <row r="840">
      <c r="A840" s="78"/>
      <c r="B840" s="78"/>
      <c r="C840" s="45"/>
      <c r="D840" s="45"/>
      <c r="E840" s="45"/>
      <c r="F840" s="45"/>
      <c r="G840" s="45"/>
      <c r="H840" s="45"/>
      <c r="I840" s="45"/>
      <c r="J840" s="45"/>
      <c r="K840" s="78"/>
      <c r="L840" s="78"/>
    </row>
    <row r="841">
      <c r="A841" s="78"/>
      <c r="B841" s="78"/>
      <c r="C841" s="45"/>
      <c r="D841" s="45"/>
      <c r="E841" s="45"/>
      <c r="F841" s="45"/>
      <c r="G841" s="45"/>
      <c r="H841" s="45"/>
      <c r="I841" s="45"/>
      <c r="J841" s="45"/>
      <c r="K841" s="78"/>
      <c r="L841" s="78"/>
    </row>
    <row r="842">
      <c r="A842" s="78"/>
      <c r="B842" s="78"/>
      <c r="C842" s="45"/>
      <c r="D842" s="45"/>
      <c r="E842" s="45"/>
      <c r="F842" s="45"/>
      <c r="G842" s="45"/>
      <c r="H842" s="45"/>
      <c r="I842" s="45"/>
      <c r="J842" s="45"/>
      <c r="K842" s="78"/>
      <c r="L842" s="78"/>
    </row>
    <row r="843">
      <c r="A843" s="78"/>
      <c r="B843" s="78"/>
      <c r="C843" s="45"/>
      <c r="D843" s="45"/>
      <c r="E843" s="45"/>
      <c r="F843" s="45"/>
      <c r="G843" s="45"/>
      <c r="H843" s="45"/>
      <c r="I843" s="45"/>
      <c r="J843" s="45"/>
      <c r="K843" s="78"/>
      <c r="L843" s="78"/>
    </row>
    <row r="844">
      <c r="A844" s="78"/>
      <c r="B844" s="78"/>
      <c r="C844" s="45"/>
      <c r="D844" s="45"/>
      <c r="E844" s="45"/>
      <c r="F844" s="45"/>
      <c r="G844" s="45"/>
      <c r="H844" s="45"/>
      <c r="I844" s="45"/>
      <c r="J844" s="45"/>
      <c r="K844" s="78"/>
      <c r="L844" s="78"/>
    </row>
    <row r="845">
      <c r="A845" s="78"/>
      <c r="B845" s="78"/>
      <c r="C845" s="45"/>
      <c r="D845" s="45"/>
      <c r="E845" s="45"/>
      <c r="F845" s="45"/>
      <c r="G845" s="45"/>
      <c r="H845" s="45"/>
      <c r="I845" s="45"/>
      <c r="J845" s="45"/>
      <c r="K845" s="78"/>
      <c r="L845" s="78"/>
    </row>
    <row r="846">
      <c r="A846" s="78"/>
      <c r="B846" s="78"/>
      <c r="C846" s="45"/>
      <c r="D846" s="45"/>
      <c r="E846" s="45"/>
      <c r="F846" s="45"/>
      <c r="G846" s="45"/>
      <c r="H846" s="45"/>
      <c r="I846" s="45"/>
      <c r="J846" s="45"/>
      <c r="K846" s="78"/>
      <c r="L846" s="78"/>
    </row>
    <row r="847">
      <c r="A847" s="78"/>
      <c r="B847" s="78"/>
      <c r="C847" s="45"/>
      <c r="D847" s="45"/>
      <c r="E847" s="45"/>
      <c r="F847" s="45"/>
      <c r="G847" s="45"/>
      <c r="H847" s="45"/>
      <c r="I847" s="45"/>
      <c r="J847" s="45"/>
      <c r="K847" s="78"/>
      <c r="L847" s="78"/>
    </row>
    <row r="848">
      <c r="A848" s="78"/>
      <c r="B848" s="78"/>
      <c r="C848" s="45"/>
      <c r="D848" s="45"/>
      <c r="E848" s="45"/>
      <c r="F848" s="45"/>
      <c r="G848" s="45"/>
      <c r="H848" s="45"/>
      <c r="I848" s="45"/>
      <c r="J848" s="45"/>
      <c r="K848" s="78"/>
      <c r="L848" s="78"/>
    </row>
    <row r="849">
      <c r="A849" s="78"/>
      <c r="B849" s="78"/>
      <c r="C849" s="45"/>
      <c r="D849" s="45"/>
      <c r="E849" s="45"/>
      <c r="F849" s="45"/>
      <c r="G849" s="45"/>
      <c r="H849" s="45"/>
      <c r="I849" s="45"/>
      <c r="J849" s="45"/>
      <c r="K849" s="78"/>
      <c r="L849" s="78"/>
    </row>
    <row r="850">
      <c r="A850" s="78"/>
      <c r="B850" s="78"/>
      <c r="C850" s="45"/>
      <c r="D850" s="45"/>
      <c r="E850" s="45"/>
      <c r="F850" s="45"/>
      <c r="G850" s="45"/>
      <c r="H850" s="45"/>
      <c r="I850" s="45"/>
      <c r="J850" s="45"/>
      <c r="K850" s="78"/>
      <c r="L850" s="78"/>
    </row>
    <row r="851">
      <c r="A851" s="78"/>
      <c r="B851" s="78"/>
      <c r="C851" s="45"/>
      <c r="D851" s="45"/>
      <c r="E851" s="45"/>
      <c r="F851" s="45"/>
      <c r="G851" s="45"/>
      <c r="H851" s="45"/>
      <c r="I851" s="45"/>
      <c r="J851" s="45"/>
      <c r="K851" s="78"/>
      <c r="L851" s="78"/>
    </row>
    <row r="852">
      <c r="A852" s="78"/>
      <c r="B852" s="78"/>
      <c r="C852" s="45"/>
      <c r="D852" s="45"/>
      <c r="E852" s="45"/>
      <c r="F852" s="45"/>
      <c r="G852" s="45"/>
      <c r="H852" s="45"/>
      <c r="I852" s="45"/>
      <c r="J852" s="45"/>
      <c r="K852" s="78"/>
      <c r="L852" s="78"/>
    </row>
    <row r="853">
      <c r="A853" s="78"/>
      <c r="B853" s="78"/>
      <c r="C853" s="45"/>
      <c r="D853" s="45"/>
      <c r="E853" s="45"/>
      <c r="F853" s="45"/>
      <c r="G853" s="45"/>
      <c r="H853" s="45"/>
      <c r="I853" s="45"/>
      <c r="J853" s="45"/>
      <c r="K853" s="78"/>
      <c r="L853" s="78"/>
    </row>
    <row r="854">
      <c r="A854" s="78"/>
      <c r="B854" s="78"/>
      <c r="C854" s="45"/>
      <c r="D854" s="45"/>
      <c r="E854" s="45"/>
      <c r="F854" s="45"/>
      <c r="G854" s="45"/>
      <c r="H854" s="45"/>
      <c r="I854" s="45"/>
      <c r="J854" s="45"/>
      <c r="K854" s="78"/>
      <c r="L854" s="78"/>
    </row>
    <row r="855">
      <c r="A855" s="78"/>
      <c r="B855" s="78"/>
      <c r="C855" s="45"/>
      <c r="D855" s="45"/>
      <c r="E855" s="45"/>
      <c r="F855" s="45"/>
      <c r="G855" s="45"/>
      <c r="H855" s="45"/>
      <c r="I855" s="45"/>
      <c r="J855" s="45"/>
      <c r="K855" s="78"/>
      <c r="L855" s="78"/>
    </row>
    <row r="856">
      <c r="A856" s="78"/>
      <c r="B856" s="78"/>
      <c r="C856" s="45"/>
      <c r="D856" s="45"/>
      <c r="E856" s="45"/>
      <c r="F856" s="45"/>
      <c r="G856" s="45"/>
      <c r="H856" s="45"/>
      <c r="I856" s="45"/>
      <c r="J856" s="45"/>
      <c r="K856" s="78"/>
      <c r="L856" s="78"/>
    </row>
    <row r="857">
      <c r="A857" s="78"/>
      <c r="B857" s="78"/>
      <c r="C857" s="45"/>
      <c r="D857" s="45"/>
      <c r="E857" s="45"/>
      <c r="F857" s="45"/>
      <c r="G857" s="45"/>
      <c r="H857" s="45"/>
      <c r="I857" s="45"/>
      <c r="J857" s="45"/>
      <c r="K857" s="78"/>
      <c r="L857" s="78"/>
    </row>
    <row r="858">
      <c r="A858" s="78"/>
      <c r="B858" s="78"/>
      <c r="C858" s="45"/>
      <c r="D858" s="45"/>
      <c r="E858" s="45"/>
      <c r="F858" s="45"/>
      <c r="G858" s="45"/>
      <c r="H858" s="45"/>
      <c r="I858" s="45"/>
      <c r="J858" s="45"/>
      <c r="K858" s="78"/>
      <c r="L858" s="78"/>
    </row>
    <row r="859">
      <c r="A859" s="78"/>
      <c r="B859" s="78"/>
      <c r="C859" s="45"/>
      <c r="D859" s="45"/>
      <c r="E859" s="45"/>
      <c r="F859" s="45"/>
      <c r="G859" s="45"/>
      <c r="H859" s="45"/>
      <c r="I859" s="45"/>
      <c r="J859" s="45"/>
      <c r="K859" s="78"/>
      <c r="L859" s="78"/>
    </row>
    <row r="860">
      <c r="A860" s="78"/>
      <c r="B860" s="78"/>
      <c r="C860" s="45"/>
      <c r="D860" s="45"/>
      <c r="E860" s="45"/>
      <c r="F860" s="45"/>
      <c r="G860" s="45"/>
      <c r="H860" s="45"/>
      <c r="I860" s="45"/>
      <c r="J860" s="45"/>
      <c r="K860" s="78"/>
      <c r="L860" s="78"/>
    </row>
    <row r="861">
      <c r="A861" s="78"/>
      <c r="B861" s="78"/>
      <c r="C861" s="45"/>
      <c r="D861" s="45"/>
      <c r="E861" s="45"/>
      <c r="F861" s="45"/>
      <c r="G861" s="45"/>
      <c r="H861" s="45"/>
      <c r="I861" s="45"/>
      <c r="J861" s="45"/>
      <c r="K861" s="78"/>
      <c r="L861" s="78"/>
    </row>
    <row r="862">
      <c r="A862" s="78"/>
      <c r="B862" s="78"/>
      <c r="C862" s="45"/>
      <c r="D862" s="45"/>
      <c r="E862" s="45"/>
      <c r="F862" s="45"/>
      <c r="G862" s="45"/>
      <c r="H862" s="45"/>
      <c r="I862" s="45"/>
      <c r="J862" s="45"/>
      <c r="K862" s="78"/>
      <c r="L862" s="78"/>
    </row>
    <row r="863">
      <c r="A863" s="78"/>
      <c r="B863" s="78"/>
      <c r="C863" s="45"/>
      <c r="D863" s="45"/>
      <c r="E863" s="45"/>
      <c r="F863" s="45"/>
      <c r="G863" s="45"/>
      <c r="H863" s="45"/>
      <c r="I863" s="45"/>
      <c r="J863" s="45"/>
      <c r="K863" s="78"/>
      <c r="L863" s="78"/>
    </row>
    <row r="864">
      <c r="A864" s="78"/>
      <c r="B864" s="78"/>
      <c r="C864" s="45"/>
      <c r="D864" s="45"/>
      <c r="E864" s="45"/>
      <c r="F864" s="45"/>
      <c r="G864" s="45"/>
      <c r="H864" s="45"/>
      <c r="I864" s="45"/>
      <c r="J864" s="45"/>
      <c r="K864" s="78"/>
      <c r="L864" s="78"/>
    </row>
    <row r="865">
      <c r="A865" s="78"/>
      <c r="B865" s="78"/>
      <c r="C865" s="45"/>
      <c r="D865" s="45"/>
      <c r="E865" s="45"/>
      <c r="F865" s="45"/>
      <c r="G865" s="45"/>
      <c r="H865" s="45"/>
      <c r="I865" s="45"/>
      <c r="J865" s="45"/>
      <c r="K865" s="78"/>
      <c r="L865" s="78"/>
    </row>
    <row r="866">
      <c r="A866" s="78"/>
      <c r="B866" s="78"/>
      <c r="C866" s="45"/>
      <c r="D866" s="45"/>
      <c r="E866" s="45"/>
      <c r="F866" s="45"/>
      <c r="G866" s="45"/>
      <c r="H866" s="45"/>
      <c r="I866" s="45"/>
      <c r="J866" s="45"/>
      <c r="K866" s="78"/>
      <c r="L866" s="78"/>
    </row>
    <row r="867">
      <c r="A867" s="78"/>
      <c r="B867" s="78"/>
      <c r="C867" s="45"/>
      <c r="D867" s="45"/>
      <c r="E867" s="45"/>
      <c r="F867" s="45"/>
      <c r="G867" s="45"/>
      <c r="H867" s="45"/>
      <c r="I867" s="45"/>
      <c r="J867" s="45"/>
      <c r="K867" s="78"/>
      <c r="L867" s="78"/>
    </row>
    <row r="868">
      <c r="A868" s="78"/>
      <c r="B868" s="78"/>
      <c r="C868" s="45"/>
      <c r="D868" s="45"/>
      <c r="E868" s="45"/>
      <c r="F868" s="45"/>
      <c r="G868" s="45"/>
      <c r="H868" s="45"/>
      <c r="I868" s="45"/>
      <c r="J868" s="45"/>
      <c r="K868" s="78"/>
      <c r="L868" s="78"/>
    </row>
    <row r="869">
      <c r="A869" s="78"/>
      <c r="B869" s="78"/>
      <c r="C869" s="45"/>
      <c r="D869" s="45"/>
      <c r="E869" s="45"/>
      <c r="F869" s="45"/>
      <c r="G869" s="45"/>
      <c r="H869" s="45"/>
      <c r="I869" s="45"/>
      <c r="J869" s="45"/>
      <c r="K869" s="78"/>
      <c r="L869" s="78"/>
    </row>
    <row r="870">
      <c r="A870" s="78"/>
      <c r="B870" s="78"/>
      <c r="C870" s="45"/>
      <c r="D870" s="45"/>
      <c r="E870" s="45"/>
      <c r="F870" s="45"/>
      <c r="G870" s="45"/>
      <c r="H870" s="45"/>
      <c r="I870" s="45"/>
      <c r="J870" s="45"/>
      <c r="K870" s="78"/>
      <c r="L870" s="78"/>
    </row>
    <row r="871">
      <c r="A871" s="78"/>
      <c r="B871" s="78"/>
      <c r="C871" s="45"/>
      <c r="D871" s="45"/>
      <c r="E871" s="45"/>
      <c r="F871" s="45"/>
      <c r="G871" s="45"/>
      <c r="H871" s="45"/>
      <c r="I871" s="45"/>
      <c r="J871" s="45"/>
      <c r="K871" s="78"/>
      <c r="L871" s="78"/>
    </row>
    <row r="872">
      <c r="A872" s="78"/>
      <c r="B872" s="78"/>
      <c r="C872" s="45"/>
      <c r="D872" s="45"/>
      <c r="E872" s="45"/>
      <c r="F872" s="45"/>
      <c r="G872" s="45"/>
      <c r="H872" s="45"/>
      <c r="I872" s="45"/>
      <c r="J872" s="45"/>
      <c r="K872" s="78"/>
      <c r="L872" s="78"/>
    </row>
    <row r="873">
      <c r="A873" s="78"/>
      <c r="B873" s="78"/>
      <c r="C873" s="45"/>
      <c r="D873" s="45"/>
      <c r="E873" s="45"/>
      <c r="F873" s="45"/>
      <c r="G873" s="45"/>
      <c r="H873" s="45"/>
      <c r="I873" s="45"/>
      <c r="J873" s="45"/>
      <c r="K873" s="78"/>
      <c r="L873" s="78"/>
    </row>
    <row r="874">
      <c r="A874" s="78"/>
      <c r="B874" s="78"/>
      <c r="C874" s="45"/>
      <c r="D874" s="45"/>
      <c r="E874" s="45"/>
      <c r="F874" s="45"/>
      <c r="G874" s="45"/>
      <c r="H874" s="45"/>
      <c r="I874" s="45"/>
      <c r="J874" s="45"/>
      <c r="K874" s="78"/>
      <c r="L874" s="78"/>
    </row>
    <row r="875">
      <c r="A875" s="78"/>
      <c r="B875" s="78"/>
      <c r="C875" s="45"/>
      <c r="D875" s="45"/>
      <c r="E875" s="45"/>
      <c r="F875" s="45"/>
      <c r="G875" s="45"/>
      <c r="H875" s="45"/>
      <c r="I875" s="45"/>
      <c r="J875" s="45"/>
      <c r="K875" s="78"/>
      <c r="L875" s="78"/>
    </row>
    <row r="876">
      <c r="A876" s="78"/>
      <c r="B876" s="78"/>
      <c r="C876" s="45"/>
      <c r="D876" s="45"/>
      <c r="E876" s="45"/>
      <c r="F876" s="45"/>
      <c r="G876" s="45"/>
      <c r="H876" s="45"/>
      <c r="I876" s="45"/>
      <c r="J876" s="45"/>
      <c r="K876" s="78"/>
      <c r="L876" s="78"/>
    </row>
    <row r="877">
      <c r="A877" s="78"/>
      <c r="B877" s="78"/>
      <c r="C877" s="45"/>
      <c r="D877" s="45"/>
      <c r="E877" s="45"/>
      <c r="F877" s="45"/>
      <c r="G877" s="45"/>
      <c r="H877" s="45"/>
      <c r="I877" s="45"/>
      <c r="J877" s="45"/>
      <c r="K877" s="78"/>
      <c r="L877" s="78"/>
    </row>
    <row r="878">
      <c r="A878" s="78"/>
      <c r="B878" s="78"/>
      <c r="C878" s="45"/>
      <c r="D878" s="45"/>
      <c r="E878" s="45"/>
      <c r="F878" s="45"/>
      <c r="G878" s="45"/>
      <c r="H878" s="45"/>
      <c r="I878" s="45"/>
      <c r="J878" s="45"/>
      <c r="K878" s="78"/>
      <c r="L878" s="78"/>
    </row>
    <row r="879">
      <c r="A879" s="78"/>
      <c r="B879" s="78"/>
      <c r="C879" s="45"/>
      <c r="D879" s="45"/>
      <c r="E879" s="45"/>
      <c r="F879" s="45"/>
      <c r="G879" s="45"/>
      <c r="H879" s="45"/>
      <c r="I879" s="45"/>
      <c r="J879" s="45"/>
      <c r="K879" s="78"/>
      <c r="L879" s="78"/>
    </row>
    <row r="880">
      <c r="A880" s="78"/>
      <c r="B880" s="78"/>
      <c r="C880" s="45"/>
      <c r="D880" s="45"/>
      <c r="E880" s="45"/>
      <c r="F880" s="45"/>
      <c r="G880" s="45"/>
      <c r="H880" s="45"/>
      <c r="I880" s="45"/>
      <c r="J880" s="45"/>
      <c r="K880" s="78"/>
      <c r="L880" s="78"/>
    </row>
    <row r="881">
      <c r="A881" s="78"/>
      <c r="B881" s="78"/>
      <c r="C881" s="45"/>
      <c r="D881" s="45"/>
      <c r="E881" s="45"/>
      <c r="F881" s="45"/>
      <c r="G881" s="45"/>
      <c r="H881" s="45"/>
      <c r="I881" s="45"/>
      <c r="J881" s="45"/>
      <c r="K881" s="78"/>
      <c r="L881" s="78"/>
    </row>
    <row r="882">
      <c r="A882" s="78"/>
      <c r="B882" s="78"/>
      <c r="C882" s="45"/>
      <c r="D882" s="45"/>
      <c r="E882" s="45"/>
      <c r="F882" s="45"/>
      <c r="G882" s="45"/>
      <c r="H882" s="45"/>
      <c r="I882" s="45"/>
      <c r="J882" s="45"/>
      <c r="K882" s="78"/>
      <c r="L882" s="78"/>
    </row>
    <row r="883">
      <c r="A883" s="78"/>
      <c r="B883" s="78"/>
      <c r="C883" s="45"/>
      <c r="D883" s="45"/>
      <c r="E883" s="45"/>
      <c r="F883" s="45"/>
      <c r="G883" s="45"/>
      <c r="H883" s="45"/>
      <c r="I883" s="45"/>
      <c r="J883" s="45"/>
      <c r="K883" s="78"/>
      <c r="L883" s="78"/>
    </row>
    <row r="884">
      <c r="A884" s="78"/>
      <c r="B884" s="78"/>
      <c r="C884" s="45"/>
      <c r="D884" s="45"/>
      <c r="E884" s="45"/>
      <c r="F884" s="45"/>
      <c r="G884" s="45"/>
      <c r="H884" s="45"/>
      <c r="I884" s="45"/>
      <c r="J884" s="45"/>
      <c r="K884" s="78"/>
      <c r="L884" s="78"/>
    </row>
    <row r="885">
      <c r="A885" s="78"/>
      <c r="B885" s="78"/>
      <c r="C885" s="45"/>
      <c r="D885" s="45"/>
      <c r="E885" s="45"/>
      <c r="F885" s="45"/>
      <c r="G885" s="45"/>
      <c r="H885" s="45"/>
      <c r="I885" s="45"/>
      <c r="J885" s="45"/>
      <c r="K885" s="78"/>
      <c r="L885" s="78"/>
    </row>
    <row r="886">
      <c r="A886" s="78"/>
      <c r="B886" s="78"/>
      <c r="C886" s="45"/>
      <c r="D886" s="45"/>
      <c r="E886" s="45"/>
      <c r="F886" s="45"/>
      <c r="G886" s="45"/>
      <c r="H886" s="45"/>
      <c r="I886" s="45"/>
      <c r="J886" s="45"/>
      <c r="K886" s="78"/>
      <c r="L886" s="78"/>
    </row>
    <row r="887">
      <c r="A887" s="78"/>
      <c r="B887" s="78"/>
      <c r="C887" s="45"/>
      <c r="D887" s="45"/>
      <c r="E887" s="45"/>
      <c r="F887" s="45"/>
      <c r="G887" s="45"/>
      <c r="H887" s="45"/>
      <c r="I887" s="45"/>
      <c r="J887" s="45"/>
      <c r="K887" s="78"/>
      <c r="L887" s="78"/>
    </row>
    <row r="888">
      <c r="A888" s="78"/>
      <c r="B888" s="78"/>
      <c r="C888" s="45"/>
      <c r="D888" s="45"/>
      <c r="E888" s="45"/>
      <c r="F888" s="45"/>
      <c r="G888" s="45"/>
      <c r="H888" s="45"/>
      <c r="I888" s="45"/>
      <c r="J888" s="45"/>
      <c r="K888" s="78"/>
      <c r="L888" s="78"/>
    </row>
    <row r="889">
      <c r="A889" s="78"/>
      <c r="B889" s="78"/>
      <c r="C889" s="45"/>
      <c r="D889" s="45"/>
      <c r="E889" s="45"/>
      <c r="F889" s="45"/>
      <c r="G889" s="45"/>
      <c r="H889" s="45"/>
      <c r="I889" s="45"/>
      <c r="J889" s="45"/>
      <c r="K889" s="78"/>
      <c r="L889" s="78"/>
    </row>
    <row r="890">
      <c r="A890" s="78"/>
      <c r="B890" s="78"/>
      <c r="C890" s="45"/>
      <c r="D890" s="45"/>
      <c r="E890" s="45"/>
      <c r="F890" s="45"/>
      <c r="G890" s="45"/>
      <c r="H890" s="45"/>
      <c r="I890" s="45"/>
      <c r="J890" s="45"/>
      <c r="K890" s="78"/>
      <c r="L890" s="78"/>
    </row>
    <row r="891">
      <c r="A891" s="78"/>
      <c r="B891" s="78"/>
      <c r="C891" s="45"/>
      <c r="D891" s="45"/>
      <c r="E891" s="45"/>
      <c r="F891" s="45"/>
      <c r="G891" s="45"/>
      <c r="H891" s="45"/>
      <c r="I891" s="45"/>
      <c r="J891" s="45"/>
      <c r="K891" s="78"/>
      <c r="L891" s="78"/>
    </row>
    <row r="892">
      <c r="A892" s="78"/>
      <c r="B892" s="78"/>
      <c r="C892" s="45"/>
      <c r="D892" s="45"/>
      <c r="E892" s="45"/>
      <c r="F892" s="45"/>
      <c r="G892" s="45"/>
      <c r="H892" s="45"/>
      <c r="I892" s="45"/>
      <c r="J892" s="45"/>
      <c r="K892" s="78"/>
      <c r="L892" s="78"/>
    </row>
    <row r="893">
      <c r="A893" s="78"/>
      <c r="B893" s="78"/>
      <c r="C893" s="45"/>
      <c r="D893" s="45"/>
      <c r="E893" s="45"/>
      <c r="F893" s="45"/>
      <c r="G893" s="45"/>
      <c r="H893" s="45"/>
      <c r="I893" s="45"/>
      <c r="J893" s="45"/>
      <c r="K893" s="78"/>
      <c r="L893" s="78"/>
    </row>
    <row r="894">
      <c r="A894" s="78"/>
      <c r="B894" s="78"/>
      <c r="C894" s="45"/>
      <c r="D894" s="45"/>
      <c r="E894" s="45"/>
      <c r="F894" s="45"/>
      <c r="G894" s="45"/>
      <c r="H894" s="45"/>
      <c r="I894" s="45"/>
      <c r="J894" s="45"/>
      <c r="K894" s="78"/>
      <c r="L894" s="78"/>
    </row>
    <row r="895">
      <c r="A895" s="78"/>
      <c r="B895" s="78"/>
      <c r="C895" s="45"/>
      <c r="D895" s="45"/>
      <c r="E895" s="45"/>
      <c r="F895" s="45"/>
      <c r="G895" s="45"/>
      <c r="H895" s="45"/>
      <c r="I895" s="45"/>
      <c r="J895" s="45"/>
      <c r="K895" s="78"/>
      <c r="L895" s="78"/>
    </row>
    <row r="896">
      <c r="A896" s="78"/>
      <c r="B896" s="78"/>
      <c r="C896" s="45"/>
      <c r="D896" s="45"/>
      <c r="E896" s="45"/>
      <c r="F896" s="45"/>
      <c r="G896" s="45"/>
      <c r="H896" s="45"/>
      <c r="I896" s="45"/>
      <c r="J896" s="45"/>
      <c r="K896" s="78"/>
      <c r="L896" s="78"/>
    </row>
    <row r="897">
      <c r="A897" s="78"/>
      <c r="B897" s="78"/>
      <c r="C897" s="45"/>
      <c r="D897" s="45"/>
      <c r="E897" s="45"/>
      <c r="F897" s="45"/>
      <c r="G897" s="45"/>
      <c r="H897" s="45"/>
      <c r="I897" s="45"/>
      <c r="J897" s="45"/>
      <c r="K897" s="78"/>
      <c r="L897" s="78"/>
    </row>
    <row r="898">
      <c r="A898" s="78"/>
      <c r="B898" s="78"/>
      <c r="C898" s="45"/>
      <c r="D898" s="45"/>
      <c r="E898" s="45"/>
      <c r="F898" s="45"/>
      <c r="G898" s="45"/>
      <c r="H898" s="45"/>
      <c r="I898" s="45"/>
      <c r="J898" s="45"/>
      <c r="K898" s="78"/>
      <c r="L898" s="78"/>
    </row>
    <row r="899">
      <c r="A899" s="78"/>
      <c r="B899" s="78"/>
      <c r="C899" s="45"/>
      <c r="D899" s="45"/>
      <c r="E899" s="45"/>
      <c r="F899" s="45"/>
      <c r="G899" s="45"/>
      <c r="H899" s="45"/>
      <c r="I899" s="45"/>
      <c r="J899" s="45"/>
      <c r="K899" s="78"/>
      <c r="L899" s="78"/>
    </row>
    <row r="900">
      <c r="A900" s="78"/>
      <c r="B900" s="78"/>
      <c r="C900" s="45"/>
      <c r="D900" s="45"/>
      <c r="E900" s="45"/>
      <c r="F900" s="45"/>
      <c r="G900" s="45"/>
      <c r="H900" s="45"/>
      <c r="I900" s="45"/>
      <c r="J900" s="45"/>
      <c r="K900" s="78"/>
      <c r="L900" s="78"/>
    </row>
    <row r="901">
      <c r="A901" s="78"/>
      <c r="B901" s="78"/>
      <c r="C901" s="45"/>
      <c r="D901" s="45"/>
      <c r="E901" s="45"/>
      <c r="F901" s="45"/>
      <c r="G901" s="45"/>
      <c r="H901" s="45"/>
      <c r="I901" s="45"/>
      <c r="J901" s="45"/>
      <c r="K901" s="78"/>
      <c r="L901" s="78"/>
    </row>
    <row r="902">
      <c r="A902" s="78"/>
      <c r="B902" s="78"/>
      <c r="C902" s="45"/>
      <c r="D902" s="45"/>
      <c r="E902" s="45"/>
      <c r="F902" s="45"/>
      <c r="G902" s="45"/>
      <c r="H902" s="45"/>
      <c r="I902" s="45"/>
      <c r="J902" s="45"/>
      <c r="K902" s="78"/>
      <c r="L902" s="78"/>
    </row>
    <row r="903">
      <c r="A903" s="78"/>
      <c r="B903" s="78"/>
      <c r="C903" s="45"/>
      <c r="D903" s="45"/>
      <c r="E903" s="45"/>
      <c r="F903" s="45"/>
      <c r="G903" s="45"/>
      <c r="H903" s="45"/>
      <c r="I903" s="45"/>
      <c r="J903" s="45"/>
      <c r="K903" s="78"/>
      <c r="L903" s="78"/>
    </row>
    <row r="904">
      <c r="A904" s="78"/>
      <c r="B904" s="78"/>
      <c r="C904" s="45"/>
      <c r="D904" s="45"/>
      <c r="E904" s="45"/>
      <c r="F904" s="45"/>
      <c r="G904" s="45"/>
      <c r="H904" s="45"/>
      <c r="I904" s="45"/>
      <c r="J904" s="45"/>
      <c r="K904" s="78"/>
      <c r="L904" s="78"/>
    </row>
    <row r="905">
      <c r="A905" s="78"/>
      <c r="B905" s="78"/>
      <c r="C905" s="45"/>
      <c r="D905" s="45"/>
      <c r="E905" s="45"/>
      <c r="F905" s="45"/>
      <c r="G905" s="45"/>
      <c r="H905" s="45"/>
      <c r="I905" s="45"/>
      <c r="J905" s="45"/>
      <c r="K905" s="78"/>
      <c r="L905" s="78"/>
    </row>
    <row r="906">
      <c r="A906" s="78"/>
      <c r="B906" s="78"/>
      <c r="C906" s="45"/>
      <c r="D906" s="45"/>
      <c r="E906" s="45"/>
      <c r="F906" s="45"/>
      <c r="G906" s="45"/>
      <c r="H906" s="45"/>
      <c r="I906" s="45"/>
      <c r="J906" s="45"/>
      <c r="K906" s="78"/>
      <c r="L906" s="78"/>
    </row>
    <row r="907">
      <c r="A907" s="78"/>
      <c r="B907" s="78"/>
      <c r="C907" s="45"/>
      <c r="D907" s="45"/>
      <c r="E907" s="45"/>
      <c r="F907" s="45"/>
      <c r="G907" s="45"/>
      <c r="H907" s="45"/>
      <c r="I907" s="45"/>
      <c r="J907" s="45"/>
      <c r="K907" s="78"/>
      <c r="L907" s="78"/>
    </row>
    <row r="908">
      <c r="A908" s="78"/>
      <c r="B908" s="78"/>
      <c r="C908" s="45"/>
      <c r="D908" s="45"/>
      <c r="E908" s="45"/>
      <c r="F908" s="45"/>
      <c r="G908" s="45"/>
      <c r="H908" s="45"/>
      <c r="I908" s="45"/>
      <c r="J908" s="45"/>
      <c r="K908" s="78"/>
      <c r="L908" s="78"/>
    </row>
    <row r="909">
      <c r="A909" s="78"/>
      <c r="B909" s="78"/>
      <c r="C909" s="45"/>
      <c r="D909" s="45"/>
      <c r="E909" s="45"/>
      <c r="F909" s="45"/>
      <c r="G909" s="45"/>
      <c r="H909" s="45"/>
      <c r="I909" s="45"/>
      <c r="J909" s="45"/>
      <c r="K909" s="78"/>
      <c r="L909" s="78"/>
    </row>
    <row r="910">
      <c r="A910" s="78"/>
      <c r="B910" s="78"/>
      <c r="C910" s="45"/>
      <c r="D910" s="45"/>
      <c r="E910" s="45"/>
      <c r="F910" s="45"/>
      <c r="G910" s="45"/>
      <c r="H910" s="45"/>
      <c r="I910" s="45"/>
      <c r="J910" s="45"/>
      <c r="K910" s="78"/>
      <c r="L910" s="78"/>
    </row>
    <row r="911">
      <c r="A911" s="78"/>
      <c r="B911" s="78"/>
      <c r="C911" s="45"/>
      <c r="D911" s="45"/>
      <c r="E911" s="45"/>
      <c r="F911" s="45"/>
      <c r="G911" s="45"/>
      <c r="H911" s="45"/>
      <c r="I911" s="45"/>
      <c r="J911" s="45"/>
      <c r="K911" s="78"/>
      <c r="L911" s="78"/>
    </row>
    <row r="912">
      <c r="A912" s="78"/>
      <c r="B912" s="78"/>
      <c r="C912" s="45"/>
      <c r="D912" s="45"/>
      <c r="E912" s="45"/>
      <c r="F912" s="45"/>
      <c r="G912" s="45"/>
      <c r="H912" s="45"/>
      <c r="I912" s="45"/>
      <c r="J912" s="45"/>
      <c r="K912" s="78"/>
      <c r="L912" s="78"/>
    </row>
    <row r="913">
      <c r="A913" s="78"/>
      <c r="B913" s="78"/>
      <c r="C913" s="45"/>
      <c r="D913" s="45"/>
      <c r="E913" s="45"/>
      <c r="F913" s="45"/>
      <c r="G913" s="45"/>
      <c r="H913" s="45"/>
      <c r="I913" s="45"/>
      <c r="J913" s="45"/>
      <c r="K913" s="78"/>
      <c r="L913" s="78"/>
    </row>
    <row r="914">
      <c r="A914" s="78"/>
      <c r="B914" s="78"/>
      <c r="C914" s="45"/>
      <c r="D914" s="45"/>
      <c r="E914" s="45"/>
      <c r="F914" s="45"/>
      <c r="G914" s="45"/>
      <c r="H914" s="45"/>
      <c r="I914" s="45"/>
      <c r="J914" s="45"/>
      <c r="K914" s="78"/>
      <c r="L914" s="78"/>
    </row>
    <row r="915">
      <c r="A915" s="78"/>
      <c r="B915" s="78"/>
      <c r="C915" s="45"/>
      <c r="D915" s="45"/>
      <c r="E915" s="45"/>
      <c r="F915" s="45"/>
      <c r="G915" s="45"/>
      <c r="H915" s="45"/>
      <c r="I915" s="45"/>
      <c r="J915" s="45"/>
      <c r="K915" s="78"/>
      <c r="L915" s="78"/>
    </row>
    <row r="916">
      <c r="A916" s="78"/>
      <c r="B916" s="78"/>
      <c r="C916" s="45"/>
      <c r="D916" s="45"/>
      <c r="E916" s="45"/>
      <c r="F916" s="45"/>
      <c r="G916" s="45"/>
      <c r="H916" s="45"/>
      <c r="I916" s="45"/>
      <c r="J916" s="45"/>
      <c r="K916" s="78"/>
      <c r="L916" s="78"/>
    </row>
    <row r="917">
      <c r="A917" s="78"/>
      <c r="B917" s="78"/>
      <c r="C917" s="45"/>
      <c r="D917" s="45"/>
      <c r="E917" s="45"/>
      <c r="F917" s="45"/>
      <c r="G917" s="45"/>
      <c r="H917" s="45"/>
      <c r="I917" s="45"/>
      <c r="J917" s="45"/>
      <c r="K917" s="78"/>
      <c r="L917" s="78"/>
    </row>
    <row r="918">
      <c r="A918" s="78"/>
      <c r="B918" s="78"/>
      <c r="C918" s="45"/>
      <c r="D918" s="45"/>
      <c r="E918" s="45"/>
      <c r="F918" s="45"/>
      <c r="G918" s="45"/>
      <c r="H918" s="45"/>
      <c r="I918" s="45"/>
      <c r="J918" s="45"/>
      <c r="K918" s="78"/>
      <c r="L918" s="78"/>
    </row>
    <row r="919">
      <c r="A919" s="78"/>
      <c r="B919" s="78"/>
      <c r="C919" s="45"/>
      <c r="D919" s="45"/>
      <c r="E919" s="45"/>
      <c r="F919" s="45"/>
      <c r="G919" s="45"/>
      <c r="H919" s="45"/>
      <c r="I919" s="45"/>
      <c r="J919" s="45"/>
      <c r="K919" s="78"/>
      <c r="L919" s="78"/>
    </row>
    <row r="920">
      <c r="A920" s="78"/>
      <c r="B920" s="78"/>
      <c r="C920" s="45"/>
      <c r="D920" s="45"/>
      <c r="E920" s="45"/>
      <c r="F920" s="45"/>
      <c r="G920" s="45"/>
      <c r="H920" s="45"/>
      <c r="I920" s="45"/>
      <c r="J920" s="45"/>
      <c r="K920" s="78"/>
      <c r="L920" s="78"/>
    </row>
    <row r="921">
      <c r="A921" s="78"/>
      <c r="B921" s="78"/>
      <c r="C921" s="45"/>
      <c r="D921" s="45"/>
      <c r="E921" s="45"/>
      <c r="F921" s="45"/>
      <c r="G921" s="45"/>
      <c r="H921" s="45"/>
      <c r="I921" s="45"/>
      <c r="J921" s="45"/>
      <c r="K921" s="78"/>
      <c r="L921" s="78"/>
    </row>
    <row r="922">
      <c r="A922" s="78"/>
      <c r="B922" s="78"/>
      <c r="C922" s="45"/>
      <c r="D922" s="45"/>
      <c r="E922" s="45"/>
      <c r="F922" s="45"/>
      <c r="G922" s="45"/>
      <c r="H922" s="45"/>
      <c r="I922" s="45"/>
      <c r="J922" s="45"/>
      <c r="K922" s="78"/>
      <c r="L922" s="78"/>
    </row>
    <row r="923">
      <c r="A923" s="78"/>
      <c r="B923" s="78"/>
      <c r="C923" s="45"/>
      <c r="D923" s="45"/>
      <c r="E923" s="45"/>
      <c r="F923" s="45"/>
      <c r="G923" s="45"/>
      <c r="H923" s="45"/>
      <c r="I923" s="45"/>
      <c r="J923" s="45"/>
      <c r="K923" s="78"/>
      <c r="L923" s="78"/>
    </row>
    <row r="924">
      <c r="A924" s="78"/>
      <c r="B924" s="78"/>
      <c r="C924" s="45"/>
      <c r="D924" s="45"/>
      <c r="E924" s="45"/>
      <c r="F924" s="45"/>
      <c r="G924" s="45"/>
      <c r="H924" s="45"/>
      <c r="I924" s="45"/>
      <c r="J924" s="45"/>
      <c r="K924" s="78"/>
      <c r="L924" s="78"/>
    </row>
    <row r="925">
      <c r="A925" s="78"/>
      <c r="B925" s="78"/>
      <c r="C925" s="45"/>
      <c r="D925" s="45"/>
      <c r="E925" s="45"/>
      <c r="F925" s="45"/>
      <c r="G925" s="45"/>
      <c r="H925" s="45"/>
      <c r="I925" s="45"/>
      <c r="J925" s="45"/>
      <c r="K925" s="78"/>
      <c r="L925" s="78"/>
    </row>
    <row r="926">
      <c r="A926" s="78"/>
      <c r="B926" s="78"/>
      <c r="C926" s="45"/>
      <c r="D926" s="45"/>
      <c r="E926" s="45"/>
      <c r="F926" s="45"/>
      <c r="G926" s="45"/>
      <c r="H926" s="45"/>
      <c r="I926" s="45"/>
      <c r="J926" s="45"/>
      <c r="K926" s="78"/>
      <c r="L926" s="78"/>
    </row>
    <row r="927">
      <c r="A927" s="78"/>
      <c r="B927" s="78"/>
      <c r="C927" s="45"/>
      <c r="D927" s="45"/>
      <c r="E927" s="45"/>
      <c r="F927" s="45"/>
      <c r="G927" s="45"/>
      <c r="H927" s="45"/>
      <c r="I927" s="45"/>
      <c r="J927" s="45"/>
      <c r="K927" s="78"/>
      <c r="L927" s="78"/>
    </row>
    <row r="928">
      <c r="A928" s="78"/>
      <c r="B928" s="78"/>
      <c r="C928" s="45"/>
      <c r="D928" s="45"/>
      <c r="E928" s="45"/>
      <c r="F928" s="45"/>
      <c r="G928" s="45"/>
      <c r="H928" s="45"/>
      <c r="I928" s="45"/>
      <c r="J928" s="45"/>
      <c r="K928" s="78"/>
      <c r="L928" s="78"/>
    </row>
    <row r="929">
      <c r="A929" s="78"/>
      <c r="B929" s="78"/>
      <c r="C929" s="45"/>
      <c r="D929" s="45"/>
      <c r="E929" s="45"/>
      <c r="F929" s="45"/>
      <c r="G929" s="45"/>
      <c r="H929" s="45"/>
      <c r="I929" s="45"/>
      <c r="J929" s="45"/>
      <c r="K929" s="78"/>
      <c r="L929" s="78"/>
    </row>
    <row r="930">
      <c r="A930" s="78"/>
      <c r="B930" s="78"/>
      <c r="C930" s="45"/>
      <c r="D930" s="45"/>
      <c r="E930" s="45"/>
      <c r="F930" s="45"/>
      <c r="G930" s="45"/>
      <c r="H930" s="45"/>
      <c r="I930" s="45"/>
      <c r="J930" s="45"/>
      <c r="K930" s="78"/>
      <c r="L930" s="78"/>
    </row>
    <row r="931">
      <c r="A931" s="78"/>
      <c r="B931" s="78"/>
      <c r="C931" s="45"/>
      <c r="D931" s="45"/>
      <c r="E931" s="45"/>
      <c r="F931" s="45"/>
      <c r="G931" s="45"/>
      <c r="H931" s="45"/>
      <c r="I931" s="45"/>
      <c r="J931" s="45"/>
      <c r="K931" s="78"/>
      <c r="L931" s="78"/>
    </row>
    <row r="932">
      <c r="A932" s="78"/>
      <c r="B932" s="78"/>
      <c r="C932" s="45"/>
      <c r="D932" s="45"/>
      <c r="E932" s="45"/>
      <c r="F932" s="45"/>
      <c r="G932" s="45"/>
      <c r="H932" s="45"/>
      <c r="I932" s="45"/>
      <c r="J932" s="45"/>
      <c r="K932" s="78"/>
      <c r="L932" s="78"/>
    </row>
    <row r="933">
      <c r="A933" s="78"/>
      <c r="B933" s="78"/>
      <c r="C933" s="45"/>
      <c r="D933" s="45"/>
      <c r="E933" s="45"/>
      <c r="F933" s="45"/>
      <c r="G933" s="45"/>
      <c r="H933" s="45"/>
      <c r="I933" s="45"/>
      <c r="J933" s="45"/>
      <c r="K933" s="78"/>
      <c r="L933" s="78"/>
    </row>
    <row r="934">
      <c r="A934" s="78"/>
      <c r="B934" s="78"/>
      <c r="C934" s="45"/>
      <c r="D934" s="45"/>
      <c r="E934" s="45"/>
      <c r="F934" s="45"/>
      <c r="G934" s="45"/>
      <c r="H934" s="45"/>
      <c r="I934" s="45"/>
      <c r="J934" s="45"/>
      <c r="K934" s="78"/>
      <c r="L934" s="78"/>
    </row>
    <row r="935">
      <c r="A935" s="78"/>
      <c r="B935" s="78"/>
      <c r="C935" s="45"/>
      <c r="D935" s="45"/>
      <c r="E935" s="45"/>
      <c r="F935" s="45"/>
      <c r="G935" s="45"/>
      <c r="H935" s="45"/>
      <c r="I935" s="45"/>
      <c r="J935" s="45"/>
      <c r="K935" s="78"/>
      <c r="L935" s="78"/>
    </row>
    <row r="936">
      <c r="A936" s="78"/>
      <c r="B936" s="78"/>
      <c r="C936" s="45"/>
      <c r="D936" s="45"/>
      <c r="E936" s="45"/>
      <c r="F936" s="45"/>
      <c r="G936" s="45"/>
      <c r="H936" s="45"/>
      <c r="I936" s="45"/>
      <c r="J936" s="45"/>
      <c r="K936" s="78"/>
      <c r="L936" s="78"/>
    </row>
    <row r="937">
      <c r="A937" s="78"/>
      <c r="B937" s="78"/>
      <c r="C937" s="45"/>
      <c r="D937" s="45"/>
      <c r="E937" s="45"/>
      <c r="F937" s="45"/>
      <c r="G937" s="45"/>
      <c r="H937" s="45"/>
      <c r="I937" s="45"/>
      <c r="J937" s="45"/>
      <c r="K937" s="78"/>
      <c r="L937" s="78"/>
    </row>
    <row r="938">
      <c r="A938" s="78"/>
      <c r="B938" s="78"/>
      <c r="C938" s="45"/>
      <c r="D938" s="45"/>
      <c r="E938" s="45"/>
      <c r="F938" s="45"/>
      <c r="G938" s="45"/>
      <c r="H938" s="45"/>
      <c r="I938" s="45"/>
      <c r="J938" s="45"/>
      <c r="K938" s="78"/>
      <c r="L938" s="78"/>
    </row>
    <row r="939">
      <c r="A939" s="78"/>
      <c r="B939" s="78"/>
      <c r="C939" s="45"/>
      <c r="D939" s="45"/>
      <c r="E939" s="45"/>
      <c r="F939" s="45"/>
      <c r="G939" s="45"/>
      <c r="H939" s="45"/>
      <c r="I939" s="45"/>
      <c r="J939" s="45"/>
      <c r="K939" s="78"/>
      <c r="L939" s="78"/>
    </row>
    <row r="940">
      <c r="A940" s="78"/>
      <c r="B940" s="78"/>
      <c r="C940" s="45"/>
      <c r="D940" s="45"/>
      <c r="E940" s="45"/>
      <c r="F940" s="45"/>
      <c r="G940" s="45"/>
      <c r="H940" s="45"/>
      <c r="I940" s="45"/>
      <c r="J940" s="45"/>
      <c r="K940" s="78"/>
      <c r="L940" s="78"/>
    </row>
    <row r="941">
      <c r="A941" s="78"/>
      <c r="B941" s="78"/>
      <c r="C941" s="45"/>
      <c r="D941" s="45"/>
      <c r="E941" s="45"/>
      <c r="F941" s="45"/>
      <c r="G941" s="45"/>
      <c r="H941" s="45"/>
      <c r="I941" s="45"/>
      <c r="J941" s="45"/>
      <c r="K941" s="78"/>
      <c r="L941" s="78"/>
    </row>
    <row r="942">
      <c r="A942" s="78"/>
      <c r="B942" s="78"/>
      <c r="C942" s="45"/>
      <c r="D942" s="45"/>
      <c r="E942" s="45"/>
      <c r="F942" s="45"/>
      <c r="G942" s="45"/>
      <c r="H942" s="45"/>
      <c r="I942" s="45"/>
      <c r="J942" s="45"/>
      <c r="K942" s="78"/>
      <c r="L942" s="78"/>
    </row>
    <row r="943">
      <c r="A943" s="78"/>
      <c r="B943" s="78"/>
      <c r="C943" s="45"/>
      <c r="D943" s="45"/>
      <c r="E943" s="45"/>
      <c r="F943" s="45"/>
      <c r="G943" s="45"/>
      <c r="H943" s="45"/>
      <c r="I943" s="45"/>
      <c r="J943" s="45"/>
      <c r="K943" s="78"/>
      <c r="L943" s="78"/>
    </row>
    <row r="944">
      <c r="A944" s="78"/>
      <c r="B944" s="78"/>
      <c r="C944" s="45"/>
      <c r="D944" s="45"/>
      <c r="E944" s="45"/>
      <c r="F944" s="45"/>
      <c r="G944" s="45"/>
      <c r="H944" s="45"/>
      <c r="I944" s="45"/>
      <c r="J944" s="45"/>
      <c r="K944" s="78"/>
      <c r="L944" s="78"/>
    </row>
    <row r="945">
      <c r="A945" s="78"/>
      <c r="B945" s="78"/>
      <c r="C945" s="45"/>
      <c r="D945" s="45"/>
      <c r="E945" s="45"/>
      <c r="F945" s="45"/>
      <c r="G945" s="45"/>
      <c r="H945" s="45"/>
      <c r="I945" s="45"/>
      <c r="J945" s="45"/>
      <c r="K945" s="78"/>
      <c r="L945" s="78"/>
    </row>
    <row r="946">
      <c r="A946" s="78"/>
      <c r="B946" s="78"/>
      <c r="C946" s="45"/>
      <c r="D946" s="45"/>
      <c r="E946" s="45"/>
      <c r="F946" s="45"/>
      <c r="G946" s="45"/>
      <c r="H946" s="45"/>
      <c r="I946" s="45"/>
      <c r="J946" s="45"/>
      <c r="K946" s="78"/>
      <c r="L946" s="78"/>
    </row>
    <row r="947">
      <c r="A947" s="78"/>
      <c r="B947" s="78"/>
      <c r="C947" s="45"/>
      <c r="D947" s="45"/>
      <c r="E947" s="45"/>
      <c r="F947" s="45"/>
      <c r="G947" s="45"/>
      <c r="H947" s="45"/>
      <c r="I947" s="45"/>
      <c r="J947" s="45"/>
      <c r="K947" s="78"/>
      <c r="L947" s="78"/>
    </row>
    <row r="948">
      <c r="A948" s="78"/>
      <c r="B948" s="78"/>
      <c r="C948" s="45"/>
      <c r="D948" s="45"/>
      <c r="E948" s="45"/>
      <c r="F948" s="45"/>
      <c r="G948" s="45"/>
      <c r="H948" s="45"/>
      <c r="I948" s="45"/>
      <c r="J948" s="45"/>
      <c r="K948" s="78"/>
      <c r="L948" s="78"/>
    </row>
    <row r="949">
      <c r="A949" s="78"/>
      <c r="B949" s="78"/>
      <c r="C949" s="45"/>
      <c r="D949" s="45"/>
      <c r="E949" s="45"/>
      <c r="F949" s="45"/>
      <c r="G949" s="45"/>
      <c r="H949" s="45"/>
      <c r="I949" s="45"/>
      <c r="J949" s="45"/>
      <c r="K949" s="78"/>
      <c r="L949" s="78"/>
    </row>
    <row r="950">
      <c r="A950" s="78"/>
      <c r="B950" s="78"/>
      <c r="C950" s="45"/>
      <c r="D950" s="45"/>
      <c r="E950" s="45"/>
      <c r="F950" s="45"/>
      <c r="G950" s="45"/>
      <c r="H950" s="45"/>
      <c r="I950" s="45"/>
      <c r="J950" s="45"/>
      <c r="K950" s="78"/>
      <c r="L950" s="78"/>
    </row>
    <row r="951">
      <c r="A951" s="78"/>
      <c r="B951" s="78"/>
      <c r="C951" s="45"/>
      <c r="D951" s="45"/>
      <c r="E951" s="45"/>
      <c r="F951" s="45"/>
      <c r="G951" s="45"/>
      <c r="H951" s="45"/>
      <c r="I951" s="45"/>
      <c r="J951" s="45"/>
      <c r="K951" s="78"/>
      <c r="L951" s="78"/>
    </row>
    <row r="952">
      <c r="A952" s="78"/>
      <c r="B952" s="78"/>
      <c r="C952" s="45"/>
      <c r="D952" s="45"/>
      <c r="E952" s="45"/>
      <c r="F952" s="45"/>
      <c r="G952" s="45"/>
      <c r="H952" s="45"/>
      <c r="I952" s="45"/>
      <c r="J952" s="45"/>
      <c r="K952" s="78"/>
      <c r="L952" s="78"/>
    </row>
    <row r="953">
      <c r="A953" s="78"/>
      <c r="B953" s="78"/>
      <c r="C953" s="45"/>
      <c r="D953" s="45"/>
      <c r="E953" s="45"/>
      <c r="F953" s="45"/>
      <c r="G953" s="45"/>
      <c r="H953" s="45"/>
      <c r="I953" s="45"/>
      <c r="J953" s="45"/>
      <c r="K953" s="78"/>
      <c r="L953" s="78"/>
    </row>
    <row r="954">
      <c r="A954" s="78"/>
      <c r="B954" s="78"/>
      <c r="C954" s="45"/>
      <c r="D954" s="45"/>
      <c r="E954" s="45"/>
      <c r="F954" s="45"/>
      <c r="G954" s="45"/>
      <c r="H954" s="45"/>
      <c r="I954" s="45"/>
      <c r="J954" s="45"/>
      <c r="K954" s="78"/>
      <c r="L954" s="78"/>
    </row>
    <row r="955">
      <c r="A955" s="78"/>
      <c r="B955" s="78"/>
      <c r="C955" s="45"/>
      <c r="D955" s="45"/>
      <c r="E955" s="45"/>
      <c r="F955" s="45"/>
      <c r="G955" s="45"/>
      <c r="H955" s="45"/>
      <c r="I955" s="45"/>
      <c r="J955" s="45"/>
      <c r="K955" s="78"/>
      <c r="L955" s="78"/>
    </row>
    <row r="956">
      <c r="A956" s="78"/>
      <c r="B956" s="78"/>
      <c r="C956" s="45"/>
      <c r="D956" s="45"/>
      <c r="E956" s="45"/>
      <c r="F956" s="45"/>
      <c r="G956" s="45"/>
      <c r="H956" s="45"/>
      <c r="I956" s="45"/>
      <c r="J956" s="45"/>
      <c r="K956" s="78"/>
      <c r="L956" s="78"/>
    </row>
    <row r="957">
      <c r="A957" s="78"/>
      <c r="B957" s="78"/>
      <c r="C957" s="45"/>
      <c r="D957" s="45"/>
      <c r="E957" s="45"/>
      <c r="F957" s="45"/>
      <c r="G957" s="45"/>
      <c r="H957" s="45"/>
      <c r="I957" s="45"/>
      <c r="J957" s="45"/>
      <c r="K957" s="78"/>
      <c r="L957" s="78"/>
    </row>
    <row r="958">
      <c r="A958" s="78"/>
      <c r="B958" s="78"/>
      <c r="C958" s="45"/>
      <c r="D958" s="45"/>
      <c r="E958" s="45"/>
      <c r="F958" s="45"/>
      <c r="G958" s="45"/>
      <c r="H958" s="45"/>
      <c r="I958" s="45"/>
      <c r="J958" s="45"/>
      <c r="K958" s="78"/>
      <c r="L958" s="78"/>
    </row>
    <row r="959">
      <c r="A959" s="78"/>
      <c r="B959" s="78"/>
      <c r="C959" s="45"/>
      <c r="D959" s="45"/>
      <c r="E959" s="45"/>
      <c r="F959" s="45"/>
      <c r="G959" s="45"/>
      <c r="H959" s="45"/>
      <c r="I959" s="45"/>
      <c r="J959" s="45"/>
      <c r="K959" s="78"/>
      <c r="L959" s="78"/>
    </row>
    <row r="960">
      <c r="A960" s="78"/>
      <c r="B960" s="78"/>
      <c r="C960" s="45"/>
      <c r="D960" s="45"/>
      <c r="E960" s="45"/>
      <c r="F960" s="45"/>
      <c r="G960" s="45"/>
      <c r="H960" s="45"/>
      <c r="I960" s="45"/>
      <c r="J960" s="45"/>
      <c r="K960" s="78"/>
      <c r="L960" s="78"/>
    </row>
    <row r="961">
      <c r="A961" s="78"/>
      <c r="B961" s="78"/>
      <c r="C961" s="45"/>
      <c r="D961" s="45"/>
      <c r="E961" s="45"/>
      <c r="F961" s="45"/>
      <c r="G961" s="45"/>
      <c r="H961" s="45"/>
      <c r="I961" s="45"/>
      <c r="J961" s="45"/>
      <c r="K961" s="78"/>
      <c r="L961" s="78"/>
    </row>
    <row r="962">
      <c r="A962" s="78"/>
      <c r="B962" s="78"/>
      <c r="C962" s="45"/>
      <c r="D962" s="45"/>
      <c r="E962" s="45"/>
      <c r="F962" s="45"/>
      <c r="G962" s="45"/>
      <c r="H962" s="45"/>
      <c r="I962" s="45"/>
      <c r="J962" s="45"/>
      <c r="K962" s="78"/>
      <c r="L962" s="78"/>
    </row>
    <row r="963">
      <c r="A963" s="78"/>
      <c r="B963" s="78"/>
      <c r="C963" s="45"/>
      <c r="D963" s="45"/>
      <c r="E963" s="45"/>
      <c r="F963" s="45"/>
      <c r="G963" s="45"/>
      <c r="H963" s="45"/>
      <c r="I963" s="45"/>
      <c r="J963" s="45"/>
      <c r="K963" s="78"/>
      <c r="L963" s="78"/>
    </row>
    <row r="964">
      <c r="A964" s="78"/>
      <c r="B964" s="78"/>
      <c r="C964" s="45"/>
      <c r="D964" s="45"/>
      <c r="E964" s="45"/>
      <c r="F964" s="45"/>
      <c r="G964" s="45"/>
      <c r="H964" s="45"/>
      <c r="I964" s="45"/>
      <c r="J964" s="45"/>
      <c r="K964" s="78"/>
      <c r="L964" s="78"/>
    </row>
    <row r="965">
      <c r="A965" s="78"/>
      <c r="B965" s="78"/>
      <c r="C965" s="45"/>
      <c r="D965" s="45"/>
      <c r="E965" s="45"/>
      <c r="F965" s="45"/>
      <c r="G965" s="45"/>
      <c r="H965" s="45"/>
      <c r="I965" s="45"/>
      <c r="J965" s="45"/>
      <c r="K965" s="78"/>
      <c r="L965" s="78"/>
    </row>
    <row r="966">
      <c r="A966" s="78"/>
      <c r="B966" s="78"/>
      <c r="C966" s="45"/>
      <c r="D966" s="45"/>
      <c r="E966" s="45"/>
      <c r="F966" s="45"/>
      <c r="G966" s="45"/>
      <c r="H966" s="45"/>
      <c r="I966" s="45"/>
      <c r="J966" s="45"/>
      <c r="K966" s="78"/>
      <c r="L966" s="78"/>
    </row>
    <row r="967">
      <c r="A967" s="78"/>
      <c r="B967" s="78"/>
      <c r="C967" s="45"/>
      <c r="D967" s="45"/>
      <c r="E967" s="45"/>
      <c r="F967" s="45"/>
      <c r="G967" s="45"/>
      <c r="H967" s="45"/>
      <c r="I967" s="45"/>
      <c r="J967" s="45"/>
      <c r="K967" s="78"/>
      <c r="L967" s="78"/>
    </row>
    <row r="968">
      <c r="A968" s="78"/>
      <c r="B968" s="78"/>
      <c r="C968" s="45"/>
      <c r="D968" s="45"/>
      <c r="E968" s="45"/>
      <c r="F968" s="45"/>
      <c r="G968" s="45"/>
      <c r="H968" s="45"/>
      <c r="I968" s="45"/>
      <c r="J968" s="45"/>
      <c r="K968" s="78"/>
      <c r="L968" s="78"/>
    </row>
    <row r="969">
      <c r="A969" s="78"/>
      <c r="B969" s="78"/>
      <c r="C969" s="45"/>
      <c r="D969" s="45"/>
      <c r="E969" s="45"/>
      <c r="F969" s="45"/>
      <c r="G969" s="45"/>
      <c r="H969" s="45"/>
      <c r="I969" s="45"/>
      <c r="J969" s="45"/>
      <c r="K969" s="78"/>
      <c r="L969" s="78"/>
    </row>
    <row r="970">
      <c r="A970" s="78"/>
      <c r="B970" s="78"/>
      <c r="C970" s="45"/>
      <c r="D970" s="45"/>
      <c r="E970" s="45"/>
      <c r="F970" s="45"/>
      <c r="G970" s="45"/>
      <c r="H970" s="45"/>
      <c r="I970" s="45"/>
      <c r="J970" s="45"/>
      <c r="K970" s="78"/>
      <c r="L970" s="78"/>
    </row>
    <row r="971">
      <c r="A971" s="78"/>
      <c r="B971" s="78"/>
      <c r="C971" s="45"/>
      <c r="D971" s="45"/>
      <c r="E971" s="45"/>
      <c r="F971" s="45"/>
      <c r="G971" s="45"/>
      <c r="H971" s="45"/>
      <c r="I971" s="45"/>
      <c r="J971" s="45"/>
      <c r="K971" s="78"/>
      <c r="L971" s="78"/>
    </row>
    <row r="972">
      <c r="A972" s="78"/>
      <c r="B972" s="78"/>
      <c r="C972" s="45"/>
      <c r="D972" s="45"/>
      <c r="E972" s="45"/>
      <c r="F972" s="45"/>
      <c r="G972" s="45"/>
      <c r="H972" s="45"/>
      <c r="I972" s="45"/>
      <c r="J972" s="45"/>
      <c r="K972" s="78"/>
      <c r="L972" s="78"/>
    </row>
    <row r="973">
      <c r="A973" s="78"/>
      <c r="B973" s="78"/>
      <c r="C973" s="45"/>
      <c r="D973" s="45"/>
      <c r="E973" s="45"/>
      <c r="F973" s="45"/>
      <c r="G973" s="45"/>
      <c r="H973" s="45"/>
      <c r="I973" s="45"/>
      <c r="J973" s="45"/>
      <c r="K973" s="78"/>
      <c r="L973" s="78"/>
    </row>
    <row r="974">
      <c r="A974" s="78"/>
      <c r="B974" s="78"/>
      <c r="C974" s="45"/>
      <c r="D974" s="45"/>
      <c r="E974" s="45"/>
      <c r="F974" s="45"/>
      <c r="G974" s="45"/>
      <c r="H974" s="45"/>
      <c r="I974" s="45"/>
      <c r="J974" s="45"/>
      <c r="K974" s="78"/>
      <c r="L974" s="78"/>
    </row>
    <row r="975">
      <c r="A975" s="78"/>
      <c r="B975" s="78"/>
      <c r="C975" s="45"/>
      <c r="D975" s="45"/>
      <c r="E975" s="45"/>
      <c r="F975" s="45"/>
      <c r="G975" s="45"/>
      <c r="H975" s="45"/>
      <c r="I975" s="45"/>
      <c r="J975" s="45"/>
      <c r="K975" s="78"/>
      <c r="L975" s="78"/>
    </row>
    <row r="976">
      <c r="A976" s="78"/>
      <c r="B976" s="78"/>
      <c r="C976" s="45"/>
      <c r="D976" s="45"/>
      <c r="E976" s="45"/>
      <c r="F976" s="45"/>
      <c r="G976" s="45"/>
      <c r="H976" s="45"/>
      <c r="I976" s="45"/>
      <c r="J976" s="45"/>
      <c r="K976" s="78"/>
      <c r="L976" s="78"/>
    </row>
    <row r="977">
      <c r="A977" s="78"/>
      <c r="B977" s="78"/>
      <c r="C977" s="45"/>
      <c r="D977" s="45"/>
      <c r="E977" s="45"/>
      <c r="F977" s="45"/>
      <c r="G977" s="45"/>
      <c r="H977" s="45"/>
      <c r="I977" s="45"/>
      <c r="J977" s="45"/>
      <c r="K977" s="78"/>
      <c r="L977" s="78"/>
    </row>
    <row r="978">
      <c r="A978" s="78"/>
      <c r="B978" s="78"/>
      <c r="C978" s="45"/>
      <c r="D978" s="45"/>
      <c r="E978" s="45"/>
      <c r="F978" s="45"/>
      <c r="G978" s="45"/>
      <c r="H978" s="45"/>
      <c r="I978" s="45"/>
      <c r="J978" s="45"/>
      <c r="K978" s="78"/>
      <c r="L978" s="78"/>
    </row>
    <row r="979">
      <c r="A979" s="78"/>
      <c r="B979" s="78"/>
      <c r="C979" s="45"/>
      <c r="D979" s="45"/>
      <c r="E979" s="45"/>
      <c r="F979" s="45"/>
      <c r="G979" s="45"/>
      <c r="H979" s="45"/>
      <c r="I979" s="45"/>
      <c r="J979" s="45"/>
      <c r="K979" s="78"/>
      <c r="L979" s="78"/>
    </row>
    <row r="980">
      <c r="A980" s="78"/>
      <c r="B980" s="78"/>
      <c r="C980" s="45"/>
      <c r="D980" s="45"/>
      <c r="E980" s="45"/>
      <c r="F980" s="45"/>
      <c r="G980" s="45"/>
      <c r="H980" s="45"/>
      <c r="I980" s="45"/>
      <c r="J980" s="45"/>
      <c r="K980" s="78"/>
      <c r="L980" s="78"/>
    </row>
    <row r="981">
      <c r="A981" s="78"/>
      <c r="B981" s="78"/>
      <c r="C981" s="45"/>
      <c r="D981" s="45"/>
      <c r="E981" s="45"/>
      <c r="F981" s="45"/>
      <c r="G981" s="45"/>
      <c r="H981" s="45"/>
      <c r="I981" s="45"/>
      <c r="J981" s="45"/>
      <c r="K981" s="78"/>
      <c r="L981" s="78"/>
    </row>
    <row r="982">
      <c r="A982" s="78"/>
      <c r="B982" s="78"/>
      <c r="C982" s="45"/>
      <c r="D982" s="45"/>
      <c r="E982" s="45"/>
      <c r="F982" s="45"/>
      <c r="G982" s="45"/>
      <c r="H982" s="45"/>
      <c r="I982" s="45"/>
      <c r="J982" s="45"/>
      <c r="K982" s="78"/>
      <c r="L982" s="78"/>
    </row>
    <row r="983">
      <c r="A983" s="78"/>
      <c r="B983" s="78"/>
      <c r="C983" s="45"/>
      <c r="D983" s="45"/>
      <c r="E983" s="45"/>
      <c r="F983" s="45"/>
      <c r="G983" s="45"/>
      <c r="H983" s="45"/>
      <c r="I983" s="45"/>
      <c r="J983" s="45"/>
      <c r="K983" s="78"/>
      <c r="L983" s="78"/>
    </row>
    <row r="984">
      <c r="A984" s="78"/>
      <c r="B984" s="78"/>
      <c r="C984" s="45"/>
      <c r="D984" s="45"/>
      <c r="E984" s="45"/>
      <c r="F984" s="45"/>
      <c r="G984" s="45"/>
      <c r="H984" s="45"/>
      <c r="I984" s="45"/>
      <c r="J984" s="45"/>
      <c r="K984" s="78"/>
      <c r="L984" s="78"/>
    </row>
    <row r="985">
      <c r="A985" s="78"/>
      <c r="B985" s="78"/>
      <c r="C985" s="45"/>
      <c r="D985" s="45"/>
      <c r="E985" s="45"/>
      <c r="F985" s="45"/>
      <c r="G985" s="45"/>
      <c r="H985" s="45"/>
      <c r="I985" s="45"/>
      <c r="J985" s="45"/>
      <c r="K985" s="78"/>
      <c r="L985" s="78"/>
    </row>
    <row r="986">
      <c r="A986" s="78"/>
      <c r="B986" s="78"/>
      <c r="C986" s="45"/>
      <c r="D986" s="45"/>
      <c r="E986" s="45"/>
      <c r="F986" s="45"/>
      <c r="G986" s="45"/>
      <c r="H986" s="45"/>
      <c r="I986" s="45"/>
      <c r="J986" s="45"/>
      <c r="K986" s="78"/>
      <c r="L986" s="78"/>
    </row>
    <row r="987">
      <c r="A987" s="78"/>
      <c r="B987" s="78"/>
      <c r="C987" s="45"/>
      <c r="D987" s="45"/>
      <c r="E987" s="45"/>
      <c r="F987" s="45"/>
      <c r="G987" s="45"/>
      <c r="H987" s="45"/>
      <c r="I987" s="45"/>
      <c r="J987" s="45"/>
      <c r="K987" s="78"/>
      <c r="L987" s="78"/>
    </row>
  </sheetData>
  <dataValidations>
    <dataValidation type="custom" allowBlank="1" showDropDown="1" showInputMessage="1" showErrorMessage="1" prompt="Double entry" sqref="L226">
      <formula1>countif(L:L,L226)=1</formula1>
    </dataValidation>
  </dataValidations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24.13"/>
    <col customWidth="1" min="4" max="4" width="6.75"/>
    <col customWidth="1" min="5" max="5" width="145.75"/>
    <col hidden="1" min="6" max="11" width="12.63"/>
    <col customWidth="1" hidden="1" min="12" max="12" width="20.25"/>
    <col hidden="1" min="13" max="13" width="12.63"/>
  </cols>
  <sheetData>
    <row r="1">
      <c r="A1" s="11" t="s">
        <v>1654</v>
      </c>
      <c r="B1" s="11" t="s">
        <v>4477</v>
      </c>
      <c r="C1" s="11" t="s">
        <v>1731</v>
      </c>
      <c r="D1" s="11" t="s">
        <v>18363</v>
      </c>
      <c r="E1" s="9" t="s">
        <v>18364</v>
      </c>
      <c r="H1" s="11"/>
      <c r="I1" s="11" t="s">
        <v>18365</v>
      </c>
      <c r="J1" s="11"/>
      <c r="K1" s="11"/>
      <c r="L1" s="11"/>
      <c r="M1" s="11"/>
    </row>
    <row r="2">
      <c r="A2" s="11" t="s">
        <v>18366</v>
      </c>
      <c r="B2" s="11">
        <v>14465.0</v>
      </c>
      <c r="C2" s="49" t="s">
        <v>18367</v>
      </c>
      <c r="D2" s="11">
        <v>58624.0</v>
      </c>
      <c r="E2" s="669" t="s">
        <v>18368</v>
      </c>
      <c r="F2" s="11" t="s">
        <v>18369</v>
      </c>
      <c r="H2" s="11">
        <v>6675.0</v>
      </c>
      <c r="I2" s="11"/>
      <c r="J2" s="11"/>
      <c r="K2" s="11"/>
      <c r="L2" s="11"/>
      <c r="M2" s="11"/>
    </row>
    <row r="3">
      <c r="A3" s="11" t="s">
        <v>18370</v>
      </c>
      <c r="B3" s="11"/>
      <c r="C3" s="49" t="s">
        <v>18371</v>
      </c>
      <c r="D3" s="11">
        <v>67844.0</v>
      </c>
      <c r="E3" s="669" t="s">
        <v>18372</v>
      </c>
      <c r="F3" s="11" t="s">
        <v>18373</v>
      </c>
      <c r="G3" s="11">
        <v>3607.0</v>
      </c>
      <c r="H3" s="11"/>
      <c r="I3" s="11"/>
      <c r="J3" s="11"/>
      <c r="K3" s="11" t="s">
        <v>44</v>
      </c>
      <c r="L3" s="11" t="s">
        <v>1731</v>
      </c>
      <c r="M3" s="11" t="s">
        <v>18374</v>
      </c>
    </row>
    <row r="4">
      <c r="A4" s="11" t="s">
        <v>18375</v>
      </c>
      <c r="B4" s="11"/>
      <c r="C4" s="49" t="s">
        <v>18376</v>
      </c>
      <c r="D4" s="11">
        <v>35585.0</v>
      </c>
      <c r="E4" s="669" t="s">
        <v>18377</v>
      </c>
      <c r="F4" s="11" t="s">
        <v>18378</v>
      </c>
      <c r="G4" s="11">
        <v>3607.0</v>
      </c>
      <c r="H4" s="11"/>
      <c r="I4" s="11"/>
      <c r="J4" s="11"/>
      <c r="K4" s="11" t="s">
        <v>18379</v>
      </c>
      <c r="L4" s="49" t="s">
        <v>18380</v>
      </c>
      <c r="M4" s="49" t="s">
        <v>18381</v>
      </c>
    </row>
    <row r="5">
      <c r="A5" s="11" t="s">
        <v>18382</v>
      </c>
      <c r="B5" s="11">
        <v>5458.0</v>
      </c>
      <c r="C5" s="49" t="s">
        <v>18383</v>
      </c>
      <c r="D5" s="11">
        <v>95745.0</v>
      </c>
      <c r="E5" s="669" t="s">
        <v>18384</v>
      </c>
      <c r="F5" s="11" t="s">
        <v>18385</v>
      </c>
      <c r="G5" s="11">
        <v>986.0</v>
      </c>
      <c r="H5" s="11"/>
      <c r="I5" s="11"/>
      <c r="J5" s="11"/>
      <c r="K5" s="11" t="s">
        <v>18386</v>
      </c>
      <c r="L5" s="49" t="s">
        <v>18387</v>
      </c>
      <c r="M5" s="49" t="s">
        <v>18388</v>
      </c>
    </row>
    <row r="6">
      <c r="A6" s="11" t="s">
        <v>18389</v>
      </c>
      <c r="B6" s="11"/>
      <c r="C6" s="49" t="s">
        <v>18390</v>
      </c>
      <c r="D6" s="11">
        <v>40704.0</v>
      </c>
      <c r="E6" s="669" t="s">
        <v>18391</v>
      </c>
      <c r="F6" s="11" t="s">
        <v>18392</v>
      </c>
      <c r="G6" s="11">
        <v>986.0</v>
      </c>
      <c r="H6" s="11"/>
      <c r="I6" s="11"/>
      <c r="J6" s="11"/>
      <c r="K6" s="11" t="s">
        <v>18393</v>
      </c>
      <c r="L6" s="49" t="s">
        <v>18394</v>
      </c>
      <c r="M6" s="49" t="s">
        <v>18395</v>
      </c>
    </row>
    <row r="7">
      <c r="A7" s="11" t="s">
        <v>18396</v>
      </c>
      <c r="B7" s="11">
        <v>189.0</v>
      </c>
      <c r="C7" s="49" t="s">
        <v>18397</v>
      </c>
      <c r="D7" s="11">
        <v>61184.0</v>
      </c>
      <c r="E7" s="669" t="s">
        <v>18398</v>
      </c>
      <c r="F7" s="11" t="s">
        <v>18399</v>
      </c>
      <c r="G7" s="11">
        <v>6970.0</v>
      </c>
      <c r="H7" s="11"/>
      <c r="I7" s="11"/>
      <c r="J7" s="11"/>
      <c r="K7" s="11" t="s">
        <v>18400</v>
      </c>
      <c r="L7" s="49" t="s">
        <v>18401</v>
      </c>
      <c r="M7" s="49" t="s">
        <v>18402</v>
      </c>
    </row>
    <row r="8">
      <c r="A8" s="11" t="s">
        <v>18403</v>
      </c>
      <c r="B8" s="11">
        <v>6675.0</v>
      </c>
      <c r="C8" s="49" t="s">
        <v>18404</v>
      </c>
      <c r="D8" s="11">
        <v>16384.0</v>
      </c>
      <c r="E8" s="669" t="s">
        <v>18405</v>
      </c>
      <c r="F8" s="11" t="s">
        <v>18406</v>
      </c>
      <c r="G8" s="11">
        <v>7229.0</v>
      </c>
      <c r="H8" s="11"/>
      <c r="I8" s="11"/>
      <c r="J8" s="11"/>
      <c r="K8" s="11" t="s">
        <v>18407</v>
      </c>
      <c r="L8" s="49" t="s">
        <v>18408</v>
      </c>
      <c r="M8" s="49" t="s">
        <v>18409</v>
      </c>
    </row>
    <row r="9">
      <c r="A9" s="11" t="s">
        <v>18410</v>
      </c>
      <c r="B9" s="11">
        <v>7157.0</v>
      </c>
      <c r="C9" s="49" t="s">
        <v>18411</v>
      </c>
      <c r="D9" s="11">
        <v>73984.0</v>
      </c>
      <c r="E9" s="669" t="s">
        <v>18412</v>
      </c>
      <c r="F9" s="11" t="s">
        <v>18413</v>
      </c>
      <c r="G9" s="11">
        <v>8199.0</v>
      </c>
      <c r="H9" s="11"/>
      <c r="I9" s="11"/>
      <c r="J9" s="11"/>
      <c r="K9" s="11" t="s">
        <v>18414</v>
      </c>
      <c r="L9" s="49" t="s">
        <v>18415</v>
      </c>
      <c r="M9" s="49" t="s">
        <v>18416</v>
      </c>
    </row>
    <row r="10">
      <c r="A10" s="11" t="s">
        <v>18417</v>
      </c>
      <c r="B10" s="11">
        <v>6875.0</v>
      </c>
      <c r="C10" s="49" t="s">
        <v>18418</v>
      </c>
      <c r="D10" s="11">
        <v>91145.0</v>
      </c>
      <c r="E10" s="669" t="s">
        <v>18419</v>
      </c>
      <c r="F10" s="11" t="s">
        <v>18420</v>
      </c>
      <c r="G10" s="11">
        <v>11708.0</v>
      </c>
      <c r="H10" s="11"/>
      <c r="I10" s="11"/>
      <c r="J10" s="11"/>
      <c r="K10" s="11" t="s">
        <v>18421</v>
      </c>
      <c r="L10" s="49" t="s">
        <v>18422</v>
      </c>
      <c r="M10" s="49" t="s">
        <v>18423</v>
      </c>
    </row>
    <row r="11">
      <c r="A11" s="11" t="s">
        <v>18424</v>
      </c>
      <c r="B11" s="11">
        <v>7157.0</v>
      </c>
      <c r="C11" s="49" t="s">
        <v>18425</v>
      </c>
      <c r="D11" s="11">
        <v>62465.0</v>
      </c>
      <c r="E11" s="669" t="s">
        <v>18426</v>
      </c>
      <c r="F11" s="11" t="s">
        <v>18427</v>
      </c>
      <c r="G11" s="11">
        <v>5125.0</v>
      </c>
      <c r="H11" s="11"/>
      <c r="I11" s="11"/>
      <c r="J11" s="11"/>
      <c r="K11" s="11" t="s">
        <v>18428</v>
      </c>
      <c r="L11" s="49" t="s">
        <v>18429</v>
      </c>
      <c r="M11" s="49" t="s">
        <v>18430</v>
      </c>
    </row>
    <row r="12">
      <c r="A12" s="11" t="s">
        <v>18431</v>
      </c>
      <c r="B12" s="11">
        <v>7157.0</v>
      </c>
      <c r="C12" s="49" t="s">
        <v>18432</v>
      </c>
      <c r="D12" s="11">
        <v>82955.0</v>
      </c>
      <c r="E12" s="669" t="s">
        <v>18433</v>
      </c>
      <c r="F12" s="11" t="s">
        <v>18434</v>
      </c>
      <c r="G12" s="11">
        <v>3142.0</v>
      </c>
      <c r="H12" s="11"/>
      <c r="I12" s="11"/>
      <c r="J12" s="11"/>
      <c r="K12" s="11" t="s">
        <v>18435</v>
      </c>
      <c r="L12" s="49" t="s">
        <v>18436</v>
      </c>
      <c r="M12" s="49" t="s">
        <v>18437</v>
      </c>
    </row>
    <row r="13">
      <c r="A13" s="11" t="s">
        <v>18438</v>
      </c>
      <c r="B13" s="11">
        <v>7100.0</v>
      </c>
      <c r="C13" s="49" t="s">
        <v>18439</v>
      </c>
      <c r="D13" s="11">
        <v>33795.0</v>
      </c>
      <c r="E13" s="669" t="s">
        <v>18440</v>
      </c>
      <c r="F13" s="11" t="s">
        <v>18441</v>
      </c>
      <c r="G13" s="11">
        <v>12609.0</v>
      </c>
      <c r="H13" s="11"/>
      <c r="I13" s="11"/>
      <c r="J13" s="11"/>
      <c r="K13" s="11" t="s">
        <v>18442</v>
      </c>
      <c r="L13" s="49" t="s">
        <v>18443</v>
      </c>
      <c r="M13" s="49" t="s">
        <v>18444</v>
      </c>
    </row>
    <row r="14">
      <c r="A14" s="11" t="s">
        <v>18445</v>
      </c>
      <c r="B14" s="11">
        <v>10616.0</v>
      </c>
      <c r="C14" s="49" t="s">
        <v>18446</v>
      </c>
      <c r="D14" s="11">
        <v>65284.0</v>
      </c>
      <c r="E14" s="669" t="s">
        <v>18447</v>
      </c>
      <c r="F14" s="11" t="s">
        <v>18448</v>
      </c>
      <c r="G14" s="11">
        <v>9701.0</v>
      </c>
      <c r="H14" s="11"/>
      <c r="I14" s="11"/>
      <c r="J14" s="11"/>
      <c r="K14" s="11" t="s">
        <v>18449</v>
      </c>
      <c r="L14" s="49" t="s">
        <v>18450</v>
      </c>
      <c r="M14" s="49" t="s">
        <v>18451</v>
      </c>
    </row>
    <row r="15">
      <c r="A15" s="11" t="s">
        <v>18452</v>
      </c>
      <c r="B15" s="158">
        <v>6924.0</v>
      </c>
      <c r="C15" s="49" t="s">
        <v>18453</v>
      </c>
      <c r="D15" s="11">
        <v>29444.0</v>
      </c>
      <c r="E15" s="669" t="s">
        <v>18454</v>
      </c>
      <c r="F15" s="11" t="s">
        <v>18455</v>
      </c>
      <c r="G15" s="11">
        <v>14065.0</v>
      </c>
      <c r="H15" s="11"/>
      <c r="I15" s="11"/>
      <c r="J15" s="11"/>
      <c r="K15" s="11" t="s">
        <v>18456</v>
      </c>
      <c r="L15" s="49" t="s">
        <v>18457</v>
      </c>
      <c r="M15" s="49" t="s">
        <v>18458</v>
      </c>
    </row>
    <row r="16">
      <c r="A16" s="11" t="s">
        <v>18459</v>
      </c>
      <c r="B16" s="158">
        <v>7083.0</v>
      </c>
      <c r="C16" s="49" t="s">
        <v>18460</v>
      </c>
      <c r="D16" s="11">
        <v>48135.0</v>
      </c>
      <c r="E16" s="669" t="s">
        <v>18461</v>
      </c>
      <c r="F16" s="11" t="s">
        <v>18462</v>
      </c>
      <c r="G16" s="11">
        <v>6873.0</v>
      </c>
      <c r="H16" s="11"/>
      <c r="I16" s="11"/>
      <c r="J16" s="11"/>
      <c r="K16" s="11" t="s">
        <v>18463</v>
      </c>
      <c r="L16" s="49" t="s">
        <v>18464</v>
      </c>
      <c r="M16" s="49" t="s">
        <v>18465</v>
      </c>
    </row>
    <row r="17">
      <c r="A17" s="11" t="s">
        <v>18466</v>
      </c>
      <c r="B17" s="158">
        <v>6811.0</v>
      </c>
      <c r="C17" s="49" t="s">
        <v>18467</v>
      </c>
      <c r="D17" s="11">
        <v>17924.0</v>
      </c>
      <c r="E17" s="669" t="s">
        <v>18468</v>
      </c>
      <c r="F17" s="11" t="s">
        <v>18469</v>
      </c>
      <c r="G17" s="11">
        <v>7104.0</v>
      </c>
      <c r="H17" s="11"/>
      <c r="I17" s="11"/>
      <c r="J17" s="11"/>
      <c r="K17" s="11" t="s">
        <v>18470</v>
      </c>
      <c r="L17" s="49" t="s">
        <v>18471</v>
      </c>
      <c r="M17" s="49" t="s">
        <v>18472</v>
      </c>
    </row>
    <row r="18">
      <c r="A18" s="11" t="s">
        <v>18473</v>
      </c>
      <c r="B18" s="670">
        <v>9307.0</v>
      </c>
      <c r="C18" s="49" t="s">
        <v>18474</v>
      </c>
      <c r="D18" s="11">
        <v>55815.0</v>
      </c>
      <c r="E18" s="669" t="s">
        <v>18475</v>
      </c>
      <c r="F18" s="11" t="s">
        <v>18476</v>
      </c>
      <c r="G18" s="11">
        <v>7003.0</v>
      </c>
      <c r="H18" s="11"/>
      <c r="I18" s="11"/>
      <c r="J18" s="11"/>
      <c r="K18" s="11" t="s">
        <v>18477</v>
      </c>
      <c r="L18" s="49" t="s">
        <v>18478</v>
      </c>
      <c r="M18" s="49" t="s">
        <v>18479</v>
      </c>
    </row>
    <row r="19">
      <c r="A19" s="11" t="s">
        <v>18480</v>
      </c>
      <c r="B19" s="670">
        <v>14516.0</v>
      </c>
      <c r="C19" s="49" t="s">
        <v>18481</v>
      </c>
      <c r="D19" s="11">
        <v>70144.0</v>
      </c>
      <c r="E19" s="669" t="s">
        <v>18482</v>
      </c>
      <c r="F19" s="11" t="s">
        <v>18483</v>
      </c>
      <c r="G19" s="11">
        <v>13829.0</v>
      </c>
      <c r="H19" s="11"/>
      <c r="I19" s="11"/>
      <c r="J19" s="11"/>
      <c r="K19" s="11" t="s">
        <v>18484</v>
      </c>
      <c r="L19" s="49" t="s">
        <v>18485</v>
      </c>
      <c r="M19" s="49" t="s">
        <v>18486</v>
      </c>
    </row>
    <row r="20">
      <c r="A20" s="11" t="s">
        <v>18487</v>
      </c>
      <c r="B20" s="670">
        <v>8199.0</v>
      </c>
      <c r="C20" s="49" t="s">
        <v>18488</v>
      </c>
      <c r="D20" s="11">
        <v>56834.0</v>
      </c>
      <c r="E20" s="669" t="s">
        <v>18489</v>
      </c>
      <c r="F20" s="11" t="s">
        <v>18490</v>
      </c>
      <c r="G20" s="11">
        <v>489.0</v>
      </c>
      <c r="H20" s="11"/>
      <c r="I20" s="11"/>
      <c r="J20" s="11"/>
      <c r="K20" s="11" t="s">
        <v>18491</v>
      </c>
      <c r="L20" s="49" t="s">
        <v>18492</v>
      </c>
      <c r="M20" s="49" t="s">
        <v>18493</v>
      </c>
    </row>
    <row r="21">
      <c r="A21" s="65" t="s">
        <v>18494</v>
      </c>
      <c r="B21" s="65"/>
      <c r="C21" s="671" t="s">
        <v>18495</v>
      </c>
      <c r="D21" s="84">
        <v>63234.0</v>
      </c>
      <c r="E21" s="672" t="s">
        <v>18496</v>
      </c>
      <c r="F21" s="11" t="s">
        <v>18497</v>
      </c>
      <c r="G21" s="11">
        <v>2345.0</v>
      </c>
      <c r="H21" s="11"/>
      <c r="I21" s="11"/>
      <c r="J21" s="11"/>
      <c r="K21" s="11" t="s">
        <v>18498</v>
      </c>
      <c r="L21" s="49" t="s">
        <v>18499</v>
      </c>
      <c r="M21" s="49" t="s">
        <v>18500</v>
      </c>
    </row>
    <row r="22">
      <c r="A22" s="11" t="s">
        <v>18501</v>
      </c>
      <c r="B22" s="11">
        <v>6669.0</v>
      </c>
      <c r="C22" s="49" t="s">
        <v>18502</v>
      </c>
      <c r="D22" s="11">
        <v>98055.0</v>
      </c>
      <c r="E22" s="669" t="s">
        <v>18503</v>
      </c>
      <c r="F22" s="11" t="s">
        <v>18504</v>
      </c>
      <c r="G22" s="11">
        <v>6995.0</v>
      </c>
      <c r="H22" s="11"/>
      <c r="I22" s="11"/>
      <c r="J22" s="11"/>
      <c r="K22" s="11" t="s">
        <v>18505</v>
      </c>
      <c r="L22" s="49" t="s">
        <v>18506</v>
      </c>
      <c r="M22" s="49" t="s">
        <v>18507</v>
      </c>
    </row>
    <row r="23">
      <c r="A23" s="11" t="s">
        <v>18508</v>
      </c>
      <c r="B23" s="11">
        <v>6132.0</v>
      </c>
      <c r="C23" s="49" t="s">
        <v>18509</v>
      </c>
      <c r="D23" s="11">
        <v>53005.0</v>
      </c>
      <c r="E23" s="669" t="s">
        <v>18510</v>
      </c>
      <c r="F23" s="11" t="s">
        <v>18511</v>
      </c>
      <c r="G23" s="11">
        <v>8244.0</v>
      </c>
      <c r="H23" s="11"/>
      <c r="I23" s="11"/>
      <c r="J23" s="11"/>
      <c r="K23" s="11" t="s">
        <v>18512</v>
      </c>
      <c r="L23" s="49" t="s">
        <v>18513</v>
      </c>
      <c r="M23" s="49" t="s">
        <v>18514</v>
      </c>
    </row>
    <row r="24">
      <c r="A24" s="11" t="s">
        <v>18515</v>
      </c>
      <c r="B24" s="11">
        <v>6947.0</v>
      </c>
      <c r="C24" s="49" t="s">
        <v>18516</v>
      </c>
      <c r="D24" s="11">
        <v>98315.0</v>
      </c>
      <c r="E24" s="669" t="s">
        <v>18517</v>
      </c>
      <c r="F24" s="11" t="s">
        <v>18518</v>
      </c>
      <c r="G24" s="11">
        <v>14292.0</v>
      </c>
      <c r="H24" s="11"/>
      <c r="I24" s="11"/>
      <c r="J24" s="11"/>
      <c r="K24" s="11" t="s">
        <v>18519</v>
      </c>
      <c r="L24" s="49" t="s">
        <v>18520</v>
      </c>
      <c r="M24" s="49" t="s">
        <v>18521</v>
      </c>
    </row>
    <row r="25">
      <c r="A25" s="11" t="s">
        <v>18522</v>
      </c>
      <c r="B25" s="11">
        <v>11601.0</v>
      </c>
      <c r="C25" s="49" t="s">
        <v>18523</v>
      </c>
      <c r="D25" s="11">
        <v>82184.0</v>
      </c>
      <c r="E25" s="669" t="s">
        <v>18524</v>
      </c>
      <c r="F25" s="11" t="s">
        <v>18525</v>
      </c>
      <c r="G25" s="11">
        <v>9307.0</v>
      </c>
      <c r="H25" s="11"/>
      <c r="I25" s="11"/>
      <c r="J25" s="11"/>
      <c r="K25" s="11" t="s">
        <v>18526</v>
      </c>
      <c r="L25" s="49" t="s">
        <v>18527</v>
      </c>
      <c r="M25" s="49" t="s">
        <v>18528</v>
      </c>
    </row>
    <row r="26">
      <c r="A26" s="11" t="s">
        <v>18529</v>
      </c>
      <c r="B26" s="11">
        <v>6668.0</v>
      </c>
      <c r="C26" s="49" t="s">
        <v>18530</v>
      </c>
      <c r="D26" s="673">
        <v>62984.0</v>
      </c>
      <c r="E26" s="669" t="s">
        <v>18531</v>
      </c>
      <c r="F26" s="11" t="s">
        <v>18532</v>
      </c>
      <c r="G26" s="11">
        <v>6109.0</v>
      </c>
      <c r="H26" s="11"/>
      <c r="I26" s="11"/>
      <c r="J26" s="11"/>
      <c r="K26" s="11" t="s">
        <v>18533</v>
      </c>
      <c r="L26" s="49" t="s">
        <v>18534</v>
      </c>
      <c r="M26" s="49" t="s">
        <v>18535</v>
      </c>
    </row>
  </sheetData>
  <hyperlinks>
    <hyperlink r:id="rId2" ref="C2"/>
    <hyperlink r:id="rId3" ref="E2"/>
    <hyperlink r:id="rId4" ref="C3"/>
    <hyperlink r:id="rId5" ref="E3"/>
    <hyperlink r:id="rId6" ref="C4"/>
    <hyperlink r:id="rId7" ref="E4"/>
    <hyperlink r:id="rId8" ref="L4"/>
    <hyperlink r:id="rId9" ref="M4"/>
    <hyperlink r:id="rId10" ref="C5"/>
    <hyperlink r:id="rId11" ref="E5"/>
    <hyperlink r:id="rId12" ref="L5"/>
    <hyperlink r:id="rId13" ref="M5"/>
    <hyperlink r:id="rId14" ref="C6"/>
    <hyperlink r:id="rId15" ref="E6"/>
    <hyperlink r:id="rId16" ref="L6"/>
    <hyperlink r:id="rId17" ref="M6"/>
    <hyperlink r:id="rId18" ref="C7"/>
    <hyperlink r:id="rId19" ref="E7"/>
    <hyperlink r:id="rId20" ref="L7"/>
    <hyperlink r:id="rId21" ref="M7"/>
    <hyperlink r:id="rId22" ref="C8"/>
    <hyperlink r:id="rId23" ref="E8"/>
    <hyperlink r:id="rId24" ref="L8"/>
    <hyperlink r:id="rId25" ref="M8"/>
    <hyperlink r:id="rId26" ref="C9"/>
    <hyperlink r:id="rId27" ref="E9"/>
    <hyperlink r:id="rId28" ref="L9"/>
    <hyperlink r:id="rId29" ref="M9"/>
    <hyperlink r:id="rId30" ref="C10"/>
    <hyperlink r:id="rId31" ref="E10"/>
    <hyperlink r:id="rId32" ref="L10"/>
    <hyperlink r:id="rId33" ref="M10"/>
    <hyperlink r:id="rId34" ref="C11"/>
    <hyperlink r:id="rId35" ref="E11"/>
    <hyperlink r:id="rId36" ref="L11"/>
    <hyperlink r:id="rId37" ref="M11"/>
    <hyperlink r:id="rId38" ref="C12"/>
    <hyperlink r:id="rId39" ref="E12"/>
    <hyperlink r:id="rId40" ref="L12"/>
    <hyperlink r:id="rId41" ref="M12"/>
    <hyperlink r:id="rId42" ref="C13"/>
    <hyperlink r:id="rId43" ref="E13"/>
    <hyperlink r:id="rId44" ref="L13"/>
    <hyperlink r:id="rId45" ref="M13"/>
    <hyperlink r:id="rId46" ref="C14"/>
    <hyperlink r:id="rId47" ref="E14"/>
    <hyperlink r:id="rId48" ref="L14"/>
    <hyperlink r:id="rId49" ref="M14"/>
    <hyperlink r:id="rId50" ref="C15"/>
    <hyperlink r:id="rId51" ref="E15"/>
    <hyperlink r:id="rId52" ref="L15"/>
    <hyperlink r:id="rId53" ref="M15"/>
    <hyperlink r:id="rId54" ref="C16"/>
    <hyperlink r:id="rId55" ref="E16"/>
    <hyperlink r:id="rId56" ref="L16"/>
    <hyperlink r:id="rId57" ref="M16"/>
    <hyperlink r:id="rId58" ref="C17"/>
    <hyperlink r:id="rId59" ref="E17"/>
    <hyperlink r:id="rId60" ref="L17"/>
    <hyperlink r:id="rId61" ref="M17"/>
    <hyperlink r:id="rId62" ref="C18"/>
    <hyperlink r:id="rId63" ref="E18"/>
    <hyperlink r:id="rId64" ref="L18"/>
    <hyperlink r:id="rId65" ref="M18"/>
    <hyperlink r:id="rId66" ref="C19"/>
    <hyperlink r:id="rId67" ref="E19"/>
    <hyperlink r:id="rId68" ref="L19"/>
    <hyperlink r:id="rId69" ref="M19"/>
    <hyperlink r:id="rId70" ref="C20"/>
    <hyperlink r:id="rId71" ref="E20"/>
    <hyperlink r:id="rId72" ref="L20"/>
    <hyperlink r:id="rId73" ref="M20"/>
    <hyperlink r:id="rId74" ref="C21"/>
    <hyperlink r:id="rId75" ref="L21"/>
    <hyperlink r:id="rId76" ref="M21"/>
    <hyperlink r:id="rId77" ref="C22"/>
    <hyperlink r:id="rId78" location="google_vignette" ref="E22"/>
    <hyperlink r:id="rId79" ref="L22"/>
    <hyperlink r:id="rId80" ref="M22"/>
    <hyperlink r:id="rId81" ref="C23"/>
    <hyperlink r:id="rId82" ref="E23"/>
    <hyperlink r:id="rId83" ref="L23"/>
    <hyperlink r:id="rId84" ref="M23"/>
    <hyperlink r:id="rId85" ref="C24"/>
    <hyperlink r:id="rId86" ref="E24"/>
    <hyperlink r:id="rId87" ref="L24"/>
    <hyperlink r:id="rId88" ref="M24"/>
    <hyperlink r:id="rId89" ref="C25"/>
    <hyperlink r:id="rId90" ref="E25"/>
    <hyperlink r:id="rId91" ref="L25"/>
    <hyperlink r:id="rId92" ref="M25"/>
    <hyperlink r:id="rId93" ref="C26"/>
    <hyperlink r:id="rId94" ref="E26"/>
    <hyperlink r:id="rId95" ref="L26"/>
    <hyperlink r:id="rId96" ref="M26"/>
  </hyperlinks>
  <drawing r:id="rId97"/>
  <legacyDrawing r:id="rId98"/>
</worksheet>
</file>

<file path=xl/worksheets/sheet8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4.25"/>
    <col hidden="1" min="19" max="22" width="12.63"/>
  </cols>
  <sheetData>
    <row r="1">
      <c r="A1" s="10" t="str">
        <f>IFERROR(__xludf.DUMMYFUNCTION("IMPORTRANGE(""1F5VG9bJbGyDgZR0GbX8Nk1wgJjFgY49ELhfv5BN2tbI"",""Sheet2!C:C"")"),"base_code_name")</f>
        <v>base_code_name</v>
      </c>
      <c r="B1" s="10" t="str">
        <f>IFERROR(__xludf.DUMMYFUNCTION("IMPORTRANGE(""1F5VG9bJbGyDgZR0GbX8Nk1wgJjFgY49ELhfv5BN2tbI"",""Sheet2!H:H"")"),"")</f>
        <v/>
      </c>
      <c r="C1" s="10"/>
      <c r="D1" s="10"/>
      <c r="E1" s="10"/>
      <c r="F1" s="10"/>
      <c r="G1" s="10"/>
      <c r="H1" s="10"/>
      <c r="I1" s="674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675" t="s">
        <v>44</v>
      </c>
      <c r="V1" s="675" t="s">
        <v>1</v>
      </c>
    </row>
    <row r="2">
      <c r="A2" s="10" t="str">
        <f>IFERROR(__xludf.DUMMYFUNCTION("""COMPUTED_VALUE"""),"MALAKALX")</f>
        <v>MALAKALX</v>
      </c>
      <c r="B2" s="10"/>
      <c r="C2" s="10"/>
      <c r="D2" s="10"/>
      <c r="E2" s="10"/>
      <c r="F2" s="10"/>
      <c r="G2" s="10"/>
      <c r="H2" s="10"/>
      <c r="I2" s="674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675" t="s">
        <v>18536</v>
      </c>
      <c r="V2" s="675">
        <v>14527.0</v>
      </c>
    </row>
    <row r="3">
      <c r="A3" s="10" t="str">
        <f>IFERROR(__xludf.DUMMYFUNCTION("""COMPUTED_VALUE"""),"BIGD")</f>
        <v>BIGD</v>
      </c>
      <c r="B3" s="10"/>
      <c r="C3" s="10"/>
      <c r="D3" s="10"/>
      <c r="E3" s="10"/>
      <c r="F3" s="245"/>
      <c r="G3" s="10"/>
      <c r="H3" s="10"/>
      <c r="I3" s="676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675" t="s">
        <v>18537</v>
      </c>
      <c r="V3" s="675">
        <v>14592.0</v>
      </c>
    </row>
    <row r="4">
      <c r="A4" s="10" t="str">
        <f>IFERROR(__xludf.DUMMYFUNCTION("""COMPUTED_VALUE"""),"MONIAR")</f>
        <v>MONIAR</v>
      </c>
      <c r="B4" s="10">
        <f>IFERROR(__xludf.DUMMYFUNCTION("""COMPUTED_VALUE"""),1.0)</f>
        <v>1</v>
      </c>
      <c r="C4" s="10"/>
      <c r="D4" s="10"/>
      <c r="E4" s="10"/>
      <c r="F4" s="245"/>
      <c r="G4" s="10"/>
      <c r="H4" s="10"/>
      <c r="I4" s="676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675" t="s">
        <v>18538</v>
      </c>
      <c r="V4" s="675">
        <v>14155.0</v>
      </c>
    </row>
    <row r="5">
      <c r="A5" s="10" t="str">
        <f>IFERROR(__xludf.DUMMYFUNCTION("""COMPUTED_VALUE"""),"JAY")</f>
        <v>JAY</v>
      </c>
      <c r="B5" s="10">
        <f>IFERROR(__xludf.DUMMYFUNCTION("""COMPUTED_VALUE"""),14740.0)</f>
        <v>14740</v>
      </c>
      <c r="C5" s="10"/>
      <c r="D5" s="10"/>
      <c r="E5" s="10"/>
      <c r="F5" s="245"/>
      <c r="G5" s="10"/>
      <c r="H5" s="10"/>
      <c r="I5" s="676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675" t="s">
        <v>18539</v>
      </c>
      <c r="V5" s="675">
        <v>14589.0</v>
      </c>
    </row>
    <row r="6">
      <c r="A6" s="10" t="str">
        <f>IFERROR(__xludf.DUMMYFUNCTION("""COMPUTED_VALUE"""),"REW")</f>
        <v>REW</v>
      </c>
      <c r="B6" s="10">
        <f>IFERROR(__xludf.DUMMYFUNCTION("""COMPUTED_VALUE"""),1.0)</f>
        <v>1</v>
      </c>
      <c r="C6" s="10"/>
      <c r="D6" s="10"/>
      <c r="E6" s="10"/>
      <c r="F6" s="245"/>
      <c r="G6" s="10"/>
      <c r="H6" s="10"/>
      <c r="I6" s="676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675" t="s">
        <v>18540</v>
      </c>
      <c r="V6" s="675">
        <v>14588.0</v>
      </c>
    </row>
    <row r="7">
      <c r="A7" s="10" t="str">
        <f>IFERROR(__xludf.DUMMYFUNCTION("""COMPUTED_VALUE"""),"KIKO")</f>
        <v>KIKO</v>
      </c>
      <c r="B7" s="10">
        <f>IFERROR(__xludf.DUMMYFUNCTION("""COMPUTED_VALUE"""),9592.0)</f>
        <v>9592</v>
      </c>
      <c r="C7" s="10"/>
      <c r="D7" s="10"/>
      <c r="E7" s="10"/>
      <c r="F7" s="245"/>
      <c r="G7" s="10"/>
      <c r="H7" s="10"/>
      <c r="I7" s="676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675" t="s">
        <v>18541</v>
      </c>
      <c r="V7" s="675">
        <v>11817.0</v>
      </c>
    </row>
    <row r="8">
      <c r="A8" s="10" t="str">
        <f>IFERROR(__xludf.DUMMYFUNCTION("""COMPUTED_VALUE"""),"TEAM")</f>
        <v>TEAM</v>
      </c>
      <c r="B8" s="10">
        <f>IFERROR(__xludf.DUMMYFUNCTION("""COMPUTED_VALUE"""),1.0)</f>
        <v>1</v>
      </c>
      <c r="C8" s="10"/>
      <c r="D8" s="10"/>
      <c r="E8" s="10"/>
      <c r="F8" s="245"/>
      <c r="G8" s="10"/>
      <c r="H8" s="10"/>
      <c r="I8" s="676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675" t="s">
        <v>18542</v>
      </c>
      <c r="V8" s="675">
        <v>14566.0</v>
      </c>
    </row>
    <row r="9">
      <c r="A9" s="10" t="str">
        <f>IFERROR(__xludf.DUMMYFUNCTION("""COMPUTED_VALUE"""),"AISHAH")</f>
        <v>AISHAH</v>
      </c>
      <c r="B9" s="10">
        <f>IFERROR(__xludf.DUMMYFUNCTION("""COMPUTED_VALUE"""),1.0)</f>
        <v>1</v>
      </c>
      <c r="C9" s="10"/>
      <c r="D9" s="10"/>
      <c r="E9" s="10"/>
      <c r="F9" s="245"/>
      <c r="G9" s="10"/>
      <c r="H9" s="10"/>
      <c r="I9" s="676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675" t="s">
        <v>18543</v>
      </c>
      <c r="V9" s="675">
        <v>14567.0</v>
      </c>
    </row>
    <row r="10">
      <c r="A10" s="10" t="str">
        <f>IFERROR(__xludf.DUMMYFUNCTION("""COMPUTED_VALUE"""),"THEY")</f>
        <v>THEY</v>
      </c>
      <c r="B10" s="10">
        <f>IFERROR(__xludf.DUMMYFUNCTION("""COMPUTED_VALUE"""),14739.0)</f>
        <v>14739</v>
      </c>
      <c r="C10" s="10"/>
      <c r="D10" s="10"/>
      <c r="E10" s="10"/>
      <c r="F10" s="245"/>
      <c r="G10" s="10"/>
      <c r="H10" s="10"/>
      <c r="I10" s="676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675" t="s">
        <v>18544</v>
      </c>
      <c r="V10" s="675">
        <v>13911.0</v>
      </c>
    </row>
    <row r="11">
      <c r="A11" s="10" t="str">
        <f>IFERROR(__xludf.DUMMYFUNCTION("""COMPUTED_VALUE"""),"IIIXXXXX")</f>
        <v>IIIXXXXX</v>
      </c>
      <c r="B11" s="10">
        <f>IFERROR(__xludf.DUMMYFUNCTION("""COMPUTED_VALUE"""),14741.0)</f>
        <v>14741</v>
      </c>
      <c r="C11" s="10"/>
      <c r="D11" s="10"/>
      <c r="E11" s="10"/>
      <c r="F11" s="245"/>
      <c r="G11" s="10"/>
      <c r="H11" s="10"/>
      <c r="I11" s="676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675" t="s">
        <v>18545</v>
      </c>
      <c r="V11" s="675">
        <v>14596.0</v>
      </c>
    </row>
    <row r="12">
      <c r="A12" s="10" t="str">
        <f>IFERROR(__xludf.DUMMYFUNCTION("""COMPUTED_VALUE"""),"MAHAW")</f>
        <v>MAHAW</v>
      </c>
      <c r="B12" s="10">
        <f>IFERROR(__xludf.DUMMYFUNCTION("""COMPUTED_VALUE"""),1.0)</f>
        <v>1</v>
      </c>
      <c r="C12" s="10"/>
      <c r="D12" s="10"/>
      <c r="E12" s="10"/>
      <c r="F12" s="245"/>
      <c r="G12" s="10"/>
      <c r="H12" s="10"/>
      <c r="I12" s="676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675" t="s">
        <v>18546</v>
      </c>
      <c r="V12" s="675">
        <v>14555.0</v>
      </c>
    </row>
    <row r="13">
      <c r="A13" s="10" t="str">
        <f>IFERROR(__xludf.DUMMYFUNCTION("""COMPUTED_VALUE"""),"LLH")</f>
        <v>LLH</v>
      </c>
      <c r="B13" s="10">
        <f>IFERROR(__xludf.DUMMYFUNCTION("""COMPUTED_VALUE"""),1.0)</f>
        <v>1</v>
      </c>
      <c r="C13" s="10"/>
      <c r="D13" s="10"/>
      <c r="E13" s="10"/>
      <c r="F13" s="245"/>
      <c r="G13" s="10"/>
      <c r="H13" s="10"/>
      <c r="I13" s="676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675" t="s">
        <v>18547</v>
      </c>
      <c r="V13" s="675">
        <v>9715.0</v>
      </c>
    </row>
    <row r="14">
      <c r="A14" s="10" t="str">
        <f>IFERROR(__xludf.DUMMYFUNCTION("""COMPUTED_VALUE"""),"VVV")</f>
        <v>VVV</v>
      </c>
      <c r="B14" s="10">
        <f>IFERROR(__xludf.DUMMYFUNCTION("""COMPUTED_VALUE"""),1.0)</f>
        <v>1</v>
      </c>
      <c r="C14" s="10"/>
      <c r="D14" s="10"/>
      <c r="E14" s="10"/>
      <c r="F14" s="245"/>
      <c r="G14" s="10"/>
      <c r="H14" s="10"/>
      <c r="I14" s="676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675" t="s">
        <v>18548</v>
      </c>
      <c r="V14" s="675">
        <v>12236.0</v>
      </c>
    </row>
    <row r="15">
      <c r="A15" s="10" t="str">
        <f>IFERROR(__xludf.DUMMYFUNCTION("""COMPUTED_VALUE"""),"WASSA")</f>
        <v>WASSA</v>
      </c>
      <c r="B15" s="10">
        <f>IFERROR(__xludf.DUMMYFUNCTION("""COMPUTED_VALUE"""),14730.0)</f>
        <v>14730</v>
      </c>
      <c r="C15" s="10"/>
      <c r="D15" s="10"/>
      <c r="E15" s="10"/>
      <c r="F15" s="245"/>
      <c r="G15" s="10"/>
      <c r="H15" s="10"/>
      <c r="I15" s="676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675" t="s">
        <v>18549</v>
      </c>
      <c r="V15" s="675">
        <v>14423.0</v>
      </c>
    </row>
    <row r="16">
      <c r="A16" s="10" t="str">
        <f>IFERROR(__xludf.DUMMYFUNCTION("""COMPUTED_VALUE"""),"MOONT")</f>
        <v>MOONT</v>
      </c>
      <c r="B16" s="10">
        <f>IFERROR(__xludf.DUMMYFUNCTION("""COMPUTED_VALUE"""),14692.0)</f>
        <v>14692</v>
      </c>
      <c r="C16" s="10"/>
      <c r="D16" s="10"/>
      <c r="E16" s="10"/>
      <c r="F16" s="245"/>
      <c r="G16" s="10"/>
      <c r="H16" s="10"/>
      <c r="I16" s="676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675" t="s">
        <v>18550</v>
      </c>
      <c r="V16" s="675">
        <v>14505.0</v>
      </c>
    </row>
    <row r="17">
      <c r="A17" s="10" t="str">
        <f>IFERROR(__xludf.DUMMYFUNCTION("""COMPUTED_VALUE"""),"ALANW")</f>
        <v>ALANW</v>
      </c>
      <c r="B17" s="10">
        <f>IFERROR(__xludf.DUMMYFUNCTION("""COMPUTED_VALUE"""),14693.0)</f>
        <v>14693</v>
      </c>
      <c r="C17" s="10"/>
      <c r="D17" s="10"/>
      <c r="E17" s="10"/>
      <c r="F17" s="245"/>
      <c r="G17" s="10"/>
      <c r="H17" s="10"/>
      <c r="I17" s="676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675" t="s">
        <v>18551</v>
      </c>
      <c r="V17" s="675">
        <v>14550.0</v>
      </c>
    </row>
    <row r="18">
      <c r="A18" s="10" t="str">
        <f>IFERROR(__xludf.DUMMYFUNCTION("""COMPUTED_VALUE"""),"AMAQ")</f>
        <v>AMAQ</v>
      </c>
      <c r="B18" s="10">
        <f>IFERROR(__xludf.DUMMYFUNCTION("""COMPUTED_VALUE"""),14690.0)</f>
        <v>14690</v>
      </c>
      <c r="C18" s="10"/>
      <c r="D18" s="10"/>
      <c r="E18" s="10"/>
      <c r="F18" s="245"/>
      <c r="G18" s="10"/>
      <c r="H18" s="10"/>
      <c r="I18" s="676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675" t="s">
        <v>18552</v>
      </c>
      <c r="V18" s="675">
        <v>13811.0</v>
      </c>
    </row>
    <row r="19">
      <c r="A19" s="10" t="str">
        <f>IFERROR(__xludf.DUMMYFUNCTION("""COMPUTED_VALUE"""),"VZOX")</f>
        <v>VZOX</v>
      </c>
      <c r="B19" s="10">
        <f>IFERROR(__xludf.DUMMYFUNCTION("""COMPUTED_VALUE"""),14717.0)</f>
        <v>14717</v>
      </c>
      <c r="C19" s="10"/>
      <c r="D19" s="10"/>
      <c r="E19" s="10"/>
      <c r="F19" s="245"/>
      <c r="G19" s="10"/>
      <c r="H19" s="10"/>
      <c r="I19" s="676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675" t="s">
        <v>18553</v>
      </c>
      <c r="V19" s="675">
        <v>14595.0</v>
      </c>
    </row>
    <row r="20">
      <c r="A20" s="10" t="str">
        <f>IFERROR(__xludf.DUMMYFUNCTION("""COMPUTED_VALUE"""),"ALALXX")</f>
        <v>ALALXX</v>
      </c>
      <c r="B20" s="10">
        <f>IFERROR(__xludf.DUMMYFUNCTION("""COMPUTED_VALUE"""),14688.0)</f>
        <v>14688</v>
      </c>
      <c r="C20" s="10"/>
      <c r="D20" s="10"/>
      <c r="E20" s="10"/>
      <c r="F20" s="245"/>
      <c r="G20" s="10"/>
      <c r="H20" s="10"/>
      <c r="I20" s="676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675" t="s">
        <v>18554</v>
      </c>
      <c r="V20" s="675">
        <v>499.0</v>
      </c>
    </row>
    <row r="21">
      <c r="A21" s="10" t="str">
        <f>IFERROR(__xludf.DUMMYFUNCTION("""COMPUTED_VALUE"""),"IIIXXXX")</f>
        <v>IIIXXXX</v>
      </c>
      <c r="B21" s="10">
        <f>IFERROR(__xludf.DUMMYFUNCTION("""COMPUTED_VALUE"""),14714.0)</f>
        <v>14714</v>
      </c>
      <c r="C21" s="10"/>
      <c r="D21" s="10"/>
      <c r="E21" s="10"/>
      <c r="F21" s="245"/>
      <c r="G21" s="10"/>
      <c r="H21" s="10"/>
      <c r="I21" s="676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675" t="s">
        <v>18555</v>
      </c>
      <c r="V21" s="675">
        <v>14543.0</v>
      </c>
    </row>
    <row r="22">
      <c r="A22" s="10" t="str">
        <f>IFERROR(__xludf.DUMMYFUNCTION("""COMPUTED_VALUE"""),"HHOO")</f>
        <v>HHOO</v>
      </c>
      <c r="B22" s="10">
        <f>IFERROR(__xludf.DUMMYFUNCTION("""COMPUTED_VALUE"""),1.0)</f>
        <v>1</v>
      </c>
      <c r="C22" s="10"/>
      <c r="D22" s="10"/>
      <c r="E22" s="10"/>
      <c r="F22" s="245"/>
      <c r="G22" s="10"/>
      <c r="H22" s="10"/>
      <c r="I22" s="676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675" t="s">
        <v>18556</v>
      </c>
      <c r="V22" s="675">
        <v>14544.0</v>
      </c>
    </row>
    <row r="23">
      <c r="A23" s="10" t="str">
        <f>IFERROR(__xludf.DUMMYFUNCTION("""COMPUTED_VALUE"""),"ZLL")</f>
        <v>ZLL</v>
      </c>
      <c r="B23" s="10">
        <f>IFERROR(__xludf.DUMMYFUNCTION("""COMPUTED_VALUE"""),14695.0)</f>
        <v>14695</v>
      </c>
      <c r="C23" s="10"/>
      <c r="D23" s="10"/>
      <c r="E23" s="10"/>
      <c r="F23" s="245"/>
      <c r="G23" s="10"/>
      <c r="H23" s="10"/>
      <c r="I23" s="676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675" t="s">
        <v>18557</v>
      </c>
      <c r="V23" s="675">
        <v>14554.0</v>
      </c>
    </row>
    <row r="24">
      <c r="A24" s="10" t="str">
        <f>IFERROR(__xludf.DUMMYFUNCTION("""COMPUTED_VALUE"""),"MOMIN")</f>
        <v>MOMIN</v>
      </c>
      <c r="B24" s="10"/>
      <c r="C24" s="10"/>
      <c r="D24" s="10"/>
      <c r="E24" s="10"/>
      <c r="F24" s="245"/>
      <c r="G24" s="10"/>
      <c r="H24" s="10"/>
      <c r="I24" s="676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675" t="s">
        <v>18558</v>
      </c>
      <c r="V24" s="675">
        <v>14591.0</v>
      </c>
    </row>
    <row r="25">
      <c r="A25" s="10" t="str">
        <f>IFERROR(__xludf.DUMMYFUNCTION("""COMPUTED_VALUE"""),"CCJ")</f>
        <v>CCJ</v>
      </c>
      <c r="B25" s="10">
        <f>IFERROR(__xludf.DUMMYFUNCTION("""COMPUTED_VALUE"""),14707.0)</f>
        <v>14707</v>
      </c>
      <c r="C25" s="10"/>
      <c r="D25" s="10"/>
      <c r="E25" s="10"/>
      <c r="F25" s="245"/>
      <c r="G25" s="10"/>
      <c r="H25" s="10"/>
      <c r="I25" s="676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675" t="s">
        <v>18559</v>
      </c>
      <c r="V25" s="675">
        <v>14546.0</v>
      </c>
    </row>
    <row r="26">
      <c r="A26" s="10" t="str">
        <f>IFERROR(__xludf.DUMMYFUNCTION("""COMPUTED_VALUE"""),"VCX")</f>
        <v>VCX</v>
      </c>
      <c r="B26" s="10">
        <f>IFERROR(__xludf.DUMMYFUNCTION("""COMPUTED_VALUE"""),1.0)</f>
        <v>1</v>
      </c>
      <c r="C26" s="10"/>
      <c r="D26" s="10"/>
      <c r="E26" s="10"/>
      <c r="F26" s="245"/>
      <c r="G26" s="10"/>
      <c r="H26" s="10"/>
      <c r="I26" s="676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675" t="s">
        <v>18560</v>
      </c>
      <c r="V26" s="675">
        <v>14159.0</v>
      </c>
    </row>
    <row r="27">
      <c r="A27" s="10" t="str">
        <f>IFERROR(__xludf.DUMMYFUNCTION("""COMPUTED_VALUE"""),"RAJAW")</f>
        <v>RAJAW</v>
      </c>
      <c r="B27" s="10">
        <f>IFERROR(__xludf.DUMMYFUNCTION("""COMPUTED_VALUE"""),14712.0)</f>
        <v>14712</v>
      </c>
      <c r="C27" s="10"/>
      <c r="D27" s="10"/>
      <c r="E27" s="10"/>
      <c r="F27" s="245"/>
      <c r="G27" s="10"/>
      <c r="H27" s="10"/>
      <c r="I27" s="676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675" t="s">
        <v>18561</v>
      </c>
      <c r="V27" s="675">
        <v>8486.0</v>
      </c>
    </row>
    <row r="28">
      <c r="A28" s="10" t="str">
        <f>IFERROR(__xludf.DUMMYFUNCTION("""COMPUTED_VALUE"""),"VID")</f>
        <v>VID</v>
      </c>
      <c r="B28" s="10">
        <f>IFERROR(__xludf.DUMMYFUNCTION("""COMPUTED_VALUE"""),14697.0)</f>
        <v>14697</v>
      </c>
      <c r="C28" s="10"/>
      <c r="D28" s="10"/>
      <c r="E28" s="10"/>
      <c r="F28" s="245"/>
      <c r="G28" s="10"/>
      <c r="H28" s="10"/>
      <c r="I28" s="676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675" t="s">
        <v>18562</v>
      </c>
      <c r="V28" s="675">
        <v>2345.0</v>
      </c>
    </row>
    <row r="29">
      <c r="A29" s="10" t="str">
        <f>IFERROR(__xludf.DUMMYFUNCTION("""COMPUTED_VALUE"""),"LOZX")</f>
        <v>LOZX</v>
      </c>
      <c r="B29" s="10">
        <f>IFERROR(__xludf.DUMMYFUNCTION("""COMPUTED_VALUE"""),14685.0)</f>
        <v>14685</v>
      </c>
      <c r="C29" s="10"/>
      <c r="D29" s="10"/>
      <c r="E29" s="10"/>
      <c r="F29" s="245"/>
      <c r="G29" s="10"/>
      <c r="H29" s="10"/>
      <c r="I29" s="676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675" t="s">
        <v>18563</v>
      </c>
      <c r="V29" s="675">
        <v>14478.0</v>
      </c>
    </row>
    <row r="30">
      <c r="A30" s="10" t="str">
        <f>IFERROR(__xludf.DUMMYFUNCTION("""COMPUTED_VALUE"""),"WFQ")</f>
        <v>WFQ</v>
      </c>
      <c r="B30" s="10">
        <f>IFERROR(__xludf.DUMMYFUNCTION("""COMPUTED_VALUE"""),14711.0)</f>
        <v>14711</v>
      </c>
      <c r="C30" s="10"/>
      <c r="D30" s="10"/>
      <c r="E30" s="10"/>
      <c r="F30" s="245"/>
      <c r="G30" s="10"/>
      <c r="H30" s="10"/>
      <c r="I30" s="676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675" t="s">
        <v>18564</v>
      </c>
      <c r="V30" s="675">
        <v>14298.0</v>
      </c>
    </row>
    <row r="31">
      <c r="A31" s="10" t="str">
        <f>IFERROR(__xludf.DUMMYFUNCTION("""COMPUTED_VALUE"""),"ASMXX")</f>
        <v>ASMXX</v>
      </c>
      <c r="B31" s="10">
        <f>IFERROR(__xludf.DUMMYFUNCTION("""COMPUTED_VALUE"""),14724.0)</f>
        <v>14724</v>
      </c>
      <c r="C31" s="10"/>
      <c r="D31" s="10"/>
      <c r="E31" s="10"/>
      <c r="F31" s="245"/>
      <c r="G31" s="10"/>
      <c r="H31" s="10"/>
      <c r="I31" s="676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675" t="s">
        <v>18565</v>
      </c>
      <c r="V31" s="675">
        <v>14542.0</v>
      </c>
    </row>
    <row r="32">
      <c r="A32" s="10" t="str">
        <f>IFERROR(__xludf.DUMMYFUNCTION("""COMPUTED_VALUE"""),"AKB")</f>
        <v>AKB</v>
      </c>
      <c r="B32" s="10">
        <f>IFERROR(__xludf.DUMMYFUNCTION("""COMPUTED_VALUE"""),14705.0)</f>
        <v>14705</v>
      </c>
      <c r="C32" s="10"/>
      <c r="D32" s="10"/>
      <c r="E32" s="10"/>
      <c r="F32" s="245"/>
      <c r="G32" s="10"/>
      <c r="H32" s="10"/>
      <c r="I32" s="676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675" t="s">
        <v>18566</v>
      </c>
      <c r="V32" s="675">
        <v>14540.0</v>
      </c>
    </row>
    <row r="33">
      <c r="A33" s="10" t="str">
        <f>IFERROR(__xludf.DUMMYFUNCTION("""COMPUTED_VALUE"""),"KIU")</f>
        <v>KIU</v>
      </c>
      <c r="B33" s="10">
        <f>IFERROR(__xludf.DUMMYFUNCTION("""COMPUTED_VALUE"""),14718.0)</f>
        <v>14718</v>
      </c>
      <c r="C33" s="10"/>
      <c r="D33" s="10"/>
      <c r="E33" s="10"/>
      <c r="F33" s="245"/>
      <c r="G33" s="10"/>
      <c r="H33" s="10"/>
      <c r="I33" s="676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675" t="s">
        <v>18567</v>
      </c>
      <c r="V33" s="675">
        <v>14539.0</v>
      </c>
    </row>
    <row r="34">
      <c r="A34" s="10" t="str">
        <f>IFERROR(__xludf.DUMMYFUNCTION("""COMPUTED_VALUE"""),"AXE")</f>
        <v>AXE</v>
      </c>
      <c r="B34" s="10">
        <f>IFERROR(__xludf.DUMMYFUNCTION("""COMPUTED_VALUE"""),14700.0)</f>
        <v>14700</v>
      </c>
      <c r="C34" s="10"/>
      <c r="D34" s="10"/>
      <c r="E34" s="10"/>
      <c r="F34" s="245"/>
      <c r="G34" s="10"/>
      <c r="H34" s="10"/>
      <c r="I34" s="676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675" t="s">
        <v>18568</v>
      </c>
      <c r="V34" s="675">
        <v>14530.0</v>
      </c>
    </row>
    <row r="35">
      <c r="A35" s="10" t="str">
        <f>IFERROR(__xludf.DUMMYFUNCTION("""COMPUTED_VALUE"""),"VLIO")</f>
        <v>VLIO</v>
      </c>
      <c r="B35" s="10">
        <f>IFERROR(__xludf.DUMMYFUNCTION("""COMPUTED_VALUE"""),14702.0)</f>
        <v>14702</v>
      </c>
      <c r="C35" s="10"/>
      <c r="D35" s="10"/>
      <c r="E35" s="10"/>
      <c r="F35" s="245"/>
      <c r="G35" s="10"/>
      <c r="H35" s="10"/>
      <c r="I35" s="676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675" t="s">
        <v>18569</v>
      </c>
      <c r="V35" s="675">
        <v>14548.0</v>
      </c>
    </row>
    <row r="36">
      <c r="A36" s="10" t="str">
        <f>IFERROR(__xludf.DUMMYFUNCTION("""COMPUTED_VALUE"""),"ARW")</f>
        <v>ARW</v>
      </c>
      <c r="B36" s="10">
        <f>IFERROR(__xludf.DUMMYFUNCTION("""COMPUTED_VALUE"""),14703.0)</f>
        <v>14703</v>
      </c>
      <c r="C36" s="10"/>
      <c r="D36" s="10"/>
      <c r="E36" s="10"/>
      <c r="F36" s="245"/>
      <c r="G36" s="10"/>
      <c r="H36" s="10"/>
      <c r="I36" s="676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675" t="s">
        <v>18570</v>
      </c>
      <c r="V36" s="675">
        <v>10923.0</v>
      </c>
    </row>
    <row r="37">
      <c r="A37" s="10" t="str">
        <f>IFERROR(__xludf.DUMMYFUNCTION("""COMPUTED_VALUE"""),"TII")</f>
        <v>TII</v>
      </c>
      <c r="B37" s="10">
        <f>IFERROR(__xludf.DUMMYFUNCTION("""COMPUTED_VALUE"""),14710.0)</f>
        <v>14710</v>
      </c>
      <c r="C37" s="10"/>
      <c r="D37" s="10"/>
      <c r="E37" s="10"/>
      <c r="F37" s="245"/>
      <c r="G37" s="10"/>
      <c r="H37" s="10"/>
      <c r="I37" s="676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675" t="s">
        <v>18571</v>
      </c>
      <c r="V37" s="675">
        <v>14528.0</v>
      </c>
    </row>
    <row r="38">
      <c r="A38" s="10" t="str">
        <f>IFERROR(__xludf.DUMMYFUNCTION("""COMPUTED_VALUE"""),"MEED")</f>
        <v>MEED</v>
      </c>
      <c r="B38" s="10">
        <f>IFERROR(__xludf.DUMMYFUNCTION("""COMPUTED_VALUE"""),14708.0)</f>
        <v>14708</v>
      </c>
      <c r="C38" s="10"/>
      <c r="D38" s="10"/>
      <c r="E38" s="10"/>
      <c r="F38" s="245"/>
      <c r="G38" s="10"/>
      <c r="H38" s="10"/>
      <c r="I38" s="676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675" t="s">
        <v>18572</v>
      </c>
      <c r="V38" s="675">
        <v>14526.0</v>
      </c>
    </row>
    <row r="39">
      <c r="A39" s="10" t="str">
        <f>IFERROR(__xludf.DUMMYFUNCTION("""COMPUTED_VALUE"""),"MRAX")</f>
        <v>MRAX</v>
      </c>
      <c r="B39" s="10">
        <f>IFERROR(__xludf.DUMMYFUNCTION("""COMPUTED_VALUE"""),14699.0)</f>
        <v>14699</v>
      </c>
      <c r="C39" s="10"/>
      <c r="D39" s="10"/>
      <c r="E39" s="10"/>
      <c r="F39" s="245"/>
      <c r="G39" s="10"/>
      <c r="H39" s="10"/>
      <c r="I39" s="676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675" t="s">
        <v>18573</v>
      </c>
      <c r="V39" s="675">
        <v>14521.0</v>
      </c>
    </row>
    <row r="40">
      <c r="A40" s="10" t="str">
        <f>IFERROR(__xludf.DUMMYFUNCTION("""COMPUTED_VALUE"""),"MOAH")</f>
        <v>MOAH</v>
      </c>
      <c r="B40" s="10">
        <f>IFERROR(__xludf.DUMMYFUNCTION("""COMPUTED_VALUE"""),14696.0)</f>
        <v>14696</v>
      </c>
      <c r="C40" s="10"/>
      <c r="D40" s="10"/>
      <c r="E40" s="10"/>
      <c r="F40" s="245"/>
      <c r="G40" s="10"/>
      <c r="H40" s="10"/>
      <c r="I40" s="676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675" t="s">
        <v>18574</v>
      </c>
      <c r="V40" s="675">
        <v>14509.0</v>
      </c>
    </row>
    <row r="41">
      <c r="A41" s="10" t="str">
        <f>IFERROR(__xludf.DUMMYFUNCTION("""COMPUTED_VALUE"""),"IIIO")</f>
        <v>IIIO</v>
      </c>
      <c r="B41" s="10">
        <f>IFERROR(__xludf.DUMMYFUNCTION("""COMPUTED_VALUE"""),14722.0)</f>
        <v>14722</v>
      </c>
      <c r="C41" s="10"/>
      <c r="D41" s="10"/>
      <c r="E41" s="10"/>
      <c r="F41" s="245"/>
      <c r="G41" s="10"/>
      <c r="H41" s="10"/>
      <c r="I41" s="676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675" t="s">
        <v>18575</v>
      </c>
      <c r="V41" s="675">
        <v>14514.0</v>
      </c>
    </row>
    <row r="42">
      <c r="A42" s="10" t="str">
        <f>IFERROR(__xludf.DUMMYFUNCTION("""COMPUTED_VALUE"""),"NLL")</f>
        <v>NLL</v>
      </c>
      <c r="B42" s="10">
        <f>IFERROR(__xludf.DUMMYFUNCTION("""COMPUTED_VALUE"""),14684.0)</f>
        <v>14684</v>
      </c>
      <c r="C42" s="10"/>
      <c r="D42" s="10"/>
      <c r="E42" s="10"/>
      <c r="F42" s="245"/>
      <c r="G42" s="10"/>
      <c r="H42" s="10"/>
      <c r="I42" s="676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675" t="s">
        <v>18576</v>
      </c>
      <c r="V42" s="675">
        <v>14484.0</v>
      </c>
    </row>
    <row r="43">
      <c r="A43" s="10" t="str">
        <f>IFERROR(__xludf.DUMMYFUNCTION("""COMPUTED_VALUE"""),"HTEQ")</f>
        <v>HTEQ</v>
      </c>
      <c r="B43" s="10">
        <f>IFERROR(__xludf.DUMMYFUNCTION("""COMPUTED_VALUE"""),1.0)</f>
        <v>1</v>
      </c>
      <c r="C43" s="10"/>
      <c r="D43" s="10"/>
      <c r="E43" s="10"/>
      <c r="F43" s="245"/>
      <c r="G43" s="10"/>
      <c r="H43" s="10"/>
      <c r="I43" s="676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675" t="s">
        <v>18577</v>
      </c>
      <c r="V43" s="675">
        <v>14490.0</v>
      </c>
    </row>
    <row r="44">
      <c r="A44" s="10" t="str">
        <f>IFERROR(__xludf.DUMMYFUNCTION("""COMPUTED_VALUE"""),"IROC")</f>
        <v>IROC</v>
      </c>
      <c r="B44" s="10">
        <f>IFERROR(__xludf.DUMMYFUNCTION("""COMPUTED_VALUE"""),1.0)</f>
        <v>1</v>
      </c>
      <c r="C44" s="10"/>
      <c r="D44" s="10"/>
      <c r="E44" s="10"/>
      <c r="F44" s="245"/>
      <c r="G44" s="10"/>
      <c r="H44" s="10"/>
      <c r="I44" s="676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675" t="s">
        <v>18578</v>
      </c>
      <c r="V44" s="675">
        <v>14513.0</v>
      </c>
    </row>
    <row r="45">
      <c r="A45" s="10" t="str">
        <f>IFERROR(__xludf.DUMMYFUNCTION("""COMPUTED_VALUE"""),"RTU")</f>
        <v>RTU</v>
      </c>
      <c r="B45" s="10"/>
      <c r="C45" s="10"/>
      <c r="D45" s="10"/>
      <c r="E45" s="10"/>
      <c r="F45" s="245"/>
      <c r="G45" s="10"/>
      <c r="H45" s="10"/>
      <c r="I45" s="676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675" t="s">
        <v>18579</v>
      </c>
      <c r="V45" s="675">
        <v>14492.0</v>
      </c>
    </row>
    <row r="46">
      <c r="A46" s="10" t="str">
        <f>IFERROR(__xludf.DUMMYFUNCTION("""COMPUTED_VALUE"""),"HHS")</f>
        <v>HHS</v>
      </c>
      <c r="B46" s="10">
        <f>IFERROR(__xludf.DUMMYFUNCTION("""COMPUTED_VALUE"""),14723.0)</f>
        <v>14723</v>
      </c>
      <c r="C46" s="10"/>
      <c r="D46" s="10"/>
      <c r="E46" s="10"/>
      <c r="F46" s="245"/>
      <c r="G46" s="10"/>
      <c r="H46" s="10"/>
      <c r="I46" s="676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675" t="s">
        <v>18580</v>
      </c>
      <c r="V46" s="675">
        <v>14511.0</v>
      </c>
    </row>
    <row r="47">
      <c r="A47" s="10" t="str">
        <f>IFERROR(__xludf.DUMMYFUNCTION("""COMPUTED_VALUE"""),"RSM")</f>
        <v>RSM</v>
      </c>
      <c r="B47" s="10">
        <f>IFERROR(__xludf.DUMMYFUNCTION("""COMPUTED_VALUE"""),14725.0)</f>
        <v>14725</v>
      </c>
      <c r="C47" s="10"/>
      <c r="D47" s="10"/>
      <c r="E47" s="10"/>
      <c r="F47" s="245"/>
      <c r="G47" s="10"/>
      <c r="H47" s="10"/>
      <c r="I47" s="676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675" t="s">
        <v>18581</v>
      </c>
      <c r="V47" s="675">
        <v>14512.0</v>
      </c>
    </row>
    <row r="48">
      <c r="A48" s="10" t="str">
        <f>IFERROR(__xludf.DUMMYFUNCTION("""COMPUTED_VALUE"""),"BYLO")</f>
        <v>BYLO</v>
      </c>
      <c r="B48" s="10">
        <f>IFERROR(__xludf.DUMMYFUNCTION("""COMPUTED_VALUE"""),14166.0)</f>
        <v>14166</v>
      </c>
      <c r="C48" s="10"/>
      <c r="D48" s="10"/>
      <c r="E48" s="10"/>
      <c r="F48" s="245"/>
      <c r="G48" s="10"/>
      <c r="H48" s="10"/>
      <c r="I48" s="676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675" t="s">
        <v>18582</v>
      </c>
      <c r="V48" s="675">
        <v>9715.0</v>
      </c>
    </row>
    <row r="49">
      <c r="A49" s="10" t="str">
        <f>IFERROR(__xludf.DUMMYFUNCTION("""COMPUTED_VALUE"""),"IXXIF")</f>
        <v>IXXIF</v>
      </c>
      <c r="B49" s="10">
        <f>IFERROR(__xludf.DUMMYFUNCTION("""COMPUTED_VALUE"""),14721.0)</f>
        <v>14721</v>
      </c>
      <c r="C49" s="10"/>
      <c r="D49" s="10"/>
      <c r="E49" s="10"/>
      <c r="F49" s="245"/>
      <c r="G49" s="10"/>
      <c r="H49" s="10"/>
      <c r="I49" s="676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675" t="s">
        <v>18583</v>
      </c>
      <c r="V49" s="675">
        <v>359.0</v>
      </c>
    </row>
    <row r="50">
      <c r="A50" s="10" t="str">
        <f>IFERROR(__xludf.DUMMYFUNCTION("""COMPUTED_VALUE"""),"RARX")</f>
        <v>RARX</v>
      </c>
      <c r="B50" s="10">
        <f>IFERROR(__xludf.DUMMYFUNCTION("""COMPUTED_VALUE"""),14719.0)</f>
        <v>14719</v>
      </c>
      <c r="C50" s="10"/>
      <c r="D50" s="10"/>
      <c r="E50" s="10"/>
      <c r="F50" s="245"/>
      <c r="G50" s="10"/>
      <c r="H50" s="10"/>
      <c r="I50" s="676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675" t="s">
        <v>18584</v>
      </c>
      <c r="V50" s="675">
        <v>14417.0</v>
      </c>
    </row>
    <row r="51">
      <c r="A51" s="10" t="str">
        <f>IFERROR(__xludf.DUMMYFUNCTION("""COMPUTED_VALUE"""),"GOGOO")</f>
        <v>GOGOO</v>
      </c>
      <c r="B51" s="10">
        <f>IFERROR(__xludf.DUMMYFUNCTION("""COMPUTED_VALUE"""),14720.0)</f>
        <v>14720</v>
      </c>
      <c r="C51" s="10"/>
      <c r="D51" s="10"/>
      <c r="E51" s="10"/>
      <c r="F51" s="245"/>
      <c r="G51" s="10"/>
      <c r="H51" s="10"/>
      <c r="I51" s="676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675" t="s">
        <v>18585</v>
      </c>
      <c r="V51" s="675">
        <v>14417.0</v>
      </c>
    </row>
    <row r="52">
      <c r="A52" s="10" t="str">
        <f>IFERROR(__xludf.DUMMYFUNCTION("""COMPUTED_VALUE"""),"RRL")</f>
        <v>RRL</v>
      </c>
      <c r="B52" s="10">
        <f>IFERROR(__xludf.DUMMYFUNCTION("""COMPUTED_VALUE"""),1.0)</f>
        <v>1</v>
      </c>
      <c r="C52" s="10"/>
      <c r="D52" s="10"/>
      <c r="E52" s="10"/>
      <c r="F52" s="245"/>
      <c r="G52" s="10"/>
      <c r="H52" s="10"/>
      <c r="I52" s="676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675" t="s">
        <v>18586</v>
      </c>
      <c r="V52" s="675">
        <v>14335.0</v>
      </c>
    </row>
    <row r="53">
      <c r="A53" s="10" t="str">
        <f>IFERROR(__xludf.DUMMYFUNCTION("""COMPUTED_VALUE"""),"NZK")</f>
        <v>NZK</v>
      </c>
      <c r="B53" s="10">
        <f>IFERROR(__xludf.DUMMYFUNCTION("""COMPUTED_VALUE"""),14716.0)</f>
        <v>14716</v>
      </c>
      <c r="C53" s="10"/>
      <c r="D53" s="10"/>
      <c r="E53" s="10"/>
      <c r="F53" s="245"/>
      <c r="G53" s="10"/>
      <c r="H53" s="10"/>
      <c r="I53" s="676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675" t="s">
        <v>18587</v>
      </c>
      <c r="V53" s="675">
        <v>14471.0</v>
      </c>
    </row>
    <row r="54">
      <c r="A54" s="10" t="str">
        <f>IFERROR(__xludf.DUMMYFUNCTION("""COMPUTED_VALUE"""),"ALFR")</f>
        <v>ALFR</v>
      </c>
      <c r="B54" s="10">
        <f>IFERROR(__xludf.DUMMYFUNCTION("""COMPUTED_VALUE"""),14698.0)</f>
        <v>14698</v>
      </c>
      <c r="C54" s="10"/>
      <c r="D54" s="10"/>
      <c r="E54" s="10"/>
      <c r="F54" s="245"/>
      <c r="G54" s="10"/>
      <c r="H54" s="10"/>
      <c r="I54" s="676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675" t="s">
        <v>18588</v>
      </c>
      <c r="V54" s="675">
        <v>14483.0</v>
      </c>
    </row>
    <row r="55">
      <c r="A55" s="10" t="str">
        <f>IFERROR(__xludf.DUMMYFUNCTION("""COMPUTED_VALUE"""),"AKK")</f>
        <v>AKK</v>
      </c>
      <c r="B55" s="10">
        <f>IFERROR(__xludf.DUMMYFUNCTION("""COMPUTED_VALUE"""),14681.0)</f>
        <v>14681</v>
      </c>
      <c r="C55" s="10"/>
      <c r="D55" s="10"/>
      <c r="E55" s="10"/>
      <c r="F55" s="245"/>
      <c r="G55" s="10"/>
      <c r="H55" s="10"/>
      <c r="I55" s="676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675" t="s">
        <v>18589</v>
      </c>
      <c r="V55" s="675">
        <v>6658.0</v>
      </c>
    </row>
    <row r="56">
      <c r="A56" s="10" t="str">
        <f>IFERROR(__xludf.DUMMYFUNCTION("""COMPUTED_VALUE"""),"MEEMX")</f>
        <v>MEEMX</v>
      </c>
      <c r="B56" s="10">
        <f>IFERROR(__xludf.DUMMYFUNCTION("""COMPUTED_VALUE"""),14682.0)</f>
        <v>14682</v>
      </c>
      <c r="C56" s="10"/>
      <c r="D56" s="10"/>
      <c r="E56" s="10"/>
      <c r="F56" s="245"/>
      <c r="G56" s="10"/>
      <c r="H56" s="10"/>
      <c r="I56" s="676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675" t="s">
        <v>18590</v>
      </c>
      <c r="V56" s="675">
        <v>14498.0</v>
      </c>
    </row>
    <row r="57">
      <c r="A57" s="10" t="str">
        <f>IFERROR(__xludf.DUMMYFUNCTION("""COMPUTED_VALUE"""),"ZKH")</f>
        <v>ZKH</v>
      </c>
      <c r="B57" s="10">
        <f>IFERROR(__xludf.DUMMYFUNCTION("""COMPUTED_VALUE"""),14713.0)</f>
        <v>14713</v>
      </c>
      <c r="C57" s="10"/>
      <c r="D57" s="10"/>
      <c r="E57" s="10"/>
      <c r="F57" s="245"/>
      <c r="G57" s="10"/>
      <c r="H57" s="10"/>
      <c r="I57" s="676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675" t="s">
        <v>18591</v>
      </c>
      <c r="V57" s="675">
        <v>14417.0</v>
      </c>
    </row>
    <row r="58">
      <c r="A58" s="10" t="str">
        <f>IFERROR(__xludf.DUMMYFUNCTION("""COMPUTED_VALUE"""),"LCI")</f>
        <v>LCI</v>
      </c>
      <c r="B58" s="10">
        <f>IFERROR(__xludf.DUMMYFUNCTION("""COMPUTED_VALUE"""),14706.0)</f>
        <v>14706</v>
      </c>
      <c r="C58" s="10"/>
      <c r="D58" s="10"/>
      <c r="E58" s="10"/>
      <c r="F58" s="245"/>
      <c r="G58" s="10"/>
      <c r="H58" s="10"/>
      <c r="I58" s="676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675" t="s">
        <v>18592</v>
      </c>
      <c r="V58" s="675">
        <v>14464.0</v>
      </c>
    </row>
    <row r="59">
      <c r="A59" s="10" t="str">
        <f>IFERROR(__xludf.DUMMYFUNCTION("""COMPUTED_VALUE"""),"NNA")</f>
        <v>NNA</v>
      </c>
      <c r="B59" s="10">
        <f>IFERROR(__xludf.DUMMYFUNCTION("""COMPUTED_VALUE"""),1.0)</f>
        <v>1</v>
      </c>
      <c r="C59" s="10"/>
      <c r="D59" s="10"/>
      <c r="E59" s="10"/>
      <c r="F59" s="245"/>
      <c r="G59" s="10"/>
      <c r="H59" s="10"/>
      <c r="I59" s="676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675" t="s">
        <v>18593</v>
      </c>
      <c r="V59" s="675">
        <v>14491.0</v>
      </c>
    </row>
    <row r="60">
      <c r="A60" s="10" t="str">
        <f>IFERROR(__xludf.DUMMYFUNCTION("""COMPUTED_VALUE"""),"RABY")</f>
        <v>RABY</v>
      </c>
      <c r="B60" s="10">
        <f>IFERROR(__xludf.DUMMYFUNCTION("""COMPUTED_VALUE"""),14683.0)</f>
        <v>14683</v>
      </c>
      <c r="C60" s="10"/>
      <c r="D60" s="10"/>
      <c r="E60" s="10"/>
      <c r="F60" s="245"/>
      <c r="G60" s="10"/>
      <c r="H60" s="10"/>
      <c r="I60" s="676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675" t="s">
        <v>18594</v>
      </c>
      <c r="V60" s="675">
        <v>6675.0</v>
      </c>
    </row>
    <row r="61">
      <c r="A61" s="10" t="str">
        <f>IFERROR(__xludf.DUMMYFUNCTION("""COMPUTED_VALUE"""),"RAMAM")</f>
        <v>RAMAM</v>
      </c>
      <c r="B61" s="10">
        <f>IFERROR(__xludf.DUMMYFUNCTION("""COMPUTED_VALUE"""),14680.0)</f>
        <v>14680</v>
      </c>
      <c r="C61" s="10"/>
      <c r="D61" s="10"/>
      <c r="E61" s="10"/>
      <c r="F61" s="245"/>
      <c r="G61" s="10"/>
      <c r="H61" s="10"/>
      <c r="I61" s="676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675" t="s">
        <v>18595</v>
      </c>
      <c r="V61" s="675">
        <v>14460.0</v>
      </c>
    </row>
    <row r="62">
      <c r="A62" s="10" t="str">
        <f>IFERROR(__xludf.DUMMYFUNCTION("""COMPUTED_VALUE"""),"WOMENL")</f>
        <v>WOMENL</v>
      </c>
      <c r="B62" s="10">
        <f>IFERROR(__xludf.DUMMYFUNCTION("""COMPUTED_VALUE"""),14704.0)</f>
        <v>14704</v>
      </c>
      <c r="C62" s="10"/>
      <c r="D62" s="10"/>
      <c r="E62" s="10"/>
      <c r="F62" s="245"/>
      <c r="G62" s="10"/>
      <c r="H62" s="10"/>
      <c r="I62" s="676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675" t="s">
        <v>18596</v>
      </c>
      <c r="V62" s="675">
        <v>14248.0</v>
      </c>
    </row>
    <row r="63">
      <c r="A63" s="10" t="str">
        <f>IFERROR(__xludf.DUMMYFUNCTION("""COMPUTED_VALUE"""),"RONA")</f>
        <v>RONA</v>
      </c>
      <c r="B63" s="10">
        <f>IFERROR(__xludf.DUMMYFUNCTION("""COMPUTED_VALUE"""),2345.0)</f>
        <v>2345</v>
      </c>
      <c r="C63" s="10"/>
      <c r="D63" s="10"/>
      <c r="E63" s="10"/>
      <c r="F63" s="245"/>
      <c r="G63" s="10"/>
      <c r="H63" s="10"/>
      <c r="I63" s="676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675" t="s">
        <v>18597</v>
      </c>
      <c r="V63" s="675">
        <v>14499.0</v>
      </c>
    </row>
    <row r="64">
      <c r="A64" s="10" t="str">
        <f>IFERROR(__xludf.DUMMYFUNCTION("""COMPUTED_VALUE"""),"DREE")</f>
        <v>DREE</v>
      </c>
      <c r="B64" s="10">
        <f>IFERROR(__xludf.DUMMYFUNCTION("""COMPUTED_VALUE"""),14709.0)</f>
        <v>14709</v>
      </c>
      <c r="C64" s="10"/>
      <c r="D64" s="10"/>
      <c r="E64" s="10"/>
      <c r="F64" s="245"/>
      <c r="G64" s="10"/>
      <c r="H64" s="10"/>
      <c r="I64" s="676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675" t="s">
        <v>18598</v>
      </c>
      <c r="V64" s="675">
        <v>14531.0</v>
      </c>
    </row>
    <row r="65">
      <c r="A65" s="10" t="str">
        <f>IFERROR(__xludf.DUMMYFUNCTION("""COMPUTED_VALUE"""),"ZUNAIR")</f>
        <v>ZUNAIR</v>
      </c>
      <c r="B65" s="10">
        <f>IFERROR(__xludf.DUMMYFUNCTION("""COMPUTED_VALUE"""),13949.0)</f>
        <v>13949</v>
      </c>
      <c r="C65" s="10"/>
      <c r="D65" s="10"/>
      <c r="E65" s="10"/>
      <c r="F65" s="245"/>
      <c r="G65" s="10"/>
      <c r="H65" s="10"/>
      <c r="I65" s="676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675" t="s">
        <v>18599</v>
      </c>
      <c r="V65" s="675">
        <v>14568.0</v>
      </c>
    </row>
    <row r="66">
      <c r="A66" s="10" t="str">
        <f>IFERROR(__xludf.DUMMYFUNCTION("""COMPUTED_VALUE"""),"VRE")</f>
        <v>VRE</v>
      </c>
      <c r="B66" s="10">
        <f>IFERROR(__xludf.DUMMYFUNCTION("""COMPUTED_VALUE"""),14701.0)</f>
        <v>14701</v>
      </c>
      <c r="C66" s="10"/>
      <c r="D66" s="10"/>
      <c r="E66" s="10"/>
      <c r="F66" s="245"/>
      <c r="G66" s="10"/>
      <c r="H66" s="10"/>
      <c r="I66" s="676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675" t="s">
        <v>5</v>
      </c>
      <c r="V66" s="675">
        <v>14496.0</v>
      </c>
    </row>
    <row r="67">
      <c r="A67" s="10" t="str">
        <f>IFERROR(__xludf.DUMMYFUNCTION("""COMPUTED_VALUE"""),"VEEZ")</f>
        <v>VEEZ</v>
      </c>
      <c r="B67" s="18">
        <f>IFERROR(__xludf.DUMMYFUNCTION("""COMPUTED_VALUE"""),14679.0)</f>
        <v>14679</v>
      </c>
      <c r="C67" s="9"/>
      <c r="D67" s="10"/>
      <c r="E67" s="10"/>
      <c r="F67" s="245"/>
      <c r="G67" s="10"/>
      <c r="H67" s="10"/>
      <c r="I67" s="676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675" t="s">
        <v>18600</v>
      </c>
      <c r="V67" s="675">
        <v>6675.0</v>
      </c>
    </row>
    <row r="68">
      <c r="A68" s="10" t="str">
        <f>IFERROR(__xludf.DUMMYFUNCTION("""COMPUTED_VALUE"""),"MNG")</f>
        <v>MNG</v>
      </c>
      <c r="B68" s="10">
        <f>IFERROR(__xludf.DUMMYFUNCTION("""COMPUTED_VALUE"""),14715.0)</f>
        <v>14715</v>
      </c>
      <c r="C68" s="10"/>
      <c r="D68" s="10"/>
      <c r="E68" s="10"/>
      <c r="F68" s="245"/>
      <c r="G68" s="10"/>
      <c r="H68" s="10"/>
      <c r="I68" s="676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675" t="s">
        <v>18601</v>
      </c>
      <c r="V68" s="675">
        <v>14495.0</v>
      </c>
    </row>
    <row r="69">
      <c r="A69" s="10" t="str">
        <f>IFERROR(__xludf.DUMMYFUNCTION("""COMPUTED_VALUE"""),"HSJ")</f>
        <v>HSJ</v>
      </c>
      <c r="B69" s="10">
        <f>IFERROR(__xludf.DUMMYFUNCTION("""COMPUTED_VALUE"""),1.0)</f>
        <v>1</v>
      </c>
      <c r="C69" s="10"/>
      <c r="D69" s="10"/>
      <c r="E69" s="10"/>
      <c r="F69" s="245"/>
      <c r="G69" s="10"/>
      <c r="H69" s="10"/>
      <c r="I69" s="676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675" t="s">
        <v>18602</v>
      </c>
      <c r="V69" s="675">
        <v>14089.0</v>
      </c>
    </row>
    <row r="70">
      <c r="A70" s="10" t="str">
        <f>IFERROR(__xludf.DUMMYFUNCTION("""COMPUTED_VALUE"""),"ITSAR")</f>
        <v>ITSAR</v>
      </c>
      <c r="B70" s="10">
        <f>IFERROR(__xludf.DUMMYFUNCTION("""COMPUTED_VALUE"""),14671.0)</f>
        <v>14671</v>
      </c>
      <c r="C70" s="10"/>
      <c r="D70" s="10"/>
      <c r="E70" s="10"/>
      <c r="F70" s="245"/>
      <c r="G70" s="10"/>
      <c r="H70" s="10"/>
      <c r="I70" s="676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675" t="s">
        <v>18603</v>
      </c>
      <c r="V70" s="675">
        <v>12368.0</v>
      </c>
    </row>
    <row r="71">
      <c r="A71" s="10" t="str">
        <f>IFERROR(__xludf.DUMMYFUNCTION("""COMPUTED_VALUE"""),"FATOXX")</f>
        <v>FATOXX</v>
      </c>
      <c r="B71" s="10">
        <f>IFERROR(__xludf.DUMMYFUNCTION("""COMPUTED_VALUE"""),14673.0)</f>
        <v>14673</v>
      </c>
      <c r="C71" s="10"/>
      <c r="D71" s="10"/>
      <c r="E71" s="10"/>
      <c r="F71" s="245"/>
      <c r="G71" s="10"/>
      <c r="H71" s="10"/>
      <c r="I71" s="676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675" t="s">
        <v>18604</v>
      </c>
      <c r="V71" s="675">
        <v>14462.0</v>
      </c>
    </row>
    <row r="72">
      <c r="A72" s="10" t="str">
        <f>IFERROR(__xludf.DUMMYFUNCTION("""COMPUTED_VALUE"""),"KLF")</f>
        <v>KLF</v>
      </c>
      <c r="B72" s="10">
        <f>IFERROR(__xludf.DUMMYFUNCTION("""COMPUTED_VALUE"""),1.0)</f>
        <v>1</v>
      </c>
      <c r="C72" s="10"/>
      <c r="D72" s="10"/>
      <c r="E72" s="10"/>
      <c r="F72" s="245"/>
      <c r="G72" s="10"/>
      <c r="H72" s="10"/>
      <c r="I72" s="676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675" t="s">
        <v>18605</v>
      </c>
      <c r="V72" s="675">
        <v>359.0</v>
      </c>
    </row>
    <row r="73">
      <c r="A73" s="10" t="str">
        <f>IFERROR(__xludf.DUMMYFUNCTION("""COMPUTED_VALUE"""),"LAILAL")</f>
        <v>LAILAL</v>
      </c>
      <c r="B73" s="10">
        <f>IFERROR(__xludf.DUMMYFUNCTION("""COMPUTED_VALUE"""),1.0)</f>
        <v>1</v>
      </c>
      <c r="C73" s="10"/>
      <c r="D73" s="10"/>
      <c r="E73" s="10"/>
      <c r="F73" s="245"/>
      <c r="G73" s="10"/>
      <c r="H73" s="10"/>
      <c r="I73" s="676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675" t="s">
        <v>18606</v>
      </c>
      <c r="V73" s="675">
        <v>14071.0</v>
      </c>
    </row>
    <row r="74">
      <c r="A74" s="10" t="str">
        <f>IFERROR(__xludf.DUMMYFUNCTION("""COMPUTED_VALUE"""),"LIFELO")</f>
        <v>LIFELO</v>
      </c>
      <c r="B74" s="10">
        <f>IFERROR(__xludf.DUMMYFUNCTION("""COMPUTED_VALUE"""),14642.0)</f>
        <v>14642</v>
      </c>
      <c r="C74" s="10"/>
      <c r="D74" s="10"/>
      <c r="E74" s="10"/>
      <c r="F74" s="245"/>
      <c r="G74" s="10"/>
      <c r="H74" s="10"/>
      <c r="I74" s="676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675" t="s">
        <v>18607</v>
      </c>
      <c r="V74" s="675">
        <v>14470.0</v>
      </c>
    </row>
    <row r="75">
      <c r="A75" s="10" t="str">
        <f>IFERROR(__xludf.DUMMYFUNCTION("""COMPUTED_VALUE"""),"BANO")</f>
        <v>BANO</v>
      </c>
      <c r="B75" s="10">
        <f>IFERROR(__xludf.DUMMYFUNCTION("""COMPUTED_VALUE"""),14333.0)</f>
        <v>14333</v>
      </c>
      <c r="C75" s="10"/>
      <c r="D75" s="10"/>
      <c r="E75" s="10"/>
      <c r="F75" s="245"/>
      <c r="G75" s="10"/>
      <c r="H75" s="10"/>
      <c r="I75" s="676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675" t="s">
        <v>18608</v>
      </c>
      <c r="V75" s="675">
        <v>14451.0</v>
      </c>
    </row>
    <row r="76">
      <c r="A76" s="10" t="str">
        <f>IFERROR(__xludf.DUMMYFUNCTION("""COMPUTED_VALUE"""),"YOUSAR")</f>
        <v>YOUSAR</v>
      </c>
      <c r="B76" s="10">
        <f>IFERROR(__xludf.DUMMYFUNCTION("""COMPUTED_VALUE"""),1.0)</f>
        <v>1</v>
      </c>
      <c r="C76" s="10"/>
      <c r="D76" s="10"/>
      <c r="E76" s="10"/>
      <c r="F76" s="245"/>
      <c r="G76" s="10"/>
      <c r="H76" s="10"/>
      <c r="I76" s="676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675" t="s">
        <v>18609</v>
      </c>
      <c r="V76" s="675">
        <v>14431.0</v>
      </c>
    </row>
    <row r="77">
      <c r="A77" s="10" t="str">
        <f>IFERROR(__xludf.DUMMYFUNCTION("""COMPUTED_VALUE"""),"AGT")</f>
        <v>AGT</v>
      </c>
      <c r="B77" s="10">
        <f>IFERROR(__xludf.DUMMYFUNCTION("""COMPUTED_VALUE"""),14668.0)</f>
        <v>14668</v>
      </c>
      <c r="C77" s="10"/>
      <c r="D77" s="10"/>
      <c r="E77" s="10"/>
      <c r="F77" s="245"/>
      <c r="G77" s="10"/>
      <c r="H77" s="10"/>
      <c r="I77" s="676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675" t="s">
        <v>18610</v>
      </c>
      <c r="V77" s="675">
        <v>9592.0</v>
      </c>
    </row>
    <row r="78">
      <c r="A78" s="10" t="str">
        <f>IFERROR(__xludf.DUMMYFUNCTION("""COMPUTED_VALUE"""),"JOJOXX")</f>
        <v>JOJOXX</v>
      </c>
      <c r="B78" s="10">
        <f>IFERROR(__xludf.DUMMYFUNCTION("""COMPUTED_VALUE"""),1.0)</f>
        <v>1</v>
      </c>
      <c r="C78" s="10"/>
      <c r="D78" s="10"/>
      <c r="E78" s="10"/>
      <c r="F78" s="245"/>
      <c r="G78" s="10"/>
      <c r="H78" s="10"/>
      <c r="I78" s="676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675" t="s">
        <v>18611</v>
      </c>
      <c r="V78" s="675">
        <v>14453.0</v>
      </c>
    </row>
    <row r="79">
      <c r="A79" s="10" t="str">
        <f>IFERROR(__xludf.DUMMYFUNCTION("""COMPUTED_VALUE"""),"KFG")</f>
        <v>KFG</v>
      </c>
      <c r="B79" s="10">
        <f>IFERROR(__xludf.DUMMYFUNCTION("""COMPUTED_VALUE"""),14665.0)</f>
        <v>14665</v>
      </c>
      <c r="C79" s="10"/>
      <c r="D79" s="10"/>
      <c r="E79" s="10"/>
      <c r="F79" s="245"/>
      <c r="G79" s="10"/>
      <c r="H79" s="10"/>
      <c r="I79" s="676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675" t="s">
        <v>18612</v>
      </c>
      <c r="V79" s="675">
        <v>14417.0</v>
      </c>
    </row>
    <row r="80">
      <c r="A80" s="10" t="str">
        <f>IFERROR(__xludf.DUMMYFUNCTION("""COMPUTED_VALUE"""),"ANJ")</f>
        <v>ANJ</v>
      </c>
      <c r="B80" s="10">
        <f>IFERROR(__xludf.DUMMYFUNCTION("""COMPUTED_VALUE"""),14661.0)</f>
        <v>14661</v>
      </c>
      <c r="C80" s="10"/>
      <c r="D80" s="10"/>
      <c r="E80" s="10"/>
      <c r="F80" s="245"/>
      <c r="G80" s="10"/>
      <c r="H80" s="10"/>
      <c r="I80" s="676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675" t="s">
        <v>18613</v>
      </c>
      <c r="V80" s="675">
        <v>14443.0</v>
      </c>
    </row>
    <row r="81">
      <c r="A81" s="10" t="str">
        <f>IFERROR(__xludf.DUMMYFUNCTION("""COMPUTED_VALUE"""),"PAPI")</f>
        <v>PAPI</v>
      </c>
      <c r="B81" s="10">
        <f>IFERROR(__xludf.DUMMYFUNCTION("""COMPUTED_VALUE"""),14630.0)</f>
        <v>14630</v>
      </c>
      <c r="C81" s="10"/>
      <c r="D81" s="10"/>
      <c r="E81" s="10"/>
      <c r="F81" s="245"/>
      <c r="G81" s="10"/>
      <c r="H81" s="10"/>
      <c r="I81" s="676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675" t="s">
        <v>18614</v>
      </c>
      <c r="V81" s="675">
        <v>12573.0</v>
      </c>
    </row>
    <row r="82">
      <c r="A82" s="10" t="str">
        <f>IFERROR(__xludf.DUMMYFUNCTION("""COMPUTED_VALUE"""),"ACC")</f>
        <v>ACC</v>
      </c>
      <c r="B82" s="10">
        <f>IFERROR(__xludf.DUMMYFUNCTION("""COMPUTED_VALUE"""),11817.0)</f>
        <v>11817</v>
      </c>
      <c r="C82" s="10"/>
      <c r="D82" s="10"/>
      <c r="E82" s="10"/>
      <c r="F82" s="245"/>
      <c r="G82" s="10"/>
      <c r="H82" s="10"/>
      <c r="I82" s="676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675" t="s">
        <v>18615</v>
      </c>
      <c r="V82" s="675">
        <v>359.0</v>
      </c>
    </row>
    <row r="83">
      <c r="A83" s="10" t="str">
        <f>IFERROR(__xludf.DUMMYFUNCTION("""COMPUTED_VALUE"""),"MANS")</f>
        <v>MANS</v>
      </c>
      <c r="B83" s="10">
        <f>IFERROR(__xludf.DUMMYFUNCTION("""COMPUTED_VALUE"""),14639.0)</f>
        <v>14639</v>
      </c>
      <c r="C83" s="10"/>
      <c r="D83" s="10"/>
      <c r="E83" s="10"/>
      <c r="F83" s="245"/>
      <c r="G83" s="10"/>
      <c r="H83" s="10"/>
      <c r="I83" s="676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675" t="s">
        <v>18616</v>
      </c>
      <c r="V83" s="675">
        <v>14434.0</v>
      </c>
    </row>
    <row r="84">
      <c r="A84" s="10" t="str">
        <f>IFERROR(__xludf.DUMMYFUNCTION("""COMPUTED_VALUE"""),"LAMIS")</f>
        <v>LAMIS</v>
      </c>
      <c r="B84" s="10">
        <f>IFERROR(__xludf.DUMMYFUNCTION("""COMPUTED_VALUE"""),2345.0)</f>
        <v>2345</v>
      </c>
      <c r="C84" s="10"/>
      <c r="D84" s="10"/>
      <c r="E84" s="10"/>
      <c r="F84" s="245"/>
      <c r="G84" s="10"/>
      <c r="H84" s="10"/>
      <c r="I84" s="676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675" t="s">
        <v>18617</v>
      </c>
      <c r="V84" s="675">
        <v>14428.0</v>
      </c>
    </row>
    <row r="85">
      <c r="A85" s="10" t="str">
        <f>IFERROR(__xludf.DUMMYFUNCTION("""COMPUTED_VALUE"""),"ROROR")</f>
        <v>ROROR</v>
      </c>
      <c r="B85" s="10">
        <f>IFERROR(__xludf.DUMMYFUNCTION("""COMPUTED_VALUE"""),1.0)</f>
        <v>1</v>
      </c>
      <c r="C85" s="10"/>
      <c r="D85" s="10"/>
      <c r="E85" s="10"/>
      <c r="F85" s="245"/>
      <c r="G85" s="10"/>
      <c r="H85" s="10"/>
      <c r="I85" s="676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675" t="s">
        <v>18618</v>
      </c>
      <c r="V85" s="675">
        <v>14427.0</v>
      </c>
    </row>
    <row r="86">
      <c r="A86" s="10" t="str">
        <f>IFERROR(__xludf.DUMMYFUNCTION("""COMPUTED_VALUE"""),"PME")</f>
        <v>PME</v>
      </c>
      <c r="B86" s="10">
        <f>IFERROR(__xludf.DUMMYFUNCTION("""COMPUTED_VALUE"""),14648.0)</f>
        <v>14648</v>
      </c>
      <c r="C86" s="10"/>
      <c r="D86" s="10"/>
      <c r="E86" s="10"/>
      <c r="F86" s="245"/>
      <c r="G86" s="10"/>
      <c r="H86" s="10"/>
      <c r="I86" s="676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675" t="s">
        <v>20</v>
      </c>
      <c r="V86" s="675">
        <v>14424.0</v>
      </c>
    </row>
    <row r="87">
      <c r="A87" s="10" t="str">
        <f>IFERROR(__xludf.DUMMYFUNCTION("""COMPUTED_VALUE"""),"STYLIN")</f>
        <v>STYLIN</v>
      </c>
      <c r="B87" s="10">
        <f>IFERROR(__xludf.DUMMYFUNCTION("""COMPUTED_VALUE"""),14636.0)</f>
        <v>14636</v>
      </c>
      <c r="C87" s="10"/>
      <c r="D87" s="10"/>
      <c r="E87" s="10"/>
      <c r="F87" s="245"/>
      <c r="G87" s="10"/>
      <c r="H87" s="10"/>
      <c r="I87" s="676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675" t="s">
        <v>18619</v>
      </c>
      <c r="V87" s="675">
        <v>9780.0</v>
      </c>
    </row>
    <row r="88">
      <c r="A88" s="10" t="str">
        <f>IFERROR(__xludf.DUMMYFUNCTION("""COMPUTED_VALUE"""),"KHADI")</f>
        <v>KHADI</v>
      </c>
      <c r="B88" s="10">
        <f>IFERROR(__xludf.DUMMYFUNCTION("""COMPUTED_VALUE"""),14637.0)</f>
        <v>14637</v>
      </c>
      <c r="C88" s="10"/>
      <c r="D88" s="10"/>
      <c r="E88" s="10"/>
      <c r="F88" s="245"/>
      <c r="G88" s="10"/>
      <c r="H88" s="10"/>
      <c r="I88" s="676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675" t="s">
        <v>18620</v>
      </c>
      <c r="V88" s="675">
        <v>14493.0</v>
      </c>
    </row>
    <row r="89">
      <c r="A89" s="10" t="str">
        <f>IFERROR(__xludf.DUMMYFUNCTION("""COMPUTED_VALUE"""),"ASSO")</f>
        <v>ASSO</v>
      </c>
      <c r="B89" s="10">
        <f>IFERROR(__xludf.DUMMYFUNCTION("""COMPUTED_VALUE"""),14635.0)</f>
        <v>14635</v>
      </c>
      <c r="C89" s="10"/>
      <c r="D89" s="10"/>
      <c r="E89" s="10"/>
      <c r="F89" s="245"/>
      <c r="G89" s="10"/>
      <c r="H89" s="10"/>
      <c r="I89" s="676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675" t="s">
        <v>18621</v>
      </c>
      <c r="V89" s="675">
        <v>14468.0</v>
      </c>
    </row>
    <row r="90">
      <c r="A90" s="10" t="str">
        <f>IFERROR(__xludf.DUMMYFUNCTION("""COMPUTED_VALUE"""),"MENNASA")</f>
        <v>MENNASA</v>
      </c>
      <c r="B90" s="9">
        <f>IFERROR(__xludf.DUMMYFUNCTION("""COMPUTED_VALUE"""),1.0)</f>
        <v>1</v>
      </c>
      <c r="C90" s="10"/>
      <c r="D90" s="10"/>
      <c r="E90" s="10"/>
      <c r="F90" s="245"/>
      <c r="G90" s="10"/>
      <c r="H90" s="10"/>
      <c r="I90" s="676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675" t="s">
        <v>18622</v>
      </c>
      <c r="V90" s="675">
        <v>14432.0</v>
      </c>
    </row>
    <row r="91">
      <c r="A91" s="10" t="str">
        <f>IFERROR(__xludf.DUMMYFUNCTION("""COMPUTED_VALUE"""),"LVR")</f>
        <v>LVR</v>
      </c>
      <c r="B91" s="10">
        <f>IFERROR(__xludf.DUMMYFUNCTION("""COMPUTED_VALUE"""),14651.0)</f>
        <v>14651</v>
      </c>
      <c r="C91" s="10"/>
      <c r="D91" s="10"/>
      <c r="E91" s="10"/>
      <c r="F91" s="245"/>
      <c r="G91" s="10"/>
      <c r="H91" s="10"/>
      <c r="I91" s="676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675" t="s">
        <v>18623</v>
      </c>
      <c r="V91" s="675">
        <v>11817.0</v>
      </c>
    </row>
    <row r="92">
      <c r="A92" s="10" t="str">
        <f>IFERROR(__xludf.DUMMYFUNCTION("""COMPUTED_VALUE"""),"MLAM")</f>
        <v>MLAM</v>
      </c>
      <c r="B92" s="10">
        <f>IFERROR(__xludf.DUMMYFUNCTION("""COMPUTED_VALUE"""),14623.0)</f>
        <v>14623</v>
      </c>
      <c r="C92" s="10"/>
      <c r="D92" s="10"/>
      <c r="E92" s="10"/>
      <c r="F92" s="245"/>
      <c r="G92" s="10"/>
      <c r="H92" s="10"/>
      <c r="I92" s="676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675" t="s">
        <v>18624</v>
      </c>
      <c r="V92" s="675">
        <v>14452.0</v>
      </c>
    </row>
    <row r="93">
      <c r="A93" s="10" t="str">
        <f>IFERROR(__xludf.DUMMYFUNCTION("""COMPUTED_VALUE"""),"ESTO")</f>
        <v>ESTO</v>
      </c>
      <c r="B93" s="10">
        <f>IFERROR(__xludf.DUMMYFUNCTION("""COMPUTED_VALUE"""),14657.0)</f>
        <v>14657</v>
      </c>
      <c r="C93" s="10"/>
      <c r="D93" s="10"/>
      <c r="E93" s="10"/>
      <c r="F93" s="245"/>
      <c r="G93" s="10"/>
      <c r="H93" s="10"/>
      <c r="I93" s="676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675" t="s">
        <v>18625</v>
      </c>
      <c r="V93" s="675">
        <v>14422.0</v>
      </c>
    </row>
    <row r="94">
      <c r="A94" s="10" t="str">
        <f>IFERROR(__xludf.DUMMYFUNCTION("""COMPUTED_VALUE"""),"AHMEDFI")</f>
        <v>AHMEDFI</v>
      </c>
      <c r="B94" s="10">
        <f>IFERROR(__xludf.DUMMYFUNCTION("""COMPUTED_VALUE"""),14633.0)</f>
        <v>14633</v>
      </c>
      <c r="C94" s="10"/>
      <c r="D94" s="10"/>
      <c r="E94" s="10"/>
      <c r="F94" s="245"/>
      <c r="G94" s="10"/>
      <c r="H94" s="10"/>
      <c r="I94" s="676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675" t="s">
        <v>18626</v>
      </c>
      <c r="V94" s="675">
        <v>14389.0</v>
      </c>
    </row>
    <row r="95">
      <c r="A95" s="10" t="str">
        <f>IFERROR(__xludf.DUMMYFUNCTION("""COMPUTED_VALUE"""),"IISAF")</f>
        <v>IISAF</v>
      </c>
      <c r="B95" s="10">
        <f>IFERROR(__xludf.DUMMYFUNCTION("""COMPUTED_VALUE"""),2345.0)</f>
        <v>2345</v>
      </c>
      <c r="C95" s="10"/>
      <c r="D95" s="10"/>
      <c r="E95" s="10"/>
      <c r="F95" s="245"/>
      <c r="G95" s="10"/>
      <c r="H95" s="10"/>
      <c r="I95" s="676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675" t="s">
        <v>18627</v>
      </c>
      <c r="V95" s="675">
        <v>14372.0</v>
      </c>
    </row>
    <row r="96">
      <c r="A96" s="10" t="str">
        <f>IFERROR(__xludf.DUMMYFUNCTION("""COMPUTED_VALUE"""),"HANINB")</f>
        <v>HANINB</v>
      </c>
      <c r="B96" s="10">
        <f>IFERROR(__xludf.DUMMYFUNCTION("""COMPUTED_VALUE"""),14634.0)</f>
        <v>14634</v>
      </c>
      <c r="C96" s="10"/>
      <c r="D96" s="10"/>
      <c r="E96" s="10"/>
      <c r="F96" s="245"/>
      <c r="G96" s="10"/>
      <c r="H96" s="10"/>
      <c r="I96" s="676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675" t="s">
        <v>18628</v>
      </c>
      <c r="V96" s="675">
        <v>14408.0</v>
      </c>
    </row>
    <row r="97">
      <c r="A97" s="10" t="str">
        <f>IFERROR(__xludf.DUMMYFUNCTION("""COMPUTED_VALUE"""),"BATOULT")</f>
        <v>BATOULT</v>
      </c>
      <c r="B97" s="10">
        <f>IFERROR(__xludf.DUMMYFUNCTION("""COMPUTED_VALUE"""),14647.0)</f>
        <v>14647</v>
      </c>
      <c r="C97" s="10"/>
      <c r="D97" s="10"/>
      <c r="E97" s="10"/>
      <c r="F97" s="245"/>
      <c r="G97" s="10"/>
      <c r="H97" s="10"/>
      <c r="I97" s="676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675" t="s">
        <v>18629</v>
      </c>
      <c r="V97" s="675">
        <v>14410.0</v>
      </c>
    </row>
    <row r="98">
      <c r="A98" s="10" t="str">
        <f>IFERROR(__xludf.DUMMYFUNCTION("""COMPUTED_VALUE"""),"SAMSV")</f>
        <v>SAMSV</v>
      </c>
      <c r="B98" s="10">
        <f>IFERROR(__xludf.DUMMYFUNCTION("""COMPUTED_VALUE"""),14625.0)</f>
        <v>14625</v>
      </c>
      <c r="C98" s="10"/>
      <c r="D98" s="10"/>
      <c r="E98" s="10"/>
      <c r="F98" s="245"/>
      <c r="G98" s="10"/>
      <c r="H98" s="10"/>
      <c r="I98" s="676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675" t="s">
        <v>18630</v>
      </c>
      <c r="V98" s="675">
        <v>14395.0</v>
      </c>
    </row>
    <row r="99">
      <c r="A99" s="10" t="str">
        <f>IFERROR(__xludf.DUMMYFUNCTION("""COMPUTED_VALUE"""),"UCOD")</f>
        <v>UCOD</v>
      </c>
      <c r="B99" s="10">
        <f>IFERROR(__xludf.DUMMYFUNCTION("""COMPUTED_VALUE"""),1.0)</f>
        <v>1</v>
      </c>
      <c r="C99" s="10"/>
      <c r="D99" s="10"/>
      <c r="E99" s="10"/>
      <c r="F99" s="245"/>
      <c r="G99" s="10"/>
      <c r="H99" s="10"/>
      <c r="I99" s="676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675" t="s">
        <v>18631</v>
      </c>
      <c r="V99" s="675">
        <v>14386.0</v>
      </c>
    </row>
    <row r="100">
      <c r="A100" s="10" t="str">
        <f>IFERROR(__xludf.DUMMYFUNCTION("""COMPUTED_VALUE"""),"ELHAMAL")</f>
        <v>ELHAMAL</v>
      </c>
      <c r="B100" s="10">
        <f>IFERROR(__xludf.DUMMYFUNCTION("""COMPUTED_VALUE"""),14613.0)</f>
        <v>14613</v>
      </c>
      <c r="C100" s="10"/>
      <c r="D100" s="10"/>
      <c r="E100" s="10"/>
      <c r="F100" s="245"/>
      <c r="G100" s="10"/>
      <c r="H100" s="10"/>
      <c r="I100" s="676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675" t="s">
        <v>18632</v>
      </c>
      <c r="V100" s="675">
        <v>14390.0</v>
      </c>
    </row>
    <row r="101">
      <c r="A101" s="10" t="str">
        <f>IFERROR(__xludf.DUMMYFUNCTION("""COMPUTED_VALUE"""),"PINKYW")</f>
        <v>PINKYW</v>
      </c>
      <c r="B101" s="10">
        <f>IFERROR(__xludf.DUMMYFUNCTION("""COMPUTED_VALUE"""),14626.0)</f>
        <v>14626</v>
      </c>
      <c r="C101" s="10"/>
      <c r="D101" s="10"/>
      <c r="E101" s="10"/>
      <c r="F101" s="245"/>
      <c r="G101" s="10"/>
      <c r="H101" s="10"/>
      <c r="I101" s="676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675" t="s">
        <v>18633</v>
      </c>
      <c r="V101" s="675">
        <v>14407.0</v>
      </c>
    </row>
    <row r="102">
      <c r="A102" s="10" t="str">
        <f>IFERROR(__xludf.DUMMYFUNCTION("""COMPUTED_VALUE"""),"RAANA")</f>
        <v>RAANA</v>
      </c>
      <c r="B102" s="10">
        <f>IFERROR(__xludf.DUMMYFUNCTION("""COMPUTED_VALUE"""),14610.0)</f>
        <v>14610</v>
      </c>
      <c r="C102" s="10"/>
      <c r="D102" s="10"/>
      <c r="E102" s="10"/>
      <c r="F102" s="245"/>
      <c r="G102" s="10"/>
      <c r="H102" s="10"/>
      <c r="I102" s="676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675" t="s">
        <v>18634</v>
      </c>
      <c r="V102" s="675">
        <v>14370.0</v>
      </c>
    </row>
    <row r="103">
      <c r="A103" s="10" t="str">
        <f>IFERROR(__xludf.DUMMYFUNCTION("""COMPUTED_VALUE"""),"YID")</f>
        <v>YID</v>
      </c>
      <c r="B103" s="10">
        <f>IFERROR(__xludf.DUMMYFUNCTION("""COMPUTED_VALUE"""),1.0)</f>
        <v>1</v>
      </c>
      <c r="C103" s="10"/>
      <c r="D103" s="10"/>
      <c r="E103" s="10"/>
      <c r="F103" s="245"/>
      <c r="G103" s="10"/>
      <c r="H103" s="10"/>
      <c r="I103" s="676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675" t="s">
        <v>18635</v>
      </c>
      <c r="V103" s="675">
        <v>14406.0</v>
      </c>
    </row>
    <row r="104">
      <c r="A104" s="10" t="str">
        <f>IFERROR(__xludf.DUMMYFUNCTION("""COMPUTED_VALUE"""),"LANAXXX")</f>
        <v>LANAXXX</v>
      </c>
      <c r="B104" s="10">
        <f>IFERROR(__xludf.DUMMYFUNCTION("""COMPUTED_VALUE"""),1.0)</f>
        <v>1</v>
      </c>
      <c r="C104" s="10"/>
      <c r="D104" s="10"/>
      <c r="E104" s="10"/>
      <c r="F104" s="245"/>
      <c r="G104" s="10"/>
      <c r="H104" s="10"/>
      <c r="I104" s="676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675" t="s">
        <v>18636</v>
      </c>
      <c r="V104" s="675">
        <v>14405.0</v>
      </c>
    </row>
    <row r="105">
      <c r="A105" s="10" t="str">
        <f>IFERROR(__xludf.DUMMYFUNCTION("""COMPUTED_VALUE"""),"SATB")</f>
        <v>SATB</v>
      </c>
      <c r="B105" s="10">
        <f>IFERROR(__xludf.DUMMYFUNCTION("""COMPUTED_VALUE"""),14649.0)</f>
        <v>14649</v>
      </c>
      <c r="C105" s="10"/>
      <c r="D105" s="10"/>
      <c r="E105" s="10"/>
      <c r="F105" s="245"/>
      <c r="G105" s="10"/>
      <c r="H105" s="10"/>
      <c r="I105" s="676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675" t="s">
        <v>18637</v>
      </c>
      <c r="V105" s="675">
        <v>14396.0</v>
      </c>
    </row>
    <row r="106">
      <c r="A106" s="10" t="str">
        <f>IFERROR(__xludf.DUMMYFUNCTION("""COMPUTED_VALUE"""),"LILL")</f>
        <v>LILL</v>
      </c>
      <c r="B106" s="10">
        <f>IFERROR(__xludf.DUMMYFUNCTION("""COMPUTED_VALUE"""),1.0)</f>
        <v>1</v>
      </c>
      <c r="C106" s="10"/>
      <c r="D106" s="10"/>
      <c r="E106" s="10"/>
      <c r="F106" s="245"/>
      <c r="G106" s="10"/>
      <c r="H106" s="10"/>
      <c r="I106" s="676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675" t="s">
        <v>18638</v>
      </c>
      <c r="V106" s="675">
        <v>14388.0</v>
      </c>
    </row>
    <row r="107">
      <c r="A107" s="10" t="str">
        <f>IFERROR(__xludf.DUMMYFUNCTION("""COMPUTED_VALUE"""),"LLLLI")</f>
        <v>LLLLI</v>
      </c>
      <c r="B107" s="10">
        <f>IFERROR(__xludf.DUMMYFUNCTION("""COMPUTED_VALUE"""),14650.0)</f>
        <v>14650</v>
      </c>
      <c r="C107" s="10"/>
      <c r="D107" s="10"/>
      <c r="E107" s="10"/>
      <c r="F107" s="245"/>
      <c r="G107" s="10"/>
      <c r="H107" s="10"/>
      <c r="I107" s="676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675" t="s">
        <v>18639</v>
      </c>
      <c r="V107" s="675">
        <v>14116.0</v>
      </c>
    </row>
    <row r="108">
      <c r="A108" s="10" t="str">
        <f>IFERROR(__xludf.DUMMYFUNCTION("""COMPUTED_VALUE"""),"ACAC")</f>
        <v>ACAC</v>
      </c>
      <c r="B108" s="10">
        <f>IFERROR(__xludf.DUMMYFUNCTION("""COMPUTED_VALUE"""),11817.0)</f>
        <v>11817</v>
      </c>
      <c r="C108" s="10"/>
      <c r="D108" s="10"/>
      <c r="E108" s="10"/>
      <c r="F108" s="245"/>
      <c r="G108" s="10"/>
      <c r="H108" s="10"/>
      <c r="I108" s="676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675" t="s">
        <v>18640</v>
      </c>
      <c r="V108" s="675">
        <v>14362.0</v>
      </c>
    </row>
    <row r="109">
      <c r="A109" s="10" t="str">
        <f>IFERROR(__xludf.DUMMYFUNCTION("""COMPUTED_VALUE"""),"AALXXX")</f>
        <v>AALXXX</v>
      </c>
      <c r="B109" s="10">
        <f>IFERROR(__xludf.DUMMYFUNCTION("""COMPUTED_VALUE"""),1.0)</f>
        <v>1</v>
      </c>
      <c r="C109" s="10"/>
      <c r="D109" s="10"/>
      <c r="E109" s="10"/>
      <c r="F109" s="245"/>
      <c r="G109" s="10"/>
      <c r="H109" s="10"/>
      <c r="I109" s="676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675" t="s">
        <v>18641</v>
      </c>
      <c r="V109" s="675">
        <v>14350.0</v>
      </c>
    </row>
    <row r="110">
      <c r="A110" s="10" t="str">
        <f>IFERROR(__xludf.DUMMYFUNCTION("""COMPUTED_VALUE"""),"HANO")</f>
        <v>HANO</v>
      </c>
      <c r="B110" s="10">
        <f>IFERROR(__xludf.DUMMYFUNCTION("""COMPUTED_VALUE"""),14761.0)</f>
        <v>14761</v>
      </c>
      <c r="C110" s="10"/>
      <c r="D110" s="10"/>
      <c r="E110" s="10"/>
      <c r="F110" s="245"/>
      <c r="G110" s="10"/>
      <c r="H110" s="10"/>
      <c r="I110" s="676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675"/>
      <c r="V110" s="675"/>
    </row>
    <row r="111">
      <c r="A111" s="10" t="str">
        <f>IFERROR(__xludf.DUMMYFUNCTION("""COMPUTED_VALUE"""),"MOFB")</f>
        <v>MOFB</v>
      </c>
      <c r="B111" s="10">
        <f>IFERROR(__xludf.DUMMYFUNCTION("""COMPUTED_VALUE"""),14526.0)</f>
        <v>14526</v>
      </c>
      <c r="C111" s="10"/>
      <c r="D111" s="10"/>
      <c r="E111" s="10"/>
      <c r="F111" s="245"/>
      <c r="G111" s="10"/>
      <c r="H111" s="10"/>
      <c r="I111" s="676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675" t="s">
        <v>18642</v>
      </c>
      <c r="V111" s="675">
        <v>14359.0</v>
      </c>
    </row>
    <row r="112">
      <c r="A112" s="10" t="str">
        <f>IFERROR(__xludf.DUMMYFUNCTION("""COMPUTED_VALUE"""),"BAT")</f>
        <v>BAT</v>
      </c>
      <c r="B112" s="10">
        <f>IFERROR(__xludf.DUMMYFUNCTION("""COMPUTED_VALUE"""),14540.0)</f>
        <v>14540</v>
      </c>
      <c r="C112" s="10"/>
      <c r="D112" s="10"/>
      <c r="E112" s="10"/>
      <c r="F112" s="245"/>
      <c r="G112" s="10"/>
      <c r="H112" s="10"/>
      <c r="I112" s="676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675" t="s">
        <v>18643</v>
      </c>
      <c r="V112" s="675">
        <v>14349.0</v>
      </c>
    </row>
    <row r="113">
      <c r="A113" s="10" t="str">
        <f>IFERROR(__xludf.DUMMYFUNCTION("""COMPUTED_VALUE"""),"STORIE")</f>
        <v>STORIE</v>
      </c>
      <c r="B113" s="10">
        <f>IFERROR(__xludf.DUMMYFUNCTION("""COMPUTED_VALUE"""),14567.0)</f>
        <v>14567</v>
      </c>
      <c r="C113" s="10"/>
      <c r="D113" s="10"/>
      <c r="E113" s="10"/>
      <c r="F113" s="245"/>
      <c r="G113" s="10"/>
      <c r="H113" s="10"/>
      <c r="I113" s="676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675" t="s">
        <v>18644</v>
      </c>
      <c r="V113" s="675">
        <v>14365.0</v>
      </c>
    </row>
    <row r="114">
      <c r="A114" s="10" t="str">
        <f>IFERROR(__xludf.DUMMYFUNCTION("""COMPUTED_VALUE"""),"YARAOX")</f>
        <v>YARAOX</v>
      </c>
      <c r="B114" s="10">
        <f>IFERROR(__xludf.DUMMYFUNCTION("""COMPUTED_VALUE"""),1.0)</f>
        <v>1</v>
      </c>
      <c r="C114" s="10"/>
      <c r="D114" s="10"/>
      <c r="E114" s="10"/>
      <c r="F114" s="245"/>
      <c r="G114" s="10"/>
      <c r="H114" s="10"/>
      <c r="I114" s="676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675" t="s">
        <v>18645</v>
      </c>
      <c r="V114" s="675">
        <v>14384.0</v>
      </c>
    </row>
    <row r="115">
      <c r="A115" s="10" t="str">
        <f>IFERROR(__xludf.DUMMYFUNCTION("""COMPUTED_VALUE"""),"ISHAAI")</f>
        <v>ISHAAI</v>
      </c>
      <c r="B115" s="10">
        <f>IFERROR(__xludf.DUMMYFUNCTION("""COMPUTED_VALUE"""),14298.0)</f>
        <v>14298</v>
      </c>
      <c r="C115" s="10"/>
      <c r="D115" s="10"/>
      <c r="E115" s="10"/>
      <c r="F115" s="245"/>
      <c r="G115" s="10"/>
      <c r="H115" s="10"/>
      <c r="I115" s="676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675" t="s">
        <v>18646</v>
      </c>
      <c r="V115" s="675">
        <v>14377.0</v>
      </c>
    </row>
    <row r="116">
      <c r="A116" s="10" t="str">
        <f>IFERROR(__xludf.DUMMYFUNCTION("""COMPUTED_VALUE"""),"MENNAK")</f>
        <v>MENNAK</v>
      </c>
      <c r="B116" s="10">
        <f>IFERROR(__xludf.DUMMYFUNCTION("""COMPUTED_VALUE"""),1.0)</f>
        <v>1</v>
      </c>
      <c r="C116" s="10"/>
      <c r="D116" s="10"/>
      <c r="E116" s="10"/>
      <c r="F116" s="245"/>
      <c r="G116" s="10"/>
      <c r="H116" s="10"/>
      <c r="I116" s="676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675" t="s">
        <v>18647</v>
      </c>
      <c r="V116" s="675">
        <v>14439.0</v>
      </c>
    </row>
    <row r="117">
      <c r="A117" s="10" t="str">
        <f>IFERROR(__xludf.DUMMYFUNCTION("""COMPUTED_VALUE"""),"EXI")</f>
        <v>EXI</v>
      </c>
      <c r="B117" s="10">
        <f>IFERROR(__xludf.DUMMYFUNCTION("""COMPUTED_VALUE"""),14598.0)</f>
        <v>14598</v>
      </c>
      <c r="C117" s="10"/>
      <c r="D117" s="10"/>
      <c r="E117" s="10"/>
      <c r="F117" s="245"/>
      <c r="G117" s="10"/>
      <c r="H117" s="10"/>
      <c r="I117" s="676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675" t="s">
        <v>18648</v>
      </c>
      <c r="V117" s="675">
        <v>14375.0</v>
      </c>
    </row>
    <row r="118">
      <c r="A118" s="10" t="str">
        <f>IFERROR(__xludf.DUMMYFUNCTION("""COMPUTED_VALUE"""),"TREJWLN")</f>
        <v>TREJWLN</v>
      </c>
      <c r="B118" s="10">
        <f>IFERROR(__xludf.DUMMYFUNCTION("""COMPUTED_VALUE"""),14557.0)</f>
        <v>14557</v>
      </c>
      <c r="C118" s="10"/>
      <c r="D118" s="10"/>
      <c r="E118" s="10"/>
      <c r="F118" s="245"/>
      <c r="G118" s="10"/>
      <c r="H118" s="10"/>
      <c r="I118" s="676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675" t="s">
        <v>18649</v>
      </c>
      <c r="V118" s="675">
        <v>14378.0</v>
      </c>
    </row>
    <row r="119">
      <c r="A119" s="10" t="str">
        <f>IFERROR(__xludf.DUMMYFUNCTION("""COMPUTED_VALUE"""),"ASMAIX")</f>
        <v>ASMAIX</v>
      </c>
      <c r="B119" s="10">
        <f>IFERROR(__xludf.DUMMYFUNCTION("""COMPUTED_VALUE"""),1.0)</f>
        <v>1</v>
      </c>
      <c r="C119" s="10"/>
      <c r="D119" s="10"/>
      <c r="E119" s="10"/>
      <c r="F119" s="245"/>
      <c r="G119" s="10"/>
      <c r="H119" s="10"/>
      <c r="I119" s="676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675" t="s">
        <v>18650</v>
      </c>
      <c r="V119" s="675">
        <v>14376.0</v>
      </c>
    </row>
    <row r="120">
      <c r="A120" s="10" t="str">
        <f>IFERROR(__xludf.DUMMYFUNCTION("""COMPUTED_VALUE"""),"ALKA")</f>
        <v>ALKA</v>
      </c>
      <c r="B120" s="10">
        <f>IFERROR(__xludf.DUMMYFUNCTION("""COMPUTED_VALUE"""),14546.0)</f>
        <v>14546</v>
      </c>
      <c r="C120" s="10"/>
      <c r="D120" s="10"/>
      <c r="E120" s="10"/>
      <c r="F120" s="245"/>
      <c r="G120" s="10"/>
      <c r="H120" s="10"/>
      <c r="I120" s="676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675" t="s">
        <v>18651</v>
      </c>
      <c r="V120" s="675">
        <v>14469.0</v>
      </c>
    </row>
    <row r="121">
      <c r="A121" s="10" t="str">
        <f>IFERROR(__xludf.DUMMYFUNCTION("""COMPUTED_VALUE"""),"YOSF")</f>
        <v>YOSF</v>
      </c>
      <c r="B121" s="18">
        <f>IFERROR(__xludf.DUMMYFUNCTION("""COMPUTED_VALUE"""),8486.0)</f>
        <v>8486</v>
      </c>
      <c r="C121" s="9"/>
      <c r="D121" s="10"/>
      <c r="E121" s="10"/>
      <c r="F121" s="245"/>
      <c r="G121" s="10"/>
      <c r="H121" s="10"/>
      <c r="I121" s="676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675" t="s">
        <v>18652</v>
      </c>
      <c r="V121" s="675">
        <v>14343.0</v>
      </c>
    </row>
    <row r="122">
      <c r="A122" s="10" t="str">
        <f>IFERROR(__xludf.DUMMYFUNCTION("""COMPUTED_VALUE"""),"RAMIX")</f>
        <v>RAMIX</v>
      </c>
      <c r="B122" s="10">
        <f>IFERROR(__xludf.DUMMYFUNCTION("""COMPUTED_VALUE"""),14667.0)</f>
        <v>14667</v>
      </c>
      <c r="C122" s="10"/>
      <c r="D122" s="10"/>
      <c r="E122" s="10"/>
      <c r="F122" s="245"/>
      <c r="G122" s="10"/>
      <c r="H122" s="10"/>
      <c r="I122" s="676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675" t="s">
        <v>18653</v>
      </c>
      <c r="V122" s="675">
        <v>14429.0</v>
      </c>
    </row>
    <row r="123">
      <c r="A123" s="10" t="str">
        <f>IFERROR(__xludf.DUMMYFUNCTION("""COMPUTED_VALUE"""),"ROA")</f>
        <v>ROA</v>
      </c>
      <c r="B123" s="10">
        <f>IFERROR(__xludf.DUMMYFUNCTION("""COMPUTED_VALUE"""),14528.0)</f>
        <v>14528</v>
      </c>
      <c r="C123" s="10"/>
      <c r="D123" s="10"/>
      <c r="E123" s="10"/>
      <c r="F123" s="245"/>
      <c r="G123" s="10"/>
      <c r="H123" s="10"/>
      <c r="I123" s="676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675" t="s">
        <v>18654</v>
      </c>
      <c r="V123" s="675">
        <v>14430.0</v>
      </c>
    </row>
    <row r="124">
      <c r="A124" s="10" t="str">
        <f>IFERROR(__xludf.DUMMYFUNCTION("""COMPUTED_VALUE"""),"EMANEL")</f>
        <v>EMANEL</v>
      </c>
      <c r="B124" s="10">
        <f>IFERROR(__xludf.DUMMYFUNCTION("""COMPUTED_VALUE"""),9715.0)</f>
        <v>9715</v>
      </c>
      <c r="C124" s="10"/>
      <c r="D124" s="10"/>
      <c r="E124" s="10"/>
      <c r="F124" s="245"/>
      <c r="G124" s="10"/>
      <c r="H124" s="10"/>
      <c r="I124" s="676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675" t="s">
        <v>18655</v>
      </c>
      <c r="V124" s="675">
        <v>14436.0</v>
      </c>
    </row>
    <row r="125">
      <c r="A125" s="10" t="str">
        <f>IFERROR(__xludf.DUMMYFUNCTION("""COMPUTED_VALUE"""),"XXXXX")</f>
        <v>XXXXX</v>
      </c>
      <c r="B125" s="10">
        <f>IFERROR(__xludf.DUMMYFUNCTION("""COMPUTED_VALUE"""),14505.0)</f>
        <v>14505</v>
      </c>
      <c r="C125" s="10"/>
      <c r="D125" s="10"/>
      <c r="E125" s="10"/>
      <c r="F125" s="245"/>
      <c r="G125" s="10"/>
      <c r="H125" s="10"/>
      <c r="I125" s="676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675" t="s">
        <v>18656</v>
      </c>
      <c r="V125" s="675">
        <v>14433.0</v>
      </c>
    </row>
    <row r="126">
      <c r="A126" s="10" t="str">
        <f>IFERROR(__xludf.DUMMYFUNCTION("""COMPUTED_VALUE"""),"SAIII")</f>
        <v>SAIII</v>
      </c>
      <c r="B126" s="10">
        <f>IFERROR(__xludf.DUMMYFUNCTION("""COMPUTED_VALUE"""),14592.0)</f>
        <v>14592</v>
      </c>
      <c r="C126" s="10"/>
      <c r="D126" s="10"/>
      <c r="E126" s="10"/>
      <c r="F126" s="245"/>
      <c r="G126" s="10"/>
      <c r="H126" s="10"/>
      <c r="I126" s="676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675" t="s">
        <v>18657</v>
      </c>
      <c r="V126" s="675">
        <v>6675.0</v>
      </c>
    </row>
    <row r="127">
      <c r="A127" s="10" t="str">
        <f>IFERROR(__xludf.DUMMYFUNCTION("""COMPUTED_VALUE"""),"OMARY")</f>
        <v>OMARY</v>
      </c>
      <c r="B127" s="10">
        <f>IFERROR(__xludf.DUMMYFUNCTION("""COMPUTED_VALUE"""),14530.0)</f>
        <v>14530</v>
      </c>
      <c r="C127" s="10"/>
      <c r="D127" s="10"/>
      <c r="E127" s="10"/>
      <c r="F127" s="245"/>
      <c r="G127" s="10"/>
      <c r="H127" s="10"/>
      <c r="I127" s="676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675" t="s">
        <v>18658</v>
      </c>
      <c r="V127" s="675">
        <v>6675.0</v>
      </c>
    </row>
    <row r="128">
      <c r="A128" s="10" t="str">
        <f>IFERROR(__xludf.DUMMYFUNCTION("""COMPUTED_VALUE"""),"OSAM")</f>
        <v>OSAM</v>
      </c>
      <c r="B128" s="10">
        <f>IFERROR(__xludf.DUMMYFUNCTION("""COMPUTED_VALUE"""),14542.0)</f>
        <v>14542</v>
      </c>
      <c r="C128" s="10"/>
      <c r="D128" s="10"/>
      <c r="E128" s="10"/>
      <c r="F128" s="245"/>
      <c r="G128" s="10"/>
      <c r="H128" s="10"/>
      <c r="I128" s="676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675" t="s">
        <v>18659</v>
      </c>
      <c r="V128" s="675">
        <v>6675.0</v>
      </c>
    </row>
    <row r="129">
      <c r="A129" s="10" t="str">
        <f>IFERROR(__xludf.DUMMYFUNCTION("""COMPUTED_VALUE"""),"HANAE")</f>
        <v>HANAE</v>
      </c>
      <c r="B129" s="10">
        <f>IFERROR(__xludf.DUMMYFUNCTION("""COMPUTED_VALUE"""),1.0)</f>
        <v>1</v>
      </c>
      <c r="C129" s="10"/>
      <c r="D129" s="10"/>
      <c r="E129" s="10"/>
      <c r="F129" s="245"/>
      <c r="G129" s="10"/>
      <c r="H129" s="10"/>
      <c r="I129" s="676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675" t="s">
        <v>18660</v>
      </c>
      <c r="V129" s="675">
        <v>1280.0</v>
      </c>
    </row>
    <row r="130">
      <c r="A130" s="10" t="str">
        <f>IFERROR(__xludf.DUMMYFUNCTION("""COMPUTED_VALUE"""),"LIX")</f>
        <v>LIX</v>
      </c>
      <c r="B130" s="10">
        <f>IFERROR(__xludf.DUMMYFUNCTION("""COMPUTED_VALUE"""),14509.0)</f>
        <v>14509</v>
      </c>
      <c r="C130" s="10"/>
      <c r="D130" s="10"/>
      <c r="E130" s="10"/>
      <c r="F130" s="245"/>
      <c r="G130" s="10"/>
      <c r="H130" s="10"/>
      <c r="I130" s="676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675" t="s">
        <v>18661</v>
      </c>
      <c r="V130" s="675">
        <v>11781.0</v>
      </c>
    </row>
    <row r="131">
      <c r="A131" s="10" t="str">
        <f>IFERROR(__xludf.DUMMYFUNCTION("""COMPUTED_VALUE"""),"OROOD")</f>
        <v>OROOD</v>
      </c>
      <c r="B131" s="10">
        <f>IFERROR(__xludf.DUMMYFUNCTION("""COMPUTED_VALUE"""),14478.0)</f>
        <v>14478</v>
      </c>
      <c r="C131" s="10"/>
      <c r="D131" s="10"/>
      <c r="E131" s="10"/>
      <c r="F131" s="245"/>
      <c r="G131" s="10"/>
      <c r="H131" s="10"/>
      <c r="I131" s="676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675" t="s">
        <v>18662</v>
      </c>
      <c r="V131" s="675">
        <v>14319.0</v>
      </c>
    </row>
    <row r="132">
      <c r="A132" s="10" t="str">
        <f>IFERROR(__xludf.DUMMYFUNCTION("""COMPUTED_VALUE"""),"SAID")</f>
        <v>SAID</v>
      </c>
      <c r="B132" s="10">
        <f>IFERROR(__xludf.DUMMYFUNCTION("""COMPUTED_VALUE"""),1.0)</f>
        <v>1</v>
      </c>
      <c r="C132" s="10"/>
      <c r="D132" s="10"/>
      <c r="E132" s="10"/>
      <c r="F132" s="245"/>
      <c r="G132" s="10"/>
      <c r="H132" s="10"/>
      <c r="I132" s="676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675" t="s">
        <v>18663</v>
      </c>
      <c r="V132" s="675">
        <v>14306.0</v>
      </c>
    </row>
    <row r="133">
      <c r="A133" s="10" t="str">
        <f>IFERROR(__xludf.DUMMYFUNCTION("""COMPUTED_VALUE"""),"ETO")</f>
        <v>ETO</v>
      </c>
      <c r="B133" s="10">
        <f>IFERROR(__xludf.DUMMYFUNCTION("""COMPUTED_VALUE"""),14611.0)</f>
        <v>14611</v>
      </c>
      <c r="C133" s="10"/>
      <c r="D133" s="10"/>
      <c r="E133" s="10"/>
      <c r="F133" s="245"/>
      <c r="G133" s="10"/>
      <c r="H133" s="10"/>
      <c r="I133" s="676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675" t="s">
        <v>18664</v>
      </c>
      <c r="V133" s="675">
        <v>14300.0</v>
      </c>
    </row>
    <row r="134">
      <c r="A134" s="10" t="str">
        <f>IFERROR(__xludf.DUMMYFUNCTION("""COMPUTED_VALUE"""),"NJED")</f>
        <v>NJED</v>
      </c>
      <c r="B134" s="10">
        <f>IFERROR(__xludf.DUMMYFUNCTION("""COMPUTED_VALUE"""),14512.0)</f>
        <v>14512</v>
      </c>
      <c r="C134" s="10"/>
      <c r="D134" s="10"/>
      <c r="E134" s="10"/>
      <c r="F134" s="245"/>
      <c r="G134" s="10"/>
      <c r="H134" s="10"/>
      <c r="I134" s="676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675" t="s">
        <v>18665</v>
      </c>
      <c r="V134" s="675">
        <v>14309.0</v>
      </c>
    </row>
    <row r="135">
      <c r="A135" s="10" t="str">
        <f>IFERROR(__xludf.DUMMYFUNCTION("""COMPUTED_VALUE"""),"SARDNZD")</f>
        <v>SARDNZD</v>
      </c>
      <c r="B135" s="10">
        <f>IFERROR(__xludf.DUMMYFUNCTION("""COMPUTED_VALUE"""),14159.0)</f>
        <v>14159</v>
      </c>
      <c r="C135" s="10"/>
      <c r="D135" s="10"/>
      <c r="E135" s="10"/>
      <c r="F135" s="245"/>
      <c r="G135" s="10"/>
      <c r="H135" s="10"/>
      <c r="I135" s="676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675" t="s">
        <v>18666</v>
      </c>
      <c r="V135" s="675">
        <v>14367.0</v>
      </c>
    </row>
    <row r="136">
      <c r="A136" s="10" t="str">
        <f>IFERROR(__xludf.DUMMYFUNCTION("""COMPUTED_VALUE"""),"HIJABS")</f>
        <v>HIJABS</v>
      </c>
      <c r="B136" s="10">
        <f>IFERROR(__xludf.DUMMYFUNCTION("""COMPUTED_VALUE"""),10923.0)</f>
        <v>10923</v>
      </c>
      <c r="C136" s="10"/>
      <c r="D136" s="10"/>
      <c r="E136" s="10"/>
      <c r="F136" s="245"/>
      <c r="G136" s="10"/>
      <c r="H136" s="10"/>
      <c r="I136" s="676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675" t="s">
        <v>18667</v>
      </c>
      <c r="V136" s="675">
        <v>14334.0</v>
      </c>
    </row>
    <row r="137">
      <c r="A137" s="10" t="str">
        <f>IFERROR(__xludf.DUMMYFUNCTION("""COMPUTED_VALUE"""),"RAGHD")</f>
        <v>RAGHD</v>
      </c>
      <c r="B137" s="10">
        <f>IFERROR(__xludf.DUMMYFUNCTION("""COMPUTED_VALUE"""),1.0)</f>
        <v>1</v>
      </c>
      <c r="C137" s="10"/>
      <c r="D137" s="10"/>
      <c r="E137" s="10"/>
      <c r="F137" s="245"/>
      <c r="G137" s="10"/>
      <c r="H137" s="10"/>
      <c r="I137" s="676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675" t="s">
        <v>18668</v>
      </c>
      <c r="V137" s="675">
        <v>14322.0</v>
      </c>
    </row>
    <row r="138">
      <c r="A138" s="10" t="str">
        <f>IFERROR(__xludf.DUMMYFUNCTION("""COMPUTED_VALUE"""),"MARIAMA")</f>
        <v>MARIAMA</v>
      </c>
      <c r="B138" s="10">
        <f>IFERROR(__xludf.DUMMYFUNCTION("""COMPUTED_VALUE"""),14548.0)</f>
        <v>14548</v>
      </c>
      <c r="C138" s="10"/>
      <c r="D138" s="10"/>
      <c r="E138" s="10"/>
      <c r="F138" s="245"/>
      <c r="G138" s="10"/>
      <c r="H138" s="10"/>
      <c r="I138" s="676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675" t="s">
        <v>18669</v>
      </c>
      <c r="V138" s="675">
        <v>14317.0</v>
      </c>
    </row>
    <row r="139">
      <c r="A139" s="10" t="str">
        <f>IFERROR(__xludf.DUMMYFUNCTION("""COMPUTED_VALUE"""),"MSE")</f>
        <v>MSE</v>
      </c>
      <c r="B139" s="10">
        <f>IFERROR(__xludf.DUMMYFUNCTION("""COMPUTED_VALUE"""),14505.0)</f>
        <v>14505</v>
      </c>
      <c r="C139" s="10"/>
      <c r="D139" s="10"/>
      <c r="E139" s="10"/>
      <c r="F139" s="10"/>
      <c r="G139" s="10"/>
      <c r="H139" s="10"/>
      <c r="I139" s="676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675" t="s">
        <v>12176</v>
      </c>
      <c r="V139" s="675">
        <v>14332.0</v>
      </c>
    </row>
    <row r="140">
      <c r="A140" s="10" t="str">
        <f>IFERROR(__xludf.DUMMYFUNCTION("""COMPUTED_VALUE"""),"NOOOO")</f>
        <v>NOOOO</v>
      </c>
      <c r="B140" s="10">
        <f>IFERROR(__xludf.DUMMYFUNCTION("""COMPUTED_VALUE"""),14595.0)</f>
        <v>14595</v>
      </c>
      <c r="C140" s="10"/>
      <c r="D140" s="10"/>
      <c r="E140" s="10"/>
      <c r="F140" s="10"/>
      <c r="G140" s="10"/>
      <c r="H140" s="10"/>
      <c r="I140" s="676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675" t="s">
        <v>18670</v>
      </c>
      <c r="V140" s="675">
        <v>14283.0</v>
      </c>
    </row>
    <row r="141">
      <c r="A141" s="10" t="str">
        <f>IFERROR(__xludf.DUMMYFUNCTION("""COMPUTED_VALUE"""),"BES")</f>
        <v>BES</v>
      </c>
      <c r="B141" s="10">
        <f>IFERROR(__xludf.DUMMYFUNCTION("""COMPUTED_VALUE"""),14539.0)</f>
        <v>14539</v>
      </c>
      <c r="C141" s="10"/>
      <c r="D141" s="10"/>
      <c r="E141" s="10"/>
      <c r="F141" s="10"/>
      <c r="G141" s="10"/>
      <c r="H141" s="10"/>
      <c r="I141" s="676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675" t="s">
        <v>18671</v>
      </c>
      <c r="V141" s="675">
        <v>14293.0</v>
      </c>
    </row>
    <row r="142">
      <c r="A142" s="10" t="str">
        <f>IFERROR(__xludf.DUMMYFUNCTION("""COMPUTED_VALUE"""),"EBTXX")</f>
        <v>EBTXX</v>
      </c>
      <c r="B142" s="10">
        <f>IFERROR(__xludf.DUMMYFUNCTION("""COMPUTED_VALUE"""),1.0)</f>
        <v>1</v>
      </c>
      <c r="C142" s="10"/>
      <c r="D142" s="10"/>
      <c r="E142" s="10"/>
      <c r="F142" s="10"/>
      <c r="G142" s="10"/>
      <c r="H142" s="10"/>
      <c r="I142" s="676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675" t="s">
        <v>18672</v>
      </c>
      <c r="V142" s="675">
        <v>14261.0</v>
      </c>
    </row>
    <row r="143">
      <c r="A143" s="10" t="str">
        <f>IFERROR(__xludf.DUMMYFUNCTION("""COMPUTED_VALUE"""),"MIM")</f>
        <v>MIM</v>
      </c>
      <c r="B143" s="10">
        <f>IFERROR(__xludf.DUMMYFUNCTION("""COMPUTED_VALUE"""),1.0)</f>
        <v>1</v>
      </c>
      <c r="C143" s="10"/>
      <c r="D143" s="10"/>
      <c r="E143" s="10"/>
      <c r="F143" s="10"/>
      <c r="G143" s="10"/>
      <c r="H143" s="10"/>
      <c r="I143" s="676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675" t="s">
        <v>18673</v>
      </c>
      <c r="V143" s="675">
        <v>14266.0</v>
      </c>
    </row>
    <row r="144">
      <c r="A144" s="10" t="str">
        <f>IFERROR(__xludf.DUMMYFUNCTION("""COMPUTED_VALUE"""),"LAILAX")</f>
        <v>LAILAX</v>
      </c>
      <c r="B144" s="10">
        <f>IFERROR(__xludf.DUMMYFUNCTION("""COMPUTED_VALUE"""),1.0)</f>
        <v>1</v>
      </c>
      <c r="C144" s="10"/>
      <c r="D144" s="10"/>
      <c r="E144" s="10"/>
      <c r="F144" s="10"/>
      <c r="G144" s="10"/>
      <c r="H144" s="10"/>
      <c r="I144" s="676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675" t="s">
        <v>18674</v>
      </c>
      <c r="V144" s="675">
        <v>14194.0</v>
      </c>
    </row>
    <row r="145">
      <c r="A145" s="10" t="str">
        <f>IFERROR(__xludf.DUMMYFUNCTION("""COMPUTED_VALUE"""),"SHOPPING")</f>
        <v>SHOPPING</v>
      </c>
      <c r="B145" s="10">
        <f>IFERROR(__xludf.DUMMYFUNCTION("""COMPUTED_VALUE"""),14588.0)</f>
        <v>14588</v>
      </c>
      <c r="C145" s="10"/>
      <c r="D145" s="10"/>
      <c r="E145" s="10"/>
      <c r="F145" s="10"/>
      <c r="G145" s="10"/>
      <c r="H145" s="10"/>
      <c r="I145" s="676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675" t="s">
        <v>18675</v>
      </c>
      <c r="V145" s="675">
        <v>14226.0</v>
      </c>
    </row>
    <row r="146">
      <c r="A146" s="10" t="str">
        <f>IFERROR(__xludf.DUMMYFUNCTION("""COMPUTED_VALUE"""),"SHAHIR")</f>
        <v>SHAHIR</v>
      </c>
      <c r="B146" s="10">
        <f>IFERROR(__xludf.DUMMYFUNCTION("""COMPUTED_VALUE"""),14550.0)</f>
        <v>14550</v>
      </c>
      <c r="C146" s="10"/>
      <c r="D146" s="10"/>
      <c r="E146" s="10"/>
      <c r="F146" s="10"/>
      <c r="G146" s="10"/>
      <c r="H146" s="10"/>
      <c r="I146" s="676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675" t="s">
        <v>18676</v>
      </c>
      <c r="V146" s="675">
        <v>14200.0</v>
      </c>
    </row>
    <row r="147">
      <c r="A147" s="10" t="str">
        <f>IFERROR(__xludf.DUMMYFUNCTION("""COMPUTED_VALUE"""),"IMEM")</f>
        <v>IMEM</v>
      </c>
      <c r="B147" s="10">
        <f>IFERROR(__xludf.DUMMYFUNCTION("""COMPUTED_VALUE"""),14555.0)</f>
        <v>14555</v>
      </c>
      <c r="C147" s="10"/>
      <c r="D147" s="10"/>
      <c r="E147" s="10"/>
      <c r="F147" s="10"/>
      <c r="G147" s="10"/>
      <c r="H147" s="10"/>
      <c r="I147" s="676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675" t="s">
        <v>18677</v>
      </c>
      <c r="V147" s="675">
        <v>14202.0</v>
      </c>
    </row>
    <row r="148">
      <c r="A148" s="10" t="str">
        <f>IFERROR(__xludf.DUMMYFUNCTION("""COMPUTED_VALUE"""),"TREFLVW")</f>
        <v>TREFLVW</v>
      </c>
      <c r="B148" s="10">
        <f>IFERROR(__xludf.DUMMYFUNCTION("""COMPUTED_VALUE"""),14670.0)</f>
        <v>14670</v>
      </c>
      <c r="C148" s="10"/>
      <c r="D148" s="10"/>
      <c r="E148" s="10"/>
      <c r="F148" s="10"/>
      <c r="G148" s="10"/>
      <c r="H148" s="10"/>
      <c r="I148" s="676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675" t="s">
        <v>18678</v>
      </c>
      <c r="V148" s="675">
        <v>14262.0</v>
      </c>
    </row>
    <row r="149">
      <c r="A149" s="10" t="str">
        <f>IFERROR(__xludf.DUMMYFUNCTION("""COMPUTED_VALUE"""),"JAZ")</f>
        <v>JAZ</v>
      </c>
      <c r="B149" s="10">
        <f>IFERROR(__xludf.DUMMYFUNCTION("""COMPUTED_VALUE"""),1.0)</f>
        <v>1</v>
      </c>
      <c r="C149" s="10"/>
      <c r="D149" s="10"/>
      <c r="E149" s="10"/>
      <c r="F149" s="10"/>
      <c r="G149" s="10"/>
      <c r="H149" s="10"/>
      <c r="I149" s="676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675" t="s">
        <v>18679</v>
      </c>
      <c r="V149" s="675">
        <v>14211.0</v>
      </c>
    </row>
    <row r="150">
      <c r="A150" s="10" t="str">
        <f>IFERROR(__xludf.DUMMYFUNCTION("""COMPUTED_VALUE"""),"UNVI")</f>
        <v>UNVI</v>
      </c>
      <c r="B150" s="10">
        <f>IFERROR(__xludf.DUMMYFUNCTION("""COMPUTED_VALUE"""),1.0)</f>
        <v>1</v>
      </c>
      <c r="C150" s="10"/>
      <c r="D150" s="10"/>
      <c r="E150" s="10"/>
      <c r="F150" s="10"/>
      <c r="G150" s="10"/>
      <c r="H150" s="10"/>
      <c r="I150" s="676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675" t="s">
        <v>18680</v>
      </c>
      <c r="V150" s="675">
        <v>8253.0</v>
      </c>
    </row>
    <row r="151">
      <c r="A151" s="10" t="str">
        <f>IFERROR(__xludf.DUMMYFUNCTION("""COMPUTED_VALUE"""),"LIV")</f>
        <v>LIV</v>
      </c>
      <c r="B151" s="10">
        <f>IFERROR(__xludf.DUMMYFUNCTION("""COMPUTED_VALUE"""),1.0)</f>
        <v>1</v>
      </c>
      <c r="C151" s="10"/>
      <c r="D151" s="10"/>
      <c r="E151" s="10"/>
      <c r="F151" s="10"/>
      <c r="G151" s="10"/>
      <c r="H151" s="10"/>
      <c r="I151" s="676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675" t="s">
        <v>18681</v>
      </c>
      <c r="V151" s="675">
        <v>14255.0</v>
      </c>
    </row>
    <row r="152">
      <c r="A152" s="10" t="str">
        <f>IFERROR(__xludf.DUMMYFUNCTION("""COMPUTED_VALUE"""),"RSST")</f>
        <v>RSST</v>
      </c>
      <c r="B152" s="10">
        <f>IFERROR(__xludf.DUMMYFUNCTION("""COMPUTED_VALUE"""),14514.0)</f>
        <v>14514</v>
      </c>
      <c r="C152" s="10"/>
      <c r="D152" s="10"/>
      <c r="E152" s="10"/>
      <c r="F152" s="10"/>
      <c r="G152" s="10"/>
      <c r="H152" s="10"/>
      <c r="I152" s="676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675" t="s">
        <v>18682</v>
      </c>
      <c r="V152" s="675">
        <v>14212.0</v>
      </c>
    </row>
    <row r="153">
      <c r="A153" s="10" t="str">
        <f>IFERROR(__xludf.DUMMYFUNCTION("""COMPUTED_VALUE"""),"UDA")</f>
        <v>UDA</v>
      </c>
      <c r="B153" s="10">
        <f>IFERROR(__xludf.DUMMYFUNCTION("""COMPUTED_VALUE"""),359.0)</f>
        <v>359</v>
      </c>
      <c r="C153" s="10"/>
      <c r="D153" s="10"/>
      <c r="E153" s="10"/>
      <c r="F153" s="10"/>
      <c r="G153" s="10"/>
      <c r="H153" s="10"/>
      <c r="I153" s="676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675" t="s">
        <v>7793</v>
      </c>
      <c r="V153" s="675">
        <v>14058.0</v>
      </c>
    </row>
    <row r="154">
      <c r="A154" s="10" t="str">
        <f>IFERROR(__xludf.DUMMYFUNCTION("""COMPUTED_VALUE"""),"JOUMA")</f>
        <v>JOUMA</v>
      </c>
      <c r="B154" s="10">
        <f>IFERROR(__xludf.DUMMYFUNCTION("""COMPUTED_VALUE"""),1.0)</f>
        <v>1</v>
      </c>
      <c r="C154" s="10"/>
      <c r="D154" s="10"/>
      <c r="E154" s="10"/>
      <c r="F154" s="10"/>
      <c r="G154" s="10"/>
      <c r="H154" s="10"/>
      <c r="I154" s="676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675" t="s">
        <v>18683</v>
      </c>
      <c r="V154" s="675">
        <v>14195.0</v>
      </c>
    </row>
    <row r="155">
      <c r="A155" s="10" t="str">
        <f>IFERROR(__xludf.DUMMYFUNCTION("""COMPUTED_VALUE"""),"USE")</f>
        <v>USE</v>
      </c>
      <c r="B155" s="10">
        <f>IFERROR(__xludf.DUMMYFUNCTION("""COMPUTED_VALUE"""),1.0)</f>
        <v>1</v>
      </c>
      <c r="C155" s="10"/>
      <c r="D155" s="10"/>
      <c r="E155" s="10"/>
      <c r="F155" s="10"/>
      <c r="G155" s="10"/>
      <c r="H155" s="10"/>
      <c r="I155" s="676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675" t="s">
        <v>18684</v>
      </c>
      <c r="V155" s="675">
        <v>14264.0</v>
      </c>
    </row>
    <row r="156">
      <c r="A156" s="10" t="str">
        <f>IFERROR(__xludf.DUMMYFUNCTION("""COMPUTED_VALUE"""),"WSSSS")</f>
        <v>WSSSS</v>
      </c>
      <c r="B156" s="10">
        <f>IFERROR(__xludf.DUMMYFUNCTION("""COMPUTED_VALUE"""),14423.0)</f>
        <v>14423</v>
      </c>
      <c r="C156" s="10"/>
      <c r="D156" s="10"/>
      <c r="E156" s="10"/>
      <c r="F156" s="10"/>
      <c r="G156" s="10"/>
      <c r="H156" s="10"/>
      <c r="I156" s="676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675" t="s">
        <v>18685</v>
      </c>
      <c r="V156" s="675">
        <v>14210.0</v>
      </c>
    </row>
    <row r="157">
      <c r="A157" s="10" t="str">
        <f>IFERROR(__xludf.DUMMYFUNCTION("""COMPUTED_VALUE"""),"MALM")</f>
        <v>MALM</v>
      </c>
      <c r="B157" s="10">
        <f>IFERROR(__xludf.DUMMYFUNCTION("""COMPUTED_VALUE"""),1.0)</f>
        <v>1</v>
      </c>
      <c r="C157" s="10"/>
      <c r="D157" s="10"/>
      <c r="E157" s="10"/>
      <c r="F157" s="10"/>
      <c r="G157" s="10"/>
      <c r="H157" s="10"/>
      <c r="I157" s="676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675" t="s">
        <v>18686</v>
      </c>
      <c r="V157" s="675">
        <v>14221.0</v>
      </c>
    </row>
    <row r="158">
      <c r="A158" s="10" t="str">
        <f>IFERROR(__xludf.DUMMYFUNCTION("""COMPUTED_VALUE"""),"MAYAA")</f>
        <v>MAYAA</v>
      </c>
      <c r="B158" s="10">
        <f>IFERROR(__xludf.DUMMYFUNCTION("""COMPUTED_VALUE"""),1.0)</f>
        <v>1</v>
      </c>
      <c r="C158" s="10"/>
      <c r="D158" s="10"/>
      <c r="E158" s="10"/>
      <c r="F158" s="10"/>
      <c r="G158" s="10"/>
      <c r="H158" s="10"/>
      <c r="I158" s="676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675" t="s">
        <v>18687</v>
      </c>
      <c r="V158" s="675">
        <v>14282.0</v>
      </c>
    </row>
    <row r="159">
      <c r="A159" s="10" t="str">
        <f>IFERROR(__xludf.DUMMYFUNCTION("""COMPUTED_VALUE"""),"TOMADAY")</f>
        <v>TOMADAY</v>
      </c>
      <c r="B159" s="10">
        <f>IFERROR(__xludf.DUMMYFUNCTION("""COMPUTED_VALUE"""),1.0)</f>
        <v>1</v>
      </c>
      <c r="C159" s="10"/>
      <c r="D159" s="10"/>
      <c r="E159" s="10"/>
      <c r="F159" s="10"/>
      <c r="G159" s="10"/>
      <c r="H159" s="10"/>
      <c r="I159" s="676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675" t="s">
        <v>18688</v>
      </c>
      <c r="V159" s="675">
        <v>7872.0</v>
      </c>
    </row>
    <row r="160">
      <c r="A160" s="10" t="str">
        <f>IFERROR(__xludf.DUMMYFUNCTION("""COMPUTED_VALUE"""),"IIIJ")</f>
        <v>IIIJ</v>
      </c>
      <c r="B160" s="10">
        <f>IFERROR(__xludf.DUMMYFUNCTION("""COMPUTED_VALUE"""),1.0)</f>
        <v>1</v>
      </c>
      <c r="C160" s="10"/>
      <c r="D160" s="10"/>
      <c r="E160" s="10"/>
      <c r="F160" s="10"/>
      <c r="G160" s="10"/>
      <c r="H160" s="10"/>
      <c r="I160" s="676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675" t="s">
        <v>10356</v>
      </c>
      <c r="V160" s="675">
        <v>8252.0</v>
      </c>
    </row>
    <row r="161">
      <c r="A161" s="10" t="str">
        <f>IFERROR(__xludf.DUMMYFUNCTION("""COMPUTED_VALUE"""),"TJAR")</f>
        <v>TJAR</v>
      </c>
      <c r="B161" s="10">
        <f>IFERROR(__xludf.DUMMYFUNCTION("""COMPUTED_VALUE"""),14591.0)</f>
        <v>14591</v>
      </c>
      <c r="C161" s="10"/>
      <c r="D161" s="10"/>
      <c r="E161" s="10"/>
      <c r="F161" s="10"/>
      <c r="G161" s="10"/>
      <c r="H161" s="10"/>
      <c r="I161" s="676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675" t="s">
        <v>18689</v>
      </c>
      <c r="V161" s="675">
        <v>14220.0</v>
      </c>
    </row>
    <row r="162">
      <c r="A162" s="10" t="str">
        <f>IFERROR(__xludf.DUMMYFUNCTION("""COMPUTED_VALUE"""),"SHEIN")</f>
        <v>SHEIN</v>
      </c>
      <c r="B162" s="10">
        <f>IFERROR(__xludf.DUMMYFUNCTION("""COMPUTED_VALUE"""),14490.0)</f>
        <v>14490</v>
      </c>
      <c r="C162" s="10"/>
      <c r="D162" s="10"/>
      <c r="E162" s="10"/>
      <c r="F162" s="10"/>
      <c r="G162" s="10"/>
      <c r="H162" s="10"/>
      <c r="I162" s="676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675" t="s">
        <v>18690</v>
      </c>
      <c r="V162" s="675">
        <v>14263.0</v>
      </c>
    </row>
    <row r="163">
      <c r="A163" s="10" t="str">
        <f>IFERROR(__xludf.DUMMYFUNCTION("""COMPUTED_VALUE"""),"TREMCCN")</f>
        <v>TREMCCN</v>
      </c>
      <c r="B163" s="10">
        <f>IFERROR(__xludf.DUMMYFUNCTION("""COMPUTED_VALUE"""),14589.0)</f>
        <v>14589</v>
      </c>
      <c r="C163" s="10"/>
      <c r="D163" s="10"/>
      <c r="E163" s="10"/>
      <c r="F163" s="10"/>
      <c r="G163" s="10"/>
      <c r="H163" s="10"/>
      <c r="I163" s="676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675" t="s">
        <v>18691</v>
      </c>
      <c r="V163" s="675">
        <v>14259.0</v>
      </c>
    </row>
    <row r="164">
      <c r="A164" s="10" t="str">
        <f>IFERROR(__xludf.DUMMYFUNCTION("""COMPUTED_VALUE"""),"THEQUI")</f>
        <v>THEQUI</v>
      </c>
      <c r="B164" s="10">
        <f>IFERROR(__xludf.DUMMYFUNCTION("""COMPUTED_VALUE"""),1.0)</f>
        <v>1</v>
      </c>
      <c r="C164" s="10"/>
      <c r="D164" s="10"/>
      <c r="E164" s="10"/>
      <c r="F164" s="10"/>
      <c r="G164" s="10"/>
      <c r="H164" s="10"/>
      <c r="I164" s="676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675" t="s">
        <v>18692</v>
      </c>
      <c r="V164" s="675">
        <v>13335.0</v>
      </c>
    </row>
    <row r="165">
      <c r="A165" s="10" t="str">
        <f>IFERROR(__xludf.DUMMYFUNCTION("""COMPUTED_VALUE"""),"HALE")</f>
        <v>HALE</v>
      </c>
      <c r="B165" s="10">
        <f>IFERROR(__xludf.DUMMYFUNCTION("""COMPUTED_VALUE"""),1.0)</f>
        <v>1</v>
      </c>
      <c r="C165" s="10"/>
      <c r="D165" s="10"/>
      <c r="E165" s="10"/>
      <c r="F165" s="10"/>
      <c r="G165" s="10"/>
      <c r="H165" s="10"/>
      <c r="I165" s="676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675" t="s">
        <v>18693</v>
      </c>
      <c r="V165" s="675">
        <v>14219.0</v>
      </c>
    </row>
    <row r="166">
      <c r="A166" s="10" t="str">
        <f>IFERROR(__xludf.DUMMYFUNCTION("""COMPUTED_VALUE"""),"MNI")</f>
        <v>MNI</v>
      </c>
      <c r="B166" s="10">
        <f>IFERROR(__xludf.DUMMYFUNCTION("""COMPUTED_VALUE"""),13811.0)</f>
        <v>13811</v>
      </c>
      <c r="C166" s="10"/>
      <c r="D166" s="10"/>
      <c r="E166" s="10"/>
      <c r="F166" s="10"/>
      <c r="G166" s="10"/>
      <c r="H166" s="10"/>
      <c r="I166" s="676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675" t="s">
        <v>18694</v>
      </c>
      <c r="V166" s="675">
        <v>14054.0</v>
      </c>
    </row>
    <row r="167">
      <c r="A167" s="10" t="str">
        <f>IFERROR(__xludf.DUMMYFUNCTION("""COMPUTED_VALUE"""),"DRHASN")</f>
        <v>DRHASN</v>
      </c>
      <c r="B167" s="10">
        <f>IFERROR(__xludf.DUMMYFUNCTION("""COMPUTED_VALUE"""),2345.0)</f>
        <v>2345</v>
      </c>
      <c r="C167" s="10"/>
      <c r="D167" s="10"/>
      <c r="E167" s="10"/>
      <c r="F167" s="10"/>
      <c r="G167" s="10"/>
      <c r="H167" s="10"/>
      <c r="I167" s="676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675" t="s">
        <v>18695</v>
      </c>
      <c r="V167" s="675">
        <v>14345.0</v>
      </c>
    </row>
    <row r="168">
      <c r="A168" s="10" t="str">
        <f>IFERROR(__xludf.DUMMYFUNCTION("""COMPUTED_VALUE"""),"HUDDA")</f>
        <v>HUDDA</v>
      </c>
      <c r="B168" s="10">
        <f>IFERROR(__xludf.DUMMYFUNCTION("""COMPUTED_VALUE"""),12236.0)</f>
        <v>12236</v>
      </c>
      <c r="C168" s="10"/>
      <c r="D168" s="10"/>
      <c r="E168" s="10"/>
      <c r="F168" s="10"/>
      <c r="G168" s="10"/>
      <c r="H168" s="10"/>
      <c r="I168" s="676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675" t="s">
        <v>18696</v>
      </c>
      <c r="V168" s="675">
        <v>14216.0</v>
      </c>
    </row>
    <row r="169">
      <c r="A169" s="10" t="str">
        <f>IFERROR(__xludf.DUMMYFUNCTION("""COMPUTED_VALUE"""),"HONS")</f>
        <v>HONS</v>
      </c>
      <c r="B169" s="10">
        <f>IFERROR(__xludf.DUMMYFUNCTION("""COMPUTED_VALUE"""),14484.0)</f>
        <v>14484</v>
      </c>
      <c r="C169" s="10"/>
      <c r="D169" s="10"/>
      <c r="E169" s="10"/>
      <c r="F169" s="10"/>
      <c r="G169" s="10"/>
      <c r="H169" s="10"/>
      <c r="I169" s="676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675" t="s">
        <v>18697</v>
      </c>
      <c r="V169" s="675">
        <v>14217.0</v>
      </c>
    </row>
    <row r="170">
      <c r="A170" s="10" t="str">
        <f>IFERROR(__xludf.DUMMYFUNCTION("""COMPUTED_VALUE"""),"RIES")</f>
        <v>RIES</v>
      </c>
      <c r="B170" s="10">
        <f>IFERROR(__xludf.DUMMYFUNCTION("""COMPUTED_VALUE"""),1.0)</f>
        <v>1</v>
      </c>
      <c r="C170" s="10"/>
      <c r="D170" s="10"/>
      <c r="E170" s="10"/>
      <c r="F170" s="10"/>
      <c r="G170" s="10"/>
      <c r="H170" s="10"/>
      <c r="I170" s="676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675" t="s">
        <v>18698</v>
      </c>
      <c r="V170" s="675">
        <v>14175.0</v>
      </c>
    </row>
    <row r="171">
      <c r="A171" s="10" t="str">
        <f>IFERROR(__xludf.DUMMYFUNCTION("""COMPUTED_VALUE"""),"GLOB")</f>
        <v>GLOB</v>
      </c>
      <c r="B171" s="10">
        <f>IFERROR(__xludf.DUMMYFUNCTION("""COMPUTED_VALUE"""),14513.0)</f>
        <v>14513</v>
      </c>
      <c r="C171" s="10"/>
      <c r="D171" s="10"/>
      <c r="E171" s="10"/>
      <c r="F171" s="10"/>
      <c r="G171" s="10"/>
      <c r="H171" s="10"/>
      <c r="I171" s="676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675" t="s">
        <v>18699</v>
      </c>
      <c r="V171" s="675">
        <v>14167.0</v>
      </c>
    </row>
    <row r="172">
      <c r="A172" s="10" t="str">
        <f>IFERROR(__xludf.DUMMYFUNCTION("""COMPUTED_VALUE"""),"NOUXQNL")</f>
        <v>NOUXQNL</v>
      </c>
      <c r="B172" s="10">
        <f>IFERROR(__xludf.DUMMYFUNCTION("""COMPUTED_VALUE"""),1.0)</f>
        <v>1</v>
      </c>
      <c r="C172" s="10"/>
      <c r="D172" s="10"/>
      <c r="E172" s="10"/>
      <c r="F172" s="10"/>
      <c r="G172" s="10"/>
      <c r="H172" s="10"/>
      <c r="I172" s="676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675" t="s">
        <v>18700</v>
      </c>
      <c r="V172" s="675">
        <v>14146.0</v>
      </c>
    </row>
    <row r="173">
      <c r="A173" s="10" t="str">
        <f>IFERROR(__xludf.DUMMYFUNCTION("""COMPUTED_VALUE"""),"ANNF")</f>
        <v>ANNF</v>
      </c>
      <c r="B173" s="10">
        <f>IFERROR(__xludf.DUMMYFUNCTION("""COMPUTED_VALUE"""),499.0)</f>
        <v>499</v>
      </c>
      <c r="C173" s="10"/>
      <c r="D173" s="10"/>
      <c r="E173" s="10"/>
      <c r="F173" s="10"/>
      <c r="G173" s="10"/>
      <c r="H173" s="10"/>
      <c r="I173" s="676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675" t="s">
        <v>18701</v>
      </c>
      <c r="V173" s="675">
        <v>14142.0</v>
      </c>
    </row>
    <row r="174">
      <c r="A174" s="10" t="str">
        <f>IFERROR(__xludf.DUMMYFUNCTION("""COMPUTED_VALUE"""),"DESIX")</f>
        <v>DESIX</v>
      </c>
      <c r="B174" s="10">
        <f>IFERROR(__xludf.DUMMYFUNCTION("""COMPUTED_VALUE"""),14034.0)</f>
        <v>14034</v>
      </c>
      <c r="C174" s="10"/>
      <c r="D174" s="10"/>
      <c r="E174" s="10"/>
      <c r="F174" s="10"/>
      <c r="G174" s="10"/>
      <c r="H174" s="10"/>
      <c r="I174" s="676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675" t="s">
        <v>18702</v>
      </c>
      <c r="V174" s="675">
        <v>14150.0</v>
      </c>
    </row>
    <row r="175">
      <c r="A175" s="10" t="str">
        <f>IFERROR(__xludf.DUMMYFUNCTION("""COMPUTED_VALUE"""),"TODAYIN")</f>
        <v>TODAYIN</v>
      </c>
      <c r="B175" s="10">
        <f>IFERROR(__xludf.DUMMYFUNCTION("""COMPUTED_VALUE"""),13314.0)</f>
        <v>13314</v>
      </c>
      <c r="C175" s="10"/>
      <c r="D175" s="10"/>
      <c r="E175" s="10"/>
      <c r="F175" s="10"/>
      <c r="G175" s="10"/>
      <c r="H175" s="10"/>
      <c r="I175" s="676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675" t="s">
        <v>18703</v>
      </c>
      <c r="V175" s="675">
        <v>14184.0</v>
      </c>
    </row>
    <row r="176">
      <c r="A176" s="10" t="str">
        <f>IFERROR(__xludf.DUMMYFUNCTION("""COMPUTED_VALUE"""),"ZAKARX")</f>
        <v>ZAKARX</v>
      </c>
      <c r="B176" s="10">
        <f>IFERROR(__xludf.DUMMYFUNCTION("""COMPUTED_VALUE"""),8623.0)</f>
        <v>8623</v>
      </c>
      <c r="C176" s="10"/>
      <c r="D176" s="10"/>
      <c r="E176" s="10"/>
      <c r="F176" s="10"/>
      <c r="G176" s="10"/>
      <c r="H176" s="10"/>
      <c r="I176" s="676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675" t="s">
        <v>18704</v>
      </c>
      <c r="V176" s="675">
        <v>14139.0</v>
      </c>
    </row>
    <row r="177">
      <c r="A177" s="10" t="str">
        <f>IFERROR(__xludf.DUMMYFUNCTION("""COMPUTED_VALUE"""),"SDII")</f>
        <v>SDII</v>
      </c>
      <c r="B177" s="10">
        <f>IFERROR(__xludf.DUMMYFUNCTION("""COMPUTED_VALUE"""),14083.0)</f>
        <v>14083</v>
      </c>
      <c r="C177" s="10"/>
      <c r="D177" s="10"/>
      <c r="E177" s="10"/>
      <c r="F177" s="10"/>
      <c r="G177" s="10"/>
      <c r="H177" s="10"/>
      <c r="I177" s="676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675" t="s">
        <v>18705</v>
      </c>
      <c r="V177" s="675">
        <v>14148.0</v>
      </c>
    </row>
    <row r="178">
      <c r="A178" s="10" t="str">
        <f>IFERROR(__xludf.DUMMYFUNCTION("""COMPUTED_VALUE"""),"COUPO")</f>
        <v>COUPO</v>
      </c>
      <c r="B178" s="10">
        <f>IFERROR(__xludf.DUMMYFUNCTION("""COMPUTED_VALUE"""),6675.0)</f>
        <v>6675</v>
      </c>
      <c r="C178" s="10"/>
      <c r="D178" s="10"/>
      <c r="E178" s="10"/>
      <c r="F178" s="10"/>
      <c r="G178" s="10"/>
      <c r="H178" s="10"/>
      <c r="I178" s="676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675" t="s">
        <v>18706</v>
      </c>
      <c r="V178" s="675">
        <v>14117.0</v>
      </c>
    </row>
    <row r="179">
      <c r="A179" s="10" t="str">
        <f>IFERROR(__xludf.DUMMYFUNCTION("""COMPUTED_VALUE"""),"SHI")</f>
        <v>SHI</v>
      </c>
      <c r="B179" s="10">
        <f>IFERROR(__xludf.DUMMYFUNCTION("""COMPUTED_VALUE"""),9703.0)</f>
        <v>9703</v>
      </c>
      <c r="C179" s="10"/>
      <c r="D179" s="10"/>
      <c r="E179" s="10"/>
      <c r="F179" s="10"/>
      <c r="G179" s="10"/>
      <c r="H179" s="10"/>
      <c r="I179" s="676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675" t="s">
        <v>18707</v>
      </c>
      <c r="V179" s="675">
        <v>14119.0</v>
      </c>
    </row>
    <row r="180">
      <c r="A180" s="10" t="str">
        <f>IFERROR(__xludf.DUMMYFUNCTION("""COMPUTED_VALUE"""),"HADNLBR")</f>
        <v>HADNLBR</v>
      </c>
      <c r="B180" s="10">
        <f>IFERROR(__xludf.DUMMYFUNCTION("""COMPUTED_VALUE"""),1.0)</f>
        <v>1</v>
      </c>
      <c r="C180" s="10"/>
      <c r="D180" s="10"/>
      <c r="E180" s="10"/>
      <c r="F180" s="10"/>
      <c r="G180" s="10"/>
      <c r="H180" s="10"/>
      <c r="I180" s="676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675" t="s">
        <v>18708</v>
      </c>
      <c r="V180" s="675">
        <v>14138.0</v>
      </c>
    </row>
    <row r="181">
      <c r="A181" s="10" t="str">
        <f>IFERROR(__xludf.DUMMYFUNCTION("""COMPUTED_VALUE"""),"WNH")</f>
        <v>WNH</v>
      </c>
      <c r="B181" s="10">
        <f>IFERROR(__xludf.DUMMYFUNCTION("""COMPUTED_VALUE"""),1.0)</f>
        <v>1</v>
      </c>
      <c r="C181" s="10"/>
      <c r="D181" s="10"/>
      <c r="E181" s="10"/>
      <c r="F181" s="10"/>
      <c r="G181" s="10"/>
      <c r="H181" s="10"/>
      <c r="I181" s="676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675" t="s">
        <v>18709</v>
      </c>
      <c r="V181" s="675">
        <v>14122.0</v>
      </c>
    </row>
    <row r="182">
      <c r="A182" s="10" t="str">
        <f>IFERROR(__xludf.DUMMYFUNCTION("""COMPUTED_VALUE"""),"HILAL")</f>
        <v>HILAL</v>
      </c>
      <c r="B182" s="10">
        <f>IFERROR(__xludf.DUMMYFUNCTION("""COMPUTED_VALUE"""),1.0)</f>
        <v>1</v>
      </c>
      <c r="C182" s="10"/>
      <c r="D182" s="10"/>
      <c r="E182" s="10"/>
      <c r="F182" s="10"/>
      <c r="G182" s="10"/>
      <c r="H182" s="10"/>
      <c r="I182" s="676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675" t="s">
        <v>7</v>
      </c>
      <c r="V182" s="675">
        <v>6706.0</v>
      </c>
    </row>
    <row r="183">
      <c r="A183" s="10" t="str">
        <f>IFERROR(__xludf.DUMMYFUNCTION("""COMPUTED_VALUE"""),"TODAYIM")</f>
        <v>TODAYIM</v>
      </c>
      <c r="B183" s="10">
        <f>IFERROR(__xludf.DUMMYFUNCTION("""COMPUTED_VALUE"""),14184.0)</f>
        <v>14184</v>
      </c>
      <c r="C183" s="10"/>
      <c r="D183" s="10"/>
      <c r="E183" s="10"/>
      <c r="F183" s="10"/>
      <c r="G183" s="10"/>
      <c r="H183" s="10"/>
      <c r="I183" s="676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675" t="s">
        <v>18710</v>
      </c>
      <c r="V183" s="675">
        <v>14092.0</v>
      </c>
    </row>
    <row r="184">
      <c r="A184" s="10" t="str">
        <f>IFERROR(__xludf.DUMMYFUNCTION("""COMPUTED_VALUE"""),"DESS")</f>
        <v>DESS</v>
      </c>
      <c r="B184" s="10">
        <f>IFERROR(__xludf.DUMMYFUNCTION("""COMPUTED_VALUE"""),1.0)</f>
        <v>1</v>
      </c>
      <c r="C184" s="10"/>
      <c r="D184" s="10"/>
      <c r="E184" s="10"/>
      <c r="F184" s="10"/>
      <c r="G184" s="10"/>
      <c r="H184" s="10"/>
      <c r="I184" s="676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675" t="s">
        <v>18711</v>
      </c>
      <c r="V184" s="675">
        <v>14114.0</v>
      </c>
    </row>
    <row r="185">
      <c r="A185" s="10" t="str">
        <f>IFERROR(__xludf.DUMMYFUNCTION("""COMPUTED_VALUE"""),"FROZ")</f>
        <v>FROZ</v>
      </c>
      <c r="B185" s="10">
        <f>IFERROR(__xludf.DUMMYFUNCTION("""COMPUTED_VALUE"""),6675.0)</f>
        <v>6675</v>
      </c>
      <c r="C185" s="10"/>
      <c r="D185" s="10"/>
      <c r="E185" s="10"/>
      <c r="F185" s="10"/>
      <c r="G185" s="10"/>
      <c r="H185" s="10"/>
      <c r="I185" s="676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675" t="s">
        <v>18712</v>
      </c>
      <c r="V185" s="675">
        <v>14087.0</v>
      </c>
    </row>
    <row r="186">
      <c r="A186" s="10" t="str">
        <f>IFERROR(__xludf.DUMMYFUNCTION("""COMPUTED_VALUE"""),"NGS")</f>
        <v>NGS</v>
      </c>
      <c r="B186" s="10">
        <f>IFERROR(__xludf.DUMMYFUNCTION("""COMPUTED_VALUE"""),13817.0)</f>
        <v>13817</v>
      </c>
      <c r="C186" s="10"/>
      <c r="D186" s="10"/>
      <c r="E186" s="10"/>
      <c r="F186" s="10"/>
      <c r="G186" s="10"/>
      <c r="H186" s="10"/>
      <c r="I186" s="676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675" t="s">
        <v>18713</v>
      </c>
      <c r="V186" s="675">
        <v>14081.0</v>
      </c>
    </row>
    <row r="187">
      <c r="A187" s="10" t="str">
        <f>IFERROR(__xludf.DUMMYFUNCTION("""COMPUTED_VALUE"""),"FVG")</f>
        <v>FVG</v>
      </c>
      <c r="B187" s="10">
        <f>IFERROR(__xludf.DUMMYFUNCTION("""COMPUTED_VALUE"""),12930.0)</f>
        <v>12930</v>
      </c>
      <c r="C187" s="10"/>
      <c r="D187" s="10"/>
      <c r="E187" s="10"/>
      <c r="F187" s="10"/>
      <c r="G187" s="10"/>
      <c r="H187" s="10"/>
      <c r="I187" s="676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675" t="s">
        <v>18714</v>
      </c>
      <c r="V187" s="675">
        <v>14083.0</v>
      </c>
    </row>
    <row r="188">
      <c r="A188" s="10" t="str">
        <f>IFERROR(__xludf.DUMMYFUNCTION("""COMPUTED_VALUE"""),"MAIELB")</f>
        <v>MAIELB</v>
      </c>
      <c r="B188" s="10">
        <f>IFERROR(__xludf.DUMMYFUNCTION("""COMPUTED_VALUE"""),1.0)</f>
        <v>1</v>
      </c>
      <c r="C188" s="10"/>
      <c r="D188" s="10"/>
      <c r="E188" s="10"/>
      <c r="F188" s="10"/>
      <c r="G188" s="10"/>
      <c r="H188" s="10"/>
      <c r="I188" s="676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675" t="s">
        <v>18715</v>
      </c>
      <c r="V188" s="675">
        <v>14061.0</v>
      </c>
    </row>
    <row r="189">
      <c r="A189" s="10" t="str">
        <f>IFERROR(__xludf.DUMMYFUNCTION("""COMPUTED_VALUE"""),"QES")</f>
        <v>QES</v>
      </c>
      <c r="B189" s="10">
        <f>IFERROR(__xludf.DUMMYFUNCTION("""COMPUTED_VALUE"""),1.0)</f>
        <v>1</v>
      </c>
      <c r="C189" s="10"/>
      <c r="D189" s="10"/>
      <c r="E189" s="10"/>
      <c r="F189" s="10"/>
      <c r="G189" s="10"/>
      <c r="H189" s="10"/>
      <c r="I189" s="676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675" t="s">
        <v>18716</v>
      </c>
      <c r="V189" s="675">
        <v>14075.0</v>
      </c>
    </row>
    <row r="190">
      <c r="A190" s="10" t="str">
        <f>IFERROR(__xludf.DUMMYFUNCTION("""COMPUTED_VALUE"""),"ASEL")</f>
        <v>ASEL</v>
      </c>
      <c r="B190" s="10">
        <f>IFERROR(__xludf.DUMMYFUNCTION("""COMPUTED_VALUE"""),13339.0)</f>
        <v>13339</v>
      </c>
      <c r="C190" s="10"/>
      <c r="D190" s="10"/>
      <c r="E190" s="10"/>
      <c r="F190" s="10"/>
      <c r="G190" s="10"/>
      <c r="H190" s="10"/>
      <c r="I190" s="676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675" t="s">
        <v>18717</v>
      </c>
      <c r="V190" s="675">
        <v>14072.0</v>
      </c>
    </row>
    <row r="191">
      <c r="A191" s="10" t="str">
        <f>IFERROR(__xludf.DUMMYFUNCTION("""COMPUTED_VALUE"""),"LAVE")</f>
        <v>LAVE</v>
      </c>
      <c r="B191" s="10">
        <f>IFERROR(__xludf.DUMMYFUNCTION("""COMPUTED_VALUE"""),12223.0)</f>
        <v>12223</v>
      </c>
      <c r="C191" s="10"/>
      <c r="D191" s="10"/>
      <c r="E191" s="10"/>
      <c r="F191" s="10"/>
      <c r="G191" s="10"/>
      <c r="H191" s="10"/>
      <c r="I191" s="676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675" t="s">
        <v>18718</v>
      </c>
      <c r="V191" s="675">
        <v>14073.0</v>
      </c>
    </row>
    <row r="192">
      <c r="A192" s="10" t="str">
        <f>IFERROR(__xludf.DUMMYFUNCTION("""COMPUTED_VALUE"""),"IIMX")</f>
        <v>IIMX</v>
      </c>
      <c r="B192" s="10">
        <f>IFERROR(__xludf.DUMMYFUNCTION("""COMPUTED_VALUE"""),13309.0)</f>
        <v>13309</v>
      </c>
      <c r="C192" s="10"/>
      <c r="D192" s="10"/>
      <c r="E192" s="10"/>
      <c r="F192" s="10"/>
      <c r="G192" s="10"/>
      <c r="H192" s="10"/>
      <c r="I192" s="676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675" t="s">
        <v>18719</v>
      </c>
      <c r="V192" s="675">
        <v>14064.0</v>
      </c>
    </row>
    <row r="193">
      <c r="A193" s="10" t="str">
        <f>IFERROR(__xludf.DUMMYFUNCTION("""COMPUTED_VALUE"""),"SOOS")</f>
        <v>SOOS</v>
      </c>
      <c r="B193" s="10">
        <f>IFERROR(__xludf.DUMMYFUNCTION("""COMPUTED_VALUE"""),1.0)</f>
        <v>1</v>
      </c>
      <c r="C193" s="10"/>
      <c r="D193" s="10"/>
      <c r="E193" s="10"/>
      <c r="F193" s="10"/>
      <c r="G193" s="10"/>
      <c r="H193" s="10"/>
      <c r="I193" s="676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675" t="s">
        <v>18720</v>
      </c>
      <c r="V193" s="675">
        <v>14161.0</v>
      </c>
    </row>
    <row r="194">
      <c r="A194" s="10" t="str">
        <f>IFERROR(__xludf.DUMMYFUNCTION("""COMPUTED_VALUE"""),"TODAJOY")</f>
        <v>TODAJOY</v>
      </c>
      <c r="B194" s="10">
        <f>IFERROR(__xludf.DUMMYFUNCTION("""COMPUTED_VALUE"""),14386.0)</f>
        <v>14386</v>
      </c>
      <c r="C194" s="10"/>
      <c r="D194" s="10"/>
      <c r="E194" s="10"/>
      <c r="F194" s="10"/>
      <c r="G194" s="10"/>
      <c r="H194" s="10"/>
      <c r="I194" s="676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675" t="s">
        <v>18721</v>
      </c>
      <c r="V194" s="675">
        <v>14160.0</v>
      </c>
    </row>
    <row r="195">
      <c r="A195" s="10" t="str">
        <f>IFERROR(__xludf.DUMMYFUNCTION("""COMPUTED_VALUE"""),"IOR")</f>
        <v>IOR</v>
      </c>
      <c r="B195" s="10">
        <f>IFERROR(__xludf.DUMMYFUNCTION("""COMPUTED_VALUE"""),14016.0)</f>
        <v>14016</v>
      </c>
      <c r="C195" s="10"/>
      <c r="D195" s="10"/>
      <c r="E195" s="10"/>
      <c r="F195" s="10"/>
      <c r="G195" s="10"/>
      <c r="H195" s="10"/>
      <c r="I195" s="676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675" t="s">
        <v>18722</v>
      </c>
      <c r="V195" s="675">
        <v>14045.0</v>
      </c>
    </row>
    <row r="196">
      <c r="A196" s="10" t="str">
        <f>IFERROR(__xludf.DUMMYFUNCTION("""COMPUTED_VALUE"""),"RAAXX")</f>
        <v>RAAXX</v>
      </c>
      <c r="B196" s="10">
        <f>IFERROR(__xludf.DUMMYFUNCTION("""COMPUTED_VALUE"""),1.0)</f>
        <v>1</v>
      </c>
      <c r="C196" s="10"/>
      <c r="D196" s="10"/>
      <c r="E196" s="10"/>
      <c r="F196" s="10"/>
      <c r="G196" s="10"/>
      <c r="H196" s="10"/>
      <c r="I196" s="676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675" t="s">
        <v>18723</v>
      </c>
      <c r="V196" s="675">
        <v>14165.0</v>
      </c>
    </row>
    <row r="197">
      <c r="A197" s="10" t="str">
        <f>IFERROR(__xludf.DUMMYFUNCTION("""COMPUTED_VALUE"""),"KSAST")</f>
        <v>KSAST</v>
      </c>
      <c r="B197" s="10">
        <f>IFERROR(__xludf.DUMMYFUNCTION("""COMPUTED_VALUE"""),2093.0)</f>
        <v>2093</v>
      </c>
      <c r="C197" s="10"/>
      <c r="D197" s="10"/>
      <c r="E197" s="10"/>
      <c r="F197" s="10"/>
      <c r="G197" s="10"/>
      <c r="H197" s="10"/>
      <c r="I197" s="676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675" t="s">
        <v>18724</v>
      </c>
      <c r="V197" s="675">
        <v>14042.0</v>
      </c>
    </row>
    <row r="198">
      <c r="A198" s="10" t="str">
        <f>IFERROR(__xludf.DUMMYFUNCTION("""COMPUTED_VALUE"""),"AALX")</f>
        <v>AALX</v>
      </c>
      <c r="B198" s="10">
        <f>IFERROR(__xludf.DUMMYFUNCTION("""COMPUTED_VALUE"""),1.0)</f>
        <v>1</v>
      </c>
      <c r="C198" s="10"/>
      <c r="D198" s="10"/>
      <c r="E198" s="10"/>
      <c r="F198" s="10"/>
      <c r="G198" s="10"/>
      <c r="H198" s="10"/>
      <c r="I198" s="676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675" t="s">
        <v>18725</v>
      </c>
      <c r="V198" s="675">
        <v>14041.0</v>
      </c>
    </row>
    <row r="199">
      <c r="A199" s="10" t="str">
        <f>IFERROR(__xludf.DUMMYFUNCTION("""COMPUTED_VALUE"""),"FATQVQB")</f>
        <v>FATQVQB</v>
      </c>
      <c r="B199" s="10">
        <f>IFERROR(__xludf.DUMMYFUNCTION("""COMPUTED_VALUE"""),14433.0)</f>
        <v>14433</v>
      </c>
      <c r="C199" s="10"/>
      <c r="D199" s="10"/>
      <c r="E199" s="10"/>
      <c r="F199" s="10"/>
      <c r="G199" s="10"/>
      <c r="H199" s="10"/>
      <c r="I199" s="676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675" t="s">
        <v>18726</v>
      </c>
      <c r="V199" s="675">
        <v>14043.0</v>
      </c>
    </row>
    <row r="200">
      <c r="A200" s="10" t="str">
        <f>IFERROR(__xludf.DUMMYFUNCTION("""COMPUTED_VALUE"""),"XJO")</f>
        <v>XJO</v>
      </c>
      <c r="B200" s="10">
        <f>IFERROR(__xludf.DUMMYFUNCTION("""COMPUTED_VALUE"""),9782.0)</f>
        <v>9782</v>
      </c>
      <c r="C200" s="10"/>
      <c r="D200" s="10"/>
      <c r="E200" s="10"/>
      <c r="F200" s="10"/>
      <c r="G200" s="10"/>
      <c r="H200" s="10"/>
      <c r="I200" s="676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675" t="s">
        <v>18727</v>
      </c>
      <c r="V200" s="675">
        <v>14156.0</v>
      </c>
    </row>
    <row r="201">
      <c r="A201" s="10" t="str">
        <f>IFERROR(__xludf.DUMMYFUNCTION("""COMPUTED_VALUE"""),"AZIM")</f>
        <v>AZIM</v>
      </c>
      <c r="B201" s="10">
        <f>IFERROR(__xludf.DUMMYFUNCTION("""COMPUTED_VALUE"""),14261.0)</f>
        <v>14261</v>
      </c>
      <c r="C201" s="10"/>
      <c r="D201" s="10"/>
      <c r="E201" s="10"/>
      <c r="F201" s="10"/>
      <c r="G201" s="10"/>
      <c r="H201" s="10"/>
      <c r="I201" s="676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675" t="s">
        <v>18728</v>
      </c>
      <c r="V201" s="675">
        <v>14050.0</v>
      </c>
    </row>
    <row r="202">
      <c r="A202" s="10" t="str">
        <f>IFERROR(__xludf.DUMMYFUNCTION("""COMPUTED_VALUE"""),"NOURANO")</f>
        <v>NOURANO</v>
      </c>
      <c r="B202" s="10">
        <f>IFERROR(__xludf.DUMMYFUNCTION("""COMPUTED_VALUE"""),13335.0)</f>
        <v>13335</v>
      </c>
      <c r="C202" s="10"/>
      <c r="D202" s="10"/>
      <c r="E202" s="10"/>
      <c r="F202" s="10"/>
      <c r="G202" s="10"/>
      <c r="H202" s="10"/>
      <c r="I202" s="676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675" t="s">
        <v>18729</v>
      </c>
      <c r="V202" s="675">
        <v>14163.0</v>
      </c>
    </row>
    <row r="203">
      <c r="A203" s="10" t="str">
        <f>IFERROR(__xludf.DUMMYFUNCTION("""COMPUTED_VALUE"""),"SIXXX")</f>
        <v>SIXXX</v>
      </c>
      <c r="B203" s="10">
        <f>IFERROR(__xludf.DUMMYFUNCTION("""COMPUTED_VALUE"""),12363.0)</f>
        <v>12363</v>
      </c>
      <c r="C203" s="10"/>
      <c r="D203" s="10"/>
      <c r="E203" s="10"/>
      <c r="F203" s="10"/>
      <c r="G203" s="10"/>
      <c r="H203" s="10"/>
      <c r="I203" s="676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675" t="s">
        <v>18730</v>
      </c>
      <c r="V203" s="675">
        <v>14032.0</v>
      </c>
    </row>
    <row r="204">
      <c r="A204" s="10" t="str">
        <f>IFERROR(__xludf.DUMMYFUNCTION("""COMPUTED_VALUE"""),"NAFISA")</f>
        <v>NAFISA</v>
      </c>
      <c r="B204" s="10">
        <f>IFERROR(__xludf.DUMMYFUNCTION("""COMPUTED_VALUE"""),14027.0)</f>
        <v>14027</v>
      </c>
      <c r="C204" s="10"/>
      <c r="D204" s="10"/>
      <c r="E204" s="10"/>
      <c r="F204" s="10"/>
      <c r="G204" s="10"/>
      <c r="H204" s="10"/>
      <c r="I204" s="676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675" t="s">
        <v>18731</v>
      </c>
      <c r="V204" s="675">
        <v>14019.0</v>
      </c>
    </row>
    <row r="205">
      <c r="A205" s="10" t="str">
        <f>IFERROR(__xludf.DUMMYFUNCTION("""COMPUTED_VALUE"""),"WLI")</f>
        <v>WLI</v>
      </c>
      <c r="B205" s="10">
        <f>IFERROR(__xludf.DUMMYFUNCTION("""COMPUTED_VALUE"""),13219.0)</f>
        <v>13219</v>
      </c>
      <c r="C205" s="10"/>
      <c r="D205" s="10"/>
      <c r="E205" s="10"/>
      <c r="F205" s="10"/>
      <c r="G205" s="10"/>
      <c r="H205" s="10"/>
      <c r="I205" s="676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675" t="s">
        <v>18732</v>
      </c>
      <c r="V205" s="675">
        <v>14006.0</v>
      </c>
    </row>
    <row r="206">
      <c r="A206" s="10" t="str">
        <f>IFERROR(__xludf.DUMMYFUNCTION("""COMPUTED_VALUE"""),"IILLI")</f>
        <v>IILLI</v>
      </c>
      <c r="B206" s="10">
        <f>IFERROR(__xludf.DUMMYFUNCTION("""COMPUTED_VALUE"""),9619.0)</f>
        <v>9619</v>
      </c>
      <c r="C206" s="10"/>
      <c r="D206" s="10"/>
      <c r="E206" s="10"/>
      <c r="F206" s="10"/>
      <c r="G206" s="10"/>
      <c r="H206" s="10"/>
      <c r="I206" s="676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675" t="s">
        <v>18733</v>
      </c>
      <c r="V206" s="675">
        <v>14016.0</v>
      </c>
    </row>
    <row r="207">
      <c r="A207" s="10" t="str">
        <f>IFERROR(__xludf.DUMMYFUNCTION("""COMPUTED_VALUE"""),"REMIX")</f>
        <v>REMIX</v>
      </c>
      <c r="B207" s="10">
        <f>IFERROR(__xludf.DUMMYFUNCTION("""COMPUTED_VALUE"""),14304.0)</f>
        <v>14304</v>
      </c>
      <c r="C207" s="10"/>
      <c r="D207" s="10"/>
      <c r="E207" s="10"/>
      <c r="F207" s="10"/>
      <c r="G207" s="10"/>
      <c r="H207" s="10"/>
      <c r="I207" s="676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675" t="s">
        <v>18734</v>
      </c>
      <c r="V207" s="675">
        <v>13992.0</v>
      </c>
    </row>
    <row r="208">
      <c r="A208" s="10" t="str">
        <f>IFERROR(__xludf.DUMMYFUNCTION("""COMPUTED_VALUE"""),"RHAX")</f>
        <v>RHAX</v>
      </c>
      <c r="B208" s="10">
        <f>IFERROR(__xludf.DUMMYFUNCTION("""COMPUTED_VALUE"""),12156.0)</f>
        <v>12156</v>
      </c>
      <c r="C208" s="10"/>
      <c r="D208" s="10"/>
      <c r="E208" s="10"/>
      <c r="F208" s="10"/>
      <c r="G208" s="10"/>
      <c r="H208" s="10"/>
      <c r="I208" s="676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675" t="s">
        <v>18735</v>
      </c>
      <c r="V208" s="675">
        <v>14026.0</v>
      </c>
    </row>
    <row r="209">
      <c r="A209" s="10" t="str">
        <f>IFERROR(__xludf.DUMMYFUNCTION("""COMPUTED_VALUE"""),"ZEE")</f>
        <v>ZEE</v>
      </c>
      <c r="B209" s="10">
        <f>IFERROR(__xludf.DUMMYFUNCTION("""COMPUTED_VALUE"""),13933.0)</f>
        <v>13933</v>
      </c>
      <c r="C209" s="10"/>
      <c r="D209" s="10"/>
      <c r="E209" s="10"/>
      <c r="F209" s="10"/>
      <c r="G209" s="10"/>
      <c r="H209" s="10"/>
      <c r="I209" s="676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675" t="s">
        <v>18736</v>
      </c>
      <c r="V209" s="675">
        <v>11153.0</v>
      </c>
    </row>
    <row r="210">
      <c r="A210" s="10" t="str">
        <f>IFERROR(__xludf.DUMMYFUNCTION("""COMPUTED_VALUE"""),"JUD")</f>
        <v>JUD</v>
      </c>
      <c r="B210" s="10">
        <f>IFERROR(__xludf.DUMMYFUNCTION("""COMPUTED_VALUE"""),14082.0)</f>
        <v>14082</v>
      </c>
      <c r="C210" s="10"/>
      <c r="D210" s="10"/>
      <c r="E210" s="10"/>
      <c r="F210" s="10"/>
      <c r="G210" s="10"/>
      <c r="H210" s="10"/>
      <c r="I210" s="676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675" t="s">
        <v>18737</v>
      </c>
      <c r="V210" s="675">
        <v>13970.0</v>
      </c>
    </row>
    <row r="211">
      <c r="A211" s="10" t="str">
        <f>IFERROR(__xludf.DUMMYFUNCTION("""COMPUTED_VALUE"""),"ASXXXX")</f>
        <v>ASXXXX</v>
      </c>
      <c r="B211" s="10">
        <f>IFERROR(__xludf.DUMMYFUNCTION("""COMPUTED_VALUE"""),1.0)</f>
        <v>1</v>
      </c>
      <c r="C211" s="10"/>
      <c r="D211" s="10"/>
      <c r="E211" s="10"/>
      <c r="F211" s="10"/>
      <c r="G211" s="10"/>
      <c r="H211" s="10"/>
      <c r="I211" s="676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675" t="s">
        <v>18738</v>
      </c>
      <c r="V211" s="675">
        <v>14346.0</v>
      </c>
    </row>
    <row r="212">
      <c r="A212" s="10" t="str">
        <f>IFERROR(__xludf.DUMMYFUNCTION("""COMPUTED_VALUE"""),"DINAAA")</f>
        <v>DINAAA</v>
      </c>
      <c r="B212" s="10">
        <f>IFERROR(__xludf.DUMMYFUNCTION("""COMPUTED_VALUE"""),285.0)</f>
        <v>285</v>
      </c>
      <c r="C212" s="10"/>
      <c r="D212" s="10"/>
      <c r="E212" s="10"/>
      <c r="F212" s="10"/>
      <c r="G212" s="10"/>
      <c r="H212" s="10"/>
      <c r="I212" s="676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675" t="s">
        <v>18739</v>
      </c>
      <c r="V212" s="675">
        <v>14082.0</v>
      </c>
    </row>
    <row r="213">
      <c r="A213" s="10" t="str">
        <f>IFERROR(__xludf.DUMMYFUNCTION("""COMPUTED_VALUE"""),"LOLL")</f>
        <v>LOLL</v>
      </c>
      <c r="B213" s="10">
        <f>IFERROR(__xludf.DUMMYFUNCTION("""COMPUTED_VALUE"""),14493.0)</f>
        <v>14493</v>
      </c>
      <c r="C213" s="10"/>
      <c r="D213" s="10"/>
      <c r="E213" s="10"/>
      <c r="F213" s="10"/>
      <c r="G213" s="10"/>
      <c r="H213" s="10"/>
      <c r="I213" s="676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675" t="s">
        <v>18740</v>
      </c>
      <c r="V213" s="675">
        <v>13993.0</v>
      </c>
    </row>
    <row r="214">
      <c r="A214" s="10" t="str">
        <f>IFERROR(__xludf.DUMMYFUNCTION("""COMPUTED_VALUE"""),"FAKH")</f>
        <v>FAKH</v>
      </c>
      <c r="B214" s="10">
        <f>IFERROR(__xludf.DUMMYFUNCTION("""COMPUTED_VALUE"""),14050.0)</f>
        <v>14050</v>
      </c>
      <c r="C214" s="10"/>
      <c r="D214" s="10"/>
      <c r="E214" s="10"/>
      <c r="F214" s="10"/>
      <c r="G214" s="10"/>
      <c r="H214" s="10"/>
      <c r="I214" s="676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675" t="s">
        <v>18741</v>
      </c>
      <c r="V214" s="675">
        <v>11554.0</v>
      </c>
    </row>
    <row r="215">
      <c r="A215" s="10" t="str">
        <f>IFERROR(__xludf.DUMMYFUNCTION("""COMPUTED_VALUE"""),"MIXJ")</f>
        <v>MIXJ</v>
      </c>
      <c r="B215" s="10">
        <f>IFERROR(__xludf.DUMMYFUNCTION("""COMPUTED_VALUE"""),9657.0)</f>
        <v>9657</v>
      </c>
      <c r="C215" s="10"/>
      <c r="D215" s="10"/>
      <c r="E215" s="10"/>
      <c r="F215" s="10"/>
      <c r="G215" s="10"/>
      <c r="H215" s="10"/>
      <c r="I215" s="676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675" t="s">
        <v>18742</v>
      </c>
      <c r="V215" s="675">
        <v>13879.0</v>
      </c>
    </row>
    <row r="216">
      <c r="A216" s="10" t="str">
        <f>IFERROR(__xludf.DUMMYFUNCTION("""COMPUTED_VALUE"""),"SSS")</f>
        <v>SSS</v>
      </c>
      <c r="B216" s="10">
        <f>IFERROR(__xludf.DUMMYFUNCTION("""COMPUTED_VALUE"""),1.0)</f>
        <v>1</v>
      </c>
      <c r="C216" s="10"/>
      <c r="D216" s="10"/>
      <c r="E216" s="10"/>
      <c r="F216" s="10"/>
      <c r="G216" s="10"/>
      <c r="H216" s="10"/>
      <c r="I216" s="676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675" t="s">
        <v>18743</v>
      </c>
      <c r="V216" s="675">
        <v>13313.0</v>
      </c>
    </row>
    <row r="217">
      <c r="A217" s="10" t="str">
        <f>IFERROR(__xludf.DUMMYFUNCTION("""COMPUTED_VALUE"""),"ROOZA")</f>
        <v>ROOZA</v>
      </c>
      <c r="B217" s="10">
        <f>IFERROR(__xludf.DUMMYFUNCTION("""COMPUTED_VALUE"""),13313.0)</f>
        <v>13313</v>
      </c>
      <c r="C217" s="10"/>
      <c r="D217" s="10"/>
      <c r="E217" s="10"/>
      <c r="F217" s="10"/>
      <c r="G217" s="10"/>
      <c r="H217" s="10"/>
      <c r="I217" s="676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675" t="s">
        <v>18744</v>
      </c>
      <c r="V217" s="675">
        <v>13338.0</v>
      </c>
    </row>
    <row r="218">
      <c r="A218" s="10" t="str">
        <f>IFERROR(__xludf.DUMMYFUNCTION("""COMPUTED_VALUE"""),"MEMAC")</f>
        <v>MEMAC</v>
      </c>
      <c r="B218" s="10">
        <f>IFERROR(__xludf.DUMMYFUNCTION("""COMPUTED_VALUE"""),9796.0)</f>
        <v>9796</v>
      </c>
      <c r="C218" s="10"/>
      <c r="D218" s="10"/>
      <c r="E218" s="10"/>
      <c r="F218" s="10"/>
      <c r="G218" s="10"/>
      <c r="H218" s="10"/>
      <c r="I218" s="676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675" t="s">
        <v>18745</v>
      </c>
      <c r="V218" s="675">
        <v>13339.0</v>
      </c>
    </row>
    <row r="219">
      <c r="A219" s="10" t="str">
        <f>IFERROR(__xludf.DUMMYFUNCTION("""COMPUTED_VALUE"""),"ASASY")</f>
        <v>ASASY</v>
      </c>
      <c r="B219" s="10">
        <f>IFERROR(__xludf.DUMMYFUNCTION("""COMPUTED_VALUE"""),14072.0)</f>
        <v>14072</v>
      </c>
      <c r="C219" s="10"/>
      <c r="D219" s="10"/>
      <c r="E219" s="10"/>
      <c r="F219" s="10"/>
      <c r="G219" s="10"/>
      <c r="H219" s="10"/>
      <c r="I219" s="674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675" t="s">
        <v>18746</v>
      </c>
      <c r="V219" s="675">
        <v>14027.0</v>
      </c>
    </row>
    <row r="220">
      <c r="A220" s="10" t="str">
        <f>IFERROR(__xludf.DUMMYFUNCTION("""COMPUTED_VALUE"""),"LIIXXX")</f>
        <v>LIIXXX</v>
      </c>
      <c r="B220" s="10">
        <f>IFERROR(__xludf.DUMMYFUNCTION("""COMPUTED_VALUE"""),12773.0)</f>
        <v>12773</v>
      </c>
      <c r="C220" s="10"/>
      <c r="D220" s="10"/>
      <c r="E220" s="10"/>
      <c r="F220" s="10"/>
      <c r="G220" s="10"/>
      <c r="H220" s="10"/>
      <c r="I220" s="674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675" t="s">
        <v>17381</v>
      </c>
      <c r="V220" s="675">
        <v>14076.0</v>
      </c>
    </row>
    <row r="221">
      <c r="A221" s="10" t="str">
        <f>IFERROR(__xludf.DUMMYFUNCTION("""COMPUTED_VALUE"""),"SARASE")</f>
        <v>SARASE</v>
      </c>
      <c r="B221" s="10">
        <f>IFERROR(__xludf.DUMMYFUNCTION("""COMPUTED_VALUE"""),14223.0)</f>
        <v>14223</v>
      </c>
      <c r="C221" s="10"/>
      <c r="D221" s="10"/>
      <c r="E221" s="10"/>
      <c r="F221" s="10"/>
      <c r="G221" s="10"/>
      <c r="H221" s="10"/>
      <c r="I221" s="674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675" t="s">
        <v>18747</v>
      </c>
      <c r="V221" s="675">
        <v>13996.0</v>
      </c>
    </row>
    <row r="222">
      <c r="A222" s="10" t="str">
        <f>IFERROR(__xludf.DUMMYFUNCTION("""COMPUTED_VALUE"""),"NOOMFWW")</f>
        <v>NOOMFWW</v>
      </c>
      <c r="B222" s="10">
        <f>IFERROR(__xludf.DUMMYFUNCTION("""COMPUTED_VALUE"""),1.0)</f>
        <v>1</v>
      </c>
      <c r="C222" s="10"/>
      <c r="D222" s="10"/>
      <c r="E222" s="10"/>
      <c r="F222" s="10"/>
      <c r="G222" s="10"/>
      <c r="H222" s="10"/>
      <c r="I222" s="674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675" t="s">
        <v>18748</v>
      </c>
      <c r="V222" s="675">
        <v>14062.0</v>
      </c>
    </row>
    <row r="223">
      <c r="A223" s="10" t="str">
        <f>IFERROR(__xludf.DUMMYFUNCTION("""COMPUTED_VALUE"""),"SAHABX")</f>
        <v>SAHABX</v>
      </c>
      <c r="B223" s="10">
        <f>IFERROR(__xludf.DUMMYFUNCTION("""COMPUTED_VALUE"""),14163.0)</f>
        <v>14163</v>
      </c>
      <c r="C223" s="10"/>
      <c r="D223" s="10"/>
      <c r="E223" s="10"/>
      <c r="F223" s="10"/>
      <c r="G223" s="10"/>
      <c r="H223" s="10"/>
      <c r="I223" s="674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675" t="s">
        <v>18749</v>
      </c>
      <c r="V223" s="675">
        <v>14057.0</v>
      </c>
    </row>
    <row r="224">
      <c r="A224" s="10" t="str">
        <f>IFERROR(__xludf.DUMMYFUNCTION("""COMPUTED_VALUE"""),"HILA")</f>
        <v>HILA</v>
      </c>
      <c r="B224" s="10">
        <f>IFERROR(__xludf.DUMMYFUNCTION("""COMPUTED_VALUE"""),10363.0)</f>
        <v>10363</v>
      </c>
      <c r="C224" s="10"/>
      <c r="D224" s="10"/>
      <c r="E224" s="10"/>
      <c r="F224" s="10"/>
      <c r="G224" s="10"/>
      <c r="H224" s="10"/>
      <c r="I224" s="674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675" t="s">
        <v>18750</v>
      </c>
      <c r="V224" s="675">
        <v>14035.0</v>
      </c>
    </row>
    <row r="225">
      <c r="A225" s="10" t="str">
        <f>IFERROR(__xludf.DUMMYFUNCTION("""COMPUTED_VALUE"""),"BYDI")</f>
        <v>BYDI</v>
      </c>
      <c r="B225" s="10">
        <f>IFERROR(__xludf.DUMMYFUNCTION("""COMPUTED_VALUE"""),1.0)</f>
        <v>1</v>
      </c>
      <c r="C225" s="10"/>
      <c r="D225" s="10"/>
      <c r="E225" s="10"/>
      <c r="F225" s="10"/>
      <c r="G225" s="10"/>
      <c r="H225" s="10"/>
      <c r="I225" s="674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675" t="s">
        <v>18751</v>
      </c>
      <c r="V225" s="675">
        <v>14034.0</v>
      </c>
    </row>
    <row r="226">
      <c r="A226" s="10" t="str">
        <f>IFERROR(__xludf.DUMMYFUNCTION("""COMPUTED_VALUE"""),"FFL")</f>
        <v>FFL</v>
      </c>
      <c r="B226" s="10">
        <f>IFERROR(__xludf.DUMMYFUNCTION("""COMPUTED_VALUE"""),14346.0)</f>
        <v>14346</v>
      </c>
      <c r="C226" s="10"/>
      <c r="D226" s="10"/>
      <c r="E226" s="10"/>
      <c r="F226" s="10"/>
      <c r="G226" s="10"/>
      <c r="H226" s="10"/>
      <c r="I226" s="674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675" t="s">
        <v>18752</v>
      </c>
      <c r="V226" s="675">
        <v>14029.0</v>
      </c>
    </row>
    <row r="227">
      <c r="A227" s="10" t="str">
        <f>IFERROR(__xludf.DUMMYFUNCTION("""COMPUTED_VALUE"""),"ORAN")</f>
        <v>ORAN</v>
      </c>
      <c r="B227" s="10">
        <f>IFERROR(__xludf.DUMMYFUNCTION("""COMPUTED_VALUE"""),12225.0)</f>
        <v>12225</v>
      </c>
      <c r="C227" s="10"/>
      <c r="D227" s="10"/>
      <c r="E227" s="10"/>
      <c r="F227" s="10"/>
      <c r="G227" s="10"/>
      <c r="H227" s="10"/>
      <c r="I227" s="674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675" t="s">
        <v>18753</v>
      </c>
      <c r="V227" s="675">
        <v>13958.0</v>
      </c>
    </row>
    <row r="228">
      <c r="A228" s="10" t="str">
        <f>IFERROR(__xludf.DUMMYFUNCTION("""COMPUTED_VALUE"""),"SERI")</f>
        <v>SERI</v>
      </c>
      <c r="B228" s="10">
        <f>IFERROR(__xludf.DUMMYFUNCTION("""COMPUTED_VALUE"""),1.0)</f>
        <v>1</v>
      </c>
      <c r="C228" s="10"/>
      <c r="D228" s="10"/>
      <c r="E228" s="10"/>
      <c r="F228" s="10"/>
      <c r="G228" s="10"/>
      <c r="H228" s="10"/>
      <c r="I228" s="674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675" t="s">
        <v>18754</v>
      </c>
      <c r="V228" s="675">
        <v>13963.0</v>
      </c>
    </row>
    <row r="229">
      <c r="A229" s="10" t="str">
        <f>IFERROR(__xludf.DUMMYFUNCTION("""COMPUTED_VALUE"""),"SHUQ")</f>
        <v>SHUQ</v>
      </c>
      <c r="B229" s="10">
        <f>IFERROR(__xludf.DUMMYFUNCTION("""COMPUTED_VALUE"""),14160.0)</f>
        <v>14160</v>
      </c>
      <c r="C229" s="10"/>
      <c r="D229" s="10"/>
      <c r="E229" s="10"/>
      <c r="F229" s="10"/>
      <c r="G229" s="10"/>
      <c r="H229" s="10"/>
      <c r="I229" s="674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675" t="s">
        <v>18755</v>
      </c>
      <c r="V229" s="675">
        <v>13950.0</v>
      </c>
    </row>
    <row r="230">
      <c r="A230" s="10" t="str">
        <f>IFERROR(__xludf.DUMMYFUNCTION("""COMPUTED_VALUE"""),"UMF")</f>
        <v>UMF</v>
      </c>
      <c r="B230" s="10">
        <f>IFERROR(__xludf.DUMMYFUNCTION("""COMPUTED_VALUE"""),13536.0)</f>
        <v>13536</v>
      </c>
      <c r="C230" s="10"/>
      <c r="D230" s="10"/>
      <c r="E230" s="10"/>
      <c r="F230" s="10"/>
      <c r="G230" s="10"/>
      <c r="H230" s="10"/>
      <c r="I230" s="674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675" t="s">
        <v>18756</v>
      </c>
      <c r="V230" s="675">
        <v>13946.0</v>
      </c>
    </row>
    <row r="231">
      <c r="A231" s="10" t="str">
        <f>IFERROR(__xludf.DUMMYFUNCTION("""COMPUTED_VALUE"""),"OFC")</f>
        <v>OFC</v>
      </c>
      <c r="B231" s="10">
        <f>IFERROR(__xludf.DUMMYFUNCTION("""COMPUTED_VALUE"""),13946.0)</f>
        <v>13946</v>
      </c>
      <c r="C231" s="10"/>
      <c r="D231" s="10"/>
      <c r="E231" s="10"/>
      <c r="F231" s="10"/>
      <c r="G231" s="10"/>
      <c r="H231" s="10"/>
      <c r="I231" s="674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675" t="s">
        <v>18757</v>
      </c>
      <c r="V231" s="675">
        <v>14281.0</v>
      </c>
    </row>
    <row r="232">
      <c r="A232" s="10" t="str">
        <f>IFERROR(__xludf.DUMMYFUNCTION("""COMPUTED_VALUE"""),"RADWAX")</f>
        <v>RADWAX</v>
      </c>
      <c r="B232" s="10">
        <f>IFERROR(__xludf.DUMMYFUNCTION("""COMPUTED_VALUE"""),1.0)</f>
        <v>1</v>
      </c>
      <c r="C232" s="10"/>
      <c r="D232" s="10"/>
      <c r="E232" s="10"/>
      <c r="F232" s="10"/>
      <c r="G232" s="10"/>
      <c r="H232" s="10"/>
      <c r="I232" s="674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675" t="s">
        <v>18758</v>
      </c>
      <c r="V232" s="675">
        <v>13933.0</v>
      </c>
    </row>
    <row r="233">
      <c r="A233" s="10" t="str">
        <f>IFERROR(__xludf.DUMMYFUNCTION("""COMPUTED_VALUE"""),"SAMIAJ")</f>
        <v>SAMIAJ</v>
      </c>
      <c r="B233" s="10">
        <f>IFERROR(__xludf.DUMMYFUNCTION("""COMPUTED_VALUE"""),9568.0)</f>
        <v>9568</v>
      </c>
      <c r="C233" s="10"/>
      <c r="D233" s="10"/>
      <c r="E233" s="10"/>
      <c r="F233" s="10"/>
      <c r="G233" s="10"/>
      <c r="H233" s="10"/>
      <c r="I233" s="674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675" t="s">
        <v>18759</v>
      </c>
      <c r="V233" s="675">
        <v>13930.0</v>
      </c>
    </row>
    <row r="234">
      <c r="A234" s="10" t="str">
        <f>IFERROR(__xludf.DUMMYFUNCTION("""COMPUTED_VALUE"""),"NOOORX")</f>
        <v>NOOORX</v>
      </c>
      <c r="B234" s="10">
        <f>IFERROR(__xludf.DUMMYFUNCTION("""COMPUTED_VALUE"""),10612.0)</f>
        <v>10612</v>
      </c>
      <c r="C234" s="10"/>
      <c r="D234" s="10"/>
      <c r="E234" s="10"/>
      <c r="F234" s="10"/>
      <c r="G234" s="10"/>
      <c r="H234" s="10"/>
      <c r="I234" s="674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675" t="s">
        <v>18760</v>
      </c>
      <c r="V234" s="675">
        <v>13932.0</v>
      </c>
    </row>
    <row r="235">
      <c r="A235" s="10" t="str">
        <f>IFERROR(__xludf.DUMMYFUNCTION("""COMPUTED_VALUE"""),"YCI")</f>
        <v>YCI</v>
      </c>
      <c r="B235" s="10">
        <f>IFERROR(__xludf.DUMMYFUNCTION("""COMPUTED_VALUE"""),14114.0)</f>
        <v>14114</v>
      </c>
      <c r="C235" s="10"/>
      <c r="D235" s="10"/>
      <c r="E235" s="10"/>
      <c r="F235" s="10"/>
      <c r="G235" s="10"/>
      <c r="H235" s="10"/>
      <c r="I235" s="674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675" t="s">
        <v>18761</v>
      </c>
      <c r="V235" s="675">
        <v>13936.0</v>
      </c>
    </row>
    <row r="236">
      <c r="A236" s="10" t="str">
        <f>IFERROR(__xludf.DUMMYFUNCTION("""COMPUTED_VALUE"""),"TROL")</f>
        <v>TROL</v>
      </c>
      <c r="B236" s="10">
        <f>IFERROR(__xludf.DUMMYFUNCTION("""COMPUTED_VALUE"""),14365.0)</f>
        <v>14365</v>
      </c>
      <c r="C236" s="10"/>
      <c r="D236" s="10"/>
      <c r="E236" s="10"/>
      <c r="F236" s="10"/>
      <c r="G236" s="10"/>
      <c r="H236" s="10"/>
      <c r="I236" s="674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675" t="s">
        <v>18762</v>
      </c>
      <c r="V236" s="675">
        <v>13937.0</v>
      </c>
    </row>
    <row r="237">
      <c r="A237" s="10" t="str">
        <f>IFERROR(__xludf.DUMMYFUNCTION("""COMPUTED_VALUE"""),"REABS")</f>
        <v>REABS</v>
      </c>
      <c r="B237" s="10">
        <f>IFERROR(__xludf.DUMMYFUNCTION("""COMPUTED_VALUE"""),7699.0)</f>
        <v>7699</v>
      </c>
      <c r="C237" s="10"/>
      <c r="D237" s="10"/>
      <c r="E237" s="10"/>
      <c r="F237" s="10"/>
      <c r="G237" s="10"/>
      <c r="H237" s="10"/>
      <c r="I237" s="674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675" t="s">
        <v>18763</v>
      </c>
      <c r="V237" s="675">
        <v>13929.0</v>
      </c>
    </row>
    <row r="238">
      <c r="A238" s="10" t="str">
        <f>IFERROR(__xludf.DUMMYFUNCTION("""COMPUTED_VALUE"""),"SEBA")</f>
        <v>SEBA</v>
      </c>
      <c r="B238" s="10">
        <f>IFERROR(__xludf.DUMMYFUNCTION("""COMPUTED_VALUE"""),13307.0)</f>
        <v>13307</v>
      </c>
      <c r="C238" s="10"/>
      <c r="D238" s="10"/>
      <c r="E238" s="10"/>
      <c r="F238" s="10"/>
      <c r="G238" s="10"/>
      <c r="H238" s="10"/>
      <c r="I238" s="674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675" t="s">
        <v>18764</v>
      </c>
      <c r="V238" s="675">
        <v>14223.0</v>
      </c>
    </row>
    <row r="239">
      <c r="A239" s="10" t="str">
        <f>IFERROR(__xludf.DUMMYFUNCTION("""COMPUTED_VALUE"""),"KKK")</f>
        <v>KKK</v>
      </c>
      <c r="B239" s="10">
        <f>IFERROR(__xludf.DUMMYFUNCTION("""COMPUTED_VALUE"""),11877.0)</f>
        <v>11877</v>
      </c>
      <c r="C239" s="10"/>
      <c r="D239" s="10"/>
      <c r="E239" s="10"/>
      <c r="F239" s="10"/>
      <c r="G239" s="10"/>
      <c r="H239" s="10"/>
      <c r="I239" s="674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675" t="s">
        <v>18765</v>
      </c>
      <c r="V239" s="675">
        <v>13928.0</v>
      </c>
    </row>
    <row r="240">
      <c r="A240" s="10" t="str">
        <f>IFERROR(__xludf.DUMMYFUNCTION("""COMPUTED_VALUE"""),"ZIZO")</f>
        <v>ZIZO</v>
      </c>
      <c r="B240" s="10">
        <f>IFERROR(__xludf.DUMMYFUNCTION("""COMPUTED_VALUE"""),1.0)</f>
        <v>1</v>
      </c>
      <c r="C240" s="10"/>
      <c r="D240" s="10"/>
      <c r="E240" s="10"/>
      <c r="F240" s="10"/>
      <c r="G240" s="10"/>
      <c r="H240" s="10"/>
      <c r="I240" s="674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675" t="s">
        <v>18766</v>
      </c>
      <c r="V240" s="675">
        <v>10047.0</v>
      </c>
    </row>
    <row r="241">
      <c r="A241" s="10" t="str">
        <f>IFERROR(__xludf.DUMMYFUNCTION("""COMPUTED_VALUE"""),"SAMAAO")</f>
        <v>SAMAAO</v>
      </c>
      <c r="B241" s="10">
        <f>IFERROR(__xludf.DUMMYFUNCTION("""COMPUTED_VALUE"""),1.0)</f>
        <v>1</v>
      </c>
      <c r="C241" s="10"/>
      <c r="D241" s="10"/>
      <c r="E241" s="10"/>
      <c r="F241" s="10"/>
      <c r="G241" s="10"/>
      <c r="H241" s="10"/>
      <c r="I241" s="674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675" t="s">
        <v>18767</v>
      </c>
      <c r="V241" s="675">
        <v>8696.0</v>
      </c>
    </row>
    <row r="242">
      <c r="A242" s="10" t="str">
        <f>IFERROR(__xludf.DUMMYFUNCTION("""COMPUTED_VALUE"""),"SSD")</f>
        <v>SSD</v>
      </c>
      <c r="B242" s="10">
        <f>IFERROR(__xludf.DUMMYFUNCTION("""COMPUTED_VALUE"""),14210.0)</f>
        <v>14210</v>
      </c>
      <c r="C242" s="10"/>
      <c r="D242" s="10"/>
      <c r="E242" s="10"/>
      <c r="F242" s="10"/>
      <c r="G242" s="10"/>
      <c r="H242" s="10"/>
      <c r="I242" s="674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675" t="s">
        <v>18768</v>
      </c>
      <c r="V242" s="675">
        <v>13921.0</v>
      </c>
    </row>
    <row r="243">
      <c r="A243" s="10" t="str">
        <f>IFERROR(__xludf.DUMMYFUNCTION("""COMPUTED_VALUE"""),"CCII")</f>
        <v>CCII</v>
      </c>
      <c r="B243" s="10">
        <f>IFERROR(__xludf.DUMMYFUNCTION("""COMPUTED_VALUE"""),1.0)</f>
        <v>1</v>
      </c>
      <c r="C243" s="10"/>
      <c r="D243" s="10"/>
      <c r="E243" s="10"/>
      <c r="F243" s="10"/>
      <c r="G243" s="10"/>
      <c r="H243" s="10"/>
      <c r="I243" s="674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675" t="s">
        <v>18769</v>
      </c>
      <c r="V243" s="675">
        <v>13926.0</v>
      </c>
    </row>
    <row r="244">
      <c r="A244" s="10" t="str">
        <f>IFERROR(__xludf.DUMMYFUNCTION("""COMPUTED_VALUE"""),"FASHXXX")</f>
        <v>FASHXXX</v>
      </c>
      <c r="B244" s="10">
        <f>IFERROR(__xludf.DUMMYFUNCTION("""COMPUTED_VALUE"""),8253.0)</f>
        <v>8253</v>
      </c>
      <c r="C244" s="10"/>
      <c r="D244" s="10"/>
      <c r="E244" s="10"/>
      <c r="F244" s="10"/>
      <c r="G244" s="10"/>
      <c r="H244" s="10"/>
      <c r="I244" s="674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675" t="s">
        <v>18770</v>
      </c>
      <c r="V244" s="675">
        <v>13915.0</v>
      </c>
    </row>
    <row r="245">
      <c r="A245" s="10" t="str">
        <f>IFERROR(__xludf.DUMMYFUNCTION("""COMPUTED_VALUE"""),"NMR")</f>
        <v>NMR</v>
      </c>
      <c r="B245" s="10">
        <f>IFERROR(__xludf.DUMMYFUNCTION("""COMPUTED_VALUE"""),8486.0)</f>
        <v>8486</v>
      </c>
      <c r="C245" s="10"/>
      <c r="D245" s="10"/>
      <c r="E245" s="10"/>
      <c r="F245" s="10"/>
      <c r="G245" s="10"/>
      <c r="H245" s="10"/>
      <c r="I245" s="674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675" t="s">
        <v>18771</v>
      </c>
      <c r="V245" s="675">
        <v>13880.0</v>
      </c>
    </row>
    <row r="246">
      <c r="A246" s="10" t="str">
        <f>IFERROR(__xludf.DUMMYFUNCTION("""COMPUTED_VALUE"""),"LIFFE")</f>
        <v>LIFFE</v>
      </c>
      <c r="B246" s="10">
        <f>IFERROR(__xludf.DUMMYFUNCTION("""COMPUTED_VALUE"""),10861.0)</f>
        <v>10861</v>
      </c>
      <c r="C246" s="10"/>
      <c r="D246" s="10"/>
      <c r="E246" s="10"/>
      <c r="F246" s="10"/>
      <c r="G246" s="10"/>
      <c r="H246" s="10"/>
      <c r="I246" s="674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675" t="s">
        <v>18772</v>
      </c>
      <c r="V246" s="675">
        <v>6706.0</v>
      </c>
    </row>
    <row r="247">
      <c r="A247" s="10" t="str">
        <f>IFERROR(__xludf.DUMMYFUNCTION("""COMPUTED_VALUE"""),"RRAL")</f>
        <v>RRAL</v>
      </c>
      <c r="B247" s="10">
        <f>IFERROR(__xludf.DUMMYFUNCTION("""COMPUTED_VALUE"""),14469.0)</f>
        <v>14469</v>
      </c>
      <c r="C247" s="10"/>
      <c r="D247" s="10"/>
      <c r="E247" s="10"/>
      <c r="F247" s="10"/>
      <c r="G247" s="10"/>
      <c r="H247" s="10"/>
      <c r="I247" s="674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675" t="s">
        <v>18773</v>
      </c>
      <c r="V247" s="675">
        <v>285.0</v>
      </c>
    </row>
    <row r="248">
      <c r="A248" s="10" t="str">
        <f>IFERROR(__xludf.DUMMYFUNCTION("""COMPUTED_VALUE"""),"SIZA")</f>
        <v>SIZA</v>
      </c>
      <c r="B248" s="10">
        <f>IFERROR(__xludf.DUMMYFUNCTION("""COMPUTED_VALUE"""),1.0)</f>
        <v>1</v>
      </c>
      <c r="C248" s="10"/>
      <c r="D248" s="10"/>
      <c r="E248" s="10"/>
      <c r="F248" s="10"/>
      <c r="G248" s="10"/>
      <c r="H248" s="10"/>
      <c r="I248" s="674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675" t="s">
        <v>18774</v>
      </c>
      <c r="V248" s="675">
        <v>13881.0</v>
      </c>
    </row>
    <row r="249">
      <c r="A249" s="10" t="str">
        <f>IFERROR(__xludf.DUMMYFUNCTION("""COMPUTED_VALUE"""),"WALL")</f>
        <v>WALL</v>
      </c>
      <c r="B249" s="10">
        <f>IFERROR(__xludf.DUMMYFUNCTION("""COMPUTED_VALUE"""),1.0)</f>
        <v>1</v>
      </c>
      <c r="C249" s="10"/>
      <c r="D249" s="10"/>
      <c r="E249" s="10"/>
      <c r="F249" s="10"/>
      <c r="G249" s="10"/>
      <c r="H249" s="10"/>
      <c r="I249" s="674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675" t="s">
        <v>18775</v>
      </c>
      <c r="V249" s="675">
        <v>13902.0</v>
      </c>
    </row>
    <row r="250">
      <c r="A250" s="10" t="str">
        <f>IFERROR(__xludf.DUMMYFUNCTION("""COMPUTED_VALUE"""),"BEACXVM")</f>
        <v>BEACXVM</v>
      </c>
      <c r="B250" s="10">
        <f>IFERROR(__xludf.DUMMYFUNCTION("""COMPUTED_VALUE"""),1.0)</f>
        <v>1</v>
      </c>
      <c r="C250" s="10"/>
      <c r="D250" s="10"/>
      <c r="E250" s="10"/>
      <c r="F250" s="10"/>
      <c r="G250" s="10"/>
      <c r="H250" s="10"/>
      <c r="I250" s="674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675" t="s">
        <v>18776</v>
      </c>
      <c r="V250" s="675">
        <v>13878.0</v>
      </c>
    </row>
    <row r="251">
      <c r="A251" s="10" t="str">
        <f>IFERROR(__xludf.DUMMYFUNCTION("""COMPUTED_VALUE"""),"RANEEXX")</f>
        <v>RANEEXX</v>
      </c>
      <c r="B251" s="10">
        <f>IFERROR(__xludf.DUMMYFUNCTION("""COMPUTED_VALUE"""),1.0)</f>
        <v>1</v>
      </c>
      <c r="C251" s="10"/>
      <c r="D251" s="10"/>
      <c r="E251" s="10"/>
      <c r="F251" s="10"/>
      <c r="G251" s="10"/>
      <c r="H251" s="10"/>
      <c r="I251" s="674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675" t="s">
        <v>18777</v>
      </c>
      <c r="V251" s="675">
        <v>285.0</v>
      </c>
    </row>
    <row r="252">
      <c r="A252" s="10" t="str">
        <f>IFERROR(__xludf.DUMMYFUNCTION("""COMPUTED_VALUE"""),"VZOAX")</f>
        <v>VZOAX</v>
      </c>
      <c r="B252" s="10">
        <f>IFERROR(__xludf.DUMMYFUNCTION("""COMPUTED_VALUE"""),13292.0)</f>
        <v>13292</v>
      </c>
      <c r="C252" s="10"/>
      <c r="D252" s="10"/>
      <c r="E252" s="10"/>
      <c r="F252" s="10"/>
      <c r="G252" s="10"/>
      <c r="H252" s="10"/>
      <c r="I252" s="674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675" t="s">
        <v>18778</v>
      </c>
      <c r="V252" s="675">
        <v>13903.0</v>
      </c>
    </row>
    <row r="253">
      <c r="A253" s="10" t="str">
        <f>IFERROR(__xludf.DUMMYFUNCTION("""COMPUTED_VALUE"""),"TZD")</f>
        <v>TZD</v>
      </c>
      <c r="B253" s="10">
        <f>IFERROR(__xludf.DUMMYFUNCTION("""COMPUTED_VALUE"""),13318.0)</f>
        <v>13318</v>
      </c>
      <c r="C253" s="10"/>
      <c r="D253" s="10"/>
      <c r="E253" s="10"/>
      <c r="F253" s="10"/>
      <c r="G253" s="10"/>
      <c r="H253" s="10"/>
      <c r="I253" s="674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675" t="s">
        <v>18779</v>
      </c>
      <c r="V253" s="675">
        <v>283.0</v>
      </c>
    </row>
    <row r="254">
      <c r="A254" s="10" t="str">
        <f>IFERROR(__xludf.DUMMYFUNCTION("""COMPUTED_VALUE"""),"ALM")</f>
        <v>ALM</v>
      </c>
      <c r="B254" s="10">
        <f>IFERROR(__xludf.DUMMYFUNCTION("""COMPUTED_VALUE"""),14496.0)</f>
        <v>14496</v>
      </c>
      <c r="C254" s="10"/>
      <c r="D254" s="10"/>
      <c r="E254" s="10"/>
      <c r="F254" s="10"/>
      <c r="G254" s="10"/>
      <c r="H254" s="10"/>
      <c r="I254" s="674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675" t="s">
        <v>18780</v>
      </c>
      <c r="V254" s="675">
        <v>13536.0</v>
      </c>
    </row>
    <row r="255">
      <c r="A255" s="10" t="str">
        <f>IFERROR(__xludf.DUMMYFUNCTION("""COMPUTED_VALUE"""),"PRINC")</f>
        <v>PRINC</v>
      </c>
      <c r="B255" s="10">
        <f>IFERROR(__xludf.DUMMYFUNCTION("""COMPUTED_VALUE"""),14585.0)</f>
        <v>14585</v>
      </c>
      <c r="C255" s="10"/>
      <c r="D255" s="10"/>
      <c r="E255" s="10"/>
      <c r="F255" s="10"/>
      <c r="G255" s="10"/>
      <c r="H255" s="10"/>
      <c r="I255" s="674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675" t="s">
        <v>18781</v>
      </c>
      <c r="V255" s="675">
        <v>14012.0</v>
      </c>
    </row>
    <row r="256">
      <c r="A256" s="10" t="str">
        <f>IFERROR(__xludf.DUMMYFUNCTION("""COMPUTED_VALUE"""),"SMOOO")</f>
        <v>SMOOO</v>
      </c>
      <c r="B256" s="10">
        <f>IFERROR(__xludf.DUMMYFUNCTION("""COMPUTED_VALUE"""),13880.0)</f>
        <v>13880</v>
      </c>
      <c r="C256" s="10"/>
      <c r="D256" s="10"/>
      <c r="E256" s="10"/>
      <c r="F256" s="10"/>
      <c r="G256" s="10"/>
      <c r="H256" s="10"/>
      <c r="I256" s="674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675" t="s">
        <v>18782</v>
      </c>
      <c r="V256" s="675">
        <v>13823.0</v>
      </c>
    </row>
    <row r="257">
      <c r="A257" s="10" t="str">
        <f>IFERROR(__xludf.DUMMYFUNCTION("""COMPUTED_VALUE"""),"EVOO")</f>
        <v>EVOO</v>
      </c>
      <c r="B257" s="10">
        <f>IFERROR(__xludf.DUMMYFUNCTION("""COMPUTED_VALUE"""),1.0)</f>
        <v>1</v>
      </c>
      <c r="C257" s="10"/>
      <c r="D257" s="10"/>
      <c r="E257" s="10"/>
      <c r="F257" s="10"/>
      <c r="G257" s="10"/>
      <c r="H257" s="10"/>
      <c r="I257" s="674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675" t="s">
        <v>18783</v>
      </c>
      <c r="V257" s="675">
        <v>285.0</v>
      </c>
    </row>
    <row r="258">
      <c r="A258" s="10" t="str">
        <f>IFERROR(__xludf.DUMMYFUNCTION("""COMPUTED_VALUE"""),"ITR")</f>
        <v>ITR</v>
      </c>
      <c r="B258" s="10">
        <f>IFERROR(__xludf.DUMMYFUNCTION("""COMPUTED_VALUE"""),14255.0)</f>
        <v>14255</v>
      </c>
      <c r="C258" s="10"/>
      <c r="D258" s="10"/>
      <c r="E258" s="10"/>
      <c r="F258" s="10"/>
      <c r="G258" s="10"/>
      <c r="H258" s="10"/>
      <c r="I258" s="674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675" t="s">
        <v>18784</v>
      </c>
      <c r="V258" s="675">
        <v>13939.0</v>
      </c>
    </row>
    <row r="259">
      <c r="A259" s="10" t="str">
        <f>IFERROR(__xludf.DUMMYFUNCTION("""COMPUTED_VALUE"""),"QUSI")</f>
        <v>QUSI</v>
      </c>
      <c r="B259" s="10">
        <f>IFERROR(__xludf.DUMMYFUNCTION("""COMPUTED_VALUE"""),1.0)</f>
        <v>1</v>
      </c>
      <c r="C259" s="10"/>
      <c r="D259" s="10"/>
      <c r="E259" s="10"/>
      <c r="F259" s="10"/>
      <c r="G259" s="10"/>
      <c r="H259" s="10"/>
      <c r="I259" s="674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675" t="s">
        <v>18785</v>
      </c>
      <c r="V259" s="675">
        <v>14224.0</v>
      </c>
    </row>
    <row r="260">
      <c r="A260" s="10" t="str">
        <f>IFERROR(__xludf.DUMMYFUNCTION("""COMPUTED_VALUE"""),"RYF")</f>
        <v>RYF</v>
      </c>
      <c r="B260" s="10">
        <f>IFERROR(__xludf.DUMMYFUNCTION("""COMPUTED_VALUE"""),1.0)</f>
        <v>1</v>
      </c>
      <c r="C260" s="10"/>
      <c r="D260" s="10"/>
      <c r="E260" s="10"/>
      <c r="F260" s="10"/>
      <c r="G260" s="10"/>
      <c r="H260" s="10"/>
      <c r="I260" s="674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675" t="s">
        <v>18786</v>
      </c>
      <c r="V260" s="675">
        <v>13332.0</v>
      </c>
    </row>
    <row r="261">
      <c r="A261" s="10" t="str">
        <f>IFERROR(__xludf.DUMMYFUNCTION("""COMPUTED_VALUE"""),"ZAHO")</f>
        <v>ZAHO</v>
      </c>
      <c r="B261" s="10">
        <f>IFERROR(__xludf.DUMMYFUNCTION("""COMPUTED_VALUE"""),14146.0)</f>
        <v>14146</v>
      </c>
      <c r="C261" s="10"/>
      <c r="D261" s="10"/>
      <c r="E261" s="10"/>
      <c r="F261" s="10"/>
      <c r="G261" s="10"/>
      <c r="H261" s="10"/>
      <c r="I261" s="674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675" t="s">
        <v>18787</v>
      </c>
      <c r="V261" s="675">
        <v>13333.0</v>
      </c>
    </row>
    <row r="262">
      <c r="A262" s="10" t="str">
        <f>IFERROR(__xludf.DUMMYFUNCTION("""COMPUTED_VALUE"""),"ASEELT")</f>
        <v>ASEELT</v>
      </c>
      <c r="B262" s="10">
        <f>IFERROR(__xludf.DUMMYFUNCTION("""COMPUTED_VALUE"""),14451.0)</f>
        <v>14451</v>
      </c>
      <c r="C262" s="10"/>
      <c r="D262" s="10"/>
      <c r="E262" s="10"/>
      <c r="F262" s="10"/>
      <c r="G262" s="10"/>
      <c r="H262" s="10"/>
      <c r="I262" s="674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675" t="s">
        <v>18788</v>
      </c>
      <c r="V262" s="675">
        <v>13897.0</v>
      </c>
    </row>
    <row r="263">
      <c r="A263" s="10" t="str">
        <f>IFERROR(__xludf.DUMMYFUNCTION("""COMPUTED_VALUE"""),"IAMS")</f>
        <v>IAMS</v>
      </c>
      <c r="B263" s="10">
        <f>IFERROR(__xludf.DUMMYFUNCTION("""COMPUTED_VALUE"""),2345.0)</f>
        <v>2345</v>
      </c>
      <c r="C263" s="10"/>
      <c r="D263" s="10"/>
      <c r="E263" s="10"/>
      <c r="F263" s="10"/>
      <c r="G263" s="10"/>
      <c r="H263" s="10"/>
      <c r="I263" s="674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675" t="s">
        <v>18789</v>
      </c>
      <c r="V263" s="675">
        <v>13898.0</v>
      </c>
    </row>
    <row r="264">
      <c r="A264" s="10" t="str">
        <f>IFERROR(__xludf.DUMMYFUNCTION("""COMPUTED_VALUE"""),"YOUR")</f>
        <v>YOUR</v>
      </c>
      <c r="B264" s="10">
        <f>IFERROR(__xludf.DUMMYFUNCTION("""COMPUTED_VALUE"""),14062.0)</f>
        <v>14062</v>
      </c>
      <c r="C264" s="10"/>
      <c r="D264" s="10"/>
      <c r="E264" s="10"/>
      <c r="F264" s="10"/>
      <c r="G264" s="10"/>
      <c r="H264" s="10"/>
      <c r="I264" s="674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675" t="s">
        <v>18790</v>
      </c>
      <c r="V264" s="675">
        <v>13309.0</v>
      </c>
    </row>
    <row r="265">
      <c r="A265" s="10" t="str">
        <f>IFERROR(__xludf.DUMMYFUNCTION("""COMPUTED_VALUE"""),"DALIAX")</f>
        <v>DALIAX</v>
      </c>
      <c r="B265" s="10">
        <f>IFERROR(__xludf.DUMMYFUNCTION("""COMPUTED_VALUE"""),1.0)</f>
        <v>1</v>
      </c>
      <c r="C265" s="10"/>
      <c r="D265" s="10"/>
      <c r="E265" s="10"/>
      <c r="F265" s="10"/>
      <c r="G265" s="10"/>
      <c r="H265" s="10"/>
      <c r="I265" s="674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675" t="s">
        <v>18791</v>
      </c>
      <c r="V265" s="675">
        <v>12572.0</v>
      </c>
    </row>
    <row r="266">
      <c r="A266" s="10" t="str">
        <f>IFERROR(__xludf.DUMMYFUNCTION("""COMPUTED_VALUE"""),"JOJOOX")</f>
        <v>JOJOOX</v>
      </c>
      <c r="B266" s="10">
        <f>IFERROR(__xludf.DUMMYFUNCTION("""COMPUTED_VALUE"""),12160.0)</f>
        <v>12160</v>
      </c>
      <c r="C266" s="10"/>
      <c r="D266" s="10"/>
      <c r="E266" s="10"/>
      <c r="F266" s="10"/>
      <c r="G266" s="10"/>
      <c r="H266" s="10"/>
      <c r="I266" s="674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675" t="s">
        <v>18792</v>
      </c>
      <c r="V266" s="675">
        <v>13319.0</v>
      </c>
    </row>
    <row r="267">
      <c r="A267" s="10" t="str">
        <f>IFERROR(__xludf.DUMMYFUNCTION("""COMPUTED_VALUE"""),"MIDOG")</f>
        <v>MIDOG</v>
      </c>
      <c r="B267" s="10">
        <f>IFERROR(__xludf.DUMMYFUNCTION("""COMPUTED_VALUE"""),14293.0)</f>
        <v>14293</v>
      </c>
      <c r="C267" s="10"/>
      <c r="D267" s="10"/>
      <c r="E267" s="10"/>
      <c r="F267" s="10"/>
      <c r="G267" s="10"/>
      <c r="H267" s="10"/>
      <c r="I267" s="674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675" t="s">
        <v>18793</v>
      </c>
      <c r="V267" s="675">
        <v>13305.0</v>
      </c>
    </row>
    <row r="268">
      <c r="A268" s="10" t="str">
        <f>IFERROR(__xludf.DUMMYFUNCTION("""COMPUTED_VALUE"""),"wxxii")</f>
        <v>wxxii</v>
      </c>
      <c r="B268" s="10">
        <f>IFERROR(__xludf.DUMMYFUNCTION("""COMPUTED_VALUE"""),1.0)</f>
        <v>1</v>
      </c>
      <c r="C268" s="10"/>
      <c r="D268" s="10"/>
      <c r="E268" s="10"/>
      <c r="F268" s="10"/>
      <c r="G268" s="10"/>
      <c r="H268" s="10"/>
      <c r="I268" s="674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675" t="s">
        <v>18794</v>
      </c>
      <c r="V268" s="675">
        <v>11782.0</v>
      </c>
    </row>
    <row r="269">
      <c r="A269" s="10" t="str">
        <f>IFERROR(__xludf.DUMMYFUNCTION("""COMPUTED_VALUE"""),"MEMZ")</f>
        <v>MEMZ</v>
      </c>
      <c r="B269" s="10">
        <f>IFERROR(__xludf.DUMMYFUNCTION("""COMPUTED_VALUE"""),1.0)</f>
        <v>1</v>
      </c>
      <c r="C269" s="10"/>
      <c r="D269" s="10"/>
      <c r="E269" s="10"/>
      <c r="F269" s="10"/>
      <c r="G269" s="10"/>
      <c r="H269" s="10"/>
      <c r="I269" s="674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675" t="s">
        <v>18795</v>
      </c>
      <c r="V269" s="675">
        <v>13307.0</v>
      </c>
    </row>
    <row r="270">
      <c r="A270" s="10" t="str">
        <f>IFERROR(__xludf.DUMMYFUNCTION("""COMPUTED_VALUE"""),"GAD")</f>
        <v>GAD</v>
      </c>
      <c r="B270" s="10">
        <f>IFERROR(__xludf.DUMMYFUNCTION("""COMPUTED_VALUE"""),13932.0)</f>
        <v>13932</v>
      </c>
      <c r="C270" s="10"/>
      <c r="D270" s="10"/>
      <c r="E270" s="10"/>
      <c r="F270" s="10"/>
      <c r="G270" s="10"/>
      <c r="H270" s="10"/>
      <c r="I270" s="674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675" t="s">
        <v>18796</v>
      </c>
      <c r="V270" s="675">
        <v>13314.0</v>
      </c>
    </row>
    <row r="271">
      <c r="A271" s="10" t="str">
        <f>IFERROR(__xludf.DUMMYFUNCTION("""COMPUTED_VALUE"""),"TODAXEY")</f>
        <v>TODAXEY</v>
      </c>
      <c r="B271" s="10">
        <f>IFERROR(__xludf.DUMMYFUNCTION("""COMPUTED_VALUE"""),14322.0)</f>
        <v>14322</v>
      </c>
      <c r="C271" s="10"/>
      <c r="D271" s="10"/>
      <c r="E271" s="10"/>
      <c r="F271" s="10"/>
      <c r="G271" s="10"/>
      <c r="H271" s="10"/>
      <c r="I271" s="674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675" t="s">
        <v>18797</v>
      </c>
      <c r="V271" s="675">
        <v>13316.0</v>
      </c>
    </row>
    <row r="272">
      <c r="A272" s="10" t="str">
        <f>IFERROR(__xludf.DUMMYFUNCTION("""COMPUTED_VALUE"""),"NAIA")</f>
        <v>NAIA</v>
      </c>
      <c r="B272" s="10">
        <f>IFERROR(__xludf.DUMMYFUNCTION("""COMPUTED_VALUE"""),1.0)</f>
        <v>1</v>
      </c>
      <c r="C272" s="10"/>
      <c r="D272" s="10"/>
      <c r="E272" s="10"/>
      <c r="F272" s="10"/>
      <c r="G272" s="10"/>
      <c r="H272" s="10"/>
      <c r="I272" s="674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675" t="s">
        <v>18798</v>
      </c>
      <c r="V272" s="675">
        <v>13318.0</v>
      </c>
    </row>
    <row r="273">
      <c r="A273" s="10" t="str">
        <f>IFERROR(__xludf.DUMMYFUNCTION("""COMPUTED_VALUE"""),"NAAL")</f>
        <v>NAAL</v>
      </c>
      <c r="B273" s="10">
        <f>IFERROR(__xludf.DUMMYFUNCTION("""COMPUTED_VALUE"""),12830.0)</f>
        <v>12830</v>
      </c>
      <c r="C273" s="10"/>
      <c r="D273" s="10"/>
      <c r="E273" s="10"/>
      <c r="F273" s="10"/>
      <c r="G273" s="10"/>
      <c r="H273" s="10"/>
      <c r="I273" s="674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675" t="s">
        <v>18799</v>
      </c>
      <c r="V273" s="675">
        <v>13306.0</v>
      </c>
    </row>
    <row r="274">
      <c r="A274" s="10" t="str">
        <f>IFERROR(__xludf.DUMMYFUNCTION("""COMPUTED_VALUE"""),"IPH")</f>
        <v>IPH</v>
      </c>
      <c r="B274" s="10">
        <f>IFERROR(__xludf.DUMMYFUNCTION("""COMPUTED_VALUE"""),10795.0)</f>
        <v>10795</v>
      </c>
      <c r="C274" s="10"/>
      <c r="D274" s="10"/>
      <c r="E274" s="10"/>
      <c r="F274" s="10"/>
      <c r="G274" s="10"/>
      <c r="H274" s="10"/>
      <c r="I274" s="674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675" t="s">
        <v>18800</v>
      </c>
      <c r="V274" s="675">
        <v>13310.0</v>
      </c>
    </row>
    <row r="275">
      <c r="A275" s="10" t="str">
        <f>IFERROR(__xludf.DUMMYFUNCTION("""COMPUTED_VALUE"""),"VVD")</f>
        <v>VVD</v>
      </c>
      <c r="B275" s="10">
        <f>IFERROR(__xludf.DUMMYFUNCTION("""COMPUTED_VALUE"""),1.0)</f>
        <v>1</v>
      </c>
      <c r="C275" s="10"/>
      <c r="D275" s="10"/>
      <c r="E275" s="10"/>
      <c r="F275" s="10"/>
      <c r="G275" s="10"/>
      <c r="H275" s="10"/>
      <c r="I275" s="674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675" t="s">
        <v>18801</v>
      </c>
      <c r="V275" s="675">
        <v>13292.0</v>
      </c>
    </row>
    <row r="276">
      <c r="A276" s="10" t="str">
        <f>IFERROR(__xludf.DUMMYFUNCTION("""COMPUTED_VALUE"""),"TODAYAI")</f>
        <v>TODAYAI</v>
      </c>
      <c r="B276" s="10">
        <f>IFERROR(__xludf.DUMMYFUNCTION("""COMPUTED_VALUE"""),14335.0)</f>
        <v>14335</v>
      </c>
      <c r="C276" s="10"/>
      <c r="D276" s="10"/>
      <c r="E276" s="10"/>
      <c r="F276" s="10"/>
      <c r="G276" s="10"/>
      <c r="H276" s="10"/>
      <c r="I276" s="674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675" t="s">
        <v>18802</v>
      </c>
      <c r="V276" s="675">
        <v>13315.0</v>
      </c>
    </row>
    <row r="277">
      <c r="A277" s="10" t="str">
        <f>IFERROR(__xludf.DUMMYFUNCTION("""COMPUTED_VALUE"""),"BLOCFXD")</f>
        <v>BLOCFXD</v>
      </c>
      <c r="B277" s="10">
        <f>IFERROR(__xludf.DUMMYFUNCTION("""COMPUTED_VALUE"""),13332.0)</f>
        <v>13332</v>
      </c>
      <c r="C277" s="10"/>
      <c r="D277" s="10"/>
      <c r="E277" s="10"/>
      <c r="F277" s="10"/>
      <c r="G277" s="10"/>
      <c r="H277" s="10"/>
      <c r="I277" s="674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675" t="s">
        <v>18803</v>
      </c>
      <c r="V277" s="675">
        <v>13821.0</v>
      </c>
    </row>
    <row r="278">
      <c r="A278" s="10" t="str">
        <f>IFERROR(__xludf.DUMMYFUNCTION("""COMPUTED_VALUE"""),"DQM")</f>
        <v>DQM</v>
      </c>
      <c r="B278" s="10">
        <f>IFERROR(__xludf.DUMMYFUNCTION("""COMPUTED_VALUE"""),1.0)</f>
        <v>1</v>
      </c>
      <c r="C278" s="10"/>
      <c r="D278" s="10"/>
      <c r="E278" s="10"/>
      <c r="F278" s="10"/>
      <c r="G278" s="10"/>
      <c r="H278" s="10"/>
      <c r="I278" s="674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675" t="s">
        <v>18804</v>
      </c>
      <c r="V278" s="675">
        <v>13203.0</v>
      </c>
    </row>
    <row r="279">
      <c r="A279" s="10" t="str">
        <f>IFERROR(__xludf.DUMMYFUNCTION("""COMPUTED_VALUE"""),"TODANY")</f>
        <v>TODANY</v>
      </c>
      <c r="B279" s="10">
        <f>IFERROR(__xludf.DUMMYFUNCTION("""COMPUTED_VALUE"""),14045.0)</f>
        <v>14045</v>
      </c>
      <c r="C279" s="10"/>
      <c r="D279" s="10"/>
      <c r="E279" s="10"/>
      <c r="F279" s="10"/>
      <c r="G279" s="10"/>
      <c r="H279" s="10"/>
      <c r="I279" s="674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675" t="s">
        <v>18805</v>
      </c>
      <c r="V279" s="675">
        <v>13219.0</v>
      </c>
    </row>
    <row r="280">
      <c r="A280" s="10" t="str">
        <f>IFERROR(__xludf.DUMMYFUNCTION("""COMPUTED_VALUE"""),"HERF")</f>
        <v>HERF</v>
      </c>
      <c r="B280" s="10">
        <f>IFERROR(__xludf.DUMMYFUNCTION("""COMPUTED_VALUE"""),11704.0)</f>
        <v>11704</v>
      </c>
      <c r="C280" s="10"/>
      <c r="D280" s="10"/>
      <c r="E280" s="10"/>
      <c r="F280" s="10"/>
      <c r="G280" s="10"/>
      <c r="H280" s="10"/>
      <c r="I280" s="674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675" t="s">
        <v>18806</v>
      </c>
      <c r="V280" s="675">
        <v>8486.0</v>
      </c>
    </row>
    <row r="281">
      <c r="A281" s="10" t="str">
        <f>IFERROR(__xludf.DUMMYFUNCTION("""COMPUTED_VALUE"""),"BBX")</f>
        <v>BBX</v>
      </c>
      <c r="B281" s="10">
        <f>IFERROR(__xludf.DUMMYFUNCTION("""COMPUTED_VALUE"""),1.0)</f>
        <v>1</v>
      </c>
      <c r="C281" s="10"/>
      <c r="D281" s="10"/>
      <c r="E281" s="10"/>
      <c r="F281" s="10"/>
      <c r="G281" s="10"/>
      <c r="H281" s="10"/>
      <c r="I281" s="674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675" t="s">
        <v>18807</v>
      </c>
      <c r="V281" s="675">
        <v>13088.0</v>
      </c>
    </row>
    <row r="282">
      <c r="A282" s="10" t="str">
        <f>IFERROR(__xludf.DUMMYFUNCTION("""COMPUTED_VALUE"""),"TMA")</f>
        <v>TMA</v>
      </c>
      <c r="B282" s="10">
        <f>IFERROR(__xludf.DUMMYFUNCTION("""COMPUTED_VALUE"""),1.0)</f>
        <v>1</v>
      </c>
      <c r="C282" s="10"/>
      <c r="D282" s="10"/>
      <c r="E282" s="10"/>
      <c r="F282" s="10"/>
      <c r="G282" s="10"/>
      <c r="H282" s="10"/>
      <c r="I282" s="674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675" t="s">
        <v>18808</v>
      </c>
      <c r="V282" s="675">
        <v>13222.0</v>
      </c>
    </row>
    <row r="283">
      <c r="A283" s="10" t="str">
        <f>IFERROR(__xludf.DUMMYFUNCTION("""COMPUTED_VALUE"""),"NOOFH")</f>
        <v>NOOFH</v>
      </c>
      <c r="B283" s="10">
        <f>IFERROR(__xludf.DUMMYFUNCTION("""COMPUTED_VALUE"""),14224.0)</f>
        <v>14224</v>
      </c>
      <c r="C283" s="10"/>
      <c r="D283" s="10"/>
      <c r="E283" s="10"/>
      <c r="F283" s="10"/>
      <c r="G283" s="10"/>
      <c r="H283" s="10"/>
      <c r="I283" s="674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675" t="s">
        <v>18809</v>
      </c>
      <c r="V283" s="675">
        <v>12769.0</v>
      </c>
    </row>
    <row r="284">
      <c r="A284" s="10" t="str">
        <f>IFERROR(__xludf.DUMMYFUNCTION("""COMPUTED_VALUE"""),"DQY")</f>
        <v>DQY</v>
      </c>
      <c r="B284" s="10">
        <f>IFERROR(__xludf.DUMMYFUNCTION("""COMPUTED_VALUE"""),1.0)</f>
        <v>1</v>
      </c>
      <c r="C284" s="10"/>
      <c r="D284" s="10"/>
      <c r="E284" s="10"/>
      <c r="F284" s="10"/>
      <c r="G284" s="10"/>
      <c r="H284" s="10"/>
      <c r="I284" s="674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675" t="s">
        <v>18810</v>
      </c>
      <c r="V284" s="675">
        <v>8486.0</v>
      </c>
    </row>
    <row r="285">
      <c r="A285" s="10" t="str">
        <f>IFERROR(__xludf.DUMMYFUNCTION("""COMPUTED_VALUE"""),"TALAX")</f>
        <v>TALAX</v>
      </c>
      <c r="B285" s="10">
        <f>IFERROR(__xludf.DUMMYFUNCTION("""COMPUTED_VALUE"""),12015.0)</f>
        <v>12015</v>
      </c>
      <c r="C285" s="10"/>
      <c r="D285" s="10"/>
      <c r="E285" s="10"/>
      <c r="F285" s="10"/>
      <c r="G285" s="10"/>
      <c r="H285" s="10"/>
      <c r="I285" s="674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675" t="s">
        <v>18811</v>
      </c>
      <c r="V285" s="675">
        <v>12384.0</v>
      </c>
    </row>
    <row r="286">
      <c r="A286" s="10" t="str">
        <f>IFERROR(__xludf.DUMMYFUNCTION("""COMPUTED_VALUE"""),"PHOTO")</f>
        <v>PHOTO</v>
      </c>
      <c r="B286" s="10">
        <f>IFERROR(__xludf.DUMMYFUNCTION("""COMPUTED_VALUE"""),7862.0)</f>
        <v>7862</v>
      </c>
      <c r="C286" s="10"/>
      <c r="D286" s="10"/>
      <c r="E286" s="10"/>
      <c r="F286" s="10"/>
      <c r="G286" s="10"/>
      <c r="H286" s="10"/>
      <c r="I286" s="674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675" t="s">
        <v>18812</v>
      </c>
      <c r="V286" s="675">
        <v>12986.0</v>
      </c>
    </row>
    <row r="287">
      <c r="A287" s="10" t="str">
        <f>IFERROR(__xludf.DUMMYFUNCTION("""COMPUTED_VALUE"""),"ALAAXX")</f>
        <v>ALAAXX</v>
      </c>
      <c r="B287" s="10">
        <f>IFERROR(__xludf.DUMMYFUNCTION("""COMPUTED_VALUE"""),14349.0)</f>
        <v>14349</v>
      </c>
      <c r="C287" s="10"/>
      <c r="D287" s="10"/>
      <c r="E287" s="10"/>
      <c r="F287" s="10"/>
      <c r="G287" s="10"/>
      <c r="H287" s="10"/>
      <c r="I287" s="674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675" t="s">
        <v>18813</v>
      </c>
      <c r="V287" s="675">
        <v>13072.0</v>
      </c>
    </row>
    <row r="288">
      <c r="A288" s="10" t="str">
        <f>IFERROR(__xludf.DUMMYFUNCTION("""COMPUTED_VALUE"""),"ESY")</f>
        <v>ESY</v>
      </c>
      <c r="B288" s="10">
        <f>IFERROR(__xludf.DUMMYFUNCTION("""COMPUTED_VALUE"""),14367.0)</f>
        <v>14367</v>
      </c>
      <c r="C288" s="10"/>
      <c r="D288" s="10"/>
      <c r="E288" s="10"/>
      <c r="F288" s="10"/>
      <c r="G288" s="10"/>
      <c r="H288" s="10"/>
      <c r="I288" s="674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675" t="s">
        <v>7377</v>
      </c>
      <c r="V288" s="675">
        <v>13817.0</v>
      </c>
    </row>
    <row r="289">
      <c r="A289" s="10" t="str">
        <f>IFERROR(__xludf.DUMMYFUNCTION("""COMPUTED_VALUE"""),"WAFFA")</f>
        <v>WAFFA</v>
      </c>
      <c r="B289" s="10">
        <f>IFERROR(__xludf.DUMMYFUNCTION("""COMPUTED_VALUE"""),6671.0)</f>
        <v>6671</v>
      </c>
      <c r="C289" s="10"/>
      <c r="D289" s="10"/>
      <c r="E289" s="10"/>
      <c r="F289" s="10"/>
      <c r="G289" s="10"/>
      <c r="H289" s="10"/>
      <c r="I289" s="674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675" t="s">
        <v>18814</v>
      </c>
      <c r="V289" s="675">
        <v>12929.0</v>
      </c>
    </row>
    <row r="290">
      <c r="A290" s="10" t="str">
        <f>IFERROR(__xludf.DUMMYFUNCTION("""COMPUTED_VALUE"""),"ANOO")</f>
        <v>ANOO</v>
      </c>
      <c r="B290" s="10">
        <f>IFERROR(__xludf.DUMMYFUNCTION("""COMPUTED_VALUE"""),13928.0)</f>
        <v>13928</v>
      </c>
      <c r="C290" s="10"/>
      <c r="D290" s="10"/>
      <c r="E290" s="10"/>
      <c r="F290" s="10"/>
      <c r="G290" s="10"/>
      <c r="H290" s="10"/>
      <c r="I290" s="674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675" t="s">
        <v>18815</v>
      </c>
      <c r="V290" s="675">
        <v>12933.0</v>
      </c>
    </row>
    <row r="291">
      <c r="A291" s="10" t="str">
        <f>IFERROR(__xludf.DUMMYFUNCTION("""COMPUTED_VALUE"""),"JRII")</f>
        <v>JRII</v>
      </c>
      <c r="B291" s="10">
        <f>IFERROR(__xludf.DUMMYFUNCTION("""COMPUTED_VALUE"""),12929.0)</f>
        <v>12929</v>
      </c>
      <c r="C291" s="10"/>
      <c r="D291" s="10"/>
      <c r="E291" s="10"/>
      <c r="F291" s="10"/>
      <c r="G291" s="10"/>
      <c r="H291" s="10"/>
      <c r="I291" s="674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675" t="s">
        <v>18816</v>
      </c>
      <c r="V291" s="675">
        <v>12930.0</v>
      </c>
    </row>
    <row r="292">
      <c r="A292" s="10" t="str">
        <f>IFERROR(__xludf.DUMMYFUNCTION("""COMPUTED_VALUE"""),"SDI")</f>
        <v>SDI</v>
      </c>
      <c r="B292" s="10">
        <f>IFERROR(__xludf.DUMMYFUNCTION("""COMPUTED_VALUE"""),10959.0)</f>
        <v>10959</v>
      </c>
      <c r="C292" s="10"/>
      <c r="D292" s="10"/>
      <c r="E292" s="10"/>
      <c r="F292" s="10"/>
      <c r="G292" s="10"/>
      <c r="H292" s="10"/>
      <c r="I292" s="674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675" t="s">
        <v>18817</v>
      </c>
      <c r="V292" s="675">
        <v>12830.0</v>
      </c>
    </row>
    <row r="293">
      <c r="A293" s="10" t="str">
        <f>IFERROR(__xludf.DUMMYFUNCTION("""COMPUTED_VALUE"""),"TWINSM")</f>
        <v>TWINSM</v>
      </c>
      <c r="B293" s="10">
        <f>IFERROR(__xludf.DUMMYFUNCTION("""COMPUTED_VALUE"""),14075.0)</f>
        <v>14075</v>
      </c>
      <c r="C293" s="10"/>
      <c r="D293" s="10"/>
      <c r="E293" s="10"/>
      <c r="F293" s="10"/>
      <c r="G293" s="10"/>
      <c r="H293" s="10"/>
      <c r="I293" s="674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675" t="s">
        <v>18818</v>
      </c>
      <c r="V293" s="675">
        <v>12705.0</v>
      </c>
    </row>
    <row r="294">
      <c r="A294" s="10" t="str">
        <f>IFERROR(__xludf.DUMMYFUNCTION("""COMPUTED_VALUE"""),"SIBA")</f>
        <v>SIBA</v>
      </c>
      <c r="B294" s="10">
        <f>IFERROR(__xludf.DUMMYFUNCTION("""COMPUTED_VALUE"""),14430.0)</f>
        <v>14430</v>
      </c>
      <c r="C294" s="10"/>
      <c r="D294" s="10"/>
      <c r="E294" s="10"/>
      <c r="F294" s="10"/>
      <c r="G294" s="10"/>
      <c r="H294" s="10"/>
      <c r="I294" s="674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675" t="s">
        <v>18819</v>
      </c>
      <c r="V294" s="675">
        <v>12838.0</v>
      </c>
    </row>
    <row r="295">
      <c r="A295" s="10" t="str">
        <f>IFERROR(__xludf.DUMMYFUNCTION("""COMPUTED_VALUE"""),"LIS")</f>
        <v>LIS</v>
      </c>
      <c r="B295" s="10">
        <f>IFERROR(__xludf.DUMMYFUNCTION("""COMPUTED_VALUE"""),14317.0)</f>
        <v>14317</v>
      </c>
      <c r="C295" s="10"/>
      <c r="D295" s="10"/>
      <c r="E295" s="10"/>
      <c r="F295" s="10"/>
      <c r="G295" s="10"/>
      <c r="H295" s="10"/>
      <c r="I295" s="674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675" t="s">
        <v>18820</v>
      </c>
      <c r="V295" s="675">
        <v>12773.0</v>
      </c>
    </row>
    <row r="296">
      <c r="A296" s="10" t="str">
        <f>IFERROR(__xludf.DUMMYFUNCTION("""COMPUTED_VALUE"""),"ILX")</f>
        <v>ILX</v>
      </c>
      <c r="B296" s="10">
        <f>IFERROR(__xludf.DUMMYFUNCTION("""COMPUTED_VALUE"""),1.0)</f>
        <v>1</v>
      </c>
      <c r="C296" s="10"/>
      <c r="D296" s="10"/>
      <c r="E296" s="10"/>
      <c r="F296" s="10"/>
      <c r="G296" s="10"/>
      <c r="H296" s="10"/>
      <c r="I296" s="674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675" t="s">
        <v>18821</v>
      </c>
      <c r="V296" s="675">
        <v>9715.0</v>
      </c>
    </row>
    <row r="297">
      <c r="A297" s="10" t="str">
        <f>IFERROR(__xludf.DUMMYFUNCTION("""COMPUTED_VALUE"""),"SOKA")</f>
        <v>SOKA</v>
      </c>
      <c r="B297" s="10">
        <f>IFERROR(__xludf.DUMMYFUNCTION("""COMPUTED_VALUE"""),9613.0)</f>
        <v>9613</v>
      </c>
      <c r="C297" s="10"/>
      <c r="D297" s="10"/>
      <c r="E297" s="10"/>
      <c r="F297" s="10"/>
      <c r="G297" s="10"/>
      <c r="H297" s="10"/>
      <c r="I297" s="674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675" t="s">
        <v>18822</v>
      </c>
      <c r="V297" s="675">
        <v>6675.0</v>
      </c>
    </row>
    <row r="298">
      <c r="A298" s="10" t="str">
        <f>IFERROR(__xludf.DUMMYFUNCTION("""COMPUTED_VALUE"""),"HALF")</f>
        <v>HALF</v>
      </c>
      <c r="B298" s="10">
        <f>IFERROR(__xludf.DUMMYFUNCTION("""COMPUTED_VALUE"""),10685.0)</f>
        <v>10685</v>
      </c>
      <c r="C298" s="10"/>
      <c r="D298" s="10"/>
      <c r="E298" s="10"/>
      <c r="F298" s="10"/>
      <c r="G298" s="10"/>
      <c r="H298" s="10"/>
      <c r="I298" s="674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675" t="s">
        <v>18823</v>
      </c>
      <c r="V298" s="675">
        <v>11154.0</v>
      </c>
    </row>
    <row r="299">
      <c r="A299" s="10" t="str">
        <f>IFERROR(__xludf.DUMMYFUNCTION("""COMPUTED_VALUE"""),"HRX")</f>
        <v>HRX</v>
      </c>
      <c r="B299" s="10">
        <f>IFERROR(__xludf.DUMMYFUNCTION("""COMPUTED_VALUE"""),11824.0)</f>
        <v>11824</v>
      </c>
      <c r="C299" s="10"/>
      <c r="D299" s="10"/>
      <c r="E299" s="10"/>
      <c r="F299" s="10"/>
      <c r="G299" s="10"/>
      <c r="H299" s="10"/>
      <c r="I299" s="674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675" t="s">
        <v>18824</v>
      </c>
      <c r="V299" s="675">
        <v>12163.0</v>
      </c>
    </row>
    <row r="300">
      <c r="A300" s="10" t="str">
        <f>IFERROR(__xludf.DUMMYFUNCTION("""COMPUTED_VALUE"""),"RNA")</f>
        <v>RNA</v>
      </c>
      <c r="B300" s="10">
        <f>IFERROR(__xludf.DUMMYFUNCTION("""COMPUTED_VALUE"""),14058.0)</f>
        <v>14058</v>
      </c>
      <c r="C300" s="10"/>
      <c r="D300" s="10"/>
      <c r="E300" s="10"/>
      <c r="F300" s="10"/>
      <c r="G300" s="10"/>
      <c r="H300" s="10"/>
      <c r="I300" s="674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675" t="s">
        <v>18825</v>
      </c>
      <c r="V300" s="675">
        <v>12223.0</v>
      </c>
    </row>
    <row r="301">
      <c r="A301" s="10" t="str">
        <f>IFERROR(__xludf.DUMMYFUNCTION("""COMPUTED_VALUE"""),"MMM")</f>
        <v>MMM</v>
      </c>
      <c r="B301" s="10">
        <f>IFERROR(__xludf.DUMMYFUNCTION("""COMPUTED_VALUE"""),14089.0)</f>
        <v>14089</v>
      </c>
      <c r="C301" s="10"/>
      <c r="D301" s="10"/>
      <c r="E301" s="10"/>
      <c r="F301" s="10"/>
      <c r="G301" s="10"/>
      <c r="H301" s="10"/>
      <c r="I301" s="674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675" t="s">
        <v>18826</v>
      </c>
      <c r="V301" s="675">
        <v>11883.0</v>
      </c>
    </row>
    <row r="302">
      <c r="A302" s="10" t="str">
        <f>IFERROR(__xludf.DUMMYFUNCTION("""COMPUTED_VALUE"""),"OMRO")</f>
        <v>OMRO</v>
      </c>
      <c r="B302" s="10">
        <f>IFERROR(__xludf.DUMMYFUNCTION("""COMPUTED_VALUE"""),1.0)</f>
        <v>1</v>
      </c>
      <c r="C302" s="10"/>
      <c r="D302" s="10"/>
      <c r="E302" s="10"/>
      <c r="F302" s="10"/>
      <c r="G302" s="10"/>
      <c r="H302" s="10"/>
      <c r="I302" s="674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675" t="s">
        <v>18827</v>
      </c>
      <c r="V302" s="675">
        <v>14183.0</v>
      </c>
    </row>
    <row r="303">
      <c r="A303" s="10" t="str">
        <f>IFERROR(__xludf.DUMMYFUNCTION("""COMPUTED_VALUE"""),"RANIAXX")</f>
        <v>RANIAXX</v>
      </c>
      <c r="B303" s="10">
        <f>IFERROR(__xludf.DUMMYFUNCTION("""COMPUTED_VALUE"""),285.0)</f>
        <v>285</v>
      </c>
      <c r="C303" s="10"/>
      <c r="D303" s="10"/>
      <c r="E303" s="10"/>
      <c r="F303" s="10"/>
      <c r="G303" s="10"/>
      <c r="H303" s="10"/>
      <c r="I303" s="674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675" t="s">
        <v>18828</v>
      </c>
      <c r="V303" s="675">
        <v>12499.0</v>
      </c>
    </row>
    <row r="304">
      <c r="A304" s="10" t="str">
        <f>IFERROR(__xludf.DUMMYFUNCTION("""COMPUTED_VALUE"""),"HNX")</f>
        <v>HNX</v>
      </c>
      <c r="B304" s="10">
        <f>IFERROR(__xludf.DUMMYFUNCTION("""COMPUTED_VALUE"""),10205.0)</f>
        <v>10205</v>
      </c>
      <c r="C304" s="10"/>
      <c r="D304" s="10"/>
      <c r="E304" s="10"/>
      <c r="F304" s="10"/>
      <c r="G304" s="10"/>
      <c r="H304" s="10"/>
      <c r="I304" s="674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675" t="s">
        <v>18829</v>
      </c>
      <c r="V304" s="675">
        <v>12362.0</v>
      </c>
    </row>
    <row r="305">
      <c r="A305" s="10" t="str">
        <f>IFERROR(__xludf.DUMMYFUNCTION("""COMPUTED_VALUE"""),"TODAYBA")</f>
        <v>TODAYBA</v>
      </c>
      <c r="B305" s="10">
        <f>IFERROR(__xludf.DUMMYFUNCTION("""COMPUTED_VALUE"""),11822.0)</f>
        <v>11822</v>
      </c>
      <c r="C305" s="10"/>
      <c r="D305" s="10"/>
      <c r="E305" s="10"/>
      <c r="F305" s="10"/>
      <c r="G305" s="10"/>
      <c r="H305" s="10"/>
      <c r="I305" s="674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675" t="s">
        <v>18830</v>
      </c>
      <c r="V305" s="675">
        <v>11105.0</v>
      </c>
    </row>
    <row r="306">
      <c r="A306" s="10" t="str">
        <f>IFERROR(__xludf.DUMMYFUNCTION("""COMPUTED_VALUE"""),"NLXXX")</f>
        <v>NLXXX</v>
      </c>
      <c r="B306" s="10">
        <f>IFERROR(__xludf.DUMMYFUNCTION("""COMPUTED_VALUE"""),14264.0)</f>
        <v>14264</v>
      </c>
      <c r="C306" s="10"/>
      <c r="D306" s="10"/>
      <c r="E306" s="10"/>
      <c r="F306" s="10"/>
      <c r="G306" s="10"/>
      <c r="H306" s="10"/>
      <c r="I306" s="674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675" t="s">
        <v>18831</v>
      </c>
      <c r="V306" s="675">
        <v>12409.0</v>
      </c>
    </row>
    <row r="307">
      <c r="A307" s="10" t="str">
        <f>IFERROR(__xludf.DUMMYFUNCTION("""COMPUTED_VALUE"""),"THEBXSN")</f>
        <v>THEBXSN</v>
      </c>
      <c r="B307" s="10">
        <f>IFERROR(__xludf.DUMMYFUNCTION("""COMPUTED_VALUE"""),13930.0)</f>
        <v>13930</v>
      </c>
      <c r="C307" s="10"/>
      <c r="D307" s="10"/>
      <c r="E307" s="10"/>
      <c r="F307" s="10"/>
      <c r="G307" s="10"/>
      <c r="H307" s="10"/>
      <c r="I307" s="674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675" t="s">
        <v>18832</v>
      </c>
      <c r="V307" s="675">
        <v>2093.0</v>
      </c>
    </row>
    <row r="308">
      <c r="A308" s="10" t="str">
        <f>IFERROR(__xludf.DUMMYFUNCTION("""COMPUTED_VALUE"""),"AMXX")</f>
        <v>AMXX</v>
      </c>
      <c r="B308" s="10">
        <f>IFERROR(__xludf.DUMMYFUNCTION("""COMPUTED_VALUE"""),11105.0)</f>
        <v>11105</v>
      </c>
      <c r="C308" s="10"/>
      <c r="D308" s="10"/>
      <c r="E308" s="10"/>
      <c r="F308" s="10"/>
      <c r="G308" s="10"/>
      <c r="H308" s="10"/>
      <c r="I308" s="674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675" t="s">
        <v>18833</v>
      </c>
      <c r="V308" s="675">
        <v>12367.0</v>
      </c>
    </row>
    <row r="309">
      <c r="A309" s="10" t="str">
        <f>IFERROR(__xludf.DUMMYFUNCTION("""COMPUTED_VALUE"""),"LLK")</f>
        <v>LLK</v>
      </c>
      <c r="B309" s="10">
        <f>IFERROR(__xludf.DUMMYFUNCTION("""COMPUTED_VALUE"""),14468.0)</f>
        <v>14468</v>
      </c>
      <c r="C309" s="10"/>
      <c r="D309" s="10"/>
      <c r="E309" s="10"/>
      <c r="F309" s="10"/>
      <c r="G309" s="10"/>
      <c r="H309" s="10"/>
      <c r="I309" s="674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675" t="s">
        <v>18834</v>
      </c>
      <c r="V309" s="675">
        <v>12364.0</v>
      </c>
    </row>
    <row r="310">
      <c r="A310" s="10" t="str">
        <f>IFERROR(__xludf.DUMMYFUNCTION("""COMPUTED_VALUE"""),"NFA")</f>
        <v>NFA</v>
      </c>
      <c r="B310" s="10">
        <f>IFERROR(__xludf.DUMMYFUNCTION("""COMPUTED_VALUE"""),9682.0)</f>
        <v>9682</v>
      </c>
      <c r="C310" s="10"/>
      <c r="D310" s="10"/>
      <c r="E310" s="10"/>
      <c r="F310" s="10"/>
      <c r="G310" s="10"/>
      <c r="H310" s="10"/>
      <c r="I310" s="674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675" t="s">
        <v>18835</v>
      </c>
      <c r="V310" s="675">
        <v>12363.0</v>
      </c>
    </row>
    <row r="311">
      <c r="A311" s="10" t="str">
        <f>IFERROR(__xludf.DUMMYFUNCTION("""COMPUTED_VALUE"""),"ROUD")</f>
        <v>ROUD</v>
      </c>
      <c r="B311" s="10">
        <f>IFERROR(__xludf.DUMMYFUNCTION("""COMPUTED_VALUE"""),6675.0)</f>
        <v>6675</v>
      </c>
      <c r="C311" s="10"/>
      <c r="D311" s="10"/>
      <c r="E311" s="10"/>
      <c r="F311" s="10"/>
      <c r="G311" s="10"/>
      <c r="H311" s="10"/>
      <c r="I311" s="674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675" t="s">
        <v>18836</v>
      </c>
      <c r="V311" s="675">
        <v>12405.0</v>
      </c>
    </row>
    <row r="312">
      <c r="A312" s="10" t="str">
        <f>IFERROR(__xludf.DUMMYFUNCTION("""COMPUTED_VALUE"""),"RENA")</f>
        <v>RENA</v>
      </c>
      <c r="B312" s="10">
        <f>IFERROR(__xludf.DUMMYFUNCTION("""COMPUTED_VALUE"""),13316.0)</f>
        <v>13316</v>
      </c>
      <c r="C312" s="10"/>
      <c r="D312" s="10"/>
      <c r="E312" s="10"/>
      <c r="F312" s="10"/>
      <c r="G312" s="10"/>
      <c r="H312" s="10"/>
      <c r="I312" s="674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675" t="s">
        <v>18837</v>
      </c>
      <c r="V312" s="675">
        <v>11768.0</v>
      </c>
    </row>
    <row r="313">
      <c r="A313" s="10" t="str">
        <f>IFERROR(__xludf.DUMMYFUNCTION("""COMPUTED_VALUE"""),"ANX")</f>
        <v>ANX</v>
      </c>
      <c r="B313" s="10">
        <f>IFERROR(__xludf.DUMMYFUNCTION("""COMPUTED_VALUE"""),13881.0)</f>
        <v>13881</v>
      </c>
      <c r="C313" s="10"/>
      <c r="D313" s="10"/>
      <c r="E313" s="10"/>
      <c r="F313" s="10"/>
      <c r="G313" s="10"/>
      <c r="H313" s="10"/>
      <c r="I313" s="674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675" t="s">
        <v>18838</v>
      </c>
      <c r="V313" s="675">
        <v>12227.0</v>
      </c>
    </row>
    <row r="314">
      <c r="A314" s="10" t="str">
        <f>IFERROR(__xludf.DUMMYFUNCTION("""COMPUTED_VALUE"""),"KADI")</f>
        <v>KADI</v>
      </c>
      <c r="B314" s="10">
        <f>IFERROR(__xludf.DUMMYFUNCTION("""COMPUTED_VALUE"""),1.0)</f>
        <v>1</v>
      </c>
      <c r="C314" s="10"/>
      <c r="D314" s="10"/>
      <c r="E314" s="10"/>
      <c r="F314" s="10"/>
      <c r="G314" s="10"/>
      <c r="H314" s="10"/>
      <c r="I314" s="674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675" t="s">
        <v>18839</v>
      </c>
      <c r="V314" s="675">
        <v>12241.0</v>
      </c>
    </row>
    <row r="315">
      <c r="A315" s="10" t="str">
        <f>IFERROR(__xludf.DUMMYFUNCTION("""COMPUTED_VALUE"""),"NAEV")</f>
        <v>NAEV</v>
      </c>
      <c r="B315" s="10">
        <f>IFERROR(__xludf.DUMMYFUNCTION("""COMPUTED_VALUE"""),13897.0)</f>
        <v>13897</v>
      </c>
      <c r="C315" s="10"/>
      <c r="D315" s="10"/>
      <c r="E315" s="10"/>
      <c r="F315" s="10"/>
      <c r="G315" s="10"/>
      <c r="H315" s="10"/>
      <c r="I315" s="674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675" t="s">
        <v>18840</v>
      </c>
      <c r="V315" s="675">
        <v>285.0</v>
      </c>
    </row>
    <row r="316">
      <c r="A316" s="10" t="str">
        <f>IFERROR(__xludf.DUMMYFUNCTION("""COMPUTED_VALUE"""),"MOTHEX")</f>
        <v>MOTHEX</v>
      </c>
      <c r="B316" s="10">
        <f>IFERROR(__xludf.DUMMYFUNCTION("""COMPUTED_VALUE"""),13942.0)</f>
        <v>13942</v>
      </c>
      <c r="C316" s="10"/>
      <c r="D316" s="10"/>
      <c r="E316" s="10"/>
      <c r="F316" s="10"/>
      <c r="G316" s="10"/>
      <c r="H316" s="10"/>
      <c r="I316" s="674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675" t="s">
        <v>18841</v>
      </c>
      <c r="V316" s="675">
        <v>12252.0</v>
      </c>
    </row>
    <row r="317">
      <c r="A317" s="10" t="str">
        <f>IFERROR(__xludf.DUMMYFUNCTION("""COMPUTED_VALUE"""),"SILAST")</f>
        <v>SILAST</v>
      </c>
      <c r="B317" s="10">
        <f>IFERROR(__xludf.DUMMYFUNCTION("""COMPUTED_VALUE"""),8696.0)</f>
        <v>8696</v>
      </c>
      <c r="C317" s="10"/>
      <c r="D317" s="10"/>
      <c r="E317" s="10"/>
      <c r="F317" s="10"/>
      <c r="G317" s="10"/>
      <c r="H317" s="10"/>
      <c r="I317" s="674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675" t="s">
        <v>18842</v>
      </c>
      <c r="V317" s="675">
        <v>14298.0</v>
      </c>
    </row>
    <row r="318">
      <c r="A318" s="10" t="str">
        <f>IFERROR(__xludf.DUMMYFUNCTION("""COMPUTED_VALUE"""),"MYER")</f>
        <v>MYER</v>
      </c>
      <c r="B318" s="10">
        <f>IFERROR(__xludf.DUMMYFUNCTION("""COMPUTED_VALUE"""),1.0)</f>
        <v>1</v>
      </c>
      <c r="C318" s="10"/>
      <c r="D318" s="10"/>
      <c r="E318" s="10"/>
      <c r="F318" s="10"/>
      <c r="G318" s="10"/>
      <c r="H318" s="10"/>
      <c r="I318" s="674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675" t="s">
        <v>18843</v>
      </c>
      <c r="V318" s="675">
        <v>12237.0</v>
      </c>
    </row>
    <row r="319">
      <c r="A319" s="10" t="str">
        <f>IFERROR(__xludf.DUMMYFUNCTION("""COMPUTED_VALUE"""),"BDT")</f>
        <v>BDT</v>
      </c>
      <c r="B319" s="10">
        <f>IFERROR(__xludf.DUMMYFUNCTION("""COMPUTED_VALUE"""),1.0)</f>
        <v>1</v>
      </c>
      <c r="C319" s="10"/>
      <c r="D319" s="10"/>
      <c r="E319" s="10"/>
      <c r="F319" s="10"/>
      <c r="G319" s="10"/>
      <c r="H319" s="10"/>
      <c r="I319" s="674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675" t="s">
        <v>18844</v>
      </c>
      <c r="V319" s="675">
        <v>10795.0</v>
      </c>
    </row>
    <row r="320">
      <c r="A320" s="10" t="str">
        <f>IFERROR(__xludf.DUMMYFUNCTION("""COMPUTED_VALUE"""),"TODAKMY")</f>
        <v>TODAKMY</v>
      </c>
      <c r="B320" s="10">
        <f>IFERROR(__xludf.DUMMYFUNCTION("""COMPUTED_VALUE"""),14377.0)</f>
        <v>14377</v>
      </c>
      <c r="C320" s="10"/>
      <c r="D320" s="10"/>
      <c r="E320" s="10"/>
      <c r="F320" s="10"/>
      <c r="G320" s="10"/>
      <c r="H320" s="10"/>
      <c r="I320" s="674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675" t="s">
        <v>18845</v>
      </c>
      <c r="V320" s="675">
        <v>12225.0</v>
      </c>
    </row>
    <row r="321">
      <c r="A321" s="10" t="str">
        <f>IFERROR(__xludf.DUMMYFUNCTION("""COMPUTED_VALUE"""),"ABDULM")</f>
        <v>ABDULM</v>
      </c>
      <c r="B321" s="10">
        <f>IFERROR(__xludf.DUMMYFUNCTION("""COMPUTED_VALUE"""),1.0)</f>
        <v>1</v>
      </c>
      <c r="C321" s="10"/>
      <c r="D321" s="10"/>
      <c r="E321" s="10"/>
      <c r="F321" s="10"/>
      <c r="G321" s="10"/>
      <c r="H321" s="10"/>
      <c r="I321" s="674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675" t="s">
        <v>18846</v>
      </c>
      <c r="V321" s="675">
        <v>12156.0</v>
      </c>
    </row>
    <row r="322">
      <c r="A322" s="10" t="str">
        <f>IFERROR(__xludf.DUMMYFUNCTION("""COMPUTED_VALUE"""),"LLIA")</f>
        <v>LLIA</v>
      </c>
      <c r="B322" s="10">
        <f>IFERROR(__xludf.DUMMYFUNCTION("""COMPUTED_VALUE"""),14073.0)</f>
        <v>14073</v>
      </c>
      <c r="C322" s="10"/>
      <c r="D322" s="10"/>
      <c r="E322" s="10"/>
      <c r="F322" s="10"/>
      <c r="G322" s="10"/>
      <c r="H322" s="10"/>
      <c r="I322" s="674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675" t="s">
        <v>18847</v>
      </c>
      <c r="V322" s="675">
        <v>12160.0</v>
      </c>
    </row>
    <row r="323">
      <c r="A323" s="10" t="str">
        <f>IFERROR(__xludf.DUMMYFUNCTION("""COMPUTED_VALUE"""),"MONIC")</f>
        <v>MONIC</v>
      </c>
      <c r="B323" s="10">
        <f>IFERROR(__xludf.DUMMYFUNCTION("""COMPUTED_VALUE"""),11814.0)</f>
        <v>11814</v>
      </c>
      <c r="C323" s="10"/>
      <c r="D323" s="10"/>
      <c r="E323" s="10"/>
      <c r="F323" s="10"/>
      <c r="G323" s="10"/>
      <c r="H323" s="10"/>
      <c r="I323" s="674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675" t="s">
        <v>18848</v>
      </c>
      <c r="V323" s="675">
        <v>11877.0</v>
      </c>
    </row>
    <row r="324">
      <c r="A324" s="10" t="str">
        <f>IFERROR(__xludf.DUMMYFUNCTION("""COMPUTED_VALUE"""),"MOONSF")</f>
        <v>MOONSF</v>
      </c>
      <c r="B324" s="10">
        <f>IFERROR(__xludf.DUMMYFUNCTION("""COMPUTED_VALUE"""),1.0)</f>
        <v>1</v>
      </c>
      <c r="C324" s="10"/>
      <c r="D324" s="10"/>
      <c r="E324" s="10"/>
      <c r="F324" s="10"/>
      <c r="G324" s="10"/>
      <c r="H324" s="10"/>
      <c r="I324" s="674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675" t="s">
        <v>18849</v>
      </c>
      <c r="V324" s="675">
        <v>12693.0</v>
      </c>
    </row>
    <row r="325">
      <c r="A325" s="10" t="str">
        <f>IFERROR(__xludf.DUMMYFUNCTION("""COMPUTED_VALUE"""),"ESLAMT")</f>
        <v>ESLAMT</v>
      </c>
      <c r="B325" s="10">
        <f>IFERROR(__xludf.DUMMYFUNCTION("""COMPUTED_VALUE"""),14417.0)</f>
        <v>14417</v>
      </c>
      <c r="C325" s="10"/>
      <c r="D325" s="10"/>
      <c r="E325" s="10"/>
      <c r="F325" s="10"/>
      <c r="G325" s="10"/>
      <c r="H325" s="10"/>
      <c r="I325" s="674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675" t="s">
        <v>18850</v>
      </c>
      <c r="V325" s="675">
        <v>12070.0</v>
      </c>
    </row>
    <row r="326">
      <c r="A326" s="10" t="str">
        <f>IFERROR(__xludf.DUMMYFUNCTION("""COMPUTED_VALUE"""),"AARE")</f>
        <v>AARE</v>
      </c>
      <c r="B326" s="10">
        <f>IFERROR(__xludf.DUMMYFUNCTION("""COMPUTED_VALUE"""),9067.0)</f>
        <v>9067</v>
      </c>
      <c r="C326" s="10"/>
      <c r="D326" s="10"/>
      <c r="E326" s="10"/>
      <c r="F326" s="10"/>
      <c r="G326" s="10"/>
      <c r="H326" s="10"/>
      <c r="I326" s="674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675" t="s">
        <v>18851</v>
      </c>
      <c r="V326" s="675">
        <v>986.0</v>
      </c>
    </row>
    <row r="327">
      <c r="A327" s="10" t="str">
        <f>IFERROR(__xludf.DUMMYFUNCTION("""COMPUTED_VALUE"""),"HOOR")</f>
        <v>HOOR</v>
      </c>
      <c r="B327" s="10">
        <f>IFERROR(__xludf.DUMMYFUNCTION("""COMPUTED_VALUE"""),9700.0)</f>
        <v>9700</v>
      </c>
      <c r="C327" s="10"/>
      <c r="D327" s="10"/>
      <c r="E327" s="10"/>
      <c r="F327" s="10"/>
      <c r="G327" s="10"/>
      <c r="H327" s="10"/>
      <c r="I327" s="674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675" t="s">
        <v>18852</v>
      </c>
      <c r="V327" s="675">
        <v>12157.0</v>
      </c>
    </row>
    <row r="328">
      <c r="A328" s="10" t="str">
        <f>IFERROR(__xludf.DUMMYFUNCTION("""COMPUTED_VALUE"""),"DDKK")</f>
        <v>DDKK</v>
      </c>
      <c r="B328" s="10">
        <f>IFERROR(__xludf.DUMMYFUNCTION("""COMPUTED_VALUE"""),10047.0)</f>
        <v>10047</v>
      </c>
      <c r="C328" s="10"/>
      <c r="D328" s="10"/>
      <c r="E328" s="10"/>
      <c r="F328" s="10"/>
      <c r="G328" s="10"/>
      <c r="H328" s="10"/>
      <c r="I328" s="674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675" t="s">
        <v>18853</v>
      </c>
      <c r="V328" s="675">
        <v>11812.0</v>
      </c>
    </row>
    <row r="329">
      <c r="A329" s="10" t="str">
        <f>IFERROR(__xludf.DUMMYFUNCTION("""COMPUTED_VALUE"""),"HYD")</f>
        <v>HYD</v>
      </c>
      <c r="B329" s="10">
        <f>IFERROR(__xludf.DUMMYFUNCTION("""COMPUTED_VALUE"""),14432.0)</f>
        <v>14432</v>
      </c>
      <c r="C329" s="10"/>
      <c r="D329" s="10"/>
      <c r="E329" s="10"/>
      <c r="F329" s="10"/>
      <c r="G329" s="10"/>
      <c r="H329" s="10"/>
      <c r="I329" s="674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675" t="s">
        <v>18854</v>
      </c>
      <c r="V329" s="675">
        <v>6675.0</v>
      </c>
    </row>
    <row r="330">
      <c r="A330" s="10" t="str">
        <f>IFERROR(__xludf.DUMMYFUNCTION("""COMPUTED_VALUE"""),"VOOW")</f>
        <v>VOOW</v>
      </c>
      <c r="B330" s="10">
        <f>IFERROR(__xludf.DUMMYFUNCTION("""COMPUTED_VALUE"""),285.0)</f>
        <v>285</v>
      </c>
      <c r="C330" s="10"/>
      <c r="D330" s="10"/>
      <c r="E330" s="10"/>
      <c r="F330" s="10"/>
      <c r="G330" s="10"/>
      <c r="H330" s="10"/>
      <c r="I330" s="674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675" t="s">
        <v>18855</v>
      </c>
      <c r="V330" s="675">
        <v>11823.0</v>
      </c>
    </row>
    <row r="331">
      <c r="A331" s="10" t="str">
        <f>IFERROR(__xludf.DUMMYFUNCTION("""COMPUTED_VALUE"""),"IVL")</f>
        <v>IVL</v>
      </c>
      <c r="B331" s="10">
        <f>IFERROR(__xludf.DUMMYFUNCTION("""COMPUTED_VALUE"""),12405.0)</f>
        <v>12405</v>
      </c>
      <c r="C331" s="10"/>
      <c r="D331" s="10"/>
      <c r="E331" s="10"/>
      <c r="F331" s="10"/>
      <c r="G331" s="10"/>
      <c r="H331" s="10"/>
      <c r="I331" s="674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675" t="s">
        <v>18856</v>
      </c>
      <c r="V331" s="675">
        <v>11824.0</v>
      </c>
    </row>
    <row r="332">
      <c r="A332" s="10" t="str">
        <f>IFERROR(__xludf.DUMMYFUNCTION("""COMPUTED_VALUE"""),"MOONXXX")</f>
        <v>MOONXXX</v>
      </c>
      <c r="B332" s="10">
        <f>IFERROR(__xludf.DUMMYFUNCTION("""COMPUTED_VALUE"""),11823.0)</f>
        <v>11823</v>
      </c>
      <c r="C332" s="10"/>
      <c r="D332" s="10"/>
      <c r="E332" s="10"/>
      <c r="F332" s="10"/>
      <c r="G332" s="10"/>
      <c r="H332" s="10"/>
      <c r="I332" s="674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675" t="s">
        <v>18857</v>
      </c>
      <c r="V332" s="675">
        <v>6947.0</v>
      </c>
    </row>
    <row r="333">
      <c r="A333" s="10" t="str">
        <f>IFERROR(__xludf.DUMMYFUNCTION("""COMPUTED_VALUE"""),"TWINS")</f>
        <v>TWINS</v>
      </c>
      <c r="B333" s="10">
        <f>IFERROR(__xludf.DUMMYFUNCTION("""COMPUTED_VALUE"""),9814.0)</f>
        <v>9814</v>
      </c>
      <c r="C333" s="10"/>
      <c r="D333" s="10"/>
      <c r="E333" s="10"/>
      <c r="F333" s="10"/>
      <c r="G333" s="10"/>
      <c r="H333" s="10"/>
      <c r="I333" s="674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675" t="s">
        <v>18858</v>
      </c>
      <c r="V333" s="675">
        <v>11822.0</v>
      </c>
    </row>
    <row r="334">
      <c r="A334" s="10" t="str">
        <f>IFERROR(__xludf.DUMMYFUNCTION("""COMPUTED_VALUE"""),"TOOA")</f>
        <v>TOOA</v>
      </c>
      <c r="B334" s="10">
        <f>IFERROR(__xludf.DUMMYFUNCTION("""COMPUTED_VALUE"""),10242.0)</f>
        <v>10242</v>
      </c>
      <c r="C334" s="10"/>
      <c r="D334" s="10"/>
      <c r="E334" s="10"/>
      <c r="F334" s="10"/>
      <c r="G334" s="10"/>
      <c r="H334" s="10"/>
      <c r="I334" s="674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675" t="s">
        <v>18859</v>
      </c>
      <c r="V334" s="675">
        <v>12077.0</v>
      </c>
    </row>
    <row r="335">
      <c r="A335" s="10" t="str">
        <f>IFERROR(__xludf.DUMMYFUNCTION("""COMPUTED_VALUE"""),"SHAW")</f>
        <v>SHAW</v>
      </c>
      <c r="B335" s="10">
        <f>IFERROR(__xludf.DUMMYFUNCTION("""COMPUTED_VALUE"""),11052.0)</f>
        <v>11052</v>
      </c>
      <c r="C335" s="10"/>
      <c r="D335" s="10"/>
      <c r="E335" s="10"/>
      <c r="F335" s="10"/>
      <c r="G335" s="10"/>
      <c r="H335" s="10"/>
      <c r="I335" s="674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675" t="s">
        <v>18860</v>
      </c>
      <c r="V335" s="675">
        <v>13942.0</v>
      </c>
    </row>
    <row r="336">
      <c r="A336" s="10" t="str">
        <f>IFERROR(__xludf.DUMMYFUNCTION("""COMPUTED_VALUE"""),"UMRA")</f>
        <v>UMRA</v>
      </c>
      <c r="B336" s="10">
        <f>IFERROR(__xludf.DUMMYFUNCTION("""COMPUTED_VALUE"""),1.0)</f>
        <v>1</v>
      </c>
      <c r="C336" s="10"/>
      <c r="D336" s="10"/>
      <c r="E336" s="10"/>
      <c r="F336" s="10"/>
      <c r="G336" s="10"/>
      <c r="H336" s="10"/>
      <c r="I336" s="674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675" t="s">
        <v>18861</v>
      </c>
      <c r="V336" s="675">
        <v>11779.0</v>
      </c>
    </row>
    <row r="337">
      <c r="A337" s="10" t="str">
        <f>IFERROR(__xludf.DUMMYFUNCTION("""COMPUTED_VALUE"""),"OFFERZ")</f>
        <v>OFFERZ</v>
      </c>
      <c r="B337" s="10">
        <f>IFERROR(__xludf.DUMMYFUNCTION("""COMPUTED_VALUE"""),8623.0)</f>
        <v>8623</v>
      </c>
      <c r="C337" s="10"/>
      <c r="D337" s="10"/>
      <c r="E337" s="10"/>
      <c r="F337" s="10"/>
      <c r="G337" s="10"/>
      <c r="H337" s="10"/>
      <c r="I337" s="674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675" t="s">
        <v>18862</v>
      </c>
      <c r="V337" s="675">
        <v>12015.0</v>
      </c>
    </row>
    <row r="338">
      <c r="A338" s="10" t="str">
        <f>IFERROR(__xludf.DUMMYFUNCTION("""COMPUTED_VALUE"""),"OAR")</f>
        <v>OAR</v>
      </c>
      <c r="B338" s="10">
        <f>IFERROR(__xludf.DUMMYFUNCTION("""COMPUTED_VALUE"""),1.0)</f>
        <v>1</v>
      </c>
      <c r="C338" s="10"/>
      <c r="D338" s="10"/>
      <c r="E338" s="10"/>
      <c r="F338" s="10"/>
      <c r="G338" s="10"/>
      <c r="H338" s="10"/>
      <c r="I338" s="674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675" t="s">
        <v>18863</v>
      </c>
      <c r="V338" s="675">
        <v>11814.0</v>
      </c>
    </row>
    <row r="339">
      <c r="A339" s="10" t="str">
        <f>IFERROR(__xludf.DUMMYFUNCTION("""COMPUTED_VALUE"""),"XER")</f>
        <v>XER</v>
      </c>
      <c r="B339" s="10">
        <f>IFERROR(__xludf.DUMMYFUNCTION("""COMPUTED_VALUE"""),14019.0)</f>
        <v>14019</v>
      </c>
      <c r="C339" s="10"/>
      <c r="D339" s="10"/>
      <c r="E339" s="10"/>
      <c r="F339" s="10"/>
      <c r="G339" s="10"/>
      <c r="H339" s="10"/>
      <c r="I339" s="674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675" t="s">
        <v>18864</v>
      </c>
      <c r="V339" s="675">
        <v>14149.0</v>
      </c>
    </row>
    <row r="340">
      <c r="A340" s="10" t="str">
        <f>IFERROR(__xludf.DUMMYFUNCTION("""COMPUTED_VALUE"""),"TODAYAB")</f>
        <v>TODAYAB</v>
      </c>
      <c r="B340" s="10">
        <f>IFERROR(__xludf.DUMMYFUNCTION("""COMPUTED_VALUE"""),12237.0)</f>
        <v>12237</v>
      </c>
      <c r="C340" s="10"/>
      <c r="D340" s="10"/>
      <c r="E340" s="10"/>
      <c r="F340" s="10"/>
      <c r="G340" s="10"/>
      <c r="H340" s="10"/>
      <c r="I340" s="674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675" t="s">
        <v>18865</v>
      </c>
      <c r="V340" s="675">
        <v>11704.0</v>
      </c>
    </row>
    <row r="341">
      <c r="A341" s="10" t="str">
        <f>IFERROR(__xludf.DUMMYFUNCTION("""COMPUTED_VALUE"""),"AHLAMD")</f>
        <v>AHLAMD</v>
      </c>
      <c r="B341" s="10">
        <f>IFERROR(__xludf.DUMMYFUNCTION("""COMPUTED_VALUE"""),12693.0)</f>
        <v>12693</v>
      </c>
      <c r="C341" s="10"/>
      <c r="D341" s="10"/>
      <c r="E341" s="10"/>
      <c r="F341" s="10"/>
      <c r="G341" s="10"/>
      <c r="H341" s="10"/>
      <c r="I341" s="674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675" t="s">
        <v>18866</v>
      </c>
      <c r="V341" s="675">
        <v>7862.0</v>
      </c>
    </row>
    <row r="342">
      <c r="A342" s="10" t="str">
        <f>IFERROR(__xludf.DUMMYFUNCTION("""COMPUTED_VALUE"""),"JUSTMA")</f>
        <v>JUSTMA</v>
      </c>
      <c r="B342" s="10">
        <f>IFERROR(__xludf.DUMMYFUNCTION("""COMPUTED_VALUE"""),1.0)</f>
        <v>1</v>
      </c>
      <c r="C342" s="10"/>
      <c r="D342" s="10"/>
      <c r="E342" s="10"/>
      <c r="F342" s="10"/>
      <c r="G342" s="10"/>
      <c r="H342" s="10"/>
      <c r="I342" s="674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675" t="s">
        <v>18867</v>
      </c>
      <c r="V342" s="675">
        <v>11706.0</v>
      </c>
    </row>
    <row r="343">
      <c r="A343" s="10" t="str">
        <f>IFERROR(__xludf.DUMMYFUNCTION("""COMPUTED_VALUE"""),"SARSZJH")</f>
        <v>SARSZJH</v>
      </c>
      <c r="B343" s="10">
        <f>IFERROR(__xludf.DUMMYFUNCTION("""COMPUTED_VALUE"""),1.0)</f>
        <v>1</v>
      </c>
      <c r="C343" s="10"/>
      <c r="D343" s="10"/>
      <c r="E343" s="10"/>
      <c r="F343" s="10"/>
      <c r="G343" s="10"/>
      <c r="H343" s="10"/>
      <c r="I343" s="674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675" t="s">
        <v>18868</v>
      </c>
      <c r="V343" s="675">
        <v>6675.0</v>
      </c>
    </row>
    <row r="344">
      <c r="A344" s="10" t="str">
        <f>IFERROR(__xludf.DUMMYFUNCTION("""COMPUTED_VALUE"""),"TAGH")</f>
        <v>TAGH</v>
      </c>
      <c r="B344" s="10">
        <f>IFERROR(__xludf.DUMMYFUNCTION("""COMPUTED_VALUE"""),10318.0)</f>
        <v>10318</v>
      </c>
      <c r="C344" s="10"/>
      <c r="D344" s="10"/>
      <c r="E344" s="10"/>
      <c r="F344" s="10"/>
      <c r="G344" s="10"/>
      <c r="H344" s="10"/>
      <c r="I344" s="674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675" t="s">
        <v>18869</v>
      </c>
      <c r="V344" s="675">
        <v>11560.0</v>
      </c>
    </row>
    <row r="345">
      <c r="A345" s="10" t="str">
        <f>IFERROR(__xludf.DUMMYFUNCTION("""COMPUTED_VALUE"""),"SYM")</f>
        <v>SYM</v>
      </c>
      <c r="B345" s="10">
        <f>IFERROR(__xludf.DUMMYFUNCTION("""COMPUTED_VALUE"""),1.0)</f>
        <v>1</v>
      </c>
      <c r="C345" s="10"/>
      <c r="D345" s="10"/>
      <c r="E345" s="10"/>
      <c r="F345" s="10"/>
      <c r="G345" s="10"/>
      <c r="H345" s="10"/>
      <c r="I345" s="674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675" t="s">
        <v>18870</v>
      </c>
      <c r="V345" s="675">
        <v>11265.0</v>
      </c>
    </row>
    <row r="346">
      <c r="A346" s="10" t="str">
        <f>IFERROR(__xludf.DUMMYFUNCTION("""COMPUTED_VALUE"""),"JAW")</f>
        <v>JAW</v>
      </c>
      <c r="B346" s="10">
        <f>IFERROR(__xludf.DUMMYFUNCTION("""COMPUTED_VALUE"""),14026.0)</f>
        <v>14026</v>
      </c>
      <c r="C346" s="10"/>
      <c r="D346" s="10"/>
      <c r="E346" s="10"/>
      <c r="F346" s="10"/>
      <c r="G346" s="10"/>
      <c r="H346" s="10"/>
      <c r="I346" s="674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675" t="s">
        <v>18871</v>
      </c>
      <c r="V346" s="675">
        <v>6924.0</v>
      </c>
    </row>
    <row r="347">
      <c r="A347" s="10" t="str">
        <f>IFERROR(__xludf.DUMMYFUNCTION("""COMPUTED_VALUE"""),"HIK")</f>
        <v>HIK</v>
      </c>
      <c r="B347" s="10">
        <f>IFERROR(__xludf.DUMMYFUNCTION("""COMPUTED_VALUE"""),10042.0)</f>
        <v>10042</v>
      </c>
      <c r="C347" s="10"/>
      <c r="D347" s="10"/>
      <c r="E347" s="10"/>
      <c r="F347" s="10"/>
      <c r="G347" s="10"/>
      <c r="H347" s="10"/>
      <c r="I347" s="674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675" t="s">
        <v>18872</v>
      </c>
      <c r="V347" s="675">
        <v>13964.0</v>
      </c>
    </row>
    <row r="348">
      <c r="A348" s="10" t="str">
        <f>IFERROR(__xludf.DUMMYFUNCTION("""COMPUTED_VALUE"""),"TOOTX")</f>
        <v>TOOTX</v>
      </c>
      <c r="B348" s="10">
        <f>IFERROR(__xludf.DUMMYFUNCTION("""COMPUTED_VALUE"""),14156.0)</f>
        <v>14156</v>
      </c>
      <c r="C348" s="10"/>
      <c r="D348" s="10"/>
      <c r="E348" s="10"/>
      <c r="F348" s="10"/>
      <c r="G348" s="10"/>
      <c r="H348" s="10"/>
      <c r="I348" s="674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675" t="s">
        <v>18873</v>
      </c>
      <c r="V348" s="675">
        <v>11297.0</v>
      </c>
    </row>
    <row r="349">
      <c r="A349" s="10" t="str">
        <f>IFERROR(__xludf.DUMMYFUNCTION("""COMPUTED_VALUE"""),"SARAHK")</f>
        <v>SARAHK</v>
      </c>
      <c r="B349" s="10">
        <f>IFERROR(__xludf.DUMMYFUNCTION("""COMPUTED_VALUE"""),10786.0)</f>
        <v>10786</v>
      </c>
      <c r="C349" s="10"/>
      <c r="D349" s="10"/>
      <c r="E349" s="10"/>
      <c r="F349" s="10"/>
      <c r="G349" s="10"/>
      <c r="H349" s="10"/>
      <c r="I349" s="674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675" t="s">
        <v>18874</v>
      </c>
      <c r="V349" s="675">
        <v>14278.0</v>
      </c>
    </row>
    <row r="350">
      <c r="A350" s="10" t="str">
        <f>IFERROR(__xludf.DUMMYFUNCTION("""COMPUTED_VALUE"""),"AALO")</f>
        <v>AALO</v>
      </c>
      <c r="B350" s="10">
        <f>IFERROR(__xludf.DUMMYFUNCTION("""COMPUTED_VALUE"""),14439.0)</f>
        <v>14439</v>
      </c>
      <c r="C350" s="10"/>
      <c r="D350" s="10"/>
      <c r="E350" s="10"/>
      <c r="F350" s="10"/>
      <c r="G350" s="10"/>
      <c r="H350" s="10"/>
      <c r="I350" s="674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675" t="s">
        <v>18875</v>
      </c>
      <c r="V350" s="675">
        <v>10959.0</v>
      </c>
    </row>
    <row r="351">
      <c r="A351" s="10" t="str">
        <f>IFERROR(__xludf.DUMMYFUNCTION("""COMPUTED_VALUE"""),"WITHW")</f>
        <v>WITHW</v>
      </c>
      <c r="B351" s="10">
        <f>IFERROR(__xludf.DUMMYFUNCTION("""COMPUTED_VALUE"""),13958.0)</f>
        <v>13958</v>
      </c>
      <c r="C351" s="10"/>
      <c r="D351" s="10"/>
      <c r="E351" s="10"/>
      <c r="F351" s="10"/>
      <c r="G351" s="10"/>
      <c r="H351" s="10"/>
      <c r="I351" s="674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675" t="s">
        <v>18876</v>
      </c>
      <c r="V351" s="675">
        <v>10612.0</v>
      </c>
    </row>
    <row r="352">
      <c r="A352" s="10" t="str">
        <f>IFERROR(__xludf.DUMMYFUNCTION("""COMPUTED_VALUE"""),"loof")</f>
        <v>loof</v>
      </c>
      <c r="B352" s="10">
        <f>IFERROR(__xludf.DUMMYFUNCTION("""COMPUTED_VALUE"""),9654.0)</f>
        <v>9654</v>
      </c>
      <c r="C352" s="10"/>
      <c r="D352" s="10"/>
      <c r="E352" s="10"/>
      <c r="F352" s="10"/>
      <c r="G352" s="10"/>
      <c r="H352" s="10"/>
      <c r="I352" s="674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675" t="s">
        <v>18877</v>
      </c>
      <c r="V352" s="675">
        <v>6671.0</v>
      </c>
    </row>
    <row r="353">
      <c r="A353" s="10" t="str">
        <f>IFERROR(__xludf.DUMMYFUNCTION("""COMPUTED_VALUE"""),"ALIB")</f>
        <v>ALIB</v>
      </c>
      <c r="B353" s="10">
        <f>IFERROR(__xludf.DUMMYFUNCTION("""COMPUTED_VALUE"""),1.0)</f>
        <v>1</v>
      </c>
      <c r="C353" s="10"/>
      <c r="D353" s="10"/>
      <c r="E353" s="10"/>
      <c r="F353" s="10"/>
      <c r="G353" s="10"/>
      <c r="H353" s="10"/>
      <c r="I353" s="674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675" t="s">
        <v>18878</v>
      </c>
      <c r="V353" s="675">
        <v>11047.0</v>
      </c>
    </row>
    <row r="354">
      <c r="A354" s="10" t="str">
        <f>IFERROR(__xludf.DUMMYFUNCTION("""COMPUTED_VALUE"""),"MISSD")</f>
        <v>MISSD</v>
      </c>
      <c r="B354" s="10">
        <f>IFERROR(__xludf.DUMMYFUNCTION("""COMPUTED_VALUE"""),11154.0)</f>
        <v>11154</v>
      </c>
      <c r="C354" s="10"/>
      <c r="D354" s="10"/>
      <c r="E354" s="10"/>
      <c r="F354" s="10"/>
      <c r="G354" s="10"/>
      <c r="H354" s="10"/>
      <c r="I354" s="674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675" t="s">
        <v>18879</v>
      </c>
      <c r="V354" s="675">
        <v>11052.0</v>
      </c>
    </row>
    <row r="355">
      <c r="A355" s="10" t="str">
        <f>IFERROR(__xludf.DUMMYFUNCTION("""COMPUTED_VALUE"""),"ABOSK")</f>
        <v>ABOSK</v>
      </c>
      <c r="B355" s="10">
        <f>IFERROR(__xludf.DUMMYFUNCTION("""COMPUTED_VALUE"""),14278.0)</f>
        <v>14278</v>
      </c>
      <c r="C355" s="10"/>
      <c r="D355" s="10"/>
      <c r="E355" s="10"/>
      <c r="F355" s="10"/>
      <c r="G355" s="10"/>
      <c r="H355" s="10"/>
      <c r="I355" s="674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675" t="s">
        <v>18880</v>
      </c>
      <c r="V355" s="675">
        <v>13337.0</v>
      </c>
    </row>
    <row r="356">
      <c r="A356" s="10" t="str">
        <f>IFERROR(__xludf.DUMMYFUNCTION("""COMPUTED_VALUE"""),"HEBAXX")</f>
        <v>HEBAXX</v>
      </c>
      <c r="B356" s="10">
        <f>IFERROR(__xludf.DUMMYFUNCTION("""COMPUTED_VALUE"""),14350.0)</f>
        <v>14350</v>
      </c>
      <c r="C356" s="10"/>
      <c r="D356" s="10"/>
      <c r="E356" s="10"/>
      <c r="F356" s="10"/>
      <c r="G356" s="10"/>
      <c r="H356" s="10"/>
      <c r="I356" s="674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675" t="s">
        <v>18881</v>
      </c>
      <c r="V356" s="675">
        <v>10250.0</v>
      </c>
    </row>
    <row r="357">
      <c r="A357" s="10" t="str">
        <f>IFERROR(__xludf.DUMMYFUNCTION("""COMPUTED_VALUE"""),"BARA")</f>
        <v>BARA</v>
      </c>
      <c r="B357" s="10">
        <f>IFERROR(__xludf.DUMMYFUNCTION("""COMPUTED_VALUE"""),13337.0)</f>
        <v>13337</v>
      </c>
      <c r="C357" s="10"/>
      <c r="D357" s="10"/>
      <c r="E357" s="10"/>
      <c r="F357" s="10"/>
      <c r="G357" s="10"/>
      <c r="H357" s="10"/>
      <c r="I357" s="674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675" t="s">
        <v>18882</v>
      </c>
      <c r="V357" s="675">
        <v>9682.0</v>
      </c>
    </row>
    <row r="358">
      <c r="A358" s="10" t="str">
        <f>IFERROR(__xludf.DUMMYFUNCTION("""COMPUTED_VALUE"""),"IHS")</f>
        <v>IHS</v>
      </c>
      <c r="B358" s="10">
        <f>IFERROR(__xludf.DUMMYFUNCTION("""COMPUTED_VALUE"""),9068.0)</f>
        <v>9068</v>
      </c>
      <c r="C358" s="10"/>
      <c r="D358" s="10"/>
      <c r="E358" s="10"/>
      <c r="F358" s="10"/>
      <c r="G358" s="10"/>
      <c r="H358" s="10"/>
      <c r="I358" s="674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675" t="s">
        <v>18883</v>
      </c>
      <c r="V358" s="675">
        <v>9700.0</v>
      </c>
    </row>
    <row r="359">
      <c r="A359" s="10" t="str">
        <f>IFERROR(__xludf.DUMMYFUNCTION("""COMPUTED_VALUE"""),"NORHA")</f>
        <v>NORHA</v>
      </c>
      <c r="B359" s="10">
        <f>IFERROR(__xludf.DUMMYFUNCTION("""COMPUTED_VALUE"""),1.0)</f>
        <v>1</v>
      </c>
      <c r="C359" s="10"/>
      <c r="D359" s="10"/>
      <c r="E359" s="10"/>
      <c r="F359" s="10"/>
      <c r="G359" s="10"/>
      <c r="H359" s="10"/>
      <c r="I359" s="674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675" t="s">
        <v>18884</v>
      </c>
      <c r="V359" s="675">
        <v>10205.0</v>
      </c>
    </row>
    <row r="360">
      <c r="A360" s="10" t="str">
        <f>IFERROR(__xludf.DUMMYFUNCTION("""COMPUTED_VALUE"""),"MAGICX")</f>
        <v>MAGICX</v>
      </c>
      <c r="B360" s="10">
        <f>IFERROR(__xludf.DUMMYFUNCTION("""COMPUTED_VALUE"""),13937.0)</f>
        <v>13937</v>
      </c>
      <c r="C360" s="10"/>
      <c r="D360" s="10"/>
      <c r="E360" s="10"/>
      <c r="F360" s="10"/>
      <c r="G360" s="10"/>
      <c r="H360" s="10"/>
      <c r="I360" s="674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675" t="s">
        <v>18885</v>
      </c>
      <c r="V360" s="675">
        <v>12148.0</v>
      </c>
    </row>
    <row r="361">
      <c r="A361" s="10" t="str">
        <f>IFERROR(__xludf.DUMMYFUNCTION("""COMPUTED_VALUE"""),"HHH")</f>
        <v>HHH</v>
      </c>
      <c r="B361" s="10">
        <f>IFERROR(__xludf.DUMMYFUNCTION("""COMPUTED_VALUE"""),11781.0)</f>
        <v>11781</v>
      </c>
      <c r="C361" s="10"/>
      <c r="D361" s="10"/>
      <c r="E361" s="10"/>
      <c r="F361" s="10"/>
      <c r="G361" s="10"/>
      <c r="H361" s="10"/>
      <c r="I361" s="674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675" t="s">
        <v>18886</v>
      </c>
      <c r="V361" s="675">
        <v>10786.0</v>
      </c>
    </row>
    <row r="362">
      <c r="A362" s="10" t="str">
        <f>IFERROR(__xludf.DUMMYFUNCTION("""COMPUTED_VALUE"""),"HASSA")</f>
        <v>HASSA</v>
      </c>
      <c r="B362" s="10">
        <f>IFERROR(__xludf.DUMMYFUNCTION("""COMPUTED_VALUE"""),1.0)</f>
        <v>1</v>
      </c>
      <c r="C362" s="10"/>
      <c r="D362" s="10"/>
      <c r="E362" s="10"/>
      <c r="F362" s="10"/>
      <c r="G362" s="10"/>
      <c r="H362" s="10"/>
      <c r="I362" s="674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675" t="s">
        <v>18887</v>
      </c>
      <c r="V362" s="675">
        <v>6875.0</v>
      </c>
    </row>
    <row r="363">
      <c r="A363" s="10" t="str">
        <f>IFERROR(__xludf.DUMMYFUNCTION("""COMPUTED_VALUE"""),"XIIXXX")</f>
        <v>XIIXXX</v>
      </c>
      <c r="B363" s="10">
        <f>IFERROR(__xludf.DUMMYFUNCTION("""COMPUTED_VALUE"""),14165.0)</f>
        <v>14165</v>
      </c>
      <c r="C363" s="10"/>
      <c r="D363" s="10"/>
      <c r="E363" s="10"/>
      <c r="F363" s="10"/>
      <c r="G363" s="10"/>
      <c r="H363" s="10"/>
      <c r="I363" s="674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675" t="s">
        <v>18888</v>
      </c>
      <c r="V363" s="675">
        <v>10237.0</v>
      </c>
    </row>
    <row r="364">
      <c r="A364" s="10" t="str">
        <f>IFERROR(__xludf.DUMMYFUNCTION("""COMPUTED_VALUE"""),"BASX")</f>
        <v>BASX</v>
      </c>
      <c r="B364" s="10">
        <f>IFERROR(__xludf.DUMMYFUNCTION("""COMPUTED_VALUE"""),1.0)</f>
        <v>1</v>
      </c>
      <c r="C364" s="10"/>
      <c r="D364" s="10"/>
      <c r="E364" s="10"/>
      <c r="F364" s="10"/>
      <c r="G364" s="10"/>
      <c r="H364" s="10"/>
      <c r="I364" s="674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675" t="s">
        <v>18889</v>
      </c>
      <c r="V364" s="675">
        <v>2345.0</v>
      </c>
    </row>
    <row r="365">
      <c r="A365" s="10" t="str">
        <f>IFERROR(__xludf.DUMMYFUNCTION("""COMPUTED_VALUE"""),"RLIC")</f>
        <v>RLIC</v>
      </c>
      <c r="B365" s="10">
        <f>IFERROR(__xludf.DUMMYFUNCTION("""COMPUTED_VALUE"""),9618.0)</f>
        <v>9618</v>
      </c>
      <c r="C365" s="10"/>
      <c r="D365" s="10"/>
      <c r="E365" s="10"/>
      <c r="F365" s="10"/>
      <c r="G365" s="10"/>
      <c r="H365" s="10"/>
      <c r="I365" s="674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675" t="s">
        <v>18890</v>
      </c>
      <c r="V365" s="675">
        <v>7699.0</v>
      </c>
    </row>
    <row r="366">
      <c r="A366" s="10" t="str">
        <f>IFERROR(__xludf.DUMMYFUNCTION("""COMPUTED_VALUE"""),"GOT")</f>
        <v>GOT</v>
      </c>
      <c r="B366" s="10">
        <f>IFERROR(__xludf.DUMMYFUNCTION("""COMPUTED_VALUE"""),1.0)</f>
        <v>1</v>
      </c>
      <c r="C366" s="10"/>
      <c r="D366" s="10"/>
      <c r="E366" s="10"/>
      <c r="F366" s="10"/>
      <c r="G366" s="10"/>
      <c r="H366" s="10"/>
      <c r="I366" s="674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675" t="s">
        <v>18891</v>
      </c>
      <c r="V366" s="675">
        <v>10363.0</v>
      </c>
    </row>
    <row r="367">
      <c r="A367" s="10" t="str">
        <f>IFERROR(__xludf.DUMMYFUNCTION("""COMPUTED_VALUE"""),"SHROUD")</f>
        <v>SHROUD</v>
      </c>
      <c r="B367" s="10">
        <f>IFERROR(__xludf.DUMMYFUNCTION("""COMPUTED_VALUE"""),12705.0)</f>
        <v>12705</v>
      </c>
      <c r="C367" s="10"/>
      <c r="D367" s="10"/>
      <c r="E367" s="10"/>
      <c r="F367" s="10"/>
      <c r="G367" s="10"/>
      <c r="H367" s="10"/>
      <c r="I367" s="674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675" t="s">
        <v>18892</v>
      </c>
      <c r="V367" s="675">
        <v>10685.0</v>
      </c>
    </row>
    <row r="368">
      <c r="A368" s="10" t="str">
        <f>IFERROR(__xludf.DUMMYFUNCTION("""COMPUTED_VALUE"""),"XNR")</f>
        <v>XNR</v>
      </c>
      <c r="B368" s="10">
        <f>IFERROR(__xludf.DUMMYFUNCTION("""COMPUTED_VALUE"""),14041.0)</f>
        <v>14041</v>
      </c>
      <c r="C368" s="10"/>
      <c r="D368" s="10"/>
      <c r="E368" s="10"/>
      <c r="F368" s="10"/>
      <c r="G368" s="10"/>
      <c r="H368" s="10"/>
      <c r="I368" s="674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675" t="s">
        <v>18893</v>
      </c>
      <c r="V368" s="675">
        <v>10309.0</v>
      </c>
    </row>
    <row r="369">
      <c r="A369" s="10" t="str">
        <f>IFERROR(__xludf.DUMMYFUNCTION("""COMPUTED_VALUE"""),"ZOZ")</f>
        <v>ZOZ</v>
      </c>
      <c r="B369" s="10">
        <f>IFERROR(__xludf.DUMMYFUNCTION("""COMPUTED_VALUE"""),14043.0)</f>
        <v>14043</v>
      </c>
      <c r="C369" s="10"/>
      <c r="D369" s="10"/>
      <c r="E369" s="10"/>
      <c r="F369" s="10"/>
      <c r="G369" s="10"/>
      <c r="H369" s="10"/>
      <c r="I369" s="674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675" t="s">
        <v>18894</v>
      </c>
      <c r="V369" s="675">
        <v>10317.0</v>
      </c>
    </row>
    <row r="370">
      <c r="A370" s="10" t="str">
        <f>IFERROR(__xludf.DUMMYFUNCTION("""COMPUTED_VALUE"""),"CINEM")</f>
        <v>CINEM</v>
      </c>
      <c r="B370" s="10">
        <f>IFERROR(__xludf.DUMMYFUNCTION("""COMPUTED_VALUE"""),1.0)</f>
        <v>1</v>
      </c>
      <c r="C370" s="10"/>
      <c r="D370" s="10"/>
      <c r="E370" s="10"/>
      <c r="F370" s="10"/>
      <c r="G370" s="10"/>
      <c r="H370" s="10"/>
      <c r="I370" s="674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675" t="s">
        <v>18895</v>
      </c>
      <c r="V370" s="675">
        <v>7010.0</v>
      </c>
    </row>
    <row r="371">
      <c r="A371" s="10" t="str">
        <f>IFERROR(__xludf.DUMMYFUNCTION("""COMPUTED_VALUE"""),"IIR")</f>
        <v>IIR</v>
      </c>
      <c r="B371" s="10">
        <f>IFERROR(__xludf.DUMMYFUNCTION("""COMPUTED_VALUE"""),1.0)</f>
        <v>1</v>
      </c>
      <c r="C371" s="10"/>
      <c r="D371" s="10"/>
      <c r="E371" s="10"/>
      <c r="F371" s="10"/>
      <c r="G371" s="10"/>
      <c r="H371" s="10"/>
      <c r="I371" s="674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675" t="s">
        <v>18896</v>
      </c>
      <c r="V371" s="675">
        <v>10318.0</v>
      </c>
    </row>
    <row r="372">
      <c r="A372" s="10" t="str">
        <f>IFERROR(__xludf.DUMMYFUNCTION("""COMPUTED_VALUE"""),"AFJB")</f>
        <v>AFJB</v>
      </c>
      <c r="B372" s="10"/>
      <c r="C372" s="10"/>
      <c r="D372" s="10"/>
      <c r="E372" s="10"/>
      <c r="F372" s="10"/>
      <c r="G372" s="10"/>
      <c r="H372" s="10"/>
      <c r="I372" s="674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675" t="s">
        <v>18897</v>
      </c>
      <c r="V372" s="675">
        <v>9814.0</v>
      </c>
    </row>
    <row r="373">
      <c r="A373" s="10" t="str">
        <f>IFERROR(__xludf.DUMMYFUNCTION("""COMPUTED_VALUE"""),"GOGO")</f>
        <v>GOGO</v>
      </c>
      <c r="B373" s="10">
        <f>IFERROR(__xludf.DUMMYFUNCTION("""COMPUTED_VALUE"""),9768.0)</f>
        <v>9768</v>
      </c>
      <c r="C373" s="10"/>
      <c r="D373" s="10"/>
      <c r="E373" s="10"/>
      <c r="F373" s="10"/>
      <c r="G373" s="10"/>
      <c r="H373" s="10"/>
      <c r="I373" s="674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675" t="s">
        <v>18898</v>
      </c>
      <c r="V373" s="675">
        <v>10987.0</v>
      </c>
    </row>
    <row r="374">
      <c r="A374" s="10" t="str">
        <f>IFERROR(__xludf.DUMMYFUNCTION("""COMPUTED_VALUE"""),"EYG")</f>
        <v>EYG</v>
      </c>
      <c r="B374" s="10">
        <f>IFERROR(__xludf.DUMMYFUNCTION("""COMPUTED_VALUE"""),14116.0)</f>
        <v>14116</v>
      </c>
      <c r="C374" s="10"/>
      <c r="D374" s="10"/>
      <c r="E374" s="10"/>
      <c r="F374" s="10"/>
      <c r="G374" s="10"/>
      <c r="H374" s="10"/>
      <c r="I374" s="674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675" t="s">
        <v>18899</v>
      </c>
      <c r="V374" s="675">
        <v>10242.0</v>
      </c>
    </row>
    <row r="375">
      <c r="A375" s="10" t="str">
        <f>IFERROR(__xludf.DUMMYFUNCTION("""COMPUTED_VALUE"""),"ALAU")</f>
        <v>ALAU</v>
      </c>
      <c r="B375" s="10">
        <f>IFERROR(__xludf.DUMMYFUNCTION("""COMPUTED_VALUE"""),10424.0)</f>
        <v>10424</v>
      </c>
      <c r="C375" s="10"/>
      <c r="D375" s="10"/>
      <c r="E375" s="10"/>
      <c r="F375" s="10"/>
      <c r="G375" s="10"/>
      <c r="H375" s="10"/>
      <c r="I375" s="674"/>
      <c r="J375" s="10"/>
      <c r="K375" s="10"/>
      <c r="L375" s="10"/>
      <c r="M375" s="10"/>
      <c r="N375" s="10"/>
      <c r="O375" s="10"/>
      <c r="P375" s="10"/>
      <c r="Q375" s="10"/>
      <c r="R375" s="677" t="s">
        <v>18900</v>
      </c>
      <c r="U375" s="675" t="s">
        <v>18901</v>
      </c>
      <c r="V375" s="675">
        <v>7100.0</v>
      </c>
    </row>
    <row r="376">
      <c r="A376" s="10" t="str">
        <f>IFERROR(__xludf.DUMMYFUNCTION("""COMPUTED_VALUE"""),"MAGO")</f>
        <v>MAGO</v>
      </c>
      <c r="B376" s="10">
        <f>IFERROR(__xludf.DUMMYFUNCTION("""COMPUTED_VALUE"""),6658.0)</f>
        <v>6658</v>
      </c>
      <c r="C376" s="10"/>
      <c r="D376" s="10"/>
      <c r="E376" s="10"/>
      <c r="F376" s="10"/>
      <c r="G376" s="10"/>
      <c r="H376" s="10"/>
      <c r="I376" s="674"/>
      <c r="J376" s="10"/>
      <c r="K376" s="10"/>
      <c r="L376" s="10"/>
      <c r="M376" s="10"/>
      <c r="N376" s="10"/>
      <c r="O376" s="10"/>
      <c r="P376" s="10"/>
      <c r="Q376" s="10"/>
      <c r="R376" s="10" t="s">
        <v>18902</v>
      </c>
      <c r="S376" s="10">
        <v>9067.0</v>
      </c>
      <c r="T376" s="10"/>
      <c r="U376" s="675" t="s">
        <v>18903</v>
      </c>
      <c r="V376" s="675">
        <v>10424.0</v>
      </c>
    </row>
    <row r="377">
      <c r="A377" s="10" t="str">
        <f>IFERROR(__xludf.DUMMYFUNCTION("""COMPUTED_VALUE"""),"AMAPBBC")</f>
        <v>AMAPBBC</v>
      </c>
      <c r="B377" s="10">
        <f>IFERROR(__xludf.DUMMYFUNCTION("""COMPUTED_VALUE"""),12384.0)</f>
        <v>12384</v>
      </c>
      <c r="C377" s="10"/>
      <c r="D377" s="10"/>
      <c r="E377" s="10"/>
      <c r="F377" s="10"/>
      <c r="G377" s="10"/>
      <c r="H377" s="10"/>
      <c r="I377" s="674"/>
      <c r="J377" s="10"/>
      <c r="K377" s="10"/>
      <c r="L377" s="10"/>
      <c r="M377" s="10"/>
      <c r="N377" s="10"/>
      <c r="O377" s="10"/>
      <c r="P377" s="10"/>
      <c r="Q377" s="10"/>
      <c r="R377" s="10" t="s">
        <v>18904</v>
      </c>
      <c r="S377" s="10"/>
      <c r="T377" s="10"/>
      <c r="U377" s="675" t="s">
        <v>18905</v>
      </c>
      <c r="V377" s="675">
        <v>10201.0</v>
      </c>
    </row>
    <row r="378">
      <c r="A378" s="10" t="str">
        <f>IFERROR(__xludf.DUMMYFUNCTION("""COMPUTED_VALUE"""),"RIYFTMB")</f>
        <v>RIYFTMB</v>
      </c>
      <c r="B378" s="10">
        <f>IFERROR(__xludf.DUMMYFUNCTION("""COMPUTED_VALUE"""),14087.0)</f>
        <v>14087</v>
      </c>
      <c r="C378" s="10"/>
      <c r="D378" s="10"/>
      <c r="E378" s="10"/>
      <c r="F378" s="10"/>
      <c r="G378" s="10"/>
      <c r="H378" s="10"/>
      <c r="I378" s="674"/>
      <c r="J378" s="10"/>
      <c r="K378" s="10"/>
      <c r="L378" s="10"/>
      <c r="M378" s="10"/>
      <c r="N378" s="10"/>
      <c r="O378" s="10"/>
      <c r="P378" s="10"/>
      <c r="Q378" s="10"/>
      <c r="R378" s="10" t="s">
        <v>18906</v>
      </c>
      <c r="S378" s="10">
        <v>6675.0</v>
      </c>
      <c r="T378" s="10"/>
      <c r="U378" s="675" t="s">
        <v>18907</v>
      </c>
      <c r="V378" s="675">
        <v>9586.0</v>
      </c>
    </row>
    <row r="379">
      <c r="A379" s="10" t="str">
        <f>IFERROR(__xludf.DUMMYFUNCTION("""COMPUTED_VALUE"""),"SUGAA")</f>
        <v>SUGAA</v>
      </c>
      <c r="B379" s="10">
        <f>IFERROR(__xludf.DUMMYFUNCTION("""COMPUTED_VALUE"""),14452.0)</f>
        <v>14452</v>
      </c>
      <c r="C379" s="10"/>
      <c r="D379" s="10"/>
      <c r="E379" s="10"/>
      <c r="F379" s="10"/>
      <c r="G379" s="10"/>
      <c r="H379" s="10"/>
      <c r="I379" s="674"/>
      <c r="J379" s="10"/>
      <c r="K379" s="10"/>
      <c r="L379" s="10"/>
      <c r="M379" s="10"/>
      <c r="N379" s="10"/>
      <c r="O379" s="10"/>
      <c r="P379" s="10"/>
      <c r="Q379" s="10"/>
      <c r="R379" s="10" t="s">
        <v>18908</v>
      </c>
      <c r="S379" s="10">
        <v>2345.0</v>
      </c>
      <c r="T379" s="10"/>
      <c r="U379" s="675" t="s">
        <v>18909</v>
      </c>
      <c r="V379" s="675">
        <v>9813.0</v>
      </c>
    </row>
    <row r="380">
      <c r="A380" s="10" t="str">
        <f>IFERROR(__xludf.DUMMYFUNCTION("""COMPUTED_VALUE"""),"LND")</f>
        <v>LND</v>
      </c>
      <c r="B380" s="10">
        <f>IFERROR(__xludf.DUMMYFUNCTION("""COMPUTED_VALUE"""),9707.0)</f>
        <v>9707</v>
      </c>
      <c r="C380" s="10"/>
      <c r="D380" s="10"/>
      <c r="E380" s="10"/>
      <c r="F380" s="10"/>
      <c r="G380" s="10"/>
      <c r="H380" s="10"/>
      <c r="I380" s="674"/>
      <c r="J380" s="10"/>
      <c r="K380" s="10"/>
      <c r="L380" s="10"/>
      <c r="M380" s="10"/>
      <c r="N380" s="10"/>
      <c r="O380" s="10"/>
      <c r="P380" s="10"/>
      <c r="Q380" s="10"/>
      <c r="R380" s="10" t="s">
        <v>18910</v>
      </c>
      <c r="S380" s="10">
        <v>6675.0</v>
      </c>
      <c r="T380" s="10"/>
      <c r="U380" s="675" t="s">
        <v>18911</v>
      </c>
      <c r="V380" s="675">
        <v>9796.0</v>
      </c>
    </row>
    <row r="381">
      <c r="A381" s="10" t="str">
        <f>IFERROR(__xludf.DUMMYFUNCTION("""COMPUTED_VALUE"""),"LEENAW")</f>
        <v>LEENAW</v>
      </c>
      <c r="B381" s="10">
        <f>IFERROR(__xludf.DUMMYFUNCTION("""COMPUTED_VALUE"""),1.0)</f>
        <v>1</v>
      </c>
      <c r="C381" s="10"/>
      <c r="D381" s="10"/>
      <c r="E381" s="10"/>
      <c r="F381" s="10"/>
      <c r="G381" s="10"/>
      <c r="H381" s="10"/>
      <c r="I381" s="674"/>
      <c r="J381" s="10"/>
      <c r="K381" s="10"/>
      <c r="L381" s="10"/>
      <c r="M381" s="10"/>
      <c r="N381" s="10"/>
      <c r="O381" s="10"/>
      <c r="P381" s="10"/>
      <c r="Q381" s="10"/>
      <c r="R381" s="10" t="s">
        <v>18912</v>
      </c>
      <c r="S381" s="10">
        <v>6675.0</v>
      </c>
      <c r="T381" s="10"/>
      <c r="U381" s="675" t="s">
        <v>18913</v>
      </c>
      <c r="V381" s="675">
        <v>11267.0</v>
      </c>
    </row>
    <row r="382">
      <c r="A382" s="10" t="str">
        <f>IFERROR(__xludf.DUMMYFUNCTION("""COMPUTED_VALUE"""),"RXX")</f>
        <v>RXX</v>
      </c>
      <c r="B382" s="10">
        <f>IFERROR(__xludf.DUMMYFUNCTION("""COMPUTED_VALUE"""),14081.0)</f>
        <v>14081</v>
      </c>
      <c r="C382" s="10"/>
      <c r="D382" s="10"/>
      <c r="E382" s="10"/>
      <c r="F382" s="10"/>
      <c r="G382" s="10"/>
      <c r="H382" s="10"/>
      <c r="I382" s="674"/>
      <c r="J382" s="10"/>
      <c r="K382" s="10"/>
      <c r="L382" s="10"/>
      <c r="M382" s="10"/>
      <c r="N382" s="10"/>
      <c r="O382" s="10"/>
      <c r="P382" s="10"/>
      <c r="Q382" s="10"/>
      <c r="R382" s="10" t="s">
        <v>18914</v>
      </c>
      <c r="S382" s="10">
        <v>6675.0</v>
      </c>
      <c r="T382" s="10"/>
      <c r="U382" s="675" t="s">
        <v>18915</v>
      </c>
      <c r="V382" s="675">
        <v>9714.0</v>
      </c>
    </row>
    <row r="383">
      <c r="A383" s="10" t="str">
        <f>IFERROR(__xludf.DUMMYFUNCTION("""COMPUTED_VALUE"""),"SARAAA")</f>
        <v>SARAAA</v>
      </c>
      <c r="B383" s="10">
        <f>IFERROR(__xludf.DUMMYFUNCTION("""COMPUTED_VALUE"""),1.0)</f>
        <v>1</v>
      </c>
      <c r="C383" s="10"/>
      <c r="D383" s="10"/>
      <c r="E383" s="10"/>
      <c r="F383" s="10"/>
      <c r="G383" s="10"/>
      <c r="H383" s="10"/>
      <c r="I383" s="674"/>
      <c r="J383" s="10"/>
      <c r="K383" s="10"/>
      <c r="L383" s="10"/>
      <c r="M383" s="10"/>
      <c r="N383" s="10"/>
      <c r="O383" s="10"/>
      <c r="P383" s="10"/>
      <c r="Q383" s="10"/>
      <c r="R383" s="10" t="s">
        <v>18916</v>
      </c>
      <c r="S383" s="10">
        <v>6675.0</v>
      </c>
      <c r="T383" s="10"/>
      <c r="U383" s="675" t="s">
        <v>18917</v>
      </c>
      <c r="V383" s="675">
        <v>9703.0</v>
      </c>
    </row>
    <row r="384">
      <c r="A384" s="10" t="str">
        <f>IFERROR(__xludf.DUMMYFUNCTION("""COMPUTED_VALUE"""),"SSRR")</f>
        <v>SSRR</v>
      </c>
      <c r="B384" s="10">
        <f>IFERROR(__xludf.DUMMYFUNCTION("""COMPUTED_VALUE"""),11153.0)</f>
        <v>11153</v>
      </c>
      <c r="C384" s="10"/>
      <c r="D384" s="10"/>
      <c r="E384" s="10"/>
      <c r="F384" s="10"/>
      <c r="G384" s="10"/>
      <c r="H384" s="10"/>
      <c r="I384" s="674"/>
      <c r="J384" s="10"/>
      <c r="K384" s="10"/>
      <c r="L384" s="10"/>
      <c r="M384" s="10"/>
      <c r="N384" s="10"/>
      <c r="O384" s="10"/>
      <c r="P384" s="10"/>
      <c r="Q384" s="10"/>
      <c r="R384" s="10" t="s">
        <v>18918</v>
      </c>
      <c r="S384" s="10">
        <v>189.0</v>
      </c>
      <c r="T384" s="10"/>
      <c r="U384" s="675" t="s">
        <v>18919</v>
      </c>
      <c r="V384" s="675">
        <v>9794.0</v>
      </c>
    </row>
    <row r="385">
      <c r="A385" s="10" t="str">
        <f>IFERROR(__xludf.DUMMYFUNCTION("""COMPUTED_VALUE"""),"QUELDBH")</f>
        <v>QUELDBH</v>
      </c>
      <c r="B385" s="10">
        <f>IFERROR(__xludf.DUMMYFUNCTION("""COMPUTED_VALUE"""),13823.0)</f>
        <v>13823</v>
      </c>
      <c r="C385" s="10"/>
      <c r="D385" s="10"/>
      <c r="E385" s="10"/>
      <c r="F385" s="10"/>
      <c r="G385" s="10"/>
      <c r="H385" s="10"/>
      <c r="I385" s="674"/>
      <c r="J385" s="10"/>
      <c r="K385" s="10"/>
      <c r="L385" s="10"/>
      <c r="M385" s="10"/>
      <c r="N385" s="10"/>
      <c r="O385" s="10"/>
      <c r="P385" s="10"/>
      <c r="Q385" s="10"/>
      <c r="R385" s="10" t="s">
        <v>18920</v>
      </c>
      <c r="S385" s="10">
        <v>189.0</v>
      </c>
      <c r="T385" s="10"/>
      <c r="U385" s="675" t="s">
        <v>18921</v>
      </c>
      <c r="V385" s="675">
        <v>9654.0</v>
      </c>
    </row>
    <row r="386">
      <c r="A386" s="10" t="str">
        <f>IFERROR(__xludf.DUMMYFUNCTION("""COMPUTED_VALUE"""),"AQSAAX")</f>
        <v>AQSAAX</v>
      </c>
      <c r="B386" s="10"/>
      <c r="C386" s="10"/>
      <c r="D386" s="10"/>
      <c r="E386" s="10"/>
      <c r="F386" s="10"/>
      <c r="G386" s="10"/>
      <c r="H386" s="10"/>
      <c r="I386" s="674"/>
      <c r="J386" s="10"/>
      <c r="K386" s="10"/>
      <c r="L386" s="10"/>
      <c r="M386" s="10"/>
      <c r="N386" s="10"/>
      <c r="O386" s="10"/>
      <c r="P386" s="10"/>
      <c r="Q386" s="10"/>
      <c r="R386" s="10" t="s">
        <v>18922</v>
      </c>
      <c r="S386" s="10">
        <v>189.0</v>
      </c>
      <c r="T386" s="10"/>
      <c r="U386" s="675" t="s">
        <v>18923</v>
      </c>
      <c r="V386" s="675">
        <v>10049.0</v>
      </c>
    </row>
    <row r="387">
      <c r="A387" s="10" t="str">
        <f>IFERROR(__xludf.DUMMYFUNCTION("""COMPUTED_VALUE"""),"LLIXX")</f>
        <v>LLIXX</v>
      </c>
      <c r="B387" s="10">
        <f>IFERROR(__xludf.DUMMYFUNCTION("""COMPUTED_VALUE"""),14443.0)</f>
        <v>14443</v>
      </c>
      <c r="C387" s="10"/>
      <c r="D387" s="10"/>
      <c r="E387" s="10"/>
      <c r="F387" s="10"/>
      <c r="G387" s="10"/>
      <c r="H387" s="10"/>
      <c r="I387" s="674"/>
      <c r="J387" s="10"/>
      <c r="K387" s="10"/>
      <c r="L387" s="10"/>
      <c r="M387" s="10"/>
      <c r="N387" s="10"/>
      <c r="O387" s="10"/>
      <c r="P387" s="10"/>
      <c r="Q387" s="10"/>
      <c r="R387" s="10" t="s">
        <v>18924</v>
      </c>
      <c r="S387" s="10">
        <v>189.0</v>
      </c>
      <c r="T387" s="10"/>
      <c r="U387" s="675" t="s">
        <v>18925</v>
      </c>
      <c r="V387" s="675">
        <v>9730.0</v>
      </c>
    </row>
    <row r="388">
      <c r="A388" s="10" t="str">
        <f>IFERROR(__xludf.DUMMYFUNCTION("""COMPUTED_VALUE"""),"STL")</f>
        <v>STL</v>
      </c>
      <c r="B388" s="10">
        <f>IFERROR(__xludf.DUMMYFUNCTION("""COMPUTED_VALUE"""),9586.0)</f>
        <v>9586</v>
      </c>
      <c r="C388" s="10"/>
      <c r="D388" s="10"/>
      <c r="E388" s="10"/>
      <c r="F388" s="10"/>
      <c r="G388" s="10"/>
      <c r="H388" s="10"/>
      <c r="I388" s="674"/>
      <c r="J388" s="10"/>
      <c r="K388" s="10"/>
      <c r="L388" s="10"/>
      <c r="M388" s="10"/>
      <c r="N388" s="10"/>
      <c r="O388" s="10"/>
      <c r="P388" s="10"/>
      <c r="Q388" s="10"/>
      <c r="R388" s="10" t="s">
        <v>18926</v>
      </c>
      <c r="S388" s="10">
        <v>10047.0</v>
      </c>
      <c r="T388" s="10"/>
      <c r="U388" s="675" t="s">
        <v>18927</v>
      </c>
      <c r="V388" s="675">
        <v>285.0</v>
      </c>
    </row>
    <row r="389">
      <c r="A389" s="10" t="str">
        <f>IFERROR(__xludf.DUMMYFUNCTION("""COMPUTED_VALUE"""),"LLLO")</f>
        <v>LLLO</v>
      </c>
      <c r="B389" s="10">
        <f>IFERROR(__xludf.DUMMYFUNCTION("""COMPUTED_VALUE"""),1.0)</f>
        <v>1</v>
      </c>
      <c r="C389" s="10"/>
      <c r="D389" s="10"/>
      <c r="E389" s="10"/>
      <c r="F389" s="10"/>
      <c r="G389" s="10"/>
      <c r="H389" s="10"/>
      <c r="I389" s="674"/>
      <c r="J389" s="10"/>
      <c r="K389" s="10"/>
      <c r="L389" s="10"/>
      <c r="M389" s="10"/>
      <c r="N389" s="10"/>
      <c r="O389" s="10"/>
      <c r="P389" s="10"/>
      <c r="Q389" s="10"/>
      <c r="R389" s="10" t="s">
        <v>18928</v>
      </c>
      <c r="S389" s="10">
        <v>1.0</v>
      </c>
      <c r="T389" s="10"/>
      <c r="U389" s="675" t="s">
        <v>18929</v>
      </c>
      <c r="V389" s="675">
        <v>9715.0</v>
      </c>
    </row>
    <row r="390">
      <c r="A390" s="10" t="str">
        <f>IFERROR(__xludf.DUMMYFUNCTION("""COMPUTED_VALUE"""),"DIIX")</f>
        <v>DIIX</v>
      </c>
      <c r="B390" s="10">
        <f>IFERROR(__xludf.DUMMYFUNCTION("""COMPUTED_VALUE"""),13878.0)</f>
        <v>13878</v>
      </c>
      <c r="C390" s="10"/>
      <c r="D390" s="10"/>
      <c r="E390" s="10"/>
      <c r="F390" s="10"/>
      <c r="G390" s="10"/>
      <c r="H390" s="10"/>
      <c r="I390" s="674"/>
      <c r="J390" s="10"/>
      <c r="K390" s="10"/>
      <c r="L390" s="10"/>
      <c r="M390" s="10"/>
      <c r="N390" s="10"/>
      <c r="O390" s="10"/>
      <c r="P390" s="10"/>
      <c r="Q390" s="10"/>
      <c r="R390" s="10" t="s">
        <v>18930</v>
      </c>
      <c r="S390" s="10">
        <v>11707.0</v>
      </c>
      <c r="T390" s="10"/>
      <c r="U390" s="675" t="s">
        <v>18931</v>
      </c>
      <c r="V390" s="675">
        <v>9842.0</v>
      </c>
    </row>
    <row r="391">
      <c r="A391" s="10" t="str">
        <f>IFERROR(__xludf.DUMMYFUNCTION("""COMPUTED_VALUE"""),"SLLI")</f>
        <v>SLLI</v>
      </c>
      <c r="B391" s="10">
        <f>IFERROR(__xludf.DUMMYFUNCTION("""COMPUTED_VALUE"""),14216.0)</f>
        <v>14216</v>
      </c>
      <c r="C391" s="10"/>
      <c r="D391" s="10"/>
      <c r="E391" s="10"/>
      <c r="F391" s="10"/>
      <c r="G391" s="10"/>
      <c r="H391" s="10"/>
      <c r="I391" s="674"/>
      <c r="J391" s="10"/>
      <c r="K391" s="10"/>
      <c r="L391" s="10"/>
      <c r="M391" s="10"/>
      <c r="N391" s="10"/>
      <c r="O391" s="10"/>
      <c r="P391" s="10"/>
      <c r="Q391" s="10"/>
      <c r="R391" s="10" t="s">
        <v>6277</v>
      </c>
      <c r="S391" s="10">
        <v>11153.0</v>
      </c>
      <c r="T391" s="10"/>
      <c r="U391" s="675" t="s">
        <v>18932</v>
      </c>
      <c r="V391" s="675">
        <v>9767.0</v>
      </c>
    </row>
    <row r="392">
      <c r="A392" s="10" t="str">
        <f>IFERROR(__xludf.DUMMYFUNCTION("""COMPUTED_VALUE"""),"TOTAX")</f>
        <v>TOTAX</v>
      </c>
      <c r="B392" s="10">
        <f>IFERROR(__xludf.DUMMYFUNCTION("""COMPUTED_VALUE"""),13072.0)</f>
        <v>13072</v>
      </c>
      <c r="C392" s="10"/>
      <c r="D392" s="10"/>
      <c r="E392" s="10"/>
      <c r="F392" s="10"/>
      <c r="G392" s="10"/>
      <c r="H392" s="10"/>
      <c r="I392" s="674"/>
      <c r="J392" s="10"/>
      <c r="K392" s="10"/>
      <c r="L392" s="10"/>
      <c r="M392" s="10"/>
      <c r="N392" s="10"/>
      <c r="O392" s="10"/>
      <c r="P392" s="10"/>
      <c r="Q392" s="10"/>
      <c r="R392" s="10" t="s">
        <v>18933</v>
      </c>
      <c r="S392" s="10">
        <v>7983.0</v>
      </c>
      <c r="T392" s="10"/>
      <c r="U392" s="675" t="s">
        <v>18934</v>
      </c>
      <c r="V392" s="675">
        <v>9709.0</v>
      </c>
    </row>
    <row r="393">
      <c r="A393" s="10" t="str">
        <f>IFERROR(__xludf.DUMMYFUNCTION("""COMPUTED_VALUE"""),"MANALLX")</f>
        <v>MANALLX</v>
      </c>
      <c r="B393" s="10">
        <f>IFERROR(__xludf.DUMMYFUNCTION("""COMPUTED_VALUE"""),9730.0)</f>
        <v>9730</v>
      </c>
      <c r="C393" s="10"/>
      <c r="D393" s="10"/>
      <c r="E393" s="10"/>
      <c r="F393" s="10"/>
      <c r="G393" s="10"/>
      <c r="H393" s="10"/>
      <c r="I393" s="674"/>
      <c r="J393" s="10"/>
      <c r="K393" s="10"/>
      <c r="L393" s="10"/>
      <c r="M393" s="10"/>
      <c r="N393" s="10"/>
      <c r="O393" s="10"/>
      <c r="P393" s="10"/>
      <c r="Q393" s="10"/>
      <c r="R393" s="10" t="s">
        <v>18935</v>
      </c>
      <c r="S393" s="10">
        <v>14447.0</v>
      </c>
      <c r="T393" s="10"/>
      <c r="U393" s="675" t="s">
        <v>18936</v>
      </c>
      <c r="V393" s="675">
        <v>9707.0</v>
      </c>
    </row>
    <row r="394">
      <c r="A394" s="10" t="str">
        <f>IFERROR(__xludf.DUMMYFUNCTION("""COMPUTED_VALUE"""),"XIIX")</f>
        <v>XIIX</v>
      </c>
      <c r="B394" s="10">
        <f>IFERROR(__xludf.DUMMYFUNCTION("""COMPUTED_VALUE"""),11782.0)</f>
        <v>11782</v>
      </c>
      <c r="C394" s="10"/>
      <c r="D394" s="10"/>
      <c r="E394" s="10"/>
      <c r="F394" s="10"/>
      <c r="G394" s="10"/>
      <c r="H394" s="10"/>
      <c r="I394" s="674"/>
      <c r="J394" s="10"/>
      <c r="K394" s="10"/>
      <c r="L394" s="10"/>
      <c r="M394" s="10"/>
      <c r="N394" s="10"/>
      <c r="O394" s="10"/>
      <c r="P394" s="10"/>
      <c r="Q394" s="10"/>
      <c r="R394" s="10" t="s">
        <v>18937</v>
      </c>
      <c r="S394" s="10">
        <v>10296.0</v>
      </c>
      <c r="T394" s="10"/>
      <c r="U394" s="675" t="s">
        <v>18938</v>
      </c>
      <c r="V394" s="675">
        <v>10058.0</v>
      </c>
    </row>
    <row r="395">
      <c r="A395" s="10" t="str">
        <f>IFERROR(__xludf.DUMMYFUNCTION("""COMPUTED_VALUE"""),"TRENDA")</f>
        <v>TRENDA</v>
      </c>
      <c r="B395" s="10">
        <f>IFERROR(__xludf.DUMMYFUNCTION("""COMPUTED_VALUE"""),1.0)</f>
        <v>1</v>
      </c>
      <c r="C395" s="10"/>
      <c r="D395" s="10"/>
      <c r="E395" s="10"/>
      <c r="F395" s="10"/>
      <c r="G395" s="10"/>
      <c r="H395" s="10"/>
      <c r="I395" s="674"/>
      <c r="J395" s="10"/>
      <c r="K395" s="10"/>
      <c r="L395" s="10"/>
      <c r="M395" s="10"/>
      <c r="N395" s="10"/>
      <c r="O395" s="10"/>
      <c r="P395" s="10"/>
      <c r="Q395" s="10"/>
      <c r="R395" s="10" t="s">
        <v>18939</v>
      </c>
      <c r="S395" s="10">
        <v>14254.0</v>
      </c>
      <c r="T395" s="10"/>
      <c r="U395" s="675" t="s">
        <v>18940</v>
      </c>
      <c r="V395" s="675">
        <v>9619.0</v>
      </c>
    </row>
    <row r="396">
      <c r="A396" s="10" t="str">
        <f>IFERROR(__xludf.DUMMYFUNCTION("""COMPUTED_VALUE"""),"FIONK")</f>
        <v>FIONK</v>
      </c>
      <c r="B396" s="10">
        <f>IFERROR(__xludf.DUMMYFUNCTION("""COMPUTED_VALUE"""),1.0)</f>
        <v>1</v>
      </c>
      <c r="C396" s="10"/>
      <c r="D396" s="10"/>
      <c r="E396" s="10"/>
      <c r="F396" s="10"/>
      <c r="G396" s="10"/>
      <c r="H396" s="10"/>
      <c r="I396" s="674"/>
      <c r="J396" s="10"/>
      <c r="K396" s="10"/>
      <c r="L396" s="10"/>
      <c r="M396" s="10"/>
      <c r="N396" s="10"/>
      <c r="O396" s="10"/>
      <c r="P396" s="10"/>
      <c r="Q396" s="10"/>
      <c r="R396" s="10" t="s">
        <v>18941</v>
      </c>
      <c r="S396" s="10">
        <v>12080.0</v>
      </c>
      <c r="T396" s="10"/>
      <c r="U396" s="675" t="s">
        <v>18942</v>
      </c>
      <c r="V396" s="675">
        <v>9686.0</v>
      </c>
    </row>
    <row r="397">
      <c r="A397" s="10" t="str">
        <f>IFERROR(__xludf.DUMMYFUNCTION("""COMPUTED_VALUE"""),"HMF")</f>
        <v>HMF</v>
      </c>
      <c r="B397" s="10">
        <f>IFERROR(__xludf.DUMMYFUNCTION("""COMPUTED_VALUE"""),1.0)</f>
        <v>1</v>
      </c>
      <c r="C397" s="10"/>
      <c r="D397" s="10"/>
      <c r="E397" s="10"/>
      <c r="F397" s="10"/>
      <c r="G397" s="10"/>
      <c r="H397" s="10"/>
      <c r="I397" s="674"/>
      <c r="J397" s="10"/>
      <c r="K397" s="10"/>
      <c r="L397" s="10"/>
      <c r="M397" s="10"/>
      <c r="N397" s="10"/>
      <c r="O397" s="10"/>
      <c r="P397" s="10"/>
      <c r="Q397" s="10"/>
      <c r="R397" s="10" t="s">
        <v>18943</v>
      </c>
      <c r="S397" s="10">
        <v>12014.0</v>
      </c>
      <c r="T397" s="10"/>
      <c r="U397" s="675" t="s">
        <v>18944</v>
      </c>
      <c r="V397" s="675">
        <v>9617.0</v>
      </c>
    </row>
    <row r="398">
      <c r="A398" s="10" t="str">
        <f>IFERROR(__xludf.DUMMYFUNCTION("""COMPUTED_VALUE"""),"SARAT")</f>
        <v>SARAT</v>
      </c>
      <c r="B398" s="10">
        <f>IFERROR(__xludf.DUMMYFUNCTION("""COMPUTED_VALUE"""),9064.0)</f>
        <v>9064</v>
      </c>
      <c r="C398" s="10"/>
      <c r="D398" s="10"/>
      <c r="E398" s="10"/>
      <c r="F398" s="10"/>
      <c r="G398" s="10"/>
      <c r="H398" s="10"/>
      <c r="I398" s="674"/>
      <c r="J398" s="10"/>
      <c r="K398" s="10"/>
      <c r="L398" s="10"/>
      <c r="M398" s="10"/>
      <c r="N398" s="10"/>
      <c r="O398" s="10"/>
      <c r="P398" s="10"/>
      <c r="Q398" s="10"/>
      <c r="R398" s="10" t="s">
        <v>18945</v>
      </c>
      <c r="S398" s="10">
        <v>12081.0</v>
      </c>
      <c r="T398" s="10"/>
      <c r="U398" s="675" t="s">
        <v>18946</v>
      </c>
      <c r="V398" s="675">
        <v>10042.0</v>
      </c>
    </row>
    <row r="399">
      <c r="A399" s="10" t="str">
        <f>IFERROR(__xludf.DUMMYFUNCTION("""COMPUTED_VALUE"""),"SARAHB")</f>
        <v>SARAHB</v>
      </c>
      <c r="B399" s="10">
        <f>IFERROR(__xludf.DUMMYFUNCTION("""COMPUTED_VALUE"""),1.0)</f>
        <v>1</v>
      </c>
      <c r="C399" s="10"/>
      <c r="D399" s="10"/>
      <c r="E399" s="10"/>
      <c r="F399" s="10"/>
      <c r="G399" s="10"/>
      <c r="H399" s="10"/>
      <c r="I399" s="674"/>
      <c r="J399" s="10"/>
      <c r="K399" s="10"/>
      <c r="L399" s="10"/>
      <c r="M399" s="10"/>
      <c r="N399" s="10"/>
      <c r="O399" s="10"/>
      <c r="P399" s="10"/>
      <c r="Q399" s="10"/>
      <c r="R399" s="10" t="s">
        <v>18947</v>
      </c>
      <c r="S399" s="10">
        <v>14423.0</v>
      </c>
      <c r="T399" s="10"/>
      <c r="U399" s="675" t="s">
        <v>18948</v>
      </c>
      <c r="V399" s="675">
        <v>9669.0</v>
      </c>
    </row>
    <row r="400">
      <c r="A400" s="10" t="str">
        <f>IFERROR(__xludf.DUMMYFUNCTION("""COMPUTED_VALUE"""),"LENA")</f>
        <v>LENA</v>
      </c>
      <c r="B400" s="10">
        <f>IFERROR(__xludf.DUMMYFUNCTION("""COMPUTED_VALUE"""),14498.0)</f>
        <v>14498</v>
      </c>
      <c r="C400" s="10"/>
      <c r="D400" s="10"/>
      <c r="E400" s="10"/>
      <c r="F400" s="10"/>
      <c r="G400" s="10"/>
      <c r="H400" s="10"/>
      <c r="I400" s="674"/>
      <c r="J400" s="10"/>
      <c r="K400" s="10"/>
      <c r="L400" s="10"/>
      <c r="M400" s="10"/>
      <c r="N400" s="10"/>
      <c r="O400" s="10"/>
      <c r="P400" s="10"/>
      <c r="Q400" s="10"/>
      <c r="R400" s="10" t="s">
        <v>18949</v>
      </c>
      <c r="S400" s="10">
        <v>14251.0</v>
      </c>
      <c r="T400" s="10"/>
      <c r="U400" s="675" t="s">
        <v>18950</v>
      </c>
      <c r="V400" s="675">
        <v>10046.0</v>
      </c>
    </row>
    <row r="401">
      <c r="A401" s="10" t="str">
        <f>IFERROR(__xludf.DUMMYFUNCTION("""COMPUTED_VALUE"""),"ALRE")</f>
        <v>ALRE</v>
      </c>
      <c r="B401" s="10">
        <f>IFERROR(__xludf.DUMMYFUNCTION("""COMPUTED_VALUE"""),10201.0)</f>
        <v>10201</v>
      </c>
      <c r="C401" s="10"/>
      <c r="D401" s="10"/>
      <c r="E401" s="10"/>
      <c r="F401" s="10"/>
      <c r="G401" s="10"/>
      <c r="H401" s="10"/>
      <c r="I401" s="674"/>
      <c r="J401" s="10"/>
      <c r="K401" s="10"/>
      <c r="L401" s="10"/>
      <c r="M401" s="10"/>
      <c r="N401" s="10"/>
      <c r="O401" s="10"/>
      <c r="P401" s="10"/>
      <c r="Q401" s="10"/>
      <c r="R401" s="10" t="s">
        <v>18951</v>
      </c>
      <c r="S401" s="10">
        <v>13953.0</v>
      </c>
      <c r="T401" s="10"/>
      <c r="U401" s="675" t="s">
        <v>18952</v>
      </c>
      <c r="V401" s="675">
        <v>14304.0</v>
      </c>
    </row>
    <row r="402">
      <c r="A402" s="10" t="str">
        <f>IFERROR(__xludf.DUMMYFUNCTION("""COMPUTED_VALUE"""),"MHAW")</f>
        <v>MHAW</v>
      </c>
      <c r="B402" s="10">
        <f>IFERROR(__xludf.DUMMYFUNCTION("""COMPUTED_VALUE"""),14149.0)</f>
        <v>14149</v>
      </c>
      <c r="C402" s="10"/>
      <c r="D402" s="10"/>
      <c r="E402" s="10"/>
      <c r="F402" s="10"/>
      <c r="G402" s="10"/>
      <c r="H402" s="10"/>
      <c r="I402" s="674"/>
      <c r="J402" s="10"/>
      <c r="K402" s="10"/>
      <c r="L402" s="10"/>
      <c r="M402" s="10"/>
      <c r="N402" s="10"/>
      <c r="O402" s="10"/>
      <c r="P402" s="10"/>
      <c r="Q402" s="10"/>
      <c r="R402" s="10" t="s">
        <v>18953</v>
      </c>
      <c r="S402" s="10">
        <v>12966.0</v>
      </c>
      <c r="T402" s="10"/>
      <c r="U402" s="675" t="s">
        <v>18954</v>
      </c>
      <c r="V402" s="675">
        <v>9615.0</v>
      </c>
    </row>
    <row r="403">
      <c r="A403" s="10" t="str">
        <f>IFERROR(__xludf.DUMMYFUNCTION("""COMPUTED_VALUE"""),"XPI")</f>
        <v>XPI</v>
      </c>
      <c r="B403" s="10">
        <f>IFERROR(__xludf.DUMMYFUNCTION("""COMPUTED_VALUE"""),1.0)</f>
        <v>1</v>
      </c>
      <c r="C403" s="10"/>
      <c r="D403" s="10"/>
      <c r="E403" s="10"/>
      <c r="F403" s="10"/>
      <c r="G403" s="10"/>
      <c r="H403" s="10"/>
      <c r="I403" s="674"/>
      <c r="J403" s="10"/>
      <c r="K403" s="10"/>
      <c r="L403" s="10"/>
      <c r="M403" s="10"/>
      <c r="N403" s="10"/>
      <c r="O403" s="10"/>
      <c r="P403" s="10"/>
      <c r="Q403" s="10"/>
      <c r="R403" s="10" t="s">
        <v>18955</v>
      </c>
      <c r="S403" s="10">
        <v>14252.0</v>
      </c>
      <c r="T403" s="10"/>
      <c r="U403" s="675" t="s">
        <v>18956</v>
      </c>
      <c r="V403" s="675">
        <v>9653.0</v>
      </c>
    </row>
    <row r="404">
      <c r="A404" s="10" t="str">
        <f>IFERROR(__xludf.DUMMYFUNCTION("""COMPUTED_VALUE"""),"IAMER")</f>
        <v>IAMER</v>
      </c>
      <c r="B404" s="10">
        <f>IFERROR(__xludf.DUMMYFUNCTION("""COMPUTED_VALUE"""),14161.0)</f>
        <v>14161</v>
      </c>
      <c r="C404" s="10"/>
      <c r="D404" s="10"/>
      <c r="E404" s="10"/>
      <c r="F404" s="10"/>
      <c r="G404" s="10"/>
      <c r="H404" s="10"/>
      <c r="I404" s="674"/>
      <c r="J404" s="10"/>
      <c r="K404" s="10"/>
      <c r="L404" s="10"/>
      <c r="M404" s="10"/>
      <c r="N404" s="10"/>
      <c r="O404" s="10"/>
      <c r="P404" s="10"/>
      <c r="Q404" s="10"/>
      <c r="R404" s="10" t="s">
        <v>18957</v>
      </c>
      <c r="S404" s="10">
        <v>14448.0</v>
      </c>
      <c r="T404" s="10"/>
      <c r="U404" s="675" t="s">
        <v>18958</v>
      </c>
      <c r="V404" s="675">
        <v>9657.0</v>
      </c>
    </row>
    <row r="405">
      <c r="A405" s="10" t="str">
        <f>IFERROR(__xludf.DUMMYFUNCTION("""COMPUTED_VALUE"""),"STAYL")</f>
        <v>STAYL</v>
      </c>
      <c r="B405" s="10">
        <f>IFERROR(__xludf.DUMMYFUNCTION("""COMPUTED_VALUE"""),10046.0)</f>
        <v>10046</v>
      </c>
      <c r="C405" s="10"/>
      <c r="D405" s="10"/>
      <c r="E405" s="10"/>
      <c r="F405" s="10"/>
      <c r="G405" s="10"/>
      <c r="H405" s="10"/>
      <c r="I405" s="674"/>
      <c r="J405" s="10"/>
      <c r="K405" s="10"/>
      <c r="L405" s="10"/>
      <c r="M405" s="10"/>
      <c r="N405" s="10"/>
      <c r="O405" s="10"/>
      <c r="P405" s="10"/>
      <c r="Q405" s="10"/>
      <c r="R405" s="10" t="s">
        <v>18959</v>
      </c>
      <c r="S405" s="10">
        <v>10041.0</v>
      </c>
      <c r="T405" s="10"/>
      <c r="U405" s="675" t="s">
        <v>18960</v>
      </c>
      <c r="V405" s="675">
        <v>9659.0</v>
      </c>
    </row>
    <row r="406">
      <c r="A406" s="10" t="str">
        <f>IFERROR(__xludf.DUMMYFUNCTION("""COMPUTED_VALUE"""),"SMAXX")</f>
        <v>SMAXX</v>
      </c>
      <c r="B406" s="10">
        <f>IFERROR(__xludf.DUMMYFUNCTION("""COMPUTED_VALUE"""),14406.0)</f>
        <v>14406</v>
      </c>
      <c r="C406" s="10"/>
      <c r="D406" s="10"/>
      <c r="E406" s="10"/>
      <c r="F406" s="10"/>
      <c r="G406" s="10"/>
      <c r="H406" s="10"/>
      <c r="I406" s="674"/>
      <c r="J406" s="10"/>
      <c r="K406" s="10"/>
      <c r="L406" s="10"/>
      <c r="M406" s="10"/>
      <c r="N406" s="10"/>
      <c r="O406" s="10"/>
      <c r="P406" s="10"/>
      <c r="Q406" s="10"/>
      <c r="R406" s="10" t="s">
        <v>18961</v>
      </c>
      <c r="S406" s="10">
        <v>14250.0</v>
      </c>
      <c r="T406" s="10"/>
      <c r="U406" s="675" t="s">
        <v>18962</v>
      </c>
      <c r="V406" s="675">
        <v>9651.0</v>
      </c>
    </row>
    <row r="407">
      <c r="A407" s="10" t="str">
        <f>IFERROR(__xludf.DUMMYFUNCTION("""COMPUTED_VALUE"""),"TAGA")</f>
        <v>TAGA</v>
      </c>
      <c r="B407" s="10">
        <f>IFERROR(__xludf.DUMMYFUNCTION("""COMPUTED_VALUE"""),12572.0)</f>
        <v>12572</v>
      </c>
      <c r="C407" s="10"/>
      <c r="D407" s="10"/>
      <c r="E407" s="10"/>
      <c r="F407" s="10"/>
      <c r="G407" s="10"/>
      <c r="H407" s="10"/>
      <c r="I407" s="674"/>
      <c r="J407" s="10"/>
      <c r="K407" s="10"/>
      <c r="L407" s="10"/>
      <c r="M407" s="10"/>
      <c r="N407" s="10"/>
      <c r="O407" s="10"/>
      <c r="P407" s="10"/>
      <c r="Q407" s="10"/>
      <c r="R407" s="10" t="s">
        <v>18963</v>
      </c>
      <c r="S407" s="10">
        <v>11267.0</v>
      </c>
      <c r="T407" s="10"/>
      <c r="U407" s="675" t="s">
        <v>18964</v>
      </c>
      <c r="V407" s="675">
        <v>9704.0</v>
      </c>
    </row>
    <row r="408">
      <c r="A408" s="10" t="str">
        <f>IFERROR(__xludf.DUMMYFUNCTION("""COMPUTED_VALUE"""),"OUDA")</f>
        <v>OUDA</v>
      </c>
      <c r="B408" s="10">
        <f>IFERROR(__xludf.DUMMYFUNCTION("""COMPUTED_VALUE"""),359.0)</f>
        <v>359</v>
      </c>
      <c r="C408" s="10"/>
      <c r="D408" s="10"/>
      <c r="E408" s="10"/>
      <c r="F408" s="10"/>
      <c r="G408" s="10"/>
      <c r="H408" s="10"/>
      <c r="I408" s="674"/>
      <c r="J408" s="10"/>
      <c r="K408" s="10"/>
      <c r="L408" s="10"/>
      <c r="M408" s="10"/>
      <c r="N408" s="10"/>
      <c r="O408" s="10"/>
      <c r="P408" s="10"/>
      <c r="Q408" s="10"/>
      <c r="R408" s="10" t="s">
        <v>18965</v>
      </c>
      <c r="S408" s="10">
        <v>13866.0</v>
      </c>
      <c r="T408" s="10"/>
      <c r="U408" s="675" t="s">
        <v>18966</v>
      </c>
      <c r="V408" s="675">
        <v>9574.0</v>
      </c>
    </row>
    <row r="409">
      <c r="A409" s="10" t="str">
        <f>IFERROR(__xludf.DUMMYFUNCTION("""COMPUTED_VALUE"""),"LIA")</f>
        <v>LIA</v>
      </c>
      <c r="B409" s="10"/>
      <c r="C409" s="10"/>
      <c r="D409" s="10"/>
      <c r="E409" s="10"/>
      <c r="F409" s="10"/>
      <c r="G409" s="10"/>
      <c r="H409" s="10"/>
      <c r="I409" s="674"/>
      <c r="J409" s="10"/>
      <c r="K409" s="10"/>
      <c r="L409" s="10"/>
      <c r="M409" s="10"/>
      <c r="N409" s="10"/>
      <c r="O409" s="10"/>
      <c r="P409" s="10"/>
      <c r="Q409" s="10"/>
      <c r="R409" s="10" t="s">
        <v>18967</v>
      </c>
      <c r="S409" s="10">
        <v>12625.0</v>
      </c>
      <c r="T409" s="10"/>
      <c r="U409" s="675" t="s">
        <v>18968</v>
      </c>
      <c r="V409" s="675">
        <v>2345.0</v>
      </c>
    </row>
    <row r="410">
      <c r="A410" s="10" t="str">
        <f>IFERROR(__xludf.DUMMYFUNCTION("""COMPUTED_VALUE"""),"SEVEN")</f>
        <v>SEVEN</v>
      </c>
      <c r="B410" s="10">
        <f>IFERROR(__xludf.DUMMYFUNCTION("""COMPUTED_VALUE"""),9617.0)</f>
        <v>9617</v>
      </c>
      <c r="C410" s="10"/>
      <c r="D410" s="10"/>
      <c r="E410" s="10"/>
      <c r="F410" s="10"/>
      <c r="G410" s="10"/>
      <c r="H410" s="10"/>
      <c r="I410" s="674"/>
      <c r="J410" s="10"/>
      <c r="K410" s="10"/>
      <c r="L410" s="10"/>
      <c r="M410" s="10"/>
      <c r="N410" s="10"/>
      <c r="O410" s="10"/>
      <c r="P410" s="10"/>
      <c r="Q410" s="10"/>
      <c r="R410" s="10" t="s">
        <v>18969</v>
      </c>
      <c r="S410" s="10">
        <v>9795.0</v>
      </c>
      <c r="T410" s="10"/>
      <c r="U410" s="675" t="s">
        <v>18970</v>
      </c>
      <c r="V410" s="675">
        <v>9612.0</v>
      </c>
    </row>
    <row r="411">
      <c r="A411" s="10" t="str">
        <f>IFERROR(__xludf.DUMMYFUNCTION("""COMPUTED_VALUE"""),"ALC")</f>
        <v>ALC</v>
      </c>
      <c r="B411" s="10">
        <f>IFERROR(__xludf.DUMMYFUNCTION("""COMPUTED_VALUE"""),6706.0)</f>
        <v>6706</v>
      </c>
      <c r="C411" s="10"/>
      <c r="D411" s="10"/>
      <c r="E411" s="10"/>
      <c r="F411" s="10"/>
      <c r="G411" s="10"/>
      <c r="H411" s="10"/>
      <c r="I411" s="674"/>
      <c r="J411" s="10"/>
      <c r="K411" s="10"/>
      <c r="L411" s="10"/>
      <c r="M411" s="10"/>
      <c r="N411" s="10"/>
      <c r="O411" s="10"/>
      <c r="P411" s="10"/>
      <c r="Q411" s="10"/>
      <c r="R411" s="10" t="s">
        <v>18971</v>
      </c>
      <c r="S411" s="10">
        <v>11282.0</v>
      </c>
      <c r="T411" s="10"/>
      <c r="U411" s="675" t="s">
        <v>18972</v>
      </c>
      <c r="V411" s="675">
        <v>9733.0</v>
      </c>
    </row>
    <row r="412">
      <c r="A412" s="10" t="str">
        <f>IFERROR(__xludf.DUMMYFUNCTION("""COMPUTED_VALUE"""),"AMOF")</f>
        <v>AMOF</v>
      </c>
      <c r="B412" s="10">
        <f>IFERROR(__xludf.DUMMYFUNCTION("""COMPUTED_VALUE"""),1.0)</f>
        <v>1</v>
      </c>
      <c r="C412" s="10"/>
      <c r="D412" s="10"/>
      <c r="E412" s="10"/>
      <c r="F412" s="10"/>
      <c r="G412" s="10"/>
      <c r="H412" s="10"/>
      <c r="I412" s="674"/>
      <c r="J412" s="10"/>
      <c r="K412" s="10"/>
      <c r="L412" s="10"/>
      <c r="M412" s="10"/>
      <c r="N412" s="10"/>
      <c r="O412" s="10"/>
      <c r="P412" s="10"/>
      <c r="Q412" s="10"/>
      <c r="R412" s="10" t="s">
        <v>18973</v>
      </c>
      <c r="S412" s="10">
        <v>14296.0</v>
      </c>
      <c r="T412" s="10"/>
      <c r="U412" s="675" t="s">
        <v>18974</v>
      </c>
      <c r="V412" s="675">
        <v>9618.0</v>
      </c>
    </row>
    <row r="413">
      <c r="A413" s="10" t="str">
        <f>IFERROR(__xludf.DUMMYFUNCTION("""COMPUTED_VALUE"""),"YASBSWR")</f>
        <v>YASBSWR</v>
      </c>
      <c r="B413" s="10">
        <f>IFERROR(__xludf.DUMMYFUNCTION("""COMPUTED_VALUE"""),285.0)</f>
        <v>285</v>
      </c>
      <c r="C413" s="10"/>
      <c r="D413" s="10"/>
      <c r="E413" s="10"/>
      <c r="F413" s="10"/>
      <c r="G413" s="10"/>
      <c r="H413" s="10"/>
      <c r="I413" s="674"/>
      <c r="J413" s="10"/>
      <c r="K413" s="10"/>
      <c r="L413" s="10"/>
      <c r="M413" s="10"/>
      <c r="N413" s="10"/>
      <c r="O413" s="10"/>
      <c r="P413" s="10"/>
      <c r="Q413" s="10"/>
      <c r="R413" s="10" t="s">
        <v>18975</v>
      </c>
      <c r="S413" s="10">
        <v>14275.0</v>
      </c>
      <c r="T413" s="10"/>
      <c r="U413" s="675" t="s">
        <v>18976</v>
      </c>
      <c r="V413" s="675">
        <v>9782.0</v>
      </c>
    </row>
    <row r="414">
      <c r="A414" s="10" t="str">
        <f>IFERROR(__xludf.DUMMYFUNCTION("""COMPUTED_VALUE"""),"AMAAN")</f>
        <v>AMAAN</v>
      </c>
      <c r="B414" s="10">
        <f>IFERROR(__xludf.DUMMYFUNCTION("""COMPUTED_VALUE"""),12070.0)</f>
        <v>12070</v>
      </c>
      <c r="C414" s="10"/>
      <c r="D414" s="10"/>
      <c r="E414" s="10"/>
      <c r="F414" s="10"/>
      <c r="G414" s="10"/>
      <c r="H414" s="10"/>
      <c r="I414" s="674"/>
      <c r="J414" s="10"/>
      <c r="K414" s="10"/>
      <c r="L414" s="10"/>
      <c r="M414" s="10"/>
      <c r="N414" s="10"/>
      <c r="O414" s="10"/>
      <c r="P414" s="10"/>
      <c r="Q414" s="10"/>
      <c r="R414" s="10" t="s">
        <v>18977</v>
      </c>
      <c r="S414" s="10">
        <v>9305.0</v>
      </c>
      <c r="T414" s="10"/>
      <c r="U414" s="675" t="s">
        <v>18978</v>
      </c>
      <c r="V414" s="675">
        <v>9613.0</v>
      </c>
    </row>
    <row r="415">
      <c r="A415" s="10" t="str">
        <f>IFERROR(__xludf.DUMMYFUNCTION("""COMPUTED_VALUE"""),"LINAN")</f>
        <v>LINAN</v>
      </c>
      <c r="B415" s="10">
        <f>IFERROR(__xludf.DUMMYFUNCTION("""COMPUTED_VALUE"""),1.0)</f>
        <v>1</v>
      </c>
      <c r="C415" s="10"/>
      <c r="D415" s="10"/>
      <c r="E415" s="10"/>
      <c r="F415" s="10"/>
      <c r="G415" s="10"/>
      <c r="H415" s="10"/>
      <c r="I415" s="674"/>
      <c r="J415" s="10"/>
      <c r="K415" s="10"/>
      <c r="L415" s="10"/>
      <c r="M415" s="10"/>
      <c r="N415" s="10"/>
      <c r="O415" s="10"/>
      <c r="P415" s="10"/>
      <c r="Q415" s="10"/>
      <c r="R415" s="10" t="s">
        <v>18979</v>
      </c>
      <c r="S415" s="10">
        <v>9808.0</v>
      </c>
      <c r="T415" s="10"/>
      <c r="U415" s="675" t="s">
        <v>18980</v>
      </c>
      <c r="V415" s="675">
        <v>9568.0</v>
      </c>
    </row>
    <row r="416">
      <c r="A416" s="10" t="str">
        <f>IFERROR(__xludf.DUMMYFUNCTION("""COMPUTED_VALUE"""),"HANIN")</f>
        <v>HANIN</v>
      </c>
      <c r="B416" s="10">
        <f>IFERROR(__xludf.DUMMYFUNCTION("""COMPUTED_VALUE"""),14417.0)</f>
        <v>14417</v>
      </c>
      <c r="C416" s="10"/>
      <c r="D416" s="10"/>
      <c r="E416" s="10"/>
      <c r="F416" s="10"/>
      <c r="G416" s="10"/>
      <c r="H416" s="10"/>
      <c r="I416" s="674"/>
      <c r="J416" s="10"/>
      <c r="K416" s="10"/>
      <c r="L416" s="10"/>
      <c r="M416" s="10"/>
      <c r="N416" s="10"/>
      <c r="O416" s="10"/>
      <c r="P416" s="10"/>
      <c r="Q416" s="10"/>
      <c r="R416" s="10" t="s">
        <v>18981</v>
      </c>
      <c r="S416" s="10">
        <v>9614.0</v>
      </c>
      <c r="T416" s="10"/>
      <c r="U416" s="675" t="s">
        <v>18982</v>
      </c>
      <c r="V416" s="675">
        <v>9777.0</v>
      </c>
    </row>
    <row r="417">
      <c r="A417" s="10" t="str">
        <f>IFERROR(__xludf.DUMMYFUNCTION("""COMPUTED_VALUE"""),"NWR")</f>
        <v>NWR</v>
      </c>
      <c r="B417" s="10">
        <f>IFERROR(__xludf.DUMMYFUNCTION("""COMPUTED_VALUE"""),14200.0)</f>
        <v>14200</v>
      </c>
      <c r="C417" s="10"/>
      <c r="D417" s="10"/>
      <c r="E417" s="10"/>
      <c r="F417" s="10"/>
      <c r="G417" s="10"/>
      <c r="H417" s="10"/>
      <c r="I417" s="674"/>
      <c r="J417" s="10"/>
      <c r="K417" s="10"/>
      <c r="L417" s="10"/>
      <c r="M417" s="10"/>
      <c r="N417" s="10"/>
      <c r="O417" s="10"/>
      <c r="P417" s="10"/>
      <c r="Q417" s="10"/>
      <c r="R417" s="10" t="s">
        <v>18983</v>
      </c>
      <c r="S417" s="10">
        <v>10053.0</v>
      </c>
      <c r="T417" s="10"/>
      <c r="U417" s="675" t="s">
        <v>18984</v>
      </c>
      <c r="V417" s="675">
        <v>9768.0</v>
      </c>
    </row>
    <row r="418">
      <c r="A418" s="10" t="str">
        <f>IFERROR(__xludf.DUMMYFUNCTION("""COMPUTED_VALUE"""),"DOSK")</f>
        <v>DOSK</v>
      </c>
      <c r="B418" s="10">
        <f>IFERROR(__xludf.DUMMYFUNCTION("""COMPUTED_VALUE"""),14460.0)</f>
        <v>14460</v>
      </c>
      <c r="C418" s="10"/>
      <c r="D418" s="10"/>
      <c r="E418" s="10"/>
      <c r="F418" s="10"/>
      <c r="G418" s="10"/>
      <c r="H418" s="10"/>
      <c r="I418" s="674"/>
      <c r="J418" s="10"/>
      <c r="K418" s="10"/>
      <c r="L418" s="10"/>
      <c r="M418" s="10"/>
      <c r="N418" s="10"/>
      <c r="O418" s="10"/>
      <c r="P418" s="10"/>
      <c r="Q418" s="10"/>
      <c r="R418" s="10" t="s">
        <v>18985</v>
      </c>
      <c r="S418" s="10">
        <v>13822.0</v>
      </c>
      <c r="T418" s="10"/>
      <c r="U418" s="675" t="s">
        <v>18986</v>
      </c>
      <c r="V418" s="675">
        <v>10043.0</v>
      </c>
    </row>
    <row r="419">
      <c r="A419" s="10" t="str">
        <f>IFERROR(__xludf.DUMMYFUNCTION("""COMPUTED_VALUE"""),"ALSABE")</f>
        <v>ALSABE</v>
      </c>
      <c r="B419" s="10">
        <f>IFERROR(__xludf.DUMMYFUNCTION("""COMPUTED_VALUE"""),1.0)</f>
        <v>1</v>
      </c>
      <c r="C419" s="10"/>
      <c r="D419" s="10"/>
      <c r="E419" s="10"/>
      <c r="F419" s="10"/>
      <c r="G419" s="10"/>
      <c r="H419" s="10"/>
      <c r="I419" s="674"/>
      <c r="J419" s="10"/>
      <c r="K419" s="10"/>
      <c r="L419" s="10"/>
      <c r="M419" s="10"/>
      <c r="N419" s="10"/>
      <c r="O419" s="10"/>
      <c r="P419" s="10"/>
      <c r="Q419" s="10"/>
      <c r="R419" s="10" t="s">
        <v>18987</v>
      </c>
      <c r="S419" s="10">
        <v>9301.0</v>
      </c>
      <c r="T419" s="10"/>
      <c r="U419" s="675" t="s">
        <v>18988</v>
      </c>
      <c r="V419" s="675">
        <v>8623.0</v>
      </c>
    </row>
    <row r="420">
      <c r="A420" s="10" t="str">
        <f>IFERROR(__xludf.DUMMYFUNCTION("""COMPUTED_VALUE"""),"MSX")</f>
        <v>MSX</v>
      </c>
      <c r="B420" s="10">
        <f>IFERROR(__xludf.DUMMYFUNCTION("""COMPUTED_VALUE"""),1.0)</f>
        <v>1</v>
      </c>
      <c r="C420" s="10"/>
      <c r="D420" s="10"/>
      <c r="E420" s="10"/>
      <c r="F420" s="10"/>
      <c r="G420" s="10"/>
      <c r="H420" s="10"/>
      <c r="I420" s="674"/>
      <c r="J420" s="10"/>
      <c r="K420" s="10"/>
      <c r="L420" s="10"/>
      <c r="M420" s="10"/>
      <c r="N420" s="10"/>
      <c r="O420" s="10"/>
      <c r="P420" s="10"/>
      <c r="Q420" s="10"/>
      <c r="R420" s="10" t="s">
        <v>18989</v>
      </c>
      <c r="S420" s="10">
        <v>13912.0</v>
      </c>
      <c r="T420" s="10"/>
      <c r="U420" s="675" t="s">
        <v>18990</v>
      </c>
      <c r="V420" s="675">
        <v>7734.0</v>
      </c>
    </row>
    <row r="421">
      <c r="A421" s="10" t="str">
        <f>IFERROR(__xludf.DUMMYFUNCTION("""COMPUTED_VALUE"""),"LAL")</f>
        <v>LAL</v>
      </c>
      <c r="B421" s="10">
        <f>IFERROR(__xludf.DUMMYFUNCTION("""COMPUTED_VALUE"""),14282.0)</f>
        <v>14282</v>
      </c>
      <c r="C421" s="10"/>
      <c r="D421" s="10"/>
      <c r="E421" s="10"/>
      <c r="F421" s="10"/>
      <c r="G421" s="10"/>
      <c r="H421" s="10"/>
      <c r="I421" s="674"/>
      <c r="J421" s="10"/>
      <c r="K421" s="10"/>
      <c r="L421" s="10"/>
      <c r="M421" s="10"/>
      <c r="N421" s="10"/>
      <c r="O421" s="10"/>
      <c r="P421" s="10"/>
      <c r="Q421" s="10"/>
      <c r="R421" s="10" t="s">
        <v>18991</v>
      </c>
      <c r="S421" s="10">
        <v>10055.0</v>
      </c>
      <c r="T421" s="10"/>
      <c r="U421" s="675" t="s">
        <v>18992</v>
      </c>
      <c r="V421" s="675">
        <v>9064.0</v>
      </c>
    </row>
    <row r="422">
      <c r="A422" s="10" t="str">
        <f>IFERROR(__xludf.DUMMYFUNCTION("""COMPUTED_VALUE"""),"MAQ")</f>
        <v>MAQ</v>
      </c>
      <c r="B422" s="10">
        <f>IFERROR(__xludf.DUMMYFUNCTION("""COMPUTED_VALUE"""),13936.0)</f>
        <v>13936</v>
      </c>
      <c r="C422" s="10"/>
      <c r="D422" s="10"/>
      <c r="E422" s="10"/>
      <c r="F422" s="10"/>
      <c r="G422" s="10"/>
      <c r="H422" s="10"/>
      <c r="I422" s="674"/>
      <c r="J422" s="10"/>
      <c r="K422" s="10"/>
      <c r="L422" s="10"/>
      <c r="M422" s="10"/>
      <c r="N422" s="10"/>
      <c r="O422" s="10"/>
      <c r="P422" s="10"/>
      <c r="Q422" s="10"/>
      <c r="R422" s="10" t="s">
        <v>18993</v>
      </c>
      <c r="S422" s="10">
        <v>10986.0</v>
      </c>
      <c r="T422" s="10"/>
      <c r="U422" s="675" t="s">
        <v>18994</v>
      </c>
      <c r="V422" s="675">
        <v>8484.0</v>
      </c>
    </row>
    <row r="423">
      <c r="A423" s="10" t="str">
        <f>IFERROR(__xludf.DUMMYFUNCTION("""COMPUTED_VALUE"""),"TMFA")</f>
        <v>TMFA</v>
      </c>
      <c r="B423" s="10">
        <f>IFERROR(__xludf.DUMMYFUNCTION("""COMPUTED_VALUE"""),1.0)</f>
        <v>1</v>
      </c>
      <c r="C423" s="10"/>
      <c r="D423" s="10"/>
      <c r="E423" s="10"/>
      <c r="F423" s="10"/>
      <c r="G423" s="10"/>
      <c r="H423" s="10"/>
      <c r="I423" s="674"/>
      <c r="J423" s="10"/>
      <c r="K423" s="10"/>
      <c r="L423" s="10"/>
      <c r="M423" s="10"/>
      <c r="N423" s="10"/>
      <c r="O423" s="10"/>
      <c r="P423" s="10"/>
      <c r="Q423" s="10"/>
      <c r="R423" s="10" t="s">
        <v>18995</v>
      </c>
      <c r="S423" s="10">
        <v>13962.0</v>
      </c>
      <c r="T423" s="10"/>
      <c r="U423" s="675" t="s">
        <v>18996</v>
      </c>
      <c r="V423" s="675">
        <v>8307.0</v>
      </c>
    </row>
    <row r="424">
      <c r="A424" s="10" t="str">
        <f>IFERROR(__xludf.DUMMYFUNCTION("""COMPUTED_VALUE"""),"AHMEDKH")</f>
        <v>AHMEDKH</v>
      </c>
      <c r="B424" s="10">
        <f>IFERROR(__xludf.DUMMYFUNCTION("""COMPUTED_VALUE"""),14219.0)</f>
        <v>14219</v>
      </c>
      <c r="C424" s="10"/>
      <c r="D424" s="10"/>
      <c r="E424" s="10"/>
      <c r="F424" s="10"/>
      <c r="G424" s="10"/>
      <c r="H424" s="10"/>
      <c r="I424" s="674"/>
      <c r="J424" s="10"/>
      <c r="K424" s="10"/>
      <c r="L424" s="10"/>
      <c r="M424" s="10"/>
      <c r="N424" s="10"/>
      <c r="O424" s="10"/>
      <c r="P424" s="10"/>
      <c r="Q424" s="10"/>
      <c r="R424" s="10" t="s">
        <v>18997</v>
      </c>
      <c r="S424" s="10">
        <v>13876.0</v>
      </c>
      <c r="T424" s="10"/>
      <c r="U424" s="675" t="s">
        <v>18998</v>
      </c>
      <c r="V424" s="675">
        <v>9068.0</v>
      </c>
    </row>
    <row r="425">
      <c r="A425" s="10" t="str">
        <f>IFERROR(__xludf.DUMMYFUNCTION("""COMPUTED_VALUE"""),"BALAH")</f>
        <v>BALAH</v>
      </c>
      <c r="B425" s="10">
        <f>IFERROR(__xludf.DUMMYFUNCTION("""COMPUTED_VALUE"""),1.0)</f>
        <v>1</v>
      </c>
      <c r="C425" s="10"/>
      <c r="D425" s="10"/>
      <c r="E425" s="10"/>
      <c r="F425" s="10"/>
      <c r="G425" s="10"/>
      <c r="H425" s="10"/>
      <c r="I425" s="674"/>
      <c r="J425" s="10"/>
      <c r="K425" s="10"/>
      <c r="L425" s="10"/>
      <c r="M425" s="10"/>
      <c r="N425" s="10"/>
      <c r="O425" s="10"/>
      <c r="P425" s="10"/>
      <c r="Q425" s="10"/>
      <c r="R425" s="10" t="s">
        <v>18999</v>
      </c>
      <c r="S425" s="10">
        <v>10057.0</v>
      </c>
      <c r="T425" s="10"/>
      <c r="U425" s="675" t="s">
        <v>19000</v>
      </c>
      <c r="V425" s="675">
        <v>9061.0</v>
      </c>
    </row>
    <row r="426">
      <c r="A426" s="10" t="str">
        <f>IFERROR(__xludf.DUMMYFUNCTION("""COMPUTED_VALUE"""),"TODAYTE")</f>
        <v>TODAYTE</v>
      </c>
      <c r="B426" s="10">
        <f>IFERROR(__xludf.DUMMYFUNCTION("""COMPUTED_VALUE"""),14375.0)</f>
        <v>14375</v>
      </c>
      <c r="C426" s="10"/>
      <c r="D426" s="10"/>
      <c r="E426" s="10"/>
      <c r="F426" s="10"/>
      <c r="G426" s="10"/>
      <c r="H426" s="10"/>
      <c r="I426" s="674"/>
      <c r="J426" s="10"/>
      <c r="K426" s="10"/>
      <c r="L426" s="10"/>
      <c r="M426" s="10"/>
      <c r="N426" s="10"/>
      <c r="O426" s="10"/>
      <c r="P426" s="10"/>
      <c r="Q426" s="10"/>
      <c r="R426" s="10" t="s">
        <v>19001</v>
      </c>
      <c r="S426" s="10">
        <v>10059.0</v>
      </c>
      <c r="T426" s="10"/>
      <c r="U426" s="675" t="s">
        <v>19002</v>
      </c>
      <c r="V426" s="675">
        <v>9566.0</v>
      </c>
    </row>
    <row r="427">
      <c r="A427" s="10" t="str">
        <f>IFERROR(__xludf.DUMMYFUNCTION("""COMPUTED_VALUE"""),"kirtij")</f>
        <v>kirtij</v>
      </c>
      <c r="B427" s="10">
        <f>IFERROR(__xludf.DUMMYFUNCTION("""COMPUTED_VALUE"""),14035.0)</f>
        <v>14035</v>
      </c>
      <c r="C427" s="10"/>
      <c r="D427" s="10"/>
      <c r="E427" s="10"/>
      <c r="F427" s="10"/>
      <c r="G427" s="10"/>
      <c r="H427" s="10"/>
      <c r="I427" s="674"/>
      <c r="J427" s="10"/>
      <c r="K427" s="10"/>
      <c r="L427" s="10"/>
      <c r="M427" s="10"/>
      <c r="N427" s="10"/>
      <c r="O427" s="10"/>
      <c r="P427" s="10"/>
      <c r="Q427" s="466"/>
      <c r="R427" s="466" t="s">
        <v>19003</v>
      </c>
      <c r="S427" s="466">
        <v>13998.0</v>
      </c>
      <c r="T427" s="466"/>
      <c r="U427" s="675" t="s">
        <v>19004</v>
      </c>
      <c r="V427" s="675">
        <v>11775.0</v>
      </c>
    </row>
    <row r="428">
      <c r="A428" s="10" t="str">
        <f>IFERROR(__xludf.DUMMYFUNCTION("""COMPUTED_VALUE"""),"ARTN")</f>
        <v>ARTN</v>
      </c>
      <c r="B428" s="10">
        <f>IFERROR(__xludf.DUMMYFUNCTION("""COMPUTED_VALUE"""),1.0)</f>
        <v>1</v>
      </c>
      <c r="C428" s="10"/>
      <c r="D428" s="10"/>
      <c r="E428" s="10"/>
      <c r="F428" s="10"/>
      <c r="G428" s="10"/>
      <c r="H428" s="10"/>
      <c r="I428" s="674"/>
      <c r="J428" s="10"/>
      <c r="K428" s="10"/>
      <c r="L428" s="10"/>
      <c r="M428" s="10"/>
      <c r="N428" s="10"/>
      <c r="O428" s="10"/>
      <c r="P428" s="10"/>
      <c r="Q428" s="10"/>
      <c r="R428" s="10" t="s">
        <v>19005</v>
      </c>
      <c r="S428" s="10">
        <v>12224.0</v>
      </c>
      <c r="T428" s="10"/>
      <c r="U428" s="675" t="s">
        <v>19006</v>
      </c>
      <c r="V428" s="675">
        <v>13307.0</v>
      </c>
    </row>
    <row r="429">
      <c r="A429" s="10" t="str">
        <f>IFERROR(__xludf.DUMMYFUNCTION("""COMPUTED_VALUE"""),"RAAYAA")</f>
        <v>RAAYAA</v>
      </c>
      <c r="B429" s="10">
        <f>IFERROR(__xludf.DUMMYFUNCTION("""COMPUTED_VALUE"""),14471.0)</f>
        <v>14471</v>
      </c>
      <c r="C429" s="10"/>
      <c r="D429" s="10"/>
      <c r="E429" s="10"/>
      <c r="F429" s="10"/>
      <c r="G429" s="10"/>
      <c r="H429" s="10"/>
      <c r="I429" s="674"/>
      <c r="J429" s="10"/>
      <c r="K429" s="10"/>
      <c r="L429" s="10"/>
      <c r="M429" s="10"/>
      <c r="N429" s="10"/>
      <c r="O429" s="10"/>
      <c r="P429" s="10"/>
      <c r="Q429" s="10"/>
      <c r="R429" s="10" t="s">
        <v>19007</v>
      </c>
      <c r="S429" s="10">
        <v>9593.0</v>
      </c>
      <c r="T429" s="10"/>
      <c r="U429" s="675" t="s">
        <v>19008</v>
      </c>
      <c r="V429" s="675">
        <v>14249.0</v>
      </c>
    </row>
    <row r="430">
      <c r="A430" s="10" t="str">
        <f>IFERROR(__xludf.DUMMYFUNCTION("""COMPUTED_VALUE"""),"GHADAJ")</f>
        <v>GHADAJ</v>
      </c>
      <c r="B430" s="10">
        <f>IFERROR(__xludf.DUMMYFUNCTION("""COMPUTED_VALUE"""),14167.0)</f>
        <v>14167</v>
      </c>
      <c r="C430" s="10"/>
      <c r="D430" s="10"/>
      <c r="E430" s="10"/>
      <c r="F430" s="10"/>
      <c r="G430" s="10"/>
      <c r="H430" s="10"/>
      <c r="I430" s="674"/>
      <c r="J430" s="10"/>
      <c r="K430" s="10"/>
      <c r="L430" s="10"/>
      <c r="M430" s="10"/>
      <c r="N430" s="10"/>
      <c r="O430" s="10"/>
      <c r="P430" s="10"/>
      <c r="Q430" s="10"/>
      <c r="R430" s="10" t="s">
        <v>19009</v>
      </c>
      <c r="S430" s="10">
        <v>9661.0</v>
      </c>
      <c r="T430" s="10"/>
      <c r="U430" s="675" t="s">
        <v>19010</v>
      </c>
      <c r="V430" s="675">
        <v>10045.0</v>
      </c>
    </row>
    <row r="431">
      <c r="A431" s="10" t="str">
        <f>IFERROR(__xludf.DUMMYFUNCTION("""COMPUTED_VALUE"""),"TODAYUU")</f>
        <v>TODAYUU</v>
      </c>
      <c r="B431" s="10">
        <f>IFERROR(__xludf.DUMMYFUNCTION("""COMPUTED_VALUE"""),11267.0)</f>
        <v>11267</v>
      </c>
      <c r="C431" s="10"/>
      <c r="D431" s="10"/>
      <c r="E431" s="10"/>
      <c r="F431" s="10"/>
      <c r="G431" s="10"/>
      <c r="H431" s="10"/>
      <c r="I431" s="674"/>
      <c r="J431" s="10"/>
      <c r="K431" s="10"/>
      <c r="L431" s="10"/>
      <c r="M431" s="10"/>
      <c r="N431" s="10"/>
      <c r="O431" s="10"/>
      <c r="P431" s="10"/>
      <c r="Q431" s="10"/>
      <c r="R431" s="10" t="s">
        <v>19011</v>
      </c>
      <c r="S431" s="10">
        <v>11263.0</v>
      </c>
      <c r="T431" s="10"/>
      <c r="U431" s="675" t="s">
        <v>19012</v>
      </c>
      <c r="V431" s="675">
        <v>10051.0</v>
      </c>
    </row>
    <row r="432">
      <c r="A432" s="10" t="str">
        <f>IFERROR(__xludf.DUMMYFUNCTION("""COMPUTED_VALUE"""),"MOM")</f>
        <v>MOM</v>
      </c>
      <c r="B432" s="10">
        <f>IFERROR(__xludf.DUMMYFUNCTION("""COMPUTED_VALUE"""),14057.0)</f>
        <v>14057</v>
      </c>
      <c r="C432" s="10"/>
      <c r="D432" s="10"/>
      <c r="E432" s="10"/>
      <c r="F432" s="10"/>
      <c r="G432" s="10"/>
      <c r="H432" s="10"/>
      <c r="I432" s="674"/>
      <c r="J432" s="10"/>
      <c r="K432" s="10"/>
      <c r="L432" s="10"/>
      <c r="M432" s="10"/>
      <c r="N432" s="10"/>
      <c r="O432" s="10"/>
      <c r="P432" s="10"/>
      <c r="Q432" s="10"/>
      <c r="R432" s="10" t="s">
        <v>19013</v>
      </c>
      <c r="S432" s="10">
        <v>13918.0</v>
      </c>
      <c r="T432" s="10"/>
      <c r="U432" s="675" t="s">
        <v>19014</v>
      </c>
      <c r="V432" s="675">
        <v>9478.0</v>
      </c>
    </row>
    <row r="433">
      <c r="A433" s="10" t="str">
        <f>IFERROR(__xludf.DUMMYFUNCTION("""COMPUTED_VALUE"""),"SRS")</f>
        <v>SRS</v>
      </c>
      <c r="B433" s="10">
        <f>IFERROR(__xludf.DUMMYFUNCTION("""COMPUTED_VALUE"""),1.0)</f>
        <v>1</v>
      </c>
      <c r="C433" s="10"/>
      <c r="D433" s="10"/>
      <c r="E433" s="10"/>
      <c r="F433" s="10"/>
      <c r="G433" s="10"/>
      <c r="H433" s="10"/>
      <c r="I433" s="674"/>
      <c r="J433" s="10"/>
      <c r="K433" s="10"/>
      <c r="L433" s="10"/>
      <c r="M433" s="10"/>
      <c r="N433" s="10"/>
      <c r="O433" s="10"/>
      <c r="P433" s="10"/>
      <c r="Q433" s="10"/>
      <c r="R433" s="10" t="s">
        <v>19015</v>
      </c>
      <c r="S433" s="10">
        <v>14077.0</v>
      </c>
      <c r="T433" s="10"/>
      <c r="U433" s="675" t="s">
        <v>19016</v>
      </c>
      <c r="V433" s="675">
        <v>10052.0</v>
      </c>
    </row>
    <row r="434">
      <c r="A434" s="10" t="str">
        <f>IFERROR(__xludf.DUMMYFUNCTION("""COMPUTED_VALUE"""),"AIIS")</f>
        <v>AIIS</v>
      </c>
      <c r="B434" s="10">
        <f>IFERROR(__xludf.DUMMYFUNCTION("""COMPUTED_VALUE"""),14148.0)</f>
        <v>14148</v>
      </c>
      <c r="C434" s="10"/>
      <c r="D434" s="10"/>
      <c r="E434" s="10"/>
      <c r="F434" s="10"/>
      <c r="G434" s="10"/>
      <c r="H434" s="10"/>
      <c r="I434" s="674"/>
      <c r="J434" s="10"/>
      <c r="K434" s="10"/>
      <c r="L434" s="10"/>
      <c r="M434" s="10"/>
      <c r="N434" s="10"/>
      <c r="O434" s="10"/>
      <c r="P434" s="10"/>
      <c r="Q434" s="10"/>
      <c r="R434" s="10" t="s">
        <v>19017</v>
      </c>
      <c r="S434" s="10">
        <v>12963.0</v>
      </c>
      <c r="T434" s="10"/>
      <c r="U434" s="675" t="s">
        <v>19018</v>
      </c>
      <c r="V434" s="675">
        <v>14008.0</v>
      </c>
    </row>
    <row r="435">
      <c r="A435" s="10" t="str">
        <f>IFERROR(__xludf.DUMMYFUNCTION("""COMPUTED_VALUE"""),"WTS")</f>
        <v>WTS</v>
      </c>
      <c r="B435" s="10">
        <f>IFERROR(__xludf.DUMMYFUNCTION("""COMPUTED_VALUE"""),9842.0)</f>
        <v>9842</v>
      </c>
      <c r="C435" s="10"/>
      <c r="D435" s="10"/>
      <c r="E435" s="10"/>
      <c r="F435" s="10"/>
      <c r="G435" s="10"/>
      <c r="H435" s="10"/>
      <c r="I435" s="674"/>
      <c r="J435" s="10"/>
      <c r="K435" s="10"/>
      <c r="L435" s="10"/>
      <c r="M435" s="10"/>
      <c r="N435" s="10"/>
      <c r="O435" s="10"/>
      <c r="P435" s="10"/>
      <c r="Q435" s="10"/>
      <c r="R435" s="10" t="s">
        <v>19019</v>
      </c>
      <c r="S435" s="10">
        <v>14441.0</v>
      </c>
      <c r="T435" s="10"/>
      <c r="U435" s="675" t="s">
        <v>19020</v>
      </c>
      <c r="V435" s="675">
        <v>10050.0</v>
      </c>
    </row>
    <row r="436">
      <c r="A436" s="10" t="str">
        <f>IFERROR(__xludf.DUMMYFUNCTION("""COMPUTED_VALUE"""),"SHERIF")</f>
        <v>SHERIF</v>
      </c>
      <c r="B436" s="10">
        <f>IFERROR(__xludf.DUMMYFUNCTION("""COMPUTED_VALUE"""),14212.0)</f>
        <v>14212</v>
      </c>
      <c r="C436" s="10"/>
      <c r="D436" s="10"/>
      <c r="E436" s="10"/>
      <c r="F436" s="10"/>
      <c r="G436" s="10"/>
      <c r="H436" s="10"/>
      <c r="I436" s="674"/>
      <c r="J436" s="10"/>
      <c r="K436" s="10"/>
      <c r="L436" s="10"/>
      <c r="M436" s="10"/>
      <c r="N436" s="10"/>
      <c r="O436" s="10"/>
      <c r="P436" s="10"/>
      <c r="Q436" s="10"/>
      <c r="R436" s="10" t="s">
        <v>19021</v>
      </c>
      <c r="S436" s="10">
        <v>13816.0</v>
      </c>
      <c r="T436" s="10"/>
      <c r="U436" s="675" t="s">
        <v>19022</v>
      </c>
      <c r="V436" s="675">
        <v>12252.0</v>
      </c>
    </row>
    <row r="437">
      <c r="A437" s="10" t="str">
        <f>IFERROR(__xludf.DUMMYFUNCTION("""COMPUTED_VALUE"""),"STYLS")</f>
        <v>STYLS</v>
      </c>
      <c r="B437" s="10">
        <f>IFERROR(__xludf.DUMMYFUNCTION("""COMPUTED_VALUE"""),986.0)</f>
        <v>986</v>
      </c>
      <c r="C437" s="10"/>
      <c r="D437" s="10"/>
      <c r="E437" s="10"/>
      <c r="F437" s="10"/>
      <c r="G437" s="10"/>
      <c r="H437" s="10"/>
      <c r="I437" s="674"/>
      <c r="J437" s="10"/>
      <c r="K437" s="10"/>
      <c r="L437" s="10"/>
      <c r="M437" s="10"/>
      <c r="N437" s="10"/>
      <c r="O437" s="10"/>
      <c r="P437" s="10"/>
      <c r="Q437" s="10"/>
      <c r="R437" s="10" t="s">
        <v>19023</v>
      </c>
      <c r="S437" s="10">
        <v>9811.0</v>
      </c>
      <c r="T437" s="10"/>
      <c r="U437" s="675" t="s">
        <v>19024</v>
      </c>
      <c r="V437" s="675">
        <v>14381.0</v>
      </c>
    </row>
    <row r="438">
      <c r="A438" s="10" t="str">
        <f>IFERROR(__xludf.DUMMYFUNCTION("""COMPUTED_VALUE"""),"MANOS")</f>
        <v>MANOS</v>
      </c>
      <c r="B438" s="10">
        <f>IFERROR(__xludf.DUMMYFUNCTION("""COMPUTED_VALUE"""),14194.0)</f>
        <v>14194</v>
      </c>
      <c r="C438" s="10"/>
      <c r="D438" s="10"/>
      <c r="E438" s="10"/>
      <c r="F438" s="10"/>
      <c r="G438" s="10"/>
      <c r="H438" s="10"/>
      <c r="I438" s="674"/>
      <c r="J438" s="10"/>
      <c r="K438" s="10"/>
      <c r="L438" s="10"/>
      <c r="M438" s="10"/>
      <c r="N438" s="10"/>
      <c r="O438" s="10"/>
      <c r="P438" s="10"/>
      <c r="Q438" s="10"/>
      <c r="R438" s="10" t="s">
        <v>19025</v>
      </c>
      <c r="S438" s="10">
        <v>10048.0</v>
      </c>
      <c r="T438" s="10"/>
      <c r="U438" s="675" t="s">
        <v>19026</v>
      </c>
      <c r="V438" s="675">
        <v>10044.0</v>
      </c>
    </row>
    <row r="439">
      <c r="A439" s="10" t="str">
        <f>IFERROR(__xludf.DUMMYFUNCTION("""COMPUTED_VALUE"""),"MALAKMO")</f>
        <v>MALAKMO</v>
      </c>
      <c r="B439" s="10">
        <f>IFERROR(__xludf.DUMMYFUNCTION("""COMPUTED_VALUE"""),13950.0)</f>
        <v>13950</v>
      </c>
      <c r="C439" s="10"/>
      <c r="D439" s="10"/>
      <c r="E439" s="10"/>
      <c r="F439" s="10"/>
      <c r="G439" s="10"/>
      <c r="H439" s="10"/>
      <c r="I439" s="674"/>
      <c r="J439" s="10"/>
      <c r="K439" s="10"/>
      <c r="L439" s="10"/>
      <c r="M439" s="10"/>
      <c r="N439" s="10"/>
      <c r="O439" s="10"/>
      <c r="P439" s="10"/>
      <c r="Q439" s="10"/>
      <c r="R439" s="10" t="s">
        <v>19027</v>
      </c>
      <c r="S439" s="10">
        <v>13073.0</v>
      </c>
      <c r="T439" s="10"/>
      <c r="U439" s="675" t="s">
        <v>19028</v>
      </c>
      <c r="V439" s="675">
        <v>6109.0</v>
      </c>
    </row>
    <row r="440">
      <c r="A440" s="10" t="str">
        <f>IFERROR(__xludf.DUMMYFUNCTION("""COMPUTED_VALUE"""),"NONE")</f>
        <v>NONE</v>
      </c>
      <c r="B440" s="10">
        <f>IFERROR(__xludf.DUMMYFUNCTION("""COMPUTED_VALUE"""),1.0)</f>
        <v>1</v>
      </c>
      <c r="C440" s="10"/>
      <c r="D440" s="10"/>
      <c r="E440" s="10"/>
      <c r="F440" s="10"/>
      <c r="G440" s="10"/>
      <c r="H440" s="10"/>
      <c r="I440" s="674"/>
      <c r="J440" s="10"/>
      <c r="K440" s="10"/>
      <c r="L440" s="10"/>
      <c r="M440" s="10"/>
      <c r="N440" s="10"/>
      <c r="O440" s="10"/>
      <c r="P440" s="10"/>
      <c r="Q440" s="10"/>
      <c r="R440" s="10" t="s">
        <v>19029</v>
      </c>
      <c r="S440" s="10">
        <v>13968.0</v>
      </c>
      <c r="T440" s="10"/>
      <c r="U440" s="675" t="s">
        <v>19030</v>
      </c>
      <c r="V440" s="675">
        <v>5421.0</v>
      </c>
    </row>
    <row r="441">
      <c r="A441" s="10" t="str">
        <f>IFERROR(__xludf.DUMMYFUNCTION("""COMPUTED_VALUE"""),"XWE")</f>
        <v>XWE</v>
      </c>
      <c r="B441" s="10">
        <f>IFERROR(__xludf.DUMMYFUNCTION("""COMPUTED_VALUE"""),13203.0)</f>
        <v>13203</v>
      </c>
      <c r="C441" s="10"/>
      <c r="D441" s="10"/>
      <c r="E441" s="10"/>
      <c r="F441" s="10"/>
      <c r="G441" s="10"/>
      <c r="H441" s="10"/>
      <c r="I441" s="674"/>
      <c r="J441" s="10"/>
      <c r="K441" s="10"/>
      <c r="L441" s="10"/>
      <c r="M441" s="10"/>
      <c r="N441" s="10"/>
      <c r="O441" s="10"/>
      <c r="P441" s="10"/>
      <c r="Q441" s="10"/>
      <c r="R441" s="10" t="s">
        <v>19031</v>
      </c>
      <c r="S441" s="10">
        <v>14133.0</v>
      </c>
      <c r="T441" s="10"/>
      <c r="U441" s="675"/>
      <c r="V441" s="675"/>
    </row>
    <row r="442">
      <c r="A442" s="10" t="str">
        <f>IFERROR(__xludf.DUMMYFUNCTION("""COMPUTED_VALUE"""),"HNOA")</f>
        <v>HNOA</v>
      </c>
      <c r="B442" s="10">
        <f>IFERROR(__xludf.DUMMYFUNCTION("""COMPUTED_VALUE"""),12769.0)</f>
        <v>12769</v>
      </c>
      <c r="C442" s="10"/>
      <c r="D442" s="10"/>
      <c r="E442" s="10"/>
      <c r="F442" s="10"/>
      <c r="G442" s="10"/>
      <c r="H442" s="10"/>
      <c r="I442" s="674"/>
      <c r="J442" s="10"/>
      <c r="K442" s="10"/>
      <c r="L442" s="10"/>
      <c r="M442" s="10"/>
      <c r="N442" s="10"/>
      <c r="O442" s="10"/>
      <c r="P442" s="10"/>
      <c r="Q442" s="10"/>
      <c r="R442" s="10" t="s">
        <v>19032</v>
      </c>
      <c r="S442" s="10">
        <v>10308.0</v>
      </c>
      <c r="T442" s="10"/>
      <c r="U442" s="675"/>
      <c r="V442" s="675"/>
    </row>
    <row r="443">
      <c r="A443" s="10" t="str">
        <f>IFERROR(__xludf.DUMMYFUNCTION("""COMPUTED_VALUE"""),"LODY")</f>
        <v>LODY</v>
      </c>
      <c r="B443" s="10">
        <f>IFERROR(__xludf.DUMMYFUNCTION("""COMPUTED_VALUE"""),14076.0)</f>
        <v>14076</v>
      </c>
      <c r="C443" s="10"/>
      <c r="D443" s="10"/>
      <c r="E443" s="10"/>
      <c r="F443" s="10"/>
      <c r="G443" s="10"/>
      <c r="H443" s="10"/>
      <c r="I443" s="674"/>
      <c r="J443" s="10"/>
      <c r="K443" s="10"/>
      <c r="L443" s="10"/>
      <c r="M443" s="10"/>
      <c r="N443" s="10"/>
      <c r="O443" s="10"/>
      <c r="P443" s="10"/>
      <c r="Q443" s="10"/>
      <c r="R443" s="10" t="s">
        <v>19033</v>
      </c>
      <c r="S443" s="10">
        <v>13877.0</v>
      </c>
      <c r="T443" s="10"/>
      <c r="U443" s="10"/>
      <c r="V443" s="10"/>
    </row>
    <row r="444">
      <c r="A444" s="10" t="str">
        <f>IFERROR(__xludf.DUMMYFUNCTION("""COMPUTED_VALUE"""),"SHAIMAF")</f>
        <v>SHAIMAF</v>
      </c>
      <c r="B444" s="10">
        <f>IFERROR(__xludf.DUMMYFUNCTION("""COMPUTED_VALUE"""),8307.0)</f>
        <v>8307</v>
      </c>
      <c r="C444" s="10"/>
      <c r="D444" s="10"/>
      <c r="E444" s="10"/>
      <c r="F444" s="10"/>
      <c r="G444" s="10"/>
      <c r="H444" s="10"/>
      <c r="I444" s="674"/>
      <c r="J444" s="10"/>
      <c r="K444" s="10"/>
      <c r="L444" s="10"/>
      <c r="M444" s="10"/>
      <c r="N444" s="10"/>
      <c r="O444" s="10"/>
      <c r="P444" s="10"/>
      <c r="Q444" s="10"/>
      <c r="R444" s="10" t="s">
        <v>19034</v>
      </c>
      <c r="S444" s="10">
        <v>13924.0</v>
      </c>
      <c r="T444" s="10"/>
      <c r="U444" s="675"/>
      <c r="V444" s="675"/>
    </row>
    <row r="445">
      <c r="A445" s="10" t="str">
        <f>IFERROR(__xludf.DUMMYFUNCTION("""COMPUTED_VALUE"""),"ASLX")</f>
        <v>ASLX</v>
      </c>
      <c r="B445" s="10">
        <f>IFERROR(__xludf.DUMMYFUNCTION("""COMPUTED_VALUE"""),9767.0)</f>
        <v>9767</v>
      </c>
      <c r="C445" s="10"/>
      <c r="D445" s="10"/>
      <c r="E445" s="10"/>
      <c r="F445" s="10"/>
      <c r="G445" s="10"/>
      <c r="H445" s="10"/>
      <c r="I445" s="674"/>
      <c r="J445" s="10"/>
      <c r="K445" s="10"/>
      <c r="L445" s="10"/>
      <c r="M445" s="10"/>
      <c r="N445" s="10"/>
      <c r="O445" s="10"/>
      <c r="P445" s="10"/>
      <c r="Q445" s="10"/>
      <c r="R445" s="10" t="s">
        <v>19035</v>
      </c>
      <c r="S445" s="10">
        <v>12076.0</v>
      </c>
      <c r="T445" s="10"/>
      <c r="U445" s="675"/>
      <c r="V445" s="675"/>
    </row>
    <row r="446">
      <c r="A446" s="10" t="str">
        <f>IFERROR(__xludf.DUMMYFUNCTION("""COMPUTED_VALUE"""),"TODAYYOO")</f>
        <v>TODAYYOO</v>
      </c>
      <c r="B446" s="10">
        <f>IFERROR(__xludf.DUMMYFUNCTION("""COMPUTED_VALUE"""),14491.0)</f>
        <v>14491</v>
      </c>
      <c r="C446" s="10"/>
      <c r="D446" s="10"/>
      <c r="E446" s="10"/>
      <c r="F446" s="10"/>
      <c r="G446" s="10"/>
      <c r="H446" s="10"/>
      <c r="I446" s="674"/>
      <c r="J446" s="10"/>
      <c r="K446" s="10"/>
      <c r="L446" s="10"/>
      <c r="M446" s="10"/>
      <c r="N446" s="10"/>
      <c r="O446" s="10"/>
      <c r="P446" s="10"/>
      <c r="Q446" s="10"/>
      <c r="R446" s="10" t="s">
        <v>19036</v>
      </c>
      <c r="S446" s="10">
        <v>13916.0</v>
      </c>
      <c r="T446" s="10"/>
      <c r="U446" s="675"/>
      <c r="V446" s="675"/>
    </row>
    <row r="447">
      <c r="A447" s="10" t="str">
        <f>IFERROR(__xludf.DUMMYFUNCTION("""COMPUTED_VALUE"""),"OGK")</f>
        <v>OGK</v>
      </c>
      <c r="B447" s="10">
        <f>IFERROR(__xludf.DUMMYFUNCTION("""COMPUTED_VALUE"""),1.0)</f>
        <v>1</v>
      </c>
      <c r="C447" s="10"/>
      <c r="D447" s="10"/>
      <c r="E447" s="10"/>
      <c r="F447" s="10"/>
      <c r="G447" s="10"/>
      <c r="H447" s="10"/>
      <c r="I447" s="674"/>
      <c r="J447" s="10"/>
      <c r="K447" s="10"/>
      <c r="L447" s="10"/>
      <c r="M447" s="10"/>
      <c r="N447" s="10"/>
      <c r="O447" s="10"/>
      <c r="P447" s="10"/>
      <c r="Q447" s="10"/>
      <c r="R447" s="10" t="s">
        <v>19037</v>
      </c>
      <c r="S447" s="10">
        <v>9775.0</v>
      </c>
      <c r="T447" s="10"/>
      <c r="U447" s="10"/>
      <c r="V447" s="10"/>
    </row>
    <row r="448">
      <c r="A448" s="10" t="str">
        <f>IFERROR(__xludf.DUMMYFUNCTION("""COMPUTED_VALUE"""),"LLLIX")</f>
        <v>LLLIX</v>
      </c>
      <c r="B448" s="10">
        <f>IFERROR(__xludf.DUMMYFUNCTION("""COMPUTED_VALUE"""),1.0)</f>
        <v>1</v>
      </c>
      <c r="C448" s="10"/>
      <c r="D448" s="10"/>
      <c r="E448" s="10"/>
      <c r="F448" s="10"/>
      <c r="G448" s="10"/>
      <c r="H448" s="10"/>
      <c r="I448" s="674"/>
      <c r="J448" s="10"/>
      <c r="K448" s="10"/>
      <c r="L448" s="10"/>
      <c r="M448" s="10"/>
      <c r="N448" s="10"/>
      <c r="O448" s="10"/>
      <c r="P448" s="10"/>
      <c r="Q448" s="10"/>
      <c r="R448" s="10" t="s">
        <v>19038</v>
      </c>
      <c r="S448" s="10">
        <v>9679.0</v>
      </c>
      <c r="T448" s="10"/>
      <c r="U448" s="675"/>
      <c r="V448" s="675"/>
    </row>
    <row r="449">
      <c r="A449" s="10" t="str">
        <f>IFERROR(__xludf.DUMMYFUNCTION("""COMPUTED_VALUE"""),"MANAR")</f>
        <v>MANAR</v>
      </c>
      <c r="B449" s="10">
        <f>IFERROR(__xludf.DUMMYFUNCTION("""COMPUTED_VALUE"""),9794.0)</f>
        <v>9794</v>
      </c>
      <c r="C449" s="10"/>
      <c r="D449" s="10"/>
      <c r="E449" s="10"/>
      <c r="F449" s="10"/>
      <c r="G449" s="10"/>
      <c r="H449" s="10"/>
      <c r="I449" s="674"/>
      <c r="J449" s="10"/>
      <c r="K449" s="10"/>
      <c r="L449" s="10"/>
      <c r="M449" s="10"/>
      <c r="N449" s="10"/>
      <c r="O449" s="10"/>
      <c r="P449" s="10"/>
      <c r="Q449" s="10"/>
      <c r="R449" s="10" t="s">
        <v>19039</v>
      </c>
      <c r="S449" s="10">
        <v>10365.0</v>
      </c>
      <c r="T449" s="10"/>
      <c r="U449" s="675"/>
      <c r="V449" s="675"/>
    </row>
    <row r="450">
      <c r="A450" s="10" t="str">
        <f>IFERROR(__xludf.DUMMYFUNCTION("""COMPUTED_VALUE"""),"ASSA")</f>
        <v>ASSA</v>
      </c>
      <c r="B450" s="10">
        <f>IFERROR(__xludf.DUMMYFUNCTION("""COMPUTED_VALUE"""),1.0)</f>
        <v>1</v>
      </c>
      <c r="C450" s="10"/>
      <c r="D450" s="10"/>
      <c r="E450" s="10"/>
      <c r="F450" s="10"/>
      <c r="G450" s="10"/>
      <c r="H450" s="10"/>
      <c r="I450" s="674"/>
      <c r="J450" s="10"/>
      <c r="K450" s="10"/>
      <c r="L450" s="10"/>
      <c r="M450" s="10"/>
      <c r="N450" s="10"/>
      <c r="O450" s="10"/>
      <c r="P450" s="10"/>
      <c r="Q450" s="10"/>
      <c r="R450" s="10" t="s">
        <v>19040</v>
      </c>
      <c r="S450" s="10">
        <v>11557.0</v>
      </c>
      <c r="T450" s="10"/>
      <c r="U450" s="675"/>
      <c r="V450" s="675"/>
    </row>
    <row r="451">
      <c r="A451" s="10" t="str">
        <f>IFERROR(__xludf.DUMMYFUNCTION("""COMPUTED_VALUE"""),"MAYAL")</f>
        <v>MAYAL</v>
      </c>
      <c r="B451" s="10">
        <f>IFERROR(__xludf.DUMMYFUNCTION("""COMPUTED_VALUE"""),1.0)</f>
        <v>1</v>
      </c>
      <c r="C451" s="10"/>
      <c r="D451" s="10"/>
      <c r="E451" s="10"/>
      <c r="F451" s="10"/>
      <c r="G451" s="10"/>
      <c r="H451" s="10"/>
      <c r="I451" s="674"/>
      <c r="J451" s="10"/>
      <c r="K451" s="10"/>
      <c r="L451" s="10"/>
      <c r="M451" s="10"/>
      <c r="N451" s="10"/>
      <c r="O451" s="10"/>
      <c r="P451" s="10"/>
      <c r="Q451" s="10"/>
      <c r="R451" s="10" t="s">
        <v>19041</v>
      </c>
      <c r="S451" s="10">
        <v>13954.0</v>
      </c>
      <c r="T451" s="10"/>
      <c r="U451" s="675"/>
      <c r="V451" s="675"/>
    </row>
    <row r="452">
      <c r="A452" s="10" t="str">
        <f>IFERROR(__xludf.DUMMYFUNCTION("""COMPUTED_VALUE"""),"TANJ")</f>
        <v>TANJ</v>
      </c>
      <c r="B452" s="10">
        <f>IFERROR(__xludf.DUMMYFUNCTION("""COMPUTED_VALUE"""),14319.0)</f>
        <v>14319</v>
      </c>
      <c r="C452" s="10"/>
      <c r="D452" s="10"/>
      <c r="E452" s="10"/>
      <c r="F452" s="10"/>
      <c r="G452" s="10"/>
      <c r="H452" s="10"/>
      <c r="I452" s="674"/>
      <c r="J452" s="10"/>
      <c r="K452" s="10"/>
      <c r="L452" s="10"/>
      <c r="M452" s="10"/>
      <c r="N452" s="10"/>
      <c r="O452" s="10"/>
      <c r="P452" s="10"/>
      <c r="Q452" s="10"/>
      <c r="R452" s="10" t="s">
        <v>19042</v>
      </c>
      <c r="S452" s="10">
        <v>14086.0</v>
      </c>
      <c r="T452" s="10"/>
      <c r="U452" s="675"/>
      <c r="V452" s="675"/>
    </row>
    <row r="453">
      <c r="A453" s="10" t="str">
        <f>IFERROR(__xludf.DUMMYFUNCTION("""COMPUTED_VALUE"""),"TODAQWY")</f>
        <v>TODAQWY</v>
      </c>
      <c r="B453" s="10">
        <f>IFERROR(__xludf.DUMMYFUNCTION("""COMPUTED_VALUE"""),14343.0)</f>
        <v>14343</v>
      </c>
      <c r="C453" s="10"/>
      <c r="D453" s="10"/>
      <c r="E453" s="10"/>
      <c r="F453" s="10"/>
      <c r="G453" s="10"/>
      <c r="H453" s="10"/>
      <c r="I453" s="674"/>
      <c r="J453" s="10"/>
      <c r="K453" s="10"/>
      <c r="L453" s="10"/>
      <c r="M453" s="10"/>
      <c r="N453" s="10"/>
      <c r="O453" s="10"/>
      <c r="P453" s="10"/>
      <c r="Q453" s="10"/>
      <c r="R453" s="10" t="s">
        <v>19043</v>
      </c>
      <c r="S453" s="10">
        <v>14179.0</v>
      </c>
      <c r="T453" s="10"/>
      <c r="U453" s="675"/>
      <c r="V453" s="675"/>
    </row>
    <row r="454">
      <c r="A454" s="10" t="str">
        <f>IFERROR(__xludf.DUMMYFUNCTION("""COMPUTED_VALUE"""),"URB")</f>
        <v>URB</v>
      </c>
      <c r="B454" s="10">
        <f>IFERROR(__xludf.DUMMYFUNCTION("""COMPUTED_VALUE"""),1.0)</f>
        <v>1</v>
      </c>
      <c r="C454" s="10"/>
      <c r="D454" s="10"/>
      <c r="E454" s="10"/>
      <c r="F454" s="10"/>
      <c r="G454" s="10"/>
      <c r="H454" s="10"/>
      <c r="I454" s="674"/>
      <c r="J454" s="10"/>
      <c r="K454" s="10"/>
      <c r="L454" s="10"/>
      <c r="M454" s="10"/>
      <c r="N454" s="10"/>
      <c r="O454" s="10"/>
      <c r="P454" s="10"/>
      <c r="Q454" s="10"/>
      <c r="R454" s="10" t="s">
        <v>19044</v>
      </c>
      <c r="S454" s="10">
        <v>14079.0</v>
      </c>
      <c r="T454" s="10"/>
      <c r="U454" s="675"/>
      <c r="V454" s="675"/>
    </row>
    <row r="455">
      <c r="A455" s="10" t="str">
        <f>IFERROR(__xludf.DUMMYFUNCTION("""COMPUTED_VALUE"""),"RAGHDX")</f>
        <v>RAGHDX</v>
      </c>
      <c r="B455" s="10">
        <f>IFERROR(__xludf.DUMMYFUNCTION("""COMPUTED_VALUE"""),6706.0)</f>
        <v>6706</v>
      </c>
      <c r="C455" s="10"/>
      <c r="D455" s="10"/>
      <c r="E455" s="10"/>
      <c r="F455" s="10"/>
      <c r="G455" s="10"/>
      <c r="H455" s="10"/>
      <c r="I455" s="674"/>
      <c r="J455" s="10"/>
      <c r="K455" s="10"/>
      <c r="L455" s="10"/>
      <c r="M455" s="10"/>
      <c r="N455" s="10"/>
      <c r="O455" s="10"/>
      <c r="P455" s="10"/>
      <c r="Q455" s="10"/>
      <c r="R455" s="10" t="s">
        <v>19045</v>
      </c>
      <c r="S455" s="10">
        <v>14280.0</v>
      </c>
      <c r="T455" s="10"/>
      <c r="U455" s="675"/>
      <c r="V455" s="675"/>
    </row>
    <row r="456">
      <c r="A456" s="10" t="str">
        <f>IFERROR(__xludf.DUMMYFUNCTION("""COMPUTED_VALUE"""),"TALAXXX")</f>
        <v>TALAXXX</v>
      </c>
      <c r="B456" s="10">
        <f>IFERROR(__xludf.DUMMYFUNCTION("""COMPUTED_VALUE"""),1.0)</f>
        <v>1</v>
      </c>
      <c r="C456" s="10"/>
      <c r="D456" s="10"/>
      <c r="E456" s="10"/>
      <c r="F456" s="10"/>
      <c r="G456" s="10"/>
      <c r="H456" s="10"/>
      <c r="I456" s="674"/>
      <c r="J456" s="10"/>
      <c r="K456" s="10"/>
      <c r="L456" s="10"/>
      <c r="M456" s="10"/>
      <c r="N456" s="10"/>
      <c r="O456" s="10"/>
      <c r="P456" s="10"/>
      <c r="Q456" s="10"/>
      <c r="R456" s="10" t="s">
        <v>19046</v>
      </c>
      <c r="S456" s="10">
        <v>11818.0</v>
      </c>
      <c r="T456" s="10"/>
      <c r="U456" s="675"/>
      <c r="V456" s="675"/>
    </row>
    <row r="457">
      <c r="A457" s="10" t="str">
        <f>IFERROR(__xludf.DUMMYFUNCTION("""COMPUTED_VALUE"""),"BAND")</f>
        <v>BAND</v>
      </c>
      <c r="B457" s="10">
        <f>IFERROR(__xludf.DUMMYFUNCTION("""COMPUTED_VALUE"""),2345.0)</f>
        <v>2345</v>
      </c>
      <c r="C457" s="10"/>
      <c r="D457" s="10"/>
      <c r="E457" s="10"/>
      <c r="F457" s="10"/>
      <c r="G457" s="10"/>
      <c r="H457" s="10"/>
      <c r="I457" s="674"/>
      <c r="J457" s="10"/>
      <c r="K457" s="10"/>
      <c r="L457" s="10"/>
      <c r="M457" s="10"/>
      <c r="N457" s="10"/>
      <c r="O457" s="10"/>
      <c r="P457" s="10"/>
      <c r="Q457" s="10"/>
      <c r="R457" s="10" t="s">
        <v>19047</v>
      </c>
      <c r="S457" s="10">
        <v>13833.0</v>
      </c>
      <c r="T457" s="10"/>
      <c r="U457" s="675"/>
      <c r="V457" s="675"/>
    </row>
    <row r="458">
      <c r="A458" s="10" t="str">
        <f>IFERROR(__xludf.DUMMYFUNCTION("""COMPUTED_VALUE"""),"TRN")</f>
        <v>TRN</v>
      </c>
      <c r="B458" s="10">
        <f>IFERROR(__xludf.DUMMYFUNCTION("""COMPUTED_VALUE"""),14453.0)</f>
        <v>14453</v>
      </c>
      <c r="C458" s="10"/>
      <c r="D458" s="10"/>
      <c r="E458" s="10"/>
      <c r="F458" s="10"/>
      <c r="G458" s="10"/>
      <c r="H458" s="10"/>
      <c r="I458" s="674"/>
      <c r="J458" s="10"/>
      <c r="K458" s="10"/>
      <c r="L458" s="10"/>
      <c r="M458" s="10"/>
      <c r="N458" s="10"/>
      <c r="O458" s="10"/>
      <c r="P458" s="10"/>
      <c r="Q458" s="10"/>
      <c r="R458" s="10" t="s">
        <v>19048</v>
      </c>
      <c r="S458" s="10">
        <v>14454.0</v>
      </c>
      <c r="T458" s="10"/>
      <c r="U458" s="675"/>
      <c r="V458" s="675"/>
    </row>
    <row r="459">
      <c r="A459" s="10" t="str">
        <f>IFERROR(__xludf.DUMMYFUNCTION("""COMPUTED_VALUE"""),"MNE")</f>
        <v>MNE</v>
      </c>
      <c r="B459" s="10">
        <f>IFERROR(__xludf.DUMMYFUNCTION("""COMPUTED_VALUE"""),14388.0)</f>
        <v>14388</v>
      </c>
      <c r="C459" s="10"/>
      <c r="D459" s="10"/>
      <c r="E459" s="10"/>
      <c r="F459" s="10"/>
      <c r="G459" s="10"/>
      <c r="H459" s="10"/>
      <c r="I459" s="674"/>
      <c r="J459" s="10"/>
      <c r="K459" s="10"/>
      <c r="L459" s="10"/>
      <c r="M459" s="10"/>
      <c r="N459" s="10"/>
      <c r="O459" s="10"/>
      <c r="P459" s="10"/>
      <c r="Q459" s="10"/>
      <c r="R459" s="10" t="s">
        <v>19049</v>
      </c>
      <c r="S459" s="10">
        <v>13973.0</v>
      </c>
      <c r="T459" s="10"/>
      <c r="U459" s="675"/>
      <c r="V459" s="675"/>
    </row>
    <row r="460">
      <c r="A460" s="10" t="str">
        <f>IFERROR(__xludf.DUMMYFUNCTION("""COMPUTED_VALUE"""),"RAIX")</f>
        <v>RAIX</v>
      </c>
      <c r="B460" s="10">
        <f>IFERROR(__xludf.DUMMYFUNCTION("""COMPUTED_VALUE"""),12838.0)</f>
        <v>12838</v>
      </c>
      <c r="C460" s="10"/>
      <c r="D460" s="10"/>
      <c r="E460" s="10"/>
      <c r="F460" s="10"/>
      <c r="G460" s="10"/>
      <c r="H460" s="10"/>
      <c r="I460" s="674"/>
      <c r="J460" s="10"/>
      <c r="K460" s="10"/>
      <c r="L460" s="10"/>
      <c r="M460" s="10"/>
      <c r="N460" s="10"/>
      <c r="O460" s="10"/>
      <c r="P460" s="10"/>
      <c r="Q460" s="10"/>
      <c r="R460" s="10" t="s">
        <v>19050</v>
      </c>
      <c r="S460" s="10">
        <v>189.0</v>
      </c>
      <c r="T460" s="10"/>
      <c r="U460" s="675"/>
      <c r="V460" s="675"/>
    </row>
    <row r="461">
      <c r="A461" s="10" t="str">
        <f>IFERROR(__xludf.DUMMYFUNCTION("""COMPUTED_VALUE"""),"ALFA")</f>
        <v>ALFA</v>
      </c>
      <c r="B461" s="10">
        <f>IFERROR(__xludf.DUMMYFUNCTION("""COMPUTED_VALUE"""),1.0)</f>
        <v>1</v>
      </c>
      <c r="C461" s="10"/>
      <c r="D461" s="10"/>
      <c r="E461" s="10"/>
      <c r="F461" s="10"/>
      <c r="G461" s="10"/>
      <c r="H461" s="10"/>
      <c r="I461" s="674"/>
      <c r="J461" s="10"/>
      <c r="K461" s="10"/>
      <c r="L461" s="10"/>
      <c r="M461" s="10"/>
      <c r="N461" s="10"/>
      <c r="O461" s="10"/>
      <c r="P461" s="10"/>
      <c r="Q461" s="10"/>
      <c r="R461" s="10" t="s">
        <v>19051</v>
      </c>
      <c r="S461" s="10">
        <v>1654.0</v>
      </c>
      <c r="T461" s="10"/>
      <c r="U461" s="675"/>
      <c r="V461" s="675"/>
    </row>
    <row r="462">
      <c r="A462" s="10" t="str">
        <f>IFERROR(__xludf.DUMMYFUNCTION("""COMPUTED_VALUE"""),"DDX")</f>
        <v>DDX</v>
      </c>
      <c r="B462" s="10">
        <f>IFERROR(__xludf.DUMMYFUNCTION("""COMPUTED_VALUE"""),14217.0)</f>
        <v>14217</v>
      </c>
      <c r="C462" s="10"/>
      <c r="D462" s="10"/>
      <c r="E462" s="10"/>
      <c r="F462" s="10"/>
      <c r="G462" s="10"/>
      <c r="H462" s="10"/>
      <c r="I462" s="674"/>
      <c r="J462" s="10"/>
      <c r="K462" s="10"/>
      <c r="L462" s="10"/>
      <c r="M462" s="10"/>
      <c r="N462" s="10"/>
      <c r="O462" s="10"/>
      <c r="P462" s="10"/>
      <c r="Q462" s="10"/>
      <c r="R462" s="10" t="s">
        <v>19052</v>
      </c>
      <c r="S462" s="10">
        <v>9715.0</v>
      </c>
      <c r="T462" s="10"/>
      <c r="U462" s="675"/>
      <c r="V462" s="675"/>
    </row>
    <row r="463">
      <c r="A463" s="10" t="str">
        <f>IFERROR(__xludf.DUMMYFUNCTION("""COMPUTED_VALUE"""),"REMXX")</f>
        <v>REMXX</v>
      </c>
      <c r="B463" s="10">
        <f>IFERROR(__xludf.DUMMYFUNCTION("""COMPUTED_VALUE"""),14259.0)</f>
        <v>14259</v>
      </c>
      <c r="C463" s="10"/>
      <c r="D463" s="10"/>
      <c r="E463" s="10"/>
      <c r="F463" s="10"/>
      <c r="G463" s="10"/>
      <c r="H463" s="10"/>
      <c r="I463" s="674"/>
      <c r="J463" s="10"/>
      <c r="K463" s="10"/>
      <c r="L463" s="10"/>
      <c r="M463" s="10"/>
      <c r="N463" s="10"/>
      <c r="O463" s="10"/>
      <c r="P463" s="10"/>
      <c r="Q463" s="10"/>
      <c r="R463" s="10" t="s">
        <v>19053</v>
      </c>
      <c r="S463" s="10">
        <v>986.0</v>
      </c>
      <c r="T463" s="10"/>
      <c r="U463" s="675"/>
      <c r="V463" s="675"/>
    </row>
    <row r="464">
      <c r="A464" s="10" t="str">
        <f>IFERROR(__xludf.DUMMYFUNCTION("""COMPUTED_VALUE"""),"NOURHXXX")</f>
        <v>NOURHXXX</v>
      </c>
      <c r="B464" s="10">
        <f>IFERROR(__xludf.DUMMYFUNCTION("""COMPUTED_VALUE"""),13964.0)</f>
        <v>13964</v>
      </c>
      <c r="C464" s="10"/>
      <c r="D464" s="10"/>
      <c r="E464" s="10"/>
      <c r="F464" s="10"/>
      <c r="G464" s="10"/>
      <c r="H464" s="10"/>
      <c r="I464" s="674"/>
      <c r="J464" s="10"/>
      <c r="K464" s="10"/>
      <c r="L464" s="10"/>
      <c r="M464" s="10"/>
      <c r="N464" s="10"/>
      <c r="O464" s="10"/>
      <c r="P464" s="10"/>
      <c r="Q464" s="10"/>
      <c r="R464" s="10" t="s">
        <v>19054</v>
      </c>
      <c r="S464" s="10">
        <v>11601.0</v>
      </c>
      <c r="T464" s="10"/>
      <c r="U464" s="675"/>
      <c r="V464" s="675"/>
    </row>
    <row r="465">
      <c r="A465" s="10" t="str">
        <f>IFERROR(__xludf.DUMMYFUNCTION("""COMPUTED_VALUE"""),"FARIDA")</f>
        <v>FARIDA</v>
      </c>
      <c r="B465" s="10">
        <f>IFERROR(__xludf.DUMMYFUNCTION("""COMPUTED_VALUE"""),1.0)</f>
        <v>1</v>
      </c>
      <c r="C465" s="10"/>
      <c r="D465" s="10"/>
      <c r="E465" s="10"/>
      <c r="F465" s="10"/>
      <c r="G465" s="10"/>
      <c r="H465" s="10"/>
      <c r="I465" s="674"/>
      <c r="J465" s="10"/>
      <c r="K465" s="10"/>
      <c r="L465" s="10"/>
      <c r="M465" s="10"/>
      <c r="N465" s="10"/>
      <c r="O465" s="10"/>
      <c r="P465" s="10"/>
      <c r="Q465" s="10"/>
      <c r="R465" s="10" t="s">
        <v>19055</v>
      </c>
      <c r="S465" s="10">
        <v>7157.0</v>
      </c>
      <c r="T465" s="10"/>
      <c r="U465" s="675"/>
      <c r="V465" s="675"/>
    </row>
    <row r="466">
      <c r="A466" s="10" t="str">
        <f>IFERROR(__xludf.DUMMYFUNCTION("""COMPUTED_VALUE"""),"HAL")</f>
        <v>HAL</v>
      </c>
      <c r="B466" s="10">
        <f>IFERROR(__xludf.DUMMYFUNCTION("""COMPUTED_VALUE"""),8252.0)</f>
        <v>8252</v>
      </c>
      <c r="C466" s="10"/>
      <c r="D466" s="10"/>
      <c r="E466" s="10"/>
      <c r="F466" s="10"/>
      <c r="G466" s="10"/>
      <c r="H466" s="10"/>
      <c r="I466" s="674"/>
      <c r="J466" s="10"/>
      <c r="K466" s="10"/>
      <c r="L466" s="10"/>
      <c r="M466" s="10"/>
      <c r="N466" s="10"/>
      <c r="O466" s="10"/>
      <c r="P466" s="10"/>
      <c r="Q466" s="10"/>
      <c r="R466" s="10" t="s">
        <v>19056</v>
      </c>
      <c r="S466" s="10">
        <v>6675.0</v>
      </c>
      <c r="T466" s="10"/>
      <c r="U466" s="675"/>
      <c r="V466" s="675"/>
    </row>
    <row r="467">
      <c r="A467" s="10" t="str">
        <f>IFERROR(__xludf.DUMMYFUNCTION("""COMPUTED_VALUE"""),"JOODX")</f>
        <v>JOODX</v>
      </c>
      <c r="B467" s="10">
        <f>IFERROR(__xludf.DUMMYFUNCTION("""COMPUTED_VALUE"""),14092.0)</f>
        <v>14092</v>
      </c>
      <c r="C467" s="10"/>
      <c r="D467" s="10"/>
      <c r="E467" s="10"/>
      <c r="F467" s="10"/>
      <c r="G467" s="10"/>
      <c r="H467" s="10"/>
      <c r="I467" s="674"/>
      <c r="J467" s="10"/>
      <c r="K467" s="10"/>
      <c r="L467" s="10"/>
      <c r="M467" s="10"/>
      <c r="N467" s="10"/>
      <c r="O467" s="10"/>
      <c r="P467" s="10"/>
      <c r="Q467" s="10"/>
      <c r="R467" s="10" t="s">
        <v>19057</v>
      </c>
      <c r="S467" s="10">
        <v>499.0</v>
      </c>
      <c r="T467" s="10"/>
      <c r="U467" s="675"/>
      <c r="V467" s="675"/>
    </row>
    <row r="468">
      <c r="A468" s="10" t="str">
        <f>IFERROR(__xludf.DUMMYFUNCTION("""COMPUTED_VALUE"""),"DXI")</f>
        <v>DXI</v>
      </c>
      <c r="B468" s="10">
        <f>IFERROR(__xludf.DUMMYFUNCTION("""COMPUTED_VALUE"""),14138.0)</f>
        <v>14138</v>
      </c>
      <c r="C468" s="10"/>
      <c r="D468" s="10"/>
      <c r="E468" s="10"/>
      <c r="F468" s="10"/>
      <c r="G468" s="10"/>
      <c r="H468" s="10"/>
      <c r="I468" s="674"/>
      <c r="J468" s="10"/>
      <c r="K468" s="10"/>
      <c r="L468" s="10"/>
      <c r="M468" s="10"/>
      <c r="N468" s="10"/>
      <c r="O468" s="10"/>
      <c r="P468" s="10"/>
      <c r="Q468" s="10"/>
      <c r="R468" s="10" t="s">
        <v>19058</v>
      </c>
      <c r="S468" s="10">
        <v>285.0</v>
      </c>
      <c r="T468" s="10"/>
      <c r="U468" s="675"/>
      <c r="V468" s="675"/>
    </row>
    <row r="469">
      <c r="A469" s="10" t="str">
        <f>IFERROR(__xludf.DUMMYFUNCTION("""COMPUTED_VALUE"""),"HHI")</f>
        <v>HHI</v>
      </c>
      <c r="B469" s="10">
        <f>IFERROR(__xludf.DUMMYFUNCTION("""COMPUTED_VALUE"""),14042.0)</f>
        <v>14042</v>
      </c>
      <c r="C469" s="10"/>
      <c r="D469" s="10"/>
      <c r="E469" s="10"/>
      <c r="F469" s="10"/>
      <c r="G469" s="10"/>
      <c r="H469" s="10"/>
      <c r="I469" s="674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675"/>
      <c r="V469" s="675"/>
    </row>
    <row r="470">
      <c r="A470" s="10" t="str">
        <f>IFERROR(__xludf.DUMMYFUNCTION("""COMPUTED_VALUE"""),"DRAMI")</f>
        <v>DRAMI</v>
      </c>
      <c r="B470" s="10">
        <f>IFERROR(__xludf.DUMMYFUNCTION("""COMPUTED_VALUE"""),11560.0)</f>
        <v>11560</v>
      </c>
      <c r="C470" s="10"/>
      <c r="D470" s="10"/>
      <c r="E470" s="10"/>
      <c r="F470" s="10"/>
      <c r="G470" s="10"/>
      <c r="H470" s="10"/>
      <c r="I470" s="674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675"/>
      <c r="V470" s="675"/>
    </row>
    <row r="471">
      <c r="A471" s="10" t="str">
        <f>IFERROR(__xludf.DUMMYFUNCTION("""COMPUTED_VALUE"""),"TODAYCK")</f>
        <v>TODAYCK</v>
      </c>
      <c r="B471" s="10">
        <f>IFERROR(__xludf.DUMMYFUNCTION("""COMPUTED_VALUE"""),6675.0)</f>
        <v>6675</v>
      </c>
      <c r="C471" s="10"/>
      <c r="D471" s="10"/>
      <c r="E471" s="10"/>
      <c r="F471" s="10"/>
      <c r="G471" s="10"/>
      <c r="H471" s="10"/>
      <c r="I471" s="674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675"/>
      <c r="V471" s="675"/>
    </row>
    <row r="472">
      <c r="A472" s="10" t="str">
        <f>IFERROR(__xludf.DUMMYFUNCTION("""COMPUTED_VALUE"""),"ISHI")</f>
        <v>ISHI</v>
      </c>
      <c r="B472" s="10">
        <f>IFERROR(__xludf.DUMMYFUNCTION("""COMPUTED_VALUE"""),13913.0)</f>
        <v>13913</v>
      </c>
      <c r="C472" s="10"/>
      <c r="D472" s="10"/>
      <c r="E472" s="10"/>
      <c r="F472" s="10"/>
      <c r="G472" s="10"/>
      <c r="H472" s="10"/>
      <c r="I472" s="674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675"/>
      <c r="V472" s="675"/>
    </row>
    <row r="473">
      <c r="A473" s="10" t="str">
        <f>IFERROR(__xludf.DUMMYFUNCTION("""COMPUTED_VALUE"""),"BYAA")</f>
        <v>BYAA</v>
      </c>
      <c r="B473" s="10">
        <f>IFERROR(__xludf.DUMMYFUNCTION("""COMPUTED_VALUE"""),9574.0)</f>
        <v>9574</v>
      </c>
      <c r="C473" s="10"/>
      <c r="D473" s="10"/>
      <c r="E473" s="10"/>
      <c r="F473" s="10"/>
      <c r="G473" s="10"/>
      <c r="H473" s="10"/>
      <c r="I473" s="674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675"/>
      <c r="V473" s="675"/>
    </row>
    <row r="474">
      <c r="A474" s="10" t="str">
        <f>IFERROR(__xludf.DUMMYFUNCTION("""COMPUTED_VALUE"""),"SINGL")</f>
        <v>SINGL</v>
      </c>
      <c r="B474" s="10">
        <f>IFERROR(__xludf.DUMMYFUNCTION("""COMPUTED_VALUE"""),12367.0)</f>
        <v>12367</v>
      </c>
      <c r="C474" s="10"/>
      <c r="D474" s="10"/>
      <c r="E474" s="10"/>
      <c r="F474" s="10"/>
      <c r="G474" s="10"/>
      <c r="H474" s="10"/>
      <c r="I474" s="674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675"/>
      <c r="V474" s="675"/>
    </row>
    <row r="475">
      <c r="A475" s="10" t="str">
        <f>IFERROR(__xludf.DUMMYFUNCTION("""COMPUTED_VALUE"""),"TODAOOY")</f>
        <v>TODAOOY</v>
      </c>
      <c r="B475" s="10">
        <f>IFERROR(__xludf.DUMMYFUNCTION("""COMPUTED_VALUE"""),14032.0)</f>
        <v>14032</v>
      </c>
      <c r="C475" s="10"/>
      <c r="D475" s="10"/>
      <c r="E475" s="10"/>
      <c r="F475" s="10"/>
      <c r="G475" s="10"/>
      <c r="H475" s="10"/>
      <c r="I475" s="674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675"/>
      <c r="V475" s="675"/>
    </row>
    <row r="476">
      <c r="A476" s="10" t="str">
        <f>IFERROR(__xludf.DUMMYFUNCTION("""COMPUTED_VALUE"""),"VIPN")</f>
        <v>VIPN</v>
      </c>
      <c r="B476" s="10">
        <f>IFERROR(__xludf.DUMMYFUNCTION("""COMPUTED_VALUE"""),9686.0)</f>
        <v>9686</v>
      </c>
      <c r="C476" s="10"/>
      <c r="D476" s="10"/>
      <c r="E476" s="10"/>
      <c r="F476" s="10"/>
      <c r="G476" s="10"/>
      <c r="H476" s="10"/>
      <c r="I476" s="674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675"/>
      <c r="V476" s="675"/>
    </row>
    <row r="477">
      <c r="A477" s="10" t="str">
        <f>IFERROR(__xludf.DUMMYFUNCTION("""COMPUTED_VALUE"""),"AYM")</f>
        <v>AYM</v>
      </c>
      <c r="B477" s="10">
        <f>IFERROR(__xludf.DUMMYFUNCTION("""COMPUTED_VALUE"""),1.0)</f>
        <v>1</v>
      </c>
      <c r="C477" s="10"/>
      <c r="D477" s="10"/>
      <c r="E477" s="10"/>
      <c r="F477" s="10"/>
      <c r="G477" s="10"/>
      <c r="H477" s="10"/>
      <c r="I477" s="674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675"/>
      <c r="V477" s="675"/>
    </row>
    <row r="478">
      <c r="A478" s="10" t="str">
        <f>IFERROR(__xludf.DUMMYFUNCTION("""COMPUTED_VALUE"""),"jiivnz")</f>
        <v>jiivnz</v>
      </c>
      <c r="B478" s="10">
        <f>IFERROR(__xludf.DUMMYFUNCTION("""COMPUTED_VALUE"""),11883.0)</f>
        <v>11883</v>
      </c>
      <c r="C478" s="10"/>
      <c r="D478" s="10"/>
      <c r="E478" s="10"/>
      <c r="F478" s="10"/>
      <c r="G478" s="10"/>
      <c r="H478" s="10"/>
      <c r="I478" s="674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675"/>
      <c r="V478" s="675"/>
    </row>
    <row r="479">
      <c r="A479" s="10" t="str">
        <f>IFERROR(__xludf.DUMMYFUNCTION("""COMPUTED_VALUE"""),"OMALL")</f>
        <v>OMALL</v>
      </c>
      <c r="B479" s="10">
        <f>IFERROR(__xludf.DUMMYFUNCTION("""COMPUTED_VALUE"""),1.0)</f>
        <v>1</v>
      </c>
      <c r="C479" s="10"/>
      <c r="D479" s="10"/>
      <c r="E479" s="10"/>
      <c r="F479" s="10"/>
      <c r="G479" s="10"/>
      <c r="H479" s="10"/>
      <c r="I479" s="674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675"/>
      <c r="V479" s="675"/>
    </row>
    <row r="480">
      <c r="A480" s="10" t="str">
        <f>IFERROR(__xludf.DUMMYFUNCTION("""COMPUTED_VALUE"""),"CAND")</f>
        <v>CAND</v>
      </c>
      <c r="B480" s="10">
        <f>IFERROR(__xludf.DUMMYFUNCTION("""COMPUTED_VALUE"""),12409.0)</f>
        <v>12409</v>
      </c>
      <c r="C480" s="10"/>
      <c r="D480" s="10"/>
      <c r="E480" s="10"/>
      <c r="F480" s="10"/>
      <c r="G480" s="10"/>
      <c r="H480" s="10"/>
      <c r="I480" s="674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675"/>
      <c r="V480" s="675"/>
    </row>
    <row r="481">
      <c r="A481" s="10" t="str">
        <f>IFERROR(__xludf.DUMMYFUNCTION("""COMPUTED_VALUE"""),"AISHAZ")</f>
        <v>AISHAZ</v>
      </c>
      <c r="B481" s="10">
        <f>IFERROR(__xludf.DUMMYFUNCTION("""COMPUTED_VALUE"""),1.0)</f>
        <v>1</v>
      </c>
      <c r="C481" s="10"/>
      <c r="D481" s="10"/>
      <c r="E481" s="10"/>
      <c r="F481" s="10"/>
      <c r="G481" s="10"/>
      <c r="H481" s="10"/>
      <c r="I481" s="674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675"/>
      <c r="V481" s="675"/>
    </row>
    <row r="482">
      <c r="A482" s="10" t="str">
        <f>IFERROR(__xludf.DUMMYFUNCTION("""COMPUTED_VALUE"""),"KML")</f>
        <v>KML</v>
      </c>
      <c r="B482" s="10">
        <f>IFERROR(__xludf.DUMMYFUNCTION("""COMPUTED_VALUE"""),1.0)</f>
        <v>1</v>
      </c>
      <c r="C482" s="10"/>
      <c r="D482" s="10"/>
      <c r="E482" s="10"/>
      <c r="F482" s="10"/>
      <c r="G482" s="10"/>
      <c r="H482" s="10"/>
      <c r="I482" s="674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675"/>
      <c r="V482" s="675"/>
    </row>
    <row r="483">
      <c r="A483" s="10" t="str">
        <f>IFERROR(__xludf.DUMMYFUNCTION("""COMPUTED_VALUE"""),"RAWAA")</f>
        <v>RAWAA</v>
      </c>
      <c r="B483" s="10">
        <f>IFERROR(__xludf.DUMMYFUNCTION("""COMPUTED_VALUE"""),9777.0)</f>
        <v>9777</v>
      </c>
      <c r="C483" s="10"/>
      <c r="D483" s="10"/>
      <c r="E483" s="10"/>
      <c r="F483" s="10"/>
      <c r="G483" s="10"/>
      <c r="H483" s="10"/>
      <c r="I483" s="674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675"/>
      <c r="V483" s="675"/>
    </row>
    <row r="484">
      <c r="A484" s="10" t="str">
        <f>IFERROR(__xludf.DUMMYFUNCTION("""COMPUTED_VALUE"""),"SEE")</f>
        <v>SEE</v>
      </c>
      <c r="B484" s="10">
        <f>IFERROR(__xludf.DUMMYFUNCTION("""COMPUTED_VALUE"""),14183.0)</f>
        <v>14183</v>
      </c>
      <c r="C484" s="10"/>
      <c r="D484" s="10"/>
      <c r="E484" s="10"/>
      <c r="F484" s="10"/>
      <c r="G484" s="10"/>
      <c r="H484" s="10"/>
      <c r="I484" s="674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675"/>
      <c r="V484" s="675"/>
    </row>
    <row r="485">
      <c r="A485" s="10" t="str">
        <f>IFERROR(__xludf.DUMMYFUNCTION("""COMPUTED_VALUE"""),"IBRAH")</f>
        <v>IBRAH</v>
      </c>
      <c r="B485" s="10">
        <f>IFERROR(__xludf.DUMMYFUNCTION("""COMPUTED_VALUE"""),7010.0)</f>
        <v>7010</v>
      </c>
      <c r="C485" s="10"/>
      <c r="D485" s="10"/>
      <c r="E485" s="10"/>
      <c r="F485" s="10"/>
      <c r="G485" s="10"/>
      <c r="H485" s="10"/>
      <c r="I485" s="674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675"/>
      <c r="V485" s="675"/>
    </row>
    <row r="486">
      <c r="A486" s="10" t="str">
        <f>IFERROR(__xludf.DUMMYFUNCTION("""COMPUTED_VALUE"""),"AMLH")</f>
        <v>AMLH</v>
      </c>
      <c r="B486" s="10">
        <f>IFERROR(__xludf.DUMMYFUNCTION("""COMPUTED_VALUE"""),1.0)</f>
        <v>1</v>
      </c>
      <c r="C486" s="10"/>
      <c r="D486" s="10"/>
      <c r="E486" s="10"/>
      <c r="F486" s="10"/>
      <c r="G486" s="10"/>
      <c r="H486" s="10"/>
      <c r="I486" s="674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</row>
    <row r="487">
      <c r="A487" s="10" t="str">
        <f>IFERROR(__xludf.DUMMYFUNCTION("""COMPUTED_VALUE"""),"MREE")</f>
        <v>MREE</v>
      </c>
      <c r="B487" s="10">
        <f>IFERROR(__xludf.DUMMYFUNCTION("""COMPUTED_VALUE"""),1.0)</f>
        <v>1</v>
      </c>
      <c r="C487" s="10"/>
      <c r="D487" s="10"/>
      <c r="E487" s="10"/>
      <c r="F487" s="10"/>
      <c r="G487" s="10"/>
      <c r="H487" s="10"/>
      <c r="I487" s="674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</row>
    <row r="488">
      <c r="A488" s="10" t="str">
        <f>IFERROR(__xludf.DUMMYFUNCTION("""COMPUTED_VALUE"""),"SARAAXX")</f>
        <v>SARAAXX</v>
      </c>
      <c r="B488" s="10">
        <f>IFERROR(__xludf.DUMMYFUNCTION("""COMPUTED_VALUE"""),7734.0)</f>
        <v>7734</v>
      </c>
      <c r="C488" s="10"/>
      <c r="D488" s="10"/>
      <c r="E488" s="10"/>
      <c r="F488" s="10"/>
      <c r="G488" s="10"/>
      <c r="H488" s="10"/>
      <c r="I488" s="674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</row>
    <row r="489">
      <c r="A489" s="10" t="str">
        <f>IFERROR(__xludf.DUMMYFUNCTION("""COMPUTED_VALUE"""),"NNAATT")</f>
        <v>NNAATT</v>
      </c>
      <c r="B489" s="10">
        <f>IFERROR(__xludf.DUMMYFUNCTION("""COMPUTED_VALUE"""),14202.0)</f>
        <v>14202</v>
      </c>
      <c r="C489" s="10"/>
      <c r="D489" s="10"/>
      <c r="E489" s="10"/>
      <c r="F489" s="10"/>
      <c r="G489" s="10"/>
      <c r="H489" s="10"/>
      <c r="I489" s="674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</row>
    <row r="490">
      <c r="A490" s="10" t="str">
        <f>IFERROR(__xludf.DUMMYFUNCTION("""COMPUTED_VALUE"""),"AYD")</f>
        <v>AYD</v>
      </c>
      <c r="B490" s="10">
        <f>IFERROR(__xludf.DUMMYFUNCTION("""COMPUTED_VALUE"""),14298.0)</f>
        <v>14298</v>
      </c>
      <c r="C490" s="10"/>
      <c r="D490" s="10"/>
      <c r="E490" s="10"/>
      <c r="F490" s="10"/>
      <c r="G490" s="10"/>
      <c r="H490" s="10"/>
      <c r="I490" s="674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</row>
    <row r="491">
      <c r="A491" s="10" t="str">
        <f>IFERROR(__xludf.DUMMYFUNCTION("""COMPUTED_VALUE"""),"TRF")</f>
        <v>TRF</v>
      </c>
      <c r="B491" s="10">
        <f>IFERROR(__xludf.DUMMYFUNCTION("""COMPUTED_VALUE"""),14429.0)</f>
        <v>14429</v>
      </c>
      <c r="C491" s="10"/>
      <c r="D491" s="10"/>
      <c r="E491" s="10"/>
      <c r="F491" s="10"/>
      <c r="G491" s="10"/>
      <c r="H491" s="10"/>
      <c r="I491" s="674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</row>
    <row r="492">
      <c r="A492" s="10" t="str">
        <f>IFERROR(__xludf.DUMMYFUNCTION("""COMPUTED_VALUE"""),"KHLOOX")</f>
        <v>KHLOOX</v>
      </c>
      <c r="B492" s="10">
        <f>IFERROR(__xludf.DUMMYFUNCTION("""COMPUTED_VALUE"""),1.0)</f>
        <v>1</v>
      </c>
      <c r="C492" s="10"/>
      <c r="D492" s="10"/>
      <c r="E492" s="10"/>
      <c r="F492" s="10"/>
      <c r="G492" s="10"/>
      <c r="H492" s="10"/>
      <c r="I492" s="674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</row>
    <row r="493">
      <c r="A493" s="10" t="str">
        <f>IFERROR(__xludf.DUMMYFUNCTION("""COMPUTED_VALUE"""),"ASASD")</f>
        <v>ASASD</v>
      </c>
      <c r="B493" s="10">
        <f>IFERROR(__xludf.DUMMYFUNCTION("""COMPUTED_VALUE"""),14263.0)</f>
        <v>14263</v>
      </c>
      <c r="C493" s="10"/>
      <c r="D493" s="10"/>
      <c r="E493" s="10"/>
      <c r="F493" s="10"/>
      <c r="G493" s="10"/>
      <c r="H493" s="10"/>
      <c r="I493" s="674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</row>
    <row r="494">
      <c r="A494" s="10" t="str">
        <f>IFERROR(__xludf.DUMMYFUNCTION("""COMPUTED_VALUE"""),"HIIN")</f>
        <v>HIIN</v>
      </c>
      <c r="B494" s="10">
        <f>IFERROR(__xludf.DUMMYFUNCTION("""COMPUTED_VALUE"""),13088.0)</f>
        <v>13088</v>
      </c>
      <c r="C494" s="10"/>
      <c r="D494" s="10"/>
      <c r="E494" s="10"/>
      <c r="F494" s="10"/>
      <c r="G494" s="10"/>
      <c r="H494" s="10"/>
      <c r="I494" s="674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</row>
    <row r="495">
      <c r="A495" s="10" t="str">
        <f>IFERROR(__xludf.DUMMYFUNCTION("""COMPUTED_VALUE"""),"MONAW")</f>
        <v>MONAW</v>
      </c>
      <c r="B495" s="10">
        <f>IFERROR(__xludf.DUMMYFUNCTION("""COMPUTED_VALUE"""),1.0)</f>
        <v>1</v>
      </c>
      <c r="C495" s="10"/>
      <c r="D495" s="10"/>
      <c r="E495" s="10"/>
      <c r="F495" s="10"/>
      <c r="G495" s="10"/>
      <c r="H495" s="10"/>
      <c r="I495" s="674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</row>
    <row r="496">
      <c r="A496" s="10" t="str">
        <f>IFERROR(__xludf.DUMMYFUNCTION("""COMPUTED_VALUE"""),"MARE")</f>
        <v>MARE</v>
      </c>
      <c r="B496" s="10">
        <f>IFERROR(__xludf.DUMMYFUNCTION("""COMPUTED_VALUE"""),11047.0)</f>
        <v>11047</v>
      </c>
      <c r="C496" s="10"/>
      <c r="D496" s="10"/>
      <c r="E496" s="10"/>
      <c r="F496" s="10"/>
      <c r="G496" s="10"/>
      <c r="H496" s="10"/>
      <c r="I496" s="674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</row>
    <row r="497">
      <c r="A497" s="10" t="str">
        <f>IFERROR(__xludf.DUMMYFUNCTION("""COMPUTED_VALUE"""),"NNN")</f>
        <v>NNN</v>
      </c>
      <c r="B497" s="10">
        <f>IFERROR(__xludf.DUMMYFUNCTION("""COMPUTED_VALUE"""),14424.0)</f>
        <v>14424</v>
      </c>
      <c r="C497" s="10"/>
      <c r="D497" s="10"/>
      <c r="E497" s="10"/>
      <c r="F497" s="10"/>
      <c r="G497" s="10"/>
      <c r="H497" s="10"/>
      <c r="I497" s="674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675"/>
      <c r="V497" s="675"/>
    </row>
    <row r="498">
      <c r="A498" s="10" t="str">
        <f>IFERROR(__xludf.DUMMYFUNCTION("""COMPUTED_VALUE"""),"MBRO")</f>
        <v>MBRO</v>
      </c>
      <c r="B498" s="10">
        <f>IFERROR(__xludf.DUMMYFUNCTION("""COMPUTED_VALUE"""),14384.0)</f>
        <v>14384</v>
      </c>
      <c r="C498" s="10"/>
      <c r="D498" s="10"/>
      <c r="E498" s="10"/>
      <c r="F498" s="10"/>
      <c r="G498" s="10"/>
      <c r="H498" s="10"/>
      <c r="I498" s="674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675"/>
      <c r="V498" s="675"/>
    </row>
    <row r="499">
      <c r="A499" s="10" t="str">
        <f>IFERROR(__xludf.DUMMYFUNCTION("""COMPUTED_VALUE"""),"SNQ")</f>
        <v>SNQ</v>
      </c>
      <c r="B499" s="10">
        <f>IFERROR(__xludf.DUMMYFUNCTION("""COMPUTED_VALUE"""),14142.0)</f>
        <v>14142</v>
      </c>
      <c r="C499" s="10"/>
      <c r="D499" s="10"/>
      <c r="E499" s="10"/>
      <c r="F499" s="10"/>
      <c r="G499" s="10"/>
      <c r="H499" s="10"/>
      <c r="I499" s="674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675"/>
      <c r="V499" s="675"/>
    </row>
    <row r="500">
      <c r="A500" s="10" t="str">
        <f>IFERROR(__xludf.DUMMYFUNCTION("""COMPUTED_VALUE"""),"OUD")</f>
        <v>OUD</v>
      </c>
      <c r="B500" s="10">
        <f>IFERROR(__xludf.DUMMYFUNCTION("""COMPUTED_VALUE"""),14470.0)</f>
        <v>14470</v>
      </c>
      <c r="C500" s="10"/>
      <c r="D500" s="10"/>
      <c r="E500" s="10"/>
      <c r="F500" s="10"/>
      <c r="G500" s="10"/>
      <c r="H500" s="10"/>
      <c r="I500" s="674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</row>
    <row r="501">
      <c r="A501" s="10" t="str">
        <f>IFERROR(__xludf.DUMMYFUNCTION("""COMPUTED_VALUE"""),"MAINA")</f>
        <v>MAINA</v>
      </c>
      <c r="B501" s="10">
        <f>IFERROR(__xludf.DUMMYFUNCTION("""COMPUTED_VALUE"""),14226.0)</f>
        <v>14226</v>
      </c>
      <c r="C501" s="10"/>
      <c r="D501" s="10"/>
      <c r="E501" s="10"/>
      <c r="F501" s="10"/>
      <c r="G501" s="10"/>
      <c r="H501" s="10"/>
      <c r="I501" s="674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675"/>
      <c r="V501" s="675"/>
    </row>
    <row r="502">
      <c r="A502" s="10" t="str">
        <f>IFERROR(__xludf.DUMMYFUNCTION("""COMPUTED_VALUE"""),"IAMQLVK")</f>
        <v>IAMQLVK</v>
      </c>
      <c r="B502" s="10">
        <f>IFERROR(__xludf.DUMMYFUNCTION("""COMPUTED_VALUE"""),13310.0)</f>
        <v>13310</v>
      </c>
      <c r="C502" s="10"/>
      <c r="D502" s="10"/>
      <c r="E502" s="10"/>
      <c r="F502" s="10"/>
      <c r="G502" s="10"/>
      <c r="H502" s="10"/>
      <c r="I502" s="674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675"/>
      <c r="V502" s="675"/>
    </row>
    <row r="503">
      <c r="A503" s="10" t="str">
        <f>IFERROR(__xludf.DUMMYFUNCTION("""COMPUTED_VALUE"""),"ADEE")</f>
        <v>ADEE</v>
      </c>
      <c r="B503" s="10">
        <f>IFERROR(__xludf.DUMMYFUNCTION("""COMPUTED_VALUE"""),13902.0)</f>
        <v>13902</v>
      </c>
      <c r="C503" s="10"/>
      <c r="D503" s="10"/>
      <c r="E503" s="10"/>
      <c r="F503" s="10"/>
      <c r="G503" s="10"/>
      <c r="H503" s="10"/>
      <c r="I503" s="674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675"/>
      <c r="V503" s="675"/>
    </row>
    <row r="504">
      <c r="A504" s="10" t="str">
        <f>IFERROR(__xludf.DUMMYFUNCTION("""COMPUTED_VALUE"""),"AAHB")</f>
        <v>AAHB</v>
      </c>
      <c r="B504" s="10">
        <f>IFERROR(__xludf.DUMMYFUNCTION("""COMPUTED_VALUE"""),9669.0)</f>
        <v>9669</v>
      </c>
      <c r="C504" s="10"/>
      <c r="D504" s="10"/>
      <c r="E504" s="10"/>
      <c r="F504" s="10"/>
      <c r="G504" s="10"/>
      <c r="H504" s="10"/>
      <c r="I504" s="674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675"/>
      <c r="V504" s="675"/>
    </row>
    <row r="505">
      <c r="A505" s="10" t="str">
        <f>IFERROR(__xludf.DUMMYFUNCTION("""COMPUTED_VALUE"""),"AKMX")</f>
        <v>AKMX</v>
      </c>
      <c r="B505" s="10">
        <f>IFERROR(__xludf.DUMMYFUNCTION("""COMPUTED_VALUE"""),1.0)</f>
        <v>1</v>
      </c>
      <c r="C505" s="10"/>
      <c r="D505" s="10"/>
      <c r="E505" s="10"/>
      <c r="F505" s="10"/>
      <c r="G505" s="10"/>
      <c r="H505" s="10"/>
      <c r="I505" s="674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675"/>
      <c r="V505" s="675"/>
    </row>
    <row r="506">
      <c r="A506" s="10" t="str">
        <f>IFERROR(__xludf.DUMMYFUNCTION("""COMPUTED_VALUE"""),"AMRJ")</f>
        <v>AMRJ</v>
      </c>
      <c r="B506" s="10">
        <f>IFERROR(__xludf.DUMMYFUNCTION("""COMPUTED_VALUE"""),14410.0)</f>
        <v>14410</v>
      </c>
      <c r="C506" s="10"/>
      <c r="D506" s="10"/>
      <c r="E506" s="10"/>
      <c r="F506" s="10"/>
      <c r="G506" s="10"/>
      <c r="H506" s="10"/>
      <c r="I506" s="674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675"/>
      <c r="V506" s="675"/>
    </row>
    <row r="507">
      <c r="A507" s="10" t="str">
        <f>IFERROR(__xludf.DUMMYFUNCTION("""COMPUTED_VALUE"""),"NEA")</f>
        <v>NEA</v>
      </c>
      <c r="B507" s="10">
        <f>IFERROR(__xludf.DUMMYFUNCTION("""COMPUTED_VALUE"""),14417.0)</f>
        <v>14417</v>
      </c>
      <c r="C507" s="10"/>
      <c r="D507" s="10"/>
      <c r="E507" s="10"/>
      <c r="F507" s="10"/>
      <c r="G507" s="10"/>
      <c r="H507" s="10"/>
      <c r="I507" s="674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675"/>
      <c r="V507" s="675"/>
    </row>
    <row r="508">
      <c r="A508" s="10" t="str">
        <f>IFERROR(__xludf.DUMMYFUNCTION("""COMPUTED_VALUE"""),"YMO")</f>
        <v>YMO</v>
      </c>
      <c r="B508" s="10">
        <f>IFERROR(__xludf.DUMMYFUNCTION("""COMPUTED_VALUE"""),1280.0)</f>
        <v>1280</v>
      </c>
      <c r="C508" s="10"/>
      <c r="D508" s="10"/>
      <c r="E508" s="10"/>
      <c r="F508" s="10"/>
      <c r="G508" s="10"/>
      <c r="H508" s="10"/>
      <c r="I508" s="674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675"/>
      <c r="V508" s="675"/>
    </row>
    <row r="509">
      <c r="A509" s="10" t="str">
        <f>IFERROR(__xludf.DUMMYFUNCTION("""COMPUTED_VALUE"""),"SUN")</f>
        <v>SUN</v>
      </c>
      <c r="B509" s="18">
        <f>IFERROR(__xludf.DUMMYFUNCTION("""COMPUTED_VALUE"""),9714.0)</f>
        <v>9714</v>
      </c>
      <c r="C509" s="9"/>
      <c r="D509" s="10"/>
      <c r="E509" s="10"/>
      <c r="F509" s="10"/>
      <c r="G509" s="10"/>
      <c r="H509" s="10"/>
      <c r="I509" s="674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675"/>
      <c r="V509" s="675"/>
    </row>
    <row r="510">
      <c r="A510" s="10" t="str">
        <f>IFERROR(__xludf.DUMMYFUNCTION("""COMPUTED_VALUE"""),"TODAYHH")</f>
        <v>TODAYHH</v>
      </c>
      <c r="B510" s="10">
        <f>IFERROR(__xludf.DUMMYFUNCTION("""COMPUTED_VALUE"""),1.0)</f>
        <v>1</v>
      </c>
      <c r="C510" s="10"/>
      <c r="D510" s="10"/>
      <c r="E510" s="10"/>
      <c r="F510" s="10"/>
      <c r="G510" s="10"/>
      <c r="H510" s="10"/>
      <c r="I510" s="674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675"/>
      <c r="V510" s="675"/>
    </row>
    <row r="511">
      <c r="A511" s="10" t="str">
        <f>IFERROR(__xludf.DUMMYFUNCTION("""COMPUTED_VALUE"""),"SWI")</f>
        <v>SWI</v>
      </c>
      <c r="B511" s="10">
        <f>IFERROR(__xludf.DUMMYFUNCTION("""COMPUTED_VALUE"""),14689.0)</f>
        <v>14689</v>
      </c>
      <c r="C511" s="10"/>
      <c r="D511" s="10"/>
      <c r="E511" s="10"/>
      <c r="F511" s="10"/>
      <c r="G511" s="10"/>
      <c r="H511" s="10"/>
      <c r="I511" s="674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675"/>
      <c r="V511" s="675"/>
    </row>
    <row r="512">
      <c r="A512" s="10" t="str">
        <f>IFERROR(__xludf.DUMMYFUNCTION("""COMPUTED_VALUE"""),"SHAMSKA")</f>
        <v>SHAMSKA</v>
      </c>
      <c r="B512" s="10">
        <f>IFERROR(__xludf.DUMMYFUNCTION("""COMPUTED_VALUE"""),6875.0)</f>
        <v>6875</v>
      </c>
      <c r="C512" s="10"/>
      <c r="D512" s="10"/>
      <c r="E512" s="10"/>
      <c r="F512" s="10"/>
      <c r="G512" s="10"/>
      <c r="H512" s="10"/>
      <c r="I512" s="674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675"/>
      <c r="V512" s="675"/>
    </row>
    <row r="513">
      <c r="A513" s="10" t="str">
        <f>IFERROR(__xludf.DUMMYFUNCTION("""COMPUTED_VALUE"""),"ELIZAX")</f>
        <v>ELIZAX</v>
      </c>
      <c r="B513" s="10">
        <f>IFERROR(__xludf.DUMMYFUNCTION("""COMPUTED_VALUE"""),14122.0)</f>
        <v>14122</v>
      </c>
      <c r="C513" s="10"/>
      <c r="D513" s="10"/>
      <c r="E513" s="10"/>
      <c r="F513" s="10"/>
      <c r="G513" s="10"/>
      <c r="H513" s="10"/>
      <c r="I513" s="674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675"/>
      <c r="V513" s="675"/>
    </row>
    <row r="514">
      <c r="A514" s="10" t="str">
        <f>IFERROR(__xludf.DUMMYFUNCTION("""COMPUTED_VALUE"""),"QTR")</f>
        <v>QTR</v>
      </c>
      <c r="B514" s="10">
        <f>IFERROR(__xludf.DUMMYFUNCTION("""COMPUTED_VALUE"""),14195.0)</f>
        <v>14195</v>
      </c>
      <c r="C514" s="10"/>
      <c r="D514" s="10"/>
      <c r="E514" s="10"/>
      <c r="F514" s="10"/>
      <c r="G514" s="10"/>
      <c r="H514" s="10"/>
      <c r="I514" s="674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675"/>
      <c r="V514" s="675"/>
    </row>
    <row r="515">
      <c r="A515" s="10" t="str">
        <f>IFERROR(__xludf.DUMMYFUNCTION("""COMPUTED_VALUE"""),"TIO")</f>
        <v>TIO</v>
      </c>
      <c r="B515" s="10">
        <f>IFERROR(__xludf.DUMMYFUNCTION("""COMPUTED_VALUE"""),14531.0)</f>
        <v>14531</v>
      </c>
      <c r="C515" s="10"/>
      <c r="D515" s="10"/>
      <c r="E515" s="10"/>
      <c r="F515" s="10"/>
      <c r="G515" s="10"/>
      <c r="H515" s="10"/>
      <c r="I515" s="674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675"/>
      <c r="V515" s="675"/>
    </row>
    <row r="516">
      <c r="A516" s="10" t="str">
        <f>IFERROR(__xludf.DUMMYFUNCTION("""COMPUTED_VALUE"""),"SDU")</f>
        <v>SDU</v>
      </c>
      <c r="B516" s="10">
        <f>IFERROR(__xludf.DUMMYFUNCTION("""COMPUTED_VALUE"""),13963.0)</f>
        <v>13963</v>
      </c>
      <c r="C516" s="10"/>
      <c r="D516" s="10"/>
      <c r="E516" s="10"/>
      <c r="F516" s="10"/>
      <c r="G516" s="10"/>
      <c r="H516" s="10"/>
      <c r="I516" s="674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675"/>
      <c r="V516" s="675"/>
    </row>
    <row r="517">
      <c r="A517" s="10" t="str">
        <f>IFERROR(__xludf.DUMMYFUNCTION("""COMPUTED_VALUE"""),"CROCHX")</f>
        <v>CROCHX</v>
      </c>
      <c r="B517" s="10">
        <f>IFERROR(__xludf.DUMMYFUNCTION("""COMPUTED_VALUE"""),1.0)</f>
        <v>1</v>
      </c>
      <c r="C517" s="10"/>
      <c r="D517" s="10"/>
      <c r="E517" s="10"/>
      <c r="F517" s="10"/>
      <c r="G517" s="10"/>
      <c r="H517" s="10"/>
      <c r="I517" s="674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675"/>
      <c r="V517" s="675"/>
    </row>
    <row r="518">
      <c r="A518" s="10" t="str">
        <f>IFERROR(__xludf.DUMMYFUNCTION("""COMPUTED_VALUE"""),"FWN")</f>
        <v>FWN</v>
      </c>
      <c r="B518" s="10">
        <f>IFERROR(__xludf.DUMMYFUNCTION("""COMPUTED_VALUE"""),14175.0)</f>
        <v>14175</v>
      </c>
      <c r="C518" s="10"/>
      <c r="D518" s="10"/>
      <c r="E518" s="10"/>
      <c r="F518" s="10"/>
      <c r="G518" s="10"/>
      <c r="H518" s="10"/>
      <c r="I518" s="674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675"/>
      <c r="V518" s="675"/>
    </row>
    <row r="519">
      <c r="A519" s="10" t="str">
        <f>IFERROR(__xludf.DUMMYFUNCTION("""COMPUTED_VALUE"""),"OMAREE")</f>
        <v>OMAREE</v>
      </c>
      <c r="B519" s="10">
        <f>IFERROR(__xludf.DUMMYFUNCTION("""COMPUTED_VALUE"""),12227.0)</f>
        <v>12227</v>
      </c>
      <c r="C519" s="10"/>
      <c r="D519" s="10"/>
      <c r="E519" s="10"/>
      <c r="F519" s="10"/>
      <c r="G519" s="10"/>
      <c r="H519" s="10"/>
      <c r="I519" s="674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675"/>
      <c r="V519" s="675"/>
    </row>
    <row r="520">
      <c r="A520" s="10" t="str">
        <f>IFERROR(__xludf.DUMMYFUNCTION("""COMPUTED_VALUE"""),"VENX")</f>
        <v>VENX</v>
      </c>
      <c r="B520" s="10">
        <f>IFERROR(__xludf.DUMMYFUNCTION("""COMPUTED_VALUE"""),1.0)</f>
        <v>1</v>
      </c>
      <c r="C520" s="10"/>
      <c r="D520" s="10"/>
      <c r="E520" s="10"/>
      <c r="F520" s="10"/>
      <c r="G520" s="10"/>
      <c r="H520" s="10"/>
      <c r="I520" s="674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675"/>
      <c r="V520" s="675"/>
    </row>
    <row r="521">
      <c r="A521" s="10" t="str">
        <f>IFERROR(__xludf.DUMMYFUNCTION("""COMPUTED_VALUE"""),"UAEGO")</f>
        <v>UAEGO</v>
      </c>
      <c r="B521" s="10">
        <f>IFERROR(__xludf.DUMMYFUNCTION("""COMPUTED_VALUE"""),283.0)</f>
        <v>283</v>
      </c>
      <c r="C521" s="10"/>
      <c r="D521" s="10"/>
      <c r="E521" s="10"/>
      <c r="F521" s="10"/>
      <c r="G521" s="10"/>
      <c r="H521" s="10"/>
      <c r="I521" s="674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</row>
    <row r="522">
      <c r="A522" s="10" t="str">
        <f>IFERROR(__xludf.DUMMYFUNCTION("""COMPUTED_VALUE"""),"QAR")</f>
        <v>QAR</v>
      </c>
      <c r="B522" s="10">
        <f>IFERROR(__xludf.DUMMYFUNCTION("""COMPUTED_VALUE"""),14332.0)</f>
        <v>14332</v>
      </c>
      <c r="C522" s="10"/>
      <c r="D522" s="10"/>
      <c r="E522" s="10"/>
      <c r="F522" s="10"/>
      <c r="G522" s="10"/>
      <c r="H522" s="10"/>
      <c r="I522" s="674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675"/>
      <c r="V522" s="675"/>
    </row>
    <row r="523">
      <c r="A523" s="10" t="str">
        <f>IFERROR(__xludf.DUMMYFUNCTION("""COMPUTED_VALUE"""),"HARB")</f>
        <v>HARB</v>
      </c>
      <c r="B523" s="10">
        <f>IFERROR(__xludf.DUMMYFUNCTION("""COMPUTED_VALUE"""),1.0)</f>
        <v>1</v>
      </c>
      <c r="C523" s="10"/>
      <c r="D523" s="10"/>
      <c r="E523" s="10"/>
      <c r="F523" s="10"/>
      <c r="G523" s="10"/>
      <c r="H523" s="10"/>
      <c r="I523" s="674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675"/>
      <c r="V523" s="675"/>
    </row>
    <row r="524">
      <c r="A524" s="10" t="str">
        <f>IFERROR(__xludf.DUMMYFUNCTION("""COMPUTED_VALUE"""),"GHAIDAA")</f>
        <v>GHAIDAA</v>
      </c>
      <c r="B524" s="10">
        <f>IFERROR(__xludf.DUMMYFUNCTION("""COMPUTED_VALUE"""),14220.0)</f>
        <v>14220</v>
      </c>
      <c r="C524" s="10"/>
      <c r="D524" s="10"/>
      <c r="E524" s="10"/>
      <c r="F524" s="10"/>
      <c r="G524" s="10"/>
      <c r="H524" s="10"/>
      <c r="I524" s="674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675"/>
      <c r="V524" s="675"/>
    </row>
    <row r="525">
      <c r="A525" s="10" t="str">
        <f>IFERROR(__xludf.DUMMYFUNCTION("""COMPUTED_VALUE"""),"MOAM")</f>
        <v>MOAM</v>
      </c>
      <c r="B525" s="10">
        <f>IFERROR(__xludf.DUMMYFUNCTION("""COMPUTED_VALUE"""),1.0)</f>
        <v>1</v>
      </c>
      <c r="C525" s="10"/>
      <c r="D525" s="10"/>
      <c r="E525" s="10"/>
      <c r="F525" s="10"/>
      <c r="G525" s="10"/>
      <c r="H525" s="10"/>
      <c r="I525" s="674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675"/>
      <c r="V525" s="675"/>
    </row>
    <row r="526">
      <c r="A526" s="10" t="str">
        <f>IFERROR(__xludf.DUMMYFUNCTION("""COMPUTED_VALUE"""),"IOU")</f>
        <v>IOU</v>
      </c>
      <c r="B526" s="10">
        <f>IFERROR(__xludf.DUMMYFUNCTION("""COMPUTED_VALUE"""),14211.0)</f>
        <v>14211</v>
      </c>
      <c r="C526" s="10"/>
      <c r="D526" s="10"/>
      <c r="E526" s="10"/>
      <c r="F526" s="10"/>
      <c r="G526" s="10"/>
      <c r="H526" s="10"/>
      <c r="I526" s="674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</row>
    <row r="527">
      <c r="A527" s="10" t="str">
        <f>IFERROR(__xludf.DUMMYFUNCTION("""COMPUTED_VALUE"""),"LODYX")</f>
        <v>LODYX</v>
      </c>
      <c r="B527" s="10">
        <f>IFERROR(__xludf.DUMMYFUNCTION("""COMPUTED_VALUE"""),14372.0)</f>
        <v>14372</v>
      </c>
      <c r="C527" s="10"/>
      <c r="D527" s="10"/>
      <c r="E527" s="10"/>
      <c r="F527" s="10"/>
      <c r="G527" s="10"/>
      <c r="H527" s="10"/>
      <c r="I527" s="674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</row>
    <row r="528">
      <c r="A528" s="10" t="str">
        <f>IFERROR(__xludf.DUMMYFUNCTION("""COMPUTED_VALUE"""),"DRSAMX")</f>
        <v>DRSAMX</v>
      </c>
      <c r="B528" s="10">
        <f>IFERROR(__xludf.DUMMYFUNCTION("""COMPUTED_VALUE"""),1.0)</f>
        <v>1</v>
      </c>
      <c r="C528" s="10"/>
      <c r="D528" s="10"/>
      <c r="E528" s="10"/>
      <c r="F528" s="10"/>
      <c r="G528" s="10"/>
      <c r="H528" s="10"/>
      <c r="I528" s="674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675"/>
      <c r="V528" s="675"/>
    </row>
    <row r="529">
      <c r="A529" s="10" t="str">
        <f>IFERROR(__xludf.DUMMYFUNCTION("""COMPUTED_VALUE"""),"DAKH")</f>
        <v>DAKH</v>
      </c>
      <c r="B529" s="10">
        <f>IFERROR(__xludf.DUMMYFUNCTION("""COMPUTED_VALUE"""),1.0)</f>
        <v>1</v>
      </c>
      <c r="C529" s="10"/>
      <c r="D529" s="10"/>
      <c r="E529" s="10"/>
      <c r="F529" s="10"/>
      <c r="G529" s="10"/>
      <c r="H529" s="10"/>
      <c r="I529" s="674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675"/>
      <c r="V529" s="675"/>
    </row>
    <row r="530">
      <c r="A530" s="10" t="str">
        <f>IFERROR(__xludf.DUMMYFUNCTION("""COMPUTED_VALUE"""),"HALAL")</f>
        <v>HALAL</v>
      </c>
      <c r="B530" s="10">
        <f>IFERROR(__xludf.DUMMYFUNCTION("""COMPUTED_VALUE"""),10051.0)</f>
        <v>10051</v>
      </c>
      <c r="C530" s="10"/>
      <c r="D530" s="10"/>
      <c r="E530" s="10"/>
      <c r="F530" s="10"/>
      <c r="G530" s="10"/>
      <c r="H530" s="10"/>
      <c r="I530" s="674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675"/>
      <c r="V530" s="675"/>
    </row>
    <row r="531">
      <c r="A531" s="10" t="str">
        <f>IFERROR(__xludf.DUMMYFUNCTION("""COMPUTED_VALUE"""),"VZOLX")</f>
        <v>VZOLX</v>
      </c>
      <c r="B531" s="10">
        <f>IFERROR(__xludf.DUMMYFUNCTION("""COMPUTED_VALUE"""),14309.0)</f>
        <v>14309</v>
      </c>
      <c r="C531" s="10"/>
      <c r="D531" s="10"/>
      <c r="E531" s="10"/>
      <c r="F531" s="10"/>
      <c r="G531" s="10"/>
      <c r="H531" s="10"/>
      <c r="I531" s="674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675"/>
      <c r="V531" s="675"/>
    </row>
    <row r="532">
      <c r="A532" s="10" t="str">
        <f>IFERROR(__xludf.DUMMYFUNCTION("""COMPUTED_VALUE"""),"OFFERSD")</f>
        <v>OFFERSD</v>
      </c>
      <c r="B532" s="10">
        <f>IFERROR(__xludf.DUMMYFUNCTION("""COMPUTED_VALUE"""),6947.0)</f>
        <v>6947</v>
      </c>
      <c r="C532" s="10"/>
      <c r="D532" s="10"/>
      <c r="E532" s="10"/>
      <c r="F532" s="10"/>
      <c r="G532" s="10"/>
      <c r="H532" s="10"/>
      <c r="I532" s="674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675"/>
      <c r="V532" s="675"/>
    </row>
    <row r="533">
      <c r="A533" s="10" t="str">
        <f>IFERROR(__xludf.DUMMYFUNCTION("""COMPUTED_VALUE"""),"SAFX")</f>
        <v>SAFX</v>
      </c>
      <c r="B533" s="10">
        <f>IFERROR(__xludf.DUMMYFUNCTION("""COMPUTED_VALUE"""),13879.0)</f>
        <v>13879</v>
      </c>
      <c r="C533" s="10"/>
      <c r="D533" s="10"/>
      <c r="E533" s="10"/>
      <c r="F533" s="10"/>
      <c r="G533" s="10"/>
      <c r="H533" s="10"/>
      <c r="I533" s="674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675"/>
      <c r="V533" s="675"/>
    </row>
    <row r="534">
      <c r="A534" s="10" t="str">
        <f>IFERROR(__xludf.DUMMYFUNCTION("""COMPUTED_VALUE"""),"AMRO")</f>
        <v>AMRO</v>
      </c>
      <c r="B534" s="10">
        <f>IFERROR(__xludf.DUMMYFUNCTION("""COMPUTED_VALUE"""),10043.0)</f>
        <v>10043</v>
      </c>
      <c r="C534" s="10"/>
      <c r="D534" s="10"/>
      <c r="E534" s="10"/>
      <c r="F534" s="10"/>
      <c r="G534" s="10"/>
      <c r="H534" s="10"/>
      <c r="I534" s="674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675"/>
      <c r="V534" s="675"/>
    </row>
    <row r="535">
      <c r="A535" s="10" t="str">
        <f>IFERROR(__xludf.DUMMYFUNCTION("""COMPUTED_VALUE"""),"YASOOM")</f>
        <v>YASOOM</v>
      </c>
      <c r="B535" s="10">
        <f>IFERROR(__xludf.DUMMYFUNCTION("""COMPUTED_VALUE"""),14417.0)</f>
        <v>14417</v>
      </c>
      <c r="C535" s="10"/>
      <c r="D535" s="10"/>
      <c r="E535" s="10"/>
      <c r="F535" s="10"/>
      <c r="G535" s="10"/>
      <c r="H535" s="10"/>
      <c r="I535" s="674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675"/>
      <c r="V535" s="675"/>
    </row>
    <row r="536">
      <c r="A536" s="10" t="str">
        <f>IFERROR(__xludf.DUMMYFUNCTION("""COMPUTED_VALUE"""),"LIVR")</f>
        <v>LIVR</v>
      </c>
      <c r="B536" s="10">
        <f>IFERROR(__xludf.DUMMYFUNCTION("""COMPUTED_VALUE"""),14306.0)</f>
        <v>14306</v>
      </c>
      <c r="C536" s="10"/>
      <c r="D536" s="10"/>
      <c r="E536" s="10"/>
      <c r="F536" s="10"/>
      <c r="G536" s="10"/>
      <c r="H536" s="10"/>
      <c r="I536" s="674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675"/>
      <c r="V536" s="675"/>
    </row>
    <row r="537">
      <c r="A537" s="10" t="str">
        <f>IFERROR(__xludf.DUMMYFUNCTION("""COMPUTED_VALUE"""),"ALON")</f>
        <v>ALON</v>
      </c>
      <c r="B537" s="10">
        <f>IFERROR(__xludf.DUMMYFUNCTION("""COMPUTED_VALUE"""),1.0)</f>
        <v>1</v>
      </c>
      <c r="C537" s="10"/>
      <c r="D537" s="10"/>
      <c r="E537" s="10"/>
      <c r="F537" s="10"/>
      <c r="G537" s="10"/>
      <c r="H537" s="10"/>
      <c r="I537" s="674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675"/>
      <c r="V537" s="675"/>
    </row>
    <row r="538">
      <c r="A538" s="10" t="str">
        <f>IFERROR(__xludf.DUMMYFUNCTION("""COMPUTED_VALUE"""),"ALJAWX")</f>
        <v>ALJAWX</v>
      </c>
      <c r="B538" s="10">
        <f>IFERROR(__xludf.DUMMYFUNCTION("""COMPUTED_VALUE"""),14006.0)</f>
        <v>14006</v>
      </c>
      <c r="C538" s="10"/>
      <c r="D538" s="10"/>
      <c r="E538" s="10"/>
      <c r="F538" s="10"/>
      <c r="G538" s="10"/>
      <c r="H538" s="10"/>
      <c r="I538" s="674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675"/>
      <c r="V538" s="675"/>
    </row>
    <row r="539">
      <c r="A539" s="10" t="str">
        <f>IFERROR(__xludf.DUMMYFUNCTION("""COMPUTED_VALUE"""),"REVA")</f>
        <v>REVA</v>
      </c>
      <c r="B539" s="10">
        <f>IFERROR(__xludf.DUMMYFUNCTION("""COMPUTED_VALUE"""),14150.0)</f>
        <v>14150</v>
      </c>
      <c r="C539" s="10"/>
      <c r="D539" s="10"/>
      <c r="E539" s="10"/>
      <c r="F539" s="10"/>
      <c r="G539" s="10"/>
      <c r="H539" s="10"/>
      <c r="I539" s="674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675"/>
      <c r="V539" s="675"/>
    </row>
    <row r="540">
      <c r="A540" s="10" t="str">
        <f>IFERROR(__xludf.DUMMYFUNCTION("""COMPUTED_VALUE"""),"XCO")</f>
        <v>XCO</v>
      </c>
      <c r="B540" s="10">
        <f>IFERROR(__xludf.DUMMYFUNCTION("""COMPUTED_VALUE"""),1.0)</f>
        <v>1</v>
      </c>
      <c r="C540" s="10"/>
      <c r="D540" s="10"/>
      <c r="E540" s="10"/>
      <c r="F540" s="10"/>
      <c r="G540" s="10"/>
      <c r="H540" s="10"/>
      <c r="I540" s="674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675"/>
      <c r="V540" s="675"/>
    </row>
    <row r="541">
      <c r="A541" s="10" t="str">
        <f>IFERROR(__xludf.DUMMYFUNCTION("""COMPUTED_VALUE"""),"IBAX")</f>
        <v>IBAX</v>
      </c>
      <c r="B541" s="10">
        <f>IFERROR(__xludf.DUMMYFUNCTION("""COMPUTED_VALUE"""),13921.0)</f>
        <v>13921</v>
      </c>
      <c r="C541" s="10"/>
      <c r="D541" s="10"/>
      <c r="E541" s="10"/>
      <c r="F541" s="10"/>
      <c r="G541" s="10"/>
      <c r="H541" s="10"/>
      <c r="I541" s="674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675"/>
      <c r="V541" s="675"/>
    </row>
    <row r="542">
      <c r="A542" s="10" t="str">
        <f>IFERROR(__xludf.DUMMYFUNCTION("""COMPUTED_VALUE"""),"VCR")</f>
        <v>VCR</v>
      </c>
      <c r="B542" s="10">
        <f>IFERROR(__xludf.DUMMYFUNCTION("""COMPUTED_VALUE"""),13319.0)</f>
        <v>13319</v>
      </c>
      <c r="C542" s="10"/>
      <c r="D542" s="10"/>
      <c r="E542" s="10"/>
      <c r="F542" s="10"/>
      <c r="G542" s="10"/>
      <c r="H542" s="10"/>
      <c r="I542" s="674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675"/>
      <c r="V542" s="675"/>
    </row>
    <row r="543">
      <c r="A543" s="10" t="str">
        <f>IFERROR(__xludf.DUMMYFUNCTION("""COMPUTED_VALUE"""),"IIRA")</f>
        <v>IIRA</v>
      </c>
      <c r="B543" s="10">
        <f>IFERROR(__xludf.DUMMYFUNCTION("""COMPUTED_VALUE"""),12252.0)</f>
        <v>12252</v>
      </c>
      <c r="C543" s="10"/>
      <c r="D543" s="10"/>
      <c r="E543" s="10"/>
      <c r="F543" s="10"/>
      <c r="G543" s="10"/>
      <c r="H543" s="10"/>
      <c r="I543" s="674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675"/>
      <c r="V543" s="675"/>
    </row>
    <row r="544">
      <c r="A544" s="10" t="str">
        <f>IFERROR(__xludf.DUMMYFUNCTION("""COMPUTED_VALUE"""),"DOK")</f>
        <v>DOK</v>
      </c>
      <c r="B544" s="10">
        <f>IFERROR(__xludf.DUMMYFUNCTION("""COMPUTED_VALUE"""),13939.0)</f>
        <v>13939</v>
      </c>
      <c r="C544" s="10"/>
      <c r="D544" s="10"/>
      <c r="E544" s="10"/>
      <c r="F544" s="10"/>
      <c r="G544" s="10"/>
      <c r="H544" s="10"/>
      <c r="I544" s="674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675"/>
      <c r="V544" s="675"/>
    </row>
    <row r="545">
      <c r="A545" s="10" t="str">
        <f>IFERROR(__xludf.DUMMYFUNCTION("""COMPUTED_VALUE"""),"KAUR")</f>
        <v>KAUR</v>
      </c>
      <c r="B545" s="10">
        <f>IFERROR(__xludf.DUMMYFUNCTION("""COMPUTED_VALUE"""),9715.0)</f>
        <v>9715</v>
      </c>
      <c r="C545" s="10"/>
      <c r="D545" s="10"/>
      <c r="E545" s="10"/>
      <c r="F545" s="10"/>
      <c r="G545" s="10"/>
      <c r="H545" s="10"/>
      <c r="I545" s="674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675"/>
      <c r="V545" s="675"/>
    </row>
    <row r="546">
      <c r="A546" s="10" t="str">
        <f>IFERROR(__xludf.DUMMYFUNCTION("""COMPUTED_VALUE"""),"NAJAH")</f>
        <v>NAJAH</v>
      </c>
      <c r="B546" s="10">
        <f>IFERROR(__xludf.DUMMYFUNCTION("""COMPUTED_VALUE"""),12157.0)</f>
        <v>12157</v>
      </c>
      <c r="C546" s="10"/>
      <c r="D546" s="10"/>
      <c r="E546" s="10"/>
      <c r="F546" s="10"/>
      <c r="G546" s="10"/>
      <c r="H546" s="10"/>
      <c r="I546" s="674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675"/>
      <c r="V546" s="675"/>
    </row>
    <row r="547">
      <c r="A547" s="10" t="str">
        <f>IFERROR(__xludf.DUMMYFUNCTION("""COMPUTED_VALUE"""),"VVI")</f>
        <v>VVI</v>
      </c>
      <c r="B547" s="10">
        <f>IFERROR(__xludf.DUMMYFUNCTION("""COMPUTED_VALUE"""),12163.0)</f>
        <v>12163</v>
      </c>
      <c r="C547" s="10"/>
      <c r="D547" s="10"/>
      <c r="E547" s="10"/>
      <c r="F547" s="10"/>
      <c r="G547" s="10"/>
      <c r="H547" s="10"/>
      <c r="I547" s="674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675"/>
      <c r="V547" s="675"/>
    </row>
    <row r="548">
      <c r="A548" s="10" t="str">
        <f>IFERROR(__xludf.DUMMYFUNCTION("""COMPUTED_VALUE"""),"MOHVQFK")</f>
        <v>MOHVQFK</v>
      </c>
      <c r="B548" s="10">
        <f>IFERROR(__xludf.DUMMYFUNCTION("""COMPUTED_VALUE"""),1.0)</f>
        <v>1</v>
      </c>
      <c r="C548" s="10"/>
      <c r="D548" s="10"/>
      <c r="E548" s="10"/>
      <c r="F548" s="10"/>
      <c r="G548" s="10"/>
      <c r="H548" s="10"/>
      <c r="I548" s="674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675"/>
      <c r="V548" s="675"/>
    </row>
    <row r="549">
      <c r="A549" s="10" t="str">
        <f>IFERROR(__xludf.DUMMYFUNCTION("""COMPUTED_VALUE"""),"ASMAHA")</f>
        <v>ASMAHA</v>
      </c>
      <c r="B549" s="10">
        <f>IFERROR(__xludf.DUMMYFUNCTION("""COMPUTED_VALUE"""),9612.0)</f>
        <v>9612</v>
      </c>
      <c r="C549" s="10"/>
      <c r="D549" s="10"/>
      <c r="E549" s="10"/>
      <c r="F549" s="10"/>
      <c r="G549" s="10"/>
      <c r="H549" s="10"/>
      <c r="I549" s="674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675"/>
      <c r="V549" s="675"/>
    </row>
    <row r="550">
      <c r="A550" s="10" t="str">
        <f>IFERROR(__xludf.DUMMYFUNCTION("""COMPUTED_VALUE"""),"OMZ")</f>
        <v>OMZ</v>
      </c>
      <c r="B550" s="10">
        <f>IFERROR(__xludf.DUMMYFUNCTION("""COMPUTED_VALUE"""),14483.0)</f>
        <v>14483</v>
      </c>
      <c r="C550" s="10"/>
      <c r="D550" s="10"/>
      <c r="E550" s="10"/>
      <c r="F550" s="10"/>
      <c r="G550" s="10"/>
      <c r="H550" s="10"/>
      <c r="I550" s="674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675"/>
      <c r="V550" s="675"/>
    </row>
    <row r="551">
      <c r="A551" s="10" t="str">
        <f>IFERROR(__xludf.DUMMYFUNCTION("""COMPUTED_VALUE"""),"VIPV")</f>
        <v>VIPV</v>
      </c>
      <c r="B551" s="10">
        <f>IFERROR(__xludf.DUMMYFUNCTION("""COMPUTED_VALUE"""),1.0)</f>
        <v>1</v>
      </c>
      <c r="C551" s="10"/>
      <c r="D551" s="10"/>
      <c r="E551" s="10"/>
      <c r="F551" s="10"/>
      <c r="G551" s="10"/>
      <c r="H551" s="10"/>
      <c r="I551" s="674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675"/>
      <c r="V551" s="675"/>
    </row>
    <row r="552">
      <c r="A552" s="10" t="str">
        <f>IFERROR(__xludf.DUMMYFUNCTION("""COMPUTED_VALUE"""),"BEAUTYK")</f>
        <v>BEAUTYK</v>
      </c>
      <c r="B552" s="10">
        <f>IFERROR(__xludf.DUMMYFUNCTION("""COMPUTED_VALUE"""),6675.0)</f>
        <v>6675</v>
      </c>
      <c r="C552" s="10"/>
      <c r="D552" s="10"/>
      <c r="E552" s="10"/>
      <c r="F552" s="10"/>
      <c r="G552" s="10"/>
      <c r="H552" s="10"/>
      <c r="I552" s="674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675"/>
      <c r="V552" s="675"/>
    </row>
    <row r="553">
      <c r="A553" s="10" t="str">
        <f>IFERROR(__xludf.DUMMYFUNCTION("""COMPUTED_VALUE"""),"DANAHAA")</f>
        <v>DANAHAA</v>
      </c>
      <c r="B553" s="10">
        <f>IFERROR(__xludf.DUMMYFUNCTION("""COMPUTED_VALUE"""),1.0)</f>
        <v>1</v>
      </c>
      <c r="C553" s="10"/>
      <c r="D553" s="10"/>
      <c r="E553" s="10"/>
      <c r="F553" s="10"/>
      <c r="G553" s="10"/>
      <c r="H553" s="10"/>
      <c r="I553" s="674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675"/>
      <c r="V553" s="675"/>
    </row>
    <row r="554">
      <c r="A554" s="10" t="str">
        <f>IFERROR(__xludf.DUMMYFUNCTION("""COMPUTED_VALUE"""),"HXX")</f>
        <v>HXX</v>
      </c>
      <c r="B554" s="10">
        <f>IFERROR(__xludf.DUMMYFUNCTION("""COMPUTED_VALUE"""),12241.0)</f>
        <v>12241</v>
      </c>
      <c r="C554" s="10"/>
      <c r="D554" s="10"/>
      <c r="E554" s="10"/>
      <c r="F554" s="10"/>
      <c r="G554" s="10"/>
      <c r="H554" s="10"/>
      <c r="I554" s="674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675"/>
      <c r="V554" s="675"/>
    </row>
    <row r="555">
      <c r="A555" s="10" t="str">
        <f>IFERROR(__xludf.DUMMYFUNCTION("""COMPUTED_VALUE"""),"IHV")</f>
        <v>IHV</v>
      </c>
      <c r="B555" s="10">
        <f>IFERROR(__xludf.DUMMYFUNCTION("""COMPUTED_VALUE"""),14407.0)</f>
        <v>14407</v>
      </c>
      <c r="C555" s="10"/>
      <c r="D555" s="10"/>
      <c r="E555" s="10"/>
      <c r="F555" s="10"/>
      <c r="G555" s="10"/>
      <c r="H555" s="10"/>
      <c r="I555" s="674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675"/>
      <c r="V555" s="675"/>
    </row>
    <row r="556">
      <c r="A556" s="10" t="str">
        <f>IFERROR(__xludf.DUMMYFUNCTION("""COMPUTED_VALUE"""),"TODAYFM")</f>
        <v>TODAYFM</v>
      </c>
      <c r="B556" s="10">
        <f>IFERROR(__xludf.DUMMYFUNCTION("""COMPUTED_VALUE"""),9709.0)</f>
        <v>9709</v>
      </c>
      <c r="C556" s="10"/>
      <c r="D556" s="10"/>
      <c r="E556" s="10"/>
      <c r="F556" s="10"/>
      <c r="G556" s="10"/>
      <c r="H556" s="10"/>
      <c r="I556" s="674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675"/>
      <c r="V556" s="675"/>
    </row>
    <row r="557">
      <c r="A557" s="10" t="str">
        <f>IFERROR(__xludf.DUMMYFUNCTION("""COMPUTED_VALUE"""),"HAGG")</f>
        <v>HAGG</v>
      </c>
      <c r="B557" s="10">
        <f>IFERROR(__xludf.DUMMYFUNCTION("""COMPUTED_VALUE"""),1.0)</f>
        <v>1</v>
      </c>
      <c r="C557" s="10"/>
      <c r="D557" s="10"/>
      <c r="E557" s="10"/>
      <c r="F557" s="10"/>
      <c r="G557" s="10"/>
      <c r="H557" s="10"/>
      <c r="I557" s="674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675"/>
      <c r="V557" s="675"/>
    </row>
    <row r="558">
      <c r="A558" s="10" t="str">
        <f>IFERROR(__xludf.DUMMYFUNCTION("""COMPUTED_VALUE"""),"HAFX")</f>
        <v>HAFX</v>
      </c>
      <c r="B558" s="10">
        <f>IFERROR(__xludf.DUMMYFUNCTION("""COMPUTED_VALUE"""),14303.0)</f>
        <v>14303</v>
      </c>
      <c r="C558" s="10"/>
      <c r="D558" s="10"/>
      <c r="E558" s="10"/>
      <c r="F558" s="10"/>
      <c r="G558" s="10"/>
      <c r="H558" s="10"/>
      <c r="I558" s="674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675"/>
      <c r="V558" s="675"/>
    </row>
    <row r="559">
      <c r="A559" s="10" t="str">
        <f>IFERROR(__xludf.DUMMYFUNCTION("""COMPUTED_VALUE"""),"HOTC")</f>
        <v>HOTC</v>
      </c>
      <c r="B559" s="10">
        <f>IFERROR(__xludf.DUMMYFUNCTION("""COMPUTED_VALUE"""),12499.0)</f>
        <v>12499</v>
      </c>
      <c r="C559" s="10"/>
      <c r="D559" s="10"/>
      <c r="E559" s="10"/>
      <c r="F559" s="10"/>
      <c r="G559" s="10"/>
      <c r="H559" s="10"/>
      <c r="I559" s="674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675"/>
      <c r="V559" s="675"/>
    </row>
    <row r="560">
      <c r="A560" s="10" t="str">
        <f>IFERROR(__xludf.DUMMYFUNCTION("""COMPUTED_VALUE"""),"IOD")</f>
        <v>IOD</v>
      </c>
      <c r="B560" s="10">
        <f>IFERROR(__xludf.DUMMYFUNCTION("""COMPUTED_VALUE"""),10058.0)</f>
        <v>10058</v>
      </c>
      <c r="C560" s="10"/>
      <c r="D560" s="10"/>
      <c r="E560" s="10"/>
      <c r="F560" s="10"/>
      <c r="G560" s="10"/>
      <c r="H560" s="10"/>
      <c r="I560" s="674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675"/>
      <c r="V560" s="675"/>
    </row>
    <row r="561">
      <c r="A561" s="10" t="str">
        <f>IFERROR(__xludf.DUMMYFUNCTION("""COMPUTED_VALUE"""),"MARYAMAZZ")</f>
        <v>MARYAMAZZ</v>
      </c>
      <c r="B561" s="10">
        <f>IFERROR(__xludf.DUMMYFUNCTION("""COMPUTED_VALUE"""),1.0)</f>
        <v>1</v>
      </c>
      <c r="C561" s="10"/>
      <c r="D561" s="10"/>
      <c r="E561" s="10"/>
      <c r="F561" s="10"/>
      <c r="G561" s="10"/>
      <c r="H561" s="10"/>
      <c r="I561" s="674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675"/>
      <c r="V561" s="675"/>
    </row>
    <row r="562">
      <c r="A562" s="10" t="str">
        <f>IFERROR(__xludf.DUMMYFUNCTION("""COMPUTED_VALUE"""),"REIII")</f>
        <v>REIII</v>
      </c>
      <c r="B562" s="10">
        <f>IFERROR(__xludf.DUMMYFUNCTION("""COMPUTED_VALUE"""),14378.0)</f>
        <v>14378</v>
      </c>
      <c r="C562" s="10"/>
      <c r="D562" s="10"/>
      <c r="E562" s="10"/>
      <c r="F562" s="10"/>
      <c r="G562" s="10"/>
      <c r="H562" s="10"/>
      <c r="I562" s="674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675"/>
      <c r="V562" s="675"/>
    </row>
    <row r="563">
      <c r="A563" s="10" t="str">
        <f>IFERROR(__xludf.DUMMYFUNCTION("""COMPUTED_VALUE"""),"ONEEX")</f>
        <v>ONEEX</v>
      </c>
      <c r="B563" s="10">
        <f>IFERROR(__xludf.DUMMYFUNCTION("""COMPUTED_VALUE"""),1.0)</f>
        <v>1</v>
      </c>
      <c r="C563" s="10"/>
      <c r="D563" s="10"/>
      <c r="E563" s="10"/>
      <c r="F563" s="10"/>
      <c r="G563" s="10"/>
      <c r="H563" s="10"/>
      <c r="I563" s="674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675"/>
      <c r="V563" s="675"/>
    </row>
    <row r="564">
      <c r="A564" s="10" t="str">
        <f>IFERROR(__xludf.DUMMYFUNCTION("""COMPUTED_VALUE"""),"UAEST")</f>
        <v>UAEST</v>
      </c>
      <c r="B564" s="10">
        <f>IFERROR(__xludf.DUMMYFUNCTION("""COMPUTED_VALUE"""),12148.0)</f>
        <v>12148</v>
      </c>
      <c r="C564" s="10"/>
      <c r="D564" s="10"/>
      <c r="E564" s="10"/>
      <c r="F564" s="10"/>
      <c r="G564" s="10"/>
      <c r="H564" s="10"/>
      <c r="I564" s="674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675"/>
      <c r="V564" s="675"/>
    </row>
    <row r="565">
      <c r="A565" s="10" t="str">
        <f>IFERROR(__xludf.DUMMYFUNCTION("""COMPUTED_VALUE"""),"MRSS")</f>
        <v>MRSS</v>
      </c>
      <c r="B565" s="10">
        <f>IFERROR(__xludf.DUMMYFUNCTION("""COMPUTED_VALUE"""),13996.0)</f>
        <v>13996</v>
      </c>
      <c r="C565" s="10"/>
      <c r="D565" s="10"/>
      <c r="E565" s="10"/>
      <c r="F565" s="10"/>
      <c r="G565" s="10"/>
      <c r="H565" s="10"/>
      <c r="I565" s="674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675"/>
      <c r="V565" s="675"/>
    </row>
    <row r="566">
      <c r="A566" s="10" t="str">
        <f>IFERROR(__xludf.DUMMYFUNCTION("""COMPUTED_VALUE"""),"COFFEEL")</f>
        <v>COFFEEL</v>
      </c>
      <c r="B566" s="10">
        <f>IFERROR(__xludf.DUMMYFUNCTION("""COMPUTED_VALUE"""),13315.0)</f>
        <v>13315</v>
      </c>
      <c r="C566" s="10"/>
      <c r="D566" s="10"/>
      <c r="E566" s="10"/>
      <c r="F566" s="10"/>
      <c r="G566" s="10"/>
      <c r="H566" s="10"/>
      <c r="I566" s="674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675"/>
      <c r="V566" s="675"/>
    </row>
    <row r="567">
      <c r="A567" s="10" t="str">
        <f>IFERROR(__xludf.DUMMYFUNCTION("""COMPUTED_VALUE"""),"AMIYYDC")</f>
        <v>AMIYYDC</v>
      </c>
      <c r="B567" s="10">
        <f>IFERROR(__xludf.DUMMYFUNCTION("""COMPUTED_VALUE"""),14139.0)</f>
        <v>14139</v>
      </c>
      <c r="C567" s="10"/>
      <c r="D567" s="10"/>
      <c r="E567" s="10"/>
      <c r="F567" s="10"/>
      <c r="G567" s="10"/>
      <c r="H567" s="10"/>
      <c r="I567" s="674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675"/>
      <c r="V567" s="675"/>
    </row>
    <row r="568">
      <c r="A568" s="10" t="str">
        <f>IFERROR(__xludf.DUMMYFUNCTION("""COMPUTED_VALUE"""),"AIISH")</f>
        <v>AIISH</v>
      </c>
      <c r="B568" s="10">
        <f>IFERROR(__xludf.DUMMYFUNCTION("""COMPUTED_VALUE"""),14405.0)</f>
        <v>14405</v>
      </c>
      <c r="C568" s="10"/>
      <c r="D568" s="10"/>
      <c r="E568" s="10"/>
      <c r="F568" s="10"/>
      <c r="G568" s="10"/>
      <c r="H568" s="10"/>
      <c r="I568" s="674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675"/>
      <c r="V568" s="675"/>
    </row>
    <row r="569">
      <c r="A569" s="10" t="str">
        <f>IFERROR(__xludf.DUMMYFUNCTION("""COMPUTED_VALUE"""),"MARIEF")</f>
        <v>MARIEF</v>
      </c>
      <c r="B569" s="10">
        <f>IFERROR(__xludf.DUMMYFUNCTION("""COMPUTED_VALUE"""),1.0)</f>
        <v>1</v>
      </c>
      <c r="C569" s="10"/>
      <c r="D569" s="10"/>
      <c r="E569" s="10"/>
      <c r="F569" s="10"/>
      <c r="G569" s="10"/>
      <c r="H569" s="10"/>
      <c r="I569" s="674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675"/>
      <c r="V569" s="675"/>
    </row>
    <row r="570">
      <c r="A570" s="10" t="str">
        <f>IFERROR(__xludf.DUMMYFUNCTION("""COMPUTED_VALUE"""),"JUDYR")</f>
        <v>JUDYR</v>
      </c>
      <c r="B570" s="10">
        <f>IFERROR(__xludf.DUMMYFUNCTION("""COMPUTED_VALUE"""),14054.0)</f>
        <v>14054</v>
      </c>
      <c r="C570" s="10"/>
      <c r="D570" s="10"/>
      <c r="E570" s="10"/>
      <c r="F570" s="10"/>
      <c r="G570" s="10"/>
      <c r="H570" s="10"/>
      <c r="I570" s="674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675"/>
      <c r="V570" s="675"/>
    </row>
    <row r="571">
      <c r="A571" s="10" t="str">
        <f>IFERROR(__xludf.DUMMYFUNCTION("""COMPUTED_VALUE"""),"HANOH")</f>
        <v>HANOH</v>
      </c>
      <c r="B571" s="10">
        <f>IFERROR(__xludf.DUMMYFUNCTION("""COMPUTED_VALUE"""),9659.0)</f>
        <v>9659</v>
      </c>
      <c r="C571" s="10"/>
      <c r="D571" s="10"/>
      <c r="E571" s="10"/>
      <c r="F571" s="10"/>
      <c r="G571" s="10"/>
      <c r="H571" s="10"/>
      <c r="I571" s="674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675"/>
      <c r="V571" s="675"/>
    </row>
    <row r="572">
      <c r="A572" s="10" t="str">
        <f>IFERROR(__xludf.DUMMYFUNCTION("""COMPUTED_VALUE"""),"JOOX")</f>
        <v>JOOX</v>
      </c>
      <c r="B572" s="10">
        <f>IFERROR(__xludf.DUMMYFUNCTION("""COMPUTED_VALUE"""),14396.0)</f>
        <v>14396</v>
      </c>
      <c r="C572" s="10"/>
      <c r="D572" s="10"/>
      <c r="E572" s="10"/>
      <c r="F572" s="10"/>
      <c r="G572" s="10"/>
      <c r="H572" s="10"/>
      <c r="I572" s="674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675"/>
      <c r="V572" s="675"/>
    </row>
    <row r="573">
      <c r="A573" s="10" t="str">
        <f>IFERROR(__xludf.DUMMYFUNCTION("""COMPUTED_VALUE"""),"VAX")</f>
        <v>VAX</v>
      </c>
      <c r="B573" s="10">
        <f>IFERROR(__xludf.DUMMYFUNCTION("""COMPUTED_VALUE"""),14395.0)</f>
        <v>14395</v>
      </c>
      <c r="C573" s="10"/>
      <c r="D573" s="10"/>
      <c r="E573" s="10"/>
      <c r="F573" s="10"/>
      <c r="G573" s="10"/>
      <c r="H573" s="10"/>
      <c r="I573" s="674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675"/>
      <c r="V573" s="675"/>
    </row>
    <row r="574">
      <c r="A574" s="10" t="str">
        <f>IFERROR(__xludf.DUMMYFUNCTION("""COMPUTED_VALUE"""),"MANARXXX")</f>
        <v>MANARXXX</v>
      </c>
      <c r="B574" s="10">
        <f>IFERROR(__xludf.DUMMYFUNCTION("""COMPUTED_VALUE"""),1.0)</f>
        <v>1</v>
      </c>
      <c r="C574" s="10"/>
      <c r="D574" s="10"/>
      <c r="E574" s="10"/>
      <c r="F574" s="10"/>
      <c r="G574" s="10"/>
      <c r="H574" s="10"/>
      <c r="I574" s="674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675"/>
      <c r="V574" s="675"/>
    </row>
    <row r="575">
      <c r="A575" s="10" t="str">
        <f>IFERROR(__xludf.DUMMYFUNCTION("""COMPUTED_VALUE"""),"XNV")</f>
        <v>XNV</v>
      </c>
      <c r="B575" s="10">
        <f>IFERROR(__xludf.DUMMYFUNCTION("""COMPUTED_VALUE"""),13333.0)</f>
        <v>13333</v>
      </c>
      <c r="C575" s="10"/>
      <c r="D575" s="10"/>
      <c r="E575" s="10"/>
      <c r="F575" s="10"/>
      <c r="G575" s="10"/>
      <c r="H575" s="10"/>
      <c r="I575" s="674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675"/>
      <c r="V575" s="675"/>
    </row>
    <row r="576">
      <c r="A576" s="10" t="str">
        <f>IFERROR(__xludf.DUMMYFUNCTION("""COMPUTED_VALUE"""),"BEAYKDM")</f>
        <v>BEAYKDM</v>
      </c>
      <c r="B576" s="10">
        <f>IFERROR(__xludf.DUMMYFUNCTION("""COMPUTED_VALUE"""),1.0)</f>
        <v>1</v>
      </c>
      <c r="C576" s="10"/>
      <c r="D576" s="10"/>
      <c r="E576" s="10"/>
      <c r="F576" s="10"/>
      <c r="G576" s="10"/>
      <c r="H576" s="10"/>
      <c r="I576" s="674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675"/>
      <c r="V576" s="675"/>
    </row>
    <row r="577">
      <c r="A577" s="10" t="str">
        <f>IFERROR(__xludf.DUMMYFUNCTION("""COMPUTED_VALUE"""),"RSHO")</f>
        <v>RSHO</v>
      </c>
      <c r="B577" s="10">
        <f>IFERROR(__xludf.DUMMYFUNCTION("""COMPUTED_VALUE"""),7100.0)</f>
        <v>7100</v>
      </c>
      <c r="C577" s="10"/>
      <c r="D577" s="10"/>
      <c r="E577" s="10"/>
      <c r="F577" s="10"/>
      <c r="G577" s="10"/>
      <c r="H577" s="10"/>
      <c r="I577" s="674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675"/>
      <c r="V577" s="675"/>
    </row>
    <row r="578">
      <c r="A578" s="10" t="str">
        <f>IFERROR(__xludf.DUMMYFUNCTION("""COMPUTED_VALUE"""),"OIO")</f>
        <v>OIO</v>
      </c>
      <c r="B578" s="10">
        <f>IFERROR(__xludf.DUMMYFUNCTION("""COMPUTED_VALUE"""),9813.0)</f>
        <v>9813</v>
      </c>
      <c r="C578" s="10"/>
      <c r="D578" s="10"/>
      <c r="E578" s="10"/>
      <c r="F578" s="10"/>
      <c r="G578" s="10"/>
      <c r="H578" s="10"/>
      <c r="I578" s="674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675"/>
      <c r="V578" s="675"/>
    </row>
    <row r="579">
      <c r="A579" s="10" t="str">
        <f>IFERROR(__xludf.DUMMYFUNCTION("""COMPUTED_VALUE"""),"AZIZ")</f>
        <v>AZIZ</v>
      </c>
      <c r="B579" s="10">
        <f>IFERROR(__xludf.DUMMYFUNCTION("""COMPUTED_VALUE"""),8486.0)</f>
        <v>8486</v>
      </c>
      <c r="C579" s="10"/>
      <c r="D579" s="10"/>
      <c r="E579" s="10"/>
      <c r="F579" s="10"/>
      <c r="G579" s="10"/>
      <c r="H579" s="10"/>
      <c r="I579" s="674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675"/>
      <c r="V579" s="675"/>
    </row>
    <row r="580">
      <c r="A580" s="10" t="str">
        <f>IFERROR(__xludf.DUMMYFUNCTION("""COMPUTED_VALUE"""),"ILLA")</f>
        <v>ILLA</v>
      </c>
      <c r="B580" s="10">
        <f>IFERROR(__xludf.DUMMYFUNCTION("""COMPUTED_VALUE"""),13306.0)</f>
        <v>13306</v>
      </c>
      <c r="C580" s="10"/>
      <c r="D580" s="10"/>
      <c r="E580" s="10"/>
      <c r="F580" s="10"/>
      <c r="G580" s="10"/>
      <c r="H580" s="10"/>
      <c r="I580" s="674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675"/>
      <c r="V580" s="675"/>
    </row>
    <row r="581">
      <c r="A581" s="10" t="str">
        <f>IFERROR(__xludf.DUMMYFUNCTION("""COMPUTED_VALUE"""),"PRIC")</f>
        <v>PRIC</v>
      </c>
      <c r="B581" s="10">
        <f>IFERROR(__xludf.DUMMYFUNCTION("""COMPUTED_VALUE"""),14334.0)</f>
        <v>14334</v>
      </c>
      <c r="C581" s="10"/>
      <c r="D581" s="10"/>
      <c r="E581" s="10"/>
      <c r="F581" s="10"/>
      <c r="G581" s="10"/>
      <c r="H581" s="10"/>
      <c r="I581" s="674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675"/>
      <c r="V581" s="675"/>
    </row>
    <row r="582">
      <c r="A582" s="10" t="str">
        <f>IFERROR(__xludf.DUMMYFUNCTION("""COMPUTED_VALUE"""),"TREBXHJ")</f>
        <v>TREBXHJ</v>
      </c>
      <c r="B582" s="10">
        <f>IFERROR(__xludf.DUMMYFUNCTION("""COMPUTED_VALUE"""),1.0)</f>
        <v>1</v>
      </c>
      <c r="C582" s="10"/>
      <c r="D582" s="10"/>
      <c r="E582" s="10"/>
      <c r="F582" s="10"/>
      <c r="G582" s="10"/>
      <c r="H582" s="10"/>
      <c r="I582" s="674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675"/>
      <c r="V582" s="675"/>
    </row>
    <row r="583">
      <c r="A583" s="10" t="str">
        <f>IFERROR(__xludf.DUMMYFUNCTION("""COMPUTED_VALUE"""),"XOF")</f>
        <v>XOF</v>
      </c>
      <c r="B583" s="10">
        <f>IFERROR(__xludf.DUMMYFUNCTION("""COMPUTED_VALUE"""),1.0)</f>
        <v>1</v>
      </c>
      <c r="C583" s="10"/>
      <c r="D583" s="10"/>
      <c r="E583" s="10"/>
      <c r="F583" s="10"/>
      <c r="G583" s="10"/>
      <c r="H583" s="10"/>
      <c r="I583" s="674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675"/>
      <c r="V583" s="675"/>
    </row>
    <row r="584">
      <c r="A584" s="10" t="str">
        <f>IFERROR(__xludf.DUMMYFUNCTION("""COMPUTED_VALUE"""),"ARYAM")</f>
        <v>ARYAM</v>
      </c>
      <c r="B584" s="10">
        <f>IFERROR(__xludf.DUMMYFUNCTION("""COMPUTED_VALUE"""),12368.0)</f>
        <v>12368</v>
      </c>
      <c r="C584" s="10"/>
      <c r="D584" s="10"/>
      <c r="E584" s="10"/>
      <c r="F584" s="10"/>
      <c r="G584" s="10"/>
      <c r="H584" s="10"/>
      <c r="I584" s="674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675"/>
      <c r="V584" s="675"/>
    </row>
    <row r="585">
      <c r="A585" s="10" t="str">
        <f>IFERROR(__xludf.DUMMYFUNCTION("""COMPUTED_VALUE"""),"AMALAX")</f>
        <v>AMALAX</v>
      </c>
      <c r="B585" s="10">
        <f>IFERROR(__xludf.DUMMYFUNCTION("""COMPUTED_VALUE"""),9733.0)</f>
        <v>9733</v>
      </c>
      <c r="C585" s="10"/>
      <c r="D585" s="10"/>
      <c r="E585" s="10"/>
      <c r="F585" s="10"/>
      <c r="G585" s="10"/>
      <c r="H585" s="10"/>
      <c r="I585" s="674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675"/>
      <c r="V585" s="675"/>
    </row>
    <row r="586">
      <c r="A586" s="10" t="str">
        <f>IFERROR(__xludf.DUMMYFUNCTION("""COMPUTED_VALUE"""),"ILXXX")</f>
        <v>ILXXX</v>
      </c>
      <c r="B586" s="10">
        <f>IFERROR(__xludf.DUMMYFUNCTION("""COMPUTED_VALUE"""),13926.0)</f>
        <v>13926</v>
      </c>
      <c r="C586" s="10"/>
      <c r="D586" s="10"/>
      <c r="E586" s="10"/>
      <c r="F586" s="10"/>
      <c r="G586" s="10"/>
      <c r="H586" s="10"/>
      <c r="I586" s="674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675"/>
      <c r="V586" s="675"/>
    </row>
    <row r="587">
      <c r="A587" s="10" t="str">
        <f>IFERROR(__xludf.DUMMYFUNCTION("""COMPUTED_VALUE"""),"STYHXSS")</f>
        <v>STYHXSS</v>
      </c>
      <c r="B587" s="10">
        <f>IFERROR(__xludf.DUMMYFUNCTION("""COMPUTED_VALUE"""),6675.0)</f>
        <v>6675</v>
      </c>
      <c r="C587" s="10"/>
      <c r="D587" s="10"/>
      <c r="E587" s="10"/>
      <c r="F587" s="10"/>
      <c r="G587" s="10"/>
      <c r="H587" s="10"/>
      <c r="I587" s="674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675"/>
      <c r="V587" s="675"/>
    </row>
    <row r="588">
      <c r="A588" s="10" t="str">
        <f>IFERROR(__xludf.DUMMYFUNCTION("""COMPUTED_VALUE"""),"RANKVWN")</f>
        <v>RANKVWN</v>
      </c>
      <c r="B588" s="10">
        <f>IFERROR(__xludf.DUMMYFUNCTION("""COMPUTED_VALUE"""),1.0)</f>
        <v>1</v>
      </c>
      <c r="C588" s="10"/>
      <c r="D588" s="10"/>
      <c r="E588" s="10"/>
      <c r="F588" s="10"/>
      <c r="G588" s="10"/>
      <c r="H588" s="10"/>
      <c r="I588" s="674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675"/>
      <c r="V588" s="675"/>
    </row>
    <row r="589">
      <c r="A589" s="10" t="str">
        <f>IFERROR(__xludf.DUMMYFUNCTION("""COMPUTED_VALUE"""),"ALIII")</f>
        <v>ALIII</v>
      </c>
      <c r="B589" s="10">
        <f>IFERROR(__xludf.DUMMYFUNCTION("""COMPUTED_VALUE"""),10250.0)</f>
        <v>10250</v>
      </c>
      <c r="C589" s="10"/>
      <c r="D589" s="10"/>
      <c r="E589" s="10"/>
      <c r="F589" s="10"/>
      <c r="G589" s="10"/>
      <c r="H589" s="10"/>
      <c r="I589" s="674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675"/>
      <c r="V589" s="675"/>
    </row>
    <row r="590">
      <c r="A590" s="10" t="str">
        <f>IFERROR(__xludf.DUMMYFUNCTION("""COMPUTED_VALUE"""),"ALREE")</f>
        <v>ALREE</v>
      </c>
      <c r="B590" s="10">
        <f>IFERROR(__xludf.DUMMYFUNCTION("""COMPUTED_VALUE"""),10309.0)</f>
        <v>10309</v>
      </c>
      <c r="C590" s="10"/>
      <c r="D590" s="10"/>
      <c r="E590" s="10"/>
      <c r="F590" s="10"/>
      <c r="G590" s="10"/>
      <c r="H590" s="10"/>
      <c r="I590" s="674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675"/>
      <c r="V590" s="675"/>
    </row>
    <row r="591">
      <c r="A591" s="10" t="str">
        <f>IFERROR(__xludf.DUMMYFUNCTION("""COMPUTED_VALUE"""),"AMALA")</f>
        <v>AMALA</v>
      </c>
      <c r="B591" s="10">
        <f>IFERROR(__xludf.DUMMYFUNCTION("""COMPUTED_VALUE"""),1.0)</f>
        <v>1</v>
      </c>
      <c r="C591" s="10"/>
      <c r="D591" s="10"/>
      <c r="E591" s="10"/>
      <c r="F591" s="10"/>
      <c r="G591" s="10"/>
      <c r="H591" s="10"/>
      <c r="I591" s="674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675"/>
      <c r="V591" s="675"/>
    </row>
    <row r="592">
      <c r="A592" s="10" t="str">
        <f>IFERROR(__xludf.DUMMYFUNCTION("""COMPUTED_VALUE"""),"SOSOO")</f>
        <v>SOSOO</v>
      </c>
      <c r="B592" s="10">
        <f>IFERROR(__xludf.DUMMYFUNCTION("""COMPUTED_VALUE"""),11768.0)</f>
        <v>11768</v>
      </c>
      <c r="C592" s="10"/>
      <c r="D592" s="10"/>
      <c r="E592" s="10"/>
      <c r="F592" s="10"/>
      <c r="G592" s="10"/>
      <c r="H592" s="10"/>
      <c r="I592" s="674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675"/>
      <c r="V592" s="675"/>
    </row>
    <row r="593">
      <c r="A593" s="10" t="str">
        <f>IFERROR(__xludf.DUMMYFUNCTION("""COMPUTED_VALUE"""),"RIIXA")</f>
        <v>RIIXA</v>
      </c>
      <c r="B593" s="10">
        <f>IFERROR(__xludf.DUMMYFUNCTION("""COMPUTED_VALUE"""),14370.0)</f>
        <v>14370</v>
      </c>
      <c r="C593" s="10"/>
      <c r="D593" s="10"/>
      <c r="E593" s="10"/>
      <c r="F593" s="10"/>
      <c r="G593" s="10"/>
      <c r="H593" s="10"/>
      <c r="I593" s="674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675"/>
      <c r="V593" s="675"/>
    </row>
    <row r="594">
      <c r="A594" s="10" t="str">
        <f>IFERROR(__xludf.DUMMYFUNCTION("""COMPUTED_VALUE"""),"OFX")</f>
        <v>OFX</v>
      </c>
      <c r="B594" s="10">
        <f>IFERROR(__xludf.DUMMYFUNCTION("""COMPUTED_VALUE"""),11265.0)</f>
        <v>11265</v>
      </c>
      <c r="C594" s="10"/>
      <c r="D594" s="10"/>
      <c r="E594" s="10"/>
      <c r="F594" s="10"/>
      <c r="G594" s="10"/>
      <c r="H594" s="10"/>
      <c r="I594" s="674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675"/>
      <c r="V594" s="675"/>
    </row>
    <row r="595">
      <c r="A595" s="10" t="str">
        <f>IFERROR(__xludf.DUMMYFUNCTION("""COMPUTED_VALUE"""),"IVAN")</f>
        <v>IVAN</v>
      </c>
      <c r="B595" s="10">
        <f>IFERROR(__xludf.DUMMYFUNCTION("""COMPUTED_VALUE"""),13821.0)</f>
        <v>13821</v>
      </c>
      <c r="C595" s="10"/>
      <c r="D595" s="10"/>
      <c r="E595" s="10"/>
      <c r="F595" s="10"/>
      <c r="G595" s="10"/>
      <c r="H595" s="10"/>
      <c r="I595" s="674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675"/>
      <c r="V595" s="675"/>
    </row>
    <row r="596">
      <c r="A596" s="10" t="str">
        <f>IFERROR(__xludf.DUMMYFUNCTION("""COMPUTED_VALUE"""),"SOD")</f>
        <v>SOD</v>
      </c>
      <c r="B596" s="10">
        <f>IFERROR(__xludf.DUMMYFUNCTION("""COMPUTED_VALUE"""),285.0)</f>
        <v>285</v>
      </c>
      <c r="C596" s="10"/>
      <c r="D596" s="10"/>
      <c r="E596" s="10"/>
      <c r="F596" s="10"/>
      <c r="G596" s="10"/>
      <c r="H596" s="10"/>
      <c r="I596" s="674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675"/>
      <c r="V596" s="675"/>
    </row>
    <row r="597">
      <c r="A597" s="10" t="str">
        <f>IFERROR(__xludf.DUMMYFUNCTION("""COMPUTED_VALUE"""),"ISLAM")</f>
        <v>ISLAM</v>
      </c>
      <c r="B597" s="10">
        <f>IFERROR(__xludf.DUMMYFUNCTION("""COMPUTED_VALUE"""),1.0)</f>
        <v>1</v>
      </c>
      <c r="C597" s="10"/>
      <c r="D597" s="10"/>
      <c r="E597" s="10"/>
      <c r="F597" s="10"/>
      <c r="G597" s="10"/>
      <c r="H597" s="10"/>
      <c r="I597" s="674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675"/>
      <c r="V597" s="675"/>
    </row>
    <row r="598">
      <c r="A598" s="10" t="str">
        <f>IFERROR(__xludf.DUMMYFUNCTION("""COMPUTED_VALUE"""),"WOL")</f>
        <v>WOL</v>
      </c>
      <c r="B598" s="10">
        <f>IFERROR(__xludf.DUMMYFUNCTION("""COMPUTED_VALUE"""),1.0)</f>
        <v>1</v>
      </c>
      <c r="C598" s="10"/>
      <c r="D598" s="10"/>
      <c r="E598" s="10"/>
      <c r="F598" s="10"/>
      <c r="G598" s="10"/>
      <c r="H598" s="10"/>
      <c r="I598" s="674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675"/>
      <c r="V598" s="675"/>
    </row>
    <row r="599">
      <c r="A599" s="10" t="str">
        <f>IFERROR(__xludf.DUMMYFUNCTION("""COMPUTED_VALUE"""),"TOADAY")</f>
        <v>TOADAY</v>
      </c>
      <c r="B599" s="10">
        <f>IFERROR(__xludf.DUMMYFUNCTION("""COMPUTED_VALUE"""),14064.0)</f>
        <v>14064</v>
      </c>
      <c r="C599" s="10"/>
      <c r="D599" s="10"/>
      <c r="E599" s="10"/>
      <c r="F599" s="10"/>
      <c r="G599" s="10"/>
      <c r="H599" s="10"/>
      <c r="I599" s="674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675"/>
      <c r="V599" s="675"/>
    </row>
    <row r="600">
      <c r="A600" s="10" t="str">
        <f>IFERROR(__xludf.DUMMYFUNCTION("""COMPUTED_VALUE"""),"COACHR")</f>
        <v>COACHR</v>
      </c>
      <c r="B600" s="10">
        <f>IFERROR(__xludf.DUMMYFUNCTION("""COMPUTED_VALUE"""),13903.0)</f>
        <v>13903</v>
      </c>
      <c r="C600" s="10"/>
      <c r="D600" s="10"/>
      <c r="E600" s="10"/>
      <c r="F600" s="10"/>
      <c r="G600" s="10"/>
      <c r="H600" s="10"/>
      <c r="I600" s="674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675"/>
      <c r="V600" s="675"/>
    </row>
    <row r="601">
      <c r="A601" s="10" t="str">
        <f>IFERROR(__xludf.DUMMYFUNCTION("""COMPUTED_VALUE"""),"XZI")</f>
        <v>XZI</v>
      </c>
      <c r="B601" s="10">
        <f>IFERROR(__xludf.DUMMYFUNCTION("""COMPUTED_VALUE"""),14362.0)</f>
        <v>14362</v>
      </c>
      <c r="C601" s="10"/>
      <c r="D601" s="10"/>
      <c r="E601" s="10"/>
      <c r="F601" s="10"/>
      <c r="G601" s="10"/>
      <c r="H601" s="10"/>
      <c r="I601" s="674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675"/>
      <c r="V601" s="675"/>
    </row>
    <row r="602">
      <c r="A602" s="10" t="str">
        <f>IFERROR(__xludf.DUMMYFUNCTION("""COMPUTED_VALUE"""),"SHOO")</f>
        <v>SHOO</v>
      </c>
      <c r="B602" s="10">
        <f>IFERROR(__xludf.DUMMYFUNCTION("""COMPUTED_VALUE"""),9566.0)</f>
        <v>9566</v>
      </c>
      <c r="C602" s="10"/>
      <c r="D602" s="10"/>
      <c r="E602" s="10"/>
      <c r="F602" s="10"/>
      <c r="G602" s="10"/>
      <c r="H602" s="10"/>
      <c r="I602" s="674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675"/>
      <c r="V602" s="675"/>
    </row>
    <row r="603">
      <c r="A603" s="10" t="str">
        <f>IFERROR(__xludf.DUMMYFUNCTION("""COMPUTED_VALUE"""),"TAIFXX")</f>
        <v>TAIFXX</v>
      </c>
      <c r="B603" s="10">
        <f>IFERROR(__xludf.DUMMYFUNCTION("""COMPUTED_VALUE"""),10237.0)</f>
        <v>10237</v>
      </c>
      <c r="C603" s="10"/>
      <c r="D603" s="10"/>
      <c r="E603" s="10"/>
      <c r="F603" s="10"/>
      <c r="G603" s="10"/>
      <c r="H603" s="10"/>
      <c r="I603" s="674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675"/>
      <c r="V603" s="675"/>
    </row>
    <row r="604">
      <c r="A604" s="10" t="str">
        <f>IFERROR(__xludf.DUMMYFUNCTION("""COMPUTED_VALUE"""),"PATROL")</f>
        <v>PATROL</v>
      </c>
      <c r="B604" s="10">
        <f>IFERROR(__xludf.DUMMYFUNCTION("""COMPUTED_VALUE"""),14283.0)</f>
        <v>14283</v>
      </c>
      <c r="C604" s="10"/>
      <c r="D604" s="10"/>
      <c r="E604" s="10"/>
      <c r="F604" s="10"/>
      <c r="G604" s="10"/>
      <c r="H604" s="10"/>
      <c r="I604" s="674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675"/>
      <c r="V604" s="675"/>
    </row>
    <row r="605">
      <c r="A605" s="10" t="str">
        <f>IFERROR(__xludf.DUMMYFUNCTION("""COMPUTED_VALUE"""),"DISCOXX")</f>
        <v>DISCOXX</v>
      </c>
      <c r="B605" s="10">
        <f>IFERROR(__xludf.DUMMYFUNCTION("""COMPUTED_VALUE"""),1.0)</f>
        <v>1</v>
      </c>
      <c r="C605" s="10"/>
      <c r="D605" s="10"/>
      <c r="E605" s="10"/>
      <c r="F605" s="10"/>
      <c r="G605" s="10"/>
      <c r="H605" s="10"/>
      <c r="I605" s="674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675"/>
      <c r="V605" s="675"/>
    </row>
    <row r="606">
      <c r="A606" s="10" t="str">
        <f>IFERROR(__xludf.DUMMYFUNCTION("""COMPUTED_VALUE"""),"AMIRAAH")</f>
        <v>AMIRAAH</v>
      </c>
      <c r="B606" s="10">
        <f>IFERROR(__xludf.DUMMYFUNCTION("""COMPUTED_VALUE"""),14117.0)</f>
        <v>14117</v>
      </c>
      <c r="C606" s="10"/>
      <c r="D606" s="10"/>
      <c r="E606" s="10"/>
      <c r="F606" s="10"/>
      <c r="G606" s="10"/>
      <c r="H606" s="10"/>
      <c r="I606" s="674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675"/>
      <c r="V606" s="675"/>
    </row>
    <row r="607">
      <c r="A607" s="10" t="str">
        <f>IFERROR(__xludf.DUMMYFUNCTION("""COMPUTED_VALUE"""),"TODALOY")</f>
        <v>TODALOY</v>
      </c>
      <c r="B607" s="10">
        <f>IFERROR(__xludf.DUMMYFUNCTION("""COMPUTED_VALUE"""),1.0)</f>
        <v>1</v>
      </c>
      <c r="C607" s="10"/>
      <c r="D607" s="10"/>
      <c r="E607" s="10"/>
      <c r="F607" s="10"/>
      <c r="G607" s="10"/>
      <c r="H607" s="10"/>
      <c r="I607" s="674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675"/>
      <c r="V607" s="675"/>
    </row>
    <row r="608">
      <c r="A608" s="10" t="str">
        <f>IFERROR(__xludf.DUMMYFUNCTION("""COMPUTED_VALUE"""),"WOWO")</f>
        <v>WOWO</v>
      </c>
      <c r="B608" s="10">
        <f>IFERROR(__xludf.DUMMYFUNCTION("""COMPUTED_VALUE"""),11554.0)</f>
        <v>11554</v>
      </c>
      <c r="C608" s="10"/>
      <c r="D608" s="10"/>
      <c r="E608" s="10"/>
      <c r="F608" s="10"/>
      <c r="G608" s="10"/>
      <c r="H608" s="10"/>
      <c r="I608" s="674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675"/>
      <c r="V608" s="675"/>
    </row>
    <row r="609">
      <c r="A609" s="10" t="str">
        <f>IFERROR(__xludf.DUMMYFUNCTION("""COMPUTED_VALUE"""),"SAAB")</f>
        <v>SAAB</v>
      </c>
      <c r="B609" s="10">
        <f>IFERROR(__xludf.DUMMYFUNCTION("""COMPUTED_VALUE"""),9653.0)</f>
        <v>9653</v>
      </c>
      <c r="C609" s="10"/>
      <c r="D609" s="10"/>
      <c r="E609" s="10"/>
      <c r="F609" s="10"/>
      <c r="G609" s="10"/>
      <c r="H609" s="10"/>
      <c r="I609" s="674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675"/>
      <c r="V609" s="675"/>
    </row>
    <row r="610">
      <c r="A610" s="10" t="str">
        <f>IFERROR(__xludf.DUMMYFUNCTION("""COMPUTED_VALUE"""),"FARIS")</f>
        <v>FARIS</v>
      </c>
      <c r="B610" s="10">
        <f>IFERROR(__xludf.DUMMYFUNCTION("""COMPUTED_VALUE"""),14345.0)</f>
        <v>14345</v>
      </c>
      <c r="C610" s="10"/>
      <c r="D610" s="10"/>
      <c r="E610" s="10"/>
      <c r="F610" s="10"/>
      <c r="G610" s="10"/>
      <c r="H610" s="10"/>
      <c r="I610" s="674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675"/>
      <c r="V610" s="675"/>
    </row>
    <row r="611">
      <c r="A611" s="10" t="str">
        <f>IFERROR(__xludf.DUMMYFUNCTION("""COMPUTED_VALUE"""),"SHXXX")</f>
        <v>SHXXX</v>
      </c>
      <c r="B611" s="10">
        <f>IFERROR(__xludf.DUMMYFUNCTION("""COMPUTED_VALUE"""),12364.0)</f>
        <v>12364</v>
      </c>
      <c r="C611" s="10"/>
      <c r="D611" s="10"/>
      <c r="E611" s="10"/>
      <c r="F611" s="10"/>
      <c r="G611" s="10"/>
      <c r="H611" s="10"/>
      <c r="I611" s="674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675"/>
      <c r="V611" s="675"/>
    </row>
    <row r="612">
      <c r="A612" s="10" t="str">
        <f>IFERROR(__xludf.DUMMYFUNCTION("""COMPUTED_VALUE"""),"LALH")</f>
        <v>LALH</v>
      </c>
      <c r="B612" s="10">
        <f>IFERROR(__xludf.DUMMYFUNCTION("""COMPUTED_VALUE"""),13305.0)</f>
        <v>13305</v>
      </c>
      <c r="C612" s="10"/>
      <c r="D612" s="10"/>
      <c r="E612" s="10"/>
      <c r="F612" s="10"/>
      <c r="G612" s="10"/>
      <c r="H612" s="10"/>
      <c r="I612" s="674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675"/>
      <c r="V612" s="675"/>
    </row>
    <row r="613">
      <c r="A613" s="10" t="str">
        <f>IFERROR(__xludf.DUMMYFUNCTION("""COMPUTED_VALUE"""),"HODA")</f>
        <v>HODA</v>
      </c>
      <c r="B613" s="10">
        <f>IFERROR(__xludf.DUMMYFUNCTION("""COMPUTED_VALUE"""),8484.0)</f>
        <v>8484</v>
      </c>
      <c r="C613" s="10"/>
      <c r="D613" s="10"/>
      <c r="E613" s="10"/>
      <c r="F613" s="10"/>
      <c r="G613" s="10"/>
      <c r="H613" s="10"/>
      <c r="I613" s="674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675"/>
      <c r="V613" s="675"/>
    </row>
    <row r="614">
      <c r="A614" s="10" t="str">
        <f>IFERROR(__xludf.DUMMYFUNCTION("""COMPUTED_VALUE"""),"JII")</f>
        <v>JII</v>
      </c>
      <c r="B614" s="10">
        <f>IFERROR(__xludf.DUMMYFUNCTION("""COMPUTED_VALUE"""),14359.0)</f>
        <v>14359</v>
      </c>
      <c r="C614" s="10"/>
      <c r="D614" s="10"/>
      <c r="E614" s="10"/>
      <c r="F614" s="10"/>
      <c r="G614" s="10"/>
      <c r="H614" s="10"/>
      <c r="I614" s="674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675"/>
      <c r="V614" s="675"/>
    </row>
    <row r="615">
      <c r="A615" s="10" t="str">
        <f>IFERROR(__xludf.DUMMYFUNCTION("""COMPUTED_VALUE"""),"KRZ")</f>
        <v>KRZ</v>
      </c>
      <c r="B615" s="10">
        <f>IFERROR(__xludf.DUMMYFUNCTION("""COMPUTED_VALUE"""),1.0)</f>
        <v>1</v>
      </c>
      <c r="C615" s="10"/>
      <c r="D615" s="10"/>
      <c r="E615" s="10"/>
      <c r="F615" s="10"/>
      <c r="G615" s="10"/>
      <c r="H615" s="10"/>
      <c r="I615" s="674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675"/>
      <c r="V615" s="675"/>
    </row>
    <row r="616">
      <c r="A616" s="10" t="str">
        <f>IFERROR(__xludf.DUMMYFUNCTION("""COMPUTED_VALUE"""),"TAGT")</f>
        <v>TAGT</v>
      </c>
      <c r="B616" s="10">
        <f>IFERROR(__xludf.DUMMYFUNCTION("""COMPUTED_VALUE"""),10317.0)</f>
        <v>10317</v>
      </c>
      <c r="C616" s="10"/>
      <c r="D616" s="10"/>
      <c r="E616" s="10"/>
      <c r="F616" s="10"/>
      <c r="G616" s="10"/>
      <c r="H616" s="10"/>
      <c r="I616" s="674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675"/>
      <c r="V616" s="675"/>
    </row>
    <row r="617">
      <c r="A617" s="10" t="str">
        <f>IFERROR(__xludf.DUMMYFUNCTION("""COMPUTED_VALUE"""),"XRU")</f>
        <v>XRU</v>
      </c>
      <c r="B617" s="10">
        <f>IFERROR(__xludf.DUMMYFUNCTION("""COMPUTED_VALUE"""),1.0)</f>
        <v>1</v>
      </c>
      <c r="C617" s="10"/>
      <c r="D617" s="10"/>
      <c r="E617" s="10"/>
      <c r="F617" s="10"/>
      <c r="G617" s="10"/>
      <c r="H617" s="10"/>
      <c r="I617" s="674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675"/>
      <c r="V617" s="675"/>
    </row>
    <row r="618">
      <c r="A618" s="10" t="str">
        <f>IFERROR(__xludf.DUMMYFUNCTION("""COMPUTED_VALUE"""),"LLEX")</f>
        <v>LLEX</v>
      </c>
      <c r="B618" s="10">
        <f>IFERROR(__xludf.DUMMYFUNCTION("""COMPUTED_VALUE"""),1.0)</f>
        <v>1</v>
      </c>
      <c r="C618" s="10"/>
      <c r="D618" s="10"/>
      <c r="E618" s="10"/>
      <c r="F618" s="10"/>
      <c r="G618" s="10"/>
      <c r="H618" s="10"/>
      <c r="I618" s="674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675"/>
      <c r="V618" s="675"/>
    </row>
    <row r="619">
      <c r="A619" s="10" t="str">
        <f>IFERROR(__xludf.DUMMYFUNCTION("""COMPUTED_VALUE"""),"AFNANA")</f>
        <v>AFNANA</v>
      </c>
      <c r="B619" s="10">
        <f>IFERROR(__xludf.DUMMYFUNCTION("""COMPUTED_VALUE"""),11297.0)</f>
        <v>11297</v>
      </c>
      <c r="C619" s="10"/>
      <c r="D619" s="10"/>
      <c r="E619" s="10"/>
      <c r="F619" s="10"/>
      <c r="G619" s="10"/>
      <c r="H619" s="10"/>
      <c r="I619" s="674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675"/>
      <c r="V619" s="675"/>
    </row>
    <row r="620">
      <c r="A620" s="10" t="str">
        <f>IFERROR(__xludf.DUMMYFUNCTION("""COMPUTED_VALUE"""),"RYA")</f>
        <v>RYA</v>
      </c>
      <c r="B620" s="10">
        <f>IFERROR(__xludf.DUMMYFUNCTION("""COMPUTED_VALUE"""),1.0)</f>
        <v>1</v>
      </c>
      <c r="C620" s="10"/>
      <c r="D620" s="10"/>
      <c r="E620" s="10"/>
      <c r="F620" s="10"/>
      <c r="G620" s="10"/>
      <c r="H620" s="10"/>
      <c r="I620" s="674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675"/>
      <c r="V620" s="675"/>
    </row>
    <row r="621">
      <c r="A621" s="10" t="str">
        <f>IFERROR(__xludf.DUMMYFUNCTION("""COMPUTED_VALUE"""),"TURKIA")</f>
        <v>TURKIA</v>
      </c>
      <c r="B621" s="10">
        <f>IFERROR(__xludf.DUMMYFUNCTION("""COMPUTED_VALUE"""),1.0)</f>
        <v>1</v>
      </c>
      <c r="C621" s="10"/>
      <c r="D621" s="10"/>
      <c r="E621" s="10"/>
      <c r="F621" s="10"/>
      <c r="G621" s="10"/>
      <c r="H621" s="10"/>
      <c r="I621" s="674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675"/>
      <c r="V621" s="675"/>
    </row>
    <row r="622">
      <c r="A622" s="10" t="str">
        <f>IFERROR(__xludf.DUMMYFUNCTION("""COMPUTED_VALUE"""),"BURO")</f>
        <v>BURO</v>
      </c>
      <c r="B622" s="10">
        <f>IFERROR(__xludf.DUMMYFUNCTION("""COMPUTED_VALUE"""),1.0)</f>
        <v>1</v>
      </c>
      <c r="C622" s="10"/>
      <c r="D622" s="10"/>
      <c r="E622" s="10"/>
      <c r="F622" s="10"/>
      <c r="G622" s="10"/>
      <c r="H622" s="10"/>
      <c r="I622" s="674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675"/>
      <c r="V622" s="675"/>
    </row>
    <row r="623">
      <c r="A623" s="10" t="str">
        <f>IFERROR(__xludf.DUMMYFUNCTION("""COMPUTED_VALUE"""),"USC")</f>
        <v>USC</v>
      </c>
      <c r="B623" s="10">
        <f>IFERROR(__xludf.DUMMYFUNCTION("""COMPUTED_VALUE"""),12362.0)</f>
        <v>12362</v>
      </c>
      <c r="C623" s="10"/>
      <c r="D623" s="10"/>
      <c r="E623" s="10"/>
      <c r="F623" s="10"/>
      <c r="G623" s="10"/>
      <c r="H623" s="10"/>
      <c r="I623" s="674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675"/>
      <c r="V623" s="675"/>
    </row>
    <row r="624">
      <c r="A624" s="10" t="str">
        <f>IFERROR(__xludf.DUMMYFUNCTION("""COMPUTED_VALUE"""),"ARRO")</f>
        <v>ARRO</v>
      </c>
      <c r="B624" s="10">
        <f>IFERROR(__xludf.DUMMYFUNCTION("""COMPUTED_VALUE"""),14262.0)</f>
        <v>14262</v>
      </c>
      <c r="C624" s="10"/>
      <c r="D624" s="10"/>
      <c r="E624" s="10"/>
      <c r="F624" s="10"/>
      <c r="G624" s="10"/>
      <c r="H624" s="10"/>
      <c r="I624" s="674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675"/>
      <c r="V624" s="675"/>
    </row>
    <row r="625">
      <c r="A625" s="10" t="str">
        <f>IFERROR(__xludf.DUMMYFUNCTION("""COMPUTED_VALUE"""),"THECO")</f>
        <v>THECO</v>
      </c>
      <c r="B625" s="10">
        <f>IFERROR(__xludf.DUMMYFUNCTION("""COMPUTED_VALUE"""),1.0)</f>
        <v>1</v>
      </c>
      <c r="C625" s="10"/>
      <c r="D625" s="10"/>
      <c r="E625" s="10"/>
      <c r="F625" s="10"/>
      <c r="G625" s="10"/>
      <c r="H625" s="10"/>
      <c r="I625" s="674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675"/>
      <c r="V625" s="675"/>
    </row>
    <row r="626">
      <c r="A626" s="10" t="str">
        <f>IFERROR(__xludf.DUMMYFUNCTION("""COMPUTED_VALUE"""),"ZEKA")</f>
        <v>ZEKA</v>
      </c>
      <c r="B626" s="10">
        <f>IFERROR(__xludf.DUMMYFUNCTION("""COMPUTED_VALUE"""),14266.0)</f>
        <v>14266</v>
      </c>
      <c r="C626" s="10"/>
      <c r="D626" s="10"/>
      <c r="E626" s="10"/>
      <c r="F626" s="10"/>
      <c r="G626" s="10"/>
      <c r="H626" s="10"/>
      <c r="I626" s="674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675"/>
      <c r="V626" s="675"/>
    </row>
    <row r="627">
      <c r="A627" s="10" t="str">
        <f>IFERROR(__xludf.DUMMYFUNCTION("""COMPUTED_VALUE"""),"SAADSX")</f>
        <v>SAADSX</v>
      </c>
      <c r="B627" s="18">
        <f>IFERROR(__xludf.DUMMYFUNCTION("""COMPUTED_VALUE"""),14389.0)</f>
        <v>14389</v>
      </c>
      <c r="C627" s="9"/>
      <c r="D627" s="10"/>
      <c r="E627" s="10"/>
      <c r="F627" s="10"/>
      <c r="G627" s="10"/>
      <c r="H627" s="10"/>
      <c r="I627" s="674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675"/>
      <c r="V627" s="675"/>
    </row>
    <row r="628">
      <c r="A628" s="10" t="str">
        <f>IFERROR(__xludf.DUMMYFUNCTION("""COMPUTED_VALUE"""),"MAGDYE")</f>
        <v>MAGDYE</v>
      </c>
      <c r="B628" s="10">
        <f>IFERROR(__xludf.DUMMYFUNCTION("""COMPUTED_VALUE"""),14422.0)</f>
        <v>14422</v>
      </c>
      <c r="C628" s="10"/>
      <c r="D628" s="10"/>
      <c r="E628" s="10"/>
      <c r="F628" s="10"/>
      <c r="G628" s="10"/>
      <c r="H628" s="10"/>
      <c r="I628" s="674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675"/>
      <c r="V628" s="675"/>
    </row>
    <row r="629">
      <c r="A629" s="10" t="str">
        <f>IFERROR(__xludf.DUMMYFUNCTION("""COMPUTED_VALUE"""),"AMRA")</f>
        <v>AMRA</v>
      </c>
      <c r="B629" s="10">
        <f>IFERROR(__xludf.DUMMYFUNCTION("""COMPUTED_VALUE"""),7872.0)</f>
        <v>7872</v>
      </c>
      <c r="C629" s="10"/>
      <c r="D629" s="10"/>
      <c r="E629" s="10"/>
      <c r="F629" s="10"/>
      <c r="G629" s="10"/>
      <c r="H629" s="10"/>
      <c r="I629" s="674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675"/>
      <c r="V629" s="675"/>
    </row>
    <row r="630">
      <c r="A630" s="10" t="str">
        <f>IFERROR(__xludf.DUMMYFUNCTION("""COMPUTED_VALUE"""),"HBS")</f>
        <v>HBS</v>
      </c>
      <c r="B630" s="10">
        <f>IFERROR(__xludf.DUMMYFUNCTION("""COMPUTED_VALUE"""),1.0)</f>
        <v>1</v>
      </c>
      <c r="C630" s="10"/>
      <c r="D630" s="10"/>
      <c r="E630" s="10"/>
      <c r="F630" s="10"/>
      <c r="G630" s="10"/>
      <c r="H630" s="10"/>
      <c r="I630" s="674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675"/>
      <c r="V630" s="675"/>
    </row>
    <row r="631">
      <c r="A631" s="10" t="str">
        <f>IFERROR(__xludf.DUMMYFUNCTION("""COMPUTED_VALUE"""),"IIME")</f>
        <v>IIME</v>
      </c>
      <c r="B631" s="10">
        <f>IFERROR(__xludf.DUMMYFUNCTION("""COMPUTED_VALUE"""),9704.0)</f>
        <v>9704</v>
      </c>
      <c r="C631" s="10"/>
      <c r="D631" s="10"/>
      <c r="E631" s="10"/>
      <c r="F631" s="10"/>
      <c r="G631" s="10"/>
      <c r="H631" s="10"/>
      <c r="I631" s="674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675"/>
      <c r="V631" s="675"/>
    </row>
    <row r="632">
      <c r="A632" s="10" t="str">
        <f>IFERROR(__xludf.DUMMYFUNCTION("""COMPUTED_VALUE"""),"ALNO")</f>
        <v>ALNO</v>
      </c>
      <c r="B632" s="10">
        <f>IFERROR(__xludf.DUMMYFUNCTION("""COMPUTED_VALUE"""),1.0)</f>
        <v>1</v>
      </c>
      <c r="C632" s="10"/>
      <c r="D632" s="10"/>
      <c r="E632" s="10"/>
      <c r="F632" s="10"/>
      <c r="G632" s="10"/>
      <c r="H632" s="10"/>
      <c r="I632" s="674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675"/>
      <c r="V632" s="675"/>
    </row>
    <row r="633">
      <c r="A633" s="10" t="str">
        <f>IFERROR(__xludf.DUMMYFUNCTION("""COMPUTED_VALUE"""),"GOOL")</f>
        <v>GOOL</v>
      </c>
      <c r="B633" s="10">
        <f>IFERROR(__xludf.DUMMYFUNCTION("""COMPUTED_VALUE"""),1.0)</f>
        <v>1</v>
      </c>
      <c r="C633" s="10"/>
      <c r="D633" s="10"/>
      <c r="E633" s="10"/>
      <c r="F633" s="10"/>
      <c r="G633" s="10"/>
      <c r="H633" s="10"/>
      <c r="I633" s="674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675"/>
      <c r="V633" s="675"/>
    </row>
    <row r="634">
      <c r="A634" s="10" t="str">
        <f>IFERROR(__xludf.DUMMYFUNCTION("""COMPUTED_VALUE"""),"AZF")</f>
        <v>AZF</v>
      </c>
      <c r="B634" s="10">
        <f>IFERROR(__xludf.DUMMYFUNCTION("""COMPUTED_VALUE"""),10049.0)</f>
        <v>10049</v>
      </c>
      <c r="C634" s="10"/>
      <c r="D634" s="10"/>
      <c r="E634" s="10"/>
      <c r="F634" s="10"/>
      <c r="G634" s="10"/>
      <c r="H634" s="10"/>
      <c r="I634" s="674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675"/>
      <c r="V634" s="675"/>
    </row>
    <row r="635">
      <c r="A635" s="10" t="str">
        <f>IFERROR(__xludf.DUMMYFUNCTION("""COMPUTED_VALUE"""),"ERO")</f>
        <v>ERO</v>
      </c>
      <c r="B635" s="10">
        <f>IFERROR(__xludf.DUMMYFUNCTION("""COMPUTED_VALUE"""),11812.0)</f>
        <v>11812</v>
      </c>
      <c r="C635" s="10"/>
      <c r="D635" s="10"/>
      <c r="E635" s="10"/>
      <c r="F635" s="10"/>
      <c r="G635" s="10"/>
      <c r="H635" s="10"/>
      <c r="I635" s="674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675"/>
      <c r="V635" s="675"/>
    </row>
    <row r="636">
      <c r="A636" s="10" t="str">
        <f>IFERROR(__xludf.DUMMYFUNCTION("""COMPUTED_VALUE"""),"HANTZWL")</f>
        <v>HANTZWL</v>
      </c>
      <c r="B636" s="10">
        <f>IFERROR(__xludf.DUMMYFUNCTION("""COMPUTED_VALUE"""),14376.0)</f>
        <v>14376</v>
      </c>
      <c r="C636" s="10"/>
      <c r="D636" s="10"/>
      <c r="E636" s="10"/>
      <c r="F636" s="10"/>
      <c r="G636" s="10"/>
      <c r="H636" s="10"/>
      <c r="I636" s="674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675"/>
      <c r="V636" s="675"/>
    </row>
    <row r="637">
      <c r="A637" s="10" t="str">
        <f>IFERROR(__xludf.DUMMYFUNCTION("""COMPUTED_VALUE"""),"DSO")</f>
        <v>DSO</v>
      </c>
      <c r="B637" s="10">
        <f>IFERROR(__xludf.DUMMYFUNCTION("""COMPUTED_VALUE"""),1.0)</f>
        <v>1</v>
      </c>
      <c r="C637" s="10"/>
      <c r="D637" s="10"/>
      <c r="E637" s="10"/>
      <c r="F637" s="10"/>
      <c r="G637" s="10"/>
      <c r="H637" s="10"/>
      <c r="I637" s="674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675"/>
      <c r="V637" s="675"/>
    </row>
    <row r="638">
      <c r="A638" s="10" t="str">
        <f>IFERROR(__xludf.DUMMYFUNCTION("""COMPUTED_VALUE"""),"OFFERZS")</f>
        <v>OFFERZS</v>
      </c>
      <c r="B638" s="10">
        <f>IFERROR(__xludf.DUMMYFUNCTION("""COMPUTED_VALUE"""),6675.0)</f>
        <v>6675</v>
      </c>
      <c r="C638" s="10"/>
      <c r="D638" s="10"/>
      <c r="E638" s="10"/>
      <c r="F638" s="10"/>
      <c r="G638" s="10"/>
      <c r="H638" s="10"/>
      <c r="I638" s="674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675"/>
      <c r="V638" s="675"/>
    </row>
    <row r="639">
      <c r="A639" s="10" t="str">
        <f>IFERROR(__xludf.DUMMYFUNCTION("""COMPUTED_VALUE"""),"RMAD")</f>
        <v>RMAD</v>
      </c>
      <c r="B639" s="10">
        <f>IFERROR(__xludf.DUMMYFUNCTION("""COMPUTED_VALUE"""),13929.0)</f>
        <v>13929</v>
      </c>
      <c r="C639" s="10"/>
      <c r="D639" s="10"/>
      <c r="E639" s="10"/>
      <c r="F639" s="10"/>
      <c r="G639" s="10"/>
      <c r="H639" s="10"/>
      <c r="I639" s="674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675"/>
      <c r="V639" s="675"/>
    </row>
    <row r="640">
      <c r="A640" s="10" t="str">
        <f>IFERROR(__xludf.DUMMYFUNCTION("""COMPUTED_VALUE"""),"EHN")</f>
        <v>EHN</v>
      </c>
      <c r="B640" s="10">
        <f>IFERROR(__xludf.DUMMYFUNCTION("""COMPUTED_VALUE"""),1.0)</f>
        <v>1</v>
      </c>
      <c r="C640" s="10"/>
      <c r="D640" s="10"/>
      <c r="E640" s="10"/>
      <c r="F640" s="10"/>
      <c r="G640" s="10"/>
      <c r="H640" s="10"/>
      <c r="I640" s="674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675"/>
      <c r="V640" s="675"/>
    </row>
    <row r="641">
      <c r="A641" s="10" t="str">
        <f>IFERROR(__xludf.DUMMYFUNCTION("""COMPUTED_VALUE"""),"IBNA")</f>
        <v>IBNA</v>
      </c>
      <c r="B641" s="10">
        <f>IFERROR(__xludf.DUMMYFUNCTION("""COMPUTED_VALUE"""),13338.0)</f>
        <v>13338</v>
      </c>
      <c r="C641" s="10"/>
      <c r="D641" s="10"/>
      <c r="E641" s="10"/>
      <c r="F641" s="10"/>
      <c r="G641" s="10"/>
      <c r="H641" s="10"/>
      <c r="I641" s="674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675"/>
      <c r="V641" s="675"/>
    </row>
    <row r="642">
      <c r="A642" s="10" t="str">
        <f>IFERROR(__xludf.DUMMYFUNCTION("""COMPUTED_VALUE"""),"CAFTA")</f>
        <v>CAFTA</v>
      </c>
      <c r="B642" s="10">
        <f>IFERROR(__xludf.DUMMYFUNCTION("""COMPUTED_VALUE"""),359.0)</f>
        <v>359</v>
      </c>
      <c r="C642" s="10"/>
      <c r="D642" s="10"/>
      <c r="E642" s="10"/>
      <c r="F642" s="10"/>
      <c r="G642" s="10"/>
      <c r="H642" s="10"/>
      <c r="I642" s="674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675"/>
      <c r="V642" s="675"/>
    </row>
    <row r="643">
      <c r="A643" s="10" t="str">
        <f>IFERROR(__xludf.DUMMYFUNCTION("""COMPUTED_VALUE"""),"IXD")</f>
        <v>IXD</v>
      </c>
      <c r="B643" s="10">
        <f>IFERROR(__xludf.DUMMYFUNCTION("""COMPUTED_VALUE"""),14408.0)</f>
        <v>14408</v>
      </c>
      <c r="C643" s="10"/>
      <c r="D643" s="10"/>
      <c r="E643" s="10"/>
      <c r="F643" s="10"/>
      <c r="G643" s="10"/>
      <c r="H643" s="10"/>
      <c r="I643" s="674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675"/>
      <c r="V643" s="675"/>
    </row>
    <row r="644">
      <c r="A644" s="10" t="str">
        <f>IFERROR(__xludf.DUMMYFUNCTION("""COMPUTED_VALUE"""),"ALAASX")</f>
        <v>ALAASX</v>
      </c>
      <c r="B644" s="10">
        <f>IFERROR(__xludf.DUMMYFUNCTION("""COMPUTED_VALUE"""),14434.0)</f>
        <v>14434</v>
      </c>
      <c r="C644" s="10"/>
      <c r="D644" s="10"/>
      <c r="E644" s="10"/>
      <c r="F644" s="10"/>
      <c r="G644" s="10"/>
      <c r="H644" s="10"/>
      <c r="I644" s="674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675"/>
      <c r="V644" s="675"/>
    </row>
    <row r="645">
      <c r="A645" s="10" t="str">
        <f>IFERROR(__xludf.DUMMYFUNCTION("""COMPUTED_VALUE"""),"YASFTDQ")</f>
        <v>YASFTDQ</v>
      </c>
      <c r="B645" s="10">
        <f>IFERROR(__xludf.DUMMYFUNCTION("""COMPUTED_VALUE"""),1.0)</f>
        <v>1</v>
      </c>
      <c r="C645" s="10"/>
      <c r="D645" s="10"/>
      <c r="E645" s="10"/>
      <c r="F645" s="10"/>
      <c r="G645" s="10"/>
      <c r="H645" s="10"/>
      <c r="I645" s="674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675"/>
      <c r="V645" s="675"/>
    </row>
    <row r="646">
      <c r="A646" s="10" t="str">
        <f>IFERROR(__xludf.DUMMYFUNCTION("""COMPUTED_VALUE"""),"AALL")</f>
        <v>AALL</v>
      </c>
      <c r="B646" s="10">
        <f>IFERROR(__xludf.DUMMYFUNCTION("""COMPUTED_VALUE"""),9651.0)</f>
        <v>9651</v>
      </c>
      <c r="C646" s="10"/>
      <c r="D646" s="10"/>
      <c r="E646" s="10"/>
      <c r="F646" s="10"/>
      <c r="G646" s="10"/>
      <c r="H646" s="10"/>
      <c r="I646" s="674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675"/>
      <c r="V646" s="675"/>
    </row>
    <row r="647">
      <c r="A647" s="10" t="str">
        <f>IFERROR(__xludf.DUMMYFUNCTION("""COMPUTED_VALUE"""),"Z")</f>
        <v>Z</v>
      </c>
      <c r="B647" s="10">
        <f>IFERROR(__xludf.DUMMYFUNCTION("""COMPUTED_VALUE"""),6675.0)</f>
        <v>6675</v>
      </c>
      <c r="C647" s="10"/>
      <c r="D647" s="10"/>
      <c r="E647" s="10"/>
      <c r="F647" s="10"/>
      <c r="G647" s="10"/>
      <c r="H647" s="10"/>
      <c r="I647" s="674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675"/>
      <c r="V647" s="675"/>
    </row>
    <row r="648">
      <c r="A648" s="10" t="str">
        <f>IFERROR(__xludf.DUMMYFUNCTION("""COMPUTED_VALUE"""),"BODY")</f>
        <v>BODY</v>
      </c>
      <c r="B648" s="10">
        <f>IFERROR(__xludf.DUMMYFUNCTION("""COMPUTED_VALUE"""),14495.0)</f>
        <v>14495</v>
      </c>
      <c r="C648" s="10"/>
      <c r="D648" s="10"/>
      <c r="E648" s="10"/>
      <c r="F648" s="10"/>
      <c r="G648" s="10"/>
      <c r="H648" s="10"/>
      <c r="I648" s="674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675"/>
      <c r="V648" s="675"/>
    </row>
    <row r="649">
      <c r="A649" s="10" t="str">
        <f>IFERROR(__xludf.DUMMYFUNCTION("""COMPUTED_VALUE"""),"SIXX")</f>
        <v>SIXX</v>
      </c>
      <c r="B649" s="10">
        <f>IFERROR(__xludf.DUMMYFUNCTION("""COMPUTED_VALUE"""),12077.0)</f>
        <v>12077</v>
      </c>
      <c r="C649" s="10"/>
      <c r="D649" s="10"/>
      <c r="E649" s="10"/>
      <c r="F649" s="10"/>
      <c r="G649" s="10"/>
      <c r="H649" s="10"/>
      <c r="I649" s="674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675"/>
      <c r="V649" s="675"/>
    </row>
    <row r="650">
      <c r="A650" s="10" t="str">
        <f>IFERROR(__xludf.DUMMYFUNCTION("""COMPUTED_VALUE"""),"JDV")</f>
        <v>JDV</v>
      </c>
      <c r="B650" s="10">
        <f>IFERROR(__xludf.DUMMYFUNCTION("""COMPUTED_VALUE"""),9061.0)</f>
        <v>9061</v>
      </c>
      <c r="C650" s="10"/>
      <c r="D650" s="10"/>
      <c r="E650" s="10"/>
      <c r="F650" s="10"/>
      <c r="G650" s="10"/>
      <c r="H650" s="10"/>
      <c r="I650" s="674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675"/>
      <c r="V650" s="675"/>
    </row>
    <row r="651">
      <c r="A651" s="10" t="str">
        <f>IFERROR(__xludf.DUMMYFUNCTION("""COMPUTED_VALUE"""),"TODAJEY")</f>
        <v>TODAJEY</v>
      </c>
      <c r="B651" s="10">
        <f>IFERROR(__xludf.DUMMYFUNCTION("""COMPUTED_VALUE"""),14300.0)</f>
        <v>14300</v>
      </c>
      <c r="C651" s="10"/>
      <c r="D651" s="10"/>
      <c r="E651" s="10"/>
      <c r="F651" s="10"/>
      <c r="G651" s="10"/>
      <c r="H651" s="10"/>
      <c r="I651" s="674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675"/>
      <c r="V651" s="675"/>
    </row>
    <row r="652">
      <c r="A652" s="10" t="str">
        <f>IFERROR(__xludf.DUMMYFUNCTION("""COMPUTED_VALUE"""),"MAUKHA")</f>
        <v>MAUKHA</v>
      </c>
      <c r="B652" s="10">
        <f>IFERROR(__xludf.DUMMYFUNCTION("""COMPUTED_VALUE"""),14029.0)</f>
        <v>14029</v>
      </c>
      <c r="C652" s="10"/>
      <c r="D652" s="10"/>
      <c r="E652" s="10"/>
      <c r="F652" s="10"/>
      <c r="G652" s="10"/>
      <c r="H652" s="10"/>
      <c r="I652" s="674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675"/>
      <c r="V652" s="675"/>
    </row>
    <row r="653">
      <c r="A653" s="10" t="str">
        <f>IFERROR(__xludf.DUMMYFUNCTION("""COMPUTED_VALUE"""),"COFFEE")</f>
        <v>COFFEE</v>
      </c>
      <c r="B653" s="10">
        <f>IFERROR(__xludf.DUMMYFUNCTION("""COMPUTED_VALUE"""),13222.0)</f>
        <v>13222</v>
      </c>
      <c r="C653" s="10"/>
      <c r="D653" s="10"/>
      <c r="E653" s="10"/>
      <c r="F653" s="10"/>
      <c r="G653" s="10"/>
      <c r="H653" s="10"/>
      <c r="I653" s="674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675"/>
      <c r="V653" s="675"/>
    </row>
    <row r="654">
      <c r="A654" s="10" t="str">
        <f>IFERROR(__xludf.DUMMYFUNCTION("""COMPUTED_VALUE"""),"AESTH")</f>
        <v>AESTH</v>
      </c>
      <c r="B654" s="10">
        <f>IFERROR(__xludf.DUMMYFUNCTION("""COMPUTED_VALUE"""),14499.0)</f>
        <v>14499</v>
      </c>
      <c r="C654" s="10"/>
      <c r="D654" s="10"/>
      <c r="E654" s="10"/>
      <c r="F654" s="10"/>
      <c r="G654" s="10"/>
      <c r="H654" s="10"/>
      <c r="I654" s="674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675"/>
      <c r="V654" s="675"/>
    </row>
    <row r="655">
      <c r="A655" s="10" t="str">
        <f>IFERROR(__xludf.DUMMYFUNCTION("""COMPUTED_VALUE"""),"UROFFER")</f>
        <v>UROFFER</v>
      </c>
      <c r="B655" s="10">
        <f>IFERROR(__xludf.DUMMYFUNCTION("""COMPUTED_VALUE"""),9715.0)</f>
        <v>9715</v>
      </c>
      <c r="C655" s="10"/>
      <c r="D655" s="10"/>
      <c r="E655" s="10"/>
      <c r="F655" s="10"/>
      <c r="G655" s="10"/>
      <c r="H655" s="10"/>
      <c r="I655" s="674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675"/>
      <c r="V655" s="675"/>
    </row>
    <row r="656">
      <c r="A656" s="10" t="str">
        <f>IFERROR(__xludf.DUMMYFUNCTION("""COMPUTED_VALUE"""),"ALALX")</f>
        <v>ALALX</v>
      </c>
      <c r="B656" s="10">
        <f>IFERROR(__xludf.DUMMYFUNCTION("""COMPUTED_VALUE"""),14119.0)</f>
        <v>14119</v>
      </c>
      <c r="C656" s="10"/>
      <c r="D656" s="10"/>
      <c r="E656" s="10"/>
      <c r="F656" s="10"/>
      <c r="G656" s="10"/>
      <c r="H656" s="10"/>
      <c r="I656" s="674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675"/>
      <c r="V656" s="675"/>
    </row>
    <row r="657">
      <c r="A657" s="10" t="str">
        <f>IFERROR(__xludf.DUMMYFUNCTION("""COMPUTED_VALUE"""),"KHLOO")</f>
        <v>KHLOO</v>
      </c>
      <c r="B657" s="10">
        <f>IFERROR(__xludf.DUMMYFUNCTION("""COMPUTED_VALUE"""),9615.0)</f>
        <v>9615</v>
      </c>
      <c r="C657" s="10"/>
      <c r="D657" s="10"/>
      <c r="E657" s="10"/>
      <c r="F657" s="10"/>
      <c r="G657" s="10"/>
      <c r="H657" s="10"/>
      <c r="I657" s="674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675"/>
      <c r="V657" s="675"/>
    </row>
    <row r="658">
      <c r="A658" s="10" t="str">
        <f>IFERROR(__xludf.DUMMYFUNCTION("""COMPUTED_VALUE"""),"PLI")</f>
        <v>PLI</v>
      </c>
      <c r="B658" s="10">
        <f>IFERROR(__xludf.DUMMYFUNCTION("""COMPUTED_VALUE"""),14390.0)</f>
        <v>14390</v>
      </c>
      <c r="C658" s="10"/>
      <c r="D658" s="10"/>
      <c r="E658" s="10"/>
      <c r="F658" s="10"/>
      <c r="G658" s="10"/>
      <c r="H658" s="10"/>
      <c r="I658" s="674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675"/>
      <c r="V658" s="675"/>
    </row>
    <row r="659">
      <c r="A659" s="10" t="str">
        <f>IFERROR(__xludf.DUMMYFUNCTION("""COMPUTED_VALUE"""),"HANAM")</f>
        <v>HANAM</v>
      </c>
      <c r="B659" s="10">
        <f>IFERROR(__xludf.DUMMYFUNCTION("""COMPUTED_VALUE"""),13970.0)</f>
        <v>13970</v>
      </c>
      <c r="C659" s="10"/>
      <c r="D659" s="10"/>
      <c r="E659" s="10"/>
      <c r="F659" s="10"/>
      <c r="G659" s="10"/>
      <c r="H659" s="10"/>
      <c r="I659" s="674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675"/>
      <c r="V659" s="675"/>
    </row>
    <row r="660">
      <c r="A660" s="10" t="str">
        <f>IFERROR(__xludf.DUMMYFUNCTION("""COMPUTED_VALUE"""),"GODY")</f>
        <v>GODY</v>
      </c>
      <c r="B660" s="10">
        <f>IFERROR(__xludf.DUMMYFUNCTION("""COMPUTED_VALUE"""),14061.0)</f>
        <v>14061</v>
      </c>
      <c r="C660" s="10"/>
      <c r="D660" s="10"/>
      <c r="E660" s="10"/>
      <c r="F660" s="10"/>
      <c r="G660" s="10"/>
      <c r="H660" s="10"/>
      <c r="I660" s="674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675"/>
      <c r="V660" s="675"/>
    </row>
    <row r="661">
      <c r="A661" s="10" t="str">
        <f>IFERROR(__xludf.DUMMYFUNCTION("""COMPUTED_VALUE"""),"MNOS")</f>
        <v>MNOS</v>
      </c>
      <c r="B661" s="10">
        <f>IFERROR(__xludf.DUMMYFUNCTION("""COMPUTED_VALUE"""),1.0)</f>
        <v>1</v>
      </c>
      <c r="C661" s="10"/>
      <c r="D661" s="10"/>
      <c r="E661" s="10"/>
      <c r="F661" s="10"/>
      <c r="G661" s="10"/>
      <c r="H661" s="10"/>
      <c r="I661" s="674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675"/>
      <c r="V661" s="675"/>
    </row>
    <row r="662">
      <c r="A662" s="10" t="str">
        <f>IFERROR(__xludf.DUMMYFUNCTION("""COMPUTED_VALUE"""),"LIFEWI")</f>
        <v>LIFEWI</v>
      </c>
      <c r="B662" s="10">
        <f>IFERROR(__xludf.DUMMYFUNCTION("""COMPUTED_VALUE"""),13915.0)</f>
        <v>13915</v>
      </c>
      <c r="C662" s="10"/>
      <c r="D662" s="10"/>
      <c r="E662" s="10"/>
      <c r="F662" s="10"/>
      <c r="G662" s="10"/>
      <c r="H662" s="10"/>
      <c r="I662" s="674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675"/>
      <c r="V662" s="675"/>
    </row>
    <row r="663">
      <c r="A663" s="10" t="str">
        <f>IFERROR(__xludf.DUMMYFUNCTION("""COMPUTED_VALUE"""),"IEZR")</f>
        <v>IEZR</v>
      </c>
      <c r="B663" s="10">
        <f>IFERROR(__xludf.DUMMYFUNCTION("""COMPUTED_VALUE"""),13992.0)</f>
        <v>13992</v>
      </c>
      <c r="C663" s="10"/>
      <c r="D663" s="10"/>
      <c r="E663" s="10"/>
      <c r="F663" s="10"/>
      <c r="G663" s="10"/>
      <c r="H663" s="10"/>
      <c r="I663" s="674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675"/>
      <c r="V663" s="675"/>
    </row>
    <row r="664">
      <c r="A664" s="10" t="str">
        <f>IFERROR(__xludf.DUMMYFUNCTION("""COMPUTED_VALUE"""),"FTO")</f>
        <v>FTO</v>
      </c>
      <c r="B664" s="10">
        <f>IFERROR(__xludf.DUMMYFUNCTION("""COMPUTED_VALUE"""),14436.0)</f>
        <v>14436</v>
      </c>
      <c r="C664" s="10"/>
      <c r="D664" s="10"/>
      <c r="E664" s="10"/>
      <c r="F664" s="10"/>
      <c r="G664" s="10"/>
      <c r="H664" s="10"/>
      <c r="I664" s="674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675"/>
      <c r="V664" s="675"/>
    </row>
    <row r="665">
      <c r="A665" s="10" t="str">
        <f>IFERROR(__xludf.DUMMYFUNCTION("""COMPUTED_VALUE"""),"DIAPDLL")</f>
        <v>DIAPDLL</v>
      </c>
      <c r="B665" s="10">
        <f>IFERROR(__xludf.DUMMYFUNCTION("""COMPUTED_VALUE"""),14012.0)</f>
        <v>14012</v>
      </c>
      <c r="C665" s="10"/>
      <c r="D665" s="10"/>
      <c r="E665" s="10"/>
      <c r="F665" s="10"/>
      <c r="G665" s="10"/>
      <c r="H665" s="10"/>
      <c r="I665" s="674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675"/>
      <c r="V665" s="675"/>
    </row>
    <row r="666">
      <c r="A666" s="10" t="str">
        <f>IFERROR(__xludf.DUMMYFUNCTION("""COMPUTED_VALUE"""),"MONAFH")</f>
        <v>MONAFH</v>
      </c>
      <c r="B666" s="10">
        <f>IFERROR(__xludf.DUMMYFUNCTION("""COMPUTED_VALUE"""),1.0)</f>
        <v>1</v>
      </c>
      <c r="C666" s="10"/>
      <c r="D666" s="10"/>
      <c r="E666" s="10"/>
      <c r="F666" s="10"/>
      <c r="G666" s="10"/>
      <c r="H666" s="10"/>
      <c r="I666" s="674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675"/>
      <c r="V666" s="675"/>
    </row>
    <row r="667">
      <c r="A667" s="10" t="str">
        <f>IFERROR(__xludf.DUMMYFUNCTION("""COMPUTED_VALUE"""),"IRL")</f>
        <v>IRL</v>
      </c>
      <c r="B667" s="10">
        <f>IFERROR(__xludf.DUMMYFUNCTION("""COMPUTED_VALUE"""),1.0)</f>
        <v>1</v>
      </c>
      <c r="C667" s="10"/>
      <c r="D667" s="10"/>
      <c r="E667" s="10"/>
      <c r="F667" s="10"/>
      <c r="G667" s="10"/>
      <c r="H667" s="10"/>
      <c r="I667" s="674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675"/>
      <c r="V667" s="675"/>
    </row>
    <row r="668">
      <c r="A668" s="10" t="str">
        <f>IFERROR(__xludf.DUMMYFUNCTION("""COMPUTED_VALUE"""),"SAJAX")</f>
        <v>SAJAX</v>
      </c>
      <c r="B668" s="10">
        <f>IFERROR(__xludf.DUMMYFUNCTION("""COMPUTED_VALUE"""),14281.0)</f>
        <v>14281</v>
      </c>
      <c r="C668" s="10"/>
      <c r="D668" s="10"/>
      <c r="E668" s="10"/>
      <c r="F668" s="10"/>
      <c r="G668" s="10"/>
      <c r="H668" s="10"/>
      <c r="I668" s="674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675"/>
      <c r="V668" s="675"/>
    </row>
    <row r="669">
      <c r="A669" s="10" t="str">
        <f>IFERROR(__xludf.DUMMYFUNCTION("""COMPUTED_VALUE"""),"LON")</f>
        <v>LON</v>
      </c>
      <c r="B669" s="10">
        <f>IFERROR(__xludf.DUMMYFUNCTION("""COMPUTED_VALUE"""),14071.0)</f>
        <v>14071</v>
      </c>
      <c r="C669" s="10"/>
      <c r="D669" s="10"/>
      <c r="E669" s="10"/>
      <c r="F669" s="10"/>
      <c r="G669" s="10"/>
      <c r="H669" s="10"/>
      <c r="I669" s="674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675"/>
      <c r="V669" s="675"/>
    </row>
    <row r="670">
      <c r="A670" s="10" t="str">
        <f>IFERROR(__xludf.DUMMYFUNCTION("""COMPUTED_VALUE"""),"EMYM")</f>
        <v>EMYM</v>
      </c>
      <c r="B670" s="10"/>
      <c r="C670" s="10"/>
      <c r="D670" s="10"/>
      <c r="E670" s="10"/>
      <c r="F670" s="10"/>
      <c r="G670" s="10"/>
      <c r="H670" s="10"/>
      <c r="I670" s="674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675"/>
      <c r="V670" s="675"/>
    </row>
    <row r="671">
      <c r="A671" s="10" t="str">
        <f>IFERROR(__xludf.DUMMYFUNCTION("""COMPUTED_VALUE"""),"AMLAM")</f>
        <v>AMLAM</v>
      </c>
      <c r="B671" s="10"/>
      <c r="C671" s="10"/>
      <c r="D671" s="10"/>
      <c r="E671" s="10"/>
      <c r="F671" s="10"/>
      <c r="G671" s="10"/>
      <c r="H671" s="10"/>
      <c r="I671" s="674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529"/>
      <c r="V671" s="529"/>
    </row>
    <row r="672">
      <c r="A672" s="10" t="str">
        <f>IFERROR(__xludf.DUMMYFUNCTION("""COMPUTED_VALUE"""),"REEMM")</f>
        <v>REEMM</v>
      </c>
      <c r="B672" s="10">
        <f>IFERROR(__xludf.DUMMYFUNCTION("""COMPUTED_VALUE"""),14755.0)</f>
        <v>14755</v>
      </c>
      <c r="C672" s="10"/>
      <c r="D672" s="10"/>
      <c r="E672" s="10"/>
      <c r="F672" s="10"/>
      <c r="G672" s="10"/>
      <c r="H672" s="10"/>
      <c r="I672" s="674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529"/>
      <c r="V672" s="529"/>
    </row>
    <row r="673">
      <c r="A673" s="10" t="str">
        <f>IFERROR(__xludf.DUMMYFUNCTION("""COMPUTED_VALUE"""),"GARD")</f>
        <v>GARD</v>
      </c>
      <c r="B673" s="10">
        <f>IFERROR(__xludf.DUMMYFUNCTION("""COMPUTED_VALUE"""),13832.0)</f>
        <v>13832</v>
      </c>
      <c r="C673" s="10"/>
      <c r="D673" s="10"/>
      <c r="E673" s="10"/>
      <c r="F673" s="10"/>
      <c r="G673" s="10"/>
      <c r="H673" s="10"/>
      <c r="I673" s="674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529"/>
      <c r="V673" s="529"/>
    </row>
    <row r="674">
      <c r="A674" s="10" t="str">
        <f>IFERROR(__xludf.DUMMYFUNCTION("""COMPUTED_VALUE"""),"KOKYA")</f>
        <v>KOKYA</v>
      </c>
      <c r="B674" s="10">
        <f>IFERROR(__xludf.DUMMYFUNCTION("""COMPUTED_VALUE"""),1.0)</f>
        <v>1</v>
      </c>
      <c r="C674" s="10"/>
      <c r="D674" s="10"/>
      <c r="E674" s="10"/>
      <c r="F674" s="10"/>
      <c r="G674" s="10"/>
      <c r="H674" s="10"/>
      <c r="I674" s="674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529"/>
      <c r="V674" s="529"/>
    </row>
    <row r="675">
      <c r="A675" s="10" t="str">
        <f>IFERROR(__xludf.DUMMYFUNCTION("""COMPUTED_VALUE"""),"MODYM")</f>
        <v>MODYM</v>
      </c>
      <c r="B675" s="10"/>
      <c r="C675" s="10"/>
      <c r="D675" s="10"/>
      <c r="E675" s="10"/>
      <c r="F675" s="10"/>
      <c r="G675" s="10"/>
      <c r="H675" s="10"/>
      <c r="I675" s="674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529"/>
      <c r="V675" s="529"/>
    </row>
    <row r="676">
      <c r="A676" s="10" t="str">
        <f>IFERROR(__xludf.DUMMYFUNCTION("""COMPUTED_VALUE"""),"MARIAMXX")</f>
        <v>MARIAMXX</v>
      </c>
      <c r="B676" s="10">
        <f>IFERROR(__xludf.DUMMYFUNCTION("""COMPUTED_VALUE"""),14762.0)</f>
        <v>14762</v>
      </c>
      <c r="C676" s="10"/>
      <c r="D676" s="10"/>
      <c r="E676" s="10"/>
      <c r="F676" s="10"/>
      <c r="G676" s="10"/>
      <c r="H676" s="10"/>
      <c r="I676" s="674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529"/>
      <c r="V676" s="529"/>
    </row>
    <row r="677">
      <c r="A677" s="10" t="str">
        <f>IFERROR(__xludf.DUMMYFUNCTION("""COMPUTED_VALUE"""),"TARIQF")</f>
        <v>TARIQF</v>
      </c>
      <c r="B677" s="10">
        <f>IFERROR(__xludf.DUMMYFUNCTION("""COMPUTED_VALUE"""),14764.0)</f>
        <v>14764</v>
      </c>
      <c r="C677" s="10"/>
      <c r="D677" s="10"/>
      <c r="E677" s="10"/>
      <c r="F677" s="10"/>
      <c r="G677" s="10"/>
      <c r="H677" s="10"/>
      <c r="I677" s="674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529"/>
      <c r="V677" s="529"/>
    </row>
    <row r="678">
      <c r="A678" s="10" t="str">
        <f>IFERROR(__xludf.DUMMYFUNCTION("""COMPUTED_VALUE"""),"MARIA")</f>
        <v>MARIA</v>
      </c>
      <c r="B678" s="10">
        <f>IFERROR(__xludf.DUMMYFUNCTION("""COMPUTED_VALUE"""),1.0)</f>
        <v>1</v>
      </c>
      <c r="C678" s="10"/>
      <c r="D678" s="10"/>
      <c r="E678" s="10"/>
      <c r="F678" s="10"/>
      <c r="G678" s="10"/>
      <c r="H678" s="10"/>
      <c r="I678" s="674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529"/>
      <c r="V678" s="529"/>
    </row>
    <row r="679">
      <c r="A679" s="10" t="str">
        <f>IFERROR(__xludf.DUMMYFUNCTION("""COMPUTED_VALUE"""),"DONA")</f>
        <v>DONA</v>
      </c>
      <c r="B679" s="10">
        <f>IFERROR(__xludf.DUMMYFUNCTION("""COMPUTED_VALUE"""),6658.0)</f>
        <v>6658</v>
      </c>
      <c r="C679" s="10"/>
      <c r="D679" s="10"/>
      <c r="E679" s="10"/>
      <c r="F679" s="10"/>
      <c r="G679" s="10"/>
      <c r="H679" s="10"/>
      <c r="I679" s="674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529"/>
      <c r="V679" s="529"/>
    </row>
    <row r="680">
      <c r="A680" s="10" t="str">
        <f>IFERROR(__xludf.DUMMYFUNCTION("""COMPUTED_VALUE"""),"BYSA")</f>
        <v>BYSA</v>
      </c>
      <c r="B680" s="10">
        <f>IFERROR(__xludf.DUMMYFUNCTION("""COMPUTED_VALUE"""),14766.0)</f>
        <v>14766</v>
      </c>
      <c r="C680" s="10"/>
      <c r="D680" s="10"/>
      <c r="E680" s="10"/>
      <c r="F680" s="10"/>
      <c r="G680" s="10"/>
      <c r="H680" s="10"/>
      <c r="I680" s="674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529"/>
      <c r="V680" s="529"/>
    </row>
    <row r="681">
      <c r="A681" s="10"/>
      <c r="B681" s="10">
        <f>IFERROR(__xludf.DUMMYFUNCTION("""COMPUTED_VALUE"""),1.0)</f>
        <v>1</v>
      </c>
      <c r="C681" s="10"/>
      <c r="D681" s="10"/>
      <c r="E681" s="10"/>
      <c r="F681" s="10"/>
      <c r="G681" s="10"/>
      <c r="H681" s="10"/>
      <c r="I681" s="674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529"/>
      <c r="V681" s="529"/>
    </row>
    <row r="682">
      <c r="A682" s="10"/>
      <c r="B682" s="10">
        <f>IFERROR(__xludf.DUMMYFUNCTION("""COMPUTED_VALUE"""),1.0)</f>
        <v>1</v>
      </c>
      <c r="C682" s="10"/>
      <c r="D682" s="10"/>
      <c r="E682" s="10"/>
      <c r="F682" s="10"/>
      <c r="G682" s="10"/>
      <c r="H682" s="10"/>
      <c r="I682" s="674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529"/>
      <c r="V682" s="529"/>
    </row>
    <row r="683">
      <c r="A683" s="10"/>
      <c r="B683" s="10">
        <f>IFERROR(__xludf.DUMMYFUNCTION("""COMPUTED_VALUE"""),1.0)</f>
        <v>1</v>
      </c>
      <c r="C683" s="10"/>
      <c r="D683" s="10"/>
      <c r="E683" s="10"/>
      <c r="F683" s="10"/>
      <c r="G683" s="10"/>
      <c r="H683" s="10"/>
      <c r="I683" s="674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529"/>
      <c r="V683" s="529"/>
    </row>
    <row r="684">
      <c r="A684" s="10"/>
      <c r="B684" s="10">
        <f>IFERROR(__xludf.DUMMYFUNCTION("""COMPUTED_VALUE"""),1.0)</f>
        <v>1</v>
      </c>
      <c r="C684" s="10"/>
      <c r="D684" s="10"/>
      <c r="E684" s="10"/>
      <c r="F684" s="10"/>
      <c r="G684" s="10"/>
      <c r="H684" s="10"/>
      <c r="I684" s="674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529"/>
      <c r="V684" s="529"/>
    </row>
    <row r="685">
      <c r="A685" s="10"/>
      <c r="B685" s="10">
        <f>IFERROR(__xludf.DUMMYFUNCTION("""COMPUTED_VALUE"""),1.0)</f>
        <v>1</v>
      </c>
      <c r="C685" s="10"/>
      <c r="D685" s="10"/>
      <c r="E685" s="10"/>
      <c r="F685" s="10"/>
      <c r="G685" s="10"/>
      <c r="H685" s="10"/>
      <c r="I685" s="674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529"/>
      <c r="V685" s="529"/>
    </row>
    <row r="686">
      <c r="A686" s="10"/>
      <c r="B686" s="10">
        <f>IFERROR(__xludf.DUMMYFUNCTION("""COMPUTED_VALUE"""),1.0)</f>
        <v>1</v>
      </c>
      <c r="C686" s="10"/>
      <c r="D686" s="10"/>
      <c r="E686" s="10"/>
      <c r="F686" s="10"/>
      <c r="G686" s="10"/>
      <c r="H686" s="10"/>
      <c r="I686" s="674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529"/>
      <c r="V686" s="529"/>
    </row>
    <row r="687">
      <c r="A687" s="10"/>
      <c r="B687" s="10">
        <f>IFERROR(__xludf.DUMMYFUNCTION("""COMPUTED_VALUE"""),1.0)</f>
        <v>1</v>
      </c>
      <c r="C687" s="10"/>
      <c r="D687" s="10"/>
      <c r="E687" s="10"/>
      <c r="F687" s="10"/>
      <c r="G687" s="10"/>
      <c r="H687" s="10"/>
      <c r="I687" s="674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529"/>
      <c r="V687" s="529"/>
    </row>
    <row r="688">
      <c r="A688" s="10"/>
      <c r="B688" s="10">
        <f>IFERROR(__xludf.DUMMYFUNCTION("""COMPUTED_VALUE"""),1.0)</f>
        <v>1</v>
      </c>
      <c r="C688" s="10"/>
      <c r="D688" s="10"/>
      <c r="E688" s="10"/>
      <c r="F688" s="10"/>
      <c r="G688" s="10"/>
      <c r="H688" s="10"/>
      <c r="I688" s="674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529"/>
      <c r="V688" s="529"/>
    </row>
    <row r="689">
      <c r="A689" s="10"/>
      <c r="B689" s="10">
        <f>IFERROR(__xludf.DUMMYFUNCTION("""COMPUTED_VALUE"""),1.0)</f>
        <v>1</v>
      </c>
      <c r="C689" s="10"/>
      <c r="D689" s="10"/>
      <c r="E689" s="10"/>
      <c r="F689" s="10"/>
      <c r="G689" s="10"/>
      <c r="H689" s="10"/>
      <c r="I689" s="674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529"/>
      <c r="V689" s="529"/>
    </row>
    <row r="690">
      <c r="A690" s="10"/>
      <c r="B690" s="10">
        <f>IFERROR(__xludf.DUMMYFUNCTION("""COMPUTED_VALUE"""),1.0)</f>
        <v>1</v>
      </c>
      <c r="C690" s="10"/>
      <c r="D690" s="10"/>
      <c r="E690" s="10"/>
      <c r="F690" s="10"/>
      <c r="G690" s="10"/>
      <c r="H690" s="10"/>
      <c r="I690" s="674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529"/>
      <c r="V690" s="529"/>
    </row>
    <row r="691">
      <c r="A691" s="10"/>
      <c r="B691" s="10">
        <f>IFERROR(__xludf.DUMMYFUNCTION("""COMPUTED_VALUE"""),1.0)</f>
        <v>1</v>
      </c>
      <c r="C691" s="10"/>
      <c r="D691" s="10"/>
      <c r="E691" s="10"/>
      <c r="F691" s="10"/>
      <c r="G691" s="10"/>
      <c r="H691" s="10"/>
      <c r="I691" s="674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529"/>
      <c r="V691" s="529"/>
    </row>
    <row r="692">
      <c r="A692" s="10"/>
      <c r="B692" s="10">
        <f>IFERROR(__xludf.DUMMYFUNCTION("""COMPUTED_VALUE"""),1.0)</f>
        <v>1</v>
      </c>
      <c r="C692" s="10"/>
      <c r="D692" s="10"/>
      <c r="E692" s="10"/>
      <c r="F692" s="10"/>
      <c r="G692" s="10"/>
      <c r="H692" s="10"/>
      <c r="I692" s="674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529"/>
      <c r="V692" s="529"/>
    </row>
    <row r="693">
      <c r="A693" s="10"/>
      <c r="B693" s="10">
        <f>IFERROR(__xludf.DUMMYFUNCTION("""COMPUTED_VALUE"""),1.0)</f>
        <v>1</v>
      </c>
      <c r="C693" s="10"/>
      <c r="D693" s="10"/>
      <c r="E693" s="10"/>
      <c r="F693" s="10"/>
      <c r="G693" s="10"/>
      <c r="H693" s="10"/>
      <c r="I693" s="674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529"/>
      <c r="V693" s="529"/>
    </row>
    <row r="694">
      <c r="A694" s="10"/>
      <c r="B694" s="10">
        <f>IFERROR(__xludf.DUMMYFUNCTION("""COMPUTED_VALUE"""),1.0)</f>
        <v>1</v>
      </c>
      <c r="C694" s="10"/>
      <c r="D694" s="10"/>
      <c r="E694" s="10"/>
      <c r="F694" s="10"/>
      <c r="G694" s="10"/>
      <c r="H694" s="10"/>
      <c r="I694" s="674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529"/>
      <c r="V694" s="529"/>
    </row>
    <row r="695">
      <c r="A695" s="10"/>
      <c r="B695" s="10">
        <f>IFERROR(__xludf.DUMMYFUNCTION("""COMPUTED_VALUE"""),1.0)</f>
        <v>1</v>
      </c>
      <c r="C695" s="10"/>
      <c r="D695" s="10"/>
      <c r="E695" s="10"/>
      <c r="F695" s="10"/>
      <c r="G695" s="10"/>
      <c r="H695" s="10"/>
      <c r="I695" s="674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529"/>
      <c r="V695" s="529"/>
    </row>
    <row r="696">
      <c r="A696" s="10"/>
      <c r="B696" s="10">
        <f>IFERROR(__xludf.DUMMYFUNCTION("""COMPUTED_VALUE"""),1.0)</f>
        <v>1</v>
      </c>
      <c r="C696" s="10"/>
      <c r="D696" s="10"/>
      <c r="E696" s="10"/>
      <c r="F696" s="10"/>
      <c r="G696" s="10"/>
      <c r="H696" s="10"/>
      <c r="I696" s="674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529"/>
      <c r="V696" s="529"/>
    </row>
    <row r="697">
      <c r="A697" s="10"/>
      <c r="B697" s="10">
        <f>IFERROR(__xludf.DUMMYFUNCTION("""COMPUTED_VALUE"""),1.0)</f>
        <v>1</v>
      </c>
      <c r="C697" s="10"/>
      <c r="D697" s="10"/>
      <c r="E697" s="10"/>
      <c r="F697" s="10"/>
      <c r="G697" s="10"/>
      <c r="H697" s="10"/>
      <c r="I697" s="674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529"/>
      <c r="V697" s="529"/>
    </row>
    <row r="698">
      <c r="A698" s="10"/>
      <c r="B698" s="10">
        <f>IFERROR(__xludf.DUMMYFUNCTION("""COMPUTED_VALUE"""),1.0)</f>
        <v>1</v>
      </c>
      <c r="C698" s="10"/>
      <c r="D698" s="10"/>
      <c r="E698" s="10"/>
      <c r="F698" s="10"/>
      <c r="G698" s="10"/>
      <c r="H698" s="10"/>
      <c r="I698" s="674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529"/>
      <c r="V698" s="529"/>
    </row>
    <row r="699">
      <c r="A699" s="10"/>
      <c r="B699" s="10">
        <f>IFERROR(__xludf.DUMMYFUNCTION("""COMPUTED_VALUE"""),1.0)</f>
        <v>1</v>
      </c>
      <c r="C699" s="10"/>
      <c r="D699" s="10"/>
      <c r="E699" s="10"/>
      <c r="F699" s="10"/>
      <c r="G699" s="10"/>
      <c r="H699" s="10"/>
      <c r="I699" s="674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529"/>
      <c r="V699" s="529"/>
    </row>
    <row r="700">
      <c r="A700" s="10"/>
      <c r="B700" s="10">
        <f>IFERROR(__xludf.DUMMYFUNCTION("""COMPUTED_VALUE"""),1.0)</f>
        <v>1</v>
      </c>
      <c r="C700" s="10"/>
      <c r="D700" s="10"/>
      <c r="E700" s="10"/>
      <c r="F700" s="10"/>
      <c r="G700" s="10"/>
      <c r="H700" s="10"/>
      <c r="I700" s="674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529"/>
      <c r="V700" s="529"/>
    </row>
    <row r="701">
      <c r="A701" s="10"/>
      <c r="B701" s="10">
        <f>IFERROR(__xludf.DUMMYFUNCTION("""COMPUTED_VALUE"""),1.0)</f>
        <v>1</v>
      </c>
      <c r="C701" s="10"/>
      <c r="D701" s="10"/>
      <c r="E701" s="10"/>
      <c r="F701" s="10"/>
      <c r="G701" s="10"/>
      <c r="H701" s="10"/>
      <c r="I701" s="674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529"/>
      <c r="V701" s="529"/>
    </row>
    <row r="702">
      <c r="A702" s="10"/>
      <c r="B702" s="10">
        <f>IFERROR(__xludf.DUMMYFUNCTION("""COMPUTED_VALUE"""),1.0)</f>
        <v>1</v>
      </c>
      <c r="C702" s="10"/>
      <c r="D702" s="10"/>
      <c r="E702" s="10"/>
      <c r="F702" s="10"/>
      <c r="G702" s="10"/>
      <c r="H702" s="10"/>
      <c r="I702" s="674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529"/>
      <c r="V702" s="529"/>
    </row>
    <row r="703">
      <c r="A703" s="10"/>
      <c r="B703" s="10">
        <f>IFERROR(__xludf.DUMMYFUNCTION("""COMPUTED_VALUE"""),1.0)</f>
        <v>1</v>
      </c>
      <c r="C703" s="10"/>
      <c r="D703" s="10"/>
      <c r="E703" s="10"/>
      <c r="F703" s="10"/>
      <c r="G703" s="10"/>
      <c r="H703" s="10"/>
      <c r="I703" s="674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529"/>
      <c r="V703" s="529"/>
    </row>
    <row r="704">
      <c r="A704" s="10"/>
      <c r="B704" s="10">
        <f>IFERROR(__xludf.DUMMYFUNCTION("""COMPUTED_VALUE"""),1.0)</f>
        <v>1</v>
      </c>
      <c r="C704" s="10"/>
      <c r="D704" s="10"/>
      <c r="E704" s="10"/>
      <c r="F704" s="10"/>
      <c r="G704" s="10"/>
      <c r="H704" s="10"/>
      <c r="I704" s="674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529"/>
      <c r="V704" s="529"/>
    </row>
    <row r="705">
      <c r="A705" s="10"/>
      <c r="B705" s="10">
        <f>IFERROR(__xludf.DUMMYFUNCTION("""COMPUTED_VALUE"""),1.0)</f>
        <v>1</v>
      </c>
      <c r="C705" s="10"/>
      <c r="D705" s="10"/>
      <c r="E705" s="10"/>
      <c r="F705" s="10"/>
      <c r="G705" s="10"/>
      <c r="H705" s="10"/>
      <c r="I705" s="674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529"/>
      <c r="V705" s="529"/>
    </row>
    <row r="706">
      <c r="A706" s="10"/>
      <c r="B706" s="10">
        <f>IFERROR(__xludf.DUMMYFUNCTION("""COMPUTED_VALUE"""),1.0)</f>
        <v>1</v>
      </c>
      <c r="C706" s="10"/>
      <c r="D706" s="10"/>
      <c r="E706" s="10"/>
      <c r="F706" s="10"/>
      <c r="G706" s="10"/>
      <c r="H706" s="10"/>
      <c r="I706" s="674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529"/>
      <c r="V706" s="529"/>
    </row>
    <row r="707">
      <c r="A707" s="10"/>
      <c r="B707" s="10">
        <f>IFERROR(__xludf.DUMMYFUNCTION("""COMPUTED_VALUE"""),1.0)</f>
        <v>1</v>
      </c>
      <c r="C707" s="10"/>
      <c r="D707" s="10"/>
      <c r="E707" s="10"/>
      <c r="F707" s="10"/>
      <c r="G707" s="10"/>
      <c r="H707" s="10"/>
      <c r="I707" s="674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529"/>
      <c r="V707" s="529"/>
    </row>
    <row r="708">
      <c r="A708" s="10"/>
      <c r="B708" s="10">
        <f>IFERROR(__xludf.DUMMYFUNCTION("""COMPUTED_VALUE"""),1.0)</f>
        <v>1</v>
      </c>
      <c r="C708" s="10"/>
      <c r="D708" s="10"/>
      <c r="E708" s="10"/>
      <c r="F708" s="10"/>
      <c r="G708" s="10"/>
      <c r="H708" s="10"/>
      <c r="I708" s="674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529"/>
      <c r="V708" s="529"/>
    </row>
    <row r="709">
      <c r="A709" s="10"/>
      <c r="B709" s="10">
        <f>IFERROR(__xludf.DUMMYFUNCTION("""COMPUTED_VALUE"""),1.0)</f>
        <v>1</v>
      </c>
      <c r="C709" s="10"/>
      <c r="D709" s="10"/>
      <c r="E709" s="10"/>
      <c r="F709" s="10"/>
      <c r="G709" s="10"/>
      <c r="H709" s="10"/>
      <c r="I709" s="674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529"/>
      <c r="V709" s="529"/>
    </row>
    <row r="710">
      <c r="A710" s="10"/>
      <c r="B710" s="10">
        <f>IFERROR(__xludf.DUMMYFUNCTION("""COMPUTED_VALUE"""),1.0)</f>
        <v>1</v>
      </c>
      <c r="C710" s="10"/>
      <c r="D710" s="10"/>
      <c r="E710" s="10"/>
      <c r="F710" s="10"/>
      <c r="G710" s="10"/>
      <c r="H710" s="10"/>
      <c r="I710" s="674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529"/>
      <c r="V710" s="529"/>
    </row>
    <row r="711">
      <c r="A711" s="10"/>
      <c r="B711" s="10">
        <f>IFERROR(__xludf.DUMMYFUNCTION("""COMPUTED_VALUE"""),1.0)</f>
        <v>1</v>
      </c>
      <c r="C711" s="10"/>
      <c r="D711" s="10"/>
      <c r="E711" s="10"/>
      <c r="F711" s="10"/>
      <c r="G711" s="10"/>
      <c r="H711" s="10"/>
      <c r="I711" s="674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529"/>
      <c r="V711" s="529"/>
    </row>
    <row r="712">
      <c r="A712" s="10"/>
      <c r="B712" s="10">
        <f>IFERROR(__xludf.DUMMYFUNCTION("""COMPUTED_VALUE"""),1.0)</f>
        <v>1</v>
      </c>
      <c r="C712" s="10"/>
      <c r="D712" s="10"/>
      <c r="E712" s="10"/>
      <c r="F712" s="10"/>
      <c r="G712" s="10"/>
      <c r="H712" s="10"/>
      <c r="I712" s="674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529"/>
      <c r="V712" s="529"/>
    </row>
    <row r="713">
      <c r="A713" s="10"/>
      <c r="B713" s="10">
        <f>IFERROR(__xludf.DUMMYFUNCTION("""COMPUTED_VALUE"""),1.0)</f>
        <v>1</v>
      </c>
      <c r="C713" s="10"/>
      <c r="D713" s="10"/>
      <c r="E713" s="10"/>
      <c r="F713" s="10"/>
      <c r="G713" s="10"/>
      <c r="H713" s="10"/>
      <c r="I713" s="674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529"/>
      <c r="V713" s="529"/>
    </row>
    <row r="714">
      <c r="A714" s="10"/>
      <c r="B714" s="10">
        <f>IFERROR(__xludf.DUMMYFUNCTION("""COMPUTED_VALUE"""),1.0)</f>
        <v>1</v>
      </c>
      <c r="C714" s="10"/>
      <c r="D714" s="10"/>
      <c r="E714" s="10"/>
      <c r="F714" s="10"/>
      <c r="G714" s="10"/>
      <c r="H714" s="10"/>
      <c r="I714" s="674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529"/>
      <c r="V714" s="529"/>
    </row>
    <row r="715">
      <c r="A715" s="10"/>
      <c r="B715" s="10">
        <f>IFERROR(__xludf.DUMMYFUNCTION("""COMPUTED_VALUE"""),1.0)</f>
        <v>1</v>
      </c>
      <c r="C715" s="10"/>
      <c r="D715" s="10"/>
      <c r="E715" s="10"/>
      <c r="F715" s="10"/>
      <c r="G715" s="10"/>
      <c r="H715" s="10"/>
      <c r="I715" s="674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529"/>
      <c r="V715" s="529"/>
    </row>
    <row r="716">
      <c r="A716" s="10"/>
      <c r="B716" s="10">
        <f>IFERROR(__xludf.DUMMYFUNCTION("""COMPUTED_VALUE"""),1.0)</f>
        <v>1</v>
      </c>
      <c r="C716" s="10"/>
      <c r="D716" s="10"/>
      <c r="E716" s="10"/>
      <c r="F716" s="10"/>
      <c r="G716" s="10"/>
      <c r="H716" s="10"/>
      <c r="I716" s="674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529"/>
      <c r="V716" s="529"/>
    </row>
    <row r="717">
      <c r="A717" s="10"/>
      <c r="B717" s="10">
        <f>IFERROR(__xludf.DUMMYFUNCTION("""COMPUTED_VALUE"""),1.0)</f>
        <v>1</v>
      </c>
      <c r="C717" s="10"/>
      <c r="D717" s="10"/>
      <c r="E717" s="10"/>
      <c r="F717" s="10"/>
      <c r="G717" s="10"/>
      <c r="H717" s="10"/>
      <c r="I717" s="674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529"/>
      <c r="V717" s="529"/>
    </row>
    <row r="718">
      <c r="A718" s="10"/>
      <c r="B718" s="10">
        <f>IFERROR(__xludf.DUMMYFUNCTION("""COMPUTED_VALUE"""),1.0)</f>
        <v>1</v>
      </c>
      <c r="C718" s="10"/>
      <c r="D718" s="10"/>
      <c r="E718" s="10"/>
      <c r="F718" s="10"/>
      <c r="G718" s="10"/>
      <c r="H718" s="10"/>
      <c r="I718" s="674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529"/>
      <c r="V718" s="529"/>
    </row>
    <row r="719">
      <c r="A719" s="10"/>
      <c r="B719" s="10">
        <f>IFERROR(__xludf.DUMMYFUNCTION("""COMPUTED_VALUE"""),1.0)</f>
        <v>1</v>
      </c>
      <c r="C719" s="10"/>
      <c r="D719" s="10"/>
      <c r="E719" s="10"/>
      <c r="F719" s="10"/>
      <c r="G719" s="10"/>
      <c r="H719" s="10"/>
      <c r="I719" s="674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529"/>
      <c r="V719" s="529"/>
    </row>
    <row r="720">
      <c r="A720" s="10"/>
      <c r="B720" s="10">
        <f>IFERROR(__xludf.DUMMYFUNCTION("""COMPUTED_VALUE"""),1.0)</f>
        <v>1</v>
      </c>
      <c r="C720" s="10"/>
      <c r="D720" s="10"/>
      <c r="E720" s="10"/>
      <c r="F720" s="10"/>
      <c r="G720" s="10"/>
      <c r="H720" s="10"/>
      <c r="I720" s="674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529"/>
      <c r="V720" s="529"/>
    </row>
    <row r="721">
      <c r="A721" s="10"/>
      <c r="B721" s="10">
        <f>IFERROR(__xludf.DUMMYFUNCTION("""COMPUTED_VALUE"""),1.0)</f>
        <v>1</v>
      </c>
      <c r="C721" s="10"/>
      <c r="D721" s="10"/>
      <c r="E721" s="10"/>
      <c r="F721" s="10"/>
      <c r="G721" s="10"/>
      <c r="H721" s="10"/>
      <c r="I721" s="674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529"/>
      <c r="V721" s="529"/>
    </row>
    <row r="722">
      <c r="A722" s="10"/>
      <c r="B722" s="10">
        <f>IFERROR(__xludf.DUMMYFUNCTION("""COMPUTED_VALUE"""),1.0)</f>
        <v>1</v>
      </c>
      <c r="C722" s="10"/>
      <c r="D722" s="10"/>
      <c r="E722" s="10"/>
      <c r="F722" s="10"/>
      <c r="G722" s="10"/>
      <c r="H722" s="10"/>
      <c r="I722" s="674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529"/>
      <c r="V722" s="529"/>
    </row>
    <row r="723">
      <c r="A723" s="10"/>
      <c r="B723" s="10">
        <f>IFERROR(__xludf.DUMMYFUNCTION("""COMPUTED_VALUE"""),1.0)</f>
        <v>1</v>
      </c>
      <c r="C723" s="10"/>
      <c r="D723" s="10"/>
      <c r="E723" s="10"/>
      <c r="F723" s="10"/>
      <c r="G723" s="10"/>
      <c r="H723" s="10"/>
      <c r="I723" s="674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529"/>
      <c r="V723" s="529"/>
    </row>
    <row r="724">
      <c r="A724" s="10"/>
      <c r="B724" s="10">
        <f>IFERROR(__xludf.DUMMYFUNCTION("""COMPUTED_VALUE"""),1.0)</f>
        <v>1</v>
      </c>
      <c r="C724" s="10"/>
      <c r="D724" s="10"/>
      <c r="E724" s="10"/>
      <c r="F724" s="10"/>
      <c r="G724" s="10"/>
      <c r="H724" s="10"/>
      <c r="I724" s="674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529"/>
      <c r="V724" s="529"/>
    </row>
    <row r="725">
      <c r="A725" s="10"/>
      <c r="B725" s="10">
        <f>IFERROR(__xludf.DUMMYFUNCTION("""COMPUTED_VALUE"""),1.0)</f>
        <v>1</v>
      </c>
      <c r="C725" s="10"/>
      <c r="D725" s="10"/>
      <c r="E725" s="10"/>
      <c r="F725" s="10"/>
      <c r="G725" s="10"/>
      <c r="H725" s="10"/>
      <c r="I725" s="674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529"/>
      <c r="V725" s="529"/>
    </row>
    <row r="726">
      <c r="A726" s="10"/>
      <c r="B726" s="10">
        <f>IFERROR(__xludf.DUMMYFUNCTION("""COMPUTED_VALUE"""),1.0)</f>
        <v>1</v>
      </c>
      <c r="C726" s="10"/>
      <c r="D726" s="10"/>
      <c r="E726" s="10"/>
      <c r="F726" s="10"/>
      <c r="G726" s="10"/>
      <c r="H726" s="10"/>
      <c r="I726" s="674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529"/>
      <c r="V726" s="529"/>
    </row>
    <row r="727">
      <c r="A727" s="10"/>
      <c r="B727" s="10">
        <f>IFERROR(__xludf.DUMMYFUNCTION("""COMPUTED_VALUE"""),1.0)</f>
        <v>1</v>
      </c>
      <c r="C727" s="10"/>
      <c r="D727" s="10"/>
      <c r="E727" s="10"/>
      <c r="F727" s="10"/>
      <c r="G727" s="10"/>
      <c r="H727" s="10"/>
      <c r="I727" s="674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529"/>
      <c r="V727" s="529"/>
    </row>
    <row r="728">
      <c r="A728" s="10"/>
      <c r="B728" s="10">
        <f>IFERROR(__xludf.DUMMYFUNCTION("""COMPUTED_VALUE"""),1.0)</f>
        <v>1</v>
      </c>
      <c r="C728" s="10"/>
      <c r="D728" s="10"/>
      <c r="E728" s="10"/>
      <c r="F728" s="10"/>
      <c r="G728" s="10"/>
      <c r="H728" s="10"/>
      <c r="I728" s="674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529"/>
      <c r="V728" s="529"/>
    </row>
    <row r="729">
      <c r="A729" s="10"/>
      <c r="B729" s="10">
        <f>IFERROR(__xludf.DUMMYFUNCTION("""COMPUTED_VALUE"""),1.0)</f>
        <v>1</v>
      </c>
      <c r="C729" s="10"/>
      <c r="D729" s="10"/>
      <c r="E729" s="10"/>
      <c r="F729" s="10"/>
      <c r="G729" s="10"/>
      <c r="H729" s="10"/>
      <c r="I729" s="674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529"/>
      <c r="V729" s="529"/>
    </row>
    <row r="730">
      <c r="A730" s="10"/>
      <c r="B730" s="10">
        <f>IFERROR(__xludf.DUMMYFUNCTION("""COMPUTED_VALUE"""),1.0)</f>
        <v>1</v>
      </c>
      <c r="C730" s="10"/>
      <c r="D730" s="10"/>
      <c r="E730" s="10"/>
      <c r="F730" s="10"/>
      <c r="G730" s="10"/>
      <c r="H730" s="10"/>
      <c r="I730" s="674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529"/>
      <c r="V730" s="529"/>
    </row>
    <row r="731">
      <c r="A731" s="10"/>
      <c r="B731" s="10">
        <f>IFERROR(__xludf.DUMMYFUNCTION("""COMPUTED_VALUE"""),1.0)</f>
        <v>1</v>
      </c>
      <c r="C731" s="10"/>
      <c r="D731" s="10"/>
      <c r="E731" s="10"/>
      <c r="F731" s="10"/>
      <c r="G731" s="10"/>
      <c r="H731" s="10"/>
      <c r="I731" s="674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529"/>
      <c r="V731" s="529"/>
    </row>
    <row r="732">
      <c r="A732" s="10"/>
      <c r="B732" s="10">
        <f>IFERROR(__xludf.DUMMYFUNCTION("""COMPUTED_VALUE"""),1.0)</f>
        <v>1</v>
      </c>
      <c r="C732" s="10"/>
      <c r="D732" s="10"/>
      <c r="E732" s="10"/>
      <c r="F732" s="10"/>
      <c r="G732" s="10"/>
      <c r="H732" s="10"/>
      <c r="I732" s="674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529"/>
      <c r="V732" s="529"/>
    </row>
    <row r="733">
      <c r="A733" s="10"/>
      <c r="B733" s="10">
        <f>IFERROR(__xludf.DUMMYFUNCTION("""COMPUTED_VALUE"""),1.0)</f>
        <v>1</v>
      </c>
      <c r="C733" s="10"/>
      <c r="D733" s="10"/>
      <c r="E733" s="10"/>
      <c r="F733" s="10"/>
      <c r="G733" s="10"/>
      <c r="H733" s="10"/>
      <c r="I733" s="674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529"/>
      <c r="V733" s="529"/>
    </row>
    <row r="734">
      <c r="A734" s="10"/>
      <c r="B734" s="10">
        <f>IFERROR(__xludf.DUMMYFUNCTION("""COMPUTED_VALUE"""),1.0)</f>
        <v>1</v>
      </c>
      <c r="C734" s="10"/>
      <c r="D734" s="10"/>
      <c r="E734" s="10"/>
      <c r="F734" s="10"/>
      <c r="G734" s="10"/>
      <c r="H734" s="10"/>
      <c r="I734" s="674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529"/>
      <c r="V734" s="529"/>
    </row>
    <row r="735">
      <c r="A735" s="10"/>
      <c r="B735" s="10">
        <f>IFERROR(__xludf.DUMMYFUNCTION("""COMPUTED_VALUE"""),1.0)</f>
        <v>1</v>
      </c>
      <c r="C735" s="10"/>
      <c r="D735" s="10"/>
      <c r="E735" s="10"/>
      <c r="F735" s="10"/>
      <c r="G735" s="10"/>
      <c r="H735" s="10"/>
      <c r="I735" s="674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529"/>
      <c r="V735" s="529"/>
    </row>
    <row r="736">
      <c r="A736" s="10"/>
      <c r="B736" s="10">
        <f>IFERROR(__xludf.DUMMYFUNCTION("""COMPUTED_VALUE"""),1.0)</f>
        <v>1</v>
      </c>
      <c r="C736" s="10"/>
      <c r="D736" s="10"/>
      <c r="E736" s="10"/>
      <c r="F736" s="10"/>
      <c r="G736" s="10"/>
      <c r="H736" s="10"/>
      <c r="I736" s="674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529"/>
      <c r="V736" s="529"/>
    </row>
    <row r="737">
      <c r="A737" s="10"/>
      <c r="B737" s="10">
        <f>IFERROR(__xludf.DUMMYFUNCTION("""COMPUTED_VALUE"""),1.0)</f>
        <v>1</v>
      </c>
      <c r="C737" s="10"/>
      <c r="D737" s="10"/>
      <c r="E737" s="10"/>
      <c r="F737" s="10"/>
      <c r="G737" s="10"/>
      <c r="H737" s="10"/>
      <c r="I737" s="674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529"/>
      <c r="V737" s="529"/>
    </row>
    <row r="738">
      <c r="A738" s="10"/>
      <c r="B738" s="10">
        <f>IFERROR(__xludf.DUMMYFUNCTION("""COMPUTED_VALUE"""),1.0)</f>
        <v>1</v>
      </c>
      <c r="C738" s="10"/>
      <c r="D738" s="10"/>
      <c r="E738" s="10"/>
      <c r="F738" s="10"/>
      <c r="G738" s="10"/>
      <c r="H738" s="10"/>
      <c r="I738" s="674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529"/>
      <c r="V738" s="529"/>
    </row>
    <row r="739">
      <c r="A739" s="10"/>
      <c r="B739" s="10">
        <f>IFERROR(__xludf.DUMMYFUNCTION("""COMPUTED_VALUE"""),1.0)</f>
        <v>1</v>
      </c>
      <c r="C739" s="10"/>
      <c r="D739" s="10"/>
      <c r="E739" s="10"/>
      <c r="F739" s="10"/>
      <c r="G739" s="10"/>
      <c r="H739" s="10"/>
      <c r="I739" s="674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529"/>
      <c r="V739" s="529"/>
    </row>
    <row r="740">
      <c r="A740" s="10"/>
      <c r="B740" s="10">
        <f>IFERROR(__xludf.DUMMYFUNCTION("""COMPUTED_VALUE"""),1.0)</f>
        <v>1</v>
      </c>
      <c r="C740" s="10"/>
      <c r="D740" s="10"/>
      <c r="E740" s="10"/>
      <c r="F740" s="10"/>
      <c r="G740" s="10"/>
      <c r="H740" s="10"/>
      <c r="I740" s="674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529"/>
      <c r="V740" s="529"/>
    </row>
    <row r="741">
      <c r="A741" s="10"/>
      <c r="B741" s="10">
        <f>IFERROR(__xludf.DUMMYFUNCTION("""COMPUTED_VALUE"""),1.0)</f>
        <v>1</v>
      </c>
      <c r="C741" s="10"/>
      <c r="D741" s="10"/>
      <c r="E741" s="10"/>
      <c r="F741" s="10"/>
      <c r="G741" s="10"/>
      <c r="H741" s="10"/>
      <c r="I741" s="674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529"/>
      <c r="V741" s="529"/>
    </row>
    <row r="742">
      <c r="A742" s="10"/>
      <c r="B742" s="10">
        <f>IFERROR(__xludf.DUMMYFUNCTION("""COMPUTED_VALUE"""),1.0)</f>
        <v>1</v>
      </c>
      <c r="C742" s="10"/>
      <c r="D742" s="10"/>
      <c r="E742" s="10"/>
      <c r="F742" s="10"/>
      <c r="G742" s="10"/>
      <c r="H742" s="10"/>
      <c r="I742" s="674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529"/>
      <c r="V742" s="529"/>
    </row>
    <row r="743">
      <c r="A743" s="10"/>
      <c r="B743" s="10">
        <f>IFERROR(__xludf.DUMMYFUNCTION("""COMPUTED_VALUE"""),1.0)</f>
        <v>1</v>
      </c>
      <c r="C743" s="10"/>
      <c r="D743" s="10"/>
      <c r="E743" s="10"/>
      <c r="F743" s="10"/>
      <c r="G743" s="10"/>
      <c r="H743" s="10"/>
      <c r="I743" s="674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529"/>
      <c r="V743" s="529"/>
    </row>
    <row r="744">
      <c r="A744" s="10"/>
      <c r="B744" s="10">
        <f>IFERROR(__xludf.DUMMYFUNCTION("""COMPUTED_VALUE"""),1.0)</f>
        <v>1</v>
      </c>
      <c r="C744" s="10"/>
      <c r="D744" s="10"/>
      <c r="E744" s="10"/>
      <c r="F744" s="10"/>
      <c r="G744" s="10"/>
      <c r="H744" s="10"/>
      <c r="I744" s="674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529"/>
      <c r="V744" s="529"/>
    </row>
    <row r="745">
      <c r="A745" s="10"/>
      <c r="B745" s="10">
        <f>IFERROR(__xludf.DUMMYFUNCTION("""COMPUTED_VALUE"""),1.0)</f>
        <v>1</v>
      </c>
      <c r="C745" s="10"/>
      <c r="D745" s="10"/>
      <c r="E745" s="10"/>
      <c r="F745" s="10"/>
      <c r="G745" s="10"/>
      <c r="H745" s="10"/>
      <c r="I745" s="674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529"/>
      <c r="V745" s="529"/>
    </row>
    <row r="746">
      <c r="A746" s="10"/>
      <c r="B746" s="10">
        <f>IFERROR(__xludf.DUMMYFUNCTION("""COMPUTED_VALUE"""),1.0)</f>
        <v>1</v>
      </c>
      <c r="C746" s="10"/>
      <c r="D746" s="10"/>
      <c r="E746" s="10"/>
      <c r="F746" s="10"/>
      <c r="G746" s="10"/>
      <c r="H746" s="10"/>
      <c r="I746" s="674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529"/>
      <c r="V746" s="529"/>
    </row>
    <row r="747">
      <c r="A747" s="10"/>
      <c r="B747" s="10">
        <f>IFERROR(__xludf.DUMMYFUNCTION("""COMPUTED_VALUE"""),1.0)</f>
        <v>1</v>
      </c>
      <c r="C747" s="10"/>
      <c r="D747" s="10"/>
      <c r="E747" s="10"/>
      <c r="F747" s="10"/>
      <c r="G747" s="10"/>
      <c r="H747" s="10"/>
      <c r="I747" s="674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529"/>
      <c r="V747" s="529"/>
    </row>
    <row r="748">
      <c r="A748" s="10"/>
      <c r="B748" s="10">
        <f>IFERROR(__xludf.DUMMYFUNCTION("""COMPUTED_VALUE"""),1.0)</f>
        <v>1</v>
      </c>
      <c r="C748" s="10"/>
      <c r="D748" s="10"/>
      <c r="E748" s="10"/>
      <c r="F748" s="10"/>
      <c r="G748" s="10"/>
      <c r="H748" s="10"/>
      <c r="I748" s="674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529"/>
      <c r="V748" s="529"/>
    </row>
    <row r="749">
      <c r="A749" s="10"/>
      <c r="B749" s="10">
        <f>IFERROR(__xludf.DUMMYFUNCTION("""COMPUTED_VALUE"""),1.0)</f>
        <v>1</v>
      </c>
      <c r="C749" s="10"/>
      <c r="D749" s="10"/>
      <c r="E749" s="10"/>
      <c r="F749" s="10"/>
      <c r="G749" s="10"/>
      <c r="H749" s="10"/>
      <c r="I749" s="674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529"/>
      <c r="V749" s="529"/>
    </row>
    <row r="750">
      <c r="A750" s="10"/>
      <c r="B750" s="10">
        <f>IFERROR(__xludf.DUMMYFUNCTION("""COMPUTED_VALUE"""),1.0)</f>
        <v>1</v>
      </c>
      <c r="C750" s="10"/>
      <c r="D750" s="10"/>
      <c r="E750" s="10"/>
      <c r="F750" s="10"/>
      <c r="G750" s="10"/>
      <c r="H750" s="10"/>
      <c r="I750" s="674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529"/>
      <c r="V750" s="529"/>
    </row>
    <row r="751">
      <c r="A751" s="10"/>
      <c r="B751" s="10">
        <f>IFERROR(__xludf.DUMMYFUNCTION("""COMPUTED_VALUE"""),1.0)</f>
        <v>1</v>
      </c>
      <c r="C751" s="10"/>
      <c r="D751" s="10"/>
      <c r="E751" s="10"/>
      <c r="F751" s="10"/>
      <c r="G751" s="10"/>
      <c r="H751" s="10"/>
      <c r="I751" s="674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529"/>
      <c r="V751" s="529"/>
    </row>
    <row r="752">
      <c r="A752" s="10"/>
      <c r="B752" s="10">
        <f>IFERROR(__xludf.DUMMYFUNCTION("""COMPUTED_VALUE"""),1.0)</f>
        <v>1</v>
      </c>
      <c r="C752" s="10"/>
      <c r="D752" s="10"/>
      <c r="E752" s="10"/>
      <c r="F752" s="10"/>
      <c r="G752" s="10"/>
      <c r="H752" s="10"/>
      <c r="I752" s="674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529"/>
      <c r="V752" s="529"/>
    </row>
    <row r="753">
      <c r="A753" s="10"/>
      <c r="B753" s="10">
        <f>IFERROR(__xludf.DUMMYFUNCTION("""COMPUTED_VALUE"""),1.0)</f>
        <v>1</v>
      </c>
      <c r="C753" s="10"/>
      <c r="D753" s="10"/>
      <c r="E753" s="10"/>
      <c r="F753" s="10"/>
      <c r="G753" s="10"/>
      <c r="H753" s="10"/>
      <c r="I753" s="674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529"/>
      <c r="V753" s="529"/>
    </row>
    <row r="754">
      <c r="A754" s="10"/>
      <c r="B754" s="10">
        <f>IFERROR(__xludf.DUMMYFUNCTION("""COMPUTED_VALUE"""),1.0)</f>
        <v>1</v>
      </c>
      <c r="C754" s="10"/>
      <c r="D754" s="10"/>
      <c r="E754" s="10"/>
      <c r="F754" s="10"/>
      <c r="G754" s="10"/>
      <c r="H754" s="10"/>
      <c r="I754" s="674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529"/>
      <c r="V754" s="529"/>
    </row>
    <row r="755">
      <c r="A755" s="10"/>
      <c r="B755" s="10">
        <f>IFERROR(__xludf.DUMMYFUNCTION("""COMPUTED_VALUE"""),1.0)</f>
        <v>1</v>
      </c>
      <c r="C755" s="10"/>
      <c r="D755" s="10"/>
      <c r="E755" s="10"/>
      <c r="F755" s="10"/>
      <c r="G755" s="10"/>
      <c r="H755" s="10"/>
      <c r="I755" s="674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529"/>
      <c r="V755" s="529"/>
    </row>
    <row r="756">
      <c r="A756" s="10"/>
      <c r="B756" s="10">
        <f>IFERROR(__xludf.DUMMYFUNCTION("""COMPUTED_VALUE"""),1.0)</f>
        <v>1</v>
      </c>
      <c r="C756" s="10"/>
      <c r="D756" s="10"/>
      <c r="E756" s="10"/>
      <c r="F756" s="10"/>
      <c r="G756" s="10"/>
      <c r="H756" s="10"/>
      <c r="I756" s="674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529"/>
      <c r="V756" s="529"/>
    </row>
    <row r="757">
      <c r="A757" s="10"/>
      <c r="B757" s="10">
        <f>IFERROR(__xludf.DUMMYFUNCTION("""COMPUTED_VALUE"""),1.0)</f>
        <v>1</v>
      </c>
      <c r="C757" s="10"/>
      <c r="D757" s="10"/>
      <c r="E757" s="10"/>
      <c r="F757" s="10"/>
      <c r="G757" s="10"/>
      <c r="H757" s="10"/>
      <c r="I757" s="674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529"/>
      <c r="V757" s="529"/>
    </row>
    <row r="758">
      <c r="A758" s="10"/>
      <c r="B758" s="10">
        <f>IFERROR(__xludf.DUMMYFUNCTION("""COMPUTED_VALUE"""),1.0)</f>
        <v>1</v>
      </c>
      <c r="C758" s="10"/>
      <c r="D758" s="10"/>
      <c r="E758" s="10"/>
      <c r="F758" s="10"/>
      <c r="G758" s="10"/>
      <c r="H758" s="10"/>
      <c r="I758" s="674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529"/>
      <c r="V758" s="529"/>
    </row>
    <row r="759">
      <c r="A759" s="10"/>
      <c r="B759" s="10">
        <f>IFERROR(__xludf.DUMMYFUNCTION("""COMPUTED_VALUE"""),1.0)</f>
        <v>1</v>
      </c>
      <c r="C759" s="10"/>
      <c r="D759" s="10"/>
      <c r="E759" s="10"/>
      <c r="F759" s="10"/>
      <c r="G759" s="10"/>
      <c r="H759" s="10"/>
      <c r="I759" s="674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529"/>
      <c r="V759" s="529"/>
    </row>
    <row r="760">
      <c r="A760" s="10"/>
      <c r="B760" s="10">
        <f>IFERROR(__xludf.DUMMYFUNCTION("""COMPUTED_VALUE"""),1.0)</f>
        <v>1</v>
      </c>
      <c r="C760" s="10"/>
      <c r="D760" s="10"/>
      <c r="E760" s="10"/>
      <c r="F760" s="10"/>
      <c r="G760" s="10"/>
      <c r="H760" s="10"/>
      <c r="I760" s="674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529"/>
      <c r="V760" s="529"/>
    </row>
    <row r="761">
      <c r="A761" s="10"/>
      <c r="B761" s="10">
        <f>IFERROR(__xludf.DUMMYFUNCTION("""COMPUTED_VALUE"""),1.0)</f>
        <v>1</v>
      </c>
      <c r="C761" s="10"/>
      <c r="D761" s="10"/>
      <c r="E761" s="10"/>
      <c r="F761" s="10"/>
      <c r="G761" s="10"/>
      <c r="H761" s="10"/>
      <c r="I761" s="674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529"/>
      <c r="V761" s="529"/>
    </row>
    <row r="762">
      <c r="A762" s="10"/>
      <c r="B762" s="10">
        <f>IFERROR(__xludf.DUMMYFUNCTION("""COMPUTED_VALUE"""),1.0)</f>
        <v>1</v>
      </c>
      <c r="C762" s="10"/>
      <c r="D762" s="10"/>
      <c r="E762" s="10"/>
      <c r="F762" s="10"/>
      <c r="G762" s="10"/>
      <c r="H762" s="10"/>
      <c r="I762" s="674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529"/>
      <c r="V762" s="529"/>
    </row>
    <row r="763">
      <c r="A763" s="10"/>
      <c r="B763" s="10">
        <f>IFERROR(__xludf.DUMMYFUNCTION("""COMPUTED_VALUE"""),1.0)</f>
        <v>1</v>
      </c>
      <c r="C763" s="10"/>
      <c r="D763" s="10"/>
      <c r="E763" s="10"/>
      <c r="F763" s="10"/>
      <c r="G763" s="10"/>
      <c r="H763" s="10"/>
      <c r="I763" s="674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529"/>
      <c r="V763" s="529"/>
    </row>
    <row r="764">
      <c r="A764" s="10"/>
      <c r="B764" s="10">
        <f>IFERROR(__xludf.DUMMYFUNCTION("""COMPUTED_VALUE"""),1.0)</f>
        <v>1</v>
      </c>
      <c r="C764" s="10"/>
      <c r="D764" s="10"/>
      <c r="E764" s="10"/>
      <c r="F764" s="10"/>
      <c r="G764" s="10"/>
      <c r="H764" s="10"/>
      <c r="I764" s="674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529"/>
      <c r="V764" s="529"/>
    </row>
    <row r="765">
      <c r="A765" s="10"/>
      <c r="B765" s="10">
        <f>IFERROR(__xludf.DUMMYFUNCTION("""COMPUTED_VALUE"""),1.0)</f>
        <v>1</v>
      </c>
      <c r="C765" s="10"/>
      <c r="D765" s="10"/>
      <c r="E765" s="10"/>
      <c r="F765" s="10"/>
      <c r="G765" s="10"/>
      <c r="H765" s="10"/>
      <c r="I765" s="674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529"/>
      <c r="V765" s="529"/>
    </row>
    <row r="766">
      <c r="A766" s="10"/>
      <c r="B766" s="10">
        <f>IFERROR(__xludf.DUMMYFUNCTION("""COMPUTED_VALUE"""),1.0)</f>
        <v>1</v>
      </c>
      <c r="C766" s="10"/>
      <c r="D766" s="10"/>
      <c r="E766" s="10"/>
      <c r="F766" s="10"/>
      <c r="G766" s="10"/>
      <c r="H766" s="10"/>
      <c r="I766" s="674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529"/>
      <c r="V766" s="529"/>
    </row>
    <row r="767">
      <c r="A767" s="10"/>
      <c r="B767" s="10">
        <f>IFERROR(__xludf.DUMMYFUNCTION("""COMPUTED_VALUE"""),1.0)</f>
        <v>1</v>
      </c>
      <c r="C767" s="10"/>
      <c r="D767" s="10"/>
      <c r="E767" s="10"/>
      <c r="F767" s="10"/>
      <c r="G767" s="10"/>
      <c r="H767" s="10"/>
      <c r="I767" s="674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529"/>
      <c r="V767" s="529"/>
    </row>
    <row r="768">
      <c r="A768" s="10"/>
      <c r="B768" s="10">
        <f>IFERROR(__xludf.DUMMYFUNCTION("""COMPUTED_VALUE"""),1.0)</f>
        <v>1</v>
      </c>
      <c r="C768" s="10"/>
      <c r="D768" s="10"/>
      <c r="E768" s="10"/>
      <c r="F768" s="10"/>
      <c r="G768" s="10"/>
      <c r="H768" s="10"/>
      <c r="I768" s="674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529"/>
      <c r="V768" s="529"/>
    </row>
    <row r="769">
      <c r="A769" s="10"/>
      <c r="B769" s="10">
        <f>IFERROR(__xludf.DUMMYFUNCTION("""COMPUTED_VALUE"""),1.0)</f>
        <v>1</v>
      </c>
      <c r="C769" s="10"/>
      <c r="D769" s="10"/>
      <c r="E769" s="10"/>
      <c r="F769" s="10"/>
      <c r="G769" s="10"/>
      <c r="H769" s="10"/>
      <c r="I769" s="674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529"/>
      <c r="V769" s="529"/>
    </row>
    <row r="770">
      <c r="A770" s="10"/>
      <c r="B770" s="10">
        <f>IFERROR(__xludf.DUMMYFUNCTION("""COMPUTED_VALUE"""),1.0)</f>
        <v>1</v>
      </c>
      <c r="C770" s="10"/>
      <c r="D770" s="10"/>
      <c r="E770" s="10"/>
      <c r="F770" s="10"/>
      <c r="G770" s="10"/>
      <c r="H770" s="10"/>
      <c r="I770" s="674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529"/>
      <c r="V770" s="529"/>
    </row>
    <row r="771">
      <c r="A771" s="10"/>
      <c r="B771" s="10">
        <f>IFERROR(__xludf.DUMMYFUNCTION("""COMPUTED_VALUE"""),1.0)</f>
        <v>1</v>
      </c>
      <c r="C771" s="10"/>
      <c r="D771" s="10"/>
      <c r="E771" s="10"/>
      <c r="F771" s="10"/>
      <c r="G771" s="10"/>
      <c r="H771" s="10"/>
      <c r="I771" s="674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529"/>
      <c r="V771" s="529"/>
    </row>
    <row r="772">
      <c r="A772" s="10"/>
      <c r="B772" s="10">
        <f>IFERROR(__xludf.DUMMYFUNCTION("""COMPUTED_VALUE"""),1.0)</f>
        <v>1</v>
      </c>
      <c r="C772" s="10"/>
      <c r="D772" s="10"/>
      <c r="E772" s="10"/>
      <c r="F772" s="10"/>
      <c r="G772" s="10"/>
      <c r="H772" s="10"/>
      <c r="I772" s="674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529"/>
      <c r="V772" s="529"/>
    </row>
    <row r="773">
      <c r="A773" s="10"/>
      <c r="B773" s="10">
        <f>IFERROR(__xludf.DUMMYFUNCTION("""COMPUTED_VALUE"""),1.0)</f>
        <v>1</v>
      </c>
      <c r="C773" s="10"/>
      <c r="D773" s="10"/>
      <c r="E773" s="10"/>
      <c r="F773" s="10"/>
      <c r="G773" s="10"/>
      <c r="H773" s="10"/>
      <c r="I773" s="674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529"/>
      <c r="V773" s="529"/>
    </row>
    <row r="774">
      <c r="A774" s="10"/>
      <c r="B774" s="10">
        <f>IFERROR(__xludf.DUMMYFUNCTION("""COMPUTED_VALUE"""),1.0)</f>
        <v>1</v>
      </c>
      <c r="C774" s="10"/>
      <c r="D774" s="10"/>
      <c r="E774" s="10"/>
      <c r="F774" s="10"/>
      <c r="G774" s="10"/>
      <c r="H774" s="10"/>
      <c r="I774" s="674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529"/>
      <c r="V774" s="529"/>
    </row>
    <row r="775">
      <c r="A775" s="10"/>
      <c r="B775" s="10">
        <f>IFERROR(__xludf.DUMMYFUNCTION("""COMPUTED_VALUE"""),1.0)</f>
        <v>1</v>
      </c>
      <c r="C775" s="10"/>
      <c r="D775" s="10"/>
      <c r="E775" s="10"/>
      <c r="F775" s="10"/>
      <c r="G775" s="10"/>
      <c r="H775" s="10"/>
      <c r="I775" s="674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529"/>
      <c r="V775" s="529"/>
    </row>
    <row r="776">
      <c r="A776" s="10"/>
      <c r="B776" s="10">
        <f>IFERROR(__xludf.DUMMYFUNCTION("""COMPUTED_VALUE"""),1.0)</f>
        <v>1</v>
      </c>
      <c r="C776" s="10"/>
      <c r="D776" s="10"/>
      <c r="E776" s="10"/>
      <c r="F776" s="10"/>
      <c r="G776" s="10"/>
      <c r="H776" s="10"/>
      <c r="I776" s="674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529"/>
      <c r="V776" s="529"/>
    </row>
    <row r="777">
      <c r="A777" s="10"/>
      <c r="B777" s="10">
        <f>IFERROR(__xludf.DUMMYFUNCTION("""COMPUTED_VALUE"""),1.0)</f>
        <v>1</v>
      </c>
      <c r="C777" s="10"/>
      <c r="D777" s="10"/>
      <c r="E777" s="10"/>
      <c r="F777" s="10"/>
      <c r="G777" s="10"/>
      <c r="H777" s="10"/>
      <c r="I777" s="674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529"/>
      <c r="V777" s="529"/>
    </row>
    <row r="778">
      <c r="A778" s="10"/>
      <c r="B778" s="10">
        <f>IFERROR(__xludf.DUMMYFUNCTION("""COMPUTED_VALUE"""),1.0)</f>
        <v>1</v>
      </c>
      <c r="C778" s="10"/>
      <c r="D778" s="10"/>
      <c r="E778" s="10"/>
      <c r="F778" s="10"/>
      <c r="G778" s="10"/>
      <c r="H778" s="10"/>
      <c r="I778" s="674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529"/>
      <c r="V778" s="529"/>
    </row>
    <row r="779">
      <c r="A779" s="10"/>
      <c r="B779" s="10">
        <f>IFERROR(__xludf.DUMMYFUNCTION("""COMPUTED_VALUE"""),1.0)</f>
        <v>1</v>
      </c>
      <c r="C779" s="10"/>
      <c r="D779" s="10"/>
      <c r="E779" s="10"/>
      <c r="F779" s="10"/>
      <c r="G779" s="10"/>
      <c r="H779" s="10"/>
      <c r="I779" s="674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529"/>
      <c r="V779" s="529"/>
    </row>
    <row r="780">
      <c r="A780" s="10"/>
      <c r="B780" s="10">
        <f>IFERROR(__xludf.DUMMYFUNCTION("""COMPUTED_VALUE"""),1.0)</f>
        <v>1</v>
      </c>
      <c r="C780" s="10"/>
      <c r="D780" s="10"/>
      <c r="E780" s="10"/>
      <c r="F780" s="10"/>
      <c r="G780" s="10"/>
      <c r="H780" s="10"/>
      <c r="I780" s="674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529"/>
      <c r="V780" s="529"/>
    </row>
    <row r="781">
      <c r="A781" s="10"/>
      <c r="B781" s="10">
        <f>IFERROR(__xludf.DUMMYFUNCTION("""COMPUTED_VALUE"""),1.0)</f>
        <v>1</v>
      </c>
      <c r="C781" s="10"/>
      <c r="D781" s="10"/>
      <c r="E781" s="10"/>
      <c r="F781" s="10"/>
      <c r="G781" s="10"/>
      <c r="H781" s="10"/>
      <c r="I781" s="674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529"/>
      <c r="V781" s="529"/>
    </row>
    <row r="782">
      <c r="A782" s="10"/>
      <c r="B782" s="10">
        <f>IFERROR(__xludf.DUMMYFUNCTION("""COMPUTED_VALUE"""),1.0)</f>
        <v>1</v>
      </c>
      <c r="C782" s="10"/>
      <c r="D782" s="10"/>
      <c r="E782" s="10"/>
      <c r="F782" s="10"/>
      <c r="G782" s="10"/>
      <c r="H782" s="10"/>
      <c r="I782" s="674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529"/>
      <c r="V782" s="529"/>
    </row>
    <row r="783">
      <c r="A783" s="10"/>
      <c r="B783" s="10">
        <f>IFERROR(__xludf.DUMMYFUNCTION("""COMPUTED_VALUE"""),1.0)</f>
        <v>1</v>
      </c>
      <c r="C783" s="10"/>
      <c r="D783" s="10"/>
      <c r="E783" s="10"/>
      <c r="F783" s="10"/>
      <c r="G783" s="10"/>
      <c r="H783" s="10"/>
      <c r="I783" s="674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529"/>
      <c r="V783" s="529"/>
    </row>
    <row r="784">
      <c r="A784" s="10"/>
      <c r="B784" s="10">
        <f>IFERROR(__xludf.DUMMYFUNCTION("""COMPUTED_VALUE"""),1.0)</f>
        <v>1</v>
      </c>
      <c r="C784" s="10"/>
      <c r="D784" s="10"/>
      <c r="E784" s="10"/>
      <c r="F784" s="10"/>
      <c r="G784" s="10"/>
      <c r="H784" s="10"/>
      <c r="I784" s="674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529"/>
      <c r="V784" s="529"/>
    </row>
    <row r="785">
      <c r="A785" s="10"/>
      <c r="B785" s="10">
        <f>IFERROR(__xludf.DUMMYFUNCTION("""COMPUTED_VALUE"""),1.0)</f>
        <v>1</v>
      </c>
      <c r="C785" s="10"/>
      <c r="D785" s="10"/>
      <c r="E785" s="10"/>
      <c r="F785" s="10"/>
      <c r="G785" s="10"/>
      <c r="H785" s="10"/>
      <c r="I785" s="674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529"/>
      <c r="V785" s="529"/>
    </row>
    <row r="786">
      <c r="A786" s="10"/>
      <c r="B786" s="10">
        <f>IFERROR(__xludf.DUMMYFUNCTION("""COMPUTED_VALUE"""),1.0)</f>
        <v>1</v>
      </c>
      <c r="C786" s="10"/>
      <c r="D786" s="10"/>
      <c r="E786" s="10"/>
      <c r="F786" s="10"/>
      <c r="G786" s="10"/>
      <c r="H786" s="10"/>
      <c r="I786" s="674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529"/>
      <c r="V786" s="529"/>
    </row>
    <row r="787">
      <c r="A787" s="10"/>
      <c r="B787" s="10">
        <f>IFERROR(__xludf.DUMMYFUNCTION("""COMPUTED_VALUE"""),1.0)</f>
        <v>1</v>
      </c>
      <c r="C787" s="10"/>
      <c r="D787" s="10"/>
      <c r="E787" s="10"/>
      <c r="F787" s="10"/>
      <c r="G787" s="10"/>
      <c r="H787" s="10"/>
      <c r="I787" s="674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529"/>
      <c r="V787" s="529"/>
    </row>
    <row r="788">
      <c r="A788" s="10"/>
      <c r="B788" s="10">
        <f>IFERROR(__xludf.DUMMYFUNCTION("""COMPUTED_VALUE"""),1.0)</f>
        <v>1</v>
      </c>
      <c r="C788" s="10"/>
      <c r="D788" s="10"/>
      <c r="E788" s="10"/>
      <c r="F788" s="10"/>
      <c r="G788" s="10"/>
      <c r="H788" s="10"/>
      <c r="I788" s="674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529"/>
      <c r="V788" s="529"/>
    </row>
    <row r="789">
      <c r="A789" s="10"/>
      <c r="B789" s="10">
        <f>IFERROR(__xludf.DUMMYFUNCTION("""COMPUTED_VALUE"""),1.0)</f>
        <v>1</v>
      </c>
      <c r="C789" s="10"/>
      <c r="D789" s="10"/>
      <c r="E789" s="10"/>
      <c r="F789" s="10"/>
      <c r="G789" s="10"/>
      <c r="H789" s="10"/>
      <c r="I789" s="674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529"/>
      <c r="V789" s="529"/>
    </row>
    <row r="790">
      <c r="A790" s="10"/>
      <c r="B790" s="10">
        <f>IFERROR(__xludf.DUMMYFUNCTION("""COMPUTED_VALUE"""),1.0)</f>
        <v>1</v>
      </c>
      <c r="C790" s="10"/>
      <c r="D790" s="10"/>
      <c r="E790" s="10"/>
      <c r="F790" s="10"/>
      <c r="G790" s="10"/>
      <c r="H790" s="10"/>
      <c r="I790" s="674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529"/>
      <c r="V790" s="529"/>
    </row>
    <row r="791">
      <c r="A791" s="10"/>
      <c r="B791" s="10">
        <f>IFERROR(__xludf.DUMMYFUNCTION("""COMPUTED_VALUE"""),1.0)</f>
        <v>1</v>
      </c>
      <c r="C791" s="10"/>
      <c r="D791" s="10"/>
      <c r="E791" s="10"/>
      <c r="F791" s="10"/>
      <c r="G791" s="10"/>
      <c r="H791" s="10"/>
      <c r="I791" s="674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529"/>
      <c r="V791" s="529"/>
    </row>
    <row r="792">
      <c r="A792" s="10"/>
      <c r="B792" s="10">
        <f>IFERROR(__xludf.DUMMYFUNCTION("""COMPUTED_VALUE"""),1.0)</f>
        <v>1</v>
      </c>
      <c r="C792" s="10"/>
      <c r="D792" s="10"/>
      <c r="E792" s="10"/>
      <c r="F792" s="10"/>
      <c r="G792" s="10"/>
      <c r="H792" s="10"/>
      <c r="I792" s="674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529"/>
      <c r="V792" s="529"/>
    </row>
    <row r="793">
      <c r="A793" s="10"/>
      <c r="B793" s="10">
        <f>IFERROR(__xludf.DUMMYFUNCTION("""COMPUTED_VALUE"""),1.0)</f>
        <v>1</v>
      </c>
      <c r="C793" s="10"/>
      <c r="D793" s="10"/>
      <c r="E793" s="10"/>
      <c r="F793" s="10"/>
      <c r="G793" s="10"/>
      <c r="H793" s="10"/>
      <c r="I793" s="674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529"/>
      <c r="V793" s="529"/>
    </row>
    <row r="794">
      <c r="A794" s="10"/>
      <c r="B794" s="10">
        <f>IFERROR(__xludf.DUMMYFUNCTION("""COMPUTED_VALUE"""),1.0)</f>
        <v>1</v>
      </c>
      <c r="C794" s="10"/>
      <c r="D794" s="10"/>
      <c r="E794" s="10"/>
      <c r="F794" s="10"/>
      <c r="G794" s="10"/>
      <c r="H794" s="10"/>
      <c r="I794" s="674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529"/>
      <c r="V794" s="529"/>
    </row>
    <row r="795">
      <c r="A795" s="10"/>
      <c r="B795" s="10">
        <f>IFERROR(__xludf.DUMMYFUNCTION("""COMPUTED_VALUE"""),1.0)</f>
        <v>1</v>
      </c>
      <c r="C795" s="10"/>
      <c r="D795" s="10"/>
      <c r="E795" s="10"/>
      <c r="F795" s="10"/>
      <c r="G795" s="10"/>
      <c r="H795" s="10"/>
      <c r="I795" s="674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529"/>
      <c r="V795" s="529"/>
    </row>
    <row r="796">
      <c r="A796" s="10"/>
      <c r="B796" s="10">
        <f>IFERROR(__xludf.DUMMYFUNCTION("""COMPUTED_VALUE"""),1.0)</f>
        <v>1</v>
      </c>
      <c r="C796" s="10"/>
      <c r="D796" s="10"/>
      <c r="E796" s="10"/>
      <c r="F796" s="10"/>
      <c r="G796" s="10"/>
      <c r="H796" s="10"/>
      <c r="I796" s="674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529"/>
      <c r="V796" s="529"/>
    </row>
    <row r="797">
      <c r="A797" s="10"/>
      <c r="B797" s="10">
        <f>IFERROR(__xludf.DUMMYFUNCTION("""COMPUTED_VALUE"""),1.0)</f>
        <v>1</v>
      </c>
      <c r="C797" s="10"/>
      <c r="D797" s="10"/>
      <c r="E797" s="10"/>
      <c r="F797" s="10"/>
      <c r="G797" s="10"/>
      <c r="H797" s="10"/>
      <c r="I797" s="674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529"/>
      <c r="V797" s="529"/>
    </row>
    <row r="798">
      <c r="A798" s="10"/>
      <c r="B798" s="10">
        <f>IFERROR(__xludf.DUMMYFUNCTION("""COMPUTED_VALUE"""),1.0)</f>
        <v>1</v>
      </c>
      <c r="C798" s="10"/>
      <c r="D798" s="10"/>
      <c r="E798" s="10"/>
      <c r="F798" s="10"/>
      <c r="G798" s="10"/>
      <c r="H798" s="10"/>
      <c r="I798" s="674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529"/>
      <c r="V798" s="529"/>
    </row>
    <row r="799">
      <c r="A799" s="10"/>
      <c r="B799" s="10">
        <f>IFERROR(__xludf.DUMMYFUNCTION("""COMPUTED_VALUE"""),1.0)</f>
        <v>1</v>
      </c>
      <c r="C799" s="10"/>
      <c r="D799" s="10"/>
      <c r="E799" s="10"/>
      <c r="F799" s="10"/>
      <c r="G799" s="10"/>
      <c r="H799" s="10"/>
      <c r="I799" s="674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529"/>
      <c r="V799" s="529"/>
    </row>
    <row r="800">
      <c r="A800" s="10"/>
      <c r="B800" s="10">
        <f>IFERROR(__xludf.DUMMYFUNCTION("""COMPUTED_VALUE"""),1.0)</f>
        <v>1</v>
      </c>
      <c r="C800" s="10"/>
      <c r="D800" s="10"/>
      <c r="E800" s="10"/>
      <c r="F800" s="10"/>
      <c r="G800" s="10"/>
      <c r="H800" s="10"/>
      <c r="I800" s="674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529"/>
      <c r="V800" s="529"/>
    </row>
    <row r="801">
      <c r="A801" s="10"/>
      <c r="B801" s="10">
        <f>IFERROR(__xludf.DUMMYFUNCTION("""COMPUTED_VALUE"""),1.0)</f>
        <v>1</v>
      </c>
      <c r="C801" s="10"/>
      <c r="D801" s="10"/>
      <c r="E801" s="10"/>
      <c r="F801" s="10"/>
      <c r="G801" s="10"/>
      <c r="H801" s="10"/>
      <c r="I801" s="674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529"/>
      <c r="V801" s="529"/>
    </row>
    <row r="802">
      <c r="A802" s="10"/>
      <c r="B802" s="10">
        <f>IFERROR(__xludf.DUMMYFUNCTION("""COMPUTED_VALUE"""),1.0)</f>
        <v>1</v>
      </c>
      <c r="C802" s="10"/>
      <c r="D802" s="10"/>
      <c r="E802" s="10"/>
      <c r="F802" s="10"/>
      <c r="G802" s="10"/>
      <c r="H802" s="10"/>
      <c r="I802" s="674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529"/>
      <c r="V802" s="529"/>
    </row>
    <row r="803">
      <c r="A803" s="10"/>
      <c r="B803" s="10">
        <f>IFERROR(__xludf.DUMMYFUNCTION("""COMPUTED_VALUE"""),1.0)</f>
        <v>1</v>
      </c>
      <c r="C803" s="10"/>
      <c r="D803" s="10"/>
      <c r="E803" s="10"/>
      <c r="F803" s="10"/>
      <c r="G803" s="10"/>
      <c r="H803" s="10"/>
      <c r="I803" s="674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529"/>
      <c r="V803" s="529"/>
    </row>
    <row r="804">
      <c r="A804" s="10"/>
      <c r="B804" s="10">
        <f>IFERROR(__xludf.DUMMYFUNCTION("""COMPUTED_VALUE"""),1.0)</f>
        <v>1</v>
      </c>
      <c r="C804" s="10"/>
      <c r="D804" s="10"/>
      <c r="E804" s="10"/>
      <c r="F804" s="10"/>
      <c r="G804" s="10"/>
      <c r="H804" s="10"/>
      <c r="I804" s="674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529"/>
      <c r="V804" s="529"/>
    </row>
    <row r="805">
      <c r="A805" s="10"/>
      <c r="B805" s="10">
        <f>IFERROR(__xludf.DUMMYFUNCTION("""COMPUTED_VALUE"""),1.0)</f>
        <v>1</v>
      </c>
      <c r="C805" s="10"/>
      <c r="D805" s="10"/>
      <c r="E805" s="10"/>
      <c r="F805" s="10"/>
      <c r="G805" s="10"/>
      <c r="H805" s="10"/>
      <c r="I805" s="674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529"/>
      <c r="V805" s="529"/>
    </row>
    <row r="806">
      <c r="A806" s="10"/>
      <c r="B806" s="10">
        <f>IFERROR(__xludf.DUMMYFUNCTION("""COMPUTED_VALUE"""),1.0)</f>
        <v>1</v>
      </c>
      <c r="C806" s="10"/>
      <c r="D806" s="10"/>
      <c r="E806" s="10"/>
      <c r="F806" s="10"/>
      <c r="G806" s="10"/>
      <c r="H806" s="10"/>
      <c r="I806" s="674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529"/>
      <c r="V806" s="529"/>
    </row>
    <row r="807">
      <c r="A807" s="10"/>
      <c r="B807" s="10">
        <f>IFERROR(__xludf.DUMMYFUNCTION("""COMPUTED_VALUE"""),1.0)</f>
        <v>1</v>
      </c>
      <c r="C807" s="10"/>
      <c r="D807" s="10"/>
      <c r="E807" s="10"/>
      <c r="F807" s="10"/>
      <c r="G807" s="10"/>
      <c r="H807" s="10"/>
      <c r="I807" s="674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529"/>
      <c r="V807" s="529"/>
    </row>
    <row r="808">
      <c r="A808" s="10"/>
      <c r="B808" s="10">
        <f>IFERROR(__xludf.DUMMYFUNCTION("""COMPUTED_VALUE"""),1.0)</f>
        <v>1</v>
      </c>
      <c r="C808" s="10"/>
      <c r="D808" s="10"/>
      <c r="E808" s="10"/>
      <c r="F808" s="10"/>
      <c r="G808" s="10"/>
      <c r="H808" s="10"/>
      <c r="I808" s="674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529"/>
      <c r="V808" s="529"/>
    </row>
    <row r="809">
      <c r="A809" s="10"/>
      <c r="B809" s="10">
        <f>IFERROR(__xludf.DUMMYFUNCTION("""COMPUTED_VALUE"""),1.0)</f>
        <v>1</v>
      </c>
      <c r="C809" s="10"/>
      <c r="D809" s="10"/>
      <c r="E809" s="10"/>
      <c r="F809" s="10"/>
      <c r="G809" s="10"/>
      <c r="H809" s="10"/>
      <c r="I809" s="674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529"/>
      <c r="V809" s="529"/>
    </row>
    <row r="810">
      <c r="A810" s="10"/>
      <c r="B810" s="10">
        <f>IFERROR(__xludf.DUMMYFUNCTION("""COMPUTED_VALUE"""),1.0)</f>
        <v>1</v>
      </c>
      <c r="C810" s="10"/>
      <c r="D810" s="10"/>
      <c r="E810" s="10"/>
      <c r="F810" s="10"/>
      <c r="G810" s="10"/>
      <c r="H810" s="10"/>
      <c r="I810" s="674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529"/>
      <c r="V810" s="529"/>
    </row>
    <row r="811">
      <c r="A811" s="10"/>
      <c r="B811" s="10">
        <f>IFERROR(__xludf.DUMMYFUNCTION("""COMPUTED_VALUE"""),1.0)</f>
        <v>1</v>
      </c>
      <c r="C811" s="10"/>
      <c r="D811" s="10"/>
      <c r="E811" s="10"/>
      <c r="F811" s="10"/>
      <c r="G811" s="10"/>
      <c r="H811" s="10"/>
      <c r="I811" s="674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529"/>
      <c r="V811" s="529"/>
    </row>
    <row r="812">
      <c r="A812" s="10"/>
      <c r="B812" s="10">
        <f>IFERROR(__xludf.DUMMYFUNCTION("""COMPUTED_VALUE"""),1.0)</f>
        <v>1</v>
      </c>
      <c r="C812" s="10"/>
      <c r="D812" s="10"/>
      <c r="E812" s="10"/>
      <c r="F812" s="10"/>
      <c r="G812" s="10"/>
      <c r="H812" s="10"/>
      <c r="I812" s="674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529"/>
      <c r="V812" s="529"/>
    </row>
    <row r="813">
      <c r="A813" s="10"/>
      <c r="B813" s="10">
        <f>IFERROR(__xludf.DUMMYFUNCTION("""COMPUTED_VALUE"""),1.0)</f>
        <v>1</v>
      </c>
      <c r="C813" s="10"/>
      <c r="D813" s="10"/>
      <c r="E813" s="10"/>
      <c r="F813" s="10"/>
      <c r="G813" s="10"/>
      <c r="H813" s="10"/>
      <c r="I813" s="674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529"/>
      <c r="V813" s="529"/>
    </row>
    <row r="814">
      <c r="A814" s="10"/>
      <c r="B814" s="10">
        <f>IFERROR(__xludf.DUMMYFUNCTION("""COMPUTED_VALUE"""),1.0)</f>
        <v>1</v>
      </c>
      <c r="C814" s="10"/>
      <c r="D814" s="10"/>
      <c r="E814" s="10"/>
      <c r="F814" s="10"/>
      <c r="G814" s="10"/>
      <c r="H814" s="10"/>
      <c r="I814" s="674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529"/>
      <c r="V814" s="529"/>
    </row>
    <row r="815">
      <c r="A815" s="10"/>
      <c r="B815" s="10">
        <f>IFERROR(__xludf.DUMMYFUNCTION("""COMPUTED_VALUE"""),1.0)</f>
        <v>1</v>
      </c>
      <c r="C815" s="10"/>
      <c r="D815" s="10"/>
      <c r="E815" s="10"/>
      <c r="F815" s="10"/>
      <c r="G815" s="10"/>
      <c r="H815" s="10"/>
      <c r="I815" s="674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529"/>
      <c r="V815" s="529"/>
    </row>
    <row r="816">
      <c r="A816" s="10"/>
      <c r="B816" s="10">
        <f>IFERROR(__xludf.DUMMYFUNCTION("""COMPUTED_VALUE"""),1.0)</f>
        <v>1</v>
      </c>
      <c r="C816" s="10"/>
      <c r="D816" s="10"/>
      <c r="E816" s="10"/>
      <c r="F816" s="10"/>
      <c r="G816" s="10"/>
      <c r="H816" s="10"/>
      <c r="I816" s="674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529"/>
      <c r="V816" s="529"/>
    </row>
    <row r="817">
      <c r="A817" s="10"/>
      <c r="B817" s="10">
        <f>IFERROR(__xludf.DUMMYFUNCTION("""COMPUTED_VALUE"""),1.0)</f>
        <v>1</v>
      </c>
      <c r="C817" s="10"/>
      <c r="D817" s="10"/>
      <c r="E817" s="10"/>
      <c r="F817" s="10"/>
      <c r="G817" s="10"/>
      <c r="H817" s="10"/>
      <c r="I817" s="674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529"/>
      <c r="V817" s="529"/>
    </row>
    <row r="818">
      <c r="A818" s="10"/>
      <c r="B818" s="10">
        <f>IFERROR(__xludf.DUMMYFUNCTION("""COMPUTED_VALUE"""),1.0)</f>
        <v>1</v>
      </c>
      <c r="C818" s="10"/>
      <c r="D818" s="10"/>
      <c r="E818" s="10"/>
      <c r="F818" s="10"/>
      <c r="G818" s="10"/>
      <c r="H818" s="10"/>
      <c r="I818" s="674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529"/>
      <c r="V818" s="529"/>
    </row>
    <row r="819">
      <c r="A819" s="10"/>
      <c r="B819" s="10">
        <f>IFERROR(__xludf.DUMMYFUNCTION("""COMPUTED_VALUE"""),1.0)</f>
        <v>1</v>
      </c>
      <c r="C819" s="10"/>
      <c r="D819" s="10"/>
      <c r="E819" s="10"/>
      <c r="F819" s="10"/>
      <c r="G819" s="10"/>
      <c r="H819" s="10"/>
      <c r="I819" s="674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529"/>
      <c r="V819" s="529"/>
    </row>
    <row r="820">
      <c r="A820" s="10"/>
      <c r="B820" s="10">
        <f>IFERROR(__xludf.DUMMYFUNCTION("""COMPUTED_VALUE"""),1.0)</f>
        <v>1</v>
      </c>
      <c r="C820" s="10"/>
      <c r="D820" s="10"/>
      <c r="E820" s="10"/>
      <c r="F820" s="10"/>
      <c r="G820" s="10"/>
      <c r="H820" s="10"/>
      <c r="I820" s="674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529"/>
      <c r="V820" s="529"/>
    </row>
    <row r="821">
      <c r="A821" s="10"/>
      <c r="B821" s="10">
        <f>IFERROR(__xludf.DUMMYFUNCTION("""COMPUTED_VALUE"""),1.0)</f>
        <v>1</v>
      </c>
      <c r="C821" s="10"/>
      <c r="D821" s="10"/>
      <c r="E821" s="10"/>
      <c r="F821" s="10"/>
      <c r="G821" s="10"/>
      <c r="H821" s="10"/>
      <c r="I821" s="674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529"/>
      <c r="V821" s="529"/>
    </row>
    <row r="822">
      <c r="A822" s="10"/>
      <c r="B822" s="10">
        <f>IFERROR(__xludf.DUMMYFUNCTION("""COMPUTED_VALUE"""),1.0)</f>
        <v>1</v>
      </c>
      <c r="C822" s="10"/>
      <c r="D822" s="10"/>
      <c r="E822" s="10"/>
      <c r="F822" s="10"/>
      <c r="G822" s="10"/>
      <c r="H822" s="10"/>
      <c r="I822" s="674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529"/>
      <c r="V822" s="529"/>
    </row>
    <row r="823">
      <c r="A823" s="10"/>
      <c r="B823" s="10">
        <f>IFERROR(__xludf.DUMMYFUNCTION("""COMPUTED_VALUE"""),1.0)</f>
        <v>1</v>
      </c>
      <c r="C823" s="10"/>
      <c r="D823" s="10"/>
      <c r="E823" s="10"/>
      <c r="F823" s="10"/>
      <c r="G823" s="10"/>
      <c r="H823" s="10"/>
      <c r="I823" s="674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529"/>
      <c r="V823" s="529"/>
    </row>
    <row r="824">
      <c r="A824" s="10"/>
      <c r="B824" s="10">
        <f>IFERROR(__xludf.DUMMYFUNCTION("""COMPUTED_VALUE"""),1.0)</f>
        <v>1</v>
      </c>
      <c r="C824" s="10"/>
      <c r="D824" s="10"/>
      <c r="E824" s="10"/>
      <c r="F824" s="10"/>
      <c r="G824" s="10"/>
      <c r="H824" s="10"/>
      <c r="I824" s="674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529"/>
      <c r="V824" s="529"/>
    </row>
    <row r="825">
      <c r="A825" s="10"/>
      <c r="B825" s="10">
        <f>IFERROR(__xludf.DUMMYFUNCTION("""COMPUTED_VALUE"""),1.0)</f>
        <v>1</v>
      </c>
      <c r="C825" s="10"/>
      <c r="D825" s="10"/>
      <c r="E825" s="10"/>
      <c r="F825" s="10"/>
      <c r="G825" s="10"/>
      <c r="H825" s="10"/>
      <c r="I825" s="674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529"/>
      <c r="V825" s="529"/>
    </row>
    <row r="826">
      <c r="A826" s="10"/>
      <c r="B826" s="10">
        <f>IFERROR(__xludf.DUMMYFUNCTION("""COMPUTED_VALUE"""),1.0)</f>
        <v>1</v>
      </c>
      <c r="C826" s="10"/>
      <c r="D826" s="10"/>
      <c r="E826" s="10"/>
      <c r="F826" s="10"/>
      <c r="G826" s="10"/>
      <c r="H826" s="10"/>
      <c r="I826" s="674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529"/>
      <c r="V826" s="529"/>
    </row>
    <row r="827">
      <c r="A827" s="10"/>
      <c r="B827" s="10">
        <f>IFERROR(__xludf.DUMMYFUNCTION("""COMPUTED_VALUE"""),1.0)</f>
        <v>1</v>
      </c>
      <c r="C827" s="10"/>
      <c r="D827" s="10"/>
      <c r="E827" s="10"/>
      <c r="F827" s="10"/>
      <c r="G827" s="10"/>
      <c r="H827" s="10"/>
      <c r="I827" s="674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529"/>
      <c r="V827" s="529"/>
    </row>
    <row r="828">
      <c r="A828" s="10"/>
      <c r="B828" s="10">
        <f>IFERROR(__xludf.DUMMYFUNCTION("""COMPUTED_VALUE"""),1.0)</f>
        <v>1</v>
      </c>
      <c r="C828" s="10"/>
      <c r="D828" s="10"/>
      <c r="E828" s="10"/>
      <c r="F828" s="10"/>
      <c r="G828" s="10"/>
      <c r="H828" s="10"/>
      <c r="I828" s="674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529"/>
      <c r="V828" s="529"/>
    </row>
    <row r="829">
      <c r="A829" s="10"/>
      <c r="B829" s="10">
        <f>IFERROR(__xludf.DUMMYFUNCTION("""COMPUTED_VALUE"""),1.0)</f>
        <v>1</v>
      </c>
      <c r="C829" s="10"/>
      <c r="D829" s="10"/>
      <c r="E829" s="10"/>
      <c r="F829" s="10"/>
      <c r="G829" s="10"/>
      <c r="H829" s="10"/>
      <c r="I829" s="674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529"/>
      <c r="V829" s="529"/>
    </row>
    <row r="830">
      <c r="A830" s="10"/>
      <c r="B830" s="10">
        <f>IFERROR(__xludf.DUMMYFUNCTION("""COMPUTED_VALUE"""),1.0)</f>
        <v>1</v>
      </c>
      <c r="C830" s="10"/>
      <c r="D830" s="10"/>
      <c r="E830" s="10"/>
      <c r="F830" s="10"/>
      <c r="G830" s="10"/>
      <c r="H830" s="10"/>
      <c r="I830" s="674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529"/>
      <c r="V830" s="529"/>
    </row>
    <row r="831">
      <c r="A831" s="10"/>
      <c r="B831" s="10">
        <f>IFERROR(__xludf.DUMMYFUNCTION("""COMPUTED_VALUE"""),1.0)</f>
        <v>1</v>
      </c>
      <c r="C831" s="10"/>
      <c r="D831" s="10"/>
      <c r="E831" s="10"/>
      <c r="F831" s="10"/>
      <c r="G831" s="10"/>
      <c r="H831" s="10"/>
      <c r="I831" s="674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529"/>
      <c r="V831" s="529"/>
    </row>
    <row r="832">
      <c r="A832" s="10"/>
      <c r="B832" s="10">
        <f>IFERROR(__xludf.DUMMYFUNCTION("""COMPUTED_VALUE"""),1.0)</f>
        <v>1</v>
      </c>
      <c r="C832" s="10"/>
      <c r="D832" s="10"/>
      <c r="E832" s="10"/>
      <c r="F832" s="10"/>
      <c r="G832" s="10"/>
      <c r="H832" s="10"/>
      <c r="I832" s="674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529"/>
      <c r="V832" s="529"/>
    </row>
    <row r="833">
      <c r="A833" s="10"/>
      <c r="B833" s="10">
        <f>IFERROR(__xludf.DUMMYFUNCTION("""COMPUTED_VALUE"""),1.0)</f>
        <v>1</v>
      </c>
      <c r="C833" s="10"/>
      <c r="D833" s="10"/>
      <c r="E833" s="10"/>
      <c r="F833" s="10"/>
      <c r="G833" s="10"/>
      <c r="H833" s="10"/>
      <c r="I833" s="674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529"/>
      <c r="V833" s="529"/>
    </row>
    <row r="834">
      <c r="A834" s="10"/>
      <c r="B834" s="10">
        <f>IFERROR(__xludf.DUMMYFUNCTION("""COMPUTED_VALUE"""),1.0)</f>
        <v>1</v>
      </c>
      <c r="C834" s="10"/>
      <c r="D834" s="10"/>
      <c r="E834" s="10"/>
      <c r="F834" s="10"/>
      <c r="G834" s="10"/>
      <c r="H834" s="10"/>
      <c r="I834" s="674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529"/>
      <c r="V834" s="529"/>
    </row>
    <row r="835">
      <c r="A835" s="10"/>
      <c r="B835" s="10">
        <f>IFERROR(__xludf.DUMMYFUNCTION("""COMPUTED_VALUE"""),1.0)</f>
        <v>1</v>
      </c>
      <c r="C835" s="10"/>
      <c r="D835" s="10"/>
      <c r="E835" s="10"/>
      <c r="F835" s="10"/>
      <c r="G835" s="10"/>
      <c r="H835" s="10"/>
      <c r="I835" s="674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529"/>
      <c r="V835" s="529"/>
    </row>
    <row r="836">
      <c r="A836" s="10"/>
      <c r="B836" s="10">
        <f>IFERROR(__xludf.DUMMYFUNCTION("""COMPUTED_VALUE"""),1.0)</f>
        <v>1</v>
      </c>
      <c r="C836" s="10"/>
      <c r="D836" s="10"/>
      <c r="E836" s="10"/>
      <c r="F836" s="10"/>
      <c r="G836" s="10"/>
      <c r="H836" s="10"/>
      <c r="I836" s="674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529"/>
      <c r="V836" s="529"/>
    </row>
    <row r="837">
      <c r="A837" s="10"/>
      <c r="B837" s="10">
        <f>IFERROR(__xludf.DUMMYFUNCTION("""COMPUTED_VALUE"""),1.0)</f>
        <v>1</v>
      </c>
      <c r="C837" s="10"/>
      <c r="D837" s="10"/>
      <c r="E837" s="10"/>
      <c r="F837" s="10"/>
      <c r="G837" s="10"/>
      <c r="H837" s="10"/>
      <c r="I837" s="674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529"/>
      <c r="V837" s="529"/>
    </row>
    <row r="838">
      <c r="A838" s="10"/>
      <c r="B838" s="10">
        <f>IFERROR(__xludf.DUMMYFUNCTION("""COMPUTED_VALUE"""),1.0)</f>
        <v>1</v>
      </c>
      <c r="C838" s="10"/>
      <c r="D838" s="10"/>
      <c r="E838" s="10"/>
      <c r="F838" s="10"/>
      <c r="G838" s="10"/>
      <c r="H838" s="10"/>
      <c r="I838" s="674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529"/>
      <c r="V838" s="529"/>
    </row>
    <row r="839">
      <c r="A839" s="10"/>
      <c r="B839" s="10">
        <f>IFERROR(__xludf.DUMMYFUNCTION("""COMPUTED_VALUE"""),1.0)</f>
        <v>1</v>
      </c>
      <c r="C839" s="10"/>
      <c r="D839" s="10"/>
      <c r="E839" s="10"/>
      <c r="F839" s="10"/>
      <c r="G839" s="10"/>
      <c r="H839" s="10"/>
      <c r="I839" s="674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529"/>
      <c r="V839" s="529"/>
    </row>
    <row r="840">
      <c r="A840" s="10"/>
      <c r="B840" s="10">
        <f>IFERROR(__xludf.DUMMYFUNCTION("""COMPUTED_VALUE"""),1.0)</f>
        <v>1</v>
      </c>
      <c r="C840" s="10"/>
      <c r="D840" s="10"/>
      <c r="E840" s="10"/>
      <c r="F840" s="10"/>
      <c r="G840" s="10"/>
      <c r="H840" s="10"/>
      <c r="I840" s="674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529"/>
      <c r="V840" s="529"/>
    </row>
    <row r="841">
      <c r="A841" s="10"/>
      <c r="B841" s="10">
        <f>IFERROR(__xludf.DUMMYFUNCTION("""COMPUTED_VALUE"""),1.0)</f>
        <v>1</v>
      </c>
      <c r="C841" s="10"/>
      <c r="D841" s="10"/>
      <c r="E841" s="10"/>
      <c r="F841" s="10"/>
      <c r="G841" s="10"/>
      <c r="H841" s="10"/>
      <c r="I841" s="674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529"/>
      <c r="V841" s="529"/>
    </row>
    <row r="842">
      <c r="A842" s="10"/>
      <c r="B842" s="10">
        <f>IFERROR(__xludf.DUMMYFUNCTION("""COMPUTED_VALUE"""),1.0)</f>
        <v>1</v>
      </c>
      <c r="C842" s="10"/>
      <c r="D842" s="10"/>
      <c r="E842" s="10"/>
      <c r="F842" s="10"/>
      <c r="G842" s="10"/>
      <c r="H842" s="10"/>
      <c r="I842" s="674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529"/>
      <c r="V842" s="529"/>
    </row>
    <row r="843">
      <c r="A843" s="10"/>
      <c r="B843" s="10">
        <f>IFERROR(__xludf.DUMMYFUNCTION("""COMPUTED_VALUE"""),1.0)</f>
        <v>1</v>
      </c>
      <c r="C843" s="10"/>
      <c r="D843" s="10"/>
      <c r="E843" s="10"/>
      <c r="F843" s="10"/>
      <c r="G843" s="10"/>
      <c r="H843" s="10"/>
      <c r="I843" s="674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529"/>
      <c r="V843" s="529"/>
    </row>
    <row r="844">
      <c r="A844" s="10"/>
      <c r="B844" s="10">
        <f>IFERROR(__xludf.DUMMYFUNCTION("""COMPUTED_VALUE"""),1.0)</f>
        <v>1</v>
      </c>
      <c r="C844" s="10"/>
      <c r="D844" s="10"/>
      <c r="E844" s="10"/>
      <c r="F844" s="10"/>
      <c r="G844" s="10"/>
      <c r="H844" s="10"/>
      <c r="I844" s="674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529"/>
      <c r="V844" s="529"/>
    </row>
    <row r="845">
      <c r="A845" s="10"/>
      <c r="B845" s="10">
        <f>IFERROR(__xludf.DUMMYFUNCTION("""COMPUTED_VALUE"""),1.0)</f>
        <v>1</v>
      </c>
      <c r="C845" s="10"/>
      <c r="D845" s="10"/>
      <c r="E845" s="10"/>
      <c r="F845" s="10"/>
      <c r="G845" s="10"/>
      <c r="H845" s="10"/>
      <c r="I845" s="674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529"/>
      <c r="V845" s="529"/>
    </row>
    <row r="846">
      <c r="A846" s="10"/>
      <c r="B846" s="10">
        <f>IFERROR(__xludf.DUMMYFUNCTION("""COMPUTED_VALUE"""),1.0)</f>
        <v>1</v>
      </c>
      <c r="C846" s="10"/>
      <c r="D846" s="10"/>
      <c r="E846" s="10"/>
      <c r="F846" s="10"/>
      <c r="G846" s="10"/>
      <c r="H846" s="10"/>
      <c r="I846" s="674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529"/>
      <c r="V846" s="529"/>
    </row>
    <row r="847">
      <c r="A847" s="10"/>
      <c r="B847" s="10">
        <f>IFERROR(__xludf.DUMMYFUNCTION("""COMPUTED_VALUE"""),1.0)</f>
        <v>1</v>
      </c>
      <c r="C847" s="10"/>
      <c r="D847" s="10"/>
      <c r="E847" s="10"/>
      <c r="F847" s="10"/>
      <c r="G847" s="10"/>
      <c r="H847" s="10"/>
      <c r="I847" s="674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529"/>
      <c r="V847" s="529"/>
    </row>
    <row r="848">
      <c r="A848" s="10"/>
      <c r="B848" s="10">
        <f>IFERROR(__xludf.DUMMYFUNCTION("""COMPUTED_VALUE"""),1.0)</f>
        <v>1</v>
      </c>
      <c r="C848" s="10"/>
      <c r="D848" s="10"/>
      <c r="E848" s="10"/>
      <c r="F848" s="10"/>
      <c r="G848" s="10"/>
      <c r="H848" s="10"/>
      <c r="I848" s="674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529"/>
      <c r="V848" s="529"/>
    </row>
    <row r="849">
      <c r="A849" s="10"/>
      <c r="B849" s="10">
        <f>IFERROR(__xludf.DUMMYFUNCTION("""COMPUTED_VALUE"""),1.0)</f>
        <v>1</v>
      </c>
      <c r="C849" s="10"/>
      <c r="D849" s="10"/>
      <c r="E849" s="10"/>
      <c r="F849" s="10"/>
      <c r="G849" s="10"/>
      <c r="H849" s="10"/>
      <c r="I849" s="674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529"/>
      <c r="V849" s="529"/>
    </row>
    <row r="850">
      <c r="A850" s="10"/>
      <c r="B850" s="10">
        <f>IFERROR(__xludf.DUMMYFUNCTION("""COMPUTED_VALUE"""),1.0)</f>
        <v>1</v>
      </c>
      <c r="C850" s="10"/>
      <c r="D850" s="10"/>
      <c r="E850" s="10"/>
      <c r="F850" s="10"/>
      <c r="G850" s="10"/>
      <c r="H850" s="10"/>
      <c r="I850" s="674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529"/>
      <c r="V850" s="529"/>
    </row>
    <row r="851">
      <c r="A851" s="10"/>
      <c r="B851" s="10">
        <f>IFERROR(__xludf.DUMMYFUNCTION("""COMPUTED_VALUE"""),1.0)</f>
        <v>1</v>
      </c>
      <c r="C851" s="10"/>
      <c r="D851" s="10"/>
      <c r="E851" s="10"/>
      <c r="F851" s="10"/>
      <c r="G851" s="10"/>
      <c r="H851" s="10"/>
      <c r="I851" s="674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529"/>
      <c r="V851" s="529"/>
    </row>
    <row r="852">
      <c r="A852" s="10"/>
      <c r="B852" s="10">
        <f>IFERROR(__xludf.DUMMYFUNCTION("""COMPUTED_VALUE"""),1.0)</f>
        <v>1</v>
      </c>
      <c r="C852" s="10"/>
      <c r="D852" s="10"/>
      <c r="E852" s="10"/>
      <c r="F852" s="10"/>
      <c r="G852" s="10"/>
      <c r="H852" s="10"/>
      <c r="I852" s="674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529"/>
      <c r="V852" s="529"/>
    </row>
    <row r="853">
      <c r="A853" s="10"/>
      <c r="B853" s="10">
        <f>IFERROR(__xludf.DUMMYFUNCTION("""COMPUTED_VALUE"""),1.0)</f>
        <v>1</v>
      </c>
      <c r="C853" s="10"/>
      <c r="D853" s="10"/>
      <c r="E853" s="10"/>
      <c r="F853" s="10"/>
      <c r="G853" s="10"/>
      <c r="H853" s="10"/>
      <c r="I853" s="674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529"/>
      <c r="V853" s="529"/>
    </row>
    <row r="854">
      <c r="A854" s="10"/>
      <c r="B854" s="10">
        <f>IFERROR(__xludf.DUMMYFUNCTION("""COMPUTED_VALUE"""),1.0)</f>
        <v>1</v>
      </c>
      <c r="C854" s="10"/>
      <c r="D854" s="10"/>
      <c r="E854" s="10"/>
      <c r="F854" s="10"/>
      <c r="G854" s="10"/>
      <c r="H854" s="10"/>
      <c r="I854" s="674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529"/>
      <c r="V854" s="529"/>
    </row>
    <row r="855">
      <c r="A855" s="10"/>
      <c r="B855" s="10">
        <f>IFERROR(__xludf.DUMMYFUNCTION("""COMPUTED_VALUE"""),1.0)</f>
        <v>1</v>
      </c>
      <c r="C855" s="10"/>
      <c r="D855" s="10"/>
      <c r="E855" s="10"/>
      <c r="F855" s="10"/>
      <c r="G855" s="10"/>
      <c r="H855" s="10"/>
      <c r="I855" s="674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529"/>
      <c r="V855" s="529"/>
    </row>
    <row r="856">
      <c r="A856" s="10"/>
      <c r="B856" s="10">
        <f>IFERROR(__xludf.DUMMYFUNCTION("""COMPUTED_VALUE"""),1.0)</f>
        <v>1</v>
      </c>
      <c r="C856" s="10"/>
      <c r="D856" s="10"/>
      <c r="E856" s="10"/>
      <c r="F856" s="10"/>
      <c r="G856" s="10"/>
      <c r="H856" s="10"/>
      <c r="I856" s="674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529"/>
      <c r="V856" s="529"/>
    </row>
    <row r="857">
      <c r="A857" s="10"/>
      <c r="B857" s="10">
        <f>IFERROR(__xludf.DUMMYFUNCTION("""COMPUTED_VALUE"""),1.0)</f>
        <v>1</v>
      </c>
      <c r="C857" s="10"/>
      <c r="D857" s="10"/>
      <c r="E857" s="10"/>
      <c r="F857" s="10"/>
      <c r="G857" s="10"/>
      <c r="H857" s="10"/>
      <c r="I857" s="674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529"/>
      <c r="V857" s="529"/>
    </row>
    <row r="858">
      <c r="A858" s="10"/>
      <c r="B858" s="10">
        <f>IFERROR(__xludf.DUMMYFUNCTION("""COMPUTED_VALUE"""),1.0)</f>
        <v>1</v>
      </c>
      <c r="C858" s="10"/>
      <c r="D858" s="10"/>
      <c r="E858" s="10"/>
      <c r="F858" s="10"/>
      <c r="G858" s="10"/>
      <c r="H858" s="10"/>
      <c r="I858" s="674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529"/>
      <c r="V858" s="529"/>
    </row>
    <row r="859">
      <c r="A859" s="10"/>
      <c r="B859" s="10">
        <f>IFERROR(__xludf.DUMMYFUNCTION("""COMPUTED_VALUE"""),1.0)</f>
        <v>1</v>
      </c>
      <c r="C859" s="10"/>
      <c r="D859" s="10"/>
      <c r="E859" s="10"/>
      <c r="F859" s="10"/>
      <c r="G859" s="10"/>
      <c r="H859" s="10"/>
      <c r="I859" s="674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529"/>
      <c r="V859" s="529"/>
    </row>
    <row r="860">
      <c r="A860" s="10"/>
      <c r="B860" s="10">
        <f>IFERROR(__xludf.DUMMYFUNCTION("""COMPUTED_VALUE"""),1.0)</f>
        <v>1</v>
      </c>
      <c r="C860" s="10"/>
      <c r="D860" s="10"/>
      <c r="E860" s="10"/>
      <c r="F860" s="10"/>
      <c r="G860" s="10"/>
      <c r="H860" s="10"/>
      <c r="I860" s="674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529"/>
      <c r="V860" s="529"/>
    </row>
    <row r="861">
      <c r="A861" s="10"/>
      <c r="B861" s="10">
        <f>IFERROR(__xludf.DUMMYFUNCTION("""COMPUTED_VALUE"""),1.0)</f>
        <v>1</v>
      </c>
      <c r="C861" s="10"/>
      <c r="D861" s="10"/>
      <c r="E861" s="10"/>
      <c r="F861" s="10"/>
      <c r="G861" s="10"/>
      <c r="H861" s="10"/>
      <c r="I861" s="674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529"/>
      <c r="V861" s="529"/>
    </row>
    <row r="862">
      <c r="A862" s="10"/>
      <c r="B862" s="10">
        <f>IFERROR(__xludf.DUMMYFUNCTION("""COMPUTED_VALUE"""),1.0)</f>
        <v>1</v>
      </c>
      <c r="C862" s="10"/>
      <c r="D862" s="10"/>
      <c r="E862" s="10"/>
      <c r="F862" s="10"/>
      <c r="G862" s="10"/>
      <c r="H862" s="10"/>
      <c r="I862" s="674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529"/>
      <c r="V862" s="529"/>
    </row>
    <row r="863">
      <c r="A863" s="10"/>
      <c r="B863" s="10">
        <f>IFERROR(__xludf.DUMMYFUNCTION("""COMPUTED_VALUE"""),1.0)</f>
        <v>1</v>
      </c>
      <c r="C863" s="10"/>
      <c r="D863" s="10"/>
      <c r="E863" s="10"/>
      <c r="F863" s="10"/>
      <c r="G863" s="10"/>
      <c r="H863" s="10"/>
      <c r="I863" s="674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529"/>
      <c r="V863" s="529"/>
    </row>
    <row r="864">
      <c r="A864" s="10"/>
      <c r="B864" s="10">
        <f>IFERROR(__xludf.DUMMYFUNCTION("""COMPUTED_VALUE"""),1.0)</f>
        <v>1</v>
      </c>
      <c r="C864" s="10"/>
      <c r="D864" s="10"/>
      <c r="E864" s="10"/>
      <c r="F864" s="10"/>
      <c r="G864" s="10"/>
      <c r="H864" s="10"/>
      <c r="I864" s="674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529"/>
      <c r="V864" s="529"/>
    </row>
    <row r="865">
      <c r="A865" s="10"/>
      <c r="B865" s="10">
        <f>IFERROR(__xludf.DUMMYFUNCTION("""COMPUTED_VALUE"""),1.0)</f>
        <v>1</v>
      </c>
      <c r="C865" s="10"/>
      <c r="D865" s="10"/>
      <c r="E865" s="10"/>
      <c r="F865" s="10"/>
      <c r="G865" s="10"/>
      <c r="H865" s="10"/>
      <c r="I865" s="674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529"/>
      <c r="V865" s="529"/>
    </row>
    <row r="866">
      <c r="A866" s="10"/>
      <c r="B866" s="10">
        <f>IFERROR(__xludf.DUMMYFUNCTION("""COMPUTED_VALUE"""),1.0)</f>
        <v>1</v>
      </c>
      <c r="C866" s="10"/>
      <c r="D866" s="10"/>
      <c r="E866" s="10"/>
      <c r="F866" s="10"/>
      <c r="G866" s="10"/>
      <c r="H866" s="10"/>
      <c r="I866" s="674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529"/>
      <c r="V866" s="529"/>
    </row>
    <row r="867">
      <c r="A867" s="10"/>
      <c r="B867" s="10">
        <f>IFERROR(__xludf.DUMMYFUNCTION("""COMPUTED_VALUE"""),1.0)</f>
        <v>1</v>
      </c>
      <c r="C867" s="10"/>
      <c r="D867" s="10"/>
      <c r="E867" s="10"/>
      <c r="F867" s="10"/>
      <c r="G867" s="10"/>
      <c r="H867" s="10"/>
      <c r="I867" s="674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529"/>
      <c r="V867" s="529"/>
    </row>
    <row r="868">
      <c r="A868" s="10"/>
      <c r="B868" s="10"/>
      <c r="C868" s="10"/>
      <c r="D868" s="10"/>
      <c r="E868" s="10"/>
      <c r="F868" s="10"/>
      <c r="G868" s="10"/>
      <c r="H868" s="10"/>
      <c r="I868" s="674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529"/>
      <c r="V868" s="529"/>
    </row>
    <row r="869">
      <c r="A869" s="10"/>
      <c r="B869" s="10"/>
      <c r="C869" s="10"/>
      <c r="D869" s="10"/>
      <c r="E869" s="10"/>
      <c r="F869" s="10"/>
      <c r="G869" s="10"/>
      <c r="H869" s="10"/>
      <c r="I869" s="674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529"/>
      <c r="V869" s="529"/>
    </row>
    <row r="870">
      <c r="A870" s="10"/>
      <c r="B870" s="10"/>
      <c r="C870" s="10"/>
      <c r="D870" s="10"/>
      <c r="E870" s="10"/>
      <c r="F870" s="10"/>
      <c r="G870" s="10"/>
      <c r="H870" s="10"/>
      <c r="I870" s="674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529"/>
      <c r="V870" s="529"/>
    </row>
    <row r="871">
      <c r="A871" s="10"/>
      <c r="B871" s="10"/>
      <c r="C871" s="10"/>
      <c r="D871" s="10"/>
      <c r="E871" s="10"/>
      <c r="F871" s="10"/>
      <c r="G871" s="10"/>
      <c r="H871" s="10"/>
      <c r="I871" s="674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529"/>
      <c r="V871" s="529"/>
    </row>
    <row r="872">
      <c r="A872" s="10"/>
      <c r="B872" s="10"/>
      <c r="C872" s="10"/>
      <c r="D872" s="10"/>
      <c r="E872" s="10"/>
      <c r="F872" s="10"/>
      <c r="G872" s="10"/>
      <c r="H872" s="10"/>
      <c r="I872" s="674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529"/>
      <c r="V872" s="529"/>
    </row>
    <row r="873">
      <c r="A873" s="10"/>
      <c r="B873" s="10"/>
      <c r="C873" s="10"/>
      <c r="D873" s="10"/>
      <c r="E873" s="10"/>
      <c r="F873" s="10"/>
      <c r="G873" s="10"/>
      <c r="H873" s="10"/>
      <c r="I873" s="674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529"/>
      <c r="V873" s="529"/>
    </row>
    <row r="874">
      <c r="A874" s="10"/>
      <c r="B874" s="10"/>
      <c r="C874" s="10"/>
      <c r="D874" s="10"/>
      <c r="E874" s="10"/>
      <c r="F874" s="10"/>
      <c r="G874" s="10"/>
      <c r="H874" s="10"/>
      <c r="I874" s="674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529"/>
      <c r="V874" s="529"/>
    </row>
    <row r="875">
      <c r="A875" s="10"/>
      <c r="B875" s="10"/>
      <c r="C875" s="10"/>
      <c r="D875" s="10"/>
      <c r="E875" s="10"/>
      <c r="F875" s="10"/>
      <c r="G875" s="10"/>
      <c r="H875" s="10"/>
      <c r="I875" s="674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529"/>
      <c r="V875" s="529"/>
    </row>
    <row r="876">
      <c r="A876" s="10"/>
      <c r="B876" s="10"/>
      <c r="C876" s="10"/>
      <c r="D876" s="10"/>
      <c r="E876" s="10"/>
      <c r="F876" s="10"/>
      <c r="G876" s="10"/>
      <c r="H876" s="10"/>
      <c r="I876" s="674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529"/>
      <c r="V876" s="529"/>
    </row>
    <row r="877">
      <c r="A877" s="10"/>
      <c r="B877" s="10"/>
      <c r="C877" s="10"/>
      <c r="D877" s="10"/>
      <c r="E877" s="10"/>
      <c r="F877" s="10"/>
      <c r="G877" s="10"/>
      <c r="H877" s="10"/>
      <c r="I877" s="674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529"/>
      <c r="V877" s="529"/>
    </row>
    <row r="878">
      <c r="A878" s="10"/>
      <c r="B878" s="10"/>
      <c r="C878" s="10"/>
      <c r="D878" s="10"/>
      <c r="E878" s="10"/>
      <c r="F878" s="10"/>
      <c r="G878" s="10"/>
      <c r="H878" s="10"/>
      <c r="I878" s="674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529"/>
      <c r="V878" s="529"/>
    </row>
    <row r="879">
      <c r="A879" s="10"/>
      <c r="B879" s="10"/>
      <c r="C879" s="10"/>
      <c r="D879" s="10"/>
      <c r="E879" s="10"/>
      <c r="F879" s="10"/>
      <c r="G879" s="10"/>
      <c r="H879" s="10"/>
      <c r="I879" s="674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529"/>
      <c r="V879" s="529"/>
    </row>
    <row r="880">
      <c r="A880" s="10"/>
      <c r="B880" s="10"/>
      <c r="C880" s="10"/>
      <c r="D880" s="10"/>
      <c r="E880" s="10"/>
      <c r="F880" s="10"/>
      <c r="G880" s="10"/>
      <c r="H880" s="10"/>
      <c r="I880" s="674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529"/>
      <c r="V880" s="529"/>
    </row>
    <row r="881">
      <c r="A881" s="10"/>
      <c r="B881" s="10"/>
      <c r="C881" s="10"/>
      <c r="D881" s="10"/>
      <c r="E881" s="10"/>
      <c r="F881" s="10"/>
      <c r="G881" s="10"/>
      <c r="H881" s="10"/>
      <c r="I881" s="674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529"/>
      <c r="V881" s="529"/>
    </row>
    <row r="882">
      <c r="A882" s="10"/>
      <c r="B882" s="10"/>
      <c r="C882" s="10"/>
      <c r="D882" s="10"/>
      <c r="E882" s="10"/>
      <c r="F882" s="10"/>
      <c r="G882" s="10"/>
      <c r="H882" s="10"/>
      <c r="I882" s="674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529"/>
      <c r="V882" s="529"/>
    </row>
    <row r="883">
      <c r="A883" s="10"/>
      <c r="B883" s="10"/>
      <c r="C883" s="10"/>
      <c r="D883" s="10"/>
      <c r="E883" s="10"/>
      <c r="F883" s="10"/>
      <c r="G883" s="10"/>
      <c r="H883" s="10"/>
      <c r="I883" s="674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529"/>
      <c r="V883" s="529"/>
    </row>
    <row r="884">
      <c r="A884" s="10"/>
      <c r="B884" s="10"/>
      <c r="C884" s="10"/>
      <c r="D884" s="10"/>
      <c r="E884" s="10"/>
      <c r="F884" s="10"/>
      <c r="G884" s="10"/>
      <c r="H884" s="10"/>
      <c r="I884" s="674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529"/>
      <c r="V884" s="529"/>
    </row>
    <row r="885">
      <c r="A885" s="10"/>
      <c r="B885" s="10"/>
      <c r="C885" s="10"/>
      <c r="D885" s="10"/>
      <c r="E885" s="10"/>
      <c r="F885" s="10"/>
      <c r="G885" s="10"/>
      <c r="H885" s="10"/>
      <c r="I885" s="674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529"/>
      <c r="V885" s="529"/>
    </row>
    <row r="886">
      <c r="A886" s="10"/>
      <c r="B886" s="10"/>
      <c r="C886" s="10"/>
      <c r="D886" s="10"/>
      <c r="E886" s="10"/>
      <c r="F886" s="10"/>
      <c r="G886" s="10"/>
      <c r="H886" s="10"/>
      <c r="I886" s="674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529"/>
      <c r="V886" s="529"/>
    </row>
    <row r="887">
      <c r="A887" s="10"/>
      <c r="B887" s="10"/>
      <c r="C887" s="10"/>
      <c r="D887" s="10"/>
      <c r="E887" s="10"/>
      <c r="F887" s="10"/>
      <c r="G887" s="10"/>
      <c r="H887" s="10"/>
      <c r="I887" s="674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529"/>
      <c r="V887" s="529"/>
    </row>
    <row r="888">
      <c r="A888" s="10"/>
      <c r="B888" s="10"/>
      <c r="C888" s="10"/>
      <c r="D888" s="10"/>
      <c r="E888" s="10"/>
      <c r="F888" s="10"/>
      <c r="G888" s="10"/>
      <c r="H888" s="10"/>
      <c r="I888" s="674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529"/>
      <c r="V888" s="529"/>
    </row>
    <row r="889">
      <c r="A889" s="10"/>
      <c r="B889" s="10"/>
      <c r="C889" s="10"/>
      <c r="D889" s="10"/>
      <c r="E889" s="10"/>
      <c r="F889" s="10"/>
      <c r="G889" s="10"/>
      <c r="H889" s="10"/>
      <c r="I889" s="674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529"/>
      <c r="V889" s="529"/>
    </row>
    <row r="890">
      <c r="A890" s="10"/>
      <c r="B890" s="10"/>
      <c r="C890" s="10"/>
      <c r="D890" s="10"/>
      <c r="E890" s="10"/>
      <c r="F890" s="10"/>
      <c r="G890" s="10"/>
      <c r="H890" s="10"/>
      <c r="I890" s="674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529"/>
      <c r="V890" s="529"/>
    </row>
    <row r="891">
      <c r="A891" s="10"/>
      <c r="B891" s="10"/>
      <c r="C891" s="10"/>
      <c r="D891" s="10"/>
      <c r="E891" s="10"/>
      <c r="F891" s="10"/>
      <c r="G891" s="10"/>
      <c r="H891" s="10"/>
      <c r="I891" s="674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529"/>
      <c r="V891" s="529"/>
    </row>
    <row r="892">
      <c r="A892" s="10"/>
      <c r="B892" s="10"/>
      <c r="C892" s="10"/>
      <c r="D892" s="10"/>
      <c r="E892" s="10"/>
      <c r="F892" s="10"/>
      <c r="G892" s="10"/>
      <c r="H892" s="10"/>
      <c r="I892" s="674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529"/>
      <c r="V892" s="529"/>
    </row>
    <row r="893">
      <c r="A893" s="10"/>
      <c r="B893" s="10"/>
      <c r="C893" s="10"/>
      <c r="D893" s="10"/>
      <c r="E893" s="10"/>
      <c r="F893" s="10"/>
      <c r="G893" s="10"/>
      <c r="H893" s="10"/>
      <c r="I893" s="674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529"/>
      <c r="V893" s="529"/>
    </row>
    <row r="894">
      <c r="A894" s="10"/>
      <c r="B894" s="10"/>
      <c r="C894" s="10"/>
      <c r="D894" s="10"/>
      <c r="E894" s="10"/>
      <c r="F894" s="10"/>
      <c r="G894" s="10"/>
      <c r="H894" s="10"/>
      <c r="I894" s="674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529"/>
      <c r="V894" s="529"/>
    </row>
    <row r="895">
      <c r="A895" s="10"/>
      <c r="B895" s="10"/>
      <c r="C895" s="10"/>
      <c r="D895" s="10"/>
      <c r="E895" s="10"/>
      <c r="F895" s="10"/>
      <c r="G895" s="10"/>
      <c r="H895" s="10"/>
      <c r="I895" s="674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529"/>
      <c r="V895" s="529"/>
    </row>
    <row r="896">
      <c r="A896" s="10"/>
      <c r="B896" s="10"/>
      <c r="C896" s="10"/>
      <c r="D896" s="10"/>
      <c r="E896" s="10"/>
      <c r="F896" s="10"/>
      <c r="G896" s="10"/>
      <c r="H896" s="10"/>
      <c r="I896" s="674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529"/>
      <c r="V896" s="529"/>
    </row>
    <row r="897">
      <c r="A897" s="10"/>
      <c r="B897" s="10"/>
      <c r="C897" s="10"/>
      <c r="D897" s="10"/>
      <c r="E897" s="10"/>
      <c r="F897" s="10"/>
      <c r="G897" s="10"/>
      <c r="H897" s="10"/>
      <c r="I897" s="674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529"/>
      <c r="V897" s="529"/>
    </row>
    <row r="898">
      <c r="A898" s="10"/>
      <c r="B898" s="10"/>
      <c r="C898" s="10"/>
      <c r="D898" s="10"/>
      <c r="E898" s="10"/>
      <c r="F898" s="10"/>
      <c r="G898" s="10"/>
      <c r="H898" s="10"/>
      <c r="I898" s="674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529"/>
      <c r="V898" s="529"/>
    </row>
    <row r="899">
      <c r="A899" s="10"/>
      <c r="B899" s="10"/>
      <c r="C899" s="10"/>
      <c r="D899" s="10"/>
      <c r="E899" s="10"/>
      <c r="F899" s="10"/>
      <c r="G899" s="10"/>
      <c r="H899" s="10"/>
      <c r="I899" s="674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529"/>
      <c r="V899" s="529"/>
    </row>
    <row r="900">
      <c r="A900" s="10"/>
      <c r="B900" s="10"/>
      <c r="C900" s="10"/>
      <c r="D900" s="10"/>
      <c r="E900" s="10"/>
      <c r="F900" s="10"/>
      <c r="G900" s="10"/>
      <c r="H900" s="10"/>
      <c r="I900" s="674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529"/>
      <c r="V900" s="529"/>
    </row>
    <row r="901">
      <c r="A901" s="10"/>
      <c r="B901" s="10"/>
      <c r="C901" s="10"/>
      <c r="D901" s="10"/>
      <c r="E901" s="10"/>
      <c r="F901" s="10"/>
      <c r="G901" s="10"/>
      <c r="H901" s="10"/>
      <c r="I901" s="674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529"/>
      <c r="V901" s="529"/>
    </row>
    <row r="902">
      <c r="A902" s="10"/>
      <c r="B902" s="10"/>
      <c r="C902" s="10"/>
      <c r="D902" s="10"/>
      <c r="E902" s="10"/>
      <c r="F902" s="10"/>
      <c r="G902" s="10"/>
      <c r="H902" s="10"/>
      <c r="I902" s="674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529"/>
      <c r="V902" s="529"/>
    </row>
    <row r="903">
      <c r="A903" s="10"/>
      <c r="B903" s="10"/>
      <c r="C903" s="10"/>
      <c r="D903" s="10"/>
      <c r="E903" s="10"/>
      <c r="F903" s="10"/>
      <c r="G903" s="10"/>
      <c r="H903" s="10"/>
      <c r="I903" s="674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529"/>
      <c r="V903" s="529"/>
    </row>
    <row r="904">
      <c r="A904" s="10"/>
      <c r="B904" s="10"/>
      <c r="C904" s="10"/>
      <c r="D904" s="10"/>
      <c r="E904" s="10"/>
      <c r="F904" s="10"/>
      <c r="G904" s="10"/>
      <c r="H904" s="10"/>
      <c r="I904" s="674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529"/>
      <c r="V904" s="529"/>
    </row>
    <row r="905">
      <c r="A905" s="10"/>
      <c r="B905" s="10"/>
      <c r="C905" s="10"/>
      <c r="D905" s="10"/>
      <c r="E905" s="10"/>
      <c r="F905" s="10"/>
      <c r="G905" s="10"/>
      <c r="H905" s="10"/>
      <c r="I905" s="674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529"/>
      <c r="V905" s="529"/>
    </row>
    <row r="906">
      <c r="A906" s="10"/>
      <c r="B906" s="10"/>
      <c r="C906" s="10"/>
      <c r="D906" s="10"/>
      <c r="E906" s="10"/>
      <c r="F906" s="10"/>
      <c r="G906" s="10"/>
      <c r="H906" s="10"/>
      <c r="I906" s="674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529"/>
      <c r="V906" s="529"/>
    </row>
    <row r="907">
      <c r="A907" s="10"/>
      <c r="B907" s="10"/>
      <c r="C907" s="10"/>
      <c r="D907" s="10"/>
      <c r="E907" s="10"/>
      <c r="F907" s="10"/>
      <c r="G907" s="10"/>
      <c r="H907" s="10"/>
      <c r="I907" s="674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529"/>
      <c r="V907" s="529"/>
    </row>
    <row r="908">
      <c r="A908" s="10"/>
      <c r="B908" s="10"/>
      <c r="C908" s="10"/>
      <c r="D908" s="10"/>
      <c r="E908" s="10"/>
      <c r="F908" s="10"/>
      <c r="G908" s="10"/>
      <c r="H908" s="10"/>
      <c r="I908" s="674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529"/>
      <c r="V908" s="529"/>
    </row>
    <row r="909">
      <c r="A909" s="10"/>
      <c r="B909" s="10"/>
      <c r="C909" s="10"/>
      <c r="D909" s="10"/>
      <c r="E909" s="10"/>
      <c r="F909" s="10"/>
      <c r="G909" s="10"/>
      <c r="H909" s="10"/>
      <c r="I909" s="674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529"/>
      <c r="V909" s="529"/>
    </row>
    <row r="910">
      <c r="A910" s="10"/>
      <c r="B910" s="10"/>
      <c r="C910" s="10"/>
      <c r="D910" s="10"/>
      <c r="E910" s="10"/>
      <c r="F910" s="10"/>
      <c r="G910" s="10"/>
      <c r="H910" s="10"/>
      <c r="I910" s="674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529"/>
      <c r="V910" s="529"/>
    </row>
    <row r="911">
      <c r="A911" s="10"/>
      <c r="B911" s="10"/>
      <c r="C911" s="10"/>
      <c r="D911" s="10"/>
      <c r="E911" s="10"/>
      <c r="F911" s="10"/>
      <c r="G911" s="10"/>
      <c r="H911" s="10"/>
      <c r="I911" s="674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529"/>
      <c r="V911" s="529"/>
    </row>
    <row r="912">
      <c r="A912" s="10"/>
      <c r="B912" s="10"/>
      <c r="C912" s="10"/>
      <c r="D912" s="10"/>
      <c r="E912" s="10"/>
      <c r="F912" s="10"/>
      <c r="G912" s="10"/>
      <c r="H912" s="10"/>
      <c r="I912" s="674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529"/>
      <c r="V912" s="529"/>
    </row>
    <row r="913">
      <c r="A913" s="10"/>
      <c r="B913" s="10"/>
      <c r="C913" s="10"/>
      <c r="D913" s="10"/>
      <c r="E913" s="10"/>
      <c r="F913" s="10"/>
      <c r="G913" s="10"/>
      <c r="H913" s="10"/>
      <c r="I913" s="674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529"/>
      <c r="V913" s="529"/>
    </row>
    <row r="914">
      <c r="A914" s="10"/>
      <c r="B914" s="10"/>
      <c r="C914" s="10"/>
      <c r="D914" s="10"/>
      <c r="E914" s="10"/>
      <c r="F914" s="10"/>
      <c r="G914" s="10"/>
      <c r="H914" s="10"/>
      <c r="I914" s="674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529"/>
      <c r="V914" s="529"/>
    </row>
    <row r="915">
      <c r="A915" s="10"/>
      <c r="B915" s="10"/>
      <c r="C915" s="10"/>
      <c r="D915" s="10"/>
      <c r="E915" s="10"/>
      <c r="F915" s="10"/>
      <c r="G915" s="10"/>
      <c r="H915" s="10"/>
      <c r="I915" s="674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529"/>
      <c r="V915" s="529"/>
    </row>
    <row r="916">
      <c r="A916" s="10"/>
      <c r="B916" s="10"/>
      <c r="C916" s="10"/>
      <c r="D916" s="10"/>
      <c r="E916" s="10"/>
      <c r="F916" s="10"/>
      <c r="G916" s="10"/>
      <c r="H916" s="10"/>
      <c r="I916" s="674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529"/>
      <c r="V916" s="529"/>
    </row>
    <row r="917">
      <c r="A917" s="10"/>
      <c r="B917" s="10"/>
      <c r="C917" s="10"/>
      <c r="D917" s="10"/>
      <c r="E917" s="10"/>
      <c r="F917" s="10"/>
      <c r="G917" s="10"/>
      <c r="H917" s="10"/>
      <c r="I917" s="674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529"/>
      <c r="V917" s="529"/>
    </row>
    <row r="918">
      <c r="A918" s="10"/>
      <c r="B918" s="10"/>
      <c r="C918" s="10"/>
      <c r="D918" s="10"/>
      <c r="E918" s="10"/>
      <c r="F918" s="10"/>
      <c r="G918" s="10"/>
      <c r="H918" s="10"/>
      <c r="I918" s="674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529"/>
      <c r="V918" s="529"/>
    </row>
    <row r="919">
      <c r="A919" s="10"/>
      <c r="B919" s="10"/>
      <c r="C919" s="10"/>
      <c r="D919" s="10"/>
      <c r="E919" s="10"/>
      <c r="F919" s="10"/>
      <c r="G919" s="10"/>
      <c r="H919" s="10"/>
      <c r="I919" s="674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529"/>
      <c r="V919" s="529"/>
    </row>
    <row r="920">
      <c r="A920" s="10"/>
      <c r="B920" s="10"/>
      <c r="C920" s="10"/>
      <c r="D920" s="10"/>
      <c r="E920" s="10"/>
      <c r="F920" s="10"/>
      <c r="G920" s="10"/>
      <c r="H920" s="10"/>
      <c r="I920" s="674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529"/>
      <c r="V920" s="529"/>
    </row>
    <row r="921">
      <c r="A921" s="10"/>
      <c r="B921" s="10"/>
      <c r="C921" s="10"/>
      <c r="D921" s="10"/>
      <c r="E921" s="10"/>
      <c r="F921" s="10"/>
      <c r="G921" s="10"/>
      <c r="H921" s="10"/>
      <c r="I921" s="674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529"/>
      <c r="V921" s="529"/>
    </row>
    <row r="922">
      <c r="A922" s="10"/>
      <c r="B922" s="10"/>
      <c r="C922" s="10"/>
      <c r="D922" s="10"/>
      <c r="E922" s="10"/>
      <c r="F922" s="10"/>
      <c r="G922" s="10"/>
      <c r="H922" s="10"/>
      <c r="I922" s="674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529"/>
      <c r="V922" s="529"/>
    </row>
    <row r="923">
      <c r="A923" s="10"/>
      <c r="B923" s="10"/>
      <c r="C923" s="10"/>
      <c r="D923" s="10"/>
      <c r="E923" s="10"/>
      <c r="F923" s="10"/>
      <c r="G923" s="10"/>
      <c r="H923" s="10"/>
      <c r="I923" s="674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529"/>
      <c r="V923" s="529"/>
    </row>
    <row r="924">
      <c r="A924" s="10"/>
      <c r="B924" s="10"/>
      <c r="C924" s="10"/>
      <c r="D924" s="10"/>
      <c r="E924" s="10"/>
      <c r="F924" s="10"/>
      <c r="G924" s="10"/>
      <c r="H924" s="10"/>
      <c r="I924" s="674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529"/>
      <c r="V924" s="529"/>
    </row>
    <row r="925">
      <c r="A925" s="10"/>
      <c r="B925" s="10"/>
      <c r="C925" s="10"/>
      <c r="D925" s="10"/>
      <c r="E925" s="10"/>
      <c r="F925" s="10"/>
      <c r="G925" s="10"/>
      <c r="H925" s="10"/>
      <c r="I925" s="674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529"/>
      <c r="V925" s="529"/>
    </row>
    <row r="926">
      <c r="A926" s="10"/>
      <c r="B926" s="10"/>
      <c r="C926" s="10"/>
      <c r="D926" s="10"/>
      <c r="E926" s="10"/>
      <c r="F926" s="10"/>
      <c r="G926" s="10"/>
      <c r="H926" s="10"/>
      <c r="I926" s="674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529"/>
      <c r="V926" s="529"/>
    </row>
    <row r="927">
      <c r="A927" s="10"/>
      <c r="B927" s="10"/>
      <c r="C927" s="10"/>
      <c r="D927" s="10"/>
      <c r="E927" s="10"/>
      <c r="F927" s="10"/>
      <c r="G927" s="10"/>
      <c r="H927" s="10"/>
      <c r="I927" s="674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529"/>
      <c r="V927" s="529"/>
    </row>
    <row r="928">
      <c r="A928" s="10"/>
      <c r="B928" s="10"/>
      <c r="C928" s="10"/>
      <c r="D928" s="10"/>
      <c r="E928" s="10"/>
      <c r="F928" s="10"/>
      <c r="G928" s="10"/>
      <c r="H928" s="10"/>
      <c r="I928" s="674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529"/>
      <c r="V928" s="529"/>
    </row>
    <row r="929">
      <c r="A929" s="10"/>
      <c r="B929" s="10"/>
      <c r="C929" s="10"/>
      <c r="D929" s="10"/>
      <c r="E929" s="10"/>
      <c r="F929" s="10"/>
      <c r="G929" s="10"/>
      <c r="H929" s="10"/>
      <c r="I929" s="674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529"/>
      <c r="V929" s="529"/>
    </row>
    <row r="930">
      <c r="A930" s="10"/>
      <c r="B930" s="10"/>
      <c r="C930" s="10"/>
      <c r="D930" s="10"/>
      <c r="E930" s="10"/>
      <c r="F930" s="10"/>
      <c r="G930" s="10"/>
      <c r="H930" s="10"/>
      <c r="I930" s="674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529"/>
      <c r="V930" s="529"/>
    </row>
    <row r="931">
      <c r="A931" s="10"/>
      <c r="B931" s="10"/>
      <c r="C931" s="10"/>
      <c r="D931" s="10"/>
      <c r="E931" s="10"/>
      <c r="F931" s="10"/>
      <c r="G931" s="10"/>
      <c r="H931" s="10"/>
      <c r="I931" s="674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529"/>
      <c r="V931" s="529"/>
    </row>
    <row r="932">
      <c r="A932" s="10"/>
      <c r="B932" s="10"/>
      <c r="C932" s="10"/>
      <c r="D932" s="10"/>
      <c r="E932" s="10"/>
      <c r="F932" s="10"/>
      <c r="G932" s="10"/>
      <c r="H932" s="10"/>
      <c r="I932" s="674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529"/>
      <c r="V932" s="529"/>
    </row>
    <row r="933">
      <c r="A933" s="10"/>
      <c r="B933" s="10"/>
      <c r="C933" s="10"/>
      <c r="D933" s="10"/>
      <c r="E933" s="10"/>
      <c r="F933" s="10"/>
      <c r="G933" s="10"/>
      <c r="H933" s="10"/>
      <c r="I933" s="674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529"/>
      <c r="V933" s="529"/>
    </row>
    <row r="934">
      <c r="A934" s="10"/>
      <c r="B934" s="10"/>
      <c r="C934" s="10"/>
      <c r="D934" s="10"/>
      <c r="E934" s="10"/>
      <c r="F934" s="10"/>
      <c r="G934" s="10"/>
      <c r="H934" s="10"/>
      <c r="I934" s="674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529"/>
      <c r="V934" s="529"/>
    </row>
    <row r="935">
      <c r="A935" s="10"/>
      <c r="B935" s="10"/>
      <c r="C935" s="10"/>
      <c r="D935" s="10"/>
      <c r="E935" s="10"/>
      <c r="F935" s="10"/>
      <c r="G935" s="10"/>
      <c r="H935" s="10"/>
      <c r="I935" s="674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529"/>
      <c r="V935" s="529"/>
    </row>
    <row r="936">
      <c r="A936" s="10"/>
      <c r="B936" s="10"/>
      <c r="C936" s="10"/>
      <c r="D936" s="10"/>
      <c r="E936" s="10"/>
      <c r="F936" s="10"/>
      <c r="G936" s="10"/>
      <c r="H936" s="10"/>
      <c r="I936" s="674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529"/>
      <c r="V936" s="529"/>
    </row>
    <row r="937">
      <c r="A937" s="10"/>
      <c r="B937" s="10"/>
      <c r="C937" s="10"/>
      <c r="D937" s="10"/>
      <c r="E937" s="10"/>
      <c r="F937" s="10"/>
      <c r="G937" s="10"/>
      <c r="H937" s="10"/>
      <c r="I937" s="674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529"/>
      <c r="V937" s="529"/>
    </row>
    <row r="938">
      <c r="A938" s="10"/>
      <c r="B938" s="10"/>
      <c r="C938" s="10"/>
      <c r="D938" s="10"/>
      <c r="E938" s="10"/>
      <c r="F938" s="10"/>
      <c r="G938" s="10"/>
      <c r="H938" s="10"/>
      <c r="I938" s="674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529"/>
      <c r="V938" s="529"/>
    </row>
    <row r="939">
      <c r="A939" s="10"/>
      <c r="B939" s="10"/>
      <c r="C939" s="10"/>
      <c r="D939" s="10"/>
      <c r="E939" s="10"/>
      <c r="F939" s="10"/>
      <c r="G939" s="10"/>
      <c r="H939" s="10"/>
      <c r="I939" s="674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529"/>
      <c r="V939" s="529"/>
    </row>
    <row r="940">
      <c r="A940" s="10"/>
      <c r="B940" s="10"/>
      <c r="C940" s="10"/>
      <c r="D940" s="10"/>
      <c r="E940" s="10"/>
      <c r="F940" s="10"/>
      <c r="G940" s="10"/>
      <c r="H940" s="10"/>
      <c r="I940" s="674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529"/>
      <c r="V940" s="529"/>
    </row>
    <row r="941">
      <c r="A941" s="10"/>
      <c r="B941" s="10"/>
      <c r="C941" s="10"/>
      <c r="D941" s="10"/>
      <c r="E941" s="10"/>
      <c r="F941" s="10"/>
      <c r="G941" s="10"/>
      <c r="H941" s="10"/>
      <c r="I941" s="674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529"/>
      <c r="V941" s="529"/>
    </row>
    <row r="942">
      <c r="A942" s="10"/>
      <c r="B942" s="10"/>
      <c r="C942" s="10"/>
      <c r="D942" s="10"/>
      <c r="E942" s="10"/>
      <c r="F942" s="10"/>
      <c r="G942" s="10"/>
      <c r="H942" s="10"/>
      <c r="I942" s="674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529"/>
      <c r="V942" s="529"/>
    </row>
    <row r="943">
      <c r="A943" s="10"/>
      <c r="B943" s="10"/>
      <c r="C943" s="10"/>
      <c r="D943" s="10"/>
      <c r="E943" s="10"/>
      <c r="F943" s="10"/>
      <c r="G943" s="10"/>
      <c r="H943" s="10"/>
      <c r="I943" s="674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529"/>
      <c r="V943" s="529"/>
    </row>
    <row r="944">
      <c r="A944" s="10"/>
      <c r="B944" s="10"/>
      <c r="C944" s="10"/>
      <c r="D944" s="10"/>
      <c r="E944" s="10"/>
      <c r="F944" s="10"/>
      <c r="G944" s="10"/>
      <c r="H944" s="10"/>
      <c r="I944" s="674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529"/>
      <c r="V944" s="529"/>
    </row>
    <row r="945">
      <c r="A945" s="10"/>
      <c r="B945" s="10"/>
      <c r="C945" s="10"/>
      <c r="D945" s="10"/>
      <c r="E945" s="10"/>
      <c r="F945" s="10"/>
      <c r="G945" s="10"/>
      <c r="H945" s="10"/>
      <c r="I945" s="674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529"/>
      <c r="V945" s="529"/>
    </row>
    <row r="946">
      <c r="A946" s="10"/>
      <c r="B946" s="10"/>
      <c r="C946" s="10"/>
      <c r="D946" s="10"/>
      <c r="E946" s="10"/>
      <c r="F946" s="10"/>
      <c r="G946" s="10"/>
      <c r="H946" s="10"/>
      <c r="I946" s="674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529"/>
      <c r="V946" s="529"/>
    </row>
    <row r="947">
      <c r="A947" s="10"/>
      <c r="B947" s="10"/>
      <c r="C947" s="10"/>
      <c r="D947" s="10"/>
      <c r="E947" s="10"/>
      <c r="F947" s="10"/>
      <c r="G947" s="10"/>
      <c r="H947" s="10"/>
      <c r="I947" s="674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529"/>
      <c r="V947" s="529"/>
    </row>
    <row r="948">
      <c r="A948" s="10"/>
      <c r="B948" s="10"/>
      <c r="C948" s="10"/>
      <c r="D948" s="10"/>
      <c r="E948" s="10"/>
      <c r="F948" s="10"/>
      <c r="G948" s="10"/>
      <c r="H948" s="10"/>
      <c r="I948" s="674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529"/>
      <c r="V948" s="529"/>
    </row>
    <row r="949">
      <c r="A949" s="10"/>
      <c r="B949" s="10"/>
      <c r="C949" s="10"/>
      <c r="D949" s="10"/>
      <c r="E949" s="10"/>
      <c r="F949" s="10"/>
      <c r="G949" s="10"/>
      <c r="H949" s="10"/>
      <c r="I949" s="674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529"/>
      <c r="V949" s="529"/>
    </row>
    <row r="950">
      <c r="A950" s="10"/>
      <c r="B950" s="10"/>
      <c r="C950" s="10"/>
      <c r="D950" s="10"/>
      <c r="E950" s="10"/>
      <c r="F950" s="10"/>
      <c r="G950" s="10"/>
      <c r="H950" s="10"/>
      <c r="I950" s="674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529"/>
      <c r="V950" s="529"/>
    </row>
    <row r="951">
      <c r="A951" s="10"/>
      <c r="B951" s="10"/>
      <c r="C951" s="10"/>
      <c r="D951" s="10"/>
      <c r="E951" s="10"/>
      <c r="F951" s="10"/>
      <c r="G951" s="10"/>
      <c r="H951" s="10"/>
      <c r="I951" s="674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529"/>
      <c r="V951" s="529"/>
    </row>
    <row r="952">
      <c r="A952" s="10"/>
      <c r="B952" s="10"/>
      <c r="C952" s="10"/>
      <c r="D952" s="10"/>
      <c r="E952" s="10"/>
      <c r="F952" s="10"/>
      <c r="G952" s="10"/>
      <c r="H952" s="10"/>
      <c r="I952" s="674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529"/>
      <c r="V952" s="529"/>
    </row>
    <row r="953">
      <c r="A953" s="10"/>
      <c r="B953" s="10"/>
      <c r="C953" s="10"/>
      <c r="D953" s="10"/>
      <c r="E953" s="10"/>
      <c r="F953" s="10"/>
      <c r="G953" s="10"/>
      <c r="H953" s="10"/>
      <c r="I953" s="674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529"/>
      <c r="V953" s="529"/>
    </row>
    <row r="954">
      <c r="A954" s="10"/>
      <c r="B954" s="10"/>
      <c r="C954" s="10"/>
      <c r="D954" s="10"/>
      <c r="E954" s="10"/>
      <c r="F954" s="10"/>
      <c r="G954" s="10"/>
      <c r="H954" s="10"/>
      <c r="I954" s="674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529"/>
      <c r="V954" s="529"/>
    </row>
    <row r="955">
      <c r="A955" s="10"/>
      <c r="B955" s="10"/>
      <c r="C955" s="10"/>
      <c r="D955" s="10"/>
      <c r="E955" s="10"/>
      <c r="F955" s="10"/>
      <c r="G955" s="10"/>
      <c r="H955" s="10"/>
      <c r="I955" s="674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529"/>
      <c r="V955" s="529"/>
    </row>
    <row r="956">
      <c r="A956" s="10"/>
      <c r="B956" s="10"/>
      <c r="C956" s="10"/>
      <c r="D956" s="10"/>
      <c r="E956" s="10"/>
      <c r="F956" s="10"/>
      <c r="G956" s="10"/>
      <c r="H956" s="10"/>
      <c r="I956" s="674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529"/>
      <c r="V956" s="529"/>
    </row>
    <row r="957">
      <c r="A957" s="10"/>
      <c r="B957" s="10"/>
      <c r="C957" s="10"/>
      <c r="D957" s="10"/>
      <c r="E957" s="10"/>
      <c r="F957" s="10"/>
      <c r="G957" s="10"/>
      <c r="H957" s="10"/>
      <c r="I957" s="674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529"/>
      <c r="V957" s="529"/>
    </row>
    <row r="958">
      <c r="A958" s="10"/>
      <c r="B958" s="10"/>
      <c r="C958" s="10"/>
      <c r="D958" s="10"/>
      <c r="E958" s="10"/>
      <c r="F958" s="10"/>
      <c r="G958" s="10"/>
      <c r="H958" s="10"/>
      <c r="I958" s="674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529"/>
      <c r="V958" s="529"/>
    </row>
    <row r="959">
      <c r="A959" s="10"/>
      <c r="B959" s="10"/>
      <c r="C959" s="10"/>
      <c r="D959" s="10"/>
      <c r="E959" s="10"/>
      <c r="F959" s="10"/>
      <c r="G959" s="10"/>
      <c r="H959" s="10"/>
      <c r="I959" s="674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529"/>
      <c r="V959" s="529"/>
    </row>
    <row r="960">
      <c r="A960" s="10"/>
      <c r="B960" s="10"/>
      <c r="C960" s="10"/>
      <c r="D960" s="10"/>
      <c r="E960" s="10"/>
      <c r="F960" s="10"/>
      <c r="G960" s="10"/>
      <c r="H960" s="10"/>
      <c r="I960" s="674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529"/>
      <c r="V960" s="529"/>
    </row>
    <row r="961">
      <c r="A961" s="10"/>
      <c r="B961" s="10"/>
      <c r="C961" s="10"/>
      <c r="D961" s="10"/>
      <c r="E961" s="10"/>
      <c r="F961" s="10"/>
      <c r="G961" s="10"/>
      <c r="H961" s="10"/>
      <c r="I961" s="674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529"/>
      <c r="V961" s="529"/>
    </row>
    <row r="962">
      <c r="A962" s="10"/>
      <c r="B962" s="10"/>
      <c r="C962" s="10"/>
      <c r="D962" s="10"/>
      <c r="E962" s="10"/>
      <c r="F962" s="10"/>
      <c r="G962" s="10"/>
      <c r="H962" s="10"/>
      <c r="I962" s="674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529"/>
      <c r="V962" s="529"/>
    </row>
    <row r="963">
      <c r="A963" s="10"/>
      <c r="B963" s="10"/>
      <c r="C963" s="10"/>
      <c r="D963" s="10"/>
      <c r="E963" s="10"/>
      <c r="F963" s="10"/>
      <c r="G963" s="10"/>
      <c r="H963" s="10"/>
      <c r="I963" s="674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529"/>
      <c r="V963" s="529"/>
    </row>
    <row r="964">
      <c r="A964" s="10"/>
      <c r="B964" s="10"/>
      <c r="C964" s="10"/>
      <c r="D964" s="10"/>
      <c r="E964" s="10"/>
      <c r="F964" s="10"/>
      <c r="G964" s="10"/>
      <c r="H964" s="10"/>
      <c r="I964" s="674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529"/>
      <c r="V964" s="529"/>
    </row>
    <row r="965">
      <c r="A965" s="10"/>
      <c r="B965" s="10"/>
      <c r="C965" s="10"/>
      <c r="D965" s="10"/>
      <c r="E965" s="10"/>
      <c r="F965" s="10"/>
      <c r="G965" s="10"/>
      <c r="H965" s="10"/>
      <c r="I965" s="674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529"/>
      <c r="V965" s="529"/>
    </row>
    <row r="966">
      <c r="A966" s="10"/>
      <c r="B966" s="10"/>
      <c r="C966" s="10"/>
      <c r="D966" s="10"/>
      <c r="E966" s="10"/>
      <c r="F966" s="10"/>
      <c r="G966" s="10"/>
      <c r="H966" s="10"/>
      <c r="I966" s="674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529"/>
      <c r="V966" s="529"/>
    </row>
    <row r="967">
      <c r="A967" s="10"/>
      <c r="B967" s="10"/>
      <c r="C967" s="10"/>
      <c r="D967" s="10"/>
      <c r="E967" s="10"/>
      <c r="F967" s="10"/>
      <c r="G967" s="10"/>
      <c r="H967" s="10"/>
      <c r="I967" s="674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529"/>
      <c r="V967" s="529"/>
    </row>
    <row r="968">
      <c r="A968" s="10"/>
      <c r="B968" s="10"/>
      <c r="C968" s="10"/>
      <c r="D968" s="10"/>
      <c r="E968" s="10"/>
      <c r="F968" s="10"/>
      <c r="G968" s="10"/>
      <c r="H968" s="10"/>
      <c r="I968" s="674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529"/>
      <c r="V968" s="529"/>
    </row>
    <row r="969">
      <c r="A969" s="10"/>
      <c r="B969" s="10"/>
      <c r="C969" s="10"/>
      <c r="D969" s="10"/>
      <c r="E969" s="10"/>
      <c r="F969" s="10"/>
      <c r="G969" s="10"/>
      <c r="H969" s="10"/>
      <c r="I969" s="674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529"/>
      <c r="V969" s="529"/>
    </row>
    <row r="970">
      <c r="A970" s="10"/>
      <c r="B970" s="10"/>
      <c r="C970" s="10"/>
      <c r="D970" s="10"/>
      <c r="E970" s="10"/>
      <c r="F970" s="10"/>
      <c r="G970" s="10"/>
      <c r="H970" s="10"/>
      <c r="I970" s="674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529"/>
      <c r="V970" s="529"/>
    </row>
    <row r="971">
      <c r="A971" s="10"/>
      <c r="B971" s="10"/>
      <c r="C971" s="10"/>
      <c r="D971" s="10"/>
      <c r="E971" s="10"/>
      <c r="F971" s="10"/>
      <c r="G971" s="10"/>
      <c r="H971" s="10"/>
      <c r="I971" s="674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529"/>
      <c r="V971" s="529"/>
    </row>
    <row r="972">
      <c r="A972" s="10"/>
      <c r="B972" s="10"/>
      <c r="C972" s="10"/>
      <c r="D972" s="10"/>
      <c r="E972" s="10"/>
      <c r="F972" s="10"/>
      <c r="G972" s="10"/>
      <c r="H972" s="10"/>
      <c r="I972" s="674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529"/>
      <c r="V972" s="529"/>
    </row>
    <row r="973">
      <c r="A973" s="10"/>
      <c r="B973" s="10"/>
      <c r="C973" s="10"/>
      <c r="D973" s="10"/>
      <c r="E973" s="10"/>
      <c r="F973" s="10"/>
      <c r="G973" s="10"/>
      <c r="H973" s="10"/>
      <c r="I973" s="674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529"/>
      <c r="V973" s="529"/>
    </row>
    <row r="974">
      <c r="A974" s="10"/>
      <c r="B974" s="10"/>
      <c r="C974" s="10"/>
      <c r="D974" s="10"/>
      <c r="E974" s="10"/>
      <c r="F974" s="10"/>
      <c r="G974" s="10"/>
      <c r="H974" s="10"/>
      <c r="I974" s="674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529"/>
      <c r="V974" s="529"/>
    </row>
    <row r="975">
      <c r="A975" s="10"/>
      <c r="B975" s="10"/>
      <c r="C975" s="10"/>
      <c r="D975" s="10"/>
      <c r="E975" s="10"/>
      <c r="F975" s="10"/>
      <c r="G975" s="10"/>
      <c r="H975" s="10"/>
      <c r="I975" s="674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529"/>
      <c r="V975" s="529"/>
    </row>
    <row r="976">
      <c r="A976" s="10"/>
      <c r="B976" s="10"/>
      <c r="C976" s="10"/>
      <c r="D976" s="10"/>
      <c r="E976" s="10"/>
      <c r="F976" s="10"/>
      <c r="G976" s="10"/>
      <c r="H976" s="10"/>
      <c r="I976" s="674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529"/>
      <c r="V976" s="529"/>
    </row>
    <row r="977">
      <c r="A977" s="10"/>
      <c r="B977" s="10"/>
      <c r="C977" s="10"/>
      <c r="D977" s="10"/>
      <c r="E977" s="10"/>
      <c r="F977" s="10"/>
      <c r="G977" s="10"/>
      <c r="H977" s="10"/>
      <c r="I977" s="674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529"/>
      <c r="V977" s="529"/>
    </row>
    <row r="978">
      <c r="A978" s="10"/>
      <c r="B978" s="10"/>
      <c r="C978" s="10"/>
      <c r="D978" s="10"/>
      <c r="E978" s="10"/>
      <c r="F978" s="10"/>
      <c r="G978" s="10"/>
      <c r="H978" s="10"/>
      <c r="I978" s="674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529"/>
      <c r="V978" s="529"/>
    </row>
    <row r="979">
      <c r="A979" s="10"/>
      <c r="B979" s="10"/>
      <c r="C979" s="10"/>
      <c r="D979" s="10"/>
      <c r="E979" s="10"/>
      <c r="F979" s="10"/>
      <c r="G979" s="10"/>
      <c r="H979" s="10"/>
      <c r="I979" s="674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529"/>
      <c r="V979" s="529"/>
    </row>
    <row r="980">
      <c r="A980" s="10"/>
      <c r="B980" s="10"/>
      <c r="C980" s="10"/>
      <c r="D980" s="10"/>
      <c r="E980" s="10"/>
      <c r="F980" s="10"/>
      <c r="G980" s="10"/>
      <c r="H980" s="10"/>
      <c r="I980" s="674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529"/>
      <c r="V980" s="529"/>
    </row>
    <row r="981">
      <c r="A981" s="10"/>
      <c r="B981" s="10"/>
      <c r="C981" s="10"/>
      <c r="D981" s="10"/>
      <c r="E981" s="10"/>
      <c r="F981" s="10"/>
      <c r="G981" s="10"/>
      <c r="H981" s="10"/>
      <c r="I981" s="674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529"/>
      <c r="V981" s="529"/>
    </row>
    <row r="982">
      <c r="A982" s="10"/>
      <c r="B982" s="10"/>
      <c r="C982" s="10"/>
      <c r="D982" s="10"/>
      <c r="E982" s="10"/>
      <c r="F982" s="10"/>
      <c r="G982" s="10"/>
      <c r="H982" s="10"/>
      <c r="I982" s="674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529"/>
      <c r="V982" s="529"/>
    </row>
    <row r="983">
      <c r="A983" s="10"/>
      <c r="B983" s="10"/>
      <c r="C983" s="10"/>
      <c r="D983" s="10"/>
      <c r="E983" s="10"/>
      <c r="F983" s="10"/>
      <c r="G983" s="10"/>
      <c r="H983" s="10"/>
      <c r="I983" s="674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529"/>
      <c r="V983" s="529"/>
    </row>
    <row r="984">
      <c r="A984" s="10"/>
      <c r="B984" s="10"/>
      <c r="C984" s="10"/>
      <c r="D984" s="10"/>
      <c r="E984" s="10"/>
      <c r="F984" s="10"/>
      <c r="G984" s="10"/>
      <c r="H984" s="10"/>
      <c r="I984" s="674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529"/>
      <c r="V984" s="529"/>
    </row>
    <row r="985">
      <c r="A985" s="10"/>
      <c r="B985" s="10"/>
      <c r="C985" s="10"/>
      <c r="D985" s="10"/>
      <c r="E985" s="10"/>
      <c r="F985" s="10"/>
      <c r="G985" s="10"/>
      <c r="H985" s="10"/>
      <c r="I985" s="674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529"/>
      <c r="V985" s="529"/>
    </row>
    <row r="986">
      <c r="A986" s="10"/>
      <c r="B986" s="10"/>
      <c r="C986" s="10"/>
      <c r="D986" s="10"/>
      <c r="E986" s="10"/>
      <c r="F986" s="10"/>
      <c r="G986" s="10"/>
      <c r="H986" s="10"/>
      <c r="I986" s="674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529"/>
      <c r="V986" s="529"/>
    </row>
    <row r="987">
      <c r="A987" s="10"/>
      <c r="B987" s="10"/>
      <c r="C987" s="10"/>
      <c r="D987" s="10"/>
      <c r="E987" s="10"/>
      <c r="F987" s="10"/>
      <c r="G987" s="10"/>
      <c r="H987" s="10"/>
      <c r="I987" s="674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529"/>
      <c r="V987" s="529"/>
    </row>
    <row r="988">
      <c r="A988" s="10"/>
      <c r="B988" s="10"/>
      <c r="C988" s="10"/>
      <c r="D988" s="10"/>
      <c r="E988" s="10"/>
      <c r="F988" s="10"/>
      <c r="G988" s="10"/>
      <c r="H988" s="10"/>
      <c r="I988" s="674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529"/>
      <c r="V988" s="529"/>
    </row>
    <row r="989">
      <c r="A989" s="10"/>
      <c r="B989" s="10"/>
      <c r="C989" s="10"/>
      <c r="D989" s="10"/>
      <c r="E989" s="10"/>
      <c r="F989" s="10"/>
      <c r="G989" s="10"/>
      <c r="H989" s="10"/>
      <c r="I989" s="674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529"/>
      <c r="V989" s="529"/>
    </row>
    <row r="990">
      <c r="A990" s="10"/>
      <c r="B990" s="10"/>
      <c r="C990" s="10"/>
      <c r="D990" s="10"/>
      <c r="E990" s="10"/>
      <c r="F990" s="10"/>
      <c r="G990" s="10"/>
      <c r="H990" s="10"/>
      <c r="I990" s="674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529"/>
      <c r="V990" s="529"/>
    </row>
    <row r="991">
      <c r="A991" s="10"/>
      <c r="B991" s="10"/>
      <c r="C991" s="10"/>
      <c r="D991" s="10"/>
      <c r="E991" s="10"/>
      <c r="F991" s="10"/>
      <c r="G991" s="10"/>
      <c r="H991" s="10"/>
      <c r="I991" s="674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529"/>
      <c r="V991" s="529"/>
    </row>
    <row r="992">
      <c r="A992" s="10"/>
      <c r="B992" s="10"/>
      <c r="C992" s="10"/>
      <c r="D992" s="10"/>
      <c r="E992" s="10"/>
      <c r="F992" s="10"/>
      <c r="G992" s="10"/>
      <c r="H992" s="10"/>
      <c r="I992" s="674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529"/>
      <c r="V992" s="529"/>
    </row>
    <row r="993">
      <c r="A993" s="10"/>
      <c r="B993" s="10"/>
      <c r="C993" s="10"/>
      <c r="D993" s="10"/>
      <c r="E993" s="10"/>
      <c r="F993" s="10"/>
      <c r="G993" s="10"/>
      <c r="H993" s="10"/>
      <c r="I993" s="674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529"/>
      <c r="V993" s="529"/>
    </row>
    <row r="994">
      <c r="A994" s="10"/>
      <c r="B994" s="10"/>
      <c r="C994" s="10"/>
      <c r="D994" s="10"/>
      <c r="E994" s="10"/>
      <c r="F994" s="10"/>
      <c r="G994" s="10"/>
      <c r="H994" s="10"/>
      <c r="I994" s="674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529"/>
      <c r="V994" s="529"/>
    </row>
    <row r="995">
      <c r="A995" s="10"/>
      <c r="B995" s="10"/>
      <c r="C995" s="10"/>
      <c r="D995" s="10"/>
      <c r="E995" s="10"/>
      <c r="F995" s="10"/>
      <c r="G995" s="10"/>
      <c r="H995" s="10"/>
      <c r="I995" s="674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529"/>
      <c r="V995" s="529"/>
    </row>
    <row r="996">
      <c r="A996" s="10"/>
      <c r="B996" s="10"/>
      <c r="C996" s="10"/>
      <c r="D996" s="10"/>
      <c r="E996" s="10"/>
      <c r="F996" s="10"/>
      <c r="G996" s="10"/>
      <c r="H996" s="10"/>
      <c r="I996" s="674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529"/>
      <c r="V996" s="529"/>
    </row>
    <row r="997">
      <c r="A997" s="10"/>
      <c r="B997" s="10"/>
      <c r="C997" s="10"/>
      <c r="D997" s="10"/>
      <c r="E997" s="10"/>
      <c r="F997" s="10"/>
      <c r="G997" s="10"/>
      <c r="H997" s="10"/>
      <c r="I997" s="674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529"/>
      <c r="V997" s="529"/>
    </row>
    <row r="998">
      <c r="A998" s="10"/>
      <c r="B998" s="10"/>
      <c r="C998" s="10"/>
      <c r="D998" s="10"/>
      <c r="E998" s="10"/>
      <c r="F998" s="10"/>
      <c r="G998" s="10"/>
      <c r="H998" s="10"/>
      <c r="I998" s="674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529"/>
      <c r="V998" s="529"/>
    </row>
    <row r="999">
      <c r="A999" s="10"/>
      <c r="B999" s="10"/>
      <c r="C999" s="10"/>
      <c r="D999" s="10"/>
      <c r="E999" s="10"/>
      <c r="F999" s="10"/>
      <c r="G999" s="10"/>
      <c r="H999" s="10"/>
      <c r="I999" s="674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529"/>
      <c r="V999" s="529"/>
    </row>
    <row r="1000">
      <c r="A1000" s="10"/>
      <c r="B1000" s="10"/>
      <c r="C1000" s="10"/>
      <c r="D1000" s="10"/>
      <c r="E1000" s="10"/>
      <c r="F1000" s="10"/>
      <c r="G1000" s="10"/>
      <c r="H1000" s="10"/>
      <c r="I1000" s="674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529"/>
      <c r="V1000" s="529"/>
    </row>
    <row r="1001">
      <c r="A1001" s="10"/>
      <c r="B1001" s="10"/>
      <c r="C1001" s="10"/>
      <c r="D1001" s="10"/>
      <c r="E1001" s="10"/>
      <c r="F1001" s="10"/>
      <c r="G1001" s="10"/>
      <c r="H1001" s="10"/>
      <c r="I1001" s="674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529"/>
      <c r="V1001" s="529"/>
    </row>
    <row r="1002">
      <c r="A1002" s="10"/>
      <c r="B1002" s="10"/>
      <c r="C1002" s="10"/>
      <c r="D1002" s="10"/>
      <c r="E1002" s="10"/>
      <c r="F1002" s="10"/>
      <c r="G1002" s="10"/>
      <c r="H1002" s="10"/>
      <c r="I1002" s="674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529"/>
      <c r="V1002" s="529"/>
    </row>
    <row r="1003">
      <c r="A1003" s="10"/>
      <c r="B1003" s="10"/>
      <c r="C1003" s="10"/>
      <c r="D1003" s="10"/>
      <c r="E1003" s="10"/>
      <c r="F1003" s="10"/>
      <c r="G1003" s="10"/>
      <c r="H1003" s="10"/>
      <c r="I1003" s="674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529"/>
      <c r="V1003" s="529"/>
    </row>
    <row r="1004">
      <c r="A1004" s="10"/>
      <c r="B1004" s="10"/>
      <c r="C1004" s="10"/>
      <c r="D1004" s="10"/>
      <c r="E1004" s="10"/>
      <c r="F1004" s="10"/>
      <c r="G1004" s="10"/>
      <c r="H1004" s="10"/>
      <c r="I1004" s="674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529"/>
      <c r="V1004" s="529"/>
    </row>
    <row r="1005">
      <c r="A1005" s="10"/>
      <c r="B1005" s="10"/>
      <c r="C1005" s="10"/>
      <c r="D1005" s="10"/>
      <c r="E1005" s="10"/>
      <c r="F1005" s="10"/>
      <c r="G1005" s="10"/>
      <c r="H1005" s="10"/>
      <c r="I1005" s="674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529"/>
      <c r="V1005" s="529"/>
    </row>
    <row r="1006">
      <c r="A1006" s="10"/>
      <c r="B1006" s="10"/>
      <c r="C1006" s="10"/>
      <c r="D1006" s="10"/>
      <c r="E1006" s="10"/>
      <c r="F1006" s="10"/>
      <c r="G1006" s="10"/>
      <c r="H1006" s="10"/>
      <c r="I1006" s="674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529"/>
      <c r="V1006" s="529"/>
    </row>
    <row r="1007">
      <c r="A1007" s="10"/>
      <c r="B1007" s="10"/>
      <c r="C1007" s="10"/>
      <c r="D1007" s="10"/>
      <c r="E1007" s="10"/>
      <c r="F1007" s="10"/>
      <c r="G1007" s="10"/>
      <c r="H1007" s="10"/>
      <c r="I1007" s="674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529"/>
      <c r="V1007" s="529"/>
    </row>
    <row r="1008">
      <c r="A1008" s="10"/>
      <c r="B1008" s="10"/>
      <c r="C1008" s="10"/>
      <c r="D1008" s="10"/>
      <c r="E1008" s="10"/>
      <c r="F1008" s="10"/>
      <c r="G1008" s="10"/>
      <c r="H1008" s="10"/>
      <c r="I1008" s="674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529"/>
      <c r="V1008" s="529"/>
    </row>
    <row r="1009">
      <c r="A1009" s="10"/>
      <c r="B1009" s="10"/>
      <c r="C1009" s="10"/>
      <c r="D1009" s="10"/>
      <c r="E1009" s="10"/>
      <c r="F1009" s="10"/>
      <c r="G1009" s="10"/>
      <c r="H1009" s="10"/>
      <c r="I1009" s="674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529"/>
      <c r="V1009" s="529"/>
    </row>
    <row r="1010">
      <c r="A1010" s="10"/>
      <c r="B1010" s="10"/>
      <c r="C1010" s="10"/>
      <c r="D1010" s="10"/>
      <c r="E1010" s="10"/>
      <c r="F1010" s="10"/>
      <c r="G1010" s="10"/>
      <c r="H1010" s="10"/>
      <c r="I1010" s="674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529"/>
      <c r="V1010" s="529"/>
    </row>
    <row r="1011">
      <c r="A1011" s="10"/>
      <c r="B1011" s="10"/>
      <c r="C1011" s="10"/>
      <c r="D1011" s="10"/>
      <c r="E1011" s="10"/>
      <c r="F1011" s="10"/>
      <c r="G1011" s="10"/>
      <c r="H1011" s="10"/>
      <c r="I1011" s="674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0"/>
      <c r="U1011" s="529"/>
      <c r="V1011" s="529"/>
    </row>
    <row r="1012">
      <c r="A1012" s="10"/>
      <c r="B1012" s="10"/>
      <c r="C1012" s="10"/>
      <c r="D1012" s="10"/>
      <c r="E1012" s="10"/>
      <c r="F1012" s="10"/>
      <c r="G1012" s="10"/>
      <c r="H1012" s="10"/>
      <c r="I1012" s="674"/>
      <c r="J1012" s="10"/>
      <c r="K1012" s="10"/>
      <c r="L1012" s="10"/>
      <c r="M1012" s="10"/>
      <c r="N1012" s="10"/>
      <c r="O1012" s="10"/>
      <c r="P1012" s="10"/>
      <c r="Q1012" s="10"/>
      <c r="R1012" s="10"/>
      <c r="S1012" s="10"/>
      <c r="T1012" s="10"/>
      <c r="U1012" s="529"/>
      <c r="V1012" s="529"/>
    </row>
    <row r="1013">
      <c r="A1013" s="10"/>
      <c r="B1013" s="10"/>
      <c r="C1013" s="10"/>
      <c r="D1013" s="10"/>
      <c r="E1013" s="10"/>
      <c r="F1013" s="10"/>
      <c r="G1013" s="10"/>
      <c r="H1013" s="10"/>
      <c r="I1013" s="674"/>
      <c r="J1013" s="10"/>
      <c r="K1013" s="10"/>
      <c r="L1013" s="10"/>
      <c r="M1013" s="10"/>
      <c r="N1013" s="10"/>
      <c r="O1013" s="10"/>
      <c r="P1013" s="10"/>
      <c r="Q1013" s="10"/>
      <c r="R1013" s="10"/>
      <c r="S1013" s="10"/>
      <c r="T1013" s="10"/>
      <c r="U1013" s="529"/>
      <c r="V1013" s="529"/>
    </row>
    <row r="1014">
      <c r="A1014" s="10"/>
      <c r="B1014" s="10"/>
      <c r="C1014" s="10"/>
      <c r="D1014" s="10"/>
      <c r="E1014" s="10"/>
      <c r="F1014" s="10"/>
      <c r="G1014" s="10"/>
      <c r="H1014" s="10"/>
      <c r="I1014" s="674"/>
      <c r="J1014" s="10"/>
      <c r="K1014" s="10"/>
      <c r="L1014" s="10"/>
      <c r="M1014" s="10"/>
      <c r="N1014" s="10"/>
      <c r="O1014" s="10"/>
      <c r="P1014" s="10"/>
      <c r="Q1014" s="10"/>
      <c r="R1014" s="10"/>
      <c r="S1014" s="10"/>
      <c r="T1014" s="10"/>
      <c r="U1014" s="529"/>
      <c r="V1014" s="529"/>
    </row>
    <row r="1015">
      <c r="A1015" s="10"/>
      <c r="B1015" s="10"/>
      <c r="C1015" s="10"/>
      <c r="D1015" s="10"/>
      <c r="E1015" s="10"/>
      <c r="F1015" s="10"/>
      <c r="G1015" s="10"/>
      <c r="H1015" s="10"/>
      <c r="I1015" s="674"/>
      <c r="J1015" s="10"/>
      <c r="K1015" s="10"/>
      <c r="L1015" s="10"/>
      <c r="M1015" s="10"/>
      <c r="N1015" s="10"/>
      <c r="O1015" s="10"/>
      <c r="P1015" s="10"/>
      <c r="Q1015" s="10"/>
      <c r="R1015" s="10"/>
      <c r="S1015" s="10"/>
      <c r="T1015" s="10"/>
      <c r="U1015" s="529"/>
      <c r="V1015" s="529"/>
    </row>
    <row r="1016">
      <c r="A1016" s="10"/>
      <c r="B1016" s="10"/>
      <c r="C1016" s="10"/>
      <c r="D1016" s="10"/>
      <c r="E1016" s="10"/>
      <c r="F1016" s="10"/>
      <c r="G1016" s="10"/>
      <c r="H1016" s="10"/>
      <c r="I1016" s="674"/>
      <c r="J1016" s="10"/>
      <c r="K1016" s="10"/>
      <c r="L1016" s="10"/>
      <c r="M1016" s="10"/>
      <c r="N1016" s="10"/>
      <c r="O1016" s="10"/>
      <c r="P1016" s="10"/>
      <c r="Q1016" s="10"/>
      <c r="R1016" s="10"/>
      <c r="S1016" s="10"/>
      <c r="T1016" s="10"/>
      <c r="U1016" s="529"/>
      <c r="V1016" s="529"/>
    </row>
    <row r="1017">
      <c r="A1017" s="10"/>
      <c r="B1017" s="10"/>
      <c r="C1017" s="10"/>
      <c r="D1017" s="10"/>
      <c r="E1017" s="10"/>
      <c r="F1017" s="10"/>
      <c r="G1017" s="10"/>
      <c r="H1017" s="10"/>
      <c r="I1017" s="674"/>
      <c r="J1017" s="10"/>
      <c r="K1017" s="10"/>
      <c r="L1017" s="10"/>
      <c r="M1017" s="10"/>
      <c r="N1017" s="10"/>
      <c r="O1017" s="10"/>
      <c r="P1017" s="10"/>
      <c r="Q1017" s="10"/>
      <c r="R1017" s="10"/>
      <c r="S1017" s="10"/>
      <c r="T1017" s="10"/>
      <c r="U1017" s="529"/>
      <c r="V1017" s="529"/>
    </row>
    <row r="1018">
      <c r="A1018" s="10"/>
      <c r="B1018" s="10"/>
      <c r="C1018" s="10"/>
      <c r="D1018" s="10"/>
      <c r="E1018" s="10"/>
      <c r="F1018" s="10"/>
      <c r="G1018" s="10"/>
      <c r="H1018" s="10"/>
      <c r="I1018" s="674"/>
      <c r="J1018" s="10"/>
      <c r="K1018" s="10"/>
      <c r="L1018" s="10"/>
      <c r="M1018" s="10"/>
      <c r="N1018" s="10"/>
      <c r="O1018" s="10"/>
      <c r="P1018" s="10"/>
      <c r="Q1018" s="10"/>
      <c r="R1018" s="10"/>
      <c r="S1018" s="10"/>
      <c r="T1018" s="10"/>
      <c r="U1018" s="529"/>
      <c r="V1018" s="529"/>
    </row>
    <row r="1019">
      <c r="A1019" s="10"/>
      <c r="B1019" s="10"/>
      <c r="C1019" s="10"/>
      <c r="D1019" s="10"/>
      <c r="E1019" s="10"/>
      <c r="F1019" s="10"/>
      <c r="G1019" s="10"/>
      <c r="H1019" s="10"/>
      <c r="I1019" s="674"/>
      <c r="J1019" s="10"/>
      <c r="K1019" s="10"/>
      <c r="L1019" s="10"/>
      <c r="M1019" s="10"/>
      <c r="N1019" s="10"/>
      <c r="O1019" s="10"/>
      <c r="P1019" s="10"/>
      <c r="Q1019" s="10"/>
      <c r="R1019" s="10"/>
      <c r="S1019" s="10"/>
      <c r="T1019" s="10"/>
      <c r="U1019" s="529"/>
      <c r="V1019" s="529"/>
    </row>
    <row r="1020">
      <c r="A1020" s="10"/>
      <c r="B1020" s="10"/>
      <c r="C1020" s="10"/>
      <c r="D1020" s="10"/>
      <c r="E1020" s="10"/>
      <c r="F1020" s="10"/>
      <c r="G1020" s="10"/>
      <c r="H1020" s="10"/>
      <c r="I1020" s="674"/>
      <c r="J1020" s="10"/>
      <c r="K1020" s="10"/>
      <c r="L1020" s="10"/>
      <c r="M1020" s="10"/>
      <c r="N1020" s="10"/>
      <c r="O1020" s="10"/>
      <c r="P1020" s="10"/>
      <c r="Q1020" s="10"/>
      <c r="R1020" s="10"/>
      <c r="S1020" s="10"/>
      <c r="T1020" s="10"/>
      <c r="U1020" s="529"/>
      <c r="V1020" s="529"/>
    </row>
    <row r="1021">
      <c r="A1021" s="10"/>
      <c r="B1021" s="10"/>
      <c r="C1021" s="10"/>
      <c r="D1021" s="10"/>
      <c r="E1021" s="10"/>
      <c r="F1021" s="10"/>
      <c r="G1021" s="10"/>
      <c r="H1021" s="10"/>
      <c r="I1021" s="674"/>
      <c r="J1021" s="10"/>
      <c r="K1021" s="10"/>
      <c r="L1021" s="10"/>
      <c r="M1021" s="10"/>
      <c r="N1021" s="10"/>
      <c r="O1021" s="10"/>
      <c r="P1021" s="10"/>
      <c r="Q1021" s="10"/>
      <c r="R1021" s="10"/>
      <c r="S1021" s="10"/>
      <c r="T1021" s="10"/>
      <c r="U1021" s="529"/>
      <c r="V1021" s="529"/>
    </row>
    <row r="1022">
      <c r="A1022" s="10"/>
      <c r="B1022" s="10"/>
      <c r="C1022" s="10"/>
      <c r="D1022" s="10"/>
      <c r="E1022" s="10"/>
      <c r="F1022" s="10"/>
      <c r="G1022" s="10"/>
      <c r="H1022" s="10"/>
      <c r="I1022" s="674"/>
      <c r="J1022" s="10"/>
      <c r="K1022" s="10"/>
      <c r="L1022" s="10"/>
      <c r="M1022" s="10"/>
      <c r="N1022" s="10"/>
      <c r="O1022" s="10"/>
      <c r="P1022" s="10"/>
      <c r="Q1022" s="10"/>
      <c r="R1022" s="10"/>
      <c r="S1022" s="10"/>
      <c r="T1022" s="10"/>
      <c r="U1022" s="529"/>
      <c r="V1022" s="529"/>
    </row>
    <row r="1023">
      <c r="A1023" s="10"/>
      <c r="B1023" s="10"/>
      <c r="C1023" s="10"/>
      <c r="D1023" s="10"/>
      <c r="E1023" s="10"/>
      <c r="F1023" s="10"/>
      <c r="G1023" s="10"/>
      <c r="H1023" s="10"/>
      <c r="I1023" s="674"/>
      <c r="J1023" s="10"/>
      <c r="K1023" s="10"/>
      <c r="L1023" s="10"/>
      <c r="M1023" s="10"/>
      <c r="N1023" s="10"/>
      <c r="O1023" s="10"/>
      <c r="P1023" s="10"/>
      <c r="Q1023" s="10"/>
      <c r="R1023" s="10"/>
      <c r="S1023" s="10"/>
      <c r="T1023" s="10"/>
      <c r="U1023" s="529"/>
      <c r="V1023" s="529"/>
    </row>
    <row r="1024">
      <c r="A1024" s="10"/>
      <c r="B1024" s="10"/>
      <c r="C1024" s="10"/>
      <c r="D1024" s="10"/>
      <c r="E1024" s="10"/>
      <c r="F1024" s="10"/>
      <c r="G1024" s="10"/>
      <c r="H1024" s="10"/>
      <c r="I1024" s="674"/>
      <c r="J1024" s="10"/>
      <c r="K1024" s="10"/>
      <c r="L1024" s="10"/>
      <c r="M1024" s="10"/>
      <c r="N1024" s="10"/>
      <c r="O1024" s="10"/>
      <c r="P1024" s="10"/>
      <c r="Q1024" s="10"/>
      <c r="R1024" s="10"/>
      <c r="S1024" s="10"/>
      <c r="T1024" s="10"/>
      <c r="U1024" s="529"/>
      <c r="V1024" s="529"/>
    </row>
    <row r="1025">
      <c r="A1025" s="10"/>
      <c r="B1025" s="10"/>
      <c r="C1025" s="10"/>
      <c r="D1025" s="10"/>
      <c r="E1025" s="10"/>
      <c r="F1025" s="10"/>
      <c r="G1025" s="10"/>
      <c r="H1025" s="10"/>
      <c r="I1025" s="674"/>
      <c r="J1025" s="10"/>
      <c r="K1025" s="10"/>
      <c r="L1025" s="10"/>
      <c r="M1025" s="10"/>
      <c r="N1025" s="10"/>
      <c r="O1025" s="10"/>
      <c r="P1025" s="10"/>
      <c r="Q1025" s="10"/>
      <c r="R1025" s="10"/>
      <c r="S1025" s="10"/>
      <c r="T1025" s="10"/>
      <c r="U1025" s="529"/>
      <c r="V1025" s="529"/>
    </row>
    <row r="1026">
      <c r="A1026" s="10"/>
      <c r="B1026" s="10"/>
      <c r="C1026" s="10"/>
      <c r="D1026" s="10"/>
      <c r="E1026" s="10"/>
      <c r="F1026" s="10"/>
      <c r="G1026" s="10"/>
      <c r="H1026" s="10"/>
      <c r="I1026" s="674"/>
      <c r="J1026" s="10"/>
      <c r="K1026" s="10"/>
      <c r="L1026" s="10"/>
      <c r="M1026" s="10"/>
      <c r="N1026" s="10"/>
      <c r="O1026" s="10"/>
      <c r="P1026" s="10"/>
      <c r="Q1026" s="10"/>
      <c r="R1026" s="10"/>
      <c r="S1026" s="10"/>
      <c r="T1026" s="10"/>
      <c r="U1026" s="529"/>
      <c r="V1026" s="529"/>
    </row>
    <row r="1027">
      <c r="A1027" s="10"/>
      <c r="B1027" s="10"/>
      <c r="C1027" s="10"/>
      <c r="D1027" s="10"/>
      <c r="E1027" s="10"/>
      <c r="F1027" s="10"/>
      <c r="G1027" s="10"/>
      <c r="H1027" s="10"/>
      <c r="I1027" s="674"/>
      <c r="J1027" s="10"/>
      <c r="K1027" s="10"/>
      <c r="L1027" s="10"/>
      <c r="M1027" s="10"/>
      <c r="N1027" s="10"/>
      <c r="O1027" s="10"/>
      <c r="P1027" s="10"/>
      <c r="Q1027" s="10"/>
      <c r="R1027" s="10"/>
      <c r="S1027" s="10"/>
      <c r="T1027" s="10"/>
      <c r="U1027" s="529"/>
      <c r="V1027" s="529"/>
    </row>
    <row r="1028">
      <c r="A1028" s="10"/>
      <c r="B1028" s="10"/>
      <c r="C1028" s="10"/>
      <c r="D1028" s="10"/>
      <c r="E1028" s="10"/>
      <c r="F1028" s="10"/>
      <c r="G1028" s="10"/>
      <c r="H1028" s="10"/>
      <c r="I1028" s="674"/>
      <c r="J1028" s="10"/>
      <c r="K1028" s="10"/>
      <c r="L1028" s="10"/>
      <c r="M1028" s="10"/>
      <c r="N1028" s="10"/>
      <c r="O1028" s="10"/>
      <c r="P1028" s="10"/>
      <c r="Q1028" s="10"/>
      <c r="R1028" s="10"/>
      <c r="S1028" s="10"/>
      <c r="T1028" s="10"/>
      <c r="U1028" s="529"/>
      <c r="V1028" s="529"/>
    </row>
    <row r="1029">
      <c r="A1029" s="10"/>
      <c r="B1029" s="10"/>
      <c r="C1029" s="10"/>
      <c r="D1029" s="10"/>
      <c r="E1029" s="10"/>
      <c r="F1029" s="10"/>
      <c r="G1029" s="10"/>
      <c r="H1029" s="10"/>
      <c r="I1029" s="674"/>
      <c r="J1029" s="10"/>
      <c r="K1029" s="10"/>
      <c r="L1029" s="10"/>
      <c r="M1029" s="10"/>
      <c r="N1029" s="10"/>
      <c r="O1029" s="10"/>
      <c r="P1029" s="10"/>
      <c r="Q1029" s="10"/>
      <c r="R1029" s="10"/>
      <c r="S1029" s="10"/>
      <c r="T1029" s="10"/>
      <c r="U1029" s="529"/>
      <c r="V1029" s="529"/>
    </row>
    <row r="1030">
      <c r="A1030" s="10"/>
      <c r="B1030" s="10"/>
      <c r="C1030" s="10"/>
      <c r="D1030" s="10"/>
      <c r="E1030" s="10"/>
      <c r="F1030" s="10"/>
      <c r="G1030" s="10"/>
      <c r="H1030" s="10"/>
      <c r="I1030" s="674"/>
      <c r="J1030" s="10"/>
      <c r="K1030" s="10"/>
      <c r="L1030" s="10"/>
      <c r="M1030" s="10"/>
      <c r="N1030" s="10"/>
      <c r="O1030" s="10"/>
      <c r="P1030" s="10"/>
      <c r="Q1030" s="10"/>
      <c r="R1030" s="10"/>
      <c r="S1030" s="10"/>
      <c r="T1030" s="10"/>
      <c r="U1030" s="529"/>
      <c r="V1030" s="529"/>
    </row>
    <row r="1031">
      <c r="A1031" s="10"/>
      <c r="B1031" s="10"/>
      <c r="C1031" s="10"/>
      <c r="D1031" s="10"/>
      <c r="E1031" s="10"/>
      <c r="F1031" s="10"/>
      <c r="G1031" s="10"/>
      <c r="H1031" s="10"/>
      <c r="I1031" s="674"/>
      <c r="J1031" s="10"/>
      <c r="K1031" s="10"/>
      <c r="L1031" s="10"/>
      <c r="M1031" s="10"/>
      <c r="N1031" s="10"/>
      <c r="O1031" s="10"/>
      <c r="P1031" s="10"/>
      <c r="Q1031" s="10"/>
      <c r="R1031" s="10"/>
      <c r="S1031" s="10"/>
      <c r="T1031" s="10"/>
      <c r="U1031" s="529"/>
      <c r="V1031" s="529"/>
    </row>
    <row r="1032">
      <c r="A1032" s="10"/>
      <c r="B1032" s="10"/>
      <c r="C1032" s="10"/>
      <c r="D1032" s="10"/>
      <c r="E1032" s="10"/>
      <c r="F1032" s="10"/>
      <c r="G1032" s="10"/>
      <c r="H1032" s="10"/>
      <c r="I1032" s="674"/>
      <c r="J1032" s="10"/>
      <c r="K1032" s="10"/>
      <c r="L1032" s="10"/>
      <c r="M1032" s="10"/>
      <c r="N1032" s="10"/>
      <c r="O1032" s="10"/>
      <c r="P1032" s="10"/>
      <c r="Q1032" s="10"/>
      <c r="R1032" s="10"/>
      <c r="S1032" s="10"/>
      <c r="T1032" s="10"/>
      <c r="U1032" s="529"/>
      <c r="V1032" s="529"/>
    </row>
    <row r="1033">
      <c r="A1033" s="10"/>
      <c r="B1033" s="10"/>
      <c r="C1033" s="10"/>
      <c r="D1033" s="10"/>
      <c r="E1033" s="10"/>
      <c r="F1033" s="10"/>
      <c r="G1033" s="10"/>
      <c r="H1033" s="10"/>
      <c r="I1033" s="674"/>
      <c r="J1033" s="10"/>
      <c r="K1033" s="10"/>
      <c r="L1033" s="10"/>
      <c r="M1033" s="10"/>
      <c r="N1033" s="10"/>
      <c r="O1033" s="10"/>
      <c r="P1033" s="10"/>
      <c r="Q1033" s="10"/>
      <c r="R1033" s="10"/>
      <c r="S1033" s="10"/>
      <c r="T1033" s="10"/>
      <c r="U1033" s="529"/>
      <c r="V1033" s="529"/>
    </row>
    <row r="1034">
      <c r="A1034" s="10"/>
      <c r="B1034" s="10"/>
      <c r="C1034" s="10"/>
      <c r="D1034" s="10"/>
      <c r="E1034" s="10"/>
      <c r="F1034" s="10"/>
      <c r="G1034" s="10"/>
      <c r="H1034" s="10"/>
      <c r="I1034" s="674"/>
      <c r="J1034" s="10"/>
      <c r="K1034" s="10"/>
      <c r="L1034" s="10"/>
      <c r="M1034" s="10"/>
      <c r="N1034" s="10"/>
      <c r="O1034" s="10"/>
      <c r="P1034" s="10"/>
      <c r="Q1034" s="10"/>
      <c r="R1034" s="10"/>
      <c r="S1034" s="10"/>
      <c r="T1034" s="10"/>
      <c r="U1034" s="529"/>
      <c r="V1034" s="529"/>
    </row>
    <row r="1035">
      <c r="A1035" s="10"/>
      <c r="B1035" s="10"/>
      <c r="C1035" s="10"/>
      <c r="D1035" s="10"/>
      <c r="E1035" s="10"/>
      <c r="F1035" s="10"/>
      <c r="G1035" s="10"/>
      <c r="H1035" s="10"/>
      <c r="I1035" s="674"/>
      <c r="J1035" s="10"/>
      <c r="K1035" s="10"/>
      <c r="L1035" s="10"/>
      <c r="M1035" s="10"/>
      <c r="N1035" s="10"/>
      <c r="O1035" s="10"/>
      <c r="P1035" s="10"/>
      <c r="Q1035" s="10"/>
      <c r="R1035" s="10"/>
      <c r="S1035" s="10"/>
      <c r="T1035" s="10"/>
      <c r="U1035" s="529"/>
      <c r="V1035" s="529"/>
    </row>
    <row r="1036">
      <c r="A1036" s="10"/>
      <c r="B1036" s="10"/>
      <c r="C1036" s="10"/>
      <c r="D1036" s="10"/>
      <c r="E1036" s="10"/>
      <c r="F1036" s="10"/>
      <c r="G1036" s="10"/>
      <c r="H1036" s="10"/>
      <c r="I1036" s="674"/>
      <c r="J1036" s="10"/>
      <c r="K1036" s="10"/>
      <c r="L1036" s="10"/>
      <c r="M1036" s="10"/>
      <c r="N1036" s="10"/>
      <c r="O1036" s="10"/>
      <c r="P1036" s="10"/>
      <c r="Q1036" s="10"/>
      <c r="R1036" s="10"/>
      <c r="S1036" s="10"/>
      <c r="T1036" s="10"/>
      <c r="U1036" s="529"/>
      <c r="V1036" s="529"/>
    </row>
    <row r="1037">
      <c r="A1037" s="10"/>
      <c r="B1037" s="10"/>
      <c r="C1037" s="10"/>
      <c r="D1037" s="10"/>
      <c r="E1037" s="10"/>
      <c r="F1037" s="10"/>
      <c r="G1037" s="10"/>
      <c r="H1037" s="10"/>
      <c r="I1037" s="674"/>
      <c r="J1037" s="10"/>
      <c r="K1037" s="10"/>
      <c r="L1037" s="10"/>
      <c r="M1037" s="10"/>
      <c r="N1037" s="10"/>
      <c r="O1037" s="10"/>
      <c r="P1037" s="10"/>
      <c r="Q1037" s="10"/>
      <c r="R1037" s="10"/>
      <c r="S1037" s="10"/>
      <c r="T1037" s="10"/>
      <c r="U1037" s="529"/>
      <c r="V1037" s="529"/>
    </row>
    <row r="1038">
      <c r="A1038" s="10"/>
      <c r="B1038" s="10"/>
      <c r="C1038" s="10"/>
      <c r="D1038" s="10"/>
      <c r="E1038" s="10"/>
      <c r="F1038" s="10"/>
      <c r="G1038" s="10"/>
      <c r="H1038" s="10"/>
      <c r="I1038" s="674"/>
      <c r="J1038" s="10"/>
      <c r="K1038" s="10"/>
      <c r="L1038" s="10"/>
      <c r="M1038" s="10"/>
      <c r="N1038" s="10"/>
      <c r="O1038" s="10"/>
      <c r="P1038" s="10"/>
      <c r="Q1038" s="10"/>
      <c r="R1038" s="10"/>
      <c r="S1038" s="10"/>
      <c r="T1038" s="10"/>
      <c r="U1038" s="529"/>
      <c r="V1038" s="529"/>
    </row>
    <row r="1039">
      <c r="A1039" s="10"/>
      <c r="B1039" s="10"/>
      <c r="C1039" s="10"/>
      <c r="D1039" s="10"/>
      <c r="E1039" s="10"/>
      <c r="F1039" s="10"/>
      <c r="G1039" s="10"/>
      <c r="H1039" s="10"/>
      <c r="I1039" s="674"/>
      <c r="J1039" s="10"/>
      <c r="K1039" s="10"/>
      <c r="L1039" s="10"/>
      <c r="M1039" s="10"/>
      <c r="N1039" s="10"/>
      <c r="O1039" s="10"/>
      <c r="P1039" s="10"/>
      <c r="Q1039" s="10"/>
      <c r="R1039" s="10"/>
      <c r="S1039" s="10"/>
      <c r="T1039" s="10"/>
      <c r="U1039" s="529"/>
      <c r="V1039" s="529"/>
    </row>
    <row r="1040">
      <c r="A1040" s="10"/>
      <c r="B1040" s="10"/>
      <c r="C1040" s="10"/>
      <c r="D1040" s="10"/>
      <c r="E1040" s="10"/>
      <c r="F1040" s="10"/>
      <c r="G1040" s="10"/>
      <c r="H1040" s="10"/>
      <c r="I1040" s="674"/>
      <c r="J1040" s="10"/>
      <c r="K1040" s="10"/>
      <c r="L1040" s="10"/>
      <c r="M1040" s="10"/>
      <c r="N1040" s="10"/>
      <c r="O1040" s="10"/>
      <c r="P1040" s="10"/>
      <c r="Q1040" s="10"/>
      <c r="R1040" s="10"/>
      <c r="S1040" s="10"/>
      <c r="T1040" s="10"/>
      <c r="U1040" s="529"/>
      <c r="V1040" s="529"/>
    </row>
    <row r="1041">
      <c r="A1041" s="10"/>
      <c r="B1041" s="10"/>
      <c r="C1041" s="10"/>
      <c r="D1041" s="10"/>
      <c r="E1041" s="10"/>
      <c r="F1041" s="10"/>
      <c r="G1041" s="10"/>
      <c r="H1041" s="10"/>
      <c r="I1041" s="674"/>
      <c r="J1041" s="10"/>
      <c r="K1041" s="10"/>
      <c r="L1041" s="10"/>
      <c r="M1041" s="10"/>
      <c r="N1041" s="10"/>
      <c r="O1041" s="10"/>
      <c r="P1041" s="10"/>
      <c r="Q1041" s="10"/>
      <c r="R1041" s="10"/>
      <c r="S1041" s="10"/>
      <c r="T1041" s="10"/>
      <c r="U1041" s="529"/>
      <c r="V1041" s="529"/>
    </row>
    <row r="1042">
      <c r="A1042" s="10"/>
      <c r="B1042" s="10"/>
      <c r="C1042" s="10"/>
      <c r="D1042" s="10"/>
      <c r="E1042" s="10"/>
      <c r="F1042" s="10"/>
      <c r="G1042" s="10"/>
      <c r="H1042" s="10"/>
      <c r="I1042" s="674"/>
      <c r="J1042" s="10"/>
      <c r="K1042" s="10"/>
      <c r="L1042" s="10"/>
      <c r="M1042" s="10"/>
      <c r="N1042" s="10"/>
      <c r="O1042" s="10"/>
      <c r="P1042" s="10"/>
      <c r="Q1042" s="10"/>
      <c r="R1042" s="10"/>
      <c r="S1042" s="10"/>
      <c r="T1042" s="10"/>
      <c r="U1042" s="529"/>
      <c r="V1042" s="529"/>
    </row>
    <row r="1043">
      <c r="A1043" s="10"/>
      <c r="B1043" s="10"/>
      <c r="C1043" s="10"/>
      <c r="D1043" s="10"/>
      <c r="E1043" s="10"/>
      <c r="F1043" s="10"/>
      <c r="G1043" s="10"/>
      <c r="H1043" s="10"/>
      <c r="I1043" s="674"/>
      <c r="J1043" s="10"/>
      <c r="K1043" s="10"/>
      <c r="L1043" s="10"/>
      <c r="M1043" s="10"/>
      <c r="N1043" s="10"/>
      <c r="O1043" s="10"/>
      <c r="P1043" s="10"/>
      <c r="Q1043" s="10"/>
      <c r="R1043" s="10"/>
      <c r="S1043" s="10"/>
      <c r="T1043" s="10"/>
      <c r="U1043" s="529"/>
      <c r="V1043" s="529"/>
    </row>
    <row r="1044">
      <c r="A1044" s="10"/>
      <c r="B1044" s="10"/>
      <c r="C1044" s="10"/>
      <c r="D1044" s="10"/>
      <c r="E1044" s="10"/>
      <c r="F1044" s="10"/>
      <c r="G1044" s="10"/>
      <c r="H1044" s="10"/>
      <c r="I1044" s="674"/>
      <c r="J1044" s="10"/>
      <c r="K1044" s="10"/>
      <c r="L1044" s="10"/>
      <c r="M1044" s="10"/>
      <c r="N1044" s="10"/>
      <c r="O1044" s="10"/>
      <c r="P1044" s="10"/>
      <c r="Q1044" s="10"/>
      <c r="R1044" s="10"/>
      <c r="S1044" s="10"/>
      <c r="T1044" s="10"/>
      <c r="U1044" s="529"/>
      <c r="V1044" s="529"/>
    </row>
    <row r="1045">
      <c r="A1045" s="10"/>
      <c r="B1045" s="10"/>
      <c r="C1045" s="10"/>
      <c r="D1045" s="10"/>
      <c r="E1045" s="10"/>
      <c r="F1045" s="10"/>
      <c r="G1045" s="10"/>
      <c r="H1045" s="10"/>
      <c r="I1045" s="674"/>
      <c r="J1045" s="10"/>
      <c r="K1045" s="10"/>
      <c r="L1045" s="10"/>
      <c r="M1045" s="10"/>
      <c r="N1045" s="10"/>
      <c r="O1045" s="10"/>
      <c r="P1045" s="10"/>
      <c r="Q1045" s="10"/>
      <c r="R1045" s="10"/>
      <c r="S1045" s="10"/>
      <c r="T1045" s="10"/>
      <c r="U1045" s="529"/>
      <c r="V1045" s="529"/>
    </row>
    <row r="1046">
      <c r="A1046" s="10"/>
      <c r="B1046" s="10"/>
      <c r="C1046" s="10"/>
      <c r="D1046" s="10"/>
      <c r="E1046" s="10"/>
      <c r="F1046" s="10"/>
      <c r="G1046" s="10"/>
      <c r="H1046" s="10"/>
      <c r="I1046" s="674"/>
      <c r="J1046" s="10"/>
      <c r="K1046" s="10"/>
      <c r="L1046" s="10"/>
      <c r="M1046" s="10"/>
      <c r="N1046" s="10"/>
      <c r="O1046" s="10"/>
      <c r="P1046" s="10"/>
      <c r="Q1046" s="10"/>
      <c r="R1046" s="10"/>
      <c r="S1046" s="10"/>
      <c r="T1046" s="10"/>
      <c r="U1046" s="529"/>
      <c r="V1046" s="529"/>
    </row>
    <row r="1047">
      <c r="A1047" s="10"/>
      <c r="B1047" s="10"/>
      <c r="C1047" s="10"/>
      <c r="D1047" s="10"/>
      <c r="E1047" s="10"/>
      <c r="F1047" s="10"/>
      <c r="G1047" s="10"/>
      <c r="H1047" s="10"/>
      <c r="I1047" s="674"/>
      <c r="J1047" s="10"/>
      <c r="K1047" s="10"/>
      <c r="L1047" s="10"/>
      <c r="M1047" s="10"/>
      <c r="N1047" s="10"/>
      <c r="O1047" s="10"/>
      <c r="P1047" s="10"/>
      <c r="Q1047" s="10"/>
      <c r="R1047" s="10"/>
      <c r="S1047" s="10"/>
      <c r="T1047" s="10"/>
      <c r="U1047" s="529"/>
      <c r="V1047" s="529"/>
    </row>
    <row r="1048">
      <c r="A1048" s="10"/>
      <c r="B1048" s="10"/>
      <c r="C1048" s="10"/>
      <c r="D1048" s="10"/>
      <c r="E1048" s="10"/>
      <c r="F1048" s="10"/>
      <c r="G1048" s="10"/>
      <c r="H1048" s="10"/>
      <c r="I1048" s="674"/>
      <c r="J1048" s="10"/>
      <c r="K1048" s="10"/>
      <c r="L1048" s="10"/>
      <c r="M1048" s="10"/>
      <c r="N1048" s="10"/>
      <c r="O1048" s="10"/>
      <c r="P1048" s="10"/>
      <c r="Q1048" s="10"/>
      <c r="R1048" s="10"/>
      <c r="S1048" s="10"/>
      <c r="T1048" s="10"/>
      <c r="U1048" s="529"/>
      <c r="V1048" s="529"/>
    </row>
    <row r="1049">
      <c r="A1049" s="10"/>
      <c r="B1049" s="10"/>
      <c r="C1049" s="10"/>
      <c r="D1049" s="10"/>
      <c r="E1049" s="10"/>
      <c r="F1049" s="10"/>
      <c r="G1049" s="10"/>
      <c r="H1049" s="10"/>
      <c r="I1049" s="674"/>
      <c r="J1049" s="10"/>
      <c r="K1049" s="10"/>
      <c r="L1049" s="10"/>
      <c r="M1049" s="10"/>
      <c r="N1049" s="10"/>
      <c r="O1049" s="10"/>
      <c r="P1049" s="10"/>
      <c r="Q1049" s="10"/>
      <c r="R1049" s="10"/>
      <c r="S1049" s="10"/>
      <c r="T1049" s="10"/>
      <c r="U1049" s="529"/>
      <c r="V1049" s="529"/>
    </row>
    <row r="1050">
      <c r="A1050" s="10"/>
      <c r="B1050" s="10"/>
      <c r="C1050" s="10"/>
      <c r="D1050" s="10"/>
      <c r="E1050" s="10"/>
      <c r="F1050" s="10"/>
      <c r="G1050" s="10"/>
      <c r="H1050" s="10"/>
      <c r="I1050" s="674"/>
      <c r="J1050" s="10"/>
      <c r="K1050" s="10"/>
      <c r="L1050" s="10"/>
      <c r="M1050" s="10"/>
      <c r="N1050" s="10"/>
      <c r="O1050" s="10"/>
      <c r="P1050" s="10"/>
      <c r="Q1050" s="10"/>
      <c r="R1050" s="10"/>
      <c r="S1050" s="10"/>
      <c r="T1050" s="10"/>
      <c r="U1050" s="529"/>
      <c r="V1050" s="529"/>
    </row>
    <row r="1051">
      <c r="A1051" s="10"/>
      <c r="B1051" s="10"/>
      <c r="C1051" s="10"/>
      <c r="D1051" s="10"/>
      <c r="E1051" s="10"/>
      <c r="F1051" s="10"/>
      <c r="G1051" s="10"/>
      <c r="H1051" s="10"/>
      <c r="I1051" s="674"/>
      <c r="J1051" s="10"/>
      <c r="K1051" s="10"/>
      <c r="L1051" s="10"/>
      <c r="M1051" s="10"/>
      <c r="N1051" s="10"/>
      <c r="O1051" s="10"/>
      <c r="P1051" s="10"/>
      <c r="Q1051" s="10"/>
      <c r="R1051" s="10"/>
      <c r="S1051" s="10"/>
      <c r="T1051" s="10"/>
      <c r="U1051" s="529"/>
      <c r="V1051" s="529"/>
    </row>
    <row r="1052">
      <c r="A1052" s="10"/>
      <c r="B1052" s="10"/>
      <c r="C1052" s="10"/>
      <c r="D1052" s="10"/>
      <c r="E1052" s="10"/>
      <c r="F1052" s="10"/>
      <c r="G1052" s="10"/>
      <c r="H1052" s="10"/>
      <c r="I1052" s="674"/>
      <c r="J1052" s="10"/>
      <c r="K1052" s="10"/>
      <c r="L1052" s="10"/>
      <c r="M1052" s="10"/>
      <c r="N1052" s="10"/>
      <c r="O1052" s="10"/>
      <c r="P1052" s="10"/>
      <c r="Q1052" s="10"/>
      <c r="R1052" s="10"/>
      <c r="S1052" s="10"/>
      <c r="T1052" s="10"/>
      <c r="U1052" s="529"/>
      <c r="V1052" s="529"/>
    </row>
    <row r="1053">
      <c r="A1053" s="10"/>
      <c r="B1053" s="10"/>
      <c r="C1053" s="10"/>
      <c r="D1053" s="10"/>
      <c r="E1053" s="10"/>
      <c r="F1053" s="10"/>
      <c r="G1053" s="10"/>
      <c r="H1053" s="10"/>
      <c r="I1053" s="674"/>
      <c r="J1053" s="10"/>
      <c r="K1053" s="10"/>
      <c r="L1053" s="10"/>
      <c r="M1053" s="10"/>
      <c r="N1053" s="10"/>
      <c r="O1053" s="10"/>
      <c r="P1053" s="10"/>
      <c r="Q1053" s="10"/>
      <c r="R1053" s="10"/>
      <c r="S1053" s="10"/>
      <c r="T1053" s="10"/>
      <c r="U1053" s="529"/>
      <c r="V1053" s="529"/>
    </row>
    <row r="1054">
      <c r="A1054" s="10"/>
      <c r="B1054" s="10"/>
      <c r="C1054" s="10"/>
      <c r="D1054" s="10"/>
      <c r="E1054" s="10"/>
      <c r="F1054" s="10"/>
      <c r="G1054" s="10"/>
      <c r="H1054" s="10"/>
      <c r="I1054" s="674"/>
      <c r="J1054" s="10"/>
      <c r="K1054" s="10"/>
      <c r="L1054" s="10"/>
      <c r="M1054" s="10"/>
      <c r="N1054" s="10"/>
      <c r="O1054" s="10"/>
      <c r="P1054" s="10"/>
      <c r="Q1054" s="10"/>
      <c r="R1054" s="10"/>
      <c r="S1054" s="10"/>
      <c r="T1054" s="10"/>
      <c r="U1054" s="529"/>
      <c r="V1054" s="529"/>
    </row>
    <row r="1055">
      <c r="A1055" s="10"/>
      <c r="B1055" s="10"/>
      <c r="C1055" s="10"/>
      <c r="D1055" s="10"/>
      <c r="E1055" s="10"/>
      <c r="F1055" s="10"/>
      <c r="G1055" s="10"/>
      <c r="H1055" s="10"/>
      <c r="I1055" s="674"/>
      <c r="J1055" s="10"/>
      <c r="K1055" s="10"/>
      <c r="L1055" s="10"/>
      <c r="M1055" s="10"/>
      <c r="N1055" s="10"/>
      <c r="O1055" s="10"/>
      <c r="P1055" s="10"/>
      <c r="Q1055" s="10"/>
      <c r="R1055" s="10"/>
      <c r="S1055" s="10"/>
      <c r="T1055" s="10"/>
      <c r="U1055" s="529"/>
      <c r="V1055" s="529"/>
    </row>
    <row r="1056">
      <c r="A1056" s="10"/>
      <c r="B1056" s="10"/>
      <c r="C1056" s="10"/>
      <c r="D1056" s="10"/>
      <c r="E1056" s="10"/>
      <c r="F1056" s="10"/>
      <c r="G1056" s="10"/>
      <c r="H1056" s="10"/>
      <c r="I1056" s="674"/>
      <c r="J1056" s="10"/>
      <c r="K1056" s="10"/>
      <c r="L1056" s="10"/>
      <c r="M1056" s="10"/>
      <c r="N1056" s="10"/>
      <c r="O1056" s="10"/>
      <c r="P1056" s="10"/>
      <c r="Q1056" s="10"/>
      <c r="R1056" s="10"/>
      <c r="S1056" s="10"/>
      <c r="T1056" s="10"/>
      <c r="U1056" s="529"/>
      <c r="V1056" s="529"/>
    </row>
    <row r="1057">
      <c r="A1057" s="10"/>
      <c r="B1057" s="10"/>
      <c r="C1057" s="10"/>
      <c r="D1057" s="10"/>
      <c r="E1057" s="10"/>
      <c r="F1057" s="10"/>
      <c r="G1057" s="10"/>
      <c r="H1057" s="10"/>
      <c r="I1057" s="674"/>
      <c r="J1057" s="10"/>
      <c r="K1057" s="10"/>
      <c r="L1057" s="10"/>
      <c r="M1057" s="10"/>
      <c r="N1057" s="10"/>
      <c r="O1057" s="10"/>
      <c r="P1057" s="10"/>
      <c r="Q1057" s="10"/>
      <c r="R1057" s="10"/>
      <c r="S1057" s="10"/>
      <c r="T1057" s="10"/>
      <c r="U1057" s="529"/>
      <c r="V1057" s="529"/>
    </row>
    <row r="1058">
      <c r="A1058" s="10"/>
      <c r="B1058" s="10"/>
      <c r="C1058" s="10"/>
      <c r="D1058" s="10"/>
      <c r="E1058" s="10"/>
      <c r="F1058" s="10"/>
      <c r="G1058" s="10"/>
      <c r="H1058" s="10"/>
      <c r="I1058" s="674"/>
      <c r="J1058" s="10"/>
      <c r="K1058" s="10"/>
      <c r="L1058" s="10"/>
      <c r="M1058" s="10"/>
      <c r="N1058" s="10"/>
      <c r="O1058" s="10"/>
      <c r="P1058" s="10"/>
      <c r="Q1058" s="10"/>
      <c r="R1058" s="10"/>
      <c r="S1058" s="10"/>
      <c r="T1058" s="10"/>
      <c r="U1058" s="529"/>
      <c r="V1058" s="529"/>
    </row>
    <row r="1059">
      <c r="A1059" s="10"/>
      <c r="B1059" s="10"/>
      <c r="C1059" s="10"/>
      <c r="D1059" s="10"/>
      <c r="E1059" s="10"/>
      <c r="F1059" s="10"/>
      <c r="G1059" s="10"/>
      <c r="H1059" s="10"/>
      <c r="I1059" s="674"/>
      <c r="J1059" s="10"/>
      <c r="K1059" s="10"/>
      <c r="L1059" s="10"/>
      <c r="M1059" s="10"/>
      <c r="N1059" s="10"/>
      <c r="O1059" s="10"/>
      <c r="P1059" s="10"/>
      <c r="Q1059" s="10"/>
      <c r="R1059" s="10"/>
      <c r="S1059" s="10"/>
      <c r="T1059" s="10"/>
      <c r="U1059" s="529"/>
      <c r="V1059" s="529"/>
    </row>
    <row r="1060">
      <c r="A1060" s="10"/>
      <c r="B1060" s="10"/>
      <c r="C1060" s="10"/>
      <c r="D1060" s="10"/>
      <c r="E1060" s="10"/>
      <c r="F1060" s="10"/>
      <c r="G1060" s="10"/>
      <c r="H1060" s="10"/>
      <c r="I1060" s="674"/>
      <c r="J1060" s="10"/>
      <c r="K1060" s="10"/>
      <c r="L1060" s="10"/>
      <c r="M1060" s="10"/>
      <c r="N1060" s="10"/>
      <c r="O1060" s="10"/>
      <c r="P1060" s="10"/>
      <c r="Q1060" s="10"/>
      <c r="R1060" s="10"/>
      <c r="S1060" s="10"/>
      <c r="T1060" s="10"/>
      <c r="U1060" s="529"/>
      <c r="V1060" s="529"/>
    </row>
    <row r="1061">
      <c r="A1061" s="10"/>
      <c r="B1061" s="10"/>
      <c r="C1061" s="10"/>
      <c r="D1061" s="10"/>
      <c r="E1061" s="10"/>
      <c r="F1061" s="10"/>
      <c r="G1061" s="10"/>
      <c r="H1061" s="10"/>
      <c r="I1061" s="674"/>
      <c r="J1061" s="10"/>
      <c r="K1061" s="10"/>
      <c r="L1061" s="10"/>
      <c r="M1061" s="10"/>
      <c r="N1061" s="10"/>
      <c r="O1061" s="10"/>
      <c r="P1061" s="10"/>
      <c r="Q1061" s="10"/>
      <c r="R1061" s="10"/>
      <c r="S1061" s="10"/>
      <c r="T1061" s="10"/>
      <c r="U1061" s="529"/>
      <c r="V1061" s="529"/>
    </row>
    <row r="1062">
      <c r="A1062" s="10"/>
      <c r="B1062" s="10"/>
      <c r="C1062" s="10"/>
      <c r="D1062" s="10"/>
      <c r="E1062" s="10"/>
      <c r="F1062" s="10"/>
      <c r="G1062" s="10"/>
      <c r="H1062" s="10"/>
      <c r="I1062" s="674"/>
      <c r="J1062" s="10"/>
      <c r="K1062" s="10"/>
      <c r="L1062" s="10"/>
      <c r="M1062" s="10"/>
      <c r="N1062" s="10"/>
      <c r="O1062" s="10"/>
      <c r="P1062" s="10"/>
      <c r="Q1062" s="10"/>
      <c r="R1062" s="10"/>
      <c r="S1062" s="10"/>
      <c r="T1062" s="10"/>
      <c r="U1062" s="529"/>
      <c r="V1062" s="529"/>
    </row>
    <row r="1063">
      <c r="A1063" s="10"/>
      <c r="B1063" s="10"/>
      <c r="C1063" s="10"/>
      <c r="D1063" s="10"/>
      <c r="E1063" s="10"/>
      <c r="F1063" s="10"/>
      <c r="G1063" s="10"/>
      <c r="H1063" s="10"/>
      <c r="I1063" s="674"/>
      <c r="J1063" s="10"/>
      <c r="K1063" s="10"/>
      <c r="L1063" s="10"/>
      <c r="M1063" s="10"/>
      <c r="N1063" s="10"/>
      <c r="O1063" s="10"/>
      <c r="P1063" s="10"/>
      <c r="Q1063" s="10"/>
      <c r="R1063" s="10"/>
      <c r="S1063" s="10"/>
      <c r="T1063" s="10"/>
      <c r="U1063" s="529"/>
      <c r="V1063" s="529"/>
    </row>
    <row r="1064">
      <c r="A1064" s="10"/>
      <c r="B1064" s="10"/>
      <c r="C1064" s="10"/>
      <c r="D1064" s="10"/>
      <c r="E1064" s="10"/>
      <c r="F1064" s="10"/>
      <c r="G1064" s="10"/>
      <c r="H1064" s="10"/>
      <c r="I1064" s="674"/>
      <c r="J1064" s="10"/>
      <c r="K1064" s="10"/>
      <c r="L1064" s="10"/>
      <c r="M1064" s="10"/>
      <c r="N1064" s="10"/>
      <c r="O1064" s="10"/>
      <c r="P1064" s="10"/>
      <c r="Q1064" s="10"/>
      <c r="R1064" s="10"/>
      <c r="S1064" s="10"/>
      <c r="T1064" s="10"/>
      <c r="U1064" s="529"/>
      <c r="V1064" s="529"/>
    </row>
    <row r="1065">
      <c r="A1065" s="10"/>
      <c r="B1065" s="10"/>
      <c r="C1065" s="10"/>
      <c r="D1065" s="10"/>
      <c r="E1065" s="10"/>
      <c r="F1065" s="10"/>
      <c r="G1065" s="10"/>
      <c r="H1065" s="10"/>
      <c r="I1065" s="674"/>
      <c r="J1065" s="10"/>
      <c r="K1065" s="10"/>
      <c r="L1065" s="10"/>
      <c r="M1065" s="10"/>
      <c r="N1065" s="10"/>
      <c r="O1065" s="10"/>
      <c r="P1065" s="10"/>
      <c r="Q1065" s="10"/>
      <c r="R1065" s="10"/>
      <c r="S1065" s="10"/>
      <c r="T1065" s="10"/>
      <c r="U1065" s="529"/>
      <c r="V1065" s="529"/>
    </row>
    <row r="1066">
      <c r="A1066" s="10"/>
      <c r="B1066" s="10"/>
      <c r="C1066" s="10"/>
      <c r="D1066" s="10"/>
      <c r="E1066" s="10"/>
      <c r="F1066" s="10"/>
      <c r="G1066" s="10"/>
      <c r="H1066" s="10"/>
      <c r="I1066" s="674"/>
      <c r="J1066" s="10"/>
      <c r="K1066" s="10"/>
      <c r="L1066" s="10"/>
      <c r="M1066" s="10"/>
      <c r="N1066" s="10"/>
      <c r="O1066" s="10"/>
      <c r="P1066" s="10"/>
      <c r="Q1066" s="10"/>
      <c r="R1066" s="10"/>
      <c r="S1066" s="10"/>
      <c r="T1066" s="10"/>
      <c r="U1066" s="529"/>
      <c r="V1066" s="529"/>
    </row>
    <row r="1067">
      <c r="A1067" s="10"/>
      <c r="B1067" s="10"/>
      <c r="C1067" s="10"/>
      <c r="D1067" s="10"/>
      <c r="E1067" s="10"/>
      <c r="F1067" s="10"/>
      <c r="G1067" s="10"/>
      <c r="H1067" s="10"/>
      <c r="I1067" s="674"/>
      <c r="J1067" s="10"/>
      <c r="K1067" s="10"/>
      <c r="L1067" s="10"/>
      <c r="M1067" s="10"/>
      <c r="N1067" s="10"/>
      <c r="O1067" s="10"/>
      <c r="P1067" s="10"/>
      <c r="Q1067" s="10"/>
      <c r="R1067" s="10"/>
      <c r="S1067" s="10"/>
      <c r="T1067" s="10"/>
      <c r="U1067" s="529"/>
      <c r="V1067" s="529"/>
    </row>
    <row r="1068">
      <c r="A1068" s="10"/>
      <c r="B1068" s="10"/>
      <c r="C1068" s="10"/>
      <c r="D1068" s="10"/>
      <c r="E1068" s="10"/>
      <c r="F1068" s="10"/>
      <c r="G1068" s="10"/>
      <c r="H1068" s="10"/>
      <c r="I1068" s="674"/>
      <c r="J1068" s="10"/>
      <c r="K1068" s="10"/>
      <c r="L1068" s="10"/>
      <c r="M1068" s="10"/>
      <c r="N1068" s="10"/>
      <c r="O1068" s="10"/>
      <c r="P1068" s="10"/>
      <c r="Q1068" s="10"/>
      <c r="R1068" s="10"/>
      <c r="S1068" s="10"/>
      <c r="T1068" s="10"/>
      <c r="U1068" s="529"/>
      <c r="V1068" s="529"/>
    </row>
    <row r="1069">
      <c r="A1069" s="10"/>
      <c r="B1069" s="10"/>
      <c r="C1069" s="10"/>
      <c r="D1069" s="10"/>
      <c r="E1069" s="10"/>
      <c r="F1069" s="10"/>
      <c r="G1069" s="10"/>
      <c r="H1069" s="10"/>
      <c r="I1069" s="674"/>
      <c r="J1069" s="10"/>
      <c r="K1069" s="10"/>
      <c r="L1069" s="10"/>
      <c r="M1069" s="10"/>
      <c r="N1069" s="10"/>
      <c r="O1069" s="10"/>
      <c r="P1069" s="10"/>
      <c r="Q1069" s="10"/>
      <c r="R1069" s="10"/>
      <c r="S1069" s="10"/>
      <c r="T1069" s="10"/>
      <c r="U1069" s="529"/>
      <c r="V1069" s="529"/>
    </row>
    <row r="1070">
      <c r="A1070" s="10"/>
      <c r="B1070" s="10"/>
      <c r="C1070" s="10"/>
      <c r="D1070" s="10"/>
      <c r="E1070" s="10"/>
      <c r="F1070" s="10"/>
      <c r="G1070" s="10"/>
      <c r="H1070" s="10"/>
      <c r="I1070" s="674"/>
      <c r="J1070" s="10"/>
      <c r="K1070" s="10"/>
      <c r="L1070" s="10"/>
      <c r="M1070" s="10"/>
      <c r="N1070" s="10"/>
      <c r="O1070" s="10"/>
      <c r="P1070" s="10"/>
      <c r="Q1070" s="10"/>
      <c r="R1070" s="10"/>
      <c r="S1070" s="10"/>
      <c r="T1070" s="10"/>
      <c r="U1070" s="529"/>
      <c r="V1070" s="529"/>
    </row>
    <row r="1071">
      <c r="A1071" s="10"/>
      <c r="B1071" s="10"/>
      <c r="C1071" s="10"/>
      <c r="D1071" s="10"/>
      <c r="E1071" s="10"/>
      <c r="F1071" s="10"/>
      <c r="G1071" s="10"/>
      <c r="H1071" s="10"/>
      <c r="I1071" s="674"/>
      <c r="J1071" s="10"/>
      <c r="K1071" s="10"/>
      <c r="L1071" s="10"/>
      <c r="M1071" s="10"/>
      <c r="N1071" s="10"/>
      <c r="O1071" s="10"/>
      <c r="P1071" s="10"/>
      <c r="Q1071" s="10"/>
      <c r="R1071" s="10"/>
      <c r="S1071" s="10"/>
      <c r="T1071" s="10"/>
      <c r="U1071" s="529"/>
      <c r="V1071" s="529"/>
    </row>
    <row r="1072">
      <c r="A1072" s="10"/>
      <c r="B1072" s="10"/>
      <c r="C1072" s="10"/>
      <c r="D1072" s="10"/>
      <c r="E1072" s="10"/>
      <c r="F1072" s="10"/>
      <c r="G1072" s="10"/>
      <c r="H1072" s="10"/>
      <c r="I1072" s="674"/>
      <c r="J1072" s="10"/>
      <c r="K1072" s="10"/>
      <c r="L1072" s="10"/>
      <c r="M1072" s="10"/>
      <c r="N1072" s="10"/>
      <c r="O1072" s="10"/>
      <c r="P1072" s="10"/>
      <c r="Q1072" s="10"/>
      <c r="R1072" s="10"/>
      <c r="S1072" s="10"/>
      <c r="T1072" s="10"/>
      <c r="U1072" s="529"/>
      <c r="V1072" s="529"/>
    </row>
    <row r="1073">
      <c r="A1073" s="10"/>
      <c r="B1073" s="10"/>
      <c r="C1073" s="10"/>
      <c r="D1073" s="10"/>
      <c r="E1073" s="10"/>
      <c r="F1073" s="10"/>
      <c r="G1073" s="10"/>
      <c r="H1073" s="10"/>
      <c r="I1073" s="674"/>
      <c r="J1073" s="10"/>
      <c r="K1073" s="10"/>
      <c r="L1073" s="10"/>
      <c r="M1073" s="10"/>
      <c r="N1073" s="10"/>
      <c r="O1073" s="10"/>
      <c r="P1073" s="10"/>
      <c r="Q1073" s="10"/>
      <c r="R1073" s="10"/>
      <c r="S1073" s="10"/>
      <c r="T1073" s="10"/>
      <c r="U1073" s="529"/>
      <c r="V1073" s="529"/>
    </row>
    <row r="1074">
      <c r="A1074" s="10"/>
      <c r="B1074" s="10"/>
      <c r="C1074" s="10"/>
      <c r="D1074" s="10"/>
      <c r="E1074" s="10"/>
      <c r="F1074" s="10"/>
      <c r="G1074" s="10"/>
      <c r="H1074" s="10"/>
      <c r="I1074" s="674"/>
      <c r="J1074" s="10"/>
      <c r="K1074" s="10"/>
      <c r="L1074" s="10"/>
      <c r="M1074" s="10"/>
      <c r="N1074" s="10"/>
      <c r="O1074" s="10"/>
      <c r="P1074" s="10"/>
      <c r="Q1074" s="10"/>
      <c r="R1074" s="10"/>
      <c r="S1074" s="10"/>
      <c r="T1074" s="10"/>
      <c r="U1074" s="529"/>
      <c r="V1074" s="529"/>
    </row>
    <row r="1075">
      <c r="A1075" s="10"/>
      <c r="B1075" s="10"/>
      <c r="C1075" s="10"/>
      <c r="D1075" s="10"/>
      <c r="E1075" s="10"/>
      <c r="F1075" s="10"/>
      <c r="G1075" s="10"/>
      <c r="H1075" s="10"/>
      <c r="I1075" s="674"/>
      <c r="J1075" s="10"/>
      <c r="K1075" s="10"/>
      <c r="L1075" s="10"/>
      <c r="M1075" s="10"/>
      <c r="N1075" s="10"/>
      <c r="O1075" s="10"/>
      <c r="P1075" s="10"/>
      <c r="Q1075" s="10"/>
      <c r="R1075" s="10"/>
      <c r="S1075" s="10"/>
      <c r="T1075" s="10"/>
      <c r="U1075" s="529"/>
      <c r="V1075" s="529"/>
    </row>
    <row r="1076">
      <c r="A1076" s="10"/>
      <c r="B1076" s="10"/>
      <c r="C1076" s="10"/>
      <c r="D1076" s="10"/>
      <c r="E1076" s="10"/>
      <c r="F1076" s="10"/>
      <c r="G1076" s="10"/>
      <c r="H1076" s="10"/>
      <c r="I1076" s="674"/>
      <c r="J1076" s="10"/>
      <c r="K1076" s="10"/>
      <c r="L1076" s="10"/>
      <c r="M1076" s="10"/>
      <c r="N1076" s="10"/>
      <c r="O1076" s="10"/>
      <c r="P1076" s="10"/>
      <c r="Q1076" s="10"/>
      <c r="R1076" s="10"/>
      <c r="S1076" s="10"/>
      <c r="T1076" s="10"/>
      <c r="U1076" s="529"/>
      <c r="V1076" s="529"/>
    </row>
    <row r="1077">
      <c r="A1077" s="10"/>
      <c r="B1077" s="10"/>
      <c r="C1077" s="10"/>
      <c r="D1077" s="10"/>
      <c r="E1077" s="10"/>
      <c r="F1077" s="10"/>
      <c r="G1077" s="10"/>
      <c r="H1077" s="10"/>
      <c r="I1077" s="674"/>
      <c r="J1077" s="10"/>
      <c r="K1077" s="10"/>
      <c r="L1077" s="10"/>
      <c r="M1077" s="10"/>
      <c r="N1077" s="10"/>
      <c r="O1077" s="10"/>
      <c r="P1077" s="10"/>
      <c r="Q1077" s="10"/>
      <c r="R1077" s="10"/>
      <c r="S1077" s="10"/>
      <c r="T1077" s="10"/>
      <c r="U1077" s="529"/>
      <c r="V1077" s="529"/>
    </row>
    <row r="1078">
      <c r="A1078" s="10"/>
      <c r="B1078" s="10"/>
      <c r="C1078" s="10"/>
      <c r="D1078" s="10"/>
      <c r="E1078" s="10"/>
      <c r="F1078" s="10"/>
      <c r="G1078" s="10"/>
      <c r="H1078" s="10"/>
      <c r="I1078" s="674"/>
      <c r="J1078" s="10"/>
      <c r="K1078" s="10"/>
      <c r="L1078" s="10"/>
      <c r="M1078" s="10"/>
      <c r="N1078" s="10"/>
      <c r="O1078" s="10"/>
      <c r="P1078" s="10"/>
      <c r="Q1078" s="10"/>
      <c r="R1078" s="10"/>
      <c r="S1078" s="10"/>
      <c r="T1078" s="10"/>
      <c r="U1078" s="529"/>
      <c r="V1078" s="529"/>
    </row>
    <row r="1079">
      <c r="A1079" s="10"/>
      <c r="B1079" s="10"/>
      <c r="C1079" s="10"/>
      <c r="D1079" s="10"/>
      <c r="E1079" s="10"/>
      <c r="F1079" s="10"/>
      <c r="G1079" s="10"/>
      <c r="H1079" s="10"/>
      <c r="I1079" s="674"/>
      <c r="J1079" s="10"/>
      <c r="K1079" s="10"/>
      <c r="L1079" s="10"/>
      <c r="M1079" s="10"/>
      <c r="N1079" s="10"/>
      <c r="O1079" s="10"/>
      <c r="P1079" s="10"/>
      <c r="Q1079" s="10"/>
      <c r="R1079" s="10"/>
      <c r="S1079" s="10"/>
      <c r="T1079" s="10"/>
      <c r="U1079" s="529"/>
      <c r="V1079" s="529"/>
    </row>
    <row r="1080">
      <c r="A1080" s="10"/>
      <c r="B1080" s="10"/>
      <c r="C1080" s="10"/>
      <c r="D1080" s="10"/>
      <c r="E1080" s="10"/>
      <c r="F1080" s="10"/>
      <c r="G1080" s="10"/>
      <c r="H1080" s="10"/>
      <c r="I1080" s="674"/>
      <c r="J1080" s="10"/>
      <c r="K1080" s="10"/>
      <c r="L1080" s="10"/>
      <c r="M1080" s="10"/>
      <c r="N1080" s="10"/>
      <c r="O1080" s="10"/>
      <c r="P1080" s="10"/>
      <c r="Q1080" s="10"/>
      <c r="R1080" s="10"/>
      <c r="S1080" s="10"/>
      <c r="T1080" s="10"/>
      <c r="U1080" s="529"/>
      <c r="V1080" s="529"/>
    </row>
    <row r="1081">
      <c r="A1081" s="10"/>
      <c r="B1081" s="10"/>
      <c r="C1081" s="10"/>
      <c r="D1081" s="10"/>
      <c r="E1081" s="10"/>
      <c r="F1081" s="10"/>
      <c r="G1081" s="10"/>
      <c r="H1081" s="10"/>
      <c r="I1081" s="674"/>
      <c r="J1081" s="10"/>
      <c r="K1081" s="10"/>
      <c r="L1081" s="10"/>
      <c r="M1081" s="10"/>
      <c r="N1081" s="10"/>
      <c r="O1081" s="10"/>
      <c r="P1081" s="10"/>
      <c r="Q1081" s="10"/>
      <c r="R1081" s="10"/>
      <c r="S1081" s="10"/>
      <c r="T1081" s="10"/>
      <c r="U1081" s="529"/>
      <c r="V1081" s="529"/>
    </row>
    <row r="1082">
      <c r="A1082" s="10"/>
      <c r="B1082" s="10"/>
      <c r="C1082" s="10"/>
      <c r="D1082" s="10"/>
      <c r="E1082" s="10"/>
      <c r="F1082" s="10"/>
      <c r="G1082" s="10"/>
      <c r="H1082" s="10"/>
      <c r="I1082" s="674"/>
      <c r="J1082" s="10"/>
      <c r="K1082" s="10"/>
      <c r="L1082" s="10"/>
      <c r="M1082" s="10"/>
      <c r="N1082" s="10"/>
      <c r="O1082" s="10"/>
      <c r="P1082" s="10"/>
      <c r="Q1082" s="10"/>
      <c r="R1082" s="10"/>
      <c r="S1082" s="10"/>
      <c r="T1082" s="10"/>
      <c r="U1082" s="529"/>
      <c r="V1082" s="529"/>
    </row>
    <row r="1083">
      <c r="A1083" s="10"/>
      <c r="B1083" s="10"/>
      <c r="C1083" s="10"/>
      <c r="D1083" s="10"/>
      <c r="E1083" s="10"/>
      <c r="F1083" s="10"/>
      <c r="G1083" s="10"/>
      <c r="H1083" s="10"/>
      <c r="I1083" s="674"/>
      <c r="J1083" s="10"/>
      <c r="K1083" s="10"/>
      <c r="L1083" s="10"/>
      <c r="M1083" s="10"/>
      <c r="N1083" s="10"/>
      <c r="O1083" s="10"/>
      <c r="P1083" s="10"/>
      <c r="Q1083" s="10"/>
      <c r="R1083" s="10"/>
      <c r="S1083" s="10"/>
      <c r="T1083" s="10"/>
      <c r="U1083" s="529"/>
      <c r="V1083" s="529"/>
    </row>
    <row r="1084">
      <c r="A1084" s="10"/>
      <c r="B1084" s="10"/>
      <c r="C1084" s="10"/>
      <c r="D1084" s="10"/>
      <c r="E1084" s="10"/>
      <c r="F1084" s="10"/>
      <c r="G1084" s="10"/>
      <c r="H1084" s="10"/>
      <c r="I1084" s="674"/>
      <c r="J1084" s="10"/>
      <c r="K1084" s="10"/>
      <c r="L1084" s="10"/>
      <c r="M1084" s="10"/>
      <c r="N1084" s="10"/>
      <c r="O1084" s="10"/>
      <c r="P1084" s="10"/>
      <c r="Q1084" s="10"/>
      <c r="R1084" s="10"/>
      <c r="S1084" s="10"/>
      <c r="T1084" s="10"/>
      <c r="U1084" s="529"/>
      <c r="V1084" s="529"/>
    </row>
    <row r="1085">
      <c r="A1085" s="10"/>
      <c r="B1085" s="10"/>
      <c r="C1085" s="10"/>
      <c r="D1085" s="10"/>
      <c r="E1085" s="10"/>
      <c r="F1085" s="10"/>
      <c r="G1085" s="10"/>
      <c r="H1085" s="10"/>
      <c r="I1085" s="674"/>
      <c r="J1085" s="10"/>
      <c r="K1085" s="10"/>
      <c r="L1085" s="10"/>
      <c r="M1085" s="10"/>
      <c r="N1085" s="10"/>
      <c r="O1085" s="10"/>
      <c r="P1085" s="10"/>
      <c r="Q1085" s="10"/>
      <c r="R1085" s="10"/>
      <c r="S1085" s="10"/>
      <c r="T1085" s="10"/>
      <c r="U1085" s="529"/>
      <c r="V1085" s="529"/>
    </row>
    <row r="1086">
      <c r="A1086" s="10"/>
      <c r="B1086" s="10"/>
      <c r="C1086" s="10"/>
      <c r="D1086" s="10"/>
      <c r="E1086" s="10"/>
      <c r="F1086" s="10"/>
      <c r="G1086" s="10"/>
      <c r="H1086" s="10"/>
      <c r="I1086" s="674"/>
      <c r="J1086" s="10"/>
      <c r="K1086" s="10"/>
      <c r="L1086" s="10"/>
      <c r="M1086" s="10"/>
      <c r="N1086" s="10"/>
      <c r="O1086" s="10"/>
      <c r="P1086" s="10"/>
      <c r="Q1086" s="10"/>
      <c r="R1086" s="10"/>
      <c r="S1086" s="10"/>
      <c r="T1086" s="10"/>
      <c r="U1086" s="529"/>
      <c r="V1086" s="529"/>
    </row>
    <row r="1087">
      <c r="A1087" s="10"/>
      <c r="B1087" s="10"/>
      <c r="C1087" s="10"/>
      <c r="D1087" s="10"/>
      <c r="E1087" s="10"/>
      <c r="F1087" s="10"/>
      <c r="G1087" s="10"/>
      <c r="H1087" s="10"/>
      <c r="I1087" s="674"/>
      <c r="J1087" s="10"/>
      <c r="K1087" s="10"/>
      <c r="L1087" s="10"/>
      <c r="M1087" s="10"/>
      <c r="N1087" s="10"/>
      <c r="O1087" s="10"/>
      <c r="P1087" s="10"/>
      <c r="Q1087" s="10"/>
      <c r="R1087" s="10"/>
      <c r="S1087" s="10"/>
      <c r="T1087" s="10"/>
      <c r="U1087" s="529"/>
      <c r="V1087" s="529"/>
    </row>
    <row r="1088">
      <c r="A1088" s="10"/>
      <c r="B1088" s="10"/>
      <c r="C1088" s="10"/>
      <c r="D1088" s="10"/>
      <c r="E1088" s="10"/>
      <c r="F1088" s="10"/>
      <c r="G1088" s="10"/>
      <c r="H1088" s="10"/>
      <c r="I1088" s="674"/>
      <c r="J1088" s="10"/>
      <c r="K1088" s="10"/>
      <c r="L1088" s="10"/>
      <c r="M1088" s="10"/>
      <c r="N1088" s="10"/>
      <c r="O1088" s="10"/>
      <c r="P1088" s="10"/>
      <c r="Q1088" s="10"/>
      <c r="R1088" s="10"/>
      <c r="S1088" s="10"/>
      <c r="T1088" s="10"/>
      <c r="U1088" s="529"/>
      <c r="V1088" s="529"/>
    </row>
    <row r="1089">
      <c r="A1089" s="10"/>
      <c r="B1089" s="10"/>
      <c r="C1089" s="10"/>
      <c r="D1089" s="10"/>
      <c r="E1089" s="10"/>
      <c r="F1089" s="10"/>
      <c r="G1089" s="10"/>
      <c r="H1089" s="10"/>
      <c r="I1089" s="674"/>
      <c r="J1089" s="10"/>
      <c r="K1089" s="10"/>
      <c r="L1089" s="10"/>
      <c r="M1089" s="10"/>
      <c r="N1089" s="10"/>
      <c r="O1089" s="10"/>
      <c r="P1089" s="10"/>
      <c r="Q1089" s="10"/>
      <c r="R1089" s="10"/>
      <c r="S1089" s="10"/>
      <c r="T1089" s="10"/>
      <c r="U1089" s="529"/>
      <c r="V1089" s="529"/>
    </row>
    <row r="1090">
      <c r="A1090" s="10"/>
      <c r="B1090" s="10"/>
      <c r="C1090" s="10"/>
      <c r="D1090" s="10"/>
      <c r="E1090" s="10"/>
      <c r="F1090" s="10"/>
      <c r="G1090" s="10"/>
      <c r="H1090" s="10"/>
      <c r="I1090" s="674"/>
      <c r="J1090" s="10"/>
      <c r="K1090" s="10"/>
      <c r="L1090" s="10"/>
      <c r="M1090" s="10"/>
      <c r="N1090" s="10"/>
      <c r="O1090" s="10"/>
      <c r="P1090" s="10"/>
      <c r="Q1090" s="10"/>
      <c r="R1090" s="10"/>
      <c r="S1090" s="10"/>
      <c r="T1090" s="10"/>
      <c r="U1090" s="529"/>
      <c r="V1090" s="529"/>
    </row>
    <row r="1091">
      <c r="A1091" s="10"/>
      <c r="B1091" s="10"/>
      <c r="C1091" s="10"/>
      <c r="D1091" s="10"/>
      <c r="E1091" s="10"/>
      <c r="F1091" s="10"/>
      <c r="G1091" s="10"/>
      <c r="H1091" s="10"/>
      <c r="I1091" s="674"/>
      <c r="J1091" s="10"/>
      <c r="K1091" s="10"/>
      <c r="L1091" s="10"/>
      <c r="M1091" s="10"/>
      <c r="N1091" s="10"/>
      <c r="O1091" s="10"/>
      <c r="P1091" s="10"/>
      <c r="Q1091" s="10"/>
      <c r="R1091" s="10"/>
      <c r="S1091" s="10"/>
      <c r="T1091" s="10"/>
      <c r="U1091" s="529"/>
      <c r="V1091" s="529"/>
    </row>
    <row r="1092">
      <c r="A1092" s="10"/>
      <c r="B1092" s="10"/>
      <c r="C1092" s="10"/>
      <c r="D1092" s="10"/>
      <c r="E1092" s="10"/>
      <c r="F1092" s="10"/>
      <c r="G1092" s="10"/>
      <c r="H1092" s="10"/>
      <c r="I1092" s="674"/>
      <c r="J1092" s="10"/>
      <c r="K1092" s="10"/>
      <c r="L1092" s="10"/>
      <c r="M1092" s="10"/>
      <c r="N1092" s="10"/>
      <c r="O1092" s="10"/>
      <c r="P1092" s="10"/>
      <c r="Q1092" s="10"/>
      <c r="R1092" s="10"/>
      <c r="S1092" s="10"/>
      <c r="T1092" s="10"/>
      <c r="U1092" s="529"/>
      <c r="V1092" s="529"/>
    </row>
    <row r="1093">
      <c r="A1093" s="10"/>
      <c r="B1093" s="10"/>
      <c r="C1093" s="10"/>
      <c r="D1093" s="10"/>
      <c r="E1093" s="10"/>
      <c r="F1093" s="10"/>
      <c r="G1093" s="10"/>
      <c r="H1093" s="10"/>
      <c r="I1093" s="674"/>
      <c r="J1093" s="10"/>
      <c r="K1093" s="10"/>
      <c r="L1093" s="10"/>
      <c r="M1093" s="10"/>
      <c r="N1093" s="10"/>
      <c r="O1093" s="10"/>
      <c r="P1093" s="10"/>
      <c r="Q1093" s="10"/>
      <c r="R1093" s="10"/>
      <c r="S1093" s="10"/>
      <c r="T1093" s="10"/>
      <c r="U1093" s="529"/>
      <c r="V1093" s="529"/>
    </row>
    <row r="1094">
      <c r="A1094" s="10"/>
      <c r="B1094" s="10"/>
      <c r="C1094" s="10"/>
      <c r="D1094" s="10"/>
      <c r="E1094" s="10"/>
      <c r="F1094" s="10"/>
      <c r="G1094" s="10"/>
      <c r="H1094" s="10"/>
      <c r="I1094" s="674"/>
      <c r="J1094" s="10"/>
      <c r="K1094" s="10"/>
      <c r="L1094" s="10"/>
      <c r="M1094" s="10"/>
      <c r="N1094" s="10"/>
      <c r="O1094" s="10"/>
      <c r="P1094" s="10"/>
      <c r="Q1094" s="10"/>
      <c r="R1094" s="10"/>
      <c r="S1094" s="10"/>
      <c r="T1094" s="10"/>
      <c r="U1094" s="529"/>
      <c r="V1094" s="529"/>
    </row>
    <row r="1095">
      <c r="A1095" s="10"/>
      <c r="B1095" s="10"/>
      <c r="C1095" s="10"/>
      <c r="D1095" s="10"/>
      <c r="E1095" s="10"/>
      <c r="F1095" s="10"/>
      <c r="G1095" s="10"/>
      <c r="H1095" s="10"/>
      <c r="I1095" s="674"/>
      <c r="J1095" s="10"/>
      <c r="K1095" s="10"/>
      <c r="L1095" s="10"/>
      <c r="M1095" s="10"/>
      <c r="N1095" s="10"/>
      <c r="O1095" s="10"/>
      <c r="P1095" s="10"/>
      <c r="Q1095" s="10"/>
      <c r="R1095" s="10"/>
      <c r="S1095" s="10"/>
      <c r="T1095" s="10"/>
      <c r="U1095" s="529"/>
      <c r="V1095" s="529"/>
    </row>
    <row r="1096">
      <c r="A1096" s="10"/>
      <c r="B1096" s="10"/>
      <c r="C1096" s="10"/>
      <c r="D1096" s="10"/>
      <c r="E1096" s="10"/>
      <c r="F1096" s="10"/>
      <c r="G1096" s="10"/>
      <c r="H1096" s="10"/>
      <c r="I1096" s="674"/>
      <c r="J1096" s="10"/>
      <c r="K1096" s="10"/>
      <c r="L1096" s="10"/>
      <c r="M1096" s="10"/>
      <c r="N1096" s="10"/>
      <c r="O1096" s="10"/>
      <c r="P1096" s="10"/>
      <c r="Q1096" s="10"/>
      <c r="R1096" s="10"/>
      <c r="S1096" s="10"/>
      <c r="T1096" s="10"/>
      <c r="U1096" s="529"/>
      <c r="V1096" s="529"/>
    </row>
    <row r="1097">
      <c r="A1097" s="10"/>
      <c r="B1097" s="10"/>
      <c r="C1097" s="10"/>
      <c r="D1097" s="10"/>
      <c r="E1097" s="10"/>
      <c r="F1097" s="10"/>
      <c r="G1097" s="10"/>
      <c r="H1097" s="10"/>
      <c r="I1097" s="674"/>
      <c r="J1097" s="10"/>
      <c r="K1097" s="10"/>
      <c r="L1097" s="10"/>
      <c r="M1097" s="10"/>
      <c r="N1097" s="10"/>
      <c r="O1097" s="10"/>
      <c r="P1097" s="10"/>
      <c r="Q1097" s="10"/>
      <c r="R1097" s="10"/>
      <c r="S1097" s="10"/>
      <c r="T1097" s="10"/>
      <c r="U1097" s="529"/>
      <c r="V1097" s="529"/>
    </row>
    <row r="1098">
      <c r="A1098" s="10"/>
      <c r="B1098" s="10"/>
      <c r="C1098" s="10"/>
      <c r="D1098" s="10"/>
      <c r="E1098" s="10"/>
      <c r="F1098" s="10"/>
      <c r="G1098" s="10"/>
      <c r="H1098" s="10"/>
      <c r="I1098" s="674"/>
      <c r="J1098" s="10"/>
      <c r="K1098" s="10"/>
      <c r="L1098" s="10"/>
      <c r="M1098" s="10"/>
      <c r="N1098" s="10"/>
      <c r="O1098" s="10"/>
      <c r="P1098" s="10"/>
      <c r="Q1098" s="10"/>
      <c r="R1098" s="10"/>
      <c r="S1098" s="10"/>
      <c r="T1098" s="10"/>
      <c r="U1098" s="529"/>
      <c r="V1098" s="529"/>
    </row>
    <row r="1099">
      <c r="A1099" s="10"/>
      <c r="B1099" s="10"/>
      <c r="C1099" s="10"/>
      <c r="D1099" s="10"/>
      <c r="E1099" s="10"/>
      <c r="F1099" s="10"/>
      <c r="G1099" s="10"/>
      <c r="H1099" s="10"/>
      <c r="I1099" s="674"/>
      <c r="J1099" s="10"/>
      <c r="K1099" s="10"/>
      <c r="L1099" s="10"/>
      <c r="M1099" s="10"/>
      <c r="N1099" s="10"/>
      <c r="O1099" s="10"/>
      <c r="P1099" s="10"/>
      <c r="Q1099" s="10"/>
      <c r="R1099" s="10"/>
      <c r="S1099" s="10"/>
      <c r="T1099" s="10"/>
      <c r="U1099" s="529"/>
      <c r="V1099" s="529"/>
    </row>
    <row r="1100">
      <c r="A1100" s="10"/>
      <c r="B1100" s="10"/>
      <c r="C1100" s="10"/>
      <c r="D1100" s="10"/>
      <c r="E1100" s="10"/>
      <c r="F1100" s="10"/>
      <c r="G1100" s="10"/>
      <c r="H1100" s="10"/>
      <c r="I1100" s="674"/>
      <c r="J1100" s="10"/>
      <c r="K1100" s="10"/>
      <c r="L1100" s="10"/>
      <c r="M1100" s="10"/>
      <c r="N1100" s="10"/>
      <c r="O1100" s="10"/>
      <c r="P1100" s="10"/>
      <c r="Q1100" s="10"/>
      <c r="R1100" s="10"/>
      <c r="S1100" s="10"/>
      <c r="T1100" s="10"/>
      <c r="U1100" s="529"/>
      <c r="V1100" s="529"/>
    </row>
    <row r="1101">
      <c r="A1101" s="10"/>
      <c r="B1101" s="10"/>
      <c r="C1101" s="10"/>
      <c r="D1101" s="10"/>
      <c r="E1101" s="10"/>
      <c r="F1101" s="10"/>
      <c r="G1101" s="10"/>
      <c r="H1101" s="10"/>
      <c r="I1101" s="674"/>
      <c r="J1101" s="10"/>
      <c r="K1101" s="10"/>
      <c r="L1101" s="10"/>
      <c r="M1101" s="10"/>
      <c r="N1101" s="10"/>
      <c r="O1101" s="10"/>
      <c r="P1101" s="10"/>
      <c r="Q1101" s="10"/>
      <c r="R1101" s="10"/>
      <c r="S1101" s="10"/>
      <c r="T1101" s="10"/>
      <c r="U1101" s="529"/>
      <c r="V1101" s="529"/>
    </row>
    <row r="1102">
      <c r="A1102" s="10"/>
      <c r="B1102" s="10"/>
      <c r="C1102" s="10"/>
      <c r="D1102" s="10"/>
      <c r="E1102" s="10"/>
      <c r="F1102" s="10"/>
      <c r="G1102" s="10"/>
      <c r="H1102" s="10"/>
      <c r="I1102" s="674"/>
      <c r="J1102" s="10"/>
      <c r="K1102" s="10"/>
      <c r="L1102" s="10"/>
      <c r="M1102" s="10"/>
      <c r="N1102" s="10"/>
      <c r="O1102" s="10"/>
      <c r="P1102" s="10"/>
      <c r="Q1102" s="10"/>
      <c r="R1102" s="10"/>
      <c r="S1102" s="10"/>
      <c r="T1102" s="10"/>
      <c r="U1102" s="529"/>
      <c r="V1102" s="529"/>
    </row>
    <row r="1103">
      <c r="A1103" s="10"/>
      <c r="B1103" s="10"/>
      <c r="C1103" s="10"/>
      <c r="D1103" s="10"/>
      <c r="E1103" s="10"/>
      <c r="F1103" s="10"/>
      <c r="G1103" s="10"/>
      <c r="H1103" s="10"/>
      <c r="I1103" s="674"/>
      <c r="J1103" s="10"/>
      <c r="K1103" s="10"/>
      <c r="L1103" s="10"/>
      <c r="M1103" s="10"/>
      <c r="N1103" s="10"/>
      <c r="O1103" s="10"/>
      <c r="P1103" s="10"/>
      <c r="Q1103" s="10"/>
      <c r="R1103" s="10"/>
      <c r="S1103" s="10"/>
      <c r="T1103" s="10"/>
      <c r="U1103" s="529"/>
      <c r="V1103" s="529"/>
    </row>
    <row r="1104">
      <c r="A1104" s="10"/>
      <c r="B1104" s="10"/>
      <c r="C1104" s="10"/>
      <c r="D1104" s="10"/>
      <c r="E1104" s="10"/>
      <c r="F1104" s="10"/>
      <c r="G1104" s="10"/>
      <c r="H1104" s="10"/>
      <c r="I1104" s="674"/>
      <c r="J1104" s="10"/>
      <c r="K1104" s="10"/>
      <c r="L1104" s="10"/>
      <c r="M1104" s="10"/>
      <c r="N1104" s="10"/>
      <c r="O1104" s="10"/>
      <c r="P1104" s="10"/>
      <c r="Q1104" s="10"/>
      <c r="R1104" s="10"/>
      <c r="S1104" s="10"/>
      <c r="T1104" s="10"/>
      <c r="U1104" s="529"/>
      <c r="V1104" s="529"/>
    </row>
    <row r="1105">
      <c r="A1105" s="10"/>
      <c r="B1105" s="10"/>
      <c r="C1105" s="10"/>
      <c r="D1105" s="10"/>
      <c r="E1105" s="10"/>
      <c r="F1105" s="10"/>
      <c r="G1105" s="10"/>
      <c r="H1105" s="10"/>
      <c r="I1105" s="674"/>
      <c r="J1105" s="10"/>
      <c r="K1105" s="10"/>
      <c r="L1105" s="10"/>
      <c r="M1105" s="10"/>
      <c r="N1105" s="10"/>
      <c r="O1105" s="10"/>
      <c r="P1105" s="10"/>
      <c r="Q1105" s="10"/>
      <c r="R1105" s="10"/>
      <c r="S1105" s="10"/>
      <c r="T1105" s="10"/>
      <c r="U1105" s="529"/>
      <c r="V1105" s="529"/>
    </row>
    <row r="1106">
      <c r="A1106" s="10"/>
      <c r="B1106" s="10"/>
      <c r="C1106" s="10"/>
      <c r="D1106" s="10"/>
      <c r="E1106" s="10"/>
      <c r="F1106" s="10"/>
      <c r="G1106" s="10"/>
      <c r="H1106" s="10"/>
      <c r="I1106" s="674"/>
      <c r="J1106" s="10"/>
      <c r="K1106" s="10"/>
      <c r="L1106" s="10"/>
      <c r="M1106" s="10"/>
      <c r="N1106" s="10"/>
      <c r="O1106" s="10"/>
      <c r="P1106" s="10"/>
      <c r="Q1106" s="10"/>
      <c r="R1106" s="10"/>
      <c r="S1106" s="10"/>
      <c r="T1106" s="10"/>
      <c r="U1106" s="529"/>
      <c r="V1106" s="529"/>
    </row>
    <row r="1107">
      <c r="A1107" s="10"/>
      <c r="B1107" s="10"/>
      <c r="C1107" s="10"/>
      <c r="D1107" s="10"/>
      <c r="E1107" s="10"/>
      <c r="F1107" s="10"/>
      <c r="G1107" s="10"/>
      <c r="H1107" s="10"/>
      <c r="I1107" s="674"/>
      <c r="J1107" s="10"/>
      <c r="K1107" s="10"/>
      <c r="L1107" s="10"/>
      <c r="M1107" s="10"/>
      <c r="N1107" s="10"/>
      <c r="O1107" s="10"/>
      <c r="P1107" s="10"/>
      <c r="Q1107" s="10"/>
      <c r="R1107" s="10"/>
      <c r="S1107" s="10"/>
      <c r="T1107" s="10"/>
      <c r="U1107" s="529"/>
      <c r="V1107" s="529"/>
    </row>
    <row r="1108">
      <c r="A1108" s="10"/>
      <c r="B1108" s="10"/>
      <c r="C1108" s="10"/>
      <c r="D1108" s="10"/>
      <c r="E1108" s="10"/>
      <c r="F1108" s="10"/>
      <c r="G1108" s="10"/>
      <c r="H1108" s="10"/>
      <c r="I1108" s="674"/>
      <c r="J1108" s="10"/>
      <c r="K1108" s="10"/>
      <c r="L1108" s="10"/>
      <c r="M1108" s="10"/>
      <c r="N1108" s="10"/>
      <c r="O1108" s="10"/>
      <c r="P1108" s="10"/>
      <c r="Q1108" s="10"/>
      <c r="R1108" s="10"/>
      <c r="S1108" s="10"/>
      <c r="T1108" s="10"/>
      <c r="U1108" s="529"/>
      <c r="V1108" s="529"/>
    </row>
    <row r="1109">
      <c r="A1109" s="10"/>
      <c r="B1109" s="10"/>
      <c r="C1109" s="10"/>
      <c r="D1109" s="10"/>
      <c r="E1109" s="10"/>
      <c r="F1109" s="10"/>
      <c r="G1109" s="10"/>
      <c r="H1109" s="10"/>
      <c r="I1109" s="674"/>
      <c r="J1109" s="10"/>
      <c r="K1109" s="10"/>
      <c r="L1109" s="10"/>
      <c r="M1109" s="10"/>
      <c r="N1109" s="10"/>
      <c r="O1109" s="10"/>
      <c r="P1109" s="10"/>
      <c r="Q1109" s="10"/>
      <c r="R1109" s="10"/>
      <c r="S1109" s="10"/>
      <c r="T1109" s="10"/>
      <c r="U1109" s="529"/>
      <c r="V1109" s="529"/>
    </row>
    <row r="1110">
      <c r="A1110" s="10"/>
      <c r="B1110" s="10"/>
      <c r="C1110" s="10"/>
      <c r="D1110" s="10"/>
      <c r="E1110" s="10"/>
      <c r="F1110" s="10"/>
      <c r="G1110" s="10"/>
      <c r="H1110" s="10"/>
      <c r="I1110" s="674"/>
      <c r="J1110" s="10"/>
      <c r="K1110" s="10"/>
      <c r="L1110" s="10"/>
      <c r="M1110" s="10"/>
      <c r="N1110" s="10"/>
      <c r="O1110" s="10"/>
      <c r="P1110" s="10"/>
      <c r="Q1110" s="10"/>
      <c r="R1110" s="10"/>
      <c r="S1110" s="10"/>
      <c r="T1110" s="10"/>
      <c r="U1110" s="529"/>
      <c r="V1110" s="529"/>
    </row>
    <row r="1111">
      <c r="A1111" s="10"/>
      <c r="B1111" s="10"/>
      <c r="C1111" s="10"/>
      <c r="D1111" s="10"/>
      <c r="E1111" s="10"/>
      <c r="F1111" s="10"/>
      <c r="G1111" s="10"/>
      <c r="H1111" s="10"/>
      <c r="I1111" s="674"/>
      <c r="J1111" s="10"/>
      <c r="K1111" s="10"/>
      <c r="L1111" s="10"/>
      <c r="M1111" s="10"/>
      <c r="N1111" s="10"/>
      <c r="O1111" s="10"/>
      <c r="P1111" s="10"/>
      <c r="Q1111" s="10"/>
      <c r="R1111" s="10"/>
      <c r="S1111" s="10"/>
      <c r="T1111" s="10"/>
      <c r="U1111" s="529"/>
      <c r="V1111" s="529"/>
    </row>
    <row r="1112">
      <c r="A1112" s="10"/>
      <c r="B1112" s="10"/>
      <c r="C1112" s="10"/>
      <c r="D1112" s="10"/>
      <c r="E1112" s="10"/>
      <c r="F1112" s="10"/>
      <c r="G1112" s="10"/>
      <c r="H1112" s="10"/>
      <c r="I1112" s="674"/>
      <c r="J1112" s="10"/>
      <c r="K1112" s="10"/>
      <c r="L1112" s="10"/>
      <c r="M1112" s="10"/>
      <c r="N1112" s="10"/>
      <c r="O1112" s="10"/>
      <c r="P1112" s="10"/>
      <c r="Q1112" s="10"/>
      <c r="R1112" s="10"/>
      <c r="S1112" s="10"/>
      <c r="T1112" s="10"/>
      <c r="U1112" s="529"/>
      <c r="V1112" s="529"/>
    </row>
    <row r="1113">
      <c r="A1113" s="10"/>
      <c r="B1113" s="10"/>
      <c r="C1113" s="10"/>
      <c r="D1113" s="10"/>
      <c r="E1113" s="10"/>
      <c r="F1113" s="10"/>
      <c r="G1113" s="10"/>
      <c r="H1113" s="10"/>
      <c r="I1113" s="674"/>
      <c r="J1113" s="10"/>
      <c r="K1113" s="10"/>
      <c r="L1113" s="10"/>
      <c r="M1113" s="10"/>
      <c r="N1113" s="10"/>
      <c r="O1113" s="10"/>
      <c r="P1113" s="10"/>
      <c r="Q1113" s="10"/>
      <c r="R1113" s="10"/>
      <c r="S1113" s="10"/>
      <c r="T1113" s="10"/>
      <c r="U1113" s="529"/>
      <c r="V1113" s="529"/>
    </row>
    <row r="1114">
      <c r="A1114" s="10"/>
      <c r="B1114" s="10"/>
      <c r="C1114" s="10"/>
      <c r="D1114" s="10"/>
      <c r="E1114" s="10"/>
      <c r="F1114" s="10"/>
      <c r="G1114" s="10"/>
      <c r="H1114" s="10"/>
      <c r="I1114" s="674"/>
      <c r="J1114" s="10"/>
      <c r="K1114" s="10"/>
      <c r="L1114" s="10"/>
      <c r="M1114" s="10"/>
      <c r="N1114" s="10"/>
      <c r="O1114" s="10"/>
      <c r="P1114" s="10"/>
      <c r="Q1114" s="10"/>
      <c r="R1114" s="10"/>
      <c r="S1114" s="10"/>
      <c r="T1114" s="10"/>
      <c r="U1114" s="529"/>
      <c r="V1114" s="529"/>
    </row>
    <row r="1115">
      <c r="A1115" s="10"/>
      <c r="B1115" s="10"/>
      <c r="C1115" s="10"/>
      <c r="D1115" s="10"/>
      <c r="E1115" s="10"/>
      <c r="F1115" s="10"/>
      <c r="G1115" s="10"/>
      <c r="H1115" s="10"/>
      <c r="I1115" s="674"/>
      <c r="J1115" s="10"/>
      <c r="K1115" s="10"/>
      <c r="L1115" s="10"/>
      <c r="M1115" s="10"/>
      <c r="N1115" s="10"/>
      <c r="O1115" s="10"/>
      <c r="P1115" s="10"/>
      <c r="Q1115" s="10"/>
      <c r="R1115" s="10"/>
      <c r="S1115" s="10"/>
      <c r="T1115" s="10"/>
      <c r="U1115" s="529"/>
      <c r="V1115" s="529"/>
    </row>
    <row r="1116">
      <c r="A1116" s="10"/>
      <c r="B1116" s="10"/>
      <c r="C1116" s="10"/>
      <c r="D1116" s="10"/>
      <c r="E1116" s="10"/>
      <c r="F1116" s="10"/>
      <c r="G1116" s="10"/>
      <c r="H1116" s="10"/>
      <c r="I1116" s="674"/>
      <c r="J1116" s="10"/>
      <c r="K1116" s="10"/>
      <c r="L1116" s="10"/>
      <c r="M1116" s="10"/>
      <c r="N1116" s="10"/>
      <c r="O1116" s="10"/>
      <c r="P1116" s="10"/>
      <c r="Q1116" s="10"/>
      <c r="R1116" s="10"/>
      <c r="S1116" s="10"/>
      <c r="T1116" s="10"/>
      <c r="U1116" s="529"/>
      <c r="V1116" s="529"/>
    </row>
    <row r="1117">
      <c r="A1117" s="10"/>
      <c r="B1117" s="10"/>
      <c r="C1117" s="10"/>
      <c r="D1117" s="10"/>
      <c r="E1117" s="10"/>
      <c r="F1117" s="10"/>
      <c r="G1117" s="10"/>
      <c r="H1117" s="10"/>
      <c r="I1117" s="674"/>
      <c r="J1117" s="10"/>
      <c r="K1117" s="10"/>
      <c r="L1117" s="10"/>
      <c r="M1117" s="10"/>
      <c r="N1117" s="10"/>
      <c r="O1117" s="10"/>
      <c r="P1117" s="10"/>
      <c r="Q1117" s="10"/>
      <c r="R1117" s="10"/>
      <c r="S1117" s="10"/>
      <c r="T1117" s="10"/>
      <c r="U1117" s="529"/>
      <c r="V1117" s="529"/>
    </row>
    <row r="1118">
      <c r="A1118" s="10"/>
      <c r="B1118" s="10"/>
      <c r="C1118" s="10"/>
      <c r="D1118" s="10"/>
      <c r="E1118" s="10"/>
      <c r="F1118" s="10"/>
      <c r="G1118" s="10"/>
      <c r="H1118" s="10"/>
      <c r="I1118" s="674"/>
      <c r="J1118" s="10"/>
      <c r="K1118" s="10"/>
      <c r="L1118" s="10"/>
      <c r="M1118" s="10"/>
      <c r="N1118" s="10"/>
      <c r="O1118" s="10"/>
      <c r="P1118" s="10"/>
      <c r="Q1118" s="10"/>
      <c r="R1118" s="10"/>
      <c r="S1118" s="10"/>
      <c r="T1118" s="10"/>
      <c r="U1118" s="529"/>
      <c r="V1118" s="529"/>
    </row>
    <row r="1119">
      <c r="A1119" s="10"/>
      <c r="B1119" s="10"/>
      <c r="C1119" s="10"/>
      <c r="D1119" s="10"/>
      <c r="E1119" s="10"/>
      <c r="F1119" s="10"/>
      <c r="G1119" s="10"/>
      <c r="H1119" s="10"/>
      <c r="I1119" s="674"/>
      <c r="J1119" s="10"/>
      <c r="K1119" s="10"/>
      <c r="L1119" s="10"/>
      <c r="M1119" s="10"/>
      <c r="N1119" s="10"/>
      <c r="O1119" s="10"/>
      <c r="P1119" s="10"/>
      <c r="Q1119" s="10"/>
      <c r="R1119" s="10"/>
      <c r="S1119" s="10"/>
      <c r="T1119" s="10"/>
      <c r="U1119" s="529"/>
      <c r="V1119" s="529"/>
    </row>
    <row r="1120">
      <c r="A1120" s="10"/>
      <c r="B1120" s="10"/>
      <c r="C1120" s="10"/>
      <c r="D1120" s="10"/>
      <c r="E1120" s="10"/>
      <c r="F1120" s="10"/>
      <c r="G1120" s="10"/>
      <c r="H1120" s="10"/>
      <c r="I1120" s="674"/>
      <c r="J1120" s="10"/>
      <c r="K1120" s="10"/>
      <c r="L1120" s="10"/>
      <c r="M1120" s="10"/>
      <c r="N1120" s="10"/>
      <c r="O1120" s="10"/>
      <c r="P1120" s="10"/>
      <c r="Q1120" s="10"/>
      <c r="R1120" s="10"/>
      <c r="S1120" s="10"/>
      <c r="T1120" s="10"/>
      <c r="U1120" s="529"/>
      <c r="V1120" s="529"/>
    </row>
    <row r="1121">
      <c r="A1121" s="10"/>
      <c r="B1121" s="10"/>
      <c r="C1121" s="10"/>
      <c r="D1121" s="10"/>
      <c r="E1121" s="10"/>
      <c r="F1121" s="10"/>
      <c r="G1121" s="10"/>
      <c r="H1121" s="10"/>
      <c r="I1121" s="674"/>
      <c r="J1121" s="10"/>
      <c r="K1121" s="10"/>
      <c r="L1121" s="10"/>
      <c r="M1121" s="10"/>
      <c r="N1121" s="10"/>
      <c r="O1121" s="10"/>
      <c r="P1121" s="10"/>
      <c r="Q1121" s="10"/>
      <c r="R1121" s="10"/>
      <c r="S1121" s="10"/>
      <c r="T1121" s="10"/>
      <c r="U1121" s="529"/>
      <c r="V1121" s="529"/>
    </row>
    <row r="1122">
      <c r="A1122" s="10"/>
      <c r="B1122" s="10"/>
      <c r="C1122" s="10"/>
      <c r="D1122" s="10"/>
      <c r="E1122" s="10"/>
      <c r="F1122" s="10"/>
      <c r="G1122" s="10"/>
      <c r="H1122" s="10"/>
      <c r="I1122" s="674"/>
      <c r="J1122" s="10"/>
      <c r="K1122" s="10"/>
      <c r="L1122" s="10"/>
      <c r="M1122" s="10"/>
      <c r="N1122" s="10"/>
      <c r="O1122" s="10"/>
      <c r="P1122" s="10"/>
      <c r="Q1122" s="10"/>
      <c r="R1122" s="10"/>
      <c r="S1122" s="10"/>
      <c r="T1122" s="10"/>
      <c r="U1122" s="529"/>
      <c r="V1122" s="529"/>
    </row>
    <row r="1123">
      <c r="A1123" s="10"/>
      <c r="B1123" s="10"/>
      <c r="C1123" s="10"/>
      <c r="D1123" s="10"/>
      <c r="E1123" s="10"/>
      <c r="F1123" s="10"/>
      <c r="G1123" s="10"/>
      <c r="H1123" s="10"/>
      <c r="I1123" s="674"/>
      <c r="J1123" s="10"/>
      <c r="K1123" s="10"/>
      <c r="L1123" s="10"/>
      <c r="M1123" s="10"/>
      <c r="N1123" s="10"/>
      <c r="O1123" s="10"/>
      <c r="P1123" s="10"/>
      <c r="Q1123" s="10"/>
      <c r="R1123" s="10"/>
      <c r="S1123" s="10"/>
      <c r="T1123" s="10"/>
      <c r="U1123" s="529"/>
      <c r="V1123" s="529"/>
    </row>
    <row r="1124">
      <c r="A1124" s="10"/>
      <c r="B1124" s="10"/>
      <c r="C1124" s="10"/>
      <c r="D1124" s="10"/>
      <c r="E1124" s="10"/>
      <c r="F1124" s="10"/>
      <c r="G1124" s="10"/>
      <c r="H1124" s="10"/>
      <c r="I1124" s="674"/>
      <c r="J1124" s="10"/>
      <c r="K1124" s="10"/>
      <c r="L1124" s="10"/>
      <c r="M1124" s="10"/>
      <c r="N1124" s="10"/>
      <c r="O1124" s="10"/>
      <c r="P1124" s="10"/>
      <c r="Q1124" s="10"/>
      <c r="R1124" s="10"/>
      <c r="S1124" s="10"/>
      <c r="T1124" s="10"/>
      <c r="U1124" s="529"/>
      <c r="V1124" s="529"/>
    </row>
    <row r="1125">
      <c r="A1125" s="10"/>
      <c r="B1125" s="10"/>
      <c r="C1125" s="10"/>
      <c r="D1125" s="10"/>
      <c r="E1125" s="10"/>
      <c r="F1125" s="10"/>
      <c r="G1125" s="10"/>
      <c r="H1125" s="10"/>
      <c r="I1125" s="674"/>
      <c r="J1125" s="10"/>
      <c r="K1125" s="10"/>
      <c r="L1125" s="10"/>
      <c r="M1125" s="10"/>
      <c r="N1125" s="10"/>
      <c r="O1125" s="10"/>
      <c r="P1125" s="10"/>
      <c r="Q1125" s="10"/>
      <c r="R1125" s="10"/>
      <c r="S1125" s="10"/>
      <c r="T1125" s="10"/>
      <c r="U1125" s="529"/>
      <c r="V1125" s="529"/>
    </row>
    <row r="1126">
      <c r="A1126" s="10"/>
      <c r="B1126" s="10"/>
      <c r="C1126" s="10"/>
      <c r="D1126" s="10"/>
      <c r="E1126" s="10"/>
      <c r="F1126" s="10"/>
      <c r="G1126" s="10"/>
      <c r="H1126" s="10"/>
      <c r="I1126" s="674"/>
      <c r="J1126" s="10"/>
      <c r="K1126" s="10"/>
      <c r="L1126" s="10"/>
      <c r="M1126" s="10"/>
      <c r="N1126" s="10"/>
      <c r="O1126" s="10"/>
      <c r="P1126" s="10"/>
      <c r="Q1126" s="10"/>
      <c r="R1126" s="10"/>
      <c r="S1126" s="10"/>
      <c r="T1126" s="10"/>
      <c r="U1126" s="529"/>
      <c r="V1126" s="529"/>
    </row>
    <row r="1127">
      <c r="A1127" s="10"/>
      <c r="B1127" s="10"/>
      <c r="C1127" s="10"/>
      <c r="D1127" s="10"/>
      <c r="E1127" s="10"/>
      <c r="F1127" s="10"/>
      <c r="G1127" s="10"/>
      <c r="H1127" s="10"/>
      <c r="I1127" s="674"/>
      <c r="J1127" s="10"/>
      <c r="K1127" s="10"/>
      <c r="L1127" s="10"/>
      <c r="M1127" s="10"/>
      <c r="N1127" s="10"/>
      <c r="O1127" s="10"/>
      <c r="P1127" s="10"/>
      <c r="Q1127" s="10"/>
      <c r="R1127" s="10"/>
      <c r="S1127" s="10"/>
      <c r="T1127" s="10"/>
      <c r="U1127" s="529"/>
      <c r="V1127" s="529"/>
    </row>
    <row r="1128">
      <c r="A1128" s="10"/>
      <c r="B1128" s="10"/>
      <c r="C1128" s="10"/>
      <c r="D1128" s="10"/>
      <c r="E1128" s="10"/>
      <c r="F1128" s="10"/>
      <c r="G1128" s="10"/>
      <c r="H1128" s="10"/>
      <c r="I1128" s="674"/>
      <c r="J1128" s="10"/>
      <c r="K1128" s="10"/>
      <c r="L1128" s="10"/>
      <c r="M1128" s="10"/>
      <c r="N1128" s="10"/>
      <c r="O1128" s="10"/>
      <c r="P1128" s="10"/>
      <c r="Q1128" s="10"/>
      <c r="R1128" s="10"/>
      <c r="S1128" s="10"/>
      <c r="T1128" s="10"/>
      <c r="U1128" s="529"/>
      <c r="V1128" s="529"/>
    </row>
    <row r="1129">
      <c r="A1129" s="10"/>
      <c r="B1129" s="10"/>
      <c r="C1129" s="10"/>
      <c r="D1129" s="10"/>
      <c r="E1129" s="10"/>
      <c r="F1129" s="10"/>
      <c r="G1129" s="10"/>
      <c r="H1129" s="10"/>
      <c r="I1129" s="674"/>
      <c r="J1129" s="10"/>
      <c r="K1129" s="10"/>
      <c r="L1129" s="10"/>
      <c r="M1129" s="10"/>
      <c r="N1129" s="10"/>
      <c r="O1129" s="10"/>
      <c r="P1129" s="10"/>
      <c r="Q1129" s="10"/>
      <c r="R1129" s="10"/>
      <c r="S1129" s="10"/>
      <c r="T1129" s="10"/>
      <c r="U1129" s="529"/>
      <c r="V1129" s="529"/>
    </row>
    <row r="1130">
      <c r="A1130" s="10"/>
      <c r="B1130" s="10"/>
      <c r="C1130" s="10"/>
      <c r="D1130" s="10"/>
      <c r="E1130" s="10"/>
      <c r="F1130" s="10"/>
      <c r="G1130" s="10"/>
      <c r="H1130" s="10"/>
      <c r="I1130" s="674"/>
      <c r="J1130" s="10"/>
      <c r="K1130" s="10"/>
      <c r="L1130" s="10"/>
      <c r="M1130" s="10"/>
      <c r="N1130" s="10"/>
      <c r="O1130" s="10"/>
      <c r="P1130" s="10"/>
      <c r="Q1130" s="10"/>
      <c r="R1130" s="10"/>
      <c r="S1130" s="10"/>
      <c r="T1130" s="10"/>
      <c r="U1130" s="529"/>
      <c r="V1130" s="529"/>
    </row>
    <row r="1131">
      <c r="A1131" s="10"/>
      <c r="B1131" s="10"/>
      <c r="C1131" s="10"/>
      <c r="D1131" s="10"/>
      <c r="E1131" s="10"/>
      <c r="F1131" s="10"/>
      <c r="G1131" s="10"/>
      <c r="H1131" s="10"/>
      <c r="I1131" s="674"/>
      <c r="J1131" s="10"/>
      <c r="K1131" s="10"/>
      <c r="L1131" s="10"/>
      <c r="M1131" s="10"/>
      <c r="N1131" s="10"/>
      <c r="O1131" s="10"/>
      <c r="P1131" s="10"/>
      <c r="Q1131" s="10"/>
      <c r="R1131" s="10"/>
      <c r="S1131" s="10"/>
      <c r="T1131" s="10"/>
      <c r="U1131" s="529"/>
      <c r="V1131" s="529"/>
    </row>
    <row r="1132">
      <c r="A1132" s="10"/>
      <c r="B1132" s="10"/>
      <c r="C1132" s="10"/>
      <c r="D1132" s="10"/>
      <c r="E1132" s="10"/>
      <c r="F1132" s="10"/>
      <c r="G1132" s="10"/>
      <c r="H1132" s="10"/>
      <c r="I1132" s="674"/>
      <c r="J1132" s="10"/>
      <c r="K1132" s="10"/>
      <c r="L1132" s="10"/>
      <c r="M1132" s="10"/>
      <c r="N1132" s="10"/>
      <c r="O1132" s="10"/>
      <c r="P1132" s="10"/>
      <c r="Q1132" s="10"/>
      <c r="R1132" s="10"/>
      <c r="S1132" s="10"/>
      <c r="T1132" s="10"/>
      <c r="U1132" s="529"/>
      <c r="V1132" s="529"/>
    </row>
    <row r="1133">
      <c r="A1133" s="10"/>
      <c r="B1133" s="10"/>
      <c r="C1133" s="10"/>
      <c r="D1133" s="10"/>
      <c r="E1133" s="10"/>
      <c r="F1133" s="10"/>
      <c r="G1133" s="10"/>
      <c r="H1133" s="10"/>
      <c r="I1133" s="674"/>
      <c r="J1133" s="10"/>
      <c r="K1133" s="10"/>
      <c r="L1133" s="10"/>
      <c r="M1133" s="10"/>
      <c r="N1133" s="10"/>
      <c r="O1133" s="10"/>
      <c r="P1133" s="10"/>
      <c r="Q1133" s="10"/>
      <c r="R1133" s="10"/>
      <c r="S1133" s="10"/>
      <c r="T1133" s="10"/>
      <c r="U1133" s="529"/>
      <c r="V1133" s="529"/>
    </row>
    <row r="1134">
      <c r="A1134" s="10"/>
      <c r="B1134" s="10"/>
      <c r="C1134" s="10"/>
      <c r="D1134" s="10"/>
      <c r="E1134" s="10"/>
      <c r="F1134" s="10"/>
      <c r="G1134" s="10"/>
      <c r="H1134" s="10"/>
      <c r="I1134" s="674"/>
      <c r="J1134" s="10"/>
      <c r="K1134" s="10"/>
      <c r="L1134" s="10"/>
      <c r="M1134" s="10"/>
      <c r="N1134" s="10"/>
      <c r="O1134" s="10"/>
      <c r="P1134" s="10"/>
      <c r="Q1134" s="10"/>
      <c r="R1134" s="10"/>
      <c r="S1134" s="10"/>
      <c r="T1134" s="10"/>
      <c r="U1134" s="529"/>
      <c r="V1134" s="529"/>
    </row>
    <row r="1135">
      <c r="A1135" s="10"/>
      <c r="B1135" s="10"/>
      <c r="C1135" s="10"/>
      <c r="D1135" s="10"/>
      <c r="E1135" s="10"/>
      <c r="F1135" s="10"/>
      <c r="G1135" s="10"/>
      <c r="H1135" s="10"/>
      <c r="I1135" s="674"/>
      <c r="J1135" s="10"/>
      <c r="K1135" s="10"/>
      <c r="L1135" s="10"/>
      <c r="M1135" s="10"/>
      <c r="N1135" s="10"/>
      <c r="O1135" s="10"/>
      <c r="P1135" s="10"/>
      <c r="Q1135" s="10"/>
      <c r="R1135" s="10"/>
      <c r="S1135" s="10"/>
      <c r="T1135" s="10"/>
      <c r="U1135" s="529"/>
      <c r="V1135" s="529"/>
    </row>
    <row r="1136">
      <c r="A1136" s="10"/>
      <c r="B1136" s="10"/>
      <c r="C1136" s="10"/>
      <c r="D1136" s="10"/>
      <c r="E1136" s="10"/>
      <c r="F1136" s="10"/>
      <c r="G1136" s="10"/>
      <c r="H1136" s="10"/>
      <c r="I1136" s="674"/>
      <c r="J1136" s="10"/>
      <c r="K1136" s="10"/>
      <c r="L1136" s="10"/>
      <c r="M1136" s="10"/>
      <c r="N1136" s="10"/>
      <c r="O1136" s="10"/>
      <c r="P1136" s="10"/>
      <c r="Q1136" s="10"/>
      <c r="R1136" s="10"/>
      <c r="S1136" s="10"/>
      <c r="T1136" s="10"/>
      <c r="U1136" s="529"/>
      <c r="V1136" s="529"/>
    </row>
    <row r="1137">
      <c r="A1137" s="10"/>
      <c r="B1137" s="10"/>
      <c r="C1137" s="10"/>
      <c r="D1137" s="10"/>
      <c r="E1137" s="10"/>
      <c r="F1137" s="10"/>
      <c r="G1137" s="10"/>
      <c r="H1137" s="10"/>
      <c r="I1137" s="674"/>
      <c r="J1137" s="10"/>
      <c r="K1137" s="10"/>
      <c r="L1137" s="10"/>
      <c r="M1137" s="10"/>
      <c r="N1137" s="10"/>
      <c r="O1137" s="10"/>
      <c r="P1137" s="10"/>
      <c r="Q1137" s="10"/>
      <c r="R1137" s="10"/>
      <c r="S1137" s="10"/>
      <c r="T1137" s="10"/>
      <c r="U1137" s="529"/>
      <c r="V1137" s="529"/>
    </row>
    <row r="1138">
      <c r="A1138" s="10"/>
      <c r="B1138" s="10"/>
      <c r="C1138" s="10"/>
      <c r="D1138" s="10"/>
      <c r="E1138" s="10"/>
      <c r="F1138" s="10"/>
      <c r="G1138" s="10"/>
      <c r="H1138" s="10"/>
      <c r="I1138" s="674"/>
      <c r="J1138" s="10"/>
      <c r="K1138" s="10"/>
      <c r="L1138" s="10"/>
      <c r="M1138" s="10"/>
      <c r="N1138" s="10"/>
      <c r="O1138" s="10"/>
      <c r="P1138" s="10"/>
      <c r="Q1138" s="10"/>
      <c r="R1138" s="10"/>
      <c r="S1138" s="10"/>
      <c r="T1138" s="10"/>
      <c r="U1138" s="529"/>
      <c r="V1138" s="529"/>
    </row>
    <row r="1139">
      <c r="A1139" s="10"/>
      <c r="B1139" s="10"/>
      <c r="C1139" s="10"/>
      <c r="D1139" s="10"/>
      <c r="E1139" s="10"/>
      <c r="F1139" s="10"/>
      <c r="G1139" s="10"/>
      <c r="H1139" s="10"/>
      <c r="I1139" s="674"/>
      <c r="J1139" s="10"/>
      <c r="K1139" s="10"/>
      <c r="L1139" s="10"/>
      <c r="M1139" s="10"/>
      <c r="N1139" s="10"/>
      <c r="O1139" s="10"/>
      <c r="P1139" s="10"/>
      <c r="Q1139" s="10"/>
      <c r="R1139" s="10"/>
      <c r="S1139" s="10"/>
      <c r="T1139" s="10"/>
      <c r="U1139" s="529"/>
      <c r="V1139" s="529"/>
    </row>
    <row r="1140">
      <c r="A1140" s="10"/>
      <c r="B1140" s="10"/>
      <c r="C1140" s="10"/>
      <c r="D1140" s="10"/>
      <c r="E1140" s="10"/>
      <c r="F1140" s="10"/>
      <c r="G1140" s="10"/>
      <c r="H1140" s="10"/>
      <c r="I1140" s="674"/>
      <c r="J1140" s="10"/>
      <c r="K1140" s="10"/>
      <c r="L1140" s="10"/>
      <c r="M1140" s="10"/>
      <c r="N1140" s="10"/>
      <c r="O1140" s="10"/>
      <c r="P1140" s="10"/>
      <c r="Q1140" s="10"/>
      <c r="R1140" s="10"/>
      <c r="S1140" s="10"/>
      <c r="T1140" s="10"/>
      <c r="U1140" s="529"/>
      <c r="V1140" s="529"/>
    </row>
    <row r="1141">
      <c r="A1141" s="10"/>
      <c r="B1141" s="10"/>
      <c r="C1141" s="10"/>
      <c r="D1141" s="10"/>
      <c r="E1141" s="10"/>
      <c r="F1141" s="10"/>
      <c r="G1141" s="10"/>
      <c r="H1141" s="10"/>
      <c r="I1141" s="674"/>
      <c r="J1141" s="10"/>
      <c r="K1141" s="10"/>
      <c r="L1141" s="10"/>
      <c r="M1141" s="10"/>
      <c r="N1141" s="10"/>
      <c r="O1141" s="10"/>
      <c r="P1141" s="10"/>
      <c r="Q1141" s="10"/>
      <c r="R1141" s="10"/>
      <c r="S1141" s="10"/>
      <c r="T1141" s="10"/>
      <c r="U1141" s="529"/>
      <c r="V1141" s="529"/>
    </row>
    <row r="1142">
      <c r="A1142" s="10"/>
      <c r="B1142" s="10"/>
      <c r="C1142" s="10"/>
      <c r="D1142" s="10"/>
      <c r="E1142" s="10"/>
      <c r="F1142" s="10"/>
      <c r="G1142" s="10"/>
      <c r="H1142" s="10"/>
      <c r="I1142" s="674"/>
      <c r="J1142" s="10"/>
      <c r="K1142" s="10"/>
      <c r="L1142" s="10"/>
      <c r="M1142" s="10"/>
      <c r="N1142" s="10"/>
      <c r="O1142" s="10"/>
      <c r="P1142" s="10"/>
      <c r="Q1142" s="10"/>
      <c r="R1142" s="10"/>
      <c r="S1142" s="10"/>
      <c r="T1142" s="10"/>
      <c r="U1142" s="529"/>
      <c r="V1142" s="529"/>
    </row>
    <row r="1143">
      <c r="A1143" s="10"/>
      <c r="B1143" s="10"/>
      <c r="C1143" s="10"/>
      <c r="D1143" s="10"/>
      <c r="E1143" s="10"/>
      <c r="F1143" s="10"/>
      <c r="G1143" s="10"/>
      <c r="H1143" s="10"/>
      <c r="I1143" s="674"/>
      <c r="J1143" s="10"/>
      <c r="K1143" s="10"/>
      <c r="L1143" s="10"/>
      <c r="M1143" s="10"/>
      <c r="N1143" s="10"/>
      <c r="O1143" s="10"/>
      <c r="P1143" s="10"/>
      <c r="Q1143" s="10"/>
      <c r="R1143" s="10"/>
      <c r="S1143" s="10"/>
      <c r="T1143" s="10"/>
      <c r="U1143" s="529"/>
      <c r="V1143" s="529"/>
    </row>
    <row r="1144">
      <c r="A1144" s="10"/>
      <c r="B1144" s="10"/>
      <c r="C1144" s="10"/>
      <c r="D1144" s="10"/>
      <c r="E1144" s="10"/>
      <c r="F1144" s="10"/>
      <c r="G1144" s="10"/>
      <c r="H1144" s="10"/>
      <c r="I1144" s="674"/>
      <c r="J1144" s="10"/>
      <c r="K1144" s="10"/>
      <c r="L1144" s="10"/>
      <c r="M1144" s="10"/>
      <c r="N1144" s="10"/>
      <c r="O1144" s="10"/>
      <c r="P1144" s="10"/>
      <c r="Q1144" s="10"/>
      <c r="R1144" s="10"/>
      <c r="S1144" s="10"/>
      <c r="T1144" s="10"/>
      <c r="U1144" s="529"/>
      <c r="V1144" s="529"/>
    </row>
    <row r="1145">
      <c r="A1145" s="10"/>
      <c r="B1145" s="10"/>
      <c r="C1145" s="10"/>
      <c r="D1145" s="10"/>
      <c r="E1145" s="10"/>
      <c r="F1145" s="10"/>
      <c r="G1145" s="10"/>
      <c r="H1145" s="10"/>
      <c r="I1145" s="674"/>
      <c r="J1145" s="10"/>
      <c r="K1145" s="10"/>
      <c r="L1145" s="10"/>
      <c r="M1145" s="10"/>
      <c r="N1145" s="10"/>
      <c r="O1145" s="10"/>
      <c r="P1145" s="10"/>
      <c r="Q1145" s="10"/>
      <c r="R1145" s="10"/>
      <c r="S1145" s="10"/>
      <c r="T1145" s="10"/>
      <c r="U1145" s="529"/>
      <c r="V1145" s="529"/>
    </row>
    <row r="1146">
      <c r="A1146" s="10"/>
      <c r="B1146" s="10"/>
      <c r="C1146" s="10"/>
      <c r="D1146" s="10"/>
      <c r="E1146" s="10"/>
      <c r="F1146" s="10"/>
      <c r="G1146" s="10"/>
      <c r="H1146" s="10"/>
      <c r="I1146" s="674"/>
      <c r="J1146" s="10"/>
      <c r="K1146" s="10"/>
      <c r="L1146" s="10"/>
      <c r="M1146" s="10"/>
      <c r="N1146" s="10"/>
      <c r="O1146" s="10"/>
      <c r="P1146" s="10"/>
      <c r="Q1146" s="10"/>
      <c r="R1146" s="10"/>
      <c r="S1146" s="10"/>
      <c r="T1146" s="10"/>
      <c r="U1146" s="529"/>
      <c r="V1146" s="529"/>
    </row>
    <row r="1147">
      <c r="A1147" s="10"/>
      <c r="B1147" s="10"/>
      <c r="C1147" s="10"/>
      <c r="D1147" s="10"/>
      <c r="E1147" s="10"/>
      <c r="F1147" s="10"/>
      <c r="G1147" s="10"/>
      <c r="H1147" s="10"/>
      <c r="I1147" s="674"/>
      <c r="J1147" s="10"/>
      <c r="K1147" s="10"/>
      <c r="L1147" s="10"/>
      <c r="M1147" s="10"/>
      <c r="N1147" s="10"/>
      <c r="O1147" s="10"/>
      <c r="P1147" s="10"/>
      <c r="Q1147" s="10"/>
      <c r="R1147" s="10"/>
      <c r="S1147" s="10"/>
      <c r="T1147" s="10"/>
      <c r="U1147" s="529"/>
      <c r="V1147" s="529"/>
    </row>
    <row r="1148">
      <c r="A1148" s="10"/>
      <c r="B1148" s="10"/>
      <c r="C1148" s="10"/>
      <c r="D1148" s="10"/>
      <c r="E1148" s="10"/>
      <c r="F1148" s="10"/>
      <c r="G1148" s="10"/>
      <c r="H1148" s="10"/>
      <c r="I1148" s="674"/>
      <c r="J1148" s="10"/>
      <c r="K1148" s="10"/>
      <c r="L1148" s="10"/>
      <c r="M1148" s="10"/>
      <c r="N1148" s="10"/>
      <c r="O1148" s="10"/>
      <c r="P1148" s="10"/>
      <c r="Q1148" s="10"/>
      <c r="R1148" s="10"/>
      <c r="S1148" s="10"/>
      <c r="T1148" s="10"/>
      <c r="U1148" s="529"/>
      <c r="V1148" s="529"/>
    </row>
    <row r="1149">
      <c r="A1149" s="10"/>
      <c r="B1149" s="10"/>
      <c r="C1149" s="10"/>
      <c r="D1149" s="10"/>
      <c r="E1149" s="10"/>
      <c r="F1149" s="10"/>
      <c r="G1149" s="10"/>
      <c r="H1149" s="10"/>
      <c r="I1149" s="674"/>
      <c r="J1149" s="10"/>
      <c r="K1149" s="10"/>
      <c r="L1149" s="10"/>
      <c r="M1149" s="10"/>
      <c r="N1149" s="10"/>
      <c r="O1149" s="10"/>
      <c r="P1149" s="10"/>
      <c r="Q1149" s="10"/>
      <c r="R1149" s="10"/>
      <c r="S1149" s="10"/>
      <c r="T1149" s="10"/>
      <c r="U1149" s="529"/>
      <c r="V1149" s="529"/>
    </row>
    <row r="1150">
      <c r="A1150" s="10"/>
      <c r="B1150" s="10"/>
      <c r="C1150" s="10"/>
      <c r="D1150" s="10"/>
      <c r="E1150" s="10"/>
      <c r="F1150" s="10"/>
      <c r="G1150" s="10"/>
      <c r="H1150" s="10"/>
      <c r="I1150" s="674"/>
      <c r="J1150" s="10"/>
      <c r="K1150" s="10"/>
      <c r="L1150" s="10"/>
      <c r="M1150" s="10"/>
      <c r="N1150" s="10"/>
      <c r="O1150" s="10"/>
      <c r="P1150" s="10"/>
      <c r="Q1150" s="10"/>
      <c r="R1150" s="10"/>
      <c r="S1150" s="10"/>
      <c r="T1150" s="10"/>
      <c r="U1150" s="529"/>
      <c r="V1150" s="529"/>
    </row>
    <row r="1151">
      <c r="A1151" s="10"/>
      <c r="B1151" s="10"/>
      <c r="C1151" s="10"/>
      <c r="D1151" s="10"/>
      <c r="E1151" s="10"/>
      <c r="F1151" s="10"/>
      <c r="G1151" s="10"/>
      <c r="H1151" s="10"/>
      <c r="I1151" s="674"/>
      <c r="J1151" s="10"/>
      <c r="K1151" s="10"/>
      <c r="L1151" s="10"/>
      <c r="M1151" s="10"/>
      <c r="N1151" s="10"/>
      <c r="O1151" s="10"/>
      <c r="P1151" s="10"/>
      <c r="Q1151" s="10"/>
      <c r="R1151" s="10"/>
      <c r="S1151" s="10"/>
      <c r="T1151" s="10"/>
      <c r="U1151" s="529"/>
      <c r="V1151" s="529"/>
    </row>
    <row r="1152">
      <c r="A1152" s="10"/>
      <c r="B1152" s="10"/>
      <c r="C1152" s="10"/>
      <c r="D1152" s="10"/>
      <c r="E1152" s="10"/>
      <c r="F1152" s="10"/>
      <c r="G1152" s="10"/>
      <c r="H1152" s="10"/>
      <c r="I1152" s="674"/>
      <c r="J1152" s="10"/>
      <c r="K1152" s="10"/>
      <c r="L1152" s="10"/>
      <c r="M1152" s="10"/>
      <c r="N1152" s="10"/>
      <c r="O1152" s="10"/>
      <c r="P1152" s="10"/>
      <c r="Q1152" s="10"/>
      <c r="R1152" s="10"/>
      <c r="S1152" s="10"/>
      <c r="T1152" s="10"/>
      <c r="U1152" s="529"/>
      <c r="V1152" s="529"/>
    </row>
    <row r="1153">
      <c r="A1153" s="10"/>
      <c r="B1153" s="10"/>
      <c r="C1153" s="10"/>
      <c r="D1153" s="10"/>
      <c r="E1153" s="10"/>
      <c r="F1153" s="10"/>
      <c r="G1153" s="10"/>
      <c r="H1153" s="10"/>
      <c r="I1153" s="674"/>
      <c r="J1153" s="10"/>
      <c r="K1153" s="10"/>
      <c r="L1153" s="10"/>
      <c r="M1153" s="10"/>
      <c r="N1153" s="10"/>
      <c r="O1153" s="10"/>
      <c r="P1153" s="10"/>
      <c r="Q1153" s="10"/>
      <c r="R1153" s="10"/>
      <c r="S1153" s="10"/>
      <c r="T1153" s="10"/>
      <c r="U1153" s="529"/>
      <c r="V1153" s="529"/>
    </row>
    <row r="1154">
      <c r="A1154" s="10"/>
      <c r="B1154" s="10"/>
      <c r="C1154" s="10"/>
      <c r="D1154" s="10"/>
      <c r="E1154" s="10"/>
      <c r="F1154" s="10"/>
      <c r="G1154" s="10"/>
      <c r="H1154" s="10"/>
      <c r="I1154" s="674"/>
      <c r="J1154" s="10"/>
      <c r="K1154" s="10"/>
      <c r="L1154" s="10"/>
      <c r="M1154" s="10"/>
      <c r="N1154" s="10"/>
      <c r="O1154" s="10"/>
      <c r="P1154" s="10"/>
      <c r="Q1154" s="10"/>
      <c r="R1154" s="10"/>
      <c r="S1154" s="10"/>
      <c r="T1154" s="10"/>
      <c r="U1154" s="529"/>
      <c r="V1154" s="529"/>
    </row>
    <row r="1155">
      <c r="A1155" s="10"/>
      <c r="B1155" s="10"/>
      <c r="C1155" s="10"/>
      <c r="D1155" s="10"/>
      <c r="E1155" s="10"/>
      <c r="F1155" s="10"/>
      <c r="G1155" s="10"/>
      <c r="H1155" s="10"/>
      <c r="I1155" s="674"/>
      <c r="J1155" s="10"/>
      <c r="K1155" s="10"/>
      <c r="L1155" s="10"/>
      <c r="M1155" s="10"/>
      <c r="N1155" s="10"/>
      <c r="O1155" s="10"/>
      <c r="P1155" s="10"/>
      <c r="Q1155" s="10"/>
      <c r="R1155" s="10"/>
      <c r="S1155" s="10"/>
      <c r="T1155" s="10"/>
      <c r="U1155" s="529"/>
      <c r="V1155" s="529"/>
    </row>
    <row r="1156">
      <c r="A1156" s="10"/>
      <c r="B1156" s="10"/>
      <c r="C1156" s="10"/>
      <c r="D1156" s="10"/>
      <c r="E1156" s="10"/>
      <c r="F1156" s="10"/>
      <c r="G1156" s="10"/>
      <c r="H1156" s="10"/>
      <c r="I1156" s="674"/>
      <c r="J1156" s="10"/>
      <c r="K1156" s="10"/>
      <c r="L1156" s="10"/>
      <c r="M1156" s="10"/>
      <c r="N1156" s="10"/>
      <c r="O1156" s="10"/>
      <c r="P1156" s="10"/>
      <c r="Q1156" s="10"/>
      <c r="R1156" s="10"/>
      <c r="S1156" s="10"/>
      <c r="T1156" s="10"/>
      <c r="U1156" s="529"/>
      <c r="V1156" s="529"/>
    </row>
    <row r="1157">
      <c r="A1157" s="10"/>
      <c r="B1157" s="10"/>
      <c r="C1157" s="10"/>
      <c r="D1157" s="10"/>
      <c r="E1157" s="10"/>
      <c r="F1157" s="10"/>
      <c r="G1157" s="10"/>
      <c r="H1157" s="10"/>
      <c r="I1157" s="674"/>
      <c r="J1157" s="10"/>
      <c r="K1157" s="10"/>
      <c r="L1157" s="10"/>
      <c r="M1157" s="10"/>
      <c r="N1157" s="10"/>
      <c r="O1157" s="10"/>
      <c r="P1157" s="10"/>
      <c r="Q1157" s="10"/>
      <c r="R1157" s="10"/>
      <c r="S1157" s="10"/>
      <c r="T1157" s="10"/>
      <c r="U1157" s="529"/>
      <c r="V1157" s="529"/>
    </row>
    <row r="1158">
      <c r="A1158" s="10"/>
      <c r="B1158" s="10"/>
      <c r="C1158" s="10"/>
      <c r="D1158" s="10"/>
      <c r="E1158" s="10"/>
      <c r="F1158" s="10"/>
      <c r="G1158" s="10"/>
      <c r="H1158" s="10"/>
      <c r="I1158" s="674"/>
      <c r="J1158" s="10"/>
      <c r="K1158" s="10"/>
      <c r="L1158" s="10"/>
      <c r="M1158" s="10"/>
      <c r="N1158" s="10"/>
      <c r="O1158" s="10"/>
      <c r="P1158" s="10"/>
      <c r="Q1158" s="10"/>
      <c r="R1158" s="10"/>
      <c r="S1158" s="10"/>
      <c r="T1158" s="10"/>
      <c r="U1158" s="529"/>
      <c r="V1158" s="529"/>
    </row>
    <row r="1159">
      <c r="A1159" s="10"/>
      <c r="B1159" s="10"/>
      <c r="C1159" s="10"/>
      <c r="D1159" s="10"/>
      <c r="E1159" s="10"/>
      <c r="F1159" s="10"/>
      <c r="G1159" s="10"/>
      <c r="H1159" s="10"/>
      <c r="I1159" s="674"/>
      <c r="J1159" s="10"/>
      <c r="K1159" s="10"/>
      <c r="L1159" s="10"/>
      <c r="M1159" s="10"/>
      <c r="N1159" s="10"/>
      <c r="O1159" s="10"/>
      <c r="P1159" s="10"/>
      <c r="Q1159" s="10"/>
      <c r="R1159" s="10"/>
      <c r="S1159" s="10"/>
      <c r="T1159" s="10"/>
      <c r="U1159" s="529"/>
      <c r="V1159" s="529"/>
    </row>
    <row r="1160">
      <c r="A1160" s="10"/>
      <c r="B1160" s="10"/>
      <c r="C1160" s="10"/>
      <c r="D1160" s="10"/>
      <c r="E1160" s="10"/>
      <c r="F1160" s="10"/>
      <c r="G1160" s="10"/>
      <c r="H1160" s="10"/>
      <c r="I1160" s="674"/>
      <c r="J1160" s="10"/>
      <c r="K1160" s="10"/>
      <c r="L1160" s="10"/>
      <c r="M1160" s="10"/>
      <c r="N1160" s="10"/>
      <c r="O1160" s="10"/>
      <c r="P1160" s="10"/>
      <c r="Q1160" s="10"/>
      <c r="R1160" s="10"/>
      <c r="S1160" s="10"/>
      <c r="T1160" s="10"/>
      <c r="U1160" s="529"/>
      <c r="V1160" s="529"/>
    </row>
    <row r="1161">
      <c r="A1161" s="10"/>
      <c r="B1161" s="10"/>
      <c r="C1161" s="10"/>
      <c r="D1161" s="10"/>
      <c r="E1161" s="10"/>
      <c r="F1161" s="10"/>
      <c r="G1161" s="10"/>
      <c r="H1161" s="10"/>
      <c r="I1161" s="674"/>
      <c r="J1161" s="10"/>
      <c r="K1161" s="10"/>
      <c r="L1161" s="10"/>
      <c r="M1161" s="10"/>
      <c r="N1161" s="10"/>
      <c r="O1161" s="10"/>
      <c r="P1161" s="10"/>
      <c r="Q1161" s="10"/>
      <c r="R1161" s="10"/>
      <c r="S1161" s="10"/>
      <c r="T1161" s="10"/>
      <c r="U1161" s="529"/>
      <c r="V1161" s="529"/>
    </row>
    <row r="1162">
      <c r="A1162" s="10"/>
      <c r="B1162" s="10"/>
      <c r="C1162" s="10"/>
      <c r="D1162" s="10"/>
      <c r="E1162" s="10"/>
      <c r="F1162" s="10"/>
      <c r="G1162" s="10"/>
      <c r="H1162" s="10"/>
      <c r="I1162" s="674"/>
      <c r="J1162" s="10"/>
      <c r="K1162" s="10"/>
      <c r="L1162" s="10"/>
      <c r="M1162" s="10"/>
      <c r="N1162" s="10"/>
      <c r="O1162" s="10"/>
      <c r="P1162" s="10"/>
      <c r="Q1162" s="10"/>
      <c r="R1162" s="10"/>
      <c r="S1162" s="10"/>
      <c r="T1162" s="10"/>
      <c r="U1162" s="529"/>
      <c r="V1162" s="529"/>
    </row>
    <row r="1163">
      <c r="A1163" s="10"/>
      <c r="B1163" s="10"/>
      <c r="C1163" s="10"/>
      <c r="D1163" s="10"/>
      <c r="E1163" s="10"/>
      <c r="F1163" s="10"/>
      <c r="G1163" s="10"/>
      <c r="H1163" s="10"/>
      <c r="I1163" s="674"/>
      <c r="J1163" s="10"/>
      <c r="K1163" s="10"/>
      <c r="L1163" s="10"/>
      <c r="M1163" s="10"/>
      <c r="N1163" s="10"/>
      <c r="O1163" s="10"/>
      <c r="P1163" s="10"/>
      <c r="Q1163" s="10"/>
      <c r="R1163" s="10"/>
      <c r="S1163" s="10"/>
      <c r="T1163" s="10"/>
      <c r="U1163" s="529"/>
      <c r="V1163" s="529"/>
    </row>
    <row r="1164">
      <c r="A1164" s="10"/>
      <c r="B1164" s="10"/>
      <c r="C1164" s="10"/>
      <c r="D1164" s="10"/>
      <c r="E1164" s="10"/>
      <c r="F1164" s="10"/>
      <c r="G1164" s="10"/>
      <c r="H1164" s="10"/>
      <c r="I1164" s="674"/>
      <c r="J1164" s="10"/>
      <c r="K1164" s="10"/>
      <c r="L1164" s="10"/>
      <c r="M1164" s="10"/>
      <c r="N1164" s="10"/>
      <c r="O1164" s="10"/>
      <c r="P1164" s="10"/>
      <c r="Q1164" s="10"/>
      <c r="R1164" s="10"/>
      <c r="S1164" s="10"/>
      <c r="T1164" s="10"/>
      <c r="U1164" s="529"/>
      <c r="V1164" s="529"/>
    </row>
    <row r="1165">
      <c r="A1165" s="10"/>
      <c r="B1165" s="10"/>
      <c r="C1165" s="10"/>
      <c r="D1165" s="10"/>
      <c r="E1165" s="10"/>
      <c r="F1165" s="10"/>
      <c r="G1165" s="10"/>
      <c r="H1165" s="10"/>
      <c r="I1165" s="674"/>
      <c r="J1165" s="10"/>
      <c r="K1165" s="10"/>
      <c r="L1165" s="10"/>
      <c r="M1165" s="10"/>
      <c r="N1165" s="10"/>
      <c r="O1165" s="10"/>
      <c r="P1165" s="10"/>
      <c r="Q1165" s="10"/>
      <c r="R1165" s="10"/>
      <c r="S1165" s="10"/>
      <c r="T1165" s="10"/>
      <c r="U1165" s="529"/>
      <c r="V1165" s="529"/>
    </row>
    <row r="1166">
      <c r="A1166" s="10"/>
      <c r="B1166" s="10"/>
      <c r="C1166" s="10"/>
      <c r="D1166" s="10"/>
      <c r="E1166" s="10"/>
      <c r="F1166" s="10"/>
      <c r="G1166" s="10"/>
      <c r="H1166" s="10"/>
      <c r="I1166" s="674"/>
      <c r="J1166" s="10"/>
      <c r="K1166" s="10"/>
      <c r="L1166" s="10"/>
      <c r="M1166" s="10"/>
      <c r="N1166" s="10"/>
      <c r="O1166" s="10"/>
      <c r="P1166" s="10"/>
      <c r="Q1166" s="10"/>
      <c r="R1166" s="10"/>
      <c r="S1166" s="10"/>
      <c r="T1166" s="10"/>
      <c r="U1166" s="529"/>
      <c r="V1166" s="529"/>
    </row>
    <row r="1167">
      <c r="A1167" s="10"/>
      <c r="B1167" s="10"/>
      <c r="C1167" s="10"/>
      <c r="D1167" s="10"/>
      <c r="E1167" s="10"/>
      <c r="F1167" s="10"/>
      <c r="G1167" s="10"/>
      <c r="H1167" s="10"/>
      <c r="I1167" s="674"/>
      <c r="J1167" s="10"/>
      <c r="K1167" s="10"/>
      <c r="L1167" s="10"/>
      <c r="M1167" s="10"/>
      <c r="N1167" s="10"/>
      <c r="O1167" s="10"/>
      <c r="P1167" s="10"/>
      <c r="Q1167" s="10"/>
      <c r="R1167" s="10"/>
      <c r="S1167" s="10"/>
      <c r="T1167" s="10"/>
      <c r="U1167" s="529"/>
      <c r="V1167" s="529"/>
    </row>
    <row r="1168">
      <c r="A1168" s="10"/>
      <c r="B1168" s="10"/>
      <c r="C1168" s="10"/>
      <c r="D1168" s="10"/>
      <c r="E1168" s="10"/>
      <c r="F1168" s="10"/>
      <c r="G1168" s="10"/>
      <c r="H1168" s="10"/>
      <c r="I1168" s="674"/>
      <c r="J1168" s="10"/>
      <c r="K1168" s="10"/>
      <c r="L1168" s="10"/>
      <c r="M1168" s="10"/>
      <c r="N1168" s="10"/>
      <c r="O1168" s="10"/>
      <c r="P1168" s="10"/>
      <c r="Q1168" s="10"/>
      <c r="R1168" s="10"/>
      <c r="S1168" s="10"/>
      <c r="T1168" s="10"/>
      <c r="U1168" s="529"/>
      <c r="V1168" s="529"/>
    </row>
    <row r="1169">
      <c r="A1169" s="10"/>
      <c r="B1169" s="10"/>
      <c r="C1169" s="10"/>
      <c r="D1169" s="10"/>
      <c r="E1169" s="10"/>
      <c r="F1169" s="10"/>
      <c r="G1169" s="10"/>
      <c r="H1169" s="10"/>
      <c r="I1169" s="674"/>
      <c r="J1169" s="10"/>
      <c r="K1169" s="10"/>
      <c r="L1169" s="10"/>
      <c r="M1169" s="10"/>
      <c r="N1169" s="10"/>
      <c r="O1169" s="10"/>
      <c r="P1169" s="10"/>
      <c r="Q1169" s="10"/>
      <c r="R1169" s="10"/>
      <c r="S1169" s="10"/>
      <c r="T1169" s="10"/>
      <c r="U1169" s="529"/>
      <c r="V1169" s="529"/>
    </row>
    <row r="1170">
      <c r="A1170" s="10"/>
      <c r="B1170" s="10"/>
      <c r="C1170" s="10"/>
      <c r="D1170" s="10"/>
      <c r="E1170" s="10"/>
      <c r="F1170" s="10"/>
      <c r="G1170" s="10"/>
      <c r="H1170" s="10"/>
      <c r="I1170" s="674"/>
      <c r="J1170" s="10"/>
      <c r="K1170" s="10"/>
      <c r="L1170" s="10"/>
      <c r="M1170" s="10"/>
      <c r="N1170" s="10"/>
      <c r="O1170" s="10"/>
      <c r="P1170" s="10"/>
      <c r="Q1170" s="10"/>
      <c r="R1170" s="10"/>
      <c r="S1170" s="10"/>
      <c r="T1170" s="10"/>
      <c r="U1170" s="529"/>
      <c r="V1170" s="529"/>
    </row>
    <row r="1171">
      <c r="A1171" s="10"/>
      <c r="B1171" s="10"/>
      <c r="C1171" s="10"/>
      <c r="D1171" s="10"/>
      <c r="E1171" s="10"/>
      <c r="F1171" s="10"/>
      <c r="G1171" s="10"/>
      <c r="H1171" s="10"/>
      <c r="I1171" s="674"/>
      <c r="J1171" s="10"/>
      <c r="K1171" s="10"/>
      <c r="L1171" s="10"/>
      <c r="M1171" s="10"/>
      <c r="N1171" s="10"/>
      <c r="O1171" s="10"/>
      <c r="P1171" s="10"/>
      <c r="Q1171" s="10"/>
      <c r="R1171" s="10"/>
      <c r="S1171" s="10"/>
      <c r="T1171" s="10"/>
      <c r="U1171" s="529"/>
      <c r="V1171" s="529"/>
    </row>
    <row r="1172">
      <c r="A1172" s="10"/>
      <c r="B1172" s="10"/>
      <c r="C1172" s="10"/>
      <c r="D1172" s="10"/>
      <c r="E1172" s="10"/>
      <c r="F1172" s="10"/>
      <c r="G1172" s="10"/>
      <c r="H1172" s="10"/>
      <c r="I1172" s="674"/>
      <c r="J1172" s="10"/>
      <c r="K1172" s="10"/>
      <c r="L1172" s="10"/>
      <c r="M1172" s="10"/>
      <c r="N1172" s="10"/>
      <c r="O1172" s="10"/>
      <c r="P1172" s="10"/>
      <c r="Q1172" s="10"/>
      <c r="R1172" s="10"/>
      <c r="S1172" s="10"/>
      <c r="T1172" s="10"/>
      <c r="U1172" s="529"/>
      <c r="V1172" s="529"/>
    </row>
    <row r="1173">
      <c r="A1173" s="10"/>
      <c r="B1173" s="10"/>
      <c r="C1173" s="10"/>
      <c r="D1173" s="10"/>
      <c r="E1173" s="10"/>
      <c r="F1173" s="10"/>
      <c r="G1173" s="10"/>
      <c r="H1173" s="10"/>
      <c r="I1173" s="674"/>
      <c r="J1173" s="10"/>
      <c r="K1173" s="10"/>
      <c r="L1173" s="10"/>
      <c r="M1173" s="10"/>
      <c r="N1173" s="10"/>
      <c r="O1173" s="10"/>
      <c r="P1173" s="10"/>
      <c r="Q1173" s="10"/>
      <c r="R1173" s="10"/>
      <c r="S1173" s="10"/>
      <c r="T1173" s="10"/>
      <c r="U1173" s="529"/>
      <c r="V1173" s="529"/>
    </row>
    <row r="1174">
      <c r="A1174" s="10"/>
      <c r="B1174" s="10"/>
      <c r="C1174" s="10"/>
      <c r="D1174" s="10"/>
      <c r="E1174" s="10"/>
      <c r="F1174" s="10"/>
      <c r="G1174" s="10"/>
      <c r="H1174" s="10"/>
      <c r="I1174" s="674"/>
      <c r="J1174" s="10"/>
      <c r="K1174" s="10"/>
      <c r="L1174" s="10"/>
      <c r="M1174" s="10"/>
      <c r="N1174" s="10"/>
      <c r="O1174" s="10"/>
      <c r="P1174" s="10"/>
      <c r="Q1174" s="10"/>
      <c r="R1174" s="10"/>
      <c r="S1174" s="10"/>
      <c r="T1174" s="10"/>
      <c r="U1174" s="529"/>
      <c r="V1174" s="529"/>
    </row>
    <row r="1175">
      <c r="A1175" s="10"/>
      <c r="B1175" s="10"/>
      <c r="C1175" s="10"/>
      <c r="D1175" s="10"/>
      <c r="E1175" s="10"/>
      <c r="F1175" s="10"/>
      <c r="G1175" s="10"/>
      <c r="H1175" s="10"/>
      <c r="I1175" s="674"/>
      <c r="J1175" s="10"/>
      <c r="K1175" s="10"/>
      <c r="L1175" s="10"/>
      <c r="M1175" s="10"/>
      <c r="N1175" s="10"/>
      <c r="O1175" s="10"/>
      <c r="P1175" s="10"/>
      <c r="Q1175" s="10"/>
      <c r="R1175" s="10"/>
      <c r="S1175" s="10"/>
      <c r="T1175" s="10"/>
      <c r="U1175" s="529"/>
      <c r="V1175" s="529"/>
    </row>
    <row r="1176">
      <c r="A1176" s="10"/>
      <c r="B1176" s="10"/>
      <c r="C1176" s="10"/>
      <c r="D1176" s="10"/>
      <c r="E1176" s="10"/>
      <c r="F1176" s="10"/>
      <c r="G1176" s="10"/>
      <c r="H1176" s="10"/>
      <c r="I1176" s="674"/>
      <c r="J1176" s="10"/>
      <c r="K1176" s="10"/>
      <c r="L1176" s="10"/>
      <c r="M1176" s="10"/>
      <c r="N1176" s="10"/>
      <c r="O1176" s="10"/>
      <c r="P1176" s="10"/>
      <c r="Q1176" s="10"/>
      <c r="R1176" s="10"/>
      <c r="S1176" s="10"/>
      <c r="T1176" s="10"/>
      <c r="U1176" s="529"/>
      <c r="V1176" s="529"/>
    </row>
    <row r="1177">
      <c r="A1177" s="10"/>
      <c r="B1177" s="10"/>
      <c r="C1177" s="10"/>
      <c r="D1177" s="10"/>
      <c r="E1177" s="10"/>
      <c r="F1177" s="10"/>
      <c r="G1177" s="10"/>
      <c r="H1177" s="10"/>
      <c r="I1177" s="674"/>
      <c r="J1177" s="10"/>
      <c r="K1177" s="10"/>
      <c r="L1177" s="10"/>
      <c r="M1177" s="10"/>
      <c r="N1177" s="10"/>
      <c r="O1177" s="10"/>
      <c r="P1177" s="10"/>
      <c r="Q1177" s="10"/>
      <c r="R1177" s="10"/>
      <c r="S1177" s="10"/>
      <c r="T1177" s="10"/>
      <c r="U1177" s="529"/>
      <c r="V1177" s="529"/>
    </row>
    <row r="1178">
      <c r="A1178" s="10"/>
      <c r="B1178" s="10"/>
      <c r="C1178" s="10"/>
      <c r="D1178" s="10"/>
      <c r="E1178" s="10"/>
      <c r="F1178" s="10"/>
      <c r="G1178" s="10"/>
      <c r="H1178" s="10"/>
      <c r="I1178" s="674"/>
      <c r="J1178" s="10"/>
      <c r="K1178" s="10"/>
      <c r="L1178" s="10"/>
      <c r="M1178" s="10"/>
      <c r="N1178" s="10"/>
      <c r="O1178" s="10"/>
      <c r="P1178" s="10"/>
      <c r="Q1178" s="10"/>
      <c r="R1178" s="10"/>
      <c r="S1178" s="10"/>
      <c r="T1178" s="10"/>
      <c r="U1178" s="529"/>
      <c r="V1178" s="529"/>
    </row>
    <row r="1179">
      <c r="A1179" s="10"/>
      <c r="B1179" s="10"/>
      <c r="C1179" s="10"/>
      <c r="D1179" s="10"/>
      <c r="E1179" s="10"/>
      <c r="F1179" s="10"/>
      <c r="G1179" s="10"/>
      <c r="H1179" s="10"/>
      <c r="I1179" s="674"/>
      <c r="J1179" s="10"/>
      <c r="K1179" s="10"/>
      <c r="L1179" s="10"/>
      <c r="M1179" s="10"/>
      <c r="N1179" s="10"/>
      <c r="O1179" s="10"/>
      <c r="P1179" s="10"/>
      <c r="Q1179" s="10"/>
      <c r="R1179" s="10"/>
      <c r="S1179" s="10"/>
      <c r="T1179" s="10"/>
      <c r="U1179" s="529"/>
      <c r="V1179" s="529"/>
    </row>
    <row r="1180">
      <c r="A1180" s="10"/>
      <c r="B1180" s="10"/>
      <c r="C1180" s="10"/>
      <c r="D1180" s="10"/>
      <c r="E1180" s="10"/>
      <c r="F1180" s="10"/>
      <c r="G1180" s="10"/>
      <c r="H1180" s="10"/>
      <c r="I1180" s="674"/>
      <c r="J1180" s="10"/>
      <c r="K1180" s="10"/>
      <c r="L1180" s="10"/>
      <c r="M1180" s="10"/>
      <c r="N1180" s="10"/>
      <c r="O1180" s="10"/>
      <c r="P1180" s="10"/>
      <c r="Q1180" s="10"/>
      <c r="R1180" s="10"/>
      <c r="S1180" s="10"/>
      <c r="T1180" s="10"/>
      <c r="U1180" s="529"/>
      <c r="V1180" s="529"/>
    </row>
    <row r="1181">
      <c r="A1181" s="10"/>
      <c r="B1181" s="10"/>
      <c r="C1181" s="10"/>
      <c r="D1181" s="10"/>
      <c r="E1181" s="10"/>
      <c r="F1181" s="10"/>
      <c r="G1181" s="10"/>
      <c r="H1181" s="10"/>
      <c r="I1181" s="674"/>
      <c r="J1181" s="10"/>
      <c r="K1181" s="10"/>
      <c r="L1181" s="10"/>
      <c r="M1181" s="10"/>
      <c r="N1181" s="10"/>
      <c r="O1181" s="10"/>
      <c r="P1181" s="10"/>
      <c r="Q1181" s="10"/>
      <c r="R1181" s="10"/>
      <c r="S1181" s="10"/>
      <c r="T1181" s="10"/>
      <c r="U1181" s="529"/>
      <c r="V1181" s="529"/>
    </row>
    <row r="1182">
      <c r="A1182" s="10"/>
      <c r="B1182" s="10"/>
      <c r="C1182" s="10"/>
      <c r="D1182" s="10"/>
      <c r="E1182" s="10"/>
      <c r="F1182" s="10"/>
      <c r="G1182" s="10"/>
      <c r="H1182" s="10"/>
      <c r="I1182" s="674"/>
      <c r="J1182" s="10"/>
      <c r="K1182" s="10"/>
      <c r="L1182" s="10"/>
      <c r="M1182" s="10"/>
      <c r="N1182" s="10"/>
      <c r="O1182" s="10"/>
      <c r="P1182" s="10"/>
      <c r="Q1182" s="10"/>
      <c r="R1182" s="10"/>
      <c r="S1182" s="10"/>
      <c r="T1182" s="10"/>
      <c r="U1182" s="529"/>
      <c r="V1182" s="529"/>
    </row>
    <row r="1183">
      <c r="A1183" s="10"/>
      <c r="B1183" s="10"/>
      <c r="C1183" s="10"/>
      <c r="D1183" s="10"/>
      <c r="E1183" s="10"/>
      <c r="F1183" s="10"/>
      <c r="G1183" s="10"/>
      <c r="H1183" s="10"/>
      <c r="I1183" s="674"/>
      <c r="J1183" s="10"/>
      <c r="K1183" s="10"/>
      <c r="L1183" s="10"/>
      <c r="M1183" s="10"/>
      <c r="N1183" s="10"/>
      <c r="O1183" s="10"/>
      <c r="P1183" s="10"/>
      <c r="Q1183" s="10"/>
      <c r="R1183" s="10"/>
      <c r="S1183" s="10"/>
      <c r="T1183" s="10"/>
      <c r="U1183" s="529"/>
      <c r="V1183" s="529"/>
    </row>
    <row r="1184">
      <c r="A1184" s="10"/>
      <c r="B1184" s="10"/>
      <c r="C1184" s="10"/>
      <c r="D1184" s="10"/>
      <c r="E1184" s="10"/>
      <c r="F1184" s="10"/>
      <c r="G1184" s="10"/>
      <c r="H1184" s="10"/>
      <c r="I1184" s="674"/>
      <c r="J1184" s="10"/>
      <c r="K1184" s="10"/>
      <c r="L1184" s="10"/>
      <c r="M1184" s="10"/>
      <c r="N1184" s="10"/>
      <c r="O1184" s="10"/>
      <c r="P1184" s="10"/>
      <c r="Q1184" s="10"/>
      <c r="R1184" s="10"/>
      <c r="S1184" s="10"/>
      <c r="T1184" s="10"/>
      <c r="U1184" s="529"/>
      <c r="V1184" s="529"/>
    </row>
    <row r="1185">
      <c r="A1185" s="10"/>
      <c r="B1185" s="10"/>
      <c r="C1185" s="10"/>
      <c r="D1185" s="10"/>
      <c r="E1185" s="10"/>
      <c r="F1185" s="10"/>
      <c r="G1185" s="10"/>
      <c r="H1185" s="10"/>
      <c r="I1185" s="674"/>
      <c r="J1185" s="10"/>
      <c r="K1185" s="10"/>
      <c r="L1185" s="10"/>
      <c r="M1185" s="10"/>
      <c r="N1185" s="10"/>
      <c r="O1185" s="10"/>
      <c r="P1185" s="10"/>
      <c r="Q1185" s="10"/>
      <c r="R1185" s="10"/>
      <c r="S1185" s="10"/>
      <c r="T1185" s="10"/>
      <c r="U1185" s="529"/>
      <c r="V1185" s="529"/>
    </row>
    <row r="1186">
      <c r="A1186" s="10"/>
      <c r="B1186" s="10"/>
      <c r="C1186" s="10"/>
      <c r="D1186" s="10"/>
      <c r="E1186" s="10"/>
      <c r="F1186" s="10"/>
      <c r="G1186" s="10"/>
      <c r="H1186" s="10"/>
      <c r="I1186" s="674"/>
      <c r="J1186" s="10"/>
      <c r="K1186" s="10"/>
      <c r="L1186" s="10"/>
      <c r="M1186" s="10"/>
      <c r="N1186" s="10"/>
      <c r="O1186" s="10"/>
      <c r="P1186" s="10"/>
      <c r="Q1186" s="10"/>
      <c r="R1186" s="10"/>
      <c r="S1186" s="10"/>
      <c r="T1186" s="10"/>
      <c r="U1186" s="529"/>
      <c r="V1186" s="529"/>
    </row>
    <row r="1187">
      <c r="A1187" s="10"/>
      <c r="B1187" s="10"/>
      <c r="C1187" s="10"/>
      <c r="D1187" s="10"/>
      <c r="E1187" s="10"/>
      <c r="F1187" s="10"/>
      <c r="G1187" s="10"/>
      <c r="H1187" s="10"/>
      <c r="I1187" s="674"/>
      <c r="J1187" s="10"/>
      <c r="K1187" s="10"/>
      <c r="L1187" s="10"/>
      <c r="M1187" s="10"/>
      <c r="N1187" s="10"/>
      <c r="O1187" s="10"/>
      <c r="P1187" s="10"/>
      <c r="Q1187" s="10"/>
      <c r="R1187" s="10"/>
      <c r="S1187" s="10"/>
      <c r="T1187" s="10"/>
      <c r="U1187" s="529"/>
      <c r="V1187" s="529"/>
    </row>
    <row r="1188">
      <c r="A1188" s="10"/>
      <c r="B1188" s="10"/>
      <c r="C1188" s="10"/>
      <c r="D1188" s="10"/>
      <c r="E1188" s="10"/>
      <c r="F1188" s="10"/>
      <c r="G1188" s="10"/>
      <c r="H1188" s="10"/>
      <c r="I1188" s="674"/>
      <c r="J1188" s="10"/>
      <c r="K1188" s="10"/>
      <c r="L1188" s="10"/>
      <c r="M1188" s="10"/>
      <c r="N1188" s="10"/>
      <c r="O1188" s="10"/>
      <c r="P1188" s="10"/>
      <c r="Q1188" s="10"/>
      <c r="R1188" s="10"/>
      <c r="S1188" s="10"/>
      <c r="T1188" s="10"/>
      <c r="U1188" s="529"/>
      <c r="V1188" s="529"/>
    </row>
    <row r="1189">
      <c r="A1189" s="10"/>
      <c r="B1189" s="10"/>
      <c r="C1189" s="10"/>
      <c r="D1189" s="10"/>
      <c r="E1189" s="10"/>
      <c r="F1189" s="10"/>
      <c r="G1189" s="10"/>
      <c r="H1189" s="10"/>
      <c r="I1189" s="674"/>
      <c r="J1189" s="10"/>
      <c r="K1189" s="10"/>
      <c r="L1189" s="10"/>
      <c r="M1189" s="10"/>
      <c r="N1189" s="10"/>
      <c r="O1189" s="10"/>
      <c r="P1189" s="10"/>
      <c r="Q1189" s="10"/>
      <c r="R1189" s="10"/>
      <c r="S1189" s="10"/>
      <c r="T1189" s="10"/>
      <c r="U1189" s="529"/>
      <c r="V1189" s="529"/>
    </row>
    <row r="1190">
      <c r="A1190" s="10"/>
      <c r="B1190" s="10"/>
      <c r="C1190" s="10"/>
      <c r="D1190" s="10"/>
      <c r="E1190" s="10"/>
      <c r="F1190" s="10"/>
      <c r="G1190" s="10"/>
      <c r="H1190" s="10"/>
      <c r="I1190" s="674"/>
      <c r="J1190" s="10"/>
      <c r="K1190" s="10"/>
      <c r="L1190" s="10"/>
      <c r="M1190" s="10"/>
      <c r="N1190" s="10"/>
      <c r="O1190" s="10"/>
      <c r="P1190" s="10"/>
      <c r="Q1190" s="10"/>
      <c r="R1190" s="10"/>
      <c r="S1190" s="10"/>
      <c r="T1190" s="10"/>
      <c r="U1190" s="529"/>
      <c r="V1190" s="529"/>
    </row>
    <row r="1191">
      <c r="A1191" s="10"/>
      <c r="B1191" s="10"/>
      <c r="C1191" s="10"/>
      <c r="D1191" s="10"/>
      <c r="E1191" s="10"/>
      <c r="F1191" s="10"/>
      <c r="G1191" s="10"/>
      <c r="H1191" s="10"/>
      <c r="I1191" s="674"/>
      <c r="J1191" s="10"/>
      <c r="K1191" s="10"/>
      <c r="L1191" s="10"/>
      <c r="M1191" s="10"/>
      <c r="N1191" s="10"/>
      <c r="O1191" s="10"/>
      <c r="P1191" s="10"/>
      <c r="Q1191" s="10"/>
      <c r="R1191" s="10"/>
      <c r="S1191" s="10"/>
      <c r="T1191" s="10"/>
      <c r="U1191" s="529"/>
      <c r="V1191" s="529"/>
    </row>
    <row r="1192">
      <c r="A1192" s="10"/>
      <c r="B1192" s="10"/>
      <c r="C1192" s="10"/>
      <c r="D1192" s="10"/>
      <c r="E1192" s="10"/>
      <c r="F1192" s="10"/>
      <c r="G1192" s="10"/>
      <c r="H1192" s="10"/>
      <c r="I1192" s="674"/>
      <c r="J1192" s="10"/>
      <c r="K1192" s="10"/>
      <c r="L1192" s="10"/>
      <c r="M1192" s="10"/>
      <c r="N1192" s="10"/>
      <c r="O1192" s="10"/>
      <c r="P1192" s="10"/>
      <c r="Q1192" s="10"/>
      <c r="R1192" s="10"/>
      <c r="S1192" s="10"/>
      <c r="T1192" s="10"/>
      <c r="U1192" s="529"/>
      <c r="V1192" s="529"/>
    </row>
    <row r="1193">
      <c r="A1193" s="10"/>
      <c r="B1193" s="10"/>
      <c r="C1193" s="10"/>
      <c r="D1193" s="10"/>
      <c r="E1193" s="10"/>
      <c r="F1193" s="10"/>
      <c r="G1193" s="10"/>
      <c r="H1193" s="10"/>
      <c r="I1193" s="674"/>
      <c r="J1193" s="10"/>
      <c r="K1193" s="10"/>
      <c r="L1193" s="10"/>
      <c r="M1193" s="10"/>
      <c r="N1193" s="10"/>
      <c r="O1193" s="10"/>
      <c r="P1193" s="10"/>
      <c r="Q1193" s="10"/>
      <c r="R1193" s="10"/>
      <c r="S1193" s="10"/>
      <c r="T1193" s="10"/>
      <c r="U1193" s="529"/>
      <c r="V1193" s="529"/>
    </row>
    <row r="1194">
      <c r="A1194" s="10"/>
      <c r="B1194" s="10"/>
      <c r="C1194" s="10"/>
      <c r="D1194" s="10"/>
      <c r="E1194" s="10"/>
      <c r="F1194" s="10"/>
      <c r="G1194" s="10"/>
      <c r="H1194" s="10"/>
      <c r="I1194" s="674"/>
      <c r="J1194" s="10"/>
      <c r="K1194" s="10"/>
      <c r="L1194" s="10"/>
      <c r="M1194" s="10"/>
      <c r="N1194" s="10"/>
      <c r="O1194" s="10"/>
      <c r="P1194" s="10"/>
      <c r="Q1194" s="10"/>
      <c r="R1194" s="10"/>
      <c r="S1194" s="10"/>
      <c r="T1194" s="10"/>
      <c r="U1194" s="529"/>
      <c r="V1194" s="529"/>
    </row>
    <row r="1195">
      <c r="A1195" s="10"/>
      <c r="B1195" s="10"/>
      <c r="C1195" s="10"/>
      <c r="D1195" s="10"/>
      <c r="E1195" s="10"/>
      <c r="F1195" s="10"/>
      <c r="G1195" s="10"/>
      <c r="H1195" s="10"/>
      <c r="I1195" s="674"/>
      <c r="J1195" s="10"/>
      <c r="K1195" s="10"/>
      <c r="L1195" s="10"/>
      <c r="M1195" s="10"/>
      <c r="N1195" s="10"/>
      <c r="O1195" s="10"/>
      <c r="P1195" s="10"/>
      <c r="Q1195" s="10"/>
      <c r="R1195" s="10"/>
      <c r="S1195" s="10"/>
      <c r="T1195" s="10"/>
      <c r="U1195" s="529"/>
      <c r="V1195" s="529"/>
    </row>
    <row r="1196">
      <c r="A1196" s="10"/>
      <c r="B1196" s="10"/>
      <c r="C1196" s="10"/>
      <c r="D1196" s="10"/>
      <c r="E1196" s="10"/>
      <c r="F1196" s="10"/>
      <c r="G1196" s="10"/>
      <c r="H1196" s="10"/>
      <c r="I1196" s="674"/>
      <c r="J1196" s="10"/>
      <c r="K1196" s="10"/>
      <c r="L1196" s="10"/>
      <c r="M1196" s="10"/>
      <c r="N1196" s="10"/>
      <c r="O1196" s="10"/>
      <c r="P1196" s="10"/>
      <c r="Q1196" s="10"/>
      <c r="R1196" s="10"/>
      <c r="S1196" s="10"/>
      <c r="T1196" s="10"/>
      <c r="U1196" s="529"/>
      <c r="V1196" s="529"/>
    </row>
    <row r="1197">
      <c r="A1197" s="10"/>
      <c r="B1197" s="10"/>
      <c r="C1197" s="10"/>
      <c r="D1197" s="10"/>
      <c r="E1197" s="10"/>
      <c r="F1197" s="10"/>
      <c r="G1197" s="10"/>
      <c r="H1197" s="10"/>
      <c r="I1197" s="674"/>
      <c r="J1197" s="10"/>
      <c r="K1197" s="10"/>
      <c r="L1197" s="10"/>
      <c r="M1197" s="10"/>
      <c r="N1197" s="10"/>
      <c r="O1197" s="10"/>
      <c r="P1197" s="10"/>
      <c r="Q1197" s="10"/>
      <c r="R1197" s="10"/>
      <c r="S1197" s="10"/>
      <c r="T1197" s="10"/>
      <c r="U1197" s="529"/>
      <c r="V1197" s="529"/>
    </row>
    <row r="1198">
      <c r="A1198" s="10"/>
      <c r="B1198" s="10"/>
      <c r="C1198" s="10"/>
      <c r="D1198" s="10"/>
      <c r="E1198" s="10"/>
      <c r="F1198" s="10"/>
      <c r="G1198" s="10"/>
      <c r="H1198" s="10"/>
      <c r="I1198" s="674"/>
      <c r="J1198" s="10"/>
      <c r="K1198" s="10"/>
      <c r="L1198" s="10"/>
      <c r="M1198" s="10"/>
      <c r="N1198" s="10"/>
      <c r="O1198" s="10"/>
      <c r="P1198" s="10"/>
      <c r="Q1198" s="10"/>
      <c r="R1198" s="10"/>
      <c r="S1198" s="10"/>
      <c r="T1198" s="10"/>
      <c r="U1198" s="529"/>
      <c r="V1198" s="529"/>
    </row>
    <row r="1199">
      <c r="A1199" s="10"/>
      <c r="B1199" s="10"/>
      <c r="C1199" s="10"/>
      <c r="D1199" s="10"/>
      <c r="E1199" s="10"/>
      <c r="F1199" s="10"/>
      <c r="G1199" s="10"/>
      <c r="H1199" s="10"/>
      <c r="I1199" s="674"/>
      <c r="J1199" s="10"/>
      <c r="K1199" s="10"/>
      <c r="L1199" s="10"/>
      <c r="M1199" s="10"/>
      <c r="N1199" s="10"/>
      <c r="O1199" s="10"/>
      <c r="P1199" s="10"/>
      <c r="Q1199" s="10"/>
      <c r="R1199" s="10"/>
      <c r="S1199" s="10"/>
      <c r="T1199" s="10"/>
      <c r="U1199" s="529"/>
      <c r="V1199" s="529"/>
    </row>
    <row r="1200">
      <c r="A1200" s="10"/>
      <c r="B1200" s="10"/>
      <c r="C1200" s="10"/>
      <c r="D1200" s="10"/>
      <c r="E1200" s="10"/>
      <c r="F1200" s="10"/>
      <c r="G1200" s="10"/>
      <c r="H1200" s="10"/>
      <c r="I1200" s="674"/>
      <c r="J1200" s="10"/>
      <c r="K1200" s="10"/>
      <c r="L1200" s="10"/>
      <c r="M1200" s="10"/>
      <c r="N1200" s="10"/>
      <c r="O1200" s="10"/>
      <c r="P1200" s="10"/>
      <c r="Q1200" s="10"/>
      <c r="R1200" s="10"/>
      <c r="S1200" s="10"/>
      <c r="T1200" s="10"/>
      <c r="U1200" s="529"/>
      <c r="V1200" s="529"/>
    </row>
    <row r="1201">
      <c r="A1201" s="10"/>
      <c r="B1201" s="10"/>
      <c r="C1201" s="10"/>
      <c r="D1201" s="10"/>
      <c r="E1201" s="10"/>
      <c r="F1201" s="10"/>
      <c r="G1201" s="10"/>
      <c r="H1201" s="10"/>
      <c r="I1201" s="674"/>
      <c r="J1201" s="10"/>
      <c r="K1201" s="10"/>
      <c r="L1201" s="10"/>
      <c r="M1201" s="10"/>
      <c r="N1201" s="10"/>
      <c r="O1201" s="10"/>
      <c r="P1201" s="10"/>
      <c r="Q1201" s="10"/>
      <c r="R1201" s="10"/>
      <c r="S1201" s="10"/>
      <c r="T1201" s="10"/>
      <c r="U1201" s="529"/>
      <c r="V1201" s="529"/>
    </row>
    <row r="1202">
      <c r="A1202" s="10"/>
      <c r="B1202" s="10"/>
      <c r="C1202" s="10"/>
      <c r="D1202" s="10"/>
      <c r="E1202" s="10"/>
      <c r="F1202" s="10"/>
      <c r="G1202" s="10"/>
      <c r="H1202" s="10"/>
      <c r="I1202" s="674"/>
      <c r="J1202" s="10"/>
      <c r="K1202" s="10"/>
      <c r="L1202" s="10"/>
      <c r="M1202" s="10"/>
      <c r="N1202" s="10"/>
      <c r="O1202" s="10"/>
      <c r="P1202" s="10"/>
      <c r="Q1202" s="10"/>
      <c r="R1202" s="10"/>
      <c r="S1202" s="10"/>
      <c r="T1202" s="10"/>
      <c r="U1202" s="529"/>
      <c r="V1202" s="529"/>
    </row>
    <row r="1203">
      <c r="A1203" s="10"/>
      <c r="B1203" s="10"/>
      <c r="C1203" s="10"/>
      <c r="D1203" s="10"/>
      <c r="E1203" s="10"/>
      <c r="F1203" s="10"/>
      <c r="G1203" s="10"/>
      <c r="H1203" s="10"/>
      <c r="I1203" s="674"/>
      <c r="J1203" s="10"/>
      <c r="K1203" s="10"/>
      <c r="L1203" s="10"/>
      <c r="M1203" s="10"/>
      <c r="N1203" s="10"/>
      <c r="O1203" s="10"/>
      <c r="P1203" s="10"/>
      <c r="Q1203" s="10"/>
      <c r="R1203" s="10"/>
      <c r="S1203" s="10"/>
      <c r="T1203" s="10"/>
      <c r="U1203" s="529"/>
      <c r="V1203" s="529"/>
    </row>
    <row r="1204">
      <c r="A1204" s="10"/>
      <c r="B1204" s="10"/>
      <c r="C1204" s="10"/>
      <c r="D1204" s="10"/>
      <c r="E1204" s="10"/>
      <c r="F1204" s="10"/>
      <c r="G1204" s="10"/>
      <c r="H1204" s="10"/>
      <c r="I1204" s="674"/>
      <c r="J1204" s="10"/>
      <c r="K1204" s="10"/>
      <c r="L1204" s="10"/>
      <c r="M1204" s="10"/>
      <c r="N1204" s="10"/>
      <c r="O1204" s="10"/>
      <c r="P1204" s="10"/>
      <c r="Q1204" s="10"/>
      <c r="R1204" s="10"/>
      <c r="S1204" s="10"/>
      <c r="T1204" s="10"/>
      <c r="U1204" s="529"/>
      <c r="V1204" s="529"/>
    </row>
    <row r="1205">
      <c r="A1205" s="10"/>
      <c r="B1205" s="10"/>
      <c r="C1205" s="10"/>
      <c r="D1205" s="10"/>
      <c r="E1205" s="10"/>
      <c r="F1205" s="10"/>
      <c r="G1205" s="10"/>
      <c r="H1205" s="10"/>
      <c r="I1205" s="674"/>
      <c r="J1205" s="10"/>
      <c r="K1205" s="10"/>
      <c r="L1205" s="10"/>
      <c r="M1205" s="10"/>
      <c r="N1205" s="10"/>
      <c r="O1205" s="10"/>
      <c r="P1205" s="10"/>
      <c r="Q1205" s="10"/>
      <c r="R1205" s="10"/>
      <c r="S1205" s="10"/>
      <c r="T1205" s="10"/>
      <c r="U1205" s="529"/>
      <c r="V1205" s="529"/>
    </row>
    <row r="1206">
      <c r="A1206" s="10"/>
      <c r="B1206" s="10"/>
      <c r="C1206" s="10"/>
      <c r="D1206" s="10"/>
      <c r="E1206" s="10"/>
      <c r="F1206" s="10"/>
      <c r="G1206" s="10"/>
      <c r="H1206" s="10"/>
      <c r="I1206" s="674"/>
      <c r="J1206" s="10"/>
      <c r="K1206" s="10"/>
      <c r="L1206" s="10"/>
      <c r="M1206" s="10"/>
      <c r="N1206" s="10"/>
      <c r="O1206" s="10"/>
      <c r="P1206" s="10"/>
      <c r="Q1206" s="10"/>
      <c r="R1206" s="10"/>
      <c r="S1206" s="10"/>
      <c r="T1206" s="10"/>
      <c r="U1206" s="529"/>
      <c r="V1206" s="529"/>
    </row>
    <row r="1207">
      <c r="A1207" s="10"/>
      <c r="B1207" s="10"/>
      <c r="C1207" s="10"/>
      <c r="D1207" s="10"/>
      <c r="E1207" s="10"/>
      <c r="F1207" s="10"/>
      <c r="G1207" s="10"/>
      <c r="H1207" s="10"/>
      <c r="I1207" s="674"/>
      <c r="J1207" s="10"/>
      <c r="K1207" s="10"/>
      <c r="L1207" s="10"/>
      <c r="M1207" s="10"/>
      <c r="N1207" s="10"/>
      <c r="O1207" s="10"/>
      <c r="P1207" s="10"/>
      <c r="Q1207" s="10"/>
      <c r="R1207" s="10"/>
      <c r="S1207" s="10"/>
      <c r="T1207" s="10"/>
      <c r="U1207" s="529"/>
      <c r="V1207" s="529"/>
    </row>
    <row r="1208">
      <c r="A1208" s="10"/>
      <c r="B1208" s="10"/>
      <c r="C1208" s="10"/>
      <c r="D1208" s="10"/>
      <c r="E1208" s="10"/>
      <c r="F1208" s="10"/>
      <c r="G1208" s="10"/>
      <c r="H1208" s="10"/>
      <c r="I1208" s="674"/>
      <c r="J1208" s="10"/>
      <c r="K1208" s="10"/>
      <c r="L1208" s="10"/>
      <c r="M1208" s="10"/>
      <c r="N1208" s="10"/>
      <c r="O1208" s="10"/>
      <c r="P1208" s="10"/>
      <c r="Q1208" s="10"/>
      <c r="R1208" s="10"/>
      <c r="S1208" s="10"/>
      <c r="T1208" s="10"/>
      <c r="U1208" s="529"/>
      <c r="V1208" s="529"/>
    </row>
    <row r="1209">
      <c r="A1209" s="10"/>
      <c r="B1209" s="10"/>
      <c r="C1209" s="10"/>
      <c r="D1209" s="10"/>
      <c r="E1209" s="10"/>
      <c r="F1209" s="10"/>
      <c r="G1209" s="10"/>
      <c r="H1209" s="10"/>
      <c r="I1209" s="674"/>
      <c r="J1209" s="10"/>
      <c r="K1209" s="10"/>
      <c r="L1209" s="10"/>
      <c r="M1209" s="10"/>
      <c r="N1209" s="10"/>
      <c r="O1209" s="10"/>
      <c r="P1209" s="10"/>
      <c r="Q1209" s="10"/>
      <c r="R1209" s="10"/>
      <c r="S1209" s="10"/>
      <c r="T1209" s="10"/>
      <c r="U1209" s="529"/>
      <c r="V1209" s="529"/>
    </row>
    <row r="1210">
      <c r="A1210" s="10"/>
      <c r="B1210" s="10"/>
      <c r="C1210" s="10"/>
      <c r="D1210" s="10"/>
      <c r="E1210" s="10"/>
      <c r="F1210" s="10"/>
      <c r="G1210" s="10"/>
      <c r="H1210" s="10"/>
      <c r="I1210" s="674"/>
      <c r="J1210" s="10"/>
      <c r="K1210" s="10"/>
      <c r="L1210" s="10"/>
      <c r="M1210" s="10"/>
      <c r="N1210" s="10"/>
      <c r="O1210" s="10"/>
      <c r="P1210" s="10"/>
      <c r="Q1210" s="10"/>
      <c r="R1210" s="10"/>
      <c r="S1210" s="10"/>
      <c r="T1210" s="10"/>
      <c r="U1210" s="529"/>
      <c r="V1210" s="529"/>
    </row>
    <row r="1211">
      <c r="A1211" s="10"/>
      <c r="B1211" s="10"/>
      <c r="C1211" s="10"/>
      <c r="D1211" s="10"/>
      <c r="E1211" s="10"/>
      <c r="F1211" s="10"/>
      <c r="G1211" s="10"/>
      <c r="H1211" s="10"/>
      <c r="I1211" s="674"/>
      <c r="J1211" s="10"/>
      <c r="K1211" s="10"/>
      <c r="L1211" s="10"/>
      <c r="M1211" s="10"/>
      <c r="N1211" s="10"/>
      <c r="O1211" s="10"/>
      <c r="P1211" s="10"/>
      <c r="Q1211" s="10"/>
      <c r="R1211" s="10"/>
      <c r="S1211" s="10"/>
      <c r="T1211" s="10"/>
      <c r="U1211" s="529"/>
      <c r="V1211" s="529"/>
    </row>
    <row r="1212">
      <c r="A1212" s="10"/>
      <c r="B1212" s="10"/>
      <c r="C1212" s="10"/>
      <c r="D1212" s="10"/>
      <c r="E1212" s="10"/>
      <c r="F1212" s="10"/>
      <c r="G1212" s="10"/>
      <c r="H1212" s="10"/>
      <c r="I1212" s="674"/>
      <c r="J1212" s="10"/>
      <c r="K1212" s="10"/>
      <c r="L1212" s="10"/>
      <c r="M1212" s="10"/>
      <c r="N1212" s="10"/>
      <c r="O1212" s="10"/>
      <c r="P1212" s="10"/>
      <c r="Q1212" s="10"/>
      <c r="R1212" s="10"/>
      <c r="S1212" s="10"/>
      <c r="T1212" s="10"/>
      <c r="U1212" s="529"/>
      <c r="V1212" s="529"/>
    </row>
    <row r="1213">
      <c r="A1213" s="10"/>
      <c r="B1213" s="10"/>
      <c r="C1213" s="10"/>
      <c r="D1213" s="10"/>
      <c r="E1213" s="10"/>
      <c r="F1213" s="10"/>
      <c r="G1213" s="10"/>
      <c r="H1213" s="10"/>
      <c r="I1213" s="674"/>
      <c r="J1213" s="10"/>
      <c r="K1213" s="10"/>
      <c r="L1213" s="10"/>
      <c r="M1213" s="10"/>
      <c r="N1213" s="10"/>
      <c r="O1213" s="10"/>
      <c r="P1213" s="10"/>
      <c r="Q1213" s="10"/>
      <c r="R1213" s="10"/>
      <c r="S1213" s="10"/>
      <c r="T1213" s="10"/>
      <c r="U1213" s="529"/>
      <c r="V1213" s="529"/>
    </row>
    <row r="1214">
      <c r="A1214" s="10"/>
      <c r="B1214" s="10"/>
      <c r="C1214" s="10"/>
      <c r="D1214" s="10"/>
      <c r="E1214" s="10"/>
      <c r="F1214" s="10"/>
      <c r="G1214" s="10"/>
      <c r="H1214" s="10"/>
      <c r="I1214" s="674"/>
      <c r="J1214" s="10"/>
      <c r="K1214" s="10"/>
      <c r="L1214" s="10"/>
      <c r="M1214" s="10"/>
      <c r="N1214" s="10"/>
      <c r="O1214" s="10"/>
      <c r="P1214" s="10"/>
      <c r="Q1214" s="10"/>
      <c r="R1214" s="10"/>
      <c r="S1214" s="10"/>
      <c r="T1214" s="10"/>
      <c r="U1214" s="529"/>
      <c r="V1214" s="529"/>
    </row>
    <row r="1215">
      <c r="A1215" s="10"/>
      <c r="B1215" s="10"/>
      <c r="C1215" s="10"/>
      <c r="D1215" s="10"/>
      <c r="E1215" s="10"/>
      <c r="F1215" s="10"/>
      <c r="G1215" s="10"/>
      <c r="H1215" s="10"/>
      <c r="I1215" s="674"/>
      <c r="J1215" s="10"/>
      <c r="K1215" s="10"/>
      <c r="L1215" s="10"/>
      <c r="M1215" s="10"/>
      <c r="N1215" s="10"/>
      <c r="O1215" s="10"/>
      <c r="P1215" s="10"/>
      <c r="Q1215" s="10"/>
      <c r="R1215" s="10"/>
      <c r="S1215" s="10"/>
      <c r="T1215" s="10"/>
      <c r="U1215" s="529"/>
      <c r="V1215" s="529"/>
    </row>
    <row r="1216">
      <c r="A1216" s="10"/>
      <c r="B1216" s="10"/>
      <c r="C1216" s="10"/>
      <c r="D1216" s="10"/>
      <c r="E1216" s="10"/>
      <c r="F1216" s="10"/>
      <c r="G1216" s="10"/>
      <c r="H1216" s="10"/>
      <c r="I1216" s="674"/>
      <c r="J1216" s="10"/>
      <c r="K1216" s="10"/>
      <c r="L1216" s="10"/>
      <c r="M1216" s="10"/>
      <c r="N1216" s="10"/>
      <c r="O1216" s="10"/>
      <c r="P1216" s="10"/>
      <c r="Q1216" s="10"/>
      <c r="R1216" s="10"/>
      <c r="S1216" s="10"/>
      <c r="T1216" s="10"/>
      <c r="U1216" s="529"/>
      <c r="V1216" s="529"/>
    </row>
    <row r="1217">
      <c r="A1217" s="10"/>
      <c r="B1217" s="10"/>
      <c r="C1217" s="10"/>
      <c r="D1217" s="10"/>
      <c r="E1217" s="10"/>
      <c r="F1217" s="10"/>
      <c r="G1217" s="10"/>
      <c r="H1217" s="10"/>
      <c r="I1217" s="674"/>
      <c r="J1217" s="10"/>
      <c r="K1217" s="10"/>
      <c r="L1217" s="10"/>
      <c r="M1217" s="10"/>
      <c r="N1217" s="10"/>
      <c r="O1217" s="10"/>
      <c r="P1217" s="10"/>
      <c r="Q1217" s="10"/>
      <c r="R1217" s="10"/>
      <c r="S1217" s="10"/>
      <c r="T1217" s="10"/>
      <c r="U1217" s="529"/>
      <c r="V1217" s="529"/>
    </row>
    <row r="1218">
      <c r="A1218" s="10"/>
      <c r="B1218" s="10"/>
      <c r="C1218" s="10"/>
      <c r="D1218" s="10"/>
      <c r="E1218" s="10"/>
      <c r="F1218" s="10"/>
      <c r="G1218" s="10"/>
      <c r="H1218" s="10"/>
      <c r="I1218" s="674"/>
      <c r="J1218" s="10"/>
      <c r="K1218" s="10"/>
      <c r="L1218" s="10"/>
      <c r="M1218" s="10"/>
      <c r="N1218" s="10"/>
      <c r="O1218" s="10"/>
      <c r="P1218" s="10"/>
      <c r="Q1218" s="10"/>
      <c r="R1218" s="10"/>
      <c r="S1218" s="10"/>
      <c r="T1218" s="10"/>
      <c r="U1218" s="529"/>
      <c r="V1218" s="529"/>
    </row>
    <row r="1219">
      <c r="A1219" s="10"/>
      <c r="B1219" s="10"/>
      <c r="C1219" s="10"/>
      <c r="D1219" s="10"/>
      <c r="E1219" s="10"/>
      <c r="F1219" s="10"/>
      <c r="G1219" s="10"/>
      <c r="H1219" s="10"/>
      <c r="I1219" s="674"/>
      <c r="J1219" s="10"/>
      <c r="K1219" s="10"/>
      <c r="L1219" s="10"/>
      <c r="M1219" s="10"/>
      <c r="N1219" s="10"/>
      <c r="O1219" s="10"/>
      <c r="P1219" s="10"/>
      <c r="Q1219" s="10"/>
      <c r="R1219" s="10"/>
      <c r="S1219" s="10"/>
      <c r="T1219" s="10"/>
      <c r="U1219" s="529"/>
      <c r="V1219" s="529"/>
    </row>
    <row r="1220">
      <c r="A1220" s="10"/>
      <c r="B1220" s="10"/>
      <c r="C1220" s="10"/>
      <c r="D1220" s="10"/>
      <c r="E1220" s="10"/>
      <c r="F1220" s="10"/>
      <c r="G1220" s="10"/>
      <c r="H1220" s="10"/>
      <c r="I1220" s="674"/>
      <c r="J1220" s="10"/>
      <c r="K1220" s="10"/>
      <c r="L1220" s="10"/>
      <c r="M1220" s="10"/>
      <c r="N1220" s="10"/>
      <c r="O1220" s="10"/>
      <c r="P1220" s="10"/>
      <c r="Q1220" s="10"/>
      <c r="R1220" s="10"/>
      <c r="S1220" s="10"/>
      <c r="T1220" s="10"/>
      <c r="U1220" s="529"/>
      <c r="V1220" s="529"/>
    </row>
    <row r="1221">
      <c r="A1221" s="10"/>
      <c r="B1221" s="10"/>
      <c r="C1221" s="10"/>
      <c r="D1221" s="10"/>
      <c r="E1221" s="10"/>
      <c r="F1221" s="10"/>
      <c r="G1221" s="10"/>
      <c r="H1221" s="10"/>
      <c r="I1221" s="674"/>
      <c r="J1221" s="10"/>
      <c r="K1221" s="10"/>
      <c r="L1221" s="10"/>
      <c r="M1221" s="10"/>
      <c r="N1221" s="10"/>
      <c r="O1221" s="10"/>
      <c r="P1221" s="10"/>
      <c r="Q1221" s="10"/>
      <c r="R1221" s="10"/>
      <c r="S1221" s="10"/>
      <c r="T1221" s="10"/>
      <c r="U1221" s="529"/>
      <c r="V1221" s="529"/>
    </row>
    <row r="1222">
      <c r="A1222" s="10"/>
      <c r="B1222" s="10"/>
      <c r="C1222" s="10"/>
      <c r="D1222" s="10"/>
      <c r="E1222" s="10"/>
      <c r="F1222" s="10"/>
      <c r="G1222" s="10"/>
      <c r="H1222" s="10"/>
      <c r="I1222" s="674"/>
      <c r="J1222" s="10"/>
      <c r="K1222" s="10"/>
      <c r="L1222" s="10"/>
      <c r="M1222" s="10"/>
      <c r="N1222" s="10"/>
      <c r="O1222" s="10"/>
      <c r="P1222" s="10"/>
      <c r="Q1222" s="10"/>
      <c r="R1222" s="10"/>
      <c r="S1222" s="10"/>
      <c r="T1222" s="10"/>
      <c r="U1222" s="529"/>
      <c r="V1222" s="529"/>
    </row>
    <row r="1223">
      <c r="A1223" s="10"/>
      <c r="B1223" s="10"/>
      <c r="C1223" s="10"/>
      <c r="D1223" s="10"/>
      <c r="E1223" s="10"/>
      <c r="F1223" s="10"/>
      <c r="G1223" s="10"/>
      <c r="H1223" s="10"/>
      <c r="I1223" s="674"/>
      <c r="J1223" s="10"/>
      <c r="K1223" s="10"/>
      <c r="L1223" s="10"/>
      <c r="M1223" s="10"/>
      <c r="N1223" s="10"/>
      <c r="O1223" s="10"/>
      <c r="P1223" s="10"/>
      <c r="Q1223" s="10"/>
      <c r="R1223" s="10"/>
      <c r="S1223" s="10"/>
      <c r="T1223" s="10"/>
      <c r="U1223" s="529"/>
      <c r="V1223" s="529"/>
    </row>
    <row r="1224">
      <c r="A1224" s="10"/>
      <c r="B1224" s="10"/>
      <c r="C1224" s="10"/>
      <c r="D1224" s="10"/>
      <c r="E1224" s="10"/>
      <c r="F1224" s="10"/>
      <c r="G1224" s="10"/>
      <c r="H1224" s="10"/>
      <c r="I1224" s="674"/>
      <c r="J1224" s="10"/>
      <c r="K1224" s="10"/>
      <c r="L1224" s="10"/>
      <c r="M1224" s="10"/>
      <c r="N1224" s="10"/>
      <c r="O1224" s="10"/>
      <c r="P1224" s="10"/>
      <c r="Q1224" s="10"/>
      <c r="R1224" s="10"/>
      <c r="S1224" s="10"/>
      <c r="T1224" s="10"/>
      <c r="U1224" s="529"/>
      <c r="V1224" s="529"/>
    </row>
    <row r="1225">
      <c r="A1225" s="10"/>
      <c r="B1225" s="10"/>
      <c r="C1225" s="10"/>
      <c r="D1225" s="10"/>
      <c r="E1225" s="10"/>
      <c r="F1225" s="10"/>
      <c r="G1225" s="10"/>
      <c r="H1225" s="10"/>
      <c r="I1225" s="674"/>
      <c r="J1225" s="10"/>
      <c r="K1225" s="10"/>
      <c r="L1225" s="10"/>
      <c r="M1225" s="10"/>
      <c r="N1225" s="10"/>
      <c r="O1225" s="10"/>
      <c r="P1225" s="10"/>
      <c r="Q1225" s="10"/>
      <c r="R1225" s="10"/>
      <c r="S1225" s="10"/>
      <c r="T1225" s="10"/>
      <c r="U1225" s="529"/>
      <c r="V1225" s="529"/>
    </row>
    <row r="1226">
      <c r="A1226" s="10"/>
      <c r="B1226" s="10"/>
      <c r="C1226" s="10"/>
      <c r="D1226" s="10"/>
      <c r="E1226" s="10"/>
      <c r="F1226" s="10"/>
      <c r="G1226" s="10"/>
      <c r="H1226" s="10"/>
      <c r="I1226" s="674"/>
      <c r="J1226" s="10"/>
      <c r="K1226" s="10"/>
      <c r="L1226" s="10"/>
      <c r="M1226" s="10"/>
      <c r="N1226" s="10"/>
      <c r="O1226" s="10"/>
      <c r="P1226" s="10"/>
      <c r="Q1226" s="10"/>
      <c r="R1226" s="10"/>
      <c r="S1226" s="10"/>
      <c r="T1226" s="10"/>
      <c r="U1226" s="529"/>
      <c r="V1226" s="529"/>
    </row>
    <row r="1227">
      <c r="A1227" s="10"/>
      <c r="B1227" s="10"/>
      <c r="C1227" s="10"/>
      <c r="D1227" s="10"/>
      <c r="E1227" s="10"/>
      <c r="F1227" s="10"/>
      <c r="G1227" s="10"/>
      <c r="H1227" s="10"/>
      <c r="I1227" s="674"/>
      <c r="J1227" s="10"/>
      <c r="K1227" s="10"/>
      <c r="L1227" s="10"/>
      <c r="M1227" s="10"/>
      <c r="N1227" s="10"/>
      <c r="O1227" s="10"/>
      <c r="P1227" s="10"/>
      <c r="Q1227" s="10"/>
      <c r="R1227" s="10"/>
      <c r="S1227" s="10"/>
      <c r="T1227" s="10"/>
      <c r="U1227" s="529"/>
      <c r="V1227" s="529"/>
    </row>
    <row r="1228">
      <c r="A1228" s="10"/>
      <c r="B1228" s="10"/>
      <c r="C1228" s="10"/>
      <c r="D1228" s="10"/>
      <c r="E1228" s="10"/>
      <c r="F1228" s="10"/>
      <c r="G1228" s="10"/>
      <c r="H1228" s="10"/>
      <c r="I1228" s="674"/>
      <c r="J1228" s="10"/>
      <c r="K1228" s="10"/>
      <c r="L1228" s="10"/>
      <c r="M1228" s="10"/>
      <c r="N1228" s="10"/>
      <c r="O1228" s="10"/>
      <c r="P1228" s="10"/>
      <c r="Q1228" s="10"/>
      <c r="R1228" s="10"/>
      <c r="S1228" s="10"/>
      <c r="T1228" s="10"/>
      <c r="U1228" s="529"/>
      <c r="V1228" s="529"/>
    </row>
    <row r="1229">
      <c r="A1229" s="10"/>
      <c r="B1229" s="10"/>
      <c r="C1229" s="10"/>
      <c r="D1229" s="10"/>
      <c r="E1229" s="10"/>
      <c r="F1229" s="10"/>
      <c r="G1229" s="10"/>
      <c r="H1229" s="10"/>
      <c r="I1229" s="674"/>
      <c r="J1229" s="10"/>
      <c r="K1229" s="10"/>
      <c r="L1229" s="10"/>
      <c r="M1229" s="10"/>
      <c r="N1229" s="10"/>
      <c r="O1229" s="10"/>
      <c r="P1229" s="10"/>
      <c r="Q1229" s="10"/>
      <c r="R1229" s="10"/>
      <c r="S1229" s="10"/>
      <c r="T1229" s="10"/>
      <c r="U1229" s="529"/>
      <c r="V1229" s="529"/>
    </row>
    <row r="1230">
      <c r="A1230" s="10"/>
      <c r="B1230" s="10"/>
      <c r="C1230" s="10"/>
      <c r="D1230" s="10"/>
      <c r="E1230" s="10"/>
      <c r="F1230" s="10"/>
      <c r="G1230" s="10"/>
      <c r="H1230" s="10"/>
      <c r="I1230" s="674"/>
      <c r="J1230" s="10"/>
      <c r="K1230" s="10"/>
      <c r="L1230" s="10"/>
      <c r="M1230" s="10"/>
      <c r="N1230" s="10"/>
      <c r="O1230" s="10"/>
      <c r="P1230" s="10"/>
      <c r="Q1230" s="10"/>
      <c r="R1230" s="10"/>
      <c r="S1230" s="10"/>
      <c r="T1230" s="10"/>
      <c r="U1230" s="529"/>
      <c r="V1230" s="529"/>
    </row>
    <row r="1231">
      <c r="A1231" s="10"/>
      <c r="B1231" s="10"/>
      <c r="C1231" s="10"/>
      <c r="D1231" s="10"/>
      <c r="E1231" s="10"/>
      <c r="F1231" s="10"/>
      <c r="G1231" s="10"/>
      <c r="H1231" s="10"/>
      <c r="I1231" s="674"/>
      <c r="J1231" s="10"/>
      <c r="K1231" s="10"/>
      <c r="L1231" s="10"/>
      <c r="M1231" s="10"/>
      <c r="N1231" s="10"/>
      <c r="O1231" s="10"/>
      <c r="P1231" s="10"/>
      <c r="Q1231" s="10"/>
      <c r="R1231" s="10"/>
      <c r="S1231" s="10"/>
      <c r="T1231" s="10"/>
      <c r="U1231" s="529"/>
      <c r="V1231" s="529"/>
    </row>
    <row r="1232">
      <c r="A1232" s="10"/>
      <c r="B1232" s="10"/>
      <c r="C1232" s="10"/>
      <c r="D1232" s="10"/>
      <c r="E1232" s="10"/>
      <c r="F1232" s="10"/>
      <c r="G1232" s="10"/>
      <c r="H1232" s="10"/>
      <c r="I1232" s="674"/>
      <c r="J1232" s="10"/>
      <c r="K1232" s="10"/>
      <c r="L1232" s="10"/>
      <c r="M1232" s="10"/>
      <c r="N1232" s="10"/>
      <c r="O1232" s="10"/>
      <c r="P1232" s="10"/>
      <c r="Q1232" s="10"/>
      <c r="R1232" s="10"/>
      <c r="S1232" s="10"/>
      <c r="T1232" s="10"/>
      <c r="U1232" s="529"/>
      <c r="V1232" s="529"/>
    </row>
    <row r="1233">
      <c r="A1233" s="10"/>
      <c r="B1233" s="10"/>
      <c r="C1233" s="10"/>
      <c r="D1233" s="10"/>
      <c r="E1233" s="10"/>
      <c r="F1233" s="10"/>
      <c r="G1233" s="10"/>
      <c r="H1233" s="10"/>
      <c r="I1233" s="674"/>
      <c r="J1233" s="10"/>
      <c r="K1233" s="10"/>
      <c r="L1233" s="10"/>
      <c r="M1233" s="10"/>
      <c r="N1233" s="10"/>
      <c r="O1233" s="10"/>
      <c r="P1233" s="10"/>
      <c r="Q1233" s="10"/>
      <c r="R1233" s="10"/>
      <c r="S1233" s="10"/>
      <c r="T1233" s="10"/>
      <c r="U1233" s="529"/>
      <c r="V1233" s="529"/>
    </row>
    <row r="1234">
      <c r="A1234" s="10"/>
      <c r="B1234" s="10"/>
      <c r="C1234" s="10"/>
      <c r="D1234" s="10"/>
      <c r="E1234" s="10"/>
      <c r="F1234" s="10"/>
      <c r="G1234" s="10"/>
      <c r="H1234" s="10"/>
      <c r="I1234" s="674"/>
      <c r="J1234" s="10"/>
      <c r="K1234" s="10"/>
      <c r="L1234" s="10"/>
      <c r="M1234" s="10"/>
      <c r="N1234" s="10"/>
      <c r="O1234" s="10"/>
      <c r="P1234" s="10"/>
      <c r="Q1234" s="10"/>
      <c r="R1234" s="10"/>
      <c r="S1234" s="10"/>
      <c r="T1234" s="10"/>
      <c r="U1234" s="529"/>
      <c r="V1234" s="529"/>
    </row>
    <row r="1235">
      <c r="A1235" s="10"/>
      <c r="B1235" s="10"/>
      <c r="C1235" s="10"/>
      <c r="D1235" s="10"/>
      <c r="E1235" s="10"/>
      <c r="F1235" s="10"/>
      <c r="G1235" s="10"/>
      <c r="H1235" s="10"/>
      <c r="I1235" s="674"/>
      <c r="J1235" s="10"/>
      <c r="K1235" s="10"/>
      <c r="L1235" s="10"/>
      <c r="M1235" s="10"/>
      <c r="N1235" s="10"/>
      <c r="O1235" s="10"/>
      <c r="P1235" s="10"/>
      <c r="Q1235" s="10"/>
      <c r="R1235" s="10"/>
      <c r="S1235" s="10"/>
      <c r="T1235" s="10"/>
      <c r="U1235" s="529"/>
      <c r="V1235" s="529"/>
    </row>
    <row r="1236">
      <c r="A1236" s="10"/>
      <c r="B1236" s="10"/>
      <c r="C1236" s="10"/>
      <c r="D1236" s="10"/>
      <c r="E1236" s="10"/>
      <c r="F1236" s="10"/>
      <c r="G1236" s="10"/>
      <c r="H1236" s="10"/>
      <c r="I1236" s="674"/>
      <c r="J1236" s="10"/>
      <c r="K1236" s="10"/>
      <c r="L1236" s="10"/>
      <c r="M1236" s="10"/>
      <c r="N1236" s="10"/>
      <c r="O1236" s="10"/>
      <c r="P1236" s="10"/>
      <c r="Q1236" s="10"/>
      <c r="R1236" s="10"/>
      <c r="S1236" s="10"/>
      <c r="T1236" s="10"/>
      <c r="U1236" s="529"/>
      <c r="V1236" s="529"/>
    </row>
    <row r="1237">
      <c r="A1237" s="10"/>
      <c r="B1237" s="10"/>
      <c r="C1237" s="10"/>
      <c r="D1237" s="10"/>
      <c r="E1237" s="10"/>
      <c r="F1237" s="10"/>
      <c r="G1237" s="10"/>
      <c r="H1237" s="10"/>
      <c r="I1237" s="674"/>
      <c r="J1237" s="10"/>
      <c r="K1237" s="10"/>
      <c r="L1237" s="10"/>
      <c r="M1237" s="10"/>
      <c r="N1237" s="10"/>
      <c r="O1237" s="10"/>
      <c r="P1237" s="10"/>
      <c r="Q1237" s="10"/>
      <c r="R1237" s="10"/>
      <c r="S1237" s="10"/>
      <c r="T1237" s="10"/>
      <c r="U1237" s="529"/>
      <c r="V1237" s="529"/>
    </row>
    <row r="1238">
      <c r="A1238" s="10"/>
      <c r="B1238" s="10"/>
      <c r="C1238" s="10"/>
      <c r="D1238" s="10"/>
      <c r="E1238" s="10"/>
      <c r="F1238" s="10"/>
      <c r="G1238" s="10"/>
      <c r="H1238" s="10"/>
      <c r="I1238" s="674"/>
      <c r="J1238" s="10"/>
      <c r="K1238" s="10"/>
      <c r="L1238" s="10"/>
      <c r="M1238" s="10"/>
      <c r="N1238" s="10"/>
      <c r="O1238" s="10"/>
      <c r="P1238" s="10"/>
      <c r="Q1238" s="10"/>
      <c r="R1238" s="10"/>
      <c r="S1238" s="10"/>
      <c r="T1238" s="10"/>
      <c r="U1238" s="529"/>
      <c r="V1238" s="529"/>
    </row>
    <row r="1239">
      <c r="A1239" s="10"/>
      <c r="B1239" s="10"/>
      <c r="C1239" s="10"/>
      <c r="D1239" s="10"/>
      <c r="E1239" s="10"/>
      <c r="F1239" s="10"/>
      <c r="G1239" s="10"/>
      <c r="H1239" s="10"/>
      <c r="I1239" s="674"/>
      <c r="J1239" s="10"/>
      <c r="K1239" s="10"/>
      <c r="L1239" s="10"/>
      <c r="M1239" s="10"/>
      <c r="N1239" s="10"/>
      <c r="O1239" s="10"/>
      <c r="P1239" s="10"/>
      <c r="Q1239" s="10"/>
      <c r="R1239" s="10"/>
      <c r="S1239" s="10"/>
      <c r="T1239" s="10"/>
      <c r="U1239" s="529"/>
      <c r="V1239" s="529"/>
    </row>
    <row r="1240">
      <c r="A1240" s="10"/>
      <c r="B1240" s="10"/>
      <c r="C1240" s="10"/>
      <c r="D1240" s="10"/>
      <c r="E1240" s="10"/>
      <c r="F1240" s="10"/>
      <c r="G1240" s="10"/>
      <c r="H1240" s="10"/>
      <c r="I1240" s="674"/>
      <c r="J1240" s="10"/>
      <c r="K1240" s="10"/>
      <c r="L1240" s="10"/>
      <c r="M1240" s="10"/>
      <c r="N1240" s="10"/>
      <c r="O1240" s="10"/>
      <c r="P1240" s="10"/>
      <c r="Q1240" s="10"/>
      <c r="R1240" s="10"/>
      <c r="S1240" s="10"/>
      <c r="T1240" s="10"/>
      <c r="U1240" s="529"/>
      <c r="V1240" s="529"/>
    </row>
    <row r="1241">
      <c r="A1241" s="10"/>
      <c r="B1241" s="10"/>
      <c r="C1241" s="10"/>
      <c r="D1241" s="10"/>
      <c r="E1241" s="10"/>
      <c r="F1241" s="10"/>
      <c r="G1241" s="10"/>
      <c r="H1241" s="10"/>
      <c r="I1241" s="674"/>
      <c r="J1241" s="10"/>
      <c r="K1241" s="10"/>
      <c r="L1241" s="10"/>
      <c r="M1241" s="10"/>
      <c r="N1241" s="10"/>
      <c r="O1241" s="10"/>
      <c r="P1241" s="10"/>
      <c r="Q1241" s="10"/>
      <c r="R1241" s="10"/>
      <c r="S1241" s="10"/>
      <c r="T1241" s="10"/>
      <c r="U1241" s="529"/>
      <c r="V1241" s="529"/>
    </row>
    <row r="1242">
      <c r="A1242" s="10"/>
      <c r="B1242" s="10"/>
      <c r="C1242" s="10"/>
      <c r="D1242" s="10"/>
      <c r="E1242" s="10"/>
      <c r="F1242" s="10"/>
      <c r="G1242" s="10"/>
      <c r="H1242" s="10"/>
      <c r="I1242" s="674"/>
      <c r="J1242" s="10"/>
      <c r="K1242" s="10"/>
      <c r="L1242" s="10"/>
      <c r="M1242" s="10"/>
      <c r="N1242" s="10"/>
      <c r="O1242" s="10"/>
      <c r="P1242" s="10"/>
      <c r="Q1242" s="10"/>
      <c r="R1242" s="10"/>
      <c r="S1242" s="10"/>
      <c r="T1242" s="10"/>
      <c r="U1242" s="529"/>
      <c r="V1242" s="529"/>
    </row>
    <row r="1243">
      <c r="A1243" s="10"/>
      <c r="B1243" s="10"/>
      <c r="C1243" s="10"/>
      <c r="D1243" s="10"/>
      <c r="E1243" s="10"/>
      <c r="F1243" s="10"/>
      <c r="G1243" s="10"/>
      <c r="H1243" s="10"/>
      <c r="I1243" s="674"/>
      <c r="J1243" s="10"/>
      <c r="K1243" s="10"/>
      <c r="L1243" s="10"/>
      <c r="M1243" s="10"/>
      <c r="N1243" s="10"/>
      <c r="O1243" s="10"/>
      <c r="P1243" s="10"/>
      <c r="Q1243" s="10"/>
      <c r="R1243" s="10"/>
      <c r="S1243" s="10"/>
      <c r="T1243" s="10"/>
      <c r="U1243" s="529"/>
      <c r="V1243" s="529"/>
    </row>
    <row r="1244">
      <c r="A1244" s="10"/>
      <c r="B1244" s="10"/>
      <c r="C1244" s="10"/>
      <c r="D1244" s="10"/>
      <c r="E1244" s="10"/>
      <c r="F1244" s="10"/>
      <c r="G1244" s="10"/>
      <c r="H1244" s="10"/>
      <c r="I1244" s="674"/>
      <c r="J1244" s="10"/>
      <c r="K1244" s="10"/>
      <c r="L1244" s="10"/>
      <c r="M1244" s="10"/>
      <c r="N1244" s="10"/>
      <c r="O1244" s="10"/>
      <c r="P1244" s="10"/>
      <c r="Q1244" s="10"/>
      <c r="R1244" s="10"/>
      <c r="S1244" s="10"/>
      <c r="T1244" s="10"/>
      <c r="U1244" s="529"/>
      <c r="V1244" s="529"/>
    </row>
    <row r="1245">
      <c r="A1245" s="10"/>
      <c r="B1245" s="10"/>
      <c r="C1245" s="10"/>
      <c r="D1245" s="10"/>
      <c r="E1245" s="10"/>
      <c r="F1245" s="10"/>
      <c r="G1245" s="10"/>
      <c r="H1245" s="10"/>
      <c r="I1245" s="674"/>
      <c r="J1245" s="10"/>
      <c r="K1245" s="10"/>
      <c r="L1245" s="10"/>
      <c r="M1245" s="10"/>
      <c r="N1245" s="10"/>
      <c r="O1245" s="10"/>
      <c r="P1245" s="10"/>
      <c r="Q1245" s="10"/>
      <c r="R1245" s="10"/>
      <c r="S1245" s="10"/>
      <c r="T1245" s="10"/>
      <c r="U1245" s="529"/>
      <c r="V1245" s="529"/>
    </row>
    <row r="1246">
      <c r="A1246" s="10"/>
      <c r="B1246" s="10"/>
      <c r="C1246" s="10"/>
      <c r="D1246" s="10"/>
      <c r="E1246" s="10"/>
      <c r="F1246" s="10"/>
      <c r="G1246" s="10"/>
      <c r="H1246" s="10"/>
      <c r="I1246" s="674"/>
      <c r="J1246" s="10"/>
      <c r="K1246" s="10"/>
      <c r="L1246" s="10"/>
      <c r="M1246" s="10"/>
      <c r="N1246" s="10"/>
      <c r="O1246" s="10"/>
      <c r="P1246" s="10"/>
      <c r="Q1246" s="10"/>
      <c r="R1246" s="10"/>
      <c r="S1246" s="10"/>
      <c r="T1246" s="10"/>
      <c r="U1246" s="529"/>
      <c r="V1246" s="529"/>
    </row>
    <row r="1247">
      <c r="A1247" s="10"/>
      <c r="B1247" s="10"/>
      <c r="C1247" s="10"/>
      <c r="D1247" s="10"/>
      <c r="E1247" s="10"/>
      <c r="F1247" s="10"/>
      <c r="G1247" s="10"/>
      <c r="H1247" s="10"/>
      <c r="I1247" s="674"/>
      <c r="J1247" s="10"/>
      <c r="K1247" s="10"/>
      <c r="L1247" s="10"/>
      <c r="M1247" s="10"/>
      <c r="N1247" s="10"/>
      <c r="O1247" s="10"/>
      <c r="P1247" s="10"/>
      <c r="Q1247" s="10"/>
      <c r="R1247" s="10"/>
      <c r="S1247" s="10"/>
      <c r="T1247" s="10"/>
      <c r="U1247" s="529"/>
      <c r="V1247" s="529"/>
    </row>
    <row r="1248">
      <c r="A1248" s="10"/>
      <c r="B1248" s="10"/>
      <c r="C1248" s="10"/>
      <c r="D1248" s="10"/>
      <c r="E1248" s="10"/>
      <c r="F1248" s="10"/>
      <c r="G1248" s="10"/>
      <c r="H1248" s="10"/>
      <c r="I1248" s="674"/>
      <c r="J1248" s="10"/>
      <c r="K1248" s="10"/>
      <c r="L1248" s="10"/>
      <c r="M1248" s="10"/>
      <c r="N1248" s="10"/>
      <c r="O1248" s="10"/>
      <c r="P1248" s="10"/>
      <c r="Q1248" s="10"/>
      <c r="R1248" s="10"/>
      <c r="S1248" s="10"/>
      <c r="T1248" s="10"/>
      <c r="U1248" s="529"/>
      <c r="V1248" s="529"/>
    </row>
    <row r="1249">
      <c r="A1249" s="10"/>
      <c r="B1249" s="10"/>
      <c r="C1249" s="10"/>
      <c r="D1249" s="10"/>
      <c r="E1249" s="10"/>
      <c r="F1249" s="10"/>
      <c r="G1249" s="10"/>
      <c r="H1249" s="10"/>
      <c r="I1249" s="674"/>
      <c r="J1249" s="10"/>
      <c r="K1249" s="10"/>
      <c r="L1249" s="10"/>
      <c r="M1249" s="10"/>
      <c r="N1249" s="10"/>
      <c r="O1249" s="10"/>
      <c r="P1249" s="10"/>
      <c r="Q1249" s="10"/>
      <c r="R1249" s="10"/>
      <c r="S1249" s="10"/>
      <c r="T1249" s="10"/>
      <c r="U1249" s="529"/>
      <c r="V1249" s="529"/>
    </row>
    <row r="1250">
      <c r="A1250" s="10"/>
      <c r="B1250" s="10"/>
      <c r="C1250" s="10"/>
      <c r="D1250" s="10"/>
      <c r="E1250" s="10"/>
      <c r="F1250" s="10"/>
      <c r="G1250" s="10"/>
      <c r="H1250" s="10"/>
      <c r="I1250" s="674"/>
      <c r="J1250" s="10"/>
      <c r="K1250" s="10"/>
      <c r="L1250" s="10"/>
      <c r="M1250" s="10"/>
      <c r="N1250" s="10"/>
      <c r="O1250" s="10"/>
      <c r="P1250" s="10"/>
      <c r="Q1250" s="10"/>
      <c r="R1250" s="10"/>
      <c r="S1250" s="10"/>
      <c r="T1250" s="10"/>
      <c r="U1250" s="529"/>
      <c r="V1250" s="529"/>
    </row>
    <row r="1251">
      <c r="A1251" s="10"/>
      <c r="B1251" s="10"/>
      <c r="C1251" s="10"/>
      <c r="D1251" s="10"/>
      <c r="E1251" s="10"/>
      <c r="F1251" s="10"/>
      <c r="G1251" s="10"/>
      <c r="H1251" s="10"/>
      <c r="I1251" s="674"/>
      <c r="J1251" s="10"/>
      <c r="K1251" s="10"/>
      <c r="L1251" s="10"/>
      <c r="M1251" s="10"/>
      <c r="N1251" s="10"/>
      <c r="O1251" s="10"/>
      <c r="P1251" s="10"/>
      <c r="Q1251" s="10"/>
      <c r="R1251" s="10"/>
      <c r="S1251" s="10"/>
      <c r="T1251" s="10"/>
      <c r="U1251" s="529"/>
      <c r="V1251" s="529"/>
    </row>
    <row r="1252">
      <c r="A1252" s="10"/>
      <c r="B1252" s="10"/>
      <c r="C1252" s="10"/>
      <c r="D1252" s="10"/>
      <c r="E1252" s="10"/>
      <c r="F1252" s="10"/>
      <c r="G1252" s="10"/>
      <c r="H1252" s="10"/>
      <c r="I1252" s="674"/>
      <c r="J1252" s="10"/>
      <c r="K1252" s="10"/>
      <c r="L1252" s="10"/>
      <c r="M1252" s="10"/>
      <c r="N1252" s="10"/>
      <c r="O1252" s="10"/>
      <c r="P1252" s="10"/>
      <c r="Q1252" s="10"/>
      <c r="R1252" s="10"/>
      <c r="S1252" s="10"/>
      <c r="T1252" s="10"/>
      <c r="U1252" s="529"/>
      <c r="V1252" s="529"/>
    </row>
    <row r="1253">
      <c r="A1253" s="10"/>
      <c r="B1253" s="10"/>
      <c r="C1253" s="10"/>
      <c r="D1253" s="10"/>
      <c r="E1253" s="10"/>
      <c r="F1253" s="10"/>
      <c r="G1253" s="10"/>
      <c r="H1253" s="10"/>
      <c r="I1253" s="674"/>
      <c r="J1253" s="10"/>
      <c r="K1253" s="10"/>
      <c r="L1253" s="10"/>
      <c r="M1253" s="10"/>
      <c r="N1253" s="10"/>
      <c r="O1253" s="10"/>
      <c r="P1253" s="10"/>
      <c r="Q1253" s="10"/>
      <c r="R1253" s="10"/>
      <c r="S1253" s="10"/>
      <c r="T1253" s="10"/>
      <c r="U1253" s="529"/>
      <c r="V1253" s="529"/>
    </row>
    <row r="1254">
      <c r="A1254" s="10"/>
      <c r="B1254" s="10"/>
      <c r="C1254" s="10"/>
      <c r="D1254" s="10"/>
      <c r="E1254" s="10"/>
      <c r="F1254" s="10"/>
      <c r="G1254" s="10"/>
      <c r="H1254" s="10"/>
      <c r="I1254" s="674"/>
      <c r="J1254" s="10"/>
      <c r="K1254" s="10"/>
      <c r="L1254" s="10"/>
      <c r="M1254" s="10"/>
      <c r="N1254" s="10"/>
      <c r="O1254" s="10"/>
      <c r="P1254" s="10"/>
      <c r="Q1254" s="10"/>
      <c r="R1254" s="10"/>
      <c r="S1254" s="10"/>
      <c r="T1254" s="10"/>
      <c r="U1254" s="529"/>
      <c r="V1254" s="529"/>
    </row>
    <row r="1255">
      <c r="A1255" s="10"/>
      <c r="B1255" s="10"/>
      <c r="C1255" s="10"/>
      <c r="D1255" s="10"/>
      <c r="E1255" s="10"/>
      <c r="F1255" s="10"/>
      <c r="G1255" s="10"/>
      <c r="H1255" s="10"/>
      <c r="I1255" s="674"/>
      <c r="J1255" s="10"/>
      <c r="K1255" s="10"/>
      <c r="L1255" s="10"/>
      <c r="M1255" s="10"/>
      <c r="N1255" s="10"/>
      <c r="O1255" s="10"/>
      <c r="P1255" s="10"/>
      <c r="Q1255" s="10"/>
      <c r="R1255" s="10"/>
      <c r="S1255" s="10"/>
      <c r="T1255" s="10"/>
      <c r="U1255" s="529"/>
      <c r="V1255" s="529"/>
    </row>
    <row r="1256">
      <c r="A1256" s="10"/>
      <c r="B1256" s="10"/>
      <c r="C1256" s="10"/>
      <c r="D1256" s="10"/>
      <c r="E1256" s="10"/>
      <c r="F1256" s="10"/>
      <c r="G1256" s="10"/>
      <c r="H1256" s="10"/>
      <c r="I1256" s="674"/>
      <c r="J1256" s="10"/>
      <c r="K1256" s="10"/>
      <c r="L1256" s="10"/>
      <c r="M1256" s="10"/>
      <c r="N1256" s="10"/>
      <c r="O1256" s="10"/>
      <c r="P1256" s="10"/>
      <c r="Q1256" s="10"/>
      <c r="R1256" s="10"/>
      <c r="S1256" s="10"/>
      <c r="T1256" s="10"/>
      <c r="U1256" s="529"/>
      <c r="V1256" s="529"/>
    </row>
    <row r="1257">
      <c r="A1257" s="10"/>
      <c r="B1257" s="10"/>
      <c r="C1257" s="10"/>
      <c r="D1257" s="10"/>
      <c r="E1257" s="10"/>
      <c r="F1257" s="10"/>
      <c r="G1257" s="10"/>
      <c r="H1257" s="10"/>
      <c r="I1257" s="674"/>
      <c r="J1257" s="10"/>
      <c r="K1257" s="10"/>
      <c r="L1257" s="10"/>
      <c r="M1257" s="10"/>
      <c r="N1257" s="10"/>
      <c r="O1257" s="10"/>
      <c r="P1257" s="10"/>
      <c r="Q1257" s="10"/>
      <c r="R1257" s="10"/>
      <c r="S1257" s="10"/>
      <c r="T1257" s="10"/>
      <c r="U1257" s="529"/>
      <c r="V1257" s="529"/>
    </row>
    <row r="1258">
      <c r="A1258" s="10"/>
      <c r="B1258" s="10"/>
      <c r="C1258" s="10"/>
      <c r="D1258" s="10"/>
      <c r="E1258" s="10"/>
      <c r="F1258" s="10"/>
      <c r="G1258" s="10"/>
      <c r="H1258" s="10"/>
      <c r="I1258" s="674"/>
      <c r="J1258" s="10"/>
      <c r="K1258" s="10"/>
      <c r="L1258" s="10"/>
      <c r="M1258" s="10"/>
      <c r="N1258" s="10"/>
      <c r="O1258" s="10"/>
      <c r="P1258" s="10"/>
      <c r="Q1258" s="10"/>
      <c r="R1258" s="10"/>
      <c r="S1258" s="10"/>
      <c r="T1258" s="10"/>
      <c r="U1258" s="529"/>
      <c r="V1258" s="529"/>
    </row>
    <row r="1259">
      <c r="A1259" s="10"/>
      <c r="B1259" s="10"/>
      <c r="C1259" s="10"/>
      <c r="D1259" s="10"/>
      <c r="E1259" s="10"/>
      <c r="F1259" s="10"/>
      <c r="G1259" s="10"/>
      <c r="H1259" s="10"/>
      <c r="I1259" s="674"/>
      <c r="J1259" s="10"/>
      <c r="K1259" s="10"/>
      <c r="L1259" s="10"/>
      <c r="M1259" s="10"/>
      <c r="N1259" s="10"/>
      <c r="O1259" s="10"/>
      <c r="P1259" s="10"/>
      <c r="Q1259" s="10"/>
      <c r="R1259" s="10"/>
      <c r="S1259" s="10"/>
      <c r="T1259" s="10"/>
      <c r="U1259" s="529"/>
      <c r="V1259" s="529"/>
    </row>
    <row r="1260">
      <c r="A1260" s="10"/>
      <c r="B1260" s="10"/>
      <c r="C1260" s="10"/>
      <c r="D1260" s="10"/>
      <c r="E1260" s="10"/>
      <c r="F1260" s="10"/>
      <c r="G1260" s="10"/>
      <c r="H1260" s="10"/>
      <c r="I1260" s="674"/>
      <c r="J1260" s="10"/>
      <c r="K1260" s="10"/>
      <c r="L1260" s="10"/>
      <c r="M1260" s="10"/>
      <c r="N1260" s="10"/>
      <c r="O1260" s="10"/>
      <c r="P1260" s="10"/>
      <c r="Q1260" s="10"/>
      <c r="R1260" s="10"/>
      <c r="S1260" s="10"/>
      <c r="T1260" s="10"/>
      <c r="U1260" s="529"/>
      <c r="V1260" s="529"/>
    </row>
    <row r="1261">
      <c r="A1261" s="10"/>
      <c r="B1261" s="10"/>
      <c r="C1261" s="10"/>
      <c r="D1261" s="10"/>
      <c r="E1261" s="10"/>
      <c r="F1261" s="10"/>
      <c r="G1261" s="10"/>
      <c r="H1261" s="10"/>
      <c r="I1261" s="674"/>
      <c r="J1261" s="10"/>
      <c r="K1261" s="10"/>
      <c r="L1261" s="10"/>
      <c r="M1261" s="10"/>
      <c r="N1261" s="10"/>
      <c r="O1261" s="10"/>
      <c r="P1261" s="10"/>
      <c r="Q1261" s="10"/>
      <c r="R1261" s="10"/>
      <c r="S1261" s="10"/>
      <c r="T1261" s="10"/>
      <c r="U1261" s="529"/>
      <c r="V1261" s="529"/>
    </row>
    <row r="1262">
      <c r="A1262" s="10"/>
      <c r="B1262" s="10"/>
      <c r="C1262" s="10"/>
      <c r="D1262" s="10"/>
      <c r="E1262" s="10"/>
      <c r="F1262" s="10"/>
      <c r="G1262" s="10"/>
      <c r="H1262" s="10"/>
      <c r="I1262" s="674"/>
      <c r="J1262" s="10"/>
      <c r="K1262" s="10"/>
      <c r="L1262" s="10"/>
      <c r="M1262" s="10"/>
      <c r="N1262" s="10"/>
      <c r="O1262" s="10"/>
      <c r="P1262" s="10"/>
      <c r="Q1262" s="10"/>
      <c r="R1262" s="10"/>
      <c r="S1262" s="10"/>
      <c r="T1262" s="10"/>
      <c r="U1262" s="529"/>
      <c r="V1262" s="529"/>
    </row>
    <row r="1263">
      <c r="A1263" s="10"/>
      <c r="B1263" s="10"/>
      <c r="C1263" s="10"/>
      <c r="D1263" s="10"/>
      <c r="E1263" s="10"/>
      <c r="F1263" s="10"/>
      <c r="G1263" s="10"/>
      <c r="H1263" s="10"/>
      <c r="I1263" s="674"/>
      <c r="J1263" s="10"/>
      <c r="K1263" s="10"/>
      <c r="L1263" s="10"/>
      <c r="M1263" s="10"/>
      <c r="N1263" s="10"/>
      <c r="O1263" s="10"/>
      <c r="P1263" s="10"/>
      <c r="Q1263" s="10"/>
      <c r="R1263" s="10"/>
      <c r="S1263" s="10"/>
      <c r="T1263" s="10"/>
      <c r="U1263" s="529"/>
      <c r="V1263" s="529"/>
    </row>
    <row r="1264">
      <c r="A1264" s="10"/>
      <c r="B1264" s="10"/>
      <c r="C1264" s="10"/>
      <c r="D1264" s="10"/>
      <c r="E1264" s="10"/>
      <c r="F1264" s="10"/>
      <c r="G1264" s="10"/>
      <c r="H1264" s="10"/>
      <c r="I1264" s="674"/>
      <c r="J1264" s="10"/>
      <c r="K1264" s="10"/>
      <c r="L1264" s="10"/>
      <c r="M1264" s="10"/>
      <c r="N1264" s="10"/>
      <c r="O1264" s="10"/>
      <c r="P1264" s="10"/>
      <c r="Q1264" s="10"/>
      <c r="R1264" s="10"/>
      <c r="S1264" s="10"/>
      <c r="T1264" s="10"/>
      <c r="U1264" s="529"/>
      <c r="V1264" s="529"/>
    </row>
    <row r="1265">
      <c r="A1265" s="10"/>
      <c r="B1265" s="10"/>
      <c r="C1265" s="10"/>
      <c r="D1265" s="10"/>
      <c r="E1265" s="10"/>
      <c r="F1265" s="10"/>
      <c r="G1265" s="10"/>
      <c r="H1265" s="10"/>
      <c r="I1265" s="674"/>
      <c r="J1265" s="10"/>
      <c r="K1265" s="10"/>
      <c r="L1265" s="10"/>
      <c r="M1265" s="10"/>
      <c r="N1265" s="10"/>
      <c r="O1265" s="10"/>
      <c r="P1265" s="10"/>
      <c r="Q1265" s="10"/>
      <c r="R1265" s="10"/>
      <c r="S1265" s="10"/>
      <c r="T1265" s="10"/>
      <c r="U1265" s="529"/>
      <c r="V1265" s="529"/>
    </row>
    <row r="1266">
      <c r="A1266" s="10"/>
      <c r="B1266" s="10"/>
      <c r="C1266" s="10"/>
      <c r="D1266" s="10"/>
      <c r="E1266" s="10"/>
      <c r="F1266" s="10"/>
      <c r="G1266" s="10"/>
      <c r="H1266" s="10"/>
      <c r="I1266" s="674"/>
      <c r="J1266" s="10"/>
      <c r="K1266" s="10"/>
      <c r="L1266" s="10"/>
      <c r="M1266" s="10"/>
      <c r="N1266" s="10"/>
      <c r="O1266" s="10"/>
      <c r="P1266" s="10"/>
      <c r="Q1266" s="10"/>
      <c r="R1266" s="10"/>
      <c r="S1266" s="10"/>
      <c r="T1266" s="10"/>
      <c r="U1266" s="529"/>
      <c r="V1266" s="529"/>
    </row>
    <row r="1267">
      <c r="A1267" s="10"/>
      <c r="B1267" s="10"/>
      <c r="C1267" s="10"/>
      <c r="D1267" s="10"/>
      <c r="E1267" s="10"/>
      <c r="F1267" s="10"/>
      <c r="G1267" s="10"/>
      <c r="H1267" s="10"/>
      <c r="I1267" s="674"/>
      <c r="J1267" s="10"/>
      <c r="K1267" s="10"/>
      <c r="L1267" s="10"/>
      <c r="M1267" s="10"/>
      <c r="N1267" s="10"/>
      <c r="O1267" s="10"/>
      <c r="P1267" s="10"/>
      <c r="Q1267" s="10"/>
      <c r="R1267" s="10"/>
      <c r="S1267" s="10"/>
      <c r="T1267" s="10"/>
      <c r="U1267" s="529"/>
      <c r="V1267" s="529"/>
    </row>
    <row r="1268">
      <c r="A1268" s="10"/>
      <c r="B1268" s="10"/>
      <c r="C1268" s="10"/>
      <c r="D1268" s="10"/>
      <c r="E1268" s="10"/>
      <c r="F1268" s="10"/>
      <c r="G1268" s="10"/>
      <c r="H1268" s="10"/>
      <c r="I1268" s="674"/>
      <c r="J1268" s="10"/>
      <c r="K1268" s="10"/>
      <c r="L1268" s="10"/>
      <c r="M1268" s="10"/>
      <c r="N1268" s="10"/>
      <c r="O1268" s="10"/>
      <c r="P1268" s="10"/>
      <c r="Q1268" s="10"/>
      <c r="R1268" s="10"/>
      <c r="S1268" s="10"/>
      <c r="T1268" s="10"/>
      <c r="U1268" s="529"/>
      <c r="V1268" s="529"/>
    </row>
    <row r="1269">
      <c r="A1269" s="10"/>
      <c r="B1269" s="10"/>
      <c r="C1269" s="10"/>
      <c r="D1269" s="10"/>
      <c r="E1269" s="10"/>
      <c r="F1269" s="10"/>
      <c r="G1269" s="10"/>
      <c r="H1269" s="10"/>
      <c r="I1269" s="674"/>
      <c r="J1269" s="10"/>
      <c r="K1269" s="10"/>
      <c r="L1269" s="10"/>
      <c r="M1269" s="10"/>
      <c r="N1269" s="10"/>
      <c r="O1269" s="10"/>
      <c r="P1269" s="10"/>
      <c r="Q1269" s="10"/>
      <c r="R1269" s="10"/>
      <c r="S1269" s="10"/>
      <c r="T1269" s="10"/>
      <c r="U1269" s="529"/>
      <c r="V1269" s="529"/>
    </row>
    <row r="1270">
      <c r="A1270" s="10"/>
      <c r="B1270" s="10"/>
      <c r="C1270" s="10"/>
      <c r="D1270" s="10"/>
      <c r="E1270" s="10"/>
      <c r="F1270" s="10"/>
      <c r="G1270" s="10"/>
      <c r="H1270" s="10"/>
      <c r="I1270" s="674"/>
      <c r="J1270" s="10"/>
      <c r="K1270" s="10"/>
      <c r="L1270" s="10"/>
      <c r="M1270" s="10"/>
      <c r="N1270" s="10"/>
      <c r="O1270" s="10"/>
      <c r="P1270" s="10"/>
      <c r="Q1270" s="10"/>
      <c r="R1270" s="10"/>
      <c r="S1270" s="10"/>
      <c r="T1270" s="10"/>
      <c r="U1270" s="529"/>
      <c r="V1270" s="529"/>
    </row>
    <row r="1271">
      <c r="A1271" s="10"/>
      <c r="B1271" s="10"/>
      <c r="C1271" s="10"/>
      <c r="D1271" s="10"/>
      <c r="E1271" s="10"/>
      <c r="F1271" s="10"/>
      <c r="G1271" s="10"/>
      <c r="H1271" s="10"/>
      <c r="I1271" s="674"/>
      <c r="J1271" s="10"/>
      <c r="K1271" s="10"/>
      <c r="L1271" s="10"/>
      <c r="M1271" s="10"/>
      <c r="N1271" s="10"/>
      <c r="O1271" s="10"/>
      <c r="P1271" s="10"/>
      <c r="Q1271" s="10"/>
      <c r="R1271" s="10"/>
      <c r="S1271" s="10"/>
      <c r="T1271" s="10"/>
      <c r="U1271" s="529"/>
      <c r="V1271" s="529"/>
    </row>
    <row r="1272">
      <c r="A1272" s="10"/>
      <c r="B1272" s="10"/>
      <c r="C1272" s="10"/>
      <c r="D1272" s="10"/>
      <c r="E1272" s="10"/>
      <c r="F1272" s="10"/>
      <c r="G1272" s="10"/>
      <c r="H1272" s="10"/>
      <c r="I1272" s="674"/>
      <c r="J1272" s="10"/>
      <c r="K1272" s="10"/>
      <c r="L1272" s="10"/>
      <c r="M1272" s="10"/>
      <c r="N1272" s="10"/>
      <c r="O1272" s="10"/>
      <c r="P1272" s="10"/>
      <c r="Q1272" s="10"/>
      <c r="R1272" s="10"/>
      <c r="S1272" s="10"/>
      <c r="T1272" s="10"/>
      <c r="U1272" s="529"/>
      <c r="V1272" s="529"/>
    </row>
    <row r="1273">
      <c r="A1273" s="10"/>
      <c r="B1273" s="10"/>
      <c r="C1273" s="10"/>
      <c r="D1273" s="10"/>
      <c r="E1273" s="10"/>
      <c r="F1273" s="10"/>
      <c r="G1273" s="10"/>
      <c r="H1273" s="10"/>
      <c r="I1273" s="674"/>
      <c r="J1273" s="10"/>
      <c r="K1273" s="10"/>
      <c r="L1273" s="10"/>
      <c r="M1273" s="10"/>
      <c r="N1273" s="10"/>
      <c r="O1273" s="10"/>
      <c r="P1273" s="10"/>
      <c r="Q1273" s="10"/>
      <c r="R1273" s="10"/>
      <c r="S1273" s="10"/>
      <c r="T1273" s="10"/>
      <c r="U1273" s="529"/>
      <c r="V1273" s="529"/>
    </row>
    <row r="1274">
      <c r="A1274" s="10"/>
      <c r="B1274" s="10"/>
      <c r="C1274" s="10"/>
      <c r="D1274" s="10"/>
      <c r="E1274" s="10"/>
      <c r="F1274" s="10"/>
      <c r="G1274" s="10"/>
      <c r="H1274" s="10"/>
      <c r="I1274" s="674"/>
      <c r="J1274" s="10"/>
      <c r="K1274" s="10"/>
      <c r="L1274" s="10"/>
      <c r="M1274" s="10"/>
      <c r="N1274" s="10"/>
      <c r="O1274" s="10"/>
      <c r="P1274" s="10"/>
      <c r="Q1274" s="10"/>
      <c r="R1274" s="10"/>
      <c r="S1274" s="10"/>
      <c r="T1274" s="10"/>
      <c r="U1274" s="529"/>
      <c r="V1274" s="529"/>
    </row>
    <row r="1275">
      <c r="A1275" s="10"/>
      <c r="B1275" s="10"/>
      <c r="C1275" s="10"/>
      <c r="D1275" s="10"/>
      <c r="E1275" s="10"/>
      <c r="F1275" s="10"/>
      <c r="G1275" s="10"/>
      <c r="H1275" s="10"/>
      <c r="I1275" s="674"/>
      <c r="J1275" s="10"/>
      <c r="K1275" s="10"/>
      <c r="L1275" s="10"/>
      <c r="M1275" s="10"/>
      <c r="N1275" s="10"/>
      <c r="O1275" s="10"/>
      <c r="P1275" s="10"/>
      <c r="Q1275" s="10"/>
      <c r="R1275" s="10"/>
      <c r="S1275" s="10"/>
      <c r="T1275" s="10"/>
      <c r="U1275" s="529"/>
      <c r="V1275" s="529"/>
    </row>
    <row r="1276">
      <c r="A1276" s="10"/>
      <c r="B1276" s="10"/>
      <c r="C1276" s="10"/>
      <c r="D1276" s="10"/>
      <c r="E1276" s="10"/>
      <c r="F1276" s="10"/>
      <c r="G1276" s="10"/>
      <c r="H1276" s="10"/>
      <c r="I1276" s="674"/>
      <c r="J1276" s="10"/>
      <c r="K1276" s="10"/>
      <c r="L1276" s="10"/>
      <c r="M1276" s="10"/>
      <c r="N1276" s="10"/>
      <c r="O1276" s="10"/>
      <c r="P1276" s="10"/>
      <c r="Q1276" s="10"/>
      <c r="R1276" s="10"/>
      <c r="S1276" s="10"/>
      <c r="T1276" s="10"/>
      <c r="U1276" s="529"/>
      <c r="V1276" s="529"/>
    </row>
    <row r="1277">
      <c r="A1277" s="10"/>
      <c r="B1277" s="10"/>
      <c r="C1277" s="10"/>
      <c r="D1277" s="10"/>
      <c r="E1277" s="10"/>
      <c r="F1277" s="10"/>
      <c r="G1277" s="10"/>
      <c r="H1277" s="10"/>
      <c r="I1277" s="674"/>
      <c r="J1277" s="10"/>
      <c r="K1277" s="10"/>
      <c r="L1277" s="10"/>
      <c r="M1277" s="10"/>
      <c r="N1277" s="10"/>
      <c r="O1277" s="10"/>
      <c r="P1277" s="10"/>
      <c r="Q1277" s="10"/>
      <c r="R1277" s="10"/>
      <c r="S1277" s="10"/>
      <c r="T1277" s="10"/>
      <c r="U1277" s="529"/>
      <c r="V1277" s="529"/>
    </row>
    <row r="1278">
      <c r="A1278" s="10"/>
      <c r="B1278" s="10"/>
      <c r="C1278" s="10"/>
      <c r="D1278" s="10"/>
      <c r="E1278" s="10"/>
      <c r="F1278" s="10"/>
      <c r="G1278" s="10"/>
      <c r="H1278" s="10"/>
      <c r="I1278" s="674"/>
      <c r="J1278" s="10"/>
      <c r="K1278" s="10"/>
      <c r="L1278" s="10"/>
      <c r="M1278" s="10"/>
      <c r="N1278" s="10"/>
      <c r="O1278" s="10"/>
      <c r="P1278" s="10"/>
      <c r="Q1278" s="10"/>
      <c r="R1278" s="10"/>
      <c r="S1278" s="10"/>
      <c r="T1278" s="10"/>
      <c r="U1278" s="529"/>
      <c r="V1278" s="529"/>
    </row>
    <row r="1279">
      <c r="A1279" s="10"/>
      <c r="B1279" s="10"/>
      <c r="C1279" s="10"/>
      <c r="D1279" s="10"/>
      <c r="E1279" s="10"/>
      <c r="F1279" s="10"/>
      <c r="G1279" s="10"/>
      <c r="H1279" s="10"/>
      <c r="I1279" s="674"/>
      <c r="J1279" s="10"/>
      <c r="K1279" s="10"/>
      <c r="L1279" s="10"/>
      <c r="M1279" s="10"/>
      <c r="N1279" s="10"/>
      <c r="O1279" s="10"/>
      <c r="P1279" s="10"/>
      <c r="Q1279" s="10"/>
      <c r="R1279" s="10"/>
      <c r="S1279" s="10"/>
      <c r="T1279" s="10"/>
      <c r="U1279" s="529"/>
      <c r="V1279" s="529"/>
    </row>
    <row r="1280">
      <c r="A1280" s="10"/>
      <c r="B1280" s="10"/>
      <c r="C1280" s="10"/>
      <c r="D1280" s="10"/>
      <c r="E1280" s="10"/>
      <c r="F1280" s="10"/>
      <c r="G1280" s="10"/>
      <c r="H1280" s="10"/>
      <c r="I1280" s="674"/>
      <c r="J1280" s="10"/>
      <c r="K1280" s="10"/>
      <c r="L1280" s="10"/>
      <c r="M1280" s="10"/>
      <c r="N1280" s="10"/>
      <c r="O1280" s="10"/>
      <c r="P1280" s="10"/>
      <c r="Q1280" s="10"/>
      <c r="R1280" s="10"/>
      <c r="S1280" s="10"/>
      <c r="T1280" s="10"/>
      <c r="U1280" s="529"/>
      <c r="V1280" s="529"/>
    </row>
    <row r="1281">
      <c r="A1281" s="10"/>
      <c r="B1281" s="10"/>
      <c r="C1281" s="10"/>
      <c r="D1281" s="10"/>
      <c r="E1281" s="10"/>
      <c r="F1281" s="10"/>
      <c r="G1281" s="10"/>
      <c r="H1281" s="10"/>
      <c r="I1281" s="674"/>
      <c r="J1281" s="10"/>
      <c r="K1281" s="10"/>
      <c r="L1281" s="10"/>
      <c r="M1281" s="10"/>
      <c r="N1281" s="10"/>
      <c r="O1281" s="10"/>
      <c r="P1281" s="10"/>
      <c r="Q1281" s="10"/>
      <c r="R1281" s="10"/>
      <c r="S1281" s="10"/>
      <c r="T1281" s="10"/>
      <c r="U1281" s="529"/>
      <c r="V1281" s="529"/>
    </row>
    <row r="1282">
      <c r="A1282" s="10"/>
      <c r="B1282" s="10"/>
      <c r="C1282" s="10"/>
      <c r="D1282" s="10"/>
      <c r="E1282" s="10"/>
      <c r="F1282" s="10"/>
      <c r="G1282" s="10"/>
      <c r="H1282" s="10"/>
      <c r="I1282" s="674"/>
      <c r="J1282" s="10"/>
      <c r="K1282" s="10"/>
      <c r="L1282" s="10"/>
      <c r="M1282" s="10"/>
      <c r="N1282" s="10"/>
      <c r="O1282" s="10"/>
      <c r="P1282" s="10"/>
      <c r="Q1282" s="10"/>
      <c r="R1282" s="10"/>
      <c r="S1282" s="10"/>
      <c r="T1282" s="10"/>
      <c r="U1282" s="529"/>
      <c r="V1282" s="529"/>
    </row>
    <row r="1283">
      <c r="A1283" s="10"/>
      <c r="B1283" s="10"/>
      <c r="C1283" s="10"/>
      <c r="D1283" s="10"/>
      <c r="E1283" s="10"/>
      <c r="F1283" s="10"/>
      <c r="G1283" s="10"/>
      <c r="H1283" s="10"/>
      <c r="I1283" s="674"/>
      <c r="J1283" s="10"/>
      <c r="K1283" s="10"/>
      <c r="L1283" s="10"/>
      <c r="M1283" s="10"/>
      <c r="N1283" s="10"/>
      <c r="O1283" s="10"/>
      <c r="P1283" s="10"/>
      <c r="Q1283" s="10"/>
      <c r="R1283" s="10"/>
      <c r="S1283" s="10"/>
      <c r="T1283" s="10"/>
      <c r="U1283" s="529"/>
      <c r="V1283" s="529"/>
    </row>
    <row r="1284">
      <c r="A1284" s="10"/>
      <c r="B1284" s="10"/>
      <c r="C1284" s="10"/>
      <c r="D1284" s="10"/>
      <c r="E1284" s="10"/>
      <c r="F1284" s="10"/>
      <c r="G1284" s="10"/>
      <c r="H1284" s="10"/>
      <c r="I1284" s="674"/>
      <c r="J1284" s="10"/>
      <c r="K1284" s="10"/>
      <c r="L1284" s="10"/>
      <c r="M1284" s="10"/>
      <c r="N1284" s="10"/>
      <c r="O1284" s="10"/>
      <c r="P1284" s="10"/>
      <c r="Q1284" s="10"/>
      <c r="R1284" s="10"/>
      <c r="S1284" s="10"/>
      <c r="T1284" s="10"/>
      <c r="U1284" s="529"/>
      <c r="V1284" s="529"/>
    </row>
    <row r="1285">
      <c r="A1285" s="10"/>
      <c r="B1285" s="10"/>
      <c r="C1285" s="10"/>
      <c r="D1285" s="10"/>
      <c r="E1285" s="10"/>
      <c r="F1285" s="10"/>
      <c r="G1285" s="10"/>
      <c r="H1285" s="10"/>
      <c r="I1285" s="674"/>
      <c r="J1285" s="10"/>
      <c r="K1285" s="10"/>
      <c r="L1285" s="10"/>
      <c r="M1285" s="10"/>
      <c r="N1285" s="10"/>
      <c r="O1285" s="10"/>
      <c r="P1285" s="10"/>
      <c r="Q1285" s="10"/>
      <c r="R1285" s="10"/>
      <c r="S1285" s="10"/>
      <c r="T1285" s="10"/>
      <c r="U1285" s="529"/>
      <c r="V1285" s="529"/>
    </row>
    <row r="1286">
      <c r="A1286" s="10"/>
      <c r="B1286" s="10"/>
      <c r="C1286" s="10"/>
      <c r="D1286" s="10"/>
      <c r="E1286" s="10"/>
      <c r="F1286" s="10"/>
      <c r="G1286" s="10"/>
      <c r="H1286" s="10"/>
      <c r="I1286" s="674"/>
      <c r="J1286" s="10"/>
      <c r="K1286" s="10"/>
      <c r="L1286" s="10"/>
      <c r="M1286" s="10"/>
      <c r="N1286" s="10"/>
      <c r="O1286" s="10"/>
      <c r="P1286" s="10"/>
      <c r="Q1286" s="10"/>
      <c r="R1286" s="10"/>
      <c r="S1286" s="10"/>
      <c r="T1286" s="10"/>
      <c r="U1286" s="529"/>
      <c r="V1286" s="529"/>
    </row>
    <row r="1287">
      <c r="A1287" s="10"/>
      <c r="B1287" s="10"/>
      <c r="C1287" s="10"/>
      <c r="D1287" s="10"/>
      <c r="E1287" s="10"/>
      <c r="F1287" s="10"/>
      <c r="G1287" s="10"/>
      <c r="H1287" s="10"/>
      <c r="I1287" s="674"/>
      <c r="J1287" s="10"/>
      <c r="K1287" s="10"/>
      <c r="L1287" s="10"/>
      <c r="M1287" s="10"/>
      <c r="N1287" s="10"/>
      <c r="O1287" s="10"/>
      <c r="P1287" s="10"/>
      <c r="Q1287" s="10"/>
      <c r="R1287" s="10"/>
      <c r="S1287" s="10"/>
      <c r="T1287" s="10"/>
      <c r="U1287" s="529"/>
      <c r="V1287" s="529"/>
    </row>
    <row r="1288">
      <c r="A1288" s="10"/>
      <c r="B1288" s="10"/>
      <c r="C1288" s="10"/>
      <c r="D1288" s="10"/>
      <c r="E1288" s="10"/>
      <c r="F1288" s="10"/>
      <c r="G1288" s="10"/>
      <c r="H1288" s="10"/>
      <c r="I1288" s="674"/>
      <c r="J1288" s="10"/>
      <c r="K1288" s="10"/>
      <c r="L1288" s="10"/>
      <c r="M1288" s="10"/>
      <c r="N1288" s="10"/>
      <c r="O1288" s="10"/>
      <c r="P1288" s="10"/>
      <c r="Q1288" s="10"/>
      <c r="R1288" s="10"/>
      <c r="S1288" s="10"/>
      <c r="T1288" s="10"/>
      <c r="U1288" s="529"/>
      <c r="V1288" s="529"/>
    </row>
    <row r="1289">
      <c r="A1289" s="10"/>
      <c r="B1289" s="10"/>
      <c r="C1289" s="10"/>
      <c r="D1289" s="10"/>
      <c r="E1289" s="10"/>
      <c r="F1289" s="10"/>
      <c r="G1289" s="10"/>
      <c r="H1289" s="10"/>
      <c r="I1289" s="674"/>
      <c r="J1289" s="10"/>
      <c r="K1289" s="10"/>
      <c r="L1289" s="10"/>
      <c r="M1289" s="10"/>
      <c r="N1289" s="10"/>
      <c r="O1289" s="10"/>
      <c r="P1289" s="10"/>
      <c r="Q1289" s="10"/>
      <c r="R1289" s="10"/>
      <c r="S1289" s="10"/>
      <c r="T1289" s="10"/>
      <c r="U1289" s="529"/>
      <c r="V1289" s="529"/>
    </row>
    <row r="1290">
      <c r="A1290" s="10"/>
      <c r="B1290" s="10"/>
      <c r="C1290" s="10"/>
      <c r="D1290" s="10"/>
      <c r="E1290" s="10"/>
      <c r="F1290" s="10"/>
      <c r="G1290" s="10"/>
      <c r="H1290" s="10"/>
      <c r="I1290" s="674"/>
      <c r="J1290" s="10"/>
      <c r="K1290" s="10"/>
      <c r="L1290" s="10"/>
      <c r="M1290" s="10"/>
      <c r="N1290" s="10"/>
      <c r="O1290" s="10"/>
      <c r="P1290" s="10"/>
      <c r="Q1290" s="10"/>
      <c r="R1290" s="10"/>
      <c r="S1290" s="10"/>
      <c r="T1290" s="10"/>
      <c r="U1290" s="529"/>
      <c r="V1290" s="529"/>
    </row>
    <row r="1291">
      <c r="A1291" s="10"/>
      <c r="B1291" s="10"/>
      <c r="C1291" s="10"/>
      <c r="D1291" s="10"/>
      <c r="E1291" s="10"/>
      <c r="F1291" s="10"/>
      <c r="G1291" s="10"/>
      <c r="H1291" s="10"/>
      <c r="I1291" s="674"/>
      <c r="J1291" s="10"/>
      <c r="K1291" s="10"/>
      <c r="L1291" s="10"/>
      <c r="M1291" s="10"/>
      <c r="N1291" s="10"/>
      <c r="O1291" s="10"/>
      <c r="P1291" s="10"/>
      <c r="Q1291" s="10"/>
      <c r="R1291" s="10"/>
      <c r="S1291" s="10"/>
      <c r="T1291" s="10"/>
      <c r="U1291" s="529"/>
      <c r="V1291" s="529"/>
    </row>
    <row r="1292">
      <c r="A1292" s="10"/>
      <c r="B1292" s="10"/>
      <c r="C1292" s="10"/>
      <c r="D1292" s="10"/>
      <c r="E1292" s="10"/>
      <c r="F1292" s="10"/>
      <c r="G1292" s="10"/>
      <c r="H1292" s="10"/>
      <c r="I1292" s="674"/>
      <c r="J1292" s="10"/>
      <c r="K1292" s="10"/>
      <c r="L1292" s="10"/>
      <c r="M1292" s="10"/>
      <c r="N1292" s="10"/>
      <c r="O1292" s="10"/>
      <c r="P1292" s="10"/>
      <c r="Q1292" s="10"/>
      <c r="R1292" s="10"/>
      <c r="S1292" s="10"/>
      <c r="T1292" s="10"/>
      <c r="U1292" s="529"/>
      <c r="V1292" s="529"/>
    </row>
    <row r="1293">
      <c r="A1293" s="10"/>
      <c r="B1293" s="10"/>
      <c r="C1293" s="10"/>
      <c r="D1293" s="10"/>
      <c r="E1293" s="10"/>
      <c r="F1293" s="10"/>
      <c r="G1293" s="10"/>
      <c r="H1293" s="10"/>
      <c r="I1293" s="674"/>
      <c r="J1293" s="10"/>
      <c r="K1293" s="10"/>
      <c r="L1293" s="10"/>
      <c r="M1293" s="10"/>
      <c r="N1293" s="10"/>
      <c r="O1293" s="10"/>
      <c r="P1293" s="10"/>
      <c r="Q1293" s="10"/>
      <c r="R1293" s="10"/>
      <c r="S1293" s="10"/>
      <c r="T1293" s="10"/>
      <c r="U1293" s="529"/>
      <c r="V1293" s="529"/>
    </row>
    <row r="1294">
      <c r="A1294" s="10"/>
      <c r="B1294" s="10"/>
      <c r="C1294" s="10"/>
      <c r="D1294" s="10"/>
      <c r="E1294" s="10"/>
      <c r="F1294" s="10"/>
      <c r="G1294" s="10"/>
      <c r="H1294" s="10"/>
      <c r="I1294" s="674"/>
      <c r="J1294" s="10"/>
      <c r="K1294" s="10"/>
      <c r="L1294" s="10"/>
      <c r="M1294" s="10"/>
      <c r="N1294" s="10"/>
      <c r="O1294" s="10"/>
      <c r="P1294" s="10"/>
      <c r="Q1294" s="10"/>
      <c r="R1294" s="10"/>
      <c r="S1294" s="10"/>
      <c r="T1294" s="10"/>
      <c r="U1294" s="529"/>
      <c r="V1294" s="529"/>
    </row>
    <row r="1295">
      <c r="A1295" s="10"/>
      <c r="B1295" s="10"/>
      <c r="C1295" s="10"/>
      <c r="D1295" s="10"/>
      <c r="E1295" s="10"/>
      <c r="F1295" s="10"/>
      <c r="G1295" s="10"/>
      <c r="H1295" s="10"/>
      <c r="I1295" s="674"/>
      <c r="J1295" s="10"/>
      <c r="K1295" s="10"/>
      <c r="L1295" s="10"/>
      <c r="M1295" s="10"/>
      <c r="N1295" s="10"/>
      <c r="O1295" s="10"/>
      <c r="P1295" s="10"/>
      <c r="Q1295" s="10"/>
      <c r="R1295" s="10"/>
      <c r="S1295" s="10"/>
      <c r="T1295" s="10"/>
      <c r="U1295" s="529"/>
      <c r="V1295" s="529"/>
    </row>
    <row r="1296">
      <c r="A1296" s="10"/>
      <c r="B1296" s="10"/>
      <c r="C1296" s="10"/>
      <c r="D1296" s="10"/>
      <c r="E1296" s="10"/>
      <c r="F1296" s="10"/>
      <c r="G1296" s="10"/>
      <c r="H1296" s="10"/>
      <c r="I1296" s="674"/>
      <c r="J1296" s="10"/>
      <c r="K1296" s="10"/>
      <c r="L1296" s="10"/>
      <c r="M1296" s="10"/>
      <c r="N1296" s="10"/>
      <c r="O1296" s="10"/>
      <c r="P1296" s="10"/>
      <c r="Q1296" s="10"/>
      <c r="R1296" s="10"/>
      <c r="S1296" s="10"/>
      <c r="T1296" s="10"/>
      <c r="U1296" s="529"/>
      <c r="V1296" s="529"/>
    </row>
    <row r="1297">
      <c r="A1297" s="10"/>
      <c r="B1297" s="10"/>
      <c r="C1297" s="10"/>
      <c r="D1297" s="10"/>
      <c r="E1297" s="10"/>
      <c r="F1297" s="10"/>
      <c r="G1297" s="10"/>
      <c r="H1297" s="10"/>
      <c r="I1297" s="674"/>
      <c r="J1297" s="10"/>
      <c r="K1297" s="10"/>
      <c r="L1297" s="10"/>
      <c r="M1297" s="10"/>
      <c r="N1297" s="10"/>
      <c r="O1297" s="10"/>
      <c r="P1297" s="10"/>
      <c r="Q1297" s="10"/>
      <c r="R1297" s="10"/>
      <c r="S1297" s="10"/>
      <c r="T1297" s="10"/>
      <c r="U1297" s="529"/>
      <c r="V1297" s="529"/>
    </row>
    <row r="1298">
      <c r="A1298" s="10"/>
      <c r="B1298" s="10"/>
      <c r="C1298" s="10"/>
      <c r="D1298" s="10"/>
      <c r="E1298" s="10"/>
      <c r="F1298" s="10"/>
      <c r="G1298" s="10"/>
      <c r="H1298" s="10"/>
      <c r="I1298" s="674"/>
      <c r="J1298" s="10"/>
      <c r="K1298" s="10"/>
      <c r="L1298" s="10"/>
      <c r="M1298" s="10"/>
      <c r="N1298" s="10"/>
      <c r="O1298" s="10"/>
      <c r="P1298" s="10"/>
      <c r="Q1298" s="10"/>
      <c r="R1298" s="10"/>
      <c r="S1298" s="10"/>
      <c r="T1298" s="10"/>
      <c r="U1298" s="529"/>
      <c r="V1298" s="529"/>
    </row>
    <row r="1299">
      <c r="A1299" s="10"/>
      <c r="B1299" s="10"/>
      <c r="C1299" s="10"/>
      <c r="D1299" s="10"/>
      <c r="E1299" s="10"/>
      <c r="F1299" s="10"/>
      <c r="G1299" s="10"/>
      <c r="H1299" s="10"/>
      <c r="I1299" s="674"/>
      <c r="J1299" s="10"/>
      <c r="K1299" s="10"/>
      <c r="L1299" s="10"/>
      <c r="M1299" s="10"/>
      <c r="N1299" s="10"/>
      <c r="O1299" s="10"/>
      <c r="P1299" s="10"/>
      <c r="Q1299" s="10"/>
      <c r="R1299" s="10"/>
      <c r="S1299" s="10"/>
      <c r="T1299" s="10"/>
      <c r="U1299" s="529"/>
      <c r="V1299" s="529"/>
    </row>
  </sheetData>
  <mergeCells count="1">
    <mergeCell ref="R375:T375"/>
  </mergeCells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0" t="s">
        <v>1654</v>
      </c>
      <c r="B1" s="60" t="s">
        <v>1</v>
      </c>
      <c r="C1" s="192" t="s">
        <v>4161</v>
      </c>
    </row>
    <row r="2">
      <c r="A2" s="7" t="s">
        <v>3547</v>
      </c>
      <c r="C2" s="11">
        <v>189.0</v>
      </c>
    </row>
    <row r="3">
      <c r="A3" s="7" t="s">
        <v>3548</v>
      </c>
      <c r="C3" s="11">
        <v>13864.0</v>
      </c>
    </row>
    <row r="4">
      <c r="A4" s="7" t="s">
        <v>3549</v>
      </c>
      <c r="C4" s="11">
        <v>986.0</v>
      </c>
    </row>
    <row r="5">
      <c r="A5" s="7" t="s">
        <v>3550</v>
      </c>
      <c r="C5" s="11">
        <v>986.0</v>
      </c>
    </row>
    <row r="6">
      <c r="A6" s="7" t="s">
        <v>3551</v>
      </c>
      <c r="C6" s="11">
        <v>189.0</v>
      </c>
    </row>
    <row r="7">
      <c r="A7" s="7" t="s">
        <v>3552</v>
      </c>
      <c r="C7" s="11">
        <v>6675.0</v>
      </c>
    </row>
    <row r="8">
      <c r="A8" s="7" t="s">
        <v>3553</v>
      </c>
      <c r="C8" s="11">
        <v>663.0</v>
      </c>
    </row>
    <row r="9">
      <c r="A9" s="7" t="s">
        <v>3704</v>
      </c>
      <c r="C9" s="11">
        <v>8199.0</v>
      </c>
    </row>
    <row r="10">
      <c r="A10" s="7" t="s">
        <v>69</v>
      </c>
      <c r="C10" s="11">
        <v>6671.0</v>
      </c>
    </row>
    <row r="11">
      <c r="A11" s="7" t="s">
        <v>71</v>
      </c>
      <c r="C11" s="11">
        <v>6106.0</v>
      </c>
    </row>
    <row r="12">
      <c r="A12" s="7" t="s">
        <v>72</v>
      </c>
      <c r="B12" s="16"/>
      <c r="C12" s="16">
        <v>12553.0</v>
      </c>
    </row>
    <row r="13">
      <c r="A13" s="7" t="s">
        <v>73</v>
      </c>
      <c r="C13" s="11">
        <v>14248.0</v>
      </c>
    </row>
    <row r="14">
      <c r="A14" s="7" t="s">
        <v>74</v>
      </c>
      <c r="C14" s="11">
        <v>4193.0</v>
      </c>
    </row>
    <row r="15">
      <c r="A15" s="7" t="s">
        <v>76</v>
      </c>
    </row>
    <row r="16">
      <c r="A16" s="7" t="s">
        <v>77</v>
      </c>
      <c r="C16" s="11">
        <v>6675.0</v>
      </c>
    </row>
    <row r="17">
      <c r="A17" s="7" t="s">
        <v>78</v>
      </c>
      <c r="C17" s="11">
        <v>13952.0</v>
      </c>
    </row>
    <row r="18">
      <c r="A18" s="7" t="s">
        <v>80</v>
      </c>
      <c r="C18" s="11">
        <v>9307.0</v>
      </c>
    </row>
    <row r="19">
      <c r="A19" s="7" t="s">
        <v>81</v>
      </c>
      <c r="C19" s="11">
        <v>5125.0</v>
      </c>
    </row>
    <row r="20">
      <c r="A20" s="7" t="s">
        <v>82</v>
      </c>
      <c r="C20" s="11">
        <v>13951.0</v>
      </c>
    </row>
    <row r="21">
      <c r="A21" s="7" t="s">
        <v>83</v>
      </c>
      <c r="C21" s="11">
        <v>10856.0</v>
      </c>
    </row>
    <row r="22">
      <c r="A22" s="7" t="s">
        <v>84</v>
      </c>
    </row>
    <row r="23">
      <c r="A23" s="7" t="s">
        <v>85</v>
      </c>
      <c r="C23" s="11">
        <v>7157.0</v>
      </c>
    </row>
    <row r="24">
      <c r="A24" s="7" t="s">
        <v>86</v>
      </c>
    </row>
    <row r="25">
      <c r="A25" s="7" t="s">
        <v>87</v>
      </c>
      <c r="C25" s="11">
        <v>6887.0</v>
      </c>
    </row>
    <row r="26">
      <c r="A26" s="7" t="s">
        <v>88</v>
      </c>
      <c r="C26" s="11">
        <v>7100.0</v>
      </c>
    </row>
    <row r="27">
      <c r="A27" s="7" t="s">
        <v>89</v>
      </c>
      <c r="C27" s="11">
        <v>6629.0</v>
      </c>
    </row>
    <row r="28">
      <c r="A28" s="7" t="s">
        <v>90</v>
      </c>
      <c r="C28" s="11">
        <v>6875.0</v>
      </c>
    </row>
    <row r="29">
      <c r="A29" s="7" t="s">
        <v>91</v>
      </c>
    </row>
    <row r="30">
      <c r="A30" s="7" t="s">
        <v>92</v>
      </c>
    </row>
    <row r="31">
      <c r="A31" s="7" t="s">
        <v>93</v>
      </c>
    </row>
    <row r="32">
      <c r="A32" s="7" t="s">
        <v>94</v>
      </c>
    </row>
    <row r="33">
      <c r="A33" s="7" t="s">
        <v>95</v>
      </c>
      <c r="C33" s="11">
        <v>12550.0</v>
      </c>
    </row>
    <row r="34">
      <c r="A34" s="7" t="s">
        <v>96</v>
      </c>
    </row>
    <row r="35">
      <c r="A35" s="7" t="s">
        <v>97</v>
      </c>
    </row>
    <row r="36">
      <c r="A36" s="7" t="s">
        <v>98</v>
      </c>
    </row>
    <row r="37">
      <c r="A37" s="7" t="s">
        <v>99</v>
      </c>
      <c r="C37" s="11">
        <v>5458.0</v>
      </c>
    </row>
    <row r="38">
      <c r="A38" s="7" t="s">
        <v>100</v>
      </c>
      <c r="C38" s="11">
        <v>5458.0</v>
      </c>
    </row>
    <row r="39">
      <c r="A39" s="7" t="s">
        <v>101</v>
      </c>
    </row>
    <row r="40">
      <c r="A40" s="7" t="s">
        <v>102</v>
      </c>
      <c r="C40" s="11">
        <v>13862.0</v>
      </c>
    </row>
    <row r="41">
      <c r="A41" s="7" t="s">
        <v>103</v>
      </c>
    </row>
    <row r="42">
      <c r="A42" s="7" t="s">
        <v>104</v>
      </c>
    </row>
    <row r="43">
      <c r="A43" s="7" t="s">
        <v>105</v>
      </c>
    </row>
    <row r="44">
      <c r="A44" s="7" t="s">
        <v>3554</v>
      </c>
    </row>
    <row r="45">
      <c r="A45" s="7" t="s">
        <v>3555</v>
      </c>
    </row>
    <row r="46">
      <c r="A46" s="7" t="s">
        <v>3556</v>
      </c>
    </row>
    <row r="47">
      <c r="A47" s="7" t="s">
        <v>3557</v>
      </c>
    </row>
    <row r="48">
      <c r="A48" s="7" t="s">
        <v>3558</v>
      </c>
      <c r="B48" s="9"/>
      <c r="C48" s="9">
        <v>6706.0</v>
      </c>
    </row>
    <row r="49">
      <c r="A49" s="7" t="s">
        <v>3559</v>
      </c>
      <c r="B49" s="9"/>
      <c r="C49" s="9">
        <v>6706.0</v>
      </c>
    </row>
    <row r="50">
      <c r="A50" s="7" t="s">
        <v>3560</v>
      </c>
    </row>
    <row r="51">
      <c r="A51" s="7" t="s">
        <v>3561</v>
      </c>
    </row>
    <row r="52">
      <c r="A52" s="7" t="s">
        <v>3562</v>
      </c>
    </row>
    <row r="53">
      <c r="A53" s="7" t="s">
        <v>3563</v>
      </c>
      <c r="C53" s="11">
        <v>6802.0</v>
      </c>
    </row>
    <row r="54">
      <c r="A54" s="7" t="s">
        <v>3564</v>
      </c>
    </row>
    <row r="55">
      <c r="A55" s="7" t="s">
        <v>3565</v>
      </c>
    </row>
    <row r="56">
      <c r="A56" s="7" t="s">
        <v>3566</v>
      </c>
    </row>
    <row r="57">
      <c r="A57" s="7" t="s">
        <v>3567</v>
      </c>
    </row>
    <row r="58">
      <c r="A58" s="7" t="s">
        <v>3568</v>
      </c>
      <c r="C58" s="11">
        <v>6891.0</v>
      </c>
    </row>
    <row r="59">
      <c r="A59" s="7" t="s">
        <v>3569</v>
      </c>
      <c r="C59" s="11">
        <v>7083.0</v>
      </c>
    </row>
    <row r="60">
      <c r="A60" s="7" t="s">
        <v>3570</v>
      </c>
    </row>
    <row r="61">
      <c r="A61" s="7" t="s">
        <v>3571</v>
      </c>
    </row>
    <row r="62">
      <c r="A62" s="7" t="s">
        <v>3572</v>
      </c>
    </row>
    <row r="63">
      <c r="A63" s="7" t="s">
        <v>3573</v>
      </c>
      <c r="C63" s="11">
        <v>7149.0</v>
      </c>
    </row>
    <row r="64">
      <c r="A64" s="7" t="s">
        <v>3574</v>
      </c>
      <c r="C64" s="11">
        <v>7149.0</v>
      </c>
    </row>
    <row r="65">
      <c r="A65" s="7" t="s">
        <v>3575</v>
      </c>
      <c r="C65" s="11">
        <v>7149.0</v>
      </c>
    </row>
    <row r="66">
      <c r="A66" s="7" t="s">
        <v>3576</v>
      </c>
    </row>
    <row r="67">
      <c r="A67" s="7" t="s">
        <v>3577</v>
      </c>
    </row>
    <row r="68">
      <c r="A68" s="7" t="s">
        <v>3578</v>
      </c>
      <c r="C68" s="11">
        <v>6829.0</v>
      </c>
    </row>
    <row r="69">
      <c r="A69" s="7" t="s">
        <v>3579</v>
      </c>
    </row>
    <row r="70">
      <c r="A70" s="7" t="s">
        <v>3580</v>
      </c>
      <c r="C70" s="11">
        <v>6924.0</v>
      </c>
    </row>
    <row r="71">
      <c r="A71" s="7" t="s">
        <v>3581</v>
      </c>
    </row>
    <row r="72">
      <c r="A72" s="7" t="s">
        <v>3582</v>
      </c>
    </row>
    <row r="73">
      <c r="A73" s="7" t="s">
        <v>3583</v>
      </c>
      <c r="C73" s="11">
        <v>986.0</v>
      </c>
    </row>
    <row r="74">
      <c r="A74" s="7" t="s">
        <v>3584</v>
      </c>
      <c r="C74" s="11">
        <v>986.0</v>
      </c>
    </row>
    <row r="75">
      <c r="A75" s="7" t="s">
        <v>3586</v>
      </c>
      <c r="C75" s="11">
        <v>986.0</v>
      </c>
    </row>
    <row r="76">
      <c r="A76" s="7" t="s">
        <v>3587</v>
      </c>
      <c r="C76" s="11">
        <v>986.0</v>
      </c>
    </row>
    <row r="77">
      <c r="A77" s="7" t="s">
        <v>3588</v>
      </c>
      <c r="C77" s="11">
        <v>986.0</v>
      </c>
    </row>
    <row r="78">
      <c r="A78" s="7" t="s">
        <v>3589</v>
      </c>
      <c r="C78" s="11">
        <v>986.0</v>
      </c>
    </row>
    <row r="79">
      <c r="A79" s="7" t="s">
        <v>3590</v>
      </c>
      <c r="C79" s="11">
        <v>986.0</v>
      </c>
    </row>
    <row r="80">
      <c r="A80" s="7" t="s">
        <v>3591</v>
      </c>
    </row>
    <row r="81">
      <c r="A81" s="7" t="s">
        <v>3592</v>
      </c>
    </row>
    <row r="82">
      <c r="A82" s="7" t="s">
        <v>3593</v>
      </c>
      <c r="C82" s="11">
        <v>663.0</v>
      </c>
    </row>
    <row r="83">
      <c r="A83" s="7" t="s">
        <v>3595</v>
      </c>
    </row>
    <row r="84">
      <c r="A84" s="7" t="s">
        <v>3596</v>
      </c>
    </row>
    <row r="85">
      <c r="A85" s="7" t="s">
        <v>3597</v>
      </c>
    </row>
    <row r="86">
      <c r="A86" s="7" t="s">
        <v>3598</v>
      </c>
    </row>
    <row r="87">
      <c r="A87" s="7" t="s">
        <v>3599</v>
      </c>
      <c r="C87" s="11">
        <v>9746.0</v>
      </c>
    </row>
    <row r="88">
      <c r="A88" s="7" t="s">
        <v>3600</v>
      </c>
      <c r="C88" s="11">
        <v>6947.0</v>
      </c>
    </row>
    <row r="89">
      <c r="A89" s="7" t="s">
        <v>3601</v>
      </c>
      <c r="C89" s="11">
        <v>7142.0</v>
      </c>
    </row>
    <row r="90">
      <c r="A90" s="7" t="s">
        <v>3602</v>
      </c>
      <c r="C90" s="11">
        <v>986.0</v>
      </c>
    </row>
    <row r="91">
      <c r="A91" s="7" t="s">
        <v>3603</v>
      </c>
      <c r="C91" s="11">
        <v>986.0</v>
      </c>
    </row>
  </sheetData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1" t="s">
        <v>44</v>
      </c>
      <c r="B1" s="60" t="s">
        <v>19059</v>
      </c>
      <c r="E1" s="11" t="s">
        <v>19060</v>
      </c>
    </row>
    <row r="2">
      <c r="A2" s="11" t="s">
        <v>56</v>
      </c>
      <c r="C2" s="11">
        <v>2345.0</v>
      </c>
      <c r="E2" s="18" t="e">
        <v>#N/A</v>
      </c>
    </row>
    <row r="3">
      <c r="A3" s="11" t="s">
        <v>57</v>
      </c>
      <c r="C3" s="11">
        <v>2345.0</v>
      </c>
      <c r="D3" s="11">
        <v>6671.0</v>
      </c>
      <c r="E3" s="18" t="s">
        <v>19061</v>
      </c>
    </row>
    <row r="4">
      <c r="A4" s="11" t="s">
        <v>58</v>
      </c>
      <c r="C4" s="11">
        <v>2345.0</v>
      </c>
      <c r="D4" s="11">
        <v>6671.0</v>
      </c>
      <c r="E4" s="18" t="s">
        <v>19061</v>
      </c>
      <c r="F4" s="358"/>
    </row>
    <row r="5">
      <c r="A5" s="11" t="s">
        <v>59</v>
      </c>
      <c r="C5" s="11">
        <v>2345.0</v>
      </c>
      <c r="D5" s="11">
        <v>6671.0</v>
      </c>
      <c r="E5" s="18" t="s">
        <v>19061</v>
      </c>
      <c r="F5" s="358"/>
    </row>
    <row r="6">
      <c r="A6" s="11" t="s">
        <v>60</v>
      </c>
      <c r="C6" s="11">
        <v>2345.0</v>
      </c>
      <c r="E6" s="18" t="s">
        <v>19061</v>
      </c>
      <c r="F6" s="358"/>
    </row>
    <row r="7">
      <c r="A7" s="11" t="s">
        <v>61</v>
      </c>
      <c r="C7" s="11">
        <v>189.0</v>
      </c>
      <c r="E7" s="18" t="s">
        <v>19061</v>
      </c>
    </row>
    <row r="8">
      <c r="A8" s="11" t="s">
        <v>62</v>
      </c>
      <c r="C8" s="11">
        <v>189.0</v>
      </c>
      <c r="E8" s="18" t="s">
        <v>19061</v>
      </c>
      <c r="G8" s="358"/>
    </row>
    <row r="9">
      <c r="A9" s="11" t="s">
        <v>63</v>
      </c>
      <c r="C9" s="11">
        <v>189.0</v>
      </c>
      <c r="E9" s="18" t="s">
        <v>19061</v>
      </c>
      <c r="F9" s="358"/>
    </row>
    <row r="10">
      <c r="A10" s="11" t="s">
        <v>64</v>
      </c>
      <c r="C10" s="11">
        <v>189.0</v>
      </c>
      <c r="E10" s="18" t="s">
        <v>19061</v>
      </c>
      <c r="F10" s="358"/>
    </row>
    <row r="11">
      <c r="A11" s="11" t="s">
        <v>504</v>
      </c>
      <c r="C11" s="11">
        <v>189.0</v>
      </c>
      <c r="E11" s="18" t="s">
        <v>19061</v>
      </c>
      <c r="F11" s="358"/>
    </row>
    <row r="12">
      <c r="A12" s="11" t="s">
        <v>505</v>
      </c>
      <c r="C12" s="11">
        <v>189.0</v>
      </c>
      <c r="E12" s="18" t="s">
        <v>19061</v>
      </c>
      <c r="F12" s="358"/>
    </row>
    <row r="13">
      <c r="A13" s="11" t="s">
        <v>506</v>
      </c>
      <c r="C13" s="11">
        <v>189.0</v>
      </c>
      <c r="E13" s="18" t="s">
        <v>19061</v>
      </c>
      <c r="F13" s="358"/>
    </row>
    <row r="14">
      <c r="A14" s="11" t="s">
        <v>507</v>
      </c>
      <c r="C14" s="11">
        <v>189.0</v>
      </c>
      <c r="E14" s="18" t="s">
        <v>19061</v>
      </c>
      <c r="F14" s="358"/>
    </row>
    <row r="15">
      <c r="A15" s="11" t="s">
        <v>508</v>
      </c>
      <c r="C15" s="11">
        <v>189.0</v>
      </c>
      <c r="E15" s="18" t="s">
        <v>19061</v>
      </c>
      <c r="F15" s="358"/>
    </row>
    <row r="16">
      <c r="A16" s="11" t="s">
        <v>509</v>
      </c>
      <c r="C16" s="11">
        <v>189.0</v>
      </c>
      <c r="E16" s="18" t="s">
        <v>19061</v>
      </c>
      <c r="F16" s="358"/>
    </row>
    <row r="17">
      <c r="A17" s="11" t="s">
        <v>510</v>
      </c>
      <c r="C17" s="11">
        <v>6658.0</v>
      </c>
      <c r="E17" s="18" t="e">
        <v>#N/A</v>
      </c>
      <c r="F17" s="358"/>
    </row>
    <row r="18">
      <c r="A18" s="11" t="s">
        <v>511</v>
      </c>
      <c r="C18" s="11">
        <v>6557.0</v>
      </c>
      <c r="E18" s="18" t="s">
        <v>19061</v>
      </c>
      <c r="F18" s="358"/>
    </row>
    <row r="19">
      <c r="A19" s="11" t="s">
        <v>512</v>
      </c>
      <c r="C19" s="11">
        <v>6557.0</v>
      </c>
      <c r="E19" s="18" t="s">
        <v>19061</v>
      </c>
      <c r="F19" s="358"/>
    </row>
    <row r="20">
      <c r="A20" s="11" t="s">
        <v>513</v>
      </c>
      <c r="C20" s="11">
        <v>2345.0</v>
      </c>
      <c r="D20" s="11">
        <v>6779.0</v>
      </c>
      <c r="E20" s="18" t="s">
        <v>19061</v>
      </c>
      <c r="F20" s="358"/>
    </row>
    <row r="21">
      <c r="A21" s="11" t="s">
        <v>514</v>
      </c>
      <c r="C21" s="11">
        <v>2345.0</v>
      </c>
      <c r="E21" s="18" t="s">
        <v>19061</v>
      </c>
      <c r="F21" s="358"/>
    </row>
    <row r="22">
      <c r="A22" s="11" t="s">
        <v>515</v>
      </c>
      <c r="C22" s="11">
        <v>6132.0</v>
      </c>
      <c r="E22" s="18" t="s">
        <v>19061</v>
      </c>
      <c r="F22" s="358"/>
    </row>
    <row r="23">
      <c r="A23" s="11" t="s">
        <v>516</v>
      </c>
      <c r="C23" s="11">
        <v>6772.0</v>
      </c>
      <c r="E23" s="18" t="s">
        <v>19061</v>
      </c>
      <c r="F23" s="358"/>
    </row>
    <row r="24">
      <c r="A24" s="11" t="s">
        <v>517</v>
      </c>
      <c r="C24" s="11">
        <v>6732.0</v>
      </c>
      <c r="E24" s="18" t="s">
        <v>19061</v>
      </c>
      <c r="F24" s="358"/>
    </row>
    <row r="25">
      <c r="A25" s="11" t="s">
        <v>518</v>
      </c>
      <c r="C25" s="11">
        <v>6732.0</v>
      </c>
      <c r="E25" s="18" t="s">
        <v>19061</v>
      </c>
      <c r="F25" s="358"/>
    </row>
    <row r="26">
      <c r="A26" s="11" t="s">
        <v>519</v>
      </c>
      <c r="C26" s="11">
        <v>986.0</v>
      </c>
      <c r="E26" s="18" t="s">
        <v>19061</v>
      </c>
      <c r="F26" s="358"/>
    </row>
    <row r="27">
      <c r="A27" s="11" t="s">
        <v>520</v>
      </c>
      <c r="C27" s="11">
        <v>986.0</v>
      </c>
      <c r="E27" s="18" t="e">
        <v>#N/A</v>
      </c>
      <c r="F27" s="358"/>
    </row>
    <row r="28">
      <c r="A28" s="11" t="s">
        <v>521</v>
      </c>
      <c r="C28" s="11">
        <v>986.0</v>
      </c>
      <c r="E28" s="18" t="s">
        <v>19061</v>
      </c>
      <c r="F28" s="358"/>
    </row>
    <row r="29">
      <c r="A29" s="11" t="s">
        <v>522</v>
      </c>
      <c r="C29" s="11">
        <v>986.0</v>
      </c>
      <c r="E29" s="18" t="s">
        <v>19061</v>
      </c>
      <c r="F29" s="358"/>
    </row>
    <row r="30">
      <c r="A30" s="11" t="s">
        <v>523</v>
      </c>
      <c r="C30" s="11">
        <v>986.0</v>
      </c>
      <c r="E30" s="18" t="s">
        <v>19061</v>
      </c>
      <c r="F30" s="358"/>
    </row>
    <row r="31">
      <c r="A31" s="11" t="s">
        <v>524</v>
      </c>
      <c r="C31" s="11">
        <v>986.0</v>
      </c>
      <c r="E31" s="18" t="s">
        <v>19061</v>
      </c>
      <c r="F31" s="358"/>
    </row>
    <row r="32">
      <c r="A32" s="11" t="s">
        <v>525</v>
      </c>
      <c r="C32" s="11">
        <v>136.0</v>
      </c>
      <c r="D32" s="11">
        <v>6875.0</v>
      </c>
      <c r="E32" s="18" t="s">
        <v>19061</v>
      </c>
      <c r="F32" s="358"/>
    </row>
    <row r="33">
      <c r="A33" s="11" t="s">
        <v>526</v>
      </c>
      <c r="C33" s="11">
        <v>663.0</v>
      </c>
      <c r="E33" s="18" t="s">
        <v>19061</v>
      </c>
      <c r="F33" s="358"/>
    </row>
    <row r="34">
      <c r="A34" s="11" t="s">
        <v>527</v>
      </c>
      <c r="C34" s="11">
        <v>6827.0</v>
      </c>
      <c r="E34" s="18" t="s">
        <v>19061</v>
      </c>
      <c r="F34" s="358"/>
    </row>
    <row r="35">
      <c r="A35" s="11" t="s">
        <v>528</v>
      </c>
      <c r="C35" s="11">
        <v>663.0</v>
      </c>
      <c r="E35" s="18" t="s">
        <v>19061</v>
      </c>
      <c r="F35" s="358"/>
    </row>
    <row r="36">
      <c r="A36" s="11" t="s">
        <v>529</v>
      </c>
      <c r="C36" s="11">
        <v>5458.0</v>
      </c>
      <c r="E36" s="18" t="s">
        <v>19061</v>
      </c>
      <c r="F36" s="358"/>
    </row>
    <row r="37">
      <c r="A37" s="11" t="s">
        <v>530</v>
      </c>
      <c r="C37" s="11">
        <v>5458.0</v>
      </c>
      <c r="E37" s="18" t="s">
        <v>19061</v>
      </c>
      <c r="F37" s="358"/>
    </row>
    <row r="38">
      <c r="A38" s="60" t="s">
        <v>531</v>
      </c>
      <c r="C38" s="11">
        <v>3607.0</v>
      </c>
      <c r="E38" s="18" t="s">
        <v>19061</v>
      </c>
      <c r="F38" s="358"/>
    </row>
    <row r="39">
      <c r="A39" s="60" t="s">
        <v>532</v>
      </c>
      <c r="C39" s="11">
        <v>3607.0</v>
      </c>
      <c r="E39" s="18" t="s">
        <v>19061</v>
      </c>
      <c r="F39" s="358"/>
    </row>
    <row r="40">
      <c r="A40" s="11" t="s">
        <v>533</v>
      </c>
      <c r="C40" s="11">
        <v>6779.0</v>
      </c>
      <c r="D40" s="11">
        <v>6676.0</v>
      </c>
      <c r="E40" s="18" t="s">
        <v>19061</v>
      </c>
      <c r="F40" s="358"/>
    </row>
    <row r="41">
      <c r="A41" s="11" t="s">
        <v>534</v>
      </c>
      <c r="C41" s="11">
        <v>3607.0</v>
      </c>
      <c r="E41" s="18" t="s">
        <v>19061</v>
      </c>
      <c r="F41" s="358"/>
    </row>
    <row r="42">
      <c r="A42" s="11" t="s">
        <v>535</v>
      </c>
      <c r="C42" s="11">
        <v>3607.0</v>
      </c>
      <c r="E42" s="18" t="s">
        <v>19061</v>
      </c>
      <c r="F42" s="358"/>
    </row>
    <row r="43">
      <c r="A43" s="60" t="s">
        <v>536</v>
      </c>
      <c r="C43" s="11">
        <v>3607.0</v>
      </c>
      <c r="E43" s="18" t="s">
        <v>19061</v>
      </c>
      <c r="F43" s="358"/>
    </row>
    <row r="44">
      <c r="A44" s="60" t="s">
        <v>537</v>
      </c>
      <c r="C44" s="11">
        <v>3607.0</v>
      </c>
      <c r="E44" s="18" t="s">
        <v>19061</v>
      </c>
      <c r="F44" s="358"/>
    </row>
    <row r="45">
      <c r="A45" s="11" t="s">
        <v>538</v>
      </c>
      <c r="C45" s="11">
        <v>2345.0</v>
      </c>
      <c r="E45" s="18" t="s">
        <v>19061</v>
      </c>
      <c r="F45" s="358"/>
    </row>
    <row r="46">
      <c r="A46" s="11" t="s">
        <v>539</v>
      </c>
      <c r="C46" s="11">
        <v>2345.0</v>
      </c>
      <c r="E46" s="18" t="s">
        <v>19061</v>
      </c>
      <c r="F46" s="358"/>
    </row>
    <row r="47">
      <c r="A47" s="11" t="s">
        <v>540</v>
      </c>
      <c r="C47" s="11">
        <v>2345.0</v>
      </c>
      <c r="E47" s="18" t="s">
        <v>19061</v>
      </c>
      <c r="F47" s="358"/>
    </row>
    <row r="48">
      <c r="A48" s="11" t="s">
        <v>541</v>
      </c>
      <c r="C48" s="11">
        <v>2345.0</v>
      </c>
      <c r="E48" s="18" t="s">
        <v>19061</v>
      </c>
      <c r="F48" s="358"/>
    </row>
    <row r="49">
      <c r="A49" s="11" t="s">
        <v>542</v>
      </c>
      <c r="C49" s="11">
        <v>2345.0</v>
      </c>
      <c r="D49" s="11">
        <v>6779.0</v>
      </c>
      <c r="E49" s="18" t="s">
        <v>19061</v>
      </c>
      <c r="F49" s="358"/>
    </row>
    <row r="50">
      <c r="A50" s="60" t="s">
        <v>543</v>
      </c>
      <c r="C50" s="11">
        <v>3607.0</v>
      </c>
      <c r="E50" s="18" t="s">
        <v>19061</v>
      </c>
      <c r="F50" s="358"/>
    </row>
    <row r="51">
      <c r="A51" s="60" t="s">
        <v>544</v>
      </c>
      <c r="C51" s="11">
        <v>3607.0</v>
      </c>
      <c r="E51" s="18" t="s">
        <v>19061</v>
      </c>
      <c r="F51" s="358"/>
    </row>
    <row r="52">
      <c r="A52" s="60" t="s">
        <v>545</v>
      </c>
      <c r="C52" s="11">
        <v>3607.0</v>
      </c>
      <c r="E52" s="18" t="s">
        <v>19061</v>
      </c>
      <c r="F52" s="358"/>
    </row>
    <row r="53">
      <c r="A53" s="11" t="s">
        <v>546</v>
      </c>
      <c r="C53" s="11">
        <v>3142.0</v>
      </c>
      <c r="E53" s="18" t="e">
        <v>#N/A</v>
      </c>
      <c r="F53" s="358"/>
    </row>
    <row r="54">
      <c r="A54" s="11" t="s">
        <v>547</v>
      </c>
      <c r="C54" s="11">
        <v>3607.0</v>
      </c>
      <c r="E54" s="18" t="s">
        <v>19061</v>
      </c>
      <c r="F54" s="358"/>
    </row>
    <row r="55">
      <c r="A55" s="11" t="s">
        <v>548</v>
      </c>
      <c r="C55" s="11">
        <v>3607.0</v>
      </c>
      <c r="E55" s="18" t="e">
        <v>#N/A</v>
      </c>
      <c r="F55" s="358"/>
    </row>
    <row r="56">
      <c r="A56" s="11" t="s">
        <v>549</v>
      </c>
      <c r="C56" s="11">
        <v>3607.0</v>
      </c>
      <c r="E56" s="18" t="e">
        <v>#N/A</v>
      </c>
      <c r="F56" s="358"/>
    </row>
    <row r="57">
      <c r="A57" s="11" t="s">
        <v>550</v>
      </c>
      <c r="C57" s="11">
        <v>3607.0</v>
      </c>
      <c r="E57" s="18" t="s">
        <v>19061</v>
      </c>
      <c r="F57" s="358"/>
    </row>
    <row r="58">
      <c r="A58" s="11" t="s">
        <v>551</v>
      </c>
      <c r="C58" s="11">
        <v>3607.0</v>
      </c>
      <c r="E58" s="18" t="s">
        <v>19061</v>
      </c>
      <c r="F58" s="358"/>
    </row>
    <row r="59">
      <c r="A59" s="11" t="s">
        <v>552</v>
      </c>
      <c r="C59" s="11">
        <v>669.0</v>
      </c>
      <c r="E59" s="18" t="s">
        <v>19061</v>
      </c>
      <c r="F59" s="358"/>
    </row>
    <row r="60">
      <c r="A60" s="11" t="s">
        <v>553</v>
      </c>
      <c r="C60" s="11">
        <v>6133.0</v>
      </c>
      <c r="E60" s="18" t="e">
        <v>#N/A</v>
      </c>
      <c r="F60" s="358"/>
    </row>
    <row r="61">
      <c r="A61" s="11" t="s">
        <v>554</v>
      </c>
      <c r="C61" s="11">
        <v>6133.0</v>
      </c>
      <c r="E61" s="18" t="e">
        <v>#N/A</v>
      </c>
      <c r="F61" s="358"/>
    </row>
    <row r="62">
      <c r="A62" s="11" t="s">
        <v>19062</v>
      </c>
      <c r="D62" s="11">
        <v>6732.0</v>
      </c>
      <c r="E62" s="18" t="e">
        <v>#N/A</v>
      </c>
      <c r="F62" s="358"/>
    </row>
    <row r="63">
      <c r="A63" s="11" t="s">
        <v>19063</v>
      </c>
      <c r="C63" s="11">
        <v>2345.0</v>
      </c>
      <c r="E63" s="18" t="e">
        <v>#N/A</v>
      </c>
      <c r="F63" s="358"/>
    </row>
    <row r="64">
      <c r="A64" s="11" t="s">
        <v>19064</v>
      </c>
      <c r="C64" s="11">
        <v>2345.0</v>
      </c>
      <c r="E64" s="18" t="s">
        <v>19061</v>
      </c>
      <c r="F64" s="358"/>
    </row>
    <row r="65">
      <c r="A65" s="11" t="s">
        <v>19065</v>
      </c>
      <c r="C65" s="11">
        <v>2345.0</v>
      </c>
      <c r="E65" s="18" t="e">
        <v>#N/A</v>
      </c>
      <c r="F65" s="358"/>
    </row>
    <row r="66">
      <c r="A66" s="11" t="s">
        <v>19066</v>
      </c>
      <c r="C66" s="11">
        <v>2345.0</v>
      </c>
      <c r="E66" s="18" t="e">
        <v>#N/A</v>
      </c>
      <c r="F66" s="358"/>
    </row>
    <row r="67">
      <c r="A67" s="11" t="s">
        <v>19067</v>
      </c>
      <c r="C67" s="11">
        <v>2345.0</v>
      </c>
      <c r="E67" s="18" t="e">
        <v>#N/A</v>
      </c>
      <c r="F67" s="358"/>
    </row>
    <row r="68">
      <c r="A68" s="11" t="s">
        <v>19068</v>
      </c>
      <c r="C68" s="11">
        <v>6732.0</v>
      </c>
      <c r="E68" s="18" t="s">
        <v>19061</v>
      </c>
      <c r="F68" s="358"/>
    </row>
    <row r="69">
      <c r="A69" s="11" t="s">
        <v>19069</v>
      </c>
      <c r="C69" s="11">
        <v>2345.0</v>
      </c>
      <c r="E69" s="18" t="e">
        <v>#N/A</v>
      </c>
      <c r="F69" s="358"/>
    </row>
    <row r="70">
      <c r="A70" s="11" t="s">
        <v>19070</v>
      </c>
      <c r="C70" s="11">
        <v>2345.0</v>
      </c>
      <c r="E70" s="18" t="e">
        <v>#N/A</v>
      </c>
      <c r="F70" s="358"/>
    </row>
    <row r="71">
      <c r="A71" s="11" t="s">
        <v>19071</v>
      </c>
      <c r="C71" s="11">
        <v>2345.0</v>
      </c>
      <c r="E71" s="18" t="s">
        <v>19061</v>
      </c>
      <c r="F71" s="358"/>
    </row>
    <row r="72">
      <c r="A72" s="11" t="s">
        <v>19072</v>
      </c>
      <c r="C72" s="11">
        <v>2345.0</v>
      </c>
      <c r="E72" s="18" t="e">
        <v>#N/A</v>
      </c>
      <c r="F72" s="358"/>
    </row>
    <row r="73">
      <c r="A73" s="11" t="s">
        <v>19073</v>
      </c>
      <c r="C73" s="11">
        <v>2345.0</v>
      </c>
      <c r="E73" s="18" t="e">
        <v>#N/A</v>
      </c>
      <c r="F73" s="358"/>
    </row>
    <row r="74">
      <c r="A74" s="11" t="s">
        <v>19074</v>
      </c>
      <c r="C74" s="11">
        <v>2345.0</v>
      </c>
      <c r="E74" s="18" t="s">
        <v>19061</v>
      </c>
      <c r="F74" s="358"/>
    </row>
    <row r="75">
      <c r="A75" s="11" t="s">
        <v>19075</v>
      </c>
      <c r="C75" s="11">
        <v>6924.0</v>
      </c>
      <c r="E75" s="18" t="s">
        <v>19061</v>
      </c>
      <c r="F75" s="358"/>
    </row>
    <row r="76">
      <c r="A76" s="11" t="s">
        <v>19076</v>
      </c>
      <c r="C76" s="11">
        <v>3607.0</v>
      </c>
      <c r="E76" s="18" t="s">
        <v>19061</v>
      </c>
      <c r="F76" s="358"/>
    </row>
    <row r="77">
      <c r="A77" s="11" t="s">
        <v>19077</v>
      </c>
      <c r="C77" s="11">
        <v>3607.0</v>
      </c>
      <c r="E77" s="18" t="s">
        <v>19061</v>
      </c>
      <c r="F77" s="358"/>
    </row>
    <row r="78">
      <c r="A78" s="11" t="s">
        <v>19078</v>
      </c>
      <c r="C78" s="11">
        <v>930.0</v>
      </c>
      <c r="E78" s="18" t="e">
        <v>#N/A</v>
      </c>
      <c r="F78" s="358"/>
    </row>
    <row r="79">
      <c r="A79" s="11" t="s">
        <v>19079</v>
      </c>
      <c r="C79" s="11">
        <v>3607.0</v>
      </c>
      <c r="E79" s="18" t="s">
        <v>19061</v>
      </c>
      <c r="F79" s="358"/>
    </row>
    <row r="80">
      <c r="A80" s="11" t="s">
        <v>19080</v>
      </c>
      <c r="C80" s="11">
        <v>3607.0</v>
      </c>
      <c r="E80" s="18" t="s">
        <v>19061</v>
      </c>
      <c r="F80" s="358"/>
    </row>
    <row r="81">
      <c r="A81" s="11" t="s">
        <v>19081</v>
      </c>
      <c r="C81" s="11">
        <v>2207.0</v>
      </c>
      <c r="E81" s="18" t="s">
        <v>19061</v>
      </c>
      <c r="F81" s="358"/>
    </row>
    <row r="82">
      <c r="A82" s="11" t="s">
        <v>19082</v>
      </c>
      <c r="C82" s="11">
        <v>136.0</v>
      </c>
      <c r="D82" s="11">
        <v>6732.0</v>
      </c>
      <c r="E82" s="18" t="e">
        <v>#N/A</v>
      </c>
      <c r="F82" s="358"/>
    </row>
    <row r="83">
      <c r="A83" s="11" t="s">
        <v>19083</v>
      </c>
      <c r="C83" s="11">
        <v>6732.0</v>
      </c>
      <c r="E83" s="18" t="s">
        <v>19061</v>
      </c>
      <c r="F83" s="358"/>
    </row>
    <row r="84">
      <c r="A84" s="11" t="s">
        <v>19084</v>
      </c>
      <c r="C84" s="11">
        <v>6732.0</v>
      </c>
      <c r="E84" s="18" t="e">
        <v>#N/A</v>
      </c>
      <c r="F84" s="358"/>
    </row>
    <row r="85">
      <c r="A85" s="11" t="s">
        <v>19085</v>
      </c>
      <c r="C85" s="11">
        <v>6732.0</v>
      </c>
      <c r="E85" s="18" t="e">
        <v>#N/A</v>
      </c>
      <c r="F85" s="358"/>
    </row>
    <row r="86">
      <c r="A86" s="11" t="s">
        <v>19086</v>
      </c>
      <c r="C86" s="11">
        <v>3607.0</v>
      </c>
      <c r="E86" s="18" t="s">
        <v>19061</v>
      </c>
      <c r="F86" s="358"/>
    </row>
    <row r="87">
      <c r="A87" s="11" t="s">
        <v>19087</v>
      </c>
      <c r="C87" s="11">
        <v>3607.0</v>
      </c>
      <c r="E87" s="18" t="s">
        <v>19061</v>
      </c>
      <c r="F87" s="358"/>
    </row>
    <row r="88">
      <c r="A88" s="11" t="s">
        <v>19088</v>
      </c>
      <c r="C88" s="11">
        <v>3607.0</v>
      </c>
      <c r="E88" s="18" t="s">
        <v>19061</v>
      </c>
      <c r="F88" s="358"/>
    </row>
    <row r="89">
      <c r="A89" s="11" t="s">
        <v>19089</v>
      </c>
      <c r="C89" s="11">
        <v>3607.0</v>
      </c>
      <c r="E89" s="18" t="s">
        <v>19061</v>
      </c>
      <c r="F89" s="358"/>
    </row>
    <row r="90">
      <c r="A90" s="11" t="s">
        <v>19090</v>
      </c>
      <c r="C90" s="11">
        <v>6750.0</v>
      </c>
      <c r="E90" s="18" t="e">
        <v>#N/A</v>
      </c>
      <c r="F90" s="358"/>
    </row>
    <row r="91">
      <c r="A91" s="11" t="s">
        <v>19091</v>
      </c>
      <c r="C91" s="11">
        <v>6736.0</v>
      </c>
      <c r="E91" s="18" t="s">
        <v>19061</v>
      </c>
      <c r="F91" s="358"/>
    </row>
    <row r="92">
      <c r="A92" s="192" t="s">
        <v>19092</v>
      </c>
      <c r="C92" s="11">
        <v>6947.0</v>
      </c>
      <c r="E92" s="18" t="s">
        <v>19061</v>
      </c>
      <c r="F92" s="358"/>
    </row>
    <row r="93">
      <c r="A93" s="11" t="s">
        <v>19093</v>
      </c>
      <c r="C93" s="11">
        <v>6727.0</v>
      </c>
      <c r="E93" s="18" t="s">
        <v>19061</v>
      </c>
      <c r="F93" s="358"/>
    </row>
    <row r="94">
      <c r="A94" s="11" t="s">
        <v>19094</v>
      </c>
      <c r="C94" s="11">
        <v>2345.0</v>
      </c>
      <c r="E94" s="18" t="e">
        <v>#N/A</v>
      </c>
      <c r="F94" s="358"/>
    </row>
    <row r="95">
      <c r="A95" s="11" t="s">
        <v>19095</v>
      </c>
      <c r="C95" s="11">
        <v>6998.0</v>
      </c>
      <c r="E95" s="18" t="e">
        <v>#N/A</v>
      </c>
      <c r="F95" s="358"/>
    </row>
    <row r="96">
      <c r="A96" s="11" t="s">
        <v>19096</v>
      </c>
      <c r="C96" s="11">
        <v>6779.0</v>
      </c>
      <c r="E96" s="18" t="e">
        <v>#N/A</v>
      </c>
      <c r="F96" s="358"/>
    </row>
    <row r="97">
      <c r="A97" s="11" t="s">
        <v>19097</v>
      </c>
      <c r="C97" s="11">
        <v>7030.0</v>
      </c>
      <c r="D97" s="11">
        <v>6779.0</v>
      </c>
      <c r="E97" s="18" t="e">
        <v>#N/A</v>
      </c>
      <c r="F97" s="358"/>
    </row>
    <row r="98">
      <c r="A98" s="11" t="s">
        <v>19098</v>
      </c>
      <c r="C98" s="11">
        <v>669.0</v>
      </c>
      <c r="E98" s="18" t="s">
        <v>19061</v>
      </c>
      <c r="F98" s="358"/>
    </row>
    <row r="99">
      <c r="A99" s="11" t="s">
        <v>19099</v>
      </c>
      <c r="C99" s="11">
        <v>669.0</v>
      </c>
      <c r="E99" s="18" t="e">
        <v>#N/A</v>
      </c>
      <c r="F99" s="358"/>
    </row>
    <row r="100">
      <c r="A100" s="11" t="s">
        <v>19100</v>
      </c>
      <c r="C100" s="11">
        <v>669.0</v>
      </c>
      <c r="E100" s="18" t="e">
        <v>#N/A</v>
      </c>
      <c r="F100" s="358"/>
    </row>
    <row r="101">
      <c r="A101" s="11" t="s">
        <v>19101</v>
      </c>
      <c r="C101" s="11">
        <v>669.0</v>
      </c>
      <c r="E101" s="18" t="e">
        <v>#N/A</v>
      </c>
      <c r="F101" s="358"/>
    </row>
    <row r="102">
      <c r="A102" s="11" t="s">
        <v>19102</v>
      </c>
      <c r="C102" s="11">
        <v>6727.0</v>
      </c>
      <c r="E102" s="18" t="e">
        <v>#N/A</v>
      </c>
      <c r="F102" s="358"/>
    </row>
    <row r="103">
      <c r="A103" s="11" t="s">
        <v>19103</v>
      </c>
      <c r="C103" s="11">
        <v>6727.0</v>
      </c>
      <c r="E103" s="18" t="e">
        <v>#N/A</v>
      </c>
      <c r="F103" s="358"/>
    </row>
    <row r="104">
      <c r="A104" s="11" t="s">
        <v>19104</v>
      </c>
      <c r="C104" s="11">
        <v>1360.0</v>
      </c>
      <c r="E104" s="18" t="e">
        <v>#N/A</v>
      </c>
      <c r="F104" s="358"/>
    </row>
    <row r="105">
      <c r="A105" s="11" t="s">
        <v>19105</v>
      </c>
      <c r="C105" s="11">
        <v>6671.0</v>
      </c>
      <c r="E105" s="18" t="e">
        <v>#N/A</v>
      </c>
      <c r="F105" s="358"/>
    </row>
    <row r="106">
      <c r="A106" s="11" t="s">
        <v>19106</v>
      </c>
      <c r="C106" s="11">
        <v>6671.0</v>
      </c>
      <c r="E106" s="18" t="s">
        <v>19061</v>
      </c>
      <c r="F106" s="477"/>
    </row>
    <row r="107">
      <c r="A107" s="11" t="s">
        <v>19107</v>
      </c>
      <c r="C107" s="11">
        <v>6671.0</v>
      </c>
      <c r="E107" s="18" t="e">
        <v>#N/A</v>
      </c>
      <c r="F107" s="477"/>
    </row>
    <row r="108">
      <c r="A108" s="11" t="s">
        <v>19108</v>
      </c>
      <c r="C108" s="11">
        <v>467.0</v>
      </c>
      <c r="E108" s="18" t="e">
        <v>#N/A</v>
      </c>
      <c r="F108" s="358"/>
    </row>
    <row r="109">
      <c r="A109" s="11" t="s">
        <v>19109</v>
      </c>
      <c r="C109" s="11">
        <v>467.0</v>
      </c>
      <c r="E109" s="18" t="e">
        <v>#N/A</v>
      </c>
      <c r="F109" s="358"/>
    </row>
    <row r="110">
      <c r="A110" s="11" t="s">
        <v>19110</v>
      </c>
      <c r="C110" s="11">
        <v>6978.0</v>
      </c>
      <c r="E110" s="18" t="e">
        <v>#N/A</v>
      </c>
      <c r="F110" s="358"/>
    </row>
    <row r="111">
      <c r="A111" s="11" t="s">
        <v>19111</v>
      </c>
      <c r="C111" s="11">
        <v>499.0</v>
      </c>
      <c r="E111" s="18" t="e">
        <v>#N/A</v>
      </c>
      <c r="F111" s="358"/>
    </row>
    <row r="112">
      <c r="A112" s="11" t="s">
        <v>1823</v>
      </c>
      <c r="C112" s="11">
        <v>3607.0</v>
      </c>
      <c r="E112" s="18" t="s">
        <v>19061</v>
      </c>
      <c r="F112" s="358"/>
    </row>
    <row r="113">
      <c r="A113" s="11" t="s">
        <v>1808</v>
      </c>
      <c r="C113" s="11">
        <v>3607.0</v>
      </c>
      <c r="E113" s="18" t="e">
        <v>#N/A</v>
      </c>
      <c r="F113" s="358"/>
    </row>
    <row r="114">
      <c r="A114" s="11" t="s">
        <v>1809</v>
      </c>
      <c r="C114" s="11">
        <v>6728.0</v>
      </c>
      <c r="D114" s="11">
        <v>6779.0</v>
      </c>
      <c r="E114" s="18" t="e">
        <v>#N/A</v>
      </c>
      <c r="F114" s="358"/>
    </row>
    <row r="115">
      <c r="A115" s="11" t="s">
        <v>1810</v>
      </c>
      <c r="C115" s="11">
        <v>3607.0</v>
      </c>
      <c r="E115" s="18" t="e">
        <v>#N/A</v>
      </c>
      <c r="F115" s="358"/>
    </row>
    <row r="116">
      <c r="A116" s="11" t="s">
        <v>1812</v>
      </c>
      <c r="C116" s="11">
        <v>3607.0</v>
      </c>
      <c r="E116" s="18" t="e">
        <v>#N/A</v>
      </c>
      <c r="F116" s="358"/>
    </row>
    <row r="117">
      <c r="A117" s="11" t="s">
        <v>1813</v>
      </c>
      <c r="C117" s="11">
        <v>3607.0</v>
      </c>
      <c r="E117" s="18" t="e">
        <v>#N/A</v>
      </c>
      <c r="F117" s="358"/>
    </row>
    <row r="118">
      <c r="A118" s="11" t="s">
        <v>1830</v>
      </c>
      <c r="C118" s="11">
        <v>6727.0</v>
      </c>
      <c r="E118" s="18" t="e">
        <v>#N/A</v>
      </c>
    </row>
    <row r="119">
      <c r="A119" s="11" t="s">
        <v>1814</v>
      </c>
      <c r="C119" s="11">
        <v>6727.0</v>
      </c>
      <c r="E119" s="18" t="e">
        <v>#N/A</v>
      </c>
    </row>
    <row r="120">
      <c r="A120" s="11" t="s">
        <v>1815</v>
      </c>
      <c r="C120" s="11">
        <v>3920.0</v>
      </c>
      <c r="E120" s="18" t="e">
        <v>#N/A</v>
      </c>
    </row>
    <row r="121">
      <c r="A121" s="11" t="s">
        <v>1816</v>
      </c>
      <c r="D121" s="11">
        <v>6732.0</v>
      </c>
      <c r="E121" s="18" t="e">
        <v>#N/A</v>
      </c>
    </row>
    <row r="122">
      <c r="A122" s="11" t="s">
        <v>1817</v>
      </c>
      <c r="D122" s="11">
        <v>6732.0</v>
      </c>
      <c r="E122" s="18" t="e">
        <v>#N/A</v>
      </c>
    </row>
    <row r="123">
      <c r="A123" s="11" t="s">
        <v>1818</v>
      </c>
      <c r="C123" s="11">
        <v>6732.0</v>
      </c>
      <c r="E123" s="18" t="e">
        <v>#N/A</v>
      </c>
    </row>
    <row r="124">
      <c r="A124" s="11" t="s">
        <v>1819</v>
      </c>
      <c r="C124" s="11">
        <v>6732.0</v>
      </c>
      <c r="E124" s="18" t="e">
        <v>#N/A</v>
      </c>
    </row>
    <row r="125">
      <c r="A125" s="11" t="s">
        <v>1820</v>
      </c>
      <c r="D125" s="11">
        <v>6732.0</v>
      </c>
      <c r="E125" s="18" t="e">
        <v>#N/A</v>
      </c>
    </row>
    <row r="126">
      <c r="A126" s="11" t="s">
        <v>1821</v>
      </c>
      <c r="C126" s="11">
        <v>3607.0</v>
      </c>
      <c r="D126" s="11">
        <v>6732.0</v>
      </c>
      <c r="E126" s="18" t="e">
        <v>#N/A</v>
      </c>
    </row>
    <row r="127">
      <c r="A127" s="11" t="s">
        <v>1840</v>
      </c>
      <c r="C127" s="11">
        <v>7008.0</v>
      </c>
      <c r="E127" s="18" t="e">
        <v>#N/A</v>
      </c>
    </row>
    <row r="128">
      <c r="A128" s="11" t="s">
        <v>1822</v>
      </c>
      <c r="C128" s="11">
        <v>7008.0</v>
      </c>
      <c r="E128" s="18" t="e">
        <v>#N/A</v>
      </c>
    </row>
    <row r="129">
      <c r="A129" s="11" t="s">
        <v>1824</v>
      </c>
      <c r="C129" s="11">
        <v>5125.0</v>
      </c>
      <c r="E129" s="18" t="e">
        <v>#N/A</v>
      </c>
    </row>
    <row r="130">
      <c r="A130" s="11" t="s">
        <v>1825</v>
      </c>
      <c r="C130" s="11">
        <v>6949.0</v>
      </c>
      <c r="E130" s="18" t="e">
        <v>#N/A</v>
      </c>
    </row>
    <row r="131">
      <c r="A131" s="11" t="s">
        <v>1826</v>
      </c>
      <c r="C131" s="11">
        <v>6949.0</v>
      </c>
      <c r="E131" s="18" t="e">
        <v>#N/A</v>
      </c>
    </row>
    <row r="132">
      <c r="A132" s="11" t="s">
        <v>1827</v>
      </c>
      <c r="C132" s="11">
        <v>2207.0</v>
      </c>
      <c r="E132" s="18" t="e">
        <v>#N/A</v>
      </c>
    </row>
    <row r="133">
      <c r="A133" s="11" t="s">
        <v>1828</v>
      </c>
      <c r="C133" s="11">
        <v>2207.0</v>
      </c>
      <c r="E133" s="18" t="e">
        <v>#N/A</v>
      </c>
    </row>
    <row r="134">
      <c r="A134" s="11" t="s">
        <v>1829</v>
      </c>
      <c r="C134" s="11">
        <v>2207.0</v>
      </c>
      <c r="E134" s="18" t="e">
        <v>#N/A</v>
      </c>
    </row>
    <row r="135">
      <c r="A135" s="11" t="s">
        <v>1831</v>
      </c>
      <c r="C135" s="11">
        <v>2207.0</v>
      </c>
      <c r="E135" s="18" t="e">
        <v>#N/A</v>
      </c>
    </row>
    <row r="136">
      <c r="A136" s="11" t="s">
        <v>1832</v>
      </c>
      <c r="C136" s="11">
        <v>2207.0</v>
      </c>
      <c r="E136" s="18" t="e">
        <v>#N/A</v>
      </c>
    </row>
    <row r="137">
      <c r="A137" s="11" t="s">
        <v>1833</v>
      </c>
      <c r="C137" s="11">
        <v>3307.0</v>
      </c>
      <c r="E137" s="18" t="e">
        <v>#N/A</v>
      </c>
    </row>
    <row r="138">
      <c r="A138" s="11" t="s">
        <v>1834</v>
      </c>
      <c r="C138" s="11">
        <v>6887.0</v>
      </c>
      <c r="E138" s="18" t="e">
        <v>#N/A</v>
      </c>
    </row>
    <row r="139">
      <c r="A139" s="11" t="s">
        <v>1853</v>
      </c>
      <c r="C139" s="11">
        <v>6829.0</v>
      </c>
      <c r="E139" s="18" t="e">
        <v>#N/A</v>
      </c>
    </row>
    <row r="140">
      <c r="A140" s="11" t="s">
        <v>1835</v>
      </c>
      <c r="C140" s="11">
        <v>7031.0</v>
      </c>
      <c r="E140" s="18" t="e">
        <v>#N/A</v>
      </c>
    </row>
    <row r="141">
      <c r="A141" s="11" t="s">
        <v>1856</v>
      </c>
      <c r="C141" s="11">
        <v>6770.0</v>
      </c>
      <c r="E141" s="18" t="s">
        <v>19061</v>
      </c>
    </row>
    <row r="142">
      <c r="A142" s="11" t="s">
        <v>1836</v>
      </c>
      <c r="C142" s="11">
        <v>6770.0</v>
      </c>
      <c r="E142" s="18" t="e">
        <v>#N/A</v>
      </c>
    </row>
    <row r="143">
      <c r="A143" s="11" t="s">
        <v>1837</v>
      </c>
      <c r="C143" s="11">
        <v>6770.0</v>
      </c>
      <c r="E143" s="18" t="e">
        <v>#N/A</v>
      </c>
    </row>
    <row r="144">
      <c r="A144" s="11" t="s">
        <v>1838</v>
      </c>
      <c r="C144" s="11">
        <v>6770.0</v>
      </c>
      <c r="E144" s="18" t="e">
        <v>#N/A</v>
      </c>
    </row>
    <row r="145">
      <c r="A145" s="11" t="s">
        <v>1839</v>
      </c>
      <c r="C145" s="11">
        <v>7040.0</v>
      </c>
      <c r="D145" s="11">
        <v>6732.0</v>
      </c>
      <c r="E145" s="18" t="e">
        <v>#N/A</v>
      </c>
    </row>
    <row r="146">
      <c r="A146" s="11" t="s">
        <v>1841</v>
      </c>
      <c r="C146" s="122">
        <v>6802.0</v>
      </c>
      <c r="D146" s="11">
        <v>6732.0</v>
      </c>
      <c r="E146" s="18" t="e">
        <v>#N/A</v>
      </c>
    </row>
    <row r="147">
      <c r="A147" s="11" t="s">
        <v>1842</v>
      </c>
      <c r="C147" s="11">
        <v>7058.0</v>
      </c>
      <c r="D147" s="11">
        <v>6732.0</v>
      </c>
      <c r="E147" s="18" t="e">
        <v>#N/A</v>
      </c>
    </row>
    <row r="148">
      <c r="A148" s="11" t="s">
        <v>1843</v>
      </c>
      <c r="C148" s="11">
        <v>3607.0</v>
      </c>
      <c r="D148" s="11">
        <v>6732.0</v>
      </c>
      <c r="E148" s="18" t="e">
        <v>#N/A</v>
      </c>
    </row>
    <row r="149">
      <c r="A149" s="11" t="s">
        <v>1844</v>
      </c>
      <c r="C149" s="11">
        <v>3607.0</v>
      </c>
      <c r="D149" s="11">
        <v>6732.0</v>
      </c>
      <c r="E149" s="18" t="e">
        <v>#N/A</v>
      </c>
    </row>
    <row r="150">
      <c r="A150" s="11" t="s">
        <v>1845</v>
      </c>
      <c r="C150" s="11">
        <v>7033.0</v>
      </c>
      <c r="E150" s="18" t="e">
        <v>#N/A</v>
      </c>
      <c r="G150" s="11" t="s">
        <v>19112</v>
      </c>
    </row>
    <row r="151">
      <c r="A151" s="11" t="s">
        <v>1846</v>
      </c>
      <c r="C151" s="11">
        <v>6728.0</v>
      </c>
      <c r="E151" s="18" t="e">
        <v>#N/A</v>
      </c>
    </row>
    <row r="152">
      <c r="A152" s="11" t="s">
        <v>1847</v>
      </c>
      <c r="C152" s="11">
        <v>6908.0</v>
      </c>
      <c r="E152" s="18" t="e">
        <v>#N/A</v>
      </c>
    </row>
    <row r="153">
      <c r="A153" s="11" t="s">
        <v>1848</v>
      </c>
      <c r="C153" s="11">
        <v>7022.0</v>
      </c>
      <c r="E153" s="18" t="e">
        <v>#N/A</v>
      </c>
    </row>
    <row r="154">
      <c r="A154" s="11" t="s">
        <v>1870</v>
      </c>
      <c r="C154" s="11">
        <v>7022.0</v>
      </c>
      <c r="E154" s="18" t="e">
        <v>#N/A</v>
      </c>
    </row>
    <row r="155">
      <c r="A155" s="11" t="s">
        <v>1849</v>
      </c>
      <c r="C155" s="11">
        <v>499.0</v>
      </c>
      <c r="E155" s="18" t="e">
        <v>#N/A</v>
      </c>
    </row>
    <row r="156">
      <c r="A156" s="11" t="s">
        <v>1850</v>
      </c>
      <c r="C156" s="11">
        <v>7030.0</v>
      </c>
      <c r="E156" s="18" t="e">
        <v>#N/A</v>
      </c>
    </row>
    <row r="157">
      <c r="A157" s="11" t="s">
        <v>1851</v>
      </c>
      <c r="C157" s="433">
        <v>7023.0</v>
      </c>
      <c r="E157" s="18" t="s">
        <v>19061</v>
      </c>
    </row>
    <row r="158">
      <c r="A158" s="11" t="s">
        <v>1852</v>
      </c>
      <c r="C158" s="11">
        <v>7030.0</v>
      </c>
      <c r="E158" s="18" t="e">
        <v>#N/A</v>
      </c>
    </row>
    <row r="159">
      <c r="A159" s="11" t="s">
        <v>1854</v>
      </c>
      <c r="C159" s="11">
        <v>6947.0</v>
      </c>
      <c r="E159" s="18" t="e">
        <v>#N/A</v>
      </c>
    </row>
    <row r="160">
      <c r="A160" s="11" t="s">
        <v>1877</v>
      </c>
      <c r="C160" s="11">
        <v>7030.0</v>
      </c>
      <c r="E160" s="18" t="e">
        <v>#N/A</v>
      </c>
    </row>
    <row r="161">
      <c r="A161" s="11" t="s">
        <v>1855</v>
      </c>
      <c r="C161" s="11">
        <v>7010.0</v>
      </c>
      <c r="E161" s="18" t="e">
        <v>#N/A</v>
      </c>
    </row>
    <row r="162">
      <c r="A162" s="11" t="s">
        <v>1798</v>
      </c>
    </row>
    <row r="163">
      <c r="A163" s="11" t="s">
        <v>1800</v>
      </c>
    </row>
    <row r="164">
      <c r="A164" s="11" t="s">
        <v>1788</v>
      </c>
    </row>
    <row r="165">
      <c r="A165" s="11" t="s">
        <v>1803</v>
      </c>
      <c r="C165" s="11">
        <v>7084.0</v>
      </c>
    </row>
    <row r="166">
      <c r="A166" s="11" t="s">
        <v>1805</v>
      </c>
      <c r="C166" s="11">
        <v>7055.0</v>
      </c>
    </row>
    <row r="167">
      <c r="A167" s="11" t="s">
        <v>1789</v>
      </c>
    </row>
    <row r="168">
      <c r="A168" s="11" t="s">
        <v>1790</v>
      </c>
      <c r="C168" s="11">
        <v>6133.0</v>
      </c>
    </row>
    <row r="169">
      <c r="A169" s="11" t="s">
        <v>1791</v>
      </c>
      <c r="C169" s="11">
        <v>6133.0</v>
      </c>
    </row>
    <row r="170">
      <c r="A170" s="11" t="s">
        <v>1792</v>
      </c>
    </row>
    <row r="171">
      <c r="A171" s="11" t="s">
        <v>1811</v>
      </c>
      <c r="C171" s="11">
        <v>6732.0</v>
      </c>
    </row>
    <row r="172">
      <c r="A172" s="11" t="s">
        <v>1793</v>
      </c>
      <c r="C172" s="11">
        <v>6732.0</v>
      </c>
    </row>
    <row r="173">
      <c r="A173" s="11" t="s">
        <v>1794</v>
      </c>
    </row>
    <row r="174">
      <c r="A174" s="11" t="s">
        <v>1795</v>
      </c>
    </row>
    <row r="175">
      <c r="A175" s="11" t="s">
        <v>1797</v>
      </c>
    </row>
    <row r="176">
      <c r="A176" s="11" t="s">
        <v>1799</v>
      </c>
    </row>
    <row r="177">
      <c r="A177" s="11" t="s">
        <v>1801</v>
      </c>
    </row>
    <row r="178">
      <c r="A178" s="11" t="s">
        <v>1802</v>
      </c>
    </row>
    <row r="179">
      <c r="A179" s="11" t="s">
        <v>1804</v>
      </c>
    </row>
    <row r="180">
      <c r="A180" s="11" t="s">
        <v>1806</v>
      </c>
    </row>
    <row r="181">
      <c r="A181" s="11" t="s">
        <v>1807</v>
      </c>
      <c r="C181" s="11">
        <v>6727.0</v>
      </c>
    </row>
    <row r="182">
      <c r="A182" s="11" t="s">
        <v>4621</v>
      </c>
    </row>
    <row r="183">
      <c r="A183" s="11" t="s">
        <v>4622</v>
      </c>
      <c r="C183" s="11">
        <v>6732.0</v>
      </c>
    </row>
    <row r="184">
      <c r="A184" s="11" t="s">
        <v>4623</v>
      </c>
    </row>
    <row r="185">
      <c r="A185" s="11" t="s">
        <v>4624</v>
      </c>
    </row>
    <row r="186">
      <c r="A186" s="11" t="s">
        <v>4625</v>
      </c>
    </row>
    <row r="187">
      <c r="A187" s="11" t="s">
        <v>15335</v>
      </c>
    </row>
    <row r="188">
      <c r="A188" s="11" t="s">
        <v>15336</v>
      </c>
    </row>
    <row r="189">
      <c r="A189" s="11" t="s">
        <v>15337</v>
      </c>
    </row>
    <row r="190">
      <c r="A190" s="11" t="s">
        <v>15338</v>
      </c>
    </row>
    <row r="191">
      <c r="A191" s="11" t="s">
        <v>15339</v>
      </c>
    </row>
    <row r="192">
      <c r="A192" s="11" t="s">
        <v>15340</v>
      </c>
    </row>
    <row r="193">
      <c r="A193" s="11" t="s">
        <v>15341</v>
      </c>
    </row>
    <row r="194">
      <c r="A194" s="11" t="s">
        <v>15342</v>
      </c>
      <c r="C194" s="11">
        <v>6732.0</v>
      </c>
    </row>
    <row r="195">
      <c r="A195" s="11" t="s">
        <v>15343</v>
      </c>
    </row>
    <row r="196">
      <c r="A196" s="11" t="s">
        <v>15344</v>
      </c>
      <c r="C196" s="122">
        <v>6697.0</v>
      </c>
    </row>
    <row r="197">
      <c r="A197" s="11" t="s">
        <v>17928</v>
      </c>
      <c r="C197" s="122">
        <v>6697.0</v>
      </c>
    </row>
    <row r="198">
      <c r="A198" s="11" t="s">
        <v>17929</v>
      </c>
      <c r="C198" s="11">
        <v>7083.0</v>
      </c>
    </row>
    <row r="199">
      <c r="A199" s="11" t="s">
        <v>17930</v>
      </c>
      <c r="C199" s="11">
        <v>7081.0</v>
      </c>
    </row>
    <row r="200">
      <c r="A200" s="11" t="s">
        <v>17931</v>
      </c>
    </row>
    <row r="201">
      <c r="A201" s="11" t="s">
        <v>17932</v>
      </c>
    </row>
    <row r="202">
      <c r="A202" s="11" t="s">
        <v>19113</v>
      </c>
    </row>
    <row r="203">
      <c r="A203" s="11" t="s">
        <v>19114</v>
      </c>
    </row>
    <row r="204">
      <c r="A204" s="11" t="s">
        <v>19115</v>
      </c>
    </row>
    <row r="205">
      <c r="A205" s="11" t="s">
        <v>19116</v>
      </c>
    </row>
    <row r="206">
      <c r="A206" s="11" t="s">
        <v>19117</v>
      </c>
    </row>
    <row r="207">
      <c r="A207" s="11" t="s">
        <v>19118</v>
      </c>
    </row>
    <row r="208">
      <c r="A208" s="11" t="s">
        <v>19119</v>
      </c>
    </row>
    <row r="209">
      <c r="A209" s="11" t="s">
        <v>19120</v>
      </c>
    </row>
    <row r="210">
      <c r="A210" s="11" t="s">
        <v>19121</v>
      </c>
    </row>
    <row r="211">
      <c r="A211" s="11" t="s">
        <v>15332</v>
      </c>
      <c r="C211" s="11">
        <v>7055.0</v>
      </c>
    </row>
    <row r="212">
      <c r="A212" s="11" t="s">
        <v>14117</v>
      </c>
      <c r="C212" s="11">
        <v>7055.0</v>
      </c>
    </row>
    <row r="213">
      <c r="A213" s="11" t="s">
        <v>14119</v>
      </c>
      <c r="C213" s="11">
        <v>7055.0</v>
      </c>
    </row>
    <row r="214">
      <c r="A214" s="11" t="s">
        <v>14120</v>
      </c>
      <c r="C214" s="11">
        <v>7055.0</v>
      </c>
    </row>
    <row r="215">
      <c r="A215" s="11" t="s">
        <v>14121</v>
      </c>
      <c r="C215" s="11">
        <v>7055.0</v>
      </c>
    </row>
    <row r="216">
      <c r="A216" s="11" t="s">
        <v>19122</v>
      </c>
      <c r="C216" s="11">
        <v>7055.0</v>
      </c>
    </row>
    <row r="217">
      <c r="A217" s="11" t="s">
        <v>14122</v>
      </c>
    </row>
    <row r="218">
      <c r="A218" s="11" t="s">
        <v>14123</v>
      </c>
    </row>
    <row r="219">
      <c r="A219" s="11" t="s">
        <v>14262</v>
      </c>
    </row>
    <row r="220">
      <c r="A220" s="11" t="s">
        <v>14263</v>
      </c>
    </row>
    <row r="221">
      <c r="A221" s="11" t="s">
        <v>19123</v>
      </c>
    </row>
    <row r="222">
      <c r="A222" s="11" t="s">
        <v>14124</v>
      </c>
    </row>
    <row r="223">
      <c r="A223" s="11" t="s">
        <v>14125</v>
      </c>
    </row>
    <row r="224">
      <c r="A224" s="11" t="s">
        <v>14264</v>
      </c>
    </row>
    <row r="225">
      <c r="A225" s="11" t="s">
        <v>14126</v>
      </c>
    </row>
    <row r="226">
      <c r="A226" s="11" t="s">
        <v>14127</v>
      </c>
    </row>
    <row r="227">
      <c r="A227" s="11" t="s">
        <v>19124</v>
      </c>
    </row>
    <row r="228">
      <c r="A228" s="11" t="s">
        <v>14128</v>
      </c>
    </row>
    <row r="229">
      <c r="A229" s="11" t="s">
        <v>14265</v>
      </c>
    </row>
    <row r="230">
      <c r="A230" s="11" t="s">
        <v>14129</v>
      </c>
    </row>
    <row r="231">
      <c r="A231" s="11" t="s">
        <v>19125</v>
      </c>
    </row>
    <row r="232">
      <c r="A232" s="11" t="s">
        <v>14130</v>
      </c>
    </row>
    <row r="233">
      <c r="A233" s="11" t="s">
        <v>14131</v>
      </c>
    </row>
    <row r="234">
      <c r="A234" s="11" t="s">
        <v>14132</v>
      </c>
    </row>
    <row r="235">
      <c r="A235" s="11" t="s">
        <v>14133</v>
      </c>
    </row>
    <row r="236">
      <c r="A236" s="11" t="s">
        <v>14134</v>
      </c>
    </row>
    <row r="237">
      <c r="A237" s="11" t="s">
        <v>14135</v>
      </c>
    </row>
    <row r="238">
      <c r="A238" s="11" t="s">
        <v>19126</v>
      </c>
    </row>
    <row r="239">
      <c r="A239" s="11" t="s">
        <v>14136</v>
      </c>
    </row>
    <row r="240">
      <c r="A240" s="11" t="s">
        <v>14266</v>
      </c>
    </row>
    <row r="241">
      <c r="A241" s="11" t="s">
        <v>19127</v>
      </c>
    </row>
    <row r="242">
      <c r="A242" s="11" t="s">
        <v>14137</v>
      </c>
    </row>
    <row r="243">
      <c r="A243" s="11" t="s">
        <v>14267</v>
      </c>
    </row>
    <row r="244">
      <c r="A244" s="11" t="s">
        <v>14138</v>
      </c>
    </row>
    <row r="245">
      <c r="A245" s="11" t="s">
        <v>14139</v>
      </c>
    </row>
    <row r="246">
      <c r="A246" s="11" t="s">
        <v>14268</v>
      </c>
    </row>
    <row r="247">
      <c r="A247" s="11" t="s">
        <v>14269</v>
      </c>
    </row>
    <row r="248">
      <c r="A248" s="11" t="s">
        <v>14140</v>
      </c>
    </row>
    <row r="249">
      <c r="A249" s="11" t="s">
        <v>19128</v>
      </c>
    </row>
    <row r="250">
      <c r="A250" s="11" t="s">
        <v>14239</v>
      </c>
    </row>
    <row r="251">
      <c r="A251" s="11" t="s">
        <v>19129</v>
      </c>
    </row>
    <row r="252">
      <c r="A252" s="11" t="s">
        <v>19130</v>
      </c>
    </row>
    <row r="253">
      <c r="A253" s="11" t="s">
        <v>19131</v>
      </c>
    </row>
    <row r="254">
      <c r="A254" s="11" t="s">
        <v>19132</v>
      </c>
    </row>
    <row r="255">
      <c r="A255" s="11" t="s">
        <v>19133</v>
      </c>
    </row>
    <row r="256">
      <c r="A256" s="11" t="s">
        <v>19134</v>
      </c>
    </row>
    <row r="257">
      <c r="A257" s="11" t="s">
        <v>19135</v>
      </c>
    </row>
    <row r="258">
      <c r="A258" s="11" t="s">
        <v>19136</v>
      </c>
    </row>
    <row r="259">
      <c r="A259" s="11" t="s">
        <v>19137</v>
      </c>
    </row>
    <row r="260">
      <c r="A260" s="11" t="s">
        <v>19138</v>
      </c>
    </row>
    <row r="261">
      <c r="A261" s="11" t="s">
        <v>19139</v>
      </c>
    </row>
  </sheetData>
  <customSheetViews>
    <customSheetView guid="{9968795E-3BFB-485F-960E-5F37103E47A5}" filter="1" showAutoFilter="1">
      <autoFilter ref="$A$1:$E$162"/>
    </customSheetView>
    <customSheetView guid="{38469B80-41CE-4C78-901C-399911F3D876}" filter="1" showAutoFilter="1">
      <autoFilter ref="$A$1:$E$162">
        <filterColumn colId="4">
          <filters blank="1">
            <filter val="#N/A"/>
          </filters>
        </filterColumn>
      </autoFilter>
    </customSheetView>
    <customSheetView guid="{2127C99F-47BB-493F-AC06-345618C0D030}" filter="1" showAutoFilter="1">
      <autoFilter ref="$A$1:$E$162"/>
    </customSheetView>
    <customSheetView guid="{4BC5D1F8-6AB7-4253-A826-9AFBB6ED2B05}" filter="1" showAutoFilter="1">
      <autoFilter ref="$A$1:$E$162"/>
    </customSheetView>
  </customSheetViews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20.38"/>
    <col customWidth="1" min="6" max="6" width="26.13"/>
    <col hidden="1" min="8" max="26" width="12.63"/>
  </cols>
  <sheetData>
    <row r="1">
      <c r="A1" s="678" t="s">
        <v>1654</v>
      </c>
      <c r="C1" s="678" t="s">
        <v>4477</v>
      </c>
      <c r="D1" s="248" t="s">
        <v>3706</v>
      </c>
      <c r="E1" s="114" t="s">
        <v>6148</v>
      </c>
      <c r="F1" s="388" t="s">
        <v>3708</v>
      </c>
      <c r="G1" s="389">
        <v>93.0</v>
      </c>
      <c r="K1" s="11" t="s">
        <v>1654</v>
      </c>
      <c r="L1" s="60" t="s">
        <v>4477</v>
      </c>
      <c r="N1" s="11" t="s">
        <v>252</v>
      </c>
      <c r="U1" s="11" t="s">
        <v>1654</v>
      </c>
      <c r="V1" s="60" t="s">
        <v>4477</v>
      </c>
      <c r="X1" s="11" t="s">
        <v>252</v>
      </c>
    </row>
    <row r="2">
      <c r="A2" s="175" t="s">
        <v>19140</v>
      </c>
      <c r="C2" s="175">
        <v>986.0</v>
      </c>
      <c r="D2" s="245">
        <v>10.0</v>
      </c>
      <c r="F2" s="393" t="s">
        <v>2008</v>
      </c>
      <c r="G2" s="388">
        <v>10.0</v>
      </c>
      <c r="K2" s="11" t="s">
        <v>19140</v>
      </c>
      <c r="L2" s="11">
        <v>986.0</v>
      </c>
      <c r="N2" s="18">
        <v>1.0</v>
      </c>
      <c r="U2" s="11" t="s">
        <v>19140</v>
      </c>
      <c r="V2" s="11">
        <v>986.0</v>
      </c>
      <c r="X2" s="18">
        <v>1.0</v>
      </c>
    </row>
    <row r="3">
      <c r="A3" s="170" t="s">
        <v>19141</v>
      </c>
      <c r="C3" s="11">
        <v>14480.0</v>
      </c>
      <c r="D3" s="245">
        <v>986.0</v>
      </c>
      <c r="E3" s="21"/>
      <c r="F3" s="393" t="s">
        <v>3709</v>
      </c>
      <c r="G3" s="388" t="s">
        <v>6157</v>
      </c>
      <c r="K3" s="11" t="s">
        <v>19141</v>
      </c>
      <c r="L3" s="11">
        <v>986.0</v>
      </c>
      <c r="N3" s="18">
        <v>1.0</v>
      </c>
      <c r="U3" s="11" t="s">
        <v>19141</v>
      </c>
      <c r="V3" s="11">
        <v>986.0</v>
      </c>
      <c r="X3" s="18">
        <v>1.0</v>
      </c>
    </row>
    <row r="4">
      <c r="A4" s="170" t="s">
        <v>19142</v>
      </c>
      <c r="C4" s="170"/>
      <c r="D4" s="245">
        <v>986.0</v>
      </c>
      <c r="E4" s="21"/>
      <c r="F4" s="393" t="s">
        <v>3710</v>
      </c>
      <c r="G4" s="395">
        <v>29.0</v>
      </c>
      <c r="K4" s="35" t="s">
        <v>19142</v>
      </c>
      <c r="L4" s="35">
        <v>986.0</v>
      </c>
      <c r="M4" s="36"/>
      <c r="N4" s="36" t="e">
        <v>#N/A</v>
      </c>
      <c r="U4" s="35" t="s">
        <v>19142</v>
      </c>
      <c r="V4" s="35">
        <v>986.0</v>
      </c>
      <c r="W4" s="36"/>
      <c r="X4" s="36" t="e">
        <v>#N/A</v>
      </c>
    </row>
    <row r="5">
      <c r="A5" s="170" t="s">
        <v>19143</v>
      </c>
      <c r="C5" s="170"/>
      <c r="D5" s="245">
        <v>6675.0</v>
      </c>
      <c r="E5" s="21"/>
      <c r="F5" s="393" t="s">
        <v>3711</v>
      </c>
      <c r="G5" s="396">
        <v>54.0</v>
      </c>
      <c r="K5" s="11" t="s">
        <v>19143</v>
      </c>
      <c r="L5" s="11">
        <v>6675.0</v>
      </c>
      <c r="N5" s="18">
        <v>1.0</v>
      </c>
      <c r="O5" s="352"/>
      <c r="P5" s="352"/>
      <c r="U5" s="11" t="s">
        <v>19143</v>
      </c>
      <c r="V5" s="11">
        <v>6675.0</v>
      </c>
      <c r="X5" s="18">
        <v>1.0</v>
      </c>
    </row>
    <row r="6">
      <c r="A6" s="12" t="s">
        <v>12826</v>
      </c>
      <c r="C6" s="12">
        <v>189.0</v>
      </c>
      <c r="D6" s="245">
        <v>4.0</v>
      </c>
      <c r="E6" s="21"/>
      <c r="F6" s="393" t="s">
        <v>3712</v>
      </c>
      <c r="G6" s="559" t="s">
        <v>6157</v>
      </c>
      <c r="K6" s="11" t="s">
        <v>12826</v>
      </c>
      <c r="L6" s="11">
        <v>189.0</v>
      </c>
      <c r="N6" s="18">
        <v>1.0</v>
      </c>
      <c r="O6" s="355"/>
      <c r="P6" s="355"/>
      <c r="U6" s="11" t="s">
        <v>12826</v>
      </c>
      <c r="V6" s="11">
        <v>189.0</v>
      </c>
      <c r="X6" s="18">
        <v>1.0</v>
      </c>
    </row>
    <row r="7">
      <c r="A7" s="175" t="s">
        <v>12828</v>
      </c>
      <c r="C7" s="175">
        <v>189.0</v>
      </c>
      <c r="D7" s="245">
        <v>10.0</v>
      </c>
      <c r="K7" s="11" t="s">
        <v>12828</v>
      </c>
      <c r="L7" s="11">
        <v>189.0</v>
      </c>
      <c r="N7" s="18">
        <v>1.0</v>
      </c>
      <c r="O7" s="355"/>
      <c r="P7" s="355"/>
      <c r="U7" s="11" t="s">
        <v>12828</v>
      </c>
      <c r="V7" s="11">
        <v>189.0</v>
      </c>
      <c r="X7" s="18">
        <v>1.0</v>
      </c>
    </row>
    <row r="8">
      <c r="A8" s="175" t="s">
        <v>19144</v>
      </c>
      <c r="C8" s="175">
        <v>189.0</v>
      </c>
      <c r="D8" s="245">
        <v>14.0</v>
      </c>
      <c r="K8" s="11" t="s">
        <v>19144</v>
      </c>
      <c r="L8" s="11">
        <v>189.0</v>
      </c>
      <c r="N8" s="18">
        <v>1.0</v>
      </c>
      <c r="O8" s="357"/>
      <c r="P8" s="357"/>
      <c r="U8" s="11" t="s">
        <v>19144</v>
      </c>
      <c r="V8" s="11">
        <v>189.0</v>
      </c>
      <c r="X8" s="18">
        <v>1.0</v>
      </c>
    </row>
    <row r="9">
      <c r="A9" s="12" t="s">
        <v>19145</v>
      </c>
      <c r="C9" s="12">
        <v>3381.0</v>
      </c>
      <c r="D9" s="245">
        <v>1.0</v>
      </c>
      <c r="K9" s="11" t="s">
        <v>19145</v>
      </c>
      <c r="L9" s="11">
        <v>3381.0</v>
      </c>
      <c r="N9" s="18">
        <v>1.0</v>
      </c>
      <c r="O9" s="357"/>
      <c r="P9" s="357"/>
      <c r="U9" s="11" t="s">
        <v>19145</v>
      </c>
      <c r="V9" s="11">
        <v>3381.0</v>
      </c>
      <c r="X9" s="18">
        <v>1.0</v>
      </c>
    </row>
    <row r="10">
      <c r="A10" s="170" t="s">
        <v>19146</v>
      </c>
      <c r="C10" s="170">
        <v>3307.0</v>
      </c>
      <c r="D10" s="245">
        <v>5125.0</v>
      </c>
      <c r="K10" s="35" t="s">
        <v>19146</v>
      </c>
      <c r="L10" s="35">
        <v>5125.0</v>
      </c>
      <c r="M10" s="36"/>
      <c r="N10" s="36" t="e">
        <v>#N/A</v>
      </c>
      <c r="O10" s="359"/>
      <c r="P10" s="359"/>
      <c r="U10" s="35" t="s">
        <v>19146</v>
      </c>
      <c r="V10" s="35">
        <v>5125.0</v>
      </c>
      <c r="W10" s="36"/>
      <c r="X10" s="36" t="e">
        <v>#N/A</v>
      </c>
    </row>
    <row r="11">
      <c r="A11" s="170" t="s">
        <v>19147</v>
      </c>
      <c r="C11" s="170"/>
      <c r="D11" s="245">
        <v>7033.0</v>
      </c>
      <c r="E11" s="174"/>
      <c r="F11" s="39"/>
      <c r="K11" s="11" t="s">
        <v>19147</v>
      </c>
      <c r="L11" s="11">
        <v>7033.0</v>
      </c>
      <c r="N11" s="18">
        <v>1.0</v>
      </c>
      <c r="U11" s="11" t="s">
        <v>19147</v>
      </c>
      <c r="V11" s="11">
        <v>7033.0</v>
      </c>
      <c r="X11" s="18">
        <v>1.0</v>
      </c>
    </row>
    <row r="12">
      <c r="A12" s="170" t="s">
        <v>19148</v>
      </c>
      <c r="C12" s="170">
        <v>6887.0</v>
      </c>
      <c r="D12" s="245">
        <v>6772.0</v>
      </c>
      <c r="E12" s="174"/>
      <c r="F12" s="39"/>
      <c r="K12" s="35" t="s">
        <v>19148</v>
      </c>
      <c r="L12" s="35">
        <v>6772.0</v>
      </c>
      <c r="M12" s="36"/>
      <c r="N12" s="36" t="e">
        <v>#N/A</v>
      </c>
      <c r="U12" s="35" t="s">
        <v>19148</v>
      </c>
      <c r="V12" s="35">
        <v>6772.0</v>
      </c>
      <c r="W12" s="36"/>
      <c r="X12" s="36" t="e">
        <v>#N/A</v>
      </c>
    </row>
    <row r="13">
      <c r="A13" s="175" t="s">
        <v>19149</v>
      </c>
      <c r="C13" s="175">
        <v>3142.0</v>
      </c>
      <c r="D13" s="245">
        <v>10.0</v>
      </c>
      <c r="E13" s="174"/>
      <c r="F13" s="39"/>
      <c r="K13" s="11" t="s">
        <v>19149</v>
      </c>
      <c r="L13" s="11">
        <v>3142.0</v>
      </c>
      <c r="N13" s="18">
        <v>1.0</v>
      </c>
      <c r="U13" s="11" t="s">
        <v>19149</v>
      </c>
      <c r="V13" s="11">
        <v>3142.0</v>
      </c>
      <c r="X13" s="18">
        <v>1.0</v>
      </c>
    </row>
    <row r="14">
      <c r="A14" s="12" t="s">
        <v>19150</v>
      </c>
      <c r="C14" s="12">
        <v>6675.0</v>
      </c>
      <c r="D14" s="245">
        <v>1.0</v>
      </c>
      <c r="E14" s="174"/>
      <c r="F14" s="39"/>
      <c r="K14" s="35" t="s">
        <v>19150</v>
      </c>
      <c r="L14" s="35">
        <v>6675.0</v>
      </c>
      <c r="M14" s="36"/>
      <c r="N14" s="36" t="e">
        <v>#N/A</v>
      </c>
      <c r="U14" s="35" t="s">
        <v>19150</v>
      </c>
      <c r="V14" s="35">
        <v>6675.0</v>
      </c>
      <c r="W14" s="36"/>
      <c r="X14" s="36" t="e">
        <v>#N/A</v>
      </c>
    </row>
    <row r="15">
      <c r="A15" s="12" t="s">
        <v>19151</v>
      </c>
      <c r="C15" s="12">
        <v>6970.0</v>
      </c>
      <c r="D15" s="245">
        <v>1.0</v>
      </c>
      <c r="E15" s="229"/>
      <c r="F15" s="39"/>
      <c r="K15" s="11" t="s">
        <v>19151</v>
      </c>
      <c r="L15" s="11">
        <v>6970.0</v>
      </c>
      <c r="N15" s="18">
        <v>1.0</v>
      </c>
      <c r="U15" s="11" t="s">
        <v>19151</v>
      </c>
      <c r="V15" s="11">
        <v>6970.0</v>
      </c>
      <c r="X15" s="18">
        <v>1.0</v>
      </c>
    </row>
    <row r="16">
      <c r="A16" s="12" t="s">
        <v>19152</v>
      </c>
      <c r="C16" s="12">
        <v>6671.0</v>
      </c>
      <c r="D16" s="245">
        <v>2.0</v>
      </c>
      <c r="E16" s="174"/>
      <c r="F16" s="39"/>
      <c r="K16" s="11" t="s">
        <v>19152</v>
      </c>
      <c r="L16" s="11">
        <v>6671.0</v>
      </c>
      <c r="N16" s="18">
        <v>1.0</v>
      </c>
      <c r="U16" s="11" t="s">
        <v>19152</v>
      </c>
      <c r="V16" s="11">
        <v>6671.0</v>
      </c>
      <c r="X16" s="18">
        <v>1.0</v>
      </c>
    </row>
    <row r="17">
      <c r="A17" s="12" t="s">
        <v>19153</v>
      </c>
      <c r="C17" s="12">
        <v>7847.0</v>
      </c>
      <c r="D17" s="245">
        <v>6.0</v>
      </c>
      <c r="E17" s="174"/>
      <c r="F17" s="39"/>
      <c r="K17" s="11" t="s">
        <v>19153</v>
      </c>
      <c r="L17" s="11">
        <v>7847.0</v>
      </c>
      <c r="N17" s="18">
        <v>1.0</v>
      </c>
      <c r="U17" s="11" t="s">
        <v>19153</v>
      </c>
      <c r="V17" s="11">
        <v>7847.0</v>
      </c>
      <c r="X17" s="18">
        <v>1.0</v>
      </c>
    </row>
    <row r="18">
      <c r="A18" s="12" t="s">
        <v>19154</v>
      </c>
      <c r="C18" s="12">
        <v>14065.0</v>
      </c>
      <c r="D18" s="245">
        <v>2.0</v>
      </c>
      <c r="E18" s="174"/>
      <c r="F18" s="39"/>
      <c r="K18" s="11" t="s">
        <v>19154</v>
      </c>
      <c r="L18" s="11">
        <v>14065.0</v>
      </c>
      <c r="N18" s="18">
        <v>1.0</v>
      </c>
      <c r="U18" s="11" t="s">
        <v>19154</v>
      </c>
      <c r="V18" s="11">
        <v>14065.0</v>
      </c>
      <c r="X18" s="18">
        <v>1.0</v>
      </c>
    </row>
    <row r="19">
      <c r="A19" s="12" t="s">
        <v>19155</v>
      </c>
      <c r="C19" s="12">
        <v>6728.0</v>
      </c>
      <c r="D19" s="245">
        <v>3.0</v>
      </c>
      <c r="E19" s="174"/>
      <c r="F19" s="39"/>
      <c r="K19" s="11" t="s">
        <v>19155</v>
      </c>
      <c r="L19" s="11">
        <v>6728.0</v>
      </c>
      <c r="N19" s="18">
        <v>1.0</v>
      </c>
      <c r="U19" s="11" t="s">
        <v>19155</v>
      </c>
      <c r="V19" s="11">
        <v>6728.0</v>
      </c>
      <c r="X19" s="18">
        <v>1.0</v>
      </c>
    </row>
    <row r="20">
      <c r="A20" s="12" t="s">
        <v>19156</v>
      </c>
      <c r="C20" s="12">
        <v>1.0</v>
      </c>
      <c r="D20" s="245">
        <v>1.0</v>
      </c>
      <c r="E20" s="174"/>
      <c r="F20" s="39"/>
      <c r="K20" s="35" t="s">
        <v>19156</v>
      </c>
      <c r="L20" s="35">
        <v>1.0</v>
      </c>
      <c r="M20" s="35" t="s">
        <v>19157</v>
      </c>
      <c r="N20" s="36" t="e">
        <v>#N/A</v>
      </c>
      <c r="U20" s="35" t="s">
        <v>19156</v>
      </c>
      <c r="V20" s="35">
        <v>1.0</v>
      </c>
      <c r="W20" s="35" t="s">
        <v>19157</v>
      </c>
      <c r="X20" s="36" t="e">
        <v>#N/A</v>
      </c>
    </row>
    <row r="21">
      <c r="A21" s="12" t="s">
        <v>19158</v>
      </c>
      <c r="C21" s="679">
        <v>12553.0</v>
      </c>
      <c r="D21" s="245">
        <v>1.0</v>
      </c>
      <c r="E21" s="174"/>
      <c r="F21" s="39"/>
      <c r="K21" s="11" t="s">
        <v>19158</v>
      </c>
      <c r="L21" s="16">
        <v>12553.0</v>
      </c>
      <c r="N21" s="18">
        <v>1.0</v>
      </c>
      <c r="U21" s="11" t="s">
        <v>19158</v>
      </c>
      <c r="V21" s="16">
        <v>12553.0</v>
      </c>
      <c r="X21" s="18">
        <v>1.0</v>
      </c>
    </row>
    <row r="22">
      <c r="A22" s="170" t="s">
        <v>19159</v>
      </c>
      <c r="C22" s="170"/>
      <c r="D22" s="245">
        <v>7227.0</v>
      </c>
      <c r="E22" s="174"/>
      <c r="F22" s="39"/>
      <c r="K22" s="35" t="s">
        <v>19159</v>
      </c>
      <c r="L22" s="35">
        <v>7227.0</v>
      </c>
      <c r="M22" s="36"/>
      <c r="N22" s="36" t="e">
        <v>#N/A</v>
      </c>
      <c r="U22" s="35" t="s">
        <v>19159</v>
      </c>
      <c r="V22" s="35">
        <v>7227.0</v>
      </c>
      <c r="W22" s="36"/>
      <c r="X22" s="36" t="e">
        <v>#N/A</v>
      </c>
    </row>
    <row r="23">
      <c r="A23" s="170" t="s">
        <v>19160</v>
      </c>
      <c r="C23" s="170">
        <v>14482.0</v>
      </c>
      <c r="D23" s="245">
        <v>4193.0</v>
      </c>
      <c r="E23" s="174"/>
      <c r="F23" s="39"/>
      <c r="K23" s="35" t="s">
        <v>19160</v>
      </c>
      <c r="L23" s="35">
        <v>4193.0</v>
      </c>
      <c r="M23" s="36"/>
      <c r="N23" s="36" t="e">
        <v>#N/A</v>
      </c>
      <c r="U23" s="35" t="s">
        <v>19160</v>
      </c>
      <c r="V23" s="35">
        <v>4193.0</v>
      </c>
      <c r="W23" s="36"/>
      <c r="X23" s="36" t="e">
        <v>#N/A</v>
      </c>
    </row>
    <row r="24">
      <c r="A24" s="170" t="s">
        <v>19161</v>
      </c>
      <c r="C24" s="170"/>
      <c r="D24" s="245">
        <v>315.0</v>
      </c>
      <c r="E24" s="174"/>
      <c r="F24" s="39"/>
      <c r="K24" s="11" t="s">
        <v>19161</v>
      </c>
      <c r="L24" s="11">
        <v>315.0</v>
      </c>
      <c r="N24" s="18">
        <v>1.0</v>
      </c>
      <c r="U24" s="11" t="s">
        <v>19161</v>
      </c>
      <c r="V24" s="11">
        <v>315.0</v>
      </c>
      <c r="X24" s="18">
        <v>1.0</v>
      </c>
    </row>
    <row r="25">
      <c r="A25" s="170" t="s">
        <v>19162</v>
      </c>
      <c r="C25" s="170"/>
      <c r="D25" s="245">
        <v>7227.0</v>
      </c>
      <c r="E25" s="174"/>
      <c r="F25" s="39"/>
      <c r="K25" s="35" t="s">
        <v>19162</v>
      </c>
      <c r="L25" s="35">
        <v>7227.0</v>
      </c>
      <c r="M25" s="36"/>
      <c r="N25" s="36" t="e">
        <v>#N/A</v>
      </c>
      <c r="U25" s="35" t="s">
        <v>19162</v>
      </c>
      <c r="V25" s="35">
        <v>7227.0</v>
      </c>
      <c r="W25" s="36"/>
      <c r="X25" s="36" t="e">
        <v>#N/A</v>
      </c>
    </row>
    <row r="26">
      <c r="A26" s="170" t="s">
        <v>19163</v>
      </c>
      <c r="C26" s="170"/>
      <c r="D26" s="245">
        <v>11708.0</v>
      </c>
      <c r="E26" s="174"/>
      <c r="F26" s="39"/>
      <c r="K26" s="35" t="s">
        <v>19163</v>
      </c>
      <c r="L26" s="35">
        <v>11708.0</v>
      </c>
      <c r="M26" s="36"/>
      <c r="N26" s="36" t="e">
        <v>#N/A</v>
      </c>
      <c r="U26" s="35" t="s">
        <v>19163</v>
      </c>
      <c r="V26" s="35">
        <v>11708.0</v>
      </c>
      <c r="W26" s="36"/>
      <c r="X26" s="36" t="e">
        <v>#N/A</v>
      </c>
    </row>
    <row r="27">
      <c r="A27" s="170" t="s">
        <v>19164</v>
      </c>
      <c r="C27" s="170"/>
      <c r="D27" s="245">
        <v>7157.0</v>
      </c>
      <c r="E27" s="174"/>
      <c r="F27" s="39"/>
      <c r="K27" s="11" t="s">
        <v>19164</v>
      </c>
      <c r="L27" s="11">
        <v>7157.0</v>
      </c>
      <c r="N27" s="18">
        <v>1.0</v>
      </c>
      <c r="U27" s="11" t="s">
        <v>19164</v>
      </c>
      <c r="V27" s="11">
        <v>7157.0</v>
      </c>
      <c r="X27" s="18">
        <v>1.0</v>
      </c>
    </row>
    <row r="28">
      <c r="A28" s="170" t="s">
        <v>19165</v>
      </c>
      <c r="C28" s="170"/>
      <c r="D28" s="245">
        <v>663.0</v>
      </c>
      <c r="E28" s="174"/>
      <c r="F28" s="39"/>
      <c r="K28" s="35" t="s">
        <v>19165</v>
      </c>
      <c r="L28" s="35">
        <v>663.0</v>
      </c>
      <c r="M28" s="36"/>
      <c r="N28" s="36" t="e">
        <v>#N/A</v>
      </c>
      <c r="U28" s="35" t="s">
        <v>19165</v>
      </c>
      <c r="V28" s="35">
        <v>663.0</v>
      </c>
      <c r="W28" s="36"/>
      <c r="X28" s="36" t="e">
        <v>#N/A</v>
      </c>
    </row>
    <row r="29">
      <c r="A29" s="12" t="s">
        <v>19166</v>
      </c>
      <c r="C29" s="12">
        <v>663.0</v>
      </c>
      <c r="D29" s="245">
        <v>2.0</v>
      </c>
      <c r="E29" s="174"/>
      <c r="F29" s="39"/>
      <c r="K29" s="11" t="s">
        <v>19166</v>
      </c>
      <c r="L29" s="11">
        <v>663.0</v>
      </c>
      <c r="N29" s="18">
        <v>1.0</v>
      </c>
      <c r="U29" s="11" t="s">
        <v>19166</v>
      </c>
      <c r="V29" s="11">
        <v>663.0</v>
      </c>
      <c r="X29" s="18">
        <v>1.0</v>
      </c>
    </row>
    <row r="30">
      <c r="A30" s="170" t="s">
        <v>19167</v>
      </c>
      <c r="C30" s="170"/>
      <c r="D30" s="245">
        <v>11708.0</v>
      </c>
      <c r="E30" s="174"/>
      <c r="F30" s="39"/>
      <c r="K30" s="35" t="s">
        <v>19167</v>
      </c>
      <c r="L30" s="35">
        <v>11708.0</v>
      </c>
      <c r="M30" s="36"/>
      <c r="N30" s="36" t="e">
        <v>#N/A</v>
      </c>
      <c r="U30" s="35" t="s">
        <v>19167</v>
      </c>
      <c r="V30" s="35">
        <v>11708.0</v>
      </c>
      <c r="W30" s="36"/>
      <c r="X30" s="36" t="e">
        <v>#N/A</v>
      </c>
    </row>
    <row r="31">
      <c r="A31" s="170" t="s">
        <v>19168</v>
      </c>
      <c r="C31" s="170"/>
      <c r="D31" s="245">
        <v>7227.0</v>
      </c>
      <c r="E31" s="174"/>
      <c r="F31" s="39"/>
      <c r="K31" s="35" t="s">
        <v>19168</v>
      </c>
      <c r="L31" s="35">
        <v>7227.0</v>
      </c>
      <c r="M31" s="36"/>
      <c r="N31" s="36" t="e">
        <v>#N/A</v>
      </c>
      <c r="U31" s="35" t="s">
        <v>19168</v>
      </c>
      <c r="V31" s="35">
        <v>7227.0</v>
      </c>
      <c r="W31" s="36"/>
      <c r="X31" s="36" t="e">
        <v>#N/A</v>
      </c>
    </row>
    <row r="32">
      <c r="A32" s="170" t="s">
        <v>19169</v>
      </c>
      <c r="C32" s="170"/>
      <c r="D32" s="245">
        <v>7227.0</v>
      </c>
      <c r="E32" s="174"/>
      <c r="F32" s="39"/>
      <c r="K32" s="35" t="s">
        <v>19169</v>
      </c>
      <c r="L32" s="35">
        <v>7227.0</v>
      </c>
      <c r="M32" s="36"/>
      <c r="N32" s="36" t="e">
        <v>#N/A</v>
      </c>
      <c r="U32" s="35" t="s">
        <v>19169</v>
      </c>
      <c r="V32" s="35">
        <v>7227.0</v>
      </c>
      <c r="W32" s="36"/>
      <c r="X32" s="36" t="e">
        <v>#N/A</v>
      </c>
    </row>
    <row r="33">
      <c r="A33" s="170" t="s">
        <v>19170</v>
      </c>
      <c r="C33" s="170"/>
      <c r="D33" s="245">
        <v>7010.0</v>
      </c>
      <c r="E33" s="174"/>
      <c r="F33" s="39"/>
      <c r="K33" s="35" t="s">
        <v>19170</v>
      </c>
      <c r="L33" s="35">
        <v>7010.0</v>
      </c>
      <c r="M33" s="36"/>
      <c r="N33" s="36" t="e">
        <v>#N/A</v>
      </c>
      <c r="U33" s="35" t="s">
        <v>19170</v>
      </c>
      <c r="V33" s="35">
        <v>7010.0</v>
      </c>
      <c r="W33" s="36"/>
      <c r="X33" s="36" t="e">
        <v>#N/A</v>
      </c>
    </row>
    <row r="34">
      <c r="A34" s="12" t="s">
        <v>19171</v>
      </c>
      <c r="C34" s="12">
        <v>6133.0</v>
      </c>
      <c r="D34" s="245">
        <v>5.0</v>
      </c>
      <c r="E34" s="174"/>
      <c r="F34" s="39"/>
      <c r="K34" s="11" t="s">
        <v>19171</v>
      </c>
      <c r="L34" s="11">
        <v>6133.0</v>
      </c>
      <c r="N34" s="18">
        <v>1.0</v>
      </c>
      <c r="U34" s="11" t="s">
        <v>19171</v>
      </c>
      <c r="V34" s="11">
        <v>6133.0</v>
      </c>
      <c r="X34" s="18">
        <v>1.0</v>
      </c>
    </row>
    <row r="35">
      <c r="A35" s="170" t="s">
        <v>19172</v>
      </c>
      <c r="C35" s="170"/>
      <c r="D35" s="245">
        <v>7227.0</v>
      </c>
      <c r="E35" s="174"/>
      <c r="F35" s="39"/>
      <c r="K35" s="35" t="s">
        <v>19172</v>
      </c>
      <c r="L35" s="35">
        <v>7227.0</v>
      </c>
      <c r="M35" s="36"/>
      <c r="N35" s="36" t="e">
        <v>#N/A</v>
      </c>
      <c r="U35" s="35" t="s">
        <v>19172</v>
      </c>
      <c r="V35" s="35">
        <v>7227.0</v>
      </c>
      <c r="W35" s="36"/>
      <c r="X35" s="36" t="e">
        <v>#N/A</v>
      </c>
    </row>
    <row r="36">
      <c r="A36" s="170" t="s">
        <v>19173</v>
      </c>
      <c r="C36" s="170"/>
      <c r="D36" s="245">
        <v>7227.0</v>
      </c>
      <c r="E36" s="174"/>
      <c r="F36" s="39"/>
      <c r="K36" s="35" t="s">
        <v>19173</v>
      </c>
      <c r="L36" s="35">
        <v>7227.0</v>
      </c>
      <c r="M36" s="36"/>
      <c r="N36" s="36" t="e">
        <v>#N/A</v>
      </c>
      <c r="U36" s="35" t="s">
        <v>19173</v>
      </c>
      <c r="V36" s="35">
        <v>7227.0</v>
      </c>
      <c r="W36" s="36"/>
      <c r="X36" s="36" t="e">
        <v>#N/A</v>
      </c>
    </row>
    <row r="37">
      <c r="A37" s="170" t="s">
        <v>19174</v>
      </c>
      <c r="C37" s="170"/>
      <c r="D37" s="245">
        <v>7227.0</v>
      </c>
      <c r="E37" s="174"/>
      <c r="F37" s="39"/>
      <c r="K37" s="35" t="s">
        <v>19174</v>
      </c>
      <c r="L37" s="35">
        <v>7227.0</v>
      </c>
      <c r="M37" s="36"/>
      <c r="N37" s="36" t="e">
        <v>#N/A</v>
      </c>
      <c r="U37" s="35" t="s">
        <v>19174</v>
      </c>
      <c r="V37" s="35">
        <v>7227.0</v>
      </c>
      <c r="W37" s="36"/>
      <c r="X37" s="36" t="e">
        <v>#N/A</v>
      </c>
    </row>
    <row r="38">
      <c r="A38" s="175" t="s">
        <v>19175</v>
      </c>
      <c r="C38" s="175">
        <v>2345.0</v>
      </c>
      <c r="D38" s="245">
        <v>17.0</v>
      </c>
      <c r="E38" s="174"/>
      <c r="F38" s="39"/>
      <c r="K38" s="11" t="s">
        <v>19175</v>
      </c>
      <c r="L38" s="11">
        <v>2345.0</v>
      </c>
      <c r="N38" s="18">
        <v>1.0</v>
      </c>
      <c r="U38" s="11" t="s">
        <v>19175</v>
      </c>
      <c r="V38" s="11">
        <v>2345.0</v>
      </c>
      <c r="X38" s="18">
        <v>1.0</v>
      </c>
    </row>
    <row r="39">
      <c r="A39" s="12" t="s">
        <v>19176</v>
      </c>
      <c r="C39" s="12">
        <v>6132.0</v>
      </c>
      <c r="D39" s="245">
        <v>1.0</v>
      </c>
      <c r="E39" s="174"/>
      <c r="F39" s="39"/>
      <c r="K39" s="11" t="s">
        <v>19176</v>
      </c>
      <c r="L39" s="11">
        <v>6132.0</v>
      </c>
      <c r="N39" s="18">
        <v>1.0</v>
      </c>
      <c r="U39" s="11" t="s">
        <v>19176</v>
      </c>
      <c r="V39" s="11">
        <v>6132.0</v>
      </c>
      <c r="X39" s="18">
        <v>1.0</v>
      </c>
    </row>
    <row r="40">
      <c r="A40" s="170" t="s">
        <v>19177</v>
      </c>
      <c r="C40" s="170">
        <v>7023.0</v>
      </c>
      <c r="D40" s="245">
        <v>7227.0</v>
      </c>
      <c r="E40" s="174"/>
      <c r="F40" s="39"/>
      <c r="K40" s="35" t="s">
        <v>19177</v>
      </c>
      <c r="L40" s="35">
        <v>7227.0</v>
      </c>
      <c r="M40" s="36"/>
      <c r="N40" s="36" t="e">
        <v>#N/A</v>
      </c>
      <c r="U40" s="35" t="s">
        <v>19177</v>
      </c>
      <c r="V40" s="35">
        <v>7227.0</v>
      </c>
      <c r="W40" s="36"/>
      <c r="X40" s="36" t="e">
        <v>#N/A</v>
      </c>
    </row>
    <row r="41">
      <c r="A41" s="12" t="s">
        <v>19178</v>
      </c>
      <c r="C41" s="12">
        <v>7227.0</v>
      </c>
      <c r="D41" s="245">
        <v>1.0</v>
      </c>
      <c r="E41" s="174"/>
      <c r="F41" s="39"/>
      <c r="K41" s="11" t="s">
        <v>19178</v>
      </c>
      <c r="L41" s="11">
        <v>7227.0</v>
      </c>
      <c r="N41" s="18">
        <v>1.0</v>
      </c>
      <c r="U41" s="11" t="s">
        <v>19178</v>
      </c>
      <c r="V41" s="11">
        <v>7227.0</v>
      </c>
      <c r="X41" s="18">
        <v>1.0</v>
      </c>
    </row>
    <row r="42">
      <c r="A42" s="12" t="s">
        <v>19179</v>
      </c>
      <c r="C42" s="12">
        <v>7227.0</v>
      </c>
      <c r="D42" s="245">
        <v>1.0</v>
      </c>
      <c r="E42" s="174"/>
      <c r="F42" s="39"/>
      <c r="K42" s="35" t="s">
        <v>19179</v>
      </c>
      <c r="L42" s="35">
        <v>7227.0</v>
      </c>
      <c r="M42" s="36"/>
      <c r="N42" s="36" t="e">
        <v>#N/A</v>
      </c>
      <c r="U42" s="35" t="s">
        <v>19179</v>
      </c>
      <c r="V42" s="35">
        <v>7227.0</v>
      </c>
      <c r="W42" s="36"/>
      <c r="X42" s="36" t="e">
        <v>#N/A</v>
      </c>
    </row>
    <row r="43">
      <c r="A43" s="170" t="s">
        <v>19180</v>
      </c>
      <c r="C43" s="170"/>
      <c r="D43" s="245">
        <v>7227.0</v>
      </c>
      <c r="E43" s="174"/>
      <c r="F43" s="39"/>
      <c r="K43" s="35" t="s">
        <v>19180</v>
      </c>
      <c r="L43" s="35">
        <v>7227.0</v>
      </c>
      <c r="M43" s="36"/>
      <c r="N43" s="36" t="e">
        <v>#N/A</v>
      </c>
      <c r="U43" s="35" t="s">
        <v>19180</v>
      </c>
      <c r="V43" s="35">
        <v>7227.0</v>
      </c>
      <c r="W43" s="36"/>
      <c r="X43" s="36" t="e">
        <v>#N/A</v>
      </c>
    </row>
    <row r="44">
      <c r="A44" s="175" t="s">
        <v>19181</v>
      </c>
      <c r="C44" s="175">
        <v>2345.0</v>
      </c>
      <c r="D44" s="245">
        <v>15.0</v>
      </c>
      <c r="E44" s="174"/>
      <c r="F44" s="39"/>
      <c r="K44" s="11" t="s">
        <v>19181</v>
      </c>
      <c r="L44" s="11">
        <v>2345.0</v>
      </c>
      <c r="N44" s="18">
        <v>1.0</v>
      </c>
      <c r="U44" s="11" t="s">
        <v>19181</v>
      </c>
      <c r="V44" s="11">
        <v>2345.0</v>
      </c>
      <c r="X44" s="18">
        <v>1.0</v>
      </c>
    </row>
    <row r="45">
      <c r="A45" s="170" t="s">
        <v>19182</v>
      </c>
      <c r="C45" s="170"/>
      <c r="D45" s="245">
        <v>7227.0</v>
      </c>
      <c r="E45" s="174"/>
      <c r="F45" s="39"/>
      <c r="K45" s="35" t="s">
        <v>19182</v>
      </c>
      <c r="L45" s="35">
        <v>7227.0</v>
      </c>
      <c r="M45" s="36"/>
      <c r="N45" s="36" t="e">
        <v>#N/A</v>
      </c>
      <c r="U45" s="35" t="s">
        <v>19182</v>
      </c>
      <c r="V45" s="35">
        <v>7227.0</v>
      </c>
      <c r="W45" s="36"/>
      <c r="X45" s="36" t="e">
        <v>#N/A</v>
      </c>
    </row>
    <row r="46">
      <c r="A46" s="170" t="s">
        <v>19183</v>
      </c>
      <c r="C46" s="170"/>
      <c r="D46" s="245">
        <v>7227.0</v>
      </c>
      <c r="E46" s="174"/>
      <c r="F46" s="39"/>
      <c r="K46" s="35" t="s">
        <v>19183</v>
      </c>
      <c r="L46" s="35">
        <v>7227.0</v>
      </c>
      <c r="M46" s="36"/>
      <c r="N46" s="36" t="e">
        <v>#N/A</v>
      </c>
      <c r="U46" s="35" t="s">
        <v>19183</v>
      </c>
      <c r="V46" s="35">
        <v>7227.0</v>
      </c>
      <c r="W46" s="36"/>
      <c r="X46" s="36" t="e">
        <v>#N/A</v>
      </c>
    </row>
    <row r="47">
      <c r="A47" s="170" t="s">
        <v>19184</v>
      </c>
      <c r="C47" s="170"/>
      <c r="D47" s="245">
        <v>7227.0</v>
      </c>
      <c r="E47" s="174"/>
      <c r="F47" s="39"/>
      <c r="K47" s="35" t="s">
        <v>19184</v>
      </c>
      <c r="L47" s="35">
        <v>7227.0</v>
      </c>
      <c r="M47" s="36"/>
      <c r="N47" s="36" t="e">
        <v>#N/A</v>
      </c>
      <c r="U47" s="35" t="s">
        <v>19184</v>
      </c>
      <c r="V47" s="35">
        <v>7227.0</v>
      </c>
      <c r="W47" s="36"/>
      <c r="X47" s="36" t="e">
        <v>#N/A</v>
      </c>
    </row>
    <row r="48">
      <c r="A48" s="170" t="s">
        <v>19185</v>
      </c>
      <c r="C48" s="170"/>
      <c r="D48" s="245">
        <v>2345.0</v>
      </c>
      <c r="E48" s="174"/>
      <c r="F48" s="39"/>
      <c r="K48" s="35" t="s">
        <v>19185</v>
      </c>
      <c r="L48" s="35">
        <v>2345.0</v>
      </c>
      <c r="M48" s="36"/>
      <c r="N48" s="36" t="e">
        <v>#N/A</v>
      </c>
      <c r="U48" s="35" t="s">
        <v>19185</v>
      </c>
      <c r="V48" s="35">
        <v>2345.0</v>
      </c>
      <c r="W48" s="36"/>
      <c r="X48" s="36" t="e">
        <v>#N/A</v>
      </c>
    </row>
    <row r="49">
      <c r="A49" s="12" t="s">
        <v>19186</v>
      </c>
      <c r="C49" s="12">
        <v>2345.0</v>
      </c>
      <c r="D49" s="245">
        <v>6.0</v>
      </c>
      <c r="E49" s="174"/>
      <c r="F49" s="39"/>
      <c r="K49" s="11" t="s">
        <v>19186</v>
      </c>
      <c r="L49" s="11">
        <v>2345.0</v>
      </c>
      <c r="N49" s="18">
        <v>1.0</v>
      </c>
      <c r="U49" s="11" t="s">
        <v>19186</v>
      </c>
      <c r="V49" s="11">
        <v>2345.0</v>
      </c>
      <c r="X49" s="18">
        <v>1.0</v>
      </c>
    </row>
    <row r="50">
      <c r="A50" s="170" t="s">
        <v>19187</v>
      </c>
      <c r="C50" s="170"/>
      <c r="D50" s="245">
        <v>2345.0</v>
      </c>
      <c r="E50" s="174"/>
      <c r="F50" s="39"/>
      <c r="K50" s="35" t="s">
        <v>19187</v>
      </c>
      <c r="L50" s="35">
        <v>2345.0</v>
      </c>
      <c r="M50" s="36"/>
      <c r="N50" s="36" t="e">
        <v>#N/A</v>
      </c>
      <c r="U50" s="35" t="s">
        <v>19187</v>
      </c>
      <c r="V50" s="35">
        <v>2345.0</v>
      </c>
      <c r="W50" s="36"/>
      <c r="X50" s="36" t="e">
        <v>#N/A</v>
      </c>
    </row>
    <row r="51">
      <c r="A51" s="170" t="s">
        <v>19188</v>
      </c>
      <c r="C51" s="170"/>
      <c r="D51" s="245">
        <v>2345.0</v>
      </c>
      <c r="E51" s="174"/>
      <c r="F51" s="39"/>
      <c r="K51" s="35" t="s">
        <v>19188</v>
      </c>
      <c r="L51" s="35">
        <v>2345.0</v>
      </c>
      <c r="M51" s="36"/>
      <c r="N51" s="36" t="e">
        <v>#N/A</v>
      </c>
      <c r="U51" s="35" t="s">
        <v>19188</v>
      </c>
      <c r="V51" s="35">
        <v>2345.0</v>
      </c>
      <c r="W51" s="36"/>
      <c r="X51" s="36" t="e">
        <v>#N/A</v>
      </c>
    </row>
    <row r="52">
      <c r="A52" s="12" t="s">
        <v>19189</v>
      </c>
      <c r="C52" s="12">
        <v>6729.0</v>
      </c>
      <c r="D52" s="245">
        <v>4.0</v>
      </c>
      <c r="E52" s="174"/>
      <c r="F52" s="39"/>
      <c r="K52" s="11" t="s">
        <v>19189</v>
      </c>
      <c r="L52" s="11">
        <v>6729.0</v>
      </c>
      <c r="N52" s="18">
        <v>1.0</v>
      </c>
      <c r="U52" s="11" t="s">
        <v>19189</v>
      </c>
      <c r="V52" s="11">
        <v>6729.0</v>
      </c>
      <c r="X52" s="18">
        <v>1.0</v>
      </c>
    </row>
    <row r="53">
      <c r="A53" s="170" t="s">
        <v>19190</v>
      </c>
      <c r="C53" s="170"/>
      <c r="D53" s="245">
        <v>7227.0</v>
      </c>
      <c r="E53" s="174"/>
      <c r="F53" s="39"/>
      <c r="K53" s="35" t="s">
        <v>19190</v>
      </c>
      <c r="L53" s="35">
        <v>7227.0</v>
      </c>
      <c r="M53" s="36"/>
      <c r="N53" s="36" t="e">
        <v>#N/A</v>
      </c>
      <c r="U53" s="35" t="s">
        <v>19190</v>
      </c>
      <c r="V53" s="35">
        <v>7227.0</v>
      </c>
      <c r="W53" s="36"/>
      <c r="X53" s="36" t="e">
        <v>#N/A</v>
      </c>
    </row>
    <row r="54">
      <c r="A54" s="170" t="s">
        <v>19191</v>
      </c>
      <c r="C54" s="170"/>
      <c r="D54" s="245">
        <v>7031.0</v>
      </c>
      <c r="K54" s="35" t="s">
        <v>19191</v>
      </c>
      <c r="L54" s="35">
        <v>7031.0</v>
      </c>
      <c r="M54" s="36"/>
      <c r="N54" s="36" t="e">
        <v>#N/A</v>
      </c>
      <c r="U54" s="35" t="s">
        <v>19191</v>
      </c>
      <c r="V54" s="35">
        <v>7031.0</v>
      </c>
      <c r="W54" s="36"/>
      <c r="X54" s="36" t="e">
        <v>#N/A</v>
      </c>
    </row>
    <row r="55">
      <c r="A55" s="170" t="s">
        <v>19192</v>
      </c>
      <c r="C55" s="170"/>
      <c r="D55" s="245">
        <v>489.0</v>
      </c>
      <c r="K55" s="35" t="s">
        <v>19192</v>
      </c>
      <c r="L55" s="35">
        <v>489.0</v>
      </c>
      <c r="M55" s="36"/>
      <c r="N55" s="36" t="e">
        <v>#N/A</v>
      </c>
      <c r="U55" s="35" t="s">
        <v>19192</v>
      </c>
      <c r="V55" s="35">
        <v>489.0</v>
      </c>
      <c r="W55" s="36"/>
      <c r="X55" s="36" t="e">
        <v>#N/A</v>
      </c>
    </row>
    <row r="56">
      <c r="A56" s="170" t="s">
        <v>19193</v>
      </c>
      <c r="C56" s="170"/>
      <c r="D56" s="245">
        <v>489.0</v>
      </c>
      <c r="K56" s="35" t="s">
        <v>19193</v>
      </c>
      <c r="L56" s="35">
        <v>489.0</v>
      </c>
      <c r="M56" s="36"/>
      <c r="N56" s="36" t="e">
        <v>#N/A</v>
      </c>
      <c r="U56" s="35" t="s">
        <v>19193</v>
      </c>
      <c r="V56" s="35">
        <v>489.0</v>
      </c>
      <c r="W56" s="36"/>
      <c r="X56" s="36" t="e">
        <v>#N/A</v>
      </c>
    </row>
    <row r="57">
      <c r="A57" s="170" t="s">
        <v>19194</v>
      </c>
      <c r="C57" s="170"/>
      <c r="D57" s="245">
        <v>489.0</v>
      </c>
      <c r="K57" s="35" t="s">
        <v>19194</v>
      </c>
      <c r="L57" s="35">
        <v>489.0</v>
      </c>
      <c r="M57" s="36"/>
      <c r="N57" s="36" t="e">
        <v>#N/A</v>
      </c>
      <c r="U57" s="35" t="s">
        <v>19194</v>
      </c>
      <c r="V57" s="35">
        <v>489.0</v>
      </c>
      <c r="W57" s="36"/>
      <c r="X57" s="36" t="e">
        <v>#N/A</v>
      </c>
    </row>
    <row r="58">
      <c r="A58" s="170" t="s">
        <v>19195</v>
      </c>
      <c r="C58" s="170"/>
      <c r="D58" s="245">
        <v>6887.0</v>
      </c>
      <c r="K58" s="35" t="s">
        <v>19195</v>
      </c>
      <c r="L58" s="35">
        <v>6887.0</v>
      </c>
      <c r="M58" s="36"/>
      <c r="N58" s="36" t="e">
        <v>#N/A</v>
      </c>
      <c r="U58" s="35" t="s">
        <v>19195</v>
      </c>
      <c r="V58" s="35">
        <v>6887.0</v>
      </c>
      <c r="W58" s="36"/>
      <c r="X58" s="36" t="e">
        <v>#N/A</v>
      </c>
    </row>
    <row r="59">
      <c r="A59" s="170" t="s">
        <v>19196</v>
      </c>
      <c r="C59" s="170"/>
      <c r="D59" s="245">
        <v>12278.0</v>
      </c>
      <c r="K59" s="35" t="s">
        <v>19196</v>
      </c>
      <c r="L59" s="35">
        <v>12278.0</v>
      </c>
      <c r="M59" s="36"/>
      <c r="N59" s="36" t="e">
        <v>#N/A</v>
      </c>
      <c r="U59" s="35" t="s">
        <v>19196</v>
      </c>
      <c r="V59" s="35">
        <v>12278.0</v>
      </c>
      <c r="W59" s="36"/>
      <c r="X59" s="36" t="e">
        <v>#N/A</v>
      </c>
    </row>
    <row r="60">
      <c r="A60" s="175" t="s">
        <v>19197</v>
      </c>
      <c r="C60" s="175">
        <v>11601.0</v>
      </c>
      <c r="D60" s="245">
        <v>13.0</v>
      </c>
      <c r="K60" s="11" t="s">
        <v>19197</v>
      </c>
      <c r="L60" s="11">
        <v>11601.0</v>
      </c>
      <c r="N60" s="18">
        <v>1.0</v>
      </c>
      <c r="U60" s="11" t="s">
        <v>19197</v>
      </c>
      <c r="V60" s="11">
        <v>11601.0</v>
      </c>
      <c r="X60" s="18">
        <v>1.0</v>
      </c>
    </row>
    <row r="61">
      <c r="A61" s="170" t="s">
        <v>19198</v>
      </c>
      <c r="C61" s="170"/>
      <c r="D61" s="245">
        <v>6829.0</v>
      </c>
      <c r="K61" s="35" t="s">
        <v>19198</v>
      </c>
      <c r="L61" s="35">
        <v>6829.0</v>
      </c>
      <c r="M61" s="36"/>
      <c r="N61" s="36" t="e">
        <v>#N/A</v>
      </c>
      <c r="U61" s="35" t="s">
        <v>19198</v>
      </c>
      <c r="V61" s="35">
        <v>6829.0</v>
      </c>
      <c r="W61" s="36"/>
      <c r="X61" s="36" t="e">
        <v>#N/A</v>
      </c>
    </row>
    <row r="62">
      <c r="A62" s="170" t="s">
        <v>19199</v>
      </c>
      <c r="C62" s="170"/>
      <c r="D62" s="245">
        <v>6706.0</v>
      </c>
      <c r="K62" s="35" t="s">
        <v>19199</v>
      </c>
      <c r="L62" s="35">
        <v>6706.0</v>
      </c>
      <c r="M62" s="36"/>
      <c r="N62" s="36" t="e">
        <v>#N/A</v>
      </c>
      <c r="U62" s="35" t="s">
        <v>19199</v>
      </c>
      <c r="V62" s="35">
        <v>6706.0</v>
      </c>
      <c r="W62" s="36"/>
      <c r="X62" s="36" t="e">
        <v>#N/A</v>
      </c>
    </row>
    <row r="63">
      <c r="A63" s="170" t="s">
        <v>19200</v>
      </c>
      <c r="C63" s="170"/>
      <c r="D63" s="245">
        <v>6706.0</v>
      </c>
      <c r="K63" s="35" t="s">
        <v>19200</v>
      </c>
      <c r="L63" s="35">
        <v>6706.0</v>
      </c>
      <c r="M63" s="36"/>
      <c r="N63" s="36" t="e">
        <v>#N/A</v>
      </c>
      <c r="U63" s="35" t="s">
        <v>19200</v>
      </c>
      <c r="V63" s="35">
        <v>6706.0</v>
      </c>
      <c r="W63" s="36"/>
      <c r="X63" s="36" t="e">
        <v>#N/A</v>
      </c>
    </row>
    <row r="64">
      <c r="A64" s="12" t="s">
        <v>19201</v>
      </c>
      <c r="C64" s="12">
        <v>12609.0</v>
      </c>
      <c r="D64" s="245">
        <v>1.0</v>
      </c>
      <c r="K64" s="11" t="s">
        <v>19201</v>
      </c>
      <c r="L64" s="11">
        <v>12609.0</v>
      </c>
      <c r="N64" s="18">
        <v>1.0</v>
      </c>
      <c r="U64" s="11" t="s">
        <v>19201</v>
      </c>
      <c r="V64" s="11">
        <v>12609.0</v>
      </c>
      <c r="X64" s="18">
        <v>1.0</v>
      </c>
    </row>
    <row r="65">
      <c r="A65" s="12" t="s">
        <v>19202</v>
      </c>
      <c r="C65" s="12">
        <v>6727.0</v>
      </c>
      <c r="D65" s="245">
        <v>1.0</v>
      </c>
      <c r="K65" s="11" t="s">
        <v>19202</v>
      </c>
      <c r="L65" s="11">
        <v>6727.0</v>
      </c>
      <c r="N65" s="18">
        <v>1.0</v>
      </c>
      <c r="U65" s="11" t="s">
        <v>19202</v>
      </c>
      <c r="V65" s="11">
        <v>6727.0</v>
      </c>
      <c r="X65" s="18">
        <v>1.0</v>
      </c>
    </row>
    <row r="66">
      <c r="A66" s="170" t="s">
        <v>19203</v>
      </c>
      <c r="C66" s="170"/>
      <c r="D66" s="245">
        <v>6727.0</v>
      </c>
      <c r="K66" s="35" t="s">
        <v>19203</v>
      </c>
      <c r="L66" s="35">
        <v>6727.0</v>
      </c>
      <c r="M66" s="36"/>
      <c r="N66" s="36" t="e">
        <v>#N/A</v>
      </c>
      <c r="U66" s="35" t="s">
        <v>19203</v>
      </c>
      <c r="V66" s="35">
        <v>6727.0</v>
      </c>
      <c r="W66" s="36"/>
      <c r="X66" s="36" t="e">
        <v>#N/A</v>
      </c>
    </row>
    <row r="67">
      <c r="A67" s="12" t="s">
        <v>19204</v>
      </c>
      <c r="C67" s="12">
        <v>6727.0</v>
      </c>
      <c r="D67" s="245">
        <v>2.0</v>
      </c>
      <c r="K67" s="11" t="s">
        <v>19204</v>
      </c>
      <c r="L67" s="11">
        <v>6727.0</v>
      </c>
      <c r="N67" s="18">
        <v>1.0</v>
      </c>
      <c r="U67" s="11" t="s">
        <v>19204</v>
      </c>
      <c r="V67" s="11">
        <v>6727.0</v>
      </c>
      <c r="X67" s="18">
        <v>1.0</v>
      </c>
    </row>
    <row r="68">
      <c r="A68" s="170" t="s">
        <v>19205</v>
      </c>
      <c r="C68" s="170"/>
      <c r="D68" s="245">
        <v>6727.0</v>
      </c>
      <c r="K68" s="35" t="s">
        <v>19205</v>
      </c>
      <c r="L68" s="35">
        <v>6727.0</v>
      </c>
      <c r="M68" s="36"/>
      <c r="N68" s="36" t="e">
        <v>#N/A</v>
      </c>
      <c r="U68" s="35" t="s">
        <v>19205</v>
      </c>
      <c r="V68" s="35">
        <v>6727.0</v>
      </c>
      <c r="W68" s="36"/>
      <c r="X68" s="36" t="e">
        <v>#N/A</v>
      </c>
    </row>
    <row r="69">
      <c r="A69" s="12" t="s">
        <v>19206</v>
      </c>
      <c r="C69" s="12">
        <v>6668.0</v>
      </c>
      <c r="D69" s="245">
        <v>1.0</v>
      </c>
      <c r="K69" s="11" t="s">
        <v>19206</v>
      </c>
      <c r="L69" s="11">
        <v>6668.0</v>
      </c>
      <c r="N69" s="18">
        <v>1.0</v>
      </c>
      <c r="U69" s="11" t="s">
        <v>19206</v>
      </c>
      <c r="V69" s="11">
        <v>6668.0</v>
      </c>
      <c r="X69" s="18">
        <v>1.0</v>
      </c>
    </row>
    <row r="70">
      <c r="A70" s="170" t="s">
        <v>19207</v>
      </c>
      <c r="C70" s="170"/>
      <c r="D70" s="245">
        <v>7100.0</v>
      </c>
      <c r="K70" s="35" t="s">
        <v>19207</v>
      </c>
      <c r="L70" s="35">
        <v>7100.0</v>
      </c>
      <c r="M70" s="36"/>
      <c r="N70" s="36" t="e">
        <v>#N/A</v>
      </c>
      <c r="U70" s="35" t="s">
        <v>19207</v>
      </c>
      <c r="V70" s="35">
        <v>7100.0</v>
      </c>
      <c r="W70" s="36"/>
      <c r="X70" s="36" t="e">
        <v>#N/A</v>
      </c>
    </row>
    <row r="71">
      <c r="A71" s="175" t="s">
        <v>19208</v>
      </c>
      <c r="C71" s="175">
        <v>6557.0</v>
      </c>
      <c r="D71" s="245">
        <v>40.0</v>
      </c>
      <c r="K71" s="11" t="s">
        <v>19208</v>
      </c>
      <c r="L71" s="11">
        <v>6557.0</v>
      </c>
      <c r="N71" s="18">
        <v>1.0</v>
      </c>
      <c r="U71" s="11" t="s">
        <v>19208</v>
      </c>
      <c r="V71" s="11">
        <v>6557.0</v>
      </c>
      <c r="X71" s="18">
        <v>1.0</v>
      </c>
    </row>
    <row r="72">
      <c r="A72" s="170" t="s">
        <v>19209</v>
      </c>
      <c r="C72" s="170"/>
      <c r="D72" s="245">
        <v>499.0</v>
      </c>
      <c r="K72" s="35" t="s">
        <v>19209</v>
      </c>
      <c r="L72" s="35">
        <v>499.0</v>
      </c>
      <c r="M72" s="36"/>
      <c r="N72" s="36" t="e">
        <v>#N/A</v>
      </c>
      <c r="U72" s="35" t="s">
        <v>19209</v>
      </c>
      <c r="V72" s="35">
        <v>499.0</v>
      </c>
      <c r="W72" s="36"/>
      <c r="X72" s="36" t="e">
        <v>#N/A</v>
      </c>
    </row>
    <row r="73">
      <c r="A73" s="170" t="s">
        <v>19210</v>
      </c>
      <c r="C73" s="170"/>
      <c r="D73" s="245">
        <v>14337.0</v>
      </c>
      <c r="K73" s="35" t="s">
        <v>19210</v>
      </c>
      <c r="L73" s="35">
        <v>14337.0</v>
      </c>
      <c r="M73" s="36"/>
      <c r="N73" s="36" t="e">
        <v>#N/A</v>
      </c>
      <c r="U73" s="35" t="s">
        <v>19210</v>
      </c>
      <c r="V73" s="35">
        <v>14337.0</v>
      </c>
      <c r="W73" s="36"/>
      <c r="X73" s="36" t="e">
        <v>#N/A</v>
      </c>
    </row>
    <row r="74">
      <c r="A74" s="12" t="s">
        <v>19211</v>
      </c>
      <c r="C74" s="12">
        <v>6668.0</v>
      </c>
      <c r="D74" s="245">
        <v>1.0</v>
      </c>
      <c r="K74" s="35" t="s">
        <v>19211</v>
      </c>
      <c r="L74" s="35">
        <v>6668.0</v>
      </c>
      <c r="M74" s="36"/>
      <c r="N74" s="36" t="e">
        <v>#N/A</v>
      </c>
      <c r="U74" s="35" t="s">
        <v>19211</v>
      </c>
      <c r="V74" s="35">
        <v>6668.0</v>
      </c>
      <c r="W74" s="36"/>
      <c r="X74" s="36" t="e">
        <v>#N/A</v>
      </c>
    </row>
    <row r="75">
      <c r="A75" s="175" t="s">
        <v>19212</v>
      </c>
      <c r="C75" s="175">
        <v>6557.0</v>
      </c>
      <c r="D75" s="245">
        <v>42.0</v>
      </c>
      <c r="K75" s="11" t="s">
        <v>19212</v>
      </c>
      <c r="L75" s="11">
        <v>6557.0</v>
      </c>
      <c r="N75" s="18">
        <v>1.0</v>
      </c>
      <c r="U75" s="11" t="s">
        <v>19212</v>
      </c>
      <c r="V75" s="11">
        <v>6557.0</v>
      </c>
      <c r="X75" s="18">
        <v>1.0</v>
      </c>
    </row>
    <row r="76">
      <c r="A76" s="12" t="s">
        <v>19213</v>
      </c>
      <c r="C76" s="12">
        <v>6557.0</v>
      </c>
      <c r="D76" s="245">
        <v>7.0</v>
      </c>
      <c r="K76" s="11" t="s">
        <v>19213</v>
      </c>
      <c r="L76" s="11">
        <v>6557.0</v>
      </c>
      <c r="N76" s="18">
        <v>1.0</v>
      </c>
      <c r="U76" s="11" t="s">
        <v>19213</v>
      </c>
      <c r="V76" s="11">
        <v>6557.0</v>
      </c>
      <c r="X76" s="18">
        <v>1.0</v>
      </c>
    </row>
    <row r="77">
      <c r="A77" s="12" t="s">
        <v>19214</v>
      </c>
      <c r="C77" s="12">
        <v>6727.0</v>
      </c>
      <c r="D77" s="245">
        <v>5.0</v>
      </c>
      <c r="K77" s="11" t="s">
        <v>19214</v>
      </c>
      <c r="L77" s="11">
        <v>6727.0</v>
      </c>
      <c r="N77" s="18">
        <v>1.0</v>
      </c>
      <c r="U77" s="11" t="s">
        <v>19214</v>
      </c>
      <c r="V77" s="11">
        <v>6727.0</v>
      </c>
      <c r="X77" s="18">
        <v>1.0</v>
      </c>
    </row>
    <row r="78">
      <c r="A78" s="12" t="s">
        <v>19215</v>
      </c>
      <c r="C78" s="12">
        <v>6947.0</v>
      </c>
      <c r="D78" s="245">
        <v>9.0</v>
      </c>
      <c r="K78" s="35" t="s">
        <v>19215</v>
      </c>
      <c r="L78" s="35">
        <v>6947.0</v>
      </c>
      <c r="M78" s="36"/>
      <c r="N78" s="36" t="e">
        <v>#N/A</v>
      </c>
      <c r="U78" s="35" t="s">
        <v>19215</v>
      </c>
      <c r="V78" s="35">
        <v>6947.0</v>
      </c>
      <c r="W78" s="36"/>
      <c r="X78" s="36" t="e">
        <v>#N/A</v>
      </c>
    </row>
    <row r="79">
      <c r="A79" s="170" t="s">
        <v>19216</v>
      </c>
      <c r="C79" s="170"/>
      <c r="D79" s="245">
        <v>2644.0</v>
      </c>
      <c r="K79" s="35" t="s">
        <v>19216</v>
      </c>
      <c r="L79" s="109">
        <v>2644.0</v>
      </c>
      <c r="M79" s="36"/>
      <c r="N79" s="36" t="e">
        <v>#N/A</v>
      </c>
      <c r="U79" s="35" t="s">
        <v>19216</v>
      </c>
      <c r="V79" s="109">
        <v>2644.0</v>
      </c>
      <c r="W79" s="36"/>
      <c r="X79" s="36" t="e">
        <v>#N/A</v>
      </c>
    </row>
    <row r="80">
      <c r="A80" s="12" t="s">
        <v>19217</v>
      </c>
      <c r="C80" s="12">
        <v>12932.0</v>
      </c>
      <c r="D80" s="245">
        <v>1.0</v>
      </c>
      <c r="K80" s="35" t="s">
        <v>19217</v>
      </c>
      <c r="L80" s="35">
        <v>12932.0</v>
      </c>
      <c r="M80" s="36"/>
      <c r="N80" s="36" t="e">
        <v>#N/A</v>
      </c>
      <c r="U80" s="35" t="s">
        <v>19217</v>
      </c>
      <c r="V80" s="35">
        <v>12932.0</v>
      </c>
      <c r="W80" s="36"/>
      <c r="X80" s="36" t="e">
        <v>#N/A</v>
      </c>
    </row>
    <row r="81">
      <c r="A81" s="170" t="s">
        <v>19218</v>
      </c>
      <c r="C81" s="170"/>
      <c r="D81" s="245">
        <v>14030.0</v>
      </c>
      <c r="K81" s="35" t="s">
        <v>19218</v>
      </c>
      <c r="L81" s="35">
        <v>14030.0</v>
      </c>
      <c r="M81" s="36"/>
      <c r="N81" s="36" t="e">
        <v>#N/A</v>
      </c>
      <c r="U81" s="35" t="s">
        <v>19218</v>
      </c>
      <c r="V81" s="35">
        <v>14030.0</v>
      </c>
      <c r="W81" s="36"/>
      <c r="X81" s="36" t="e">
        <v>#N/A</v>
      </c>
    </row>
    <row r="82">
      <c r="A82" s="170" t="s">
        <v>19219</v>
      </c>
      <c r="C82" s="170">
        <v>10616.0</v>
      </c>
      <c r="D82" s="245">
        <v>8199.0</v>
      </c>
      <c r="K82" s="35" t="s">
        <v>19219</v>
      </c>
      <c r="L82" s="35">
        <v>8199.0</v>
      </c>
      <c r="M82" s="36"/>
      <c r="N82" s="36" t="e">
        <v>#N/A</v>
      </c>
      <c r="U82" s="35" t="s">
        <v>19219</v>
      </c>
      <c r="V82" s="35">
        <v>8199.0</v>
      </c>
      <c r="W82" s="36"/>
      <c r="X82" s="36" t="e">
        <v>#N/A</v>
      </c>
    </row>
    <row r="83">
      <c r="A83" s="170" t="s">
        <v>19220</v>
      </c>
      <c r="C83" s="170"/>
      <c r="D83" s="245">
        <v>2095.0</v>
      </c>
      <c r="K83" s="35" t="s">
        <v>19220</v>
      </c>
      <c r="L83" s="35">
        <v>2095.0</v>
      </c>
      <c r="M83" s="36"/>
      <c r="N83" s="36" t="e">
        <v>#N/A</v>
      </c>
      <c r="U83" s="35" t="s">
        <v>19220</v>
      </c>
      <c r="V83" s="35">
        <v>2095.0</v>
      </c>
      <c r="W83" s="36"/>
      <c r="X83" s="36" t="e">
        <v>#N/A</v>
      </c>
    </row>
    <row r="84">
      <c r="A84" s="170" t="s">
        <v>19221</v>
      </c>
      <c r="C84" s="11">
        <v>6722.0</v>
      </c>
      <c r="D84" s="170">
        <v>8199.0</v>
      </c>
      <c r="K84" s="35" t="s">
        <v>19221</v>
      </c>
      <c r="L84" s="35">
        <v>8199.0</v>
      </c>
      <c r="M84" s="36"/>
      <c r="N84" s="36" t="e">
        <v>#N/A</v>
      </c>
      <c r="U84" s="35" t="s">
        <v>19221</v>
      </c>
      <c r="V84" s="35">
        <v>8199.0</v>
      </c>
      <c r="W84" s="36"/>
      <c r="X84" s="36" t="e">
        <v>#N/A</v>
      </c>
    </row>
    <row r="85">
      <c r="A85" s="170" t="s">
        <v>19222</v>
      </c>
      <c r="C85" s="170"/>
      <c r="D85" s="245">
        <v>14342.0</v>
      </c>
      <c r="K85" s="35" t="s">
        <v>19222</v>
      </c>
      <c r="L85" s="35">
        <v>14342.0</v>
      </c>
      <c r="M85" s="36"/>
      <c r="N85" s="36" t="e">
        <v>#N/A</v>
      </c>
      <c r="U85" s="35" t="s">
        <v>19222</v>
      </c>
      <c r="V85" s="35">
        <v>14342.0</v>
      </c>
      <c r="W85" s="36"/>
      <c r="X85" s="36" t="e">
        <v>#N/A</v>
      </c>
    </row>
    <row r="86">
      <c r="A86" s="170" t="s">
        <v>19223</v>
      </c>
      <c r="C86" s="170"/>
      <c r="D86" s="245">
        <v>7003.0</v>
      </c>
      <c r="K86" s="35" t="s">
        <v>19223</v>
      </c>
      <c r="L86" s="35">
        <v>7003.0</v>
      </c>
      <c r="M86" s="36"/>
      <c r="N86" s="36" t="e">
        <v>#N/A</v>
      </c>
      <c r="U86" s="35" t="s">
        <v>19223</v>
      </c>
      <c r="V86" s="35">
        <v>7003.0</v>
      </c>
      <c r="W86" s="36"/>
      <c r="X86" s="36" t="e">
        <v>#N/A</v>
      </c>
    </row>
    <row r="87">
      <c r="A87" s="170" t="s">
        <v>19224</v>
      </c>
      <c r="C87" s="170"/>
      <c r="D87" s="245">
        <v>7142.0</v>
      </c>
      <c r="K87" s="35" t="s">
        <v>19224</v>
      </c>
      <c r="L87" s="35">
        <v>7142.0</v>
      </c>
      <c r="M87" s="36"/>
      <c r="N87" s="36" t="e">
        <v>#N/A</v>
      </c>
      <c r="U87" s="35" t="s">
        <v>19224</v>
      </c>
      <c r="V87" s="35">
        <v>7142.0</v>
      </c>
      <c r="W87" s="36"/>
      <c r="X87" s="36" t="e">
        <v>#N/A</v>
      </c>
    </row>
    <row r="88">
      <c r="A88" s="175" t="s">
        <v>19225</v>
      </c>
      <c r="C88" s="175">
        <v>6736.0</v>
      </c>
      <c r="D88" s="245">
        <v>29.0</v>
      </c>
      <c r="K88" s="11" t="s">
        <v>19225</v>
      </c>
      <c r="L88" s="11">
        <v>6736.0</v>
      </c>
      <c r="N88" s="18">
        <v>1.0</v>
      </c>
      <c r="U88" s="11" t="s">
        <v>19225</v>
      </c>
      <c r="V88" s="11">
        <v>6736.0</v>
      </c>
      <c r="X88" s="18">
        <v>1.0</v>
      </c>
    </row>
    <row r="89">
      <c r="A89" s="12" t="s">
        <v>19226</v>
      </c>
      <c r="C89" s="12">
        <v>3607.0</v>
      </c>
      <c r="D89" s="245">
        <v>1.0</v>
      </c>
      <c r="K89" s="11" t="s">
        <v>19226</v>
      </c>
      <c r="L89" s="11">
        <v>3607.0</v>
      </c>
      <c r="N89" s="18">
        <v>1.0</v>
      </c>
      <c r="U89" s="11" t="s">
        <v>19226</v>
      </c>
      <c r="V89" s="11">
        <v>3607.0</v>
      </c>
      <c r="X89" s="18">
        <v>1.0</v>
      </c>
    </row>
    <row r="90">
      <c r="A90" s="12" t="s">
        <v>19227</v>
      </c>
      <c r="C90" s="12">
        <v>3607.0</v>
      </c>
      <c r="D90" s="245">
        <v>1.0</v>
      </c>
      <c r="K90" s="11" t="s">
        <v>19227</v>
      </c>
      <c r="L90" s="11">
        <v>3607.0</v>
      </c>
      <c r="N90" s="18">
        <v>1.0</v>
      </c>
      <c r="U90" s="11" t="s">
        <v>19227</v>
      </c>
      <c r="V90" s="11">
        <v>3607.0</v>
      </c>
      <c r="X90" s="18">
        <v>1.0</v>
      </c>
    </row>
    <row r="91">
      <c r="A91" s="170" t="s">
        <v>19228</v>
      </c>
      <c r="C91" s="170"/>
      <c r="D91" s="245">
        <v>3607.0</v>
      </c>
      <c r="K91" s="35" t="s">
        <v>19228</v>
      </c>
      <c r="L91" s="35">
        <v>3607.0</v>
      </c>
      <c r="M91" s="36"/>
      <c r="N91" s="36" t="e">
        <v>#N/A</v>
      </c>
      <c r="U91" s="35" t="s">
        <v>19228</v>
      </c>
      <c r="V91" s="35">
        <v>3607.0</v>
      </c>
      <c r="W91" s="36"/>
      <c r="X91" s="36" t="e">
        <v>#N/A</v>
      </c>
    </row>
    <row r="92">
      <c r="A92" s="170" t="s">
        <v>19229</v>
      </c>
      <c r="C92" s="170"/>
      <c r="D92" s="245">
        <v>3607.0</v>
      </c>
      <c r="K92" s="35" t="s">
        <v>19229</v>
      </c>
      <c r="L92" s="35">
        <v>3607.0</v>
      </c>
      <c r="M92" s="36"/>
      <c r="N92" s="36" t="e">
        <v>#N/A</v>
      </c>
      <c r="U92" s="35" t="s">
        <v>19229</v>
      </c>
      <c r="V92" s="35">
        <v>3607.0</v>
      </c>
      <c r="W92" s="36"/>
      <c r="X92" s="36" t="e">
        <v>#N/A</v>
      </c>
    </row>
    <row r="93">
      <c r="A93" s="170" t="s">
        <v>19230</v>
      </c>
      <c r="C93" s="170"/>
      <c r="D93" s="245">
        <v>3607.0</v>
      </c>
      <c r="K93" s="35" t="s">
        <v>19230</v>
      </c>
      <c r="L93" s="35">
        <v>3607.0</v>
      </c>
      <c r="M93" s="36"/>
      <c r="N93" s="36" t="e">
        <v>#N/A</v>
      </c>
      <c r="U93" s="35" t="s">
        <v>19230</v>
      </c>
      <c r="V93" s="35">
        <v>3607.0</v>
      </c>
      <c r="W93" s="36"/>
      <c r="X93" s="36" t="e">
        <v>#N/A</v>
      </c>
    </row>
    <row r="94">
      <c r="A94" s="12" t="s">
        <v>19231</v>
      </c>
      <c r="C94" s="12">
        <v>3607.0</v>
      </c>
      <c r="D94" s="245">
        <v>1.0</v>
      </c>
      <c r="K94" s="11" t="s">
        <v>19231</v>
      </c>
      <c r="L94" s="11">
        <v>3607.0</v>
      </c>
      <c r="N94" s="18">
        <v>1.0</v>
      </c>
      <c r="U94" s="11" t="s">
        <v>19231</v>
      </c>
      <c r="V94" s="11">
        <v>3607.0</v>
      </c>
      <c r="X94" s="18">
        <v>1.0</v>
      </c>
    </row>
    <row r="95">
      <c r="A95" s="7" t="s">
        <v>19232</v>
      </c>
      <c r="B95" s="7"/>
      <c r="C95" s="66">
        <v>12277.0</v>
      </c>
      <c r="D95" s="175" t="s">
        <v>10980</v>
      </c>
    </row>
    <row r="96">
      <c r="A96" s="7" t="s">
        <v>19233</v>
      </c>
      <c r="B96" s="7"/>
      <c r="C96" s="66">
        <v>14049.0</v>
      </c>
      <c r="D96" s="175" t="s">
        <v>10980</v>
      </c>
    </row>
    <row r="97">
      <c r="A97" s="7" t="s">
        <v>19234</v>
      </c>
      <c r="B97" s="187"/>
      <c r="C97" s="189">
        <v>12268.0</v>
      </c>
      <c r="D97" s="175" t="s">
        <v>10980</v>
      </c>
    </row>
    <row r="98">
      <c r="A98" s="7" t="s">
        <v>19235</v>
      </c>
      <c r="B98" s="7"/>
      <c r="C98" s="7"/>
      <c r="D98" s="175" t="s">
        <v>10980</v>
      </c>
    </row>
    <row r="99">
      <c r="A99" s="7" t="s">
        <v>19236</v>
      </c>
      <c r="B99" s="7"/>
      <c r="C99" s="7"/>
      <c r="D99" s="175" t="s">
        <v>10980</v>
      </c>
    </row>
    <row r="100">
      <c r="A100" s="7" t="s">
        <v>19237</v>
      </c>
      <c r="B100" s="7"/>
      <c r="C100" s="66">
        <v>7416.0</v>
      </c>
      <c r="D100" s="175" t="s">
        <v>10980</v>
      </c>
    </row>
    <row r="101">
      <c r="A101" s="7" t="s">
        <v>19238</v>
      </c>
      <c r="B101" s="7"/>
      <c r="C101" s="7"/>
      <c r="D101" s="175" t="s">
        <v>10980</v>
      </c>
    </row>
    <row r="102">
      <c r="A102" s="231"/>
      <c r="C102" s="231"/>
      <c r="D102" s="231"/>
    </row>
    <row r="103">
      <c r="A103" s="231"/>
      <c r="C103" s="231"/>
      <c r="D103" s="231"/>
    </row>
    <row r="104">
      <c r="A104" s="231"/>
      <c r="C104" s="231"/>
      <c r="D104" s="231"/>
    </row>
    <row r="105">
      <c r="A105" s="231"/>
      <c r="C105" s="231"/>
      <c r="D105" s="231"/>
    </row>
    <row r="106">
      <c r="A106" s="231"/>
      <c r="C106" s="231"/>
      <c r="D106" s="231"/>
    </row>
    <row r="107">
      <c r="A107" s="231"/>
      <c r="C107" s="231"/>
      <c r="D107" s="231"/>
    </row>
    <row r="108">
      <c r="A108" s="231"/>
      <c r="C108" s="231"/>
      <c r="D108" s="231"/>
    </row>
    <row r="109">
      <c r="A109" s="231"/>
      <c r="C109" s="231"/>
      <c r="D109" s="231"/>
    </row>
    <row r="110">
      <c r="A110" s="231"/>
      <c r="C110" s="231"/>
      <c r="D110" s="231"/>
    </row>
    <row r="111">
      <c r="A111" s="231"/>
      <c r="C111" s="231"/>
      <c r="D111" s="231"/>
    </row>
    <row r="112">
      <c r="A112" s="231"/>
      <c r="C112" s="231"/>
      <c r="D112" s="231"/>
    </row>
    <row r="113">
      <c r="A113" s="231"/>
      <c r="C113" s="231"/>
      <c r="D113" s="231"/>
    </row>
    <row r="114">
      <c r="A114" s="231"/>
      <c r="C114" s="231"/>
      <c r="D114" s="231"/>
    </row>
    <row r="115">
      <c r="A115" s="231"/>
      <c r="C115" s="231"/>
      <c r="D115" s="231"/>
    </row>
    <row r="116">
      <c r="A116" s="231"/>
      <c r="C116" s="231"/>
      <c r="D116" s="231"/>
    </row>
    <row r="117">
      <c r="A117" s="231"/>
      <c r="C117" s="231"/>
      <c r="D117" s="231"/>
    </row>
    <row r="118">
      <c r="A118" s="231"/>
      <c r="C118" s="231"/>
      <c r="D118" s="231"/>
    </row>
    <row r="119">
      <c r="A119" s="231"/>
      <c r="C119" s="231"/>
      <c r="D119" s="231"/>
    </row>
    <row r="120">
      <c r="A120" s="231"/>
      <c r="C120" s="231"/>
      <c r="D120" s="231"/>
    </row>
    <row r="121">
      <c r="A121" s="231"/>
      <c r="C121" s="231"/>
      <c r="D121" s="231"/>
    </row>
    <row r="122">
      <c r="A122" s="231"/>
      <c r="C122" s="231"/>
      <c r="D122" s="231"/>
    </row>
    <row r="123">
      <c r="A123" s="231"/>
      <c r="C123" s="231"/>
      <c r="D123" s="231"/>
    </row>
    <row r="124">
      <c r="A124" s="231"/>
      <c r="C124" s="231"/>
      <c r="D124" s="231"/>
    </row>
    <row r="125">
      <c r="A125" s="231"/>
      <c r="C125" s="231"/>
      <c r="D125" s="231"/>
    </row>
    <row r="126">
      <c r="A126" s="231"/>
      <c r="C126" s="231"/>
      <c r="D126" s="231"/>
    </row>
    <row r="127">
      <c r="A127" s="231"/>
      <c r="C127" s="231"/>
      <c r="D127" s="231"/>
    </row>
    <row r="128">
      <c r="A128" s="231"/>
      <c r="C128" s="231"/>
      <c r="D128" s="231"/>
    </row>
    <row r="129">
      <c r="A129" s="231"/>
      <c r="C129" s="231"/>
      <c r="D129" s="231"/>
    </row>
    <row r="130">
      <c r="A130" s="231"/>
      <c r="C130" s="231"/>
      <c r="D130" s="231"/>
    </row>
    <row r="131">
      <c r="A131" s="231"/>
      <c r="C131" s="231"/>
      <c r="D131" s="231"/>
    </row>
    <row r="132">
      <c r="A132" s="231"/>
      <c r="C132" s="231"/>
      <c r="D132" s="231"/>
    </row>
    <row r="133">
      <c r="A133" s="231"/>
      <c r="C133" s="231"/>
      <c r="D133" s="231"/>
    </row>
    <row r="134">
      <c r="A134" s="231"/>
      <c r="C134" s="231"/>
      <c r="D134" s="231"/>
    </row>
    <row r="135">
      <c r="A135" s="231"/>
      <c r="C135" s="231"/>
      <c r="D135" s="231"/>
    </row>
    <row r="136">
      <c r="A136" s="231"/>
      <c r="C136" s="231"/>
      <c r="D136" s="231"/>
    </row>
    <row r="137">
      <c r="A137" s="231"/>
      <c r="C137" s="231"/>
      <c r="D137" s="231"/>
    </row>
    <row r="138">
      <c r="A138" s="231"/>
      <c r="C138" s="231"/>
      <c r="D138" s="231"/>
    </row>
    <row r="139">
      <c r="A139" s="231"/>
      <c r="C139" s="231"/>
      <c r="D139" s="231"/>
    </row>
    <row r="140">
      <c r="A140" s="231"/>
      <c r="C140" s="231"/>
      <c r="D140" s="231"/>
    </row>
    <row r="141">
      <c r="A141" s="231"/>
      <c r="C141" s="231"/>
      <c r="D141" s="231"/>
    </row>
    <row r="142">
      <c r="A142" s="231"/>
      <c r="C142" s="231"/>
      <c r="D142" s="231"/>
    </row>
    <row r="143">
      <c r="A143" s="231"/>
      <c r="C143" s="231"/>
      <c r="D143" s="231"/>
    </row>
    <row r="144">
      <c r="A144" s="231"/>
      <c r="C144" s="231"/>
      <c r="D144" s="231"/>
    </row>
    <row r="145">
      <c r="A145" s="231"/>
      <c r="C145" s="231"/>
      <c r="D145" s="231"/>
    </row>
    <row r="146">
      <c r="A146" s="231"/>
      <c r="C146" s="231"/>
      <c r="D146" s="231"/>
    </row>
    <row r="147">
      <c r="A147" s="231"/>
      <c r="C147" s="231"/>
      <c r="D147" s="231"/>
    </row>
    <row r="148">
      <c r="A148" s="231"/>
      <c r="C148" s="231"/>
      <c r="D148" s="231"/>
    </row>
    <row r="149">
      <c r="A149" s="231"/>
      <c r="C149" s="231"/>
      <c r="D149" s="231"/>
    </row>
    <row r="150">
      <c r="A150" s="231"/>
      <c r="C150" s="231"/>
      <c r="D150" s="231"/>
    </row>
    <row r="151">
      <c r="A151" s="231"/>
      <c r="C151" s="231"/>
      <c r="D151" s="231"/>
    </row>
    <row r="152">
      <c r="A152" s="231"/>
      <c r="C152" s="231"/>
      <c r="D152" s="231"/>
    </row>
    <row r="153">
      <c r="A153" s="231"/>
      <c r="C153" s="231"/>
      <c r="D153" s="231"/>
    </row>
    <row r="154">
      <c r="A154" s="231"/>
      <c r="C154" s="231"/>
      <c r="D154" s="231"/>
    </row>
    <row r="155">
      <c r="A155" s="231"/>
      <c r="C155" s="231"/>
      <c r="D155" s="231"/>
    </row>
    <row r="156">
      <c r="A156" s="231"/>
      <c r="C156" s="231"/>
      <c r="D156" s="231"/>
    </row>
    <row r="157">
      <c r="A157" s="231"/>
      <c r="C157" s="231"/>
      <c r="D157" s="231"/>
    </row>
    <row r="158">
      <c r="A158" s="231"/>
      <c r="C158" s="231"/>
      <c r="D158" s="231"/>
    </row>
    <row r="159">
      <c r="A159" s="231"/>
      <c r="C159" s="231"/>
      <c r="D159" s="231"/>
    </row>
    <row r="160">
      <c r="A160" s="231"/>
      <c r="C160" s="231"/>
      <c r="D160" s="231"/>
    </row>
    <row r="161">
      <c r="A161" s="231"/>
      <c r="C161" s="231"/>
      <c r="D161" s="231"/>
    </row>
    <row r="162">
      <c r="A162" s="231"/>
      <c r="C162" s="231"/>
      <c r="D162" s="231"/>
    </row>
    <row r="163">
      <c r="A163" s="231"/>
      <c r="C163" s="231"/>
      <c r="D163" s="231"/>
    </row>
    <row r="164">
      <c r="A164" s="231"/>
      <c r="C164" s="231"/>
      <c r="D164" s="231"/>
    </row>
    <row r="165">
      <c r="A165" s="231"/>
      <c r="C165" s="231"/>
      <c r="D165" s="231"/>
    </row>
    <row r="166">
      <c r="A166" s="231"/>
      <c r="C166" s="231"/>
      <c r="D166" s="231"/>
    </row>
    <row r="167">
      <c r="A167" s="231"/>
      <c r="C167" s="231"/>
      <c r="D167" s="231"/>
    </row>
    <row r="168">
      <c r="A168" s="231"/>
      <c r="C168" s="231"/>
      <c r="D168" s="231"/>
    </row>
    <row r="169">
      <c r="A169" s="231"/>
      <c r="C169" s="231"/>
      <c r="D169" s="231"/>
    </row>
    <row r="170">
      <c r="A170" s="231"/>
      <c r="C170" s="231"/>
      <c r="D170" s="231"/>
    </row>
    <row r="171">
      <c r="A171" s="231"/>
      <c r="C171" s="231"/>
      <c r="D171" s="231"/>
    </row>
    <row r="172">
      <c r="A172" s="231"/>
      <c r="C172" s="231"/>
      <c r="D172" s="231"/>
    </row>
    <row r="173">
      <c r="A173" s="231"/>
      <c r="C173" s="231"/>
      <c r="D173" s="231"/>
    </row>
    <row r="174">
      <c r="A174" s="231"/>
      <c r="C174" s="231"/>
      <c r="D174" s="231"/>
    </row>
    <row r="175">
      <c r="A175" s="231"/>
      <c r="C175" s="231"/>
      <c r="D175" s="231"/>
    </row>
    <row r="176">
      <c r="A176" s="231"/>
      <c r="C176" s="231"/>
      <c r="D176" s="231"/>
    </row>
    <row r="177">
      <c r="A177" s="231"/>
      <c r="C177" s="231"/>
      <c r="D177" s="231"/>
    </row>
    <row r="178">
      <c r="A178" s="231"/>
      <c r="C178" s="231"/>
      <c r="D178" s="231"/>
    </row>
    <row r="179">
      <c r="A179" s="231"/>
      <c r="C179" s="231"/>
      <c r="D179" s="231"/>
    </row>
    <row r="180">
      <c r="A180" s="231"/>
      <c r="C180" s="231"/>
      <c r="D180" s="231"/>
    </row>
    <row r="181">
      <c r="A181" s="231"/>
      <c r="C181" s="231"/>
      <c r="D181" s="231"/>
    </row>
    <row r="182">
      <c r="A182" s="231"/>
      <c r="C182" s="231"/>
      <c r="D182" s="231"/>
    </row>
    <row r="183">
      <c r="A183" s="231"/>
      <c r="C183" s="231"/>
      <c r="D183" s="231"/>
    </row>
    <row r="184">
      <c r="A184" s="231"/>
      <c r="C184" s="231"/>
      <c r="D184" s="231"/>
    </row>
    <row r="185">
      <c r="A185" s="231"/>
      <c r="C185" s="231"/>
      <c r="D185" s="231"/>
    </row>
    <row r="186">
      <c r="A186" s="231"/>
      <c r="C186" s="231"/>
      <c r="D186" s="231"/>
    </row>
    <row r="187">
      <c r="A187" s="231"/>
      <c r="C187" s="231"/>
      <c r="D187" s="231"/>
    </row>
    <row r="188">
      <c r="A188" s="231"/>
      <c r="C188" s="231"/>
      <c r="D188" s="231"/>
    </row>
    <row r="189">
      <c r="A189" s="231"/>
      <c r="C189" s="231"/>
      <c r="D189" s="231"/>
    </row>
    <row r="190">
      <c r="A190" s="231"/>
      <c r="C190" s="231"/>
      <c r="D190" s="231"/>
    </row>
    <row r="191">
      <c r="A191" s="231"/>
      <c r="C191" s="231"/>
      <c r="D191" s="231"/>
    </row>
    <row r="192">
      <c r="A192" s="231"/>
      <c r="C192" s="231"/>
      <c r="D192" s="231"/>
    </row>
    <row r="193">
      <c r="A193" s="231"/>
      <c r="C193" s="231"/>
      <c r="D193" s="231"/>
    </row>
    <row r="194">
      <c r="A194" s="231"/>
      <c r="C194" s="231"/>
      <c r="D194" s="231"/>
    </row>
    <row r="195">
      <c r="A195" s="231"/>
      <c r="C195" s="231"/>
      <c r="D195" s="231"/>
    </row>
    <row r="196">
      <c r="A196" s="231"/>
      <c r="C196" s="231"/>
      <c r="D196" s="231"/>
    </row>
    <row r="197">
      <c r="A197" s="231"/>
      <c r="C197" s="231"/>
      <c r="D197" s="231"/>
    </row>
    <row r="198">
      <c r="A198" s="231"/>
      <c r="C198" s="231"/>
      <c r="D198" s="231"/>
    </row>
    <row r="199">
      <c r="A199" s="231"/>
      <c r="C199" s="231"/>
      <c r="D199" s="231"/>
    </row>
    <row r="200">
      <c r="A200" s="231"/>
      <c r="C200" s="231"/>
      <c r="D200" s="231"/>
    </row>
    <row r="201">
      <c r="A201" s="231"/>
      <c r="C201" s="231"/>
      <c r="D201" s="231"/>
    </row>
    <row r="202">
      <c r="A202" s="231"/>
      <c r="C202" s="231"/>
      <c r="D202" s="231"/>
    </row>
    <row r="203">
      <c r="A203" s="231"/>
      <c r="C203" s="231"/>
      <c r="D203" s="231"/>
    </row>
    <row r="204">
      <c r="A204" s="231"/>
      <c r="C204" s="231"/>
      <c r="D204" s="231"/>
    </row>
    <row r="205">
      <c r="A205" s="231"/>
      <c r="C205" s="231"/>
      <c r="D205" s="231"/>
    </row>
    <row r="206">
      <c r="A206" s="231"/>
      <c r="C206" s="231"/>
      <c r="D206" s="231"/>
    </row>
    <row r="207">
      <c r="A207" s="231"/>
      <c r="C207" s="231"/>
      <c r="D207" s="231"/>
    </row>
    <row r="208">
      <c r="A208" s="231"/>
      <c r="C208" s="231"/>
      <c r="D208" s="231"/>
    </row>
    <row r="209">
      <c r="A209" s="231"/>
      <c r="C209" s="231"/>
      <c r="D209" s="231"/>
    </row>
    <row r="210">
      <c r="A210" s="231"/>
      <c r="C210" s="231"/>
      <c r="D210" s="231"/>
    </row>
    <row r="211">
      <c r="A211" s="231"/>
      <c r="C211" s="231"/>
      <c r="D211" s="231"/>
    </row>
    <row r="212">
      <c r="A212" s="231"/>
      <c r="C212" s="231"/>
      <c r="D212" s="231"/>
    </row>
    <row r="213">
      <c r="A213" s="231"/>
      <c r="C213" s="231"/>
      <c r="D213" s="231"/>
    </row>
    <row r="214">
      <c r="A214" s="231"/>
      <c r="C214" s="231"/>
      <c r="D214" s="231"/>
    </row>
    <row r="215">
      <c r="A215" s="231"/>
      <c r="C215" s="231"/>
      <c r="D215" s="231"/>
    </row>
    <row r="216">
      <c r="A216" s="231"/>
      <c r="C216" s="231"/>
      <c r="D216" s="231"/>
    </row>
    <row r="217">
      <c r="A217" s="231"/>
      <c r="C217" s="231"/>
      <c r="D217" s="231"/>
    </row>
    <row r="218">
      <c r="A218" s="231"/>
      <c r="C218" s="231"/>
      <c r="D218" s="231"/>
    </row>
    <row r="219">
      <c r="A219" s="231"/>
      <c r="C219" s="231"/>
      <c r="D219" s="231"/>
    </row>
    <row r="220">
      <c r="A220" s="231"/>
      <c r="C220" s="231"/>
      <c r="D220" s="231"/>
    </row>
    <row r="221">
      <c r="A221" s="231"/>
      <c r="C221" s="231"/>
      <c r="D221" s="231"/>
    </row>
    <row r="222">
      <c r="A222" s="231"/>
      <c r="C222" s="231"/>
      <c r="D222" s="231"/>
    </row>
    <row r="223">
      <c r="A223" s="231"/>
      <c r="C223" s="231"/>
      <c r="D223" s="231"/>
    </row>
    <row r="224">
      <c r="A224" s="231"/>
      <c r="C224" s="231"/>
      <c r="D224" s="231"/>
    </row>
    <row r="225">
      <c r="A225" s="231"/>
      <c r="C225" s="231"/>
      <c r="D225" s="231"/>
    </row>
    <row r="226">
      <c r="A226" s="231"/>
      <c r="C226" s="231"/>
      <c r="D226" s="231"/>
    </row>
    <row r="227">
      <c r="A227" s="231"/>
      <c r="C227" s="231"/>
      <c r="D227" s="231"/>
    </row>
    <row r="228">
      <c r="A228" s="231"/>
      <c r="C228" s="231"/>
      <c r="D228" s="231"/>
    </row>
    <row r="229">
      <c r="A229" s="231"/>
      <c r="C229" s="231"/>
      <c r="D229" s="231"/>
    </row>
    <row r="230">
      <c r="A230" s="231"/>
      <c r="C230" s="231"/>
      <c r="D230" s="231"/>
    </row>
    <row r="231">
      <c r="A231" s="231"/>
      <c r="C231" s="231"/>
      <c r="D231" s="231"/>
    </row>
    <row r="232">
      <c r="A232" s="231"/>
      <c r="C232" s="231"/>
      <c r="D232" s="231"/>
    </row>
    <row r="233">
      <c r="A233" s="231"/>
      <c r="C233" s="231"/>
      <c r="D233" s="231"/>
    </row>
    <row r="234">
      <c r="A234" s="231"/>
      <c r="C234" s="231"/>
      <c r="D234" s="231"/>
    </row>
    <row r="235">
      <c r="A235" s="231"/>
      <c r="C235" s="231"/>
      <c r="D235" s="231"/>
    </row>
    <row r="236">
      <c r="A236" s="231"/>
      <c r="C236" s="231"/>
      <c r="D236" s="231"/>
    </row>
    <row r="237">
      <c r="A237" s="231"/>
      <c r="C237" s="231"/>
      <c r="D237" s="231"/>
    </row>
    <row r="238">
      <c r="A238" s="231"/>
      <c r="C238" s="231"/>
      <c r="D238" s="231"/>
    </row>
    <row r="239">
      <c r="A239" s="231"/>
      <c r="C239" s="231"/>
      <c r="D239" s="231"/>
    </row>
    <row r="240">
      <c r="A240" s="231"/>
      <c r="C240" s="231"/>
      <c r="D240" s="231"/>
    </row>
    <row r="241">
      <c r="A241" s="231"/>
      <c r="C241" s="231"/>
      <c r="D241" s="231"/>
    </row>
    <row r="242">
      <c r="A242" s="231"/>
      <c r="C242" s="231"/>
      <c r="D242" s="231"/>
    </row>
    <row r="243">
      <c r="A243" s="231"/>
      <c r="C243" s="231"/>
      <c r="D243" s="231"/>
    </row>
    <row r="244">
      <c r="A244" s="231"/>
      <c r="C244" s="231"/>
      <c r="D244" s="231"/>
    </row>
    <row r="245">
      <c r="A245" s="231"/>
      <c r="C245" s="231"/>
      <c r="D245" s="231"/>
    </row>
    <row r="246">
      <c r="A246" s="231"/>
      <c r="C246" s="231"/>
      <c r="D246" s="231"/>
    </row>
    <row r="247">
      <c r="A247" s="231"/>
      <c r="C247" s="231"/>
      <c r="D247" s="231"/>
    </row>
    <row r="248">
      <c r="A248" s="231"/>
      <c r="C248" s="231"/>
      <c r="D248" s="231"/>
    </row>
    <row r="249">
      <c r="A249" s="231"/>
      <c r="C249" s="231"/>
      <c r="D249" s="231"/>
    </row>
    <row r="250">
      <c r="A250" s="231"/>
      <c r="C250" s="231"/>
      <c r="D250" s="231"/>
    </row>
    <row r="251">
      <c r="A251" s="231"/>
      <c r="C251" s="231"/>
      <c r="D251" s="231"/>
    </row>
    <row r="252">
      <c r="A252" s="231"/>
      <c r="C252" s="231"/>
      <c r="D252" s="231"/>
    </row>
    <row r="253">
      <c r="A253" s="231"/>
      <c r="C253" s="231"/>
      <c r="D253" s="231"/>
    </row>
    <row r="254">
      <c r="A254" s="231"/>
      <c r="C254" s="231"/>
      <c r="D254" s="231"/>
    </row>
    <row r="255">
      <c r="A255" s="231"/>
      <c r="C255" s="231"/>
      <c r="D255" s="231"/>
    </row>
    <row r="256">
      <c r="A256" s="231"/>
      <c r="C256" s="231"/>
      <c r="D256" s="231"/>
    </row>
    <row r="257">
      <c r="A257" s="231"/>
      <c r="C257" s="231"/>
      <c r="D257" s="231"/>
    </row>
    <row r="258">
      <c r="A258" s="231"/>
      <c r="C258" s="231"/>
      <c r="D258" s="231"/>
    </row>
    <row r="259">
      <c r="A259" s="231"/>
      <c r="C259" s="231"/>
      <c r="D259" s="231"/>
    </row>
    <row r="260">
      <c r="A260" s="231"/>
      <c r="C260" s="231"/>
      <c r="D260" s="231"/>
    </row>
    <row r="261">
      <c r="A261" s="231"/>
      <c r="C261" s="231"/>
      <c r="D261" s="231"/>
    </row>
    <row r="262">
      <c r="A262" s="231"/>
      <c r="C262" s="231"/>
      <c r="D262" s="231"/>
    </row>
    <row r="263">
      <c r="A263" s="231"/>
      <c r="C263" s="231"/>
      <c r="D263" s="231"/>
    </row>
    <row r="264">
      <c r="A264" s="231"/>
      <c r="C264" s="231"/>
      <c r="D264" s="231"/>
    </row>
    <row r="265">
      <c r="A265" s="231"/>
      <c r="C265" s="231"/>
      <c r="D265" s="231"/>
    </row>
    <row r="266">
      <c r="A266" s="231"/>
      <c r="C266" s="231"/>
      <c r="D266" s="231"/>
    </row>
    <row r="267">
      <c r="A267" s="231"/>
      <c r="C267" s="231"/>
      <c r="D267" s="231"/>
    </row>
    <row r="268">
      <c r="A268" s="231"/>
      <c r="C268" s="231"/>
      <c r="D268" s="231"/>
    </row>
    <row r="269">
      <c r="A269" s="231"/>
      <c r="C269" s="231"/>
      <c r="D269" s="231"/>
    </row>
    <row r="270">
      <c r="A270" s="231"/>
      <c r="C270" s="231"/>
      <c r="D270" s="231"/>
    </row>
    <row r="271">
      <c r="A271" s="231"/>
      <c r="C271" s="231"/>
      <c r="D271" s="231"/>
    </row>
    <row r="272">
      <c r="A272" s="231"/>
      <c r="C272" s="231"/>
      <c r="D272" s="231"/>
    </row>
    <row r="273">
      <c r="A273" s="231"/>
      <c r="C273" s="231"/>
      <c r="D273" s="231"/>
    </row>
    <row r="274">
      <c r="A274" s="231"/>
      <c r="C274" s="231"/>
      <c r="D274" s="231"/>
    </row>
    <row r="275">
      <c r="A275" s="231"/>
      <c r="C275" s="231"/>
      <c r="D275" s="231"/>
    </row>
    <row r="276">
      <c r="A276" s="231"/>
      <c r="C276" s="231"/>
      <c r="D276" s="231"/>
    </row>
    <row r="277">
      <c r="A277" s="231"/>
      <c r="C277" s="231"/>
      <c r="D277" s="231"/>
    </row>
    <row r="278">
      <c r="A278" s="231"/>
      <c r="C278" s="231"/>
      <c r="D278" s="231"/>
    </row>
    <row r="279">
      <c r="A279" s="231"/>
      <c r="C279" s="231"/>
      <c r="D279" s="231"/>
    </row>
    <row r="280">
      <c r="A280" s="231"/>
      <c r="C280" s="231"/>
      <c r="D280" s="231"/>
    </row>
    <row r="281">
      <c r="A281" s="231"/>
      <c r="C281" s="231"/>
      <c r="D281" s="231"/>
    </row>
    <row r="282">
      <c r="A282" s="231"/>
      <c r="C282" s="231"/>
      <c r="D282" s="231"/>
    </row>
    <row r="283">
      <c r="A283" s="231"/>
      <c r="C283" s="231"/>
      <c r="D283" s="231"/>
    </row>
    <row r="284">
      <c r="A284" s="231"/>
      <c r="C284" s="231"/>
      <c r="D284" s="231"/>
    </row>
    <row r="285">
      <c r="A285" s="231"/>
      <c r="C285" s="231"/>
      <c r="D285" s="231"/>
    </row>
    <row r="286">
      <c r="A286" s="231"/>
      <c r="C286" s="231"/>
      <c r="D286" s="231"/>
    </row>
    <row r="287">
      <c r="A287" s="231"/>
      <c r="C287" s="231"/>
      <c r="D287" s="231"/>
    </row>
    <row r="288">
      <c r="A288" s="231"/>
      <c r="C288" s="231"/>
      <c r="D288" s="231"/>
    </row>
    <row r="289">
      <c r="A289" s="231"/>
      <c r="C289" s="231"/>
      <c r="D289" s="231"/>
    </row>
    <row r="290">
      <c r="A290" s="231"/>
      <c r="C290" s="231"/>
      <c r="D290" s="231"/>
    </row>
    <row r="291">
      <c r="A291" s="231"/>
      <c r="C291" s="231"/>
      <c r="D291" s="231"/>
    </row>
    <row r="292">
      <c r="A292" s="231"/>
      <c r="C292" s="231"/>
      <c r="D292" s="231"/>
    </row>
    <row r="293">
      <c r="A293" s="231"/>
      <c r="C293" s="231"/>
      <c r="D293" s="231"/>
    </row>
    <row r="294">
      <c r="A294" s="231"/>
      <c r="C294" s="231"/>
      <c r="D294" s="231"/>
    </row>
    <row r="295">
      <c r="A295" s="231"/>
      <c r="C295" s="231"/>
      <c r="D295" s="231"/>
    </row>
    <row r="296">
      <c r="A296" s="231"/>
      <c r="C296" s="231"/>
      <c r="D296" s="231"/>
    </row>
    <row r="297">
      <c r="A297" s="231"/>
      <c r="C297" s="231"/>
      <c r="D297" s="231"/>
    </row>
    <row r="298">
      <c r="A298" s="231"/>
      <c r="C298" s="231"/>
      <c r="D298" s="231"/>
    </row>
    <row r="299">
      <c r="A299" s="231"/>
      <c r="C299" s="231"/>
      <c r="D299" s="231"/>
    </row>
    <row r="300">
      <c r="A300" s="231"/>
      <c r="C300" s="231"/>
      <c r="D300" s="231"/>
    </row>
    <row r="301">
      <c r="A301" s="231"/>
      <c r="C301" s="231"/>
      <c r="D301" s="231"/>
    </row>
    <row r="302">
      <c r="A302" s="231"/>
      <c r="C302" s="231"/>
      <c r="D302" s="231"/>
    </row>
    <row r="303">
      <c r="A303" s="231"/>
      <c r="C303" s="231"/>
      <c r="D303" s="231"/>
    </row>
    <row r="304">
      <c r="A304" s="231"/>
      <c r="C304" s="231"/>
      <c r="D304" s="231"/>
    </row>
    <row r="305">
      <c r="A305" s="231"/>
      <c r="C305" s="231"/>
      <c r="D305" s="231"/>
    </row>
    <row r="306">
      <c r="A306" s="231"/>
      <c r="C306" s="231"/>
      <c r="D306" s="231"/>
    </row>
    <row r="307">
      <c r="A307" s="231"/>
      <c r="C307" s="231"/>
      <c r="D307" s="231"/>
    </row>
    <row r="308">
      <c r="A308" s="231"/>
      <c r="C308" s="231"/>
      <c r="D308" s="231"/>
    </row>
    <row r="309">
      <c r="A309" s="231"/>
      <c r="C309" s="231"/>
      <c r="D309" s="231"/>
    </row>
    <row r="310">
      <c r="A310" s="231"/>
      <c r="C310" s="231"/>
      <c r="D310" s="231"/>
    </row>
    <row r="311">
      <c r="A311" s="231"/>
      <c r="C311" s="231"/>
      <c r="D311" s="231"/>
    </row>
    <row r="312">
      <c r="A312" s="231"/>
      <c r="C312" s="231"/>
      <c r="D312" s="231"/>
    </row>
    <row r="313">
      <c r="A313" s="231"/>
      <c r="C313" s="231"/>
      <c r="D313" s="231"/>
    </row>
    <row r="314">
      <c r="A314" s="231"/>
      <c r="C314" s="231"/>
      <c r="D314" s="231"/>
    </row>
    <row r="315">
      <c r="A315" s="231"/>
      <c r="C315" s="231"/>
      <c r="D315" s="231"/>
    </row>
    <row r="316">
      <c r="A316" s="231"/>
      <c r="C316" s="231"/>
      <c r="D316" s="231"/>
    </row>
    <row r="317">
      <c r="A317" s="231"/>
      <c r="C317" s="231"/>
      <c r="D317" s="231"/>
    </row>
    <row r="318">
      <c r="A318" s="231"/>
      <c r="C318" s="231"/>
      <c r="D318" s="231"/>
    </row>
    <row r="319">
      <c r="A319" s="231"/>
      <c r="C319" s="231"/>
      <c r="D319" s="231"/>
    </row>
    <row r="320">
      <c r="A320" s="231"/>
      <c r="C320" s="231"/>
      <c r="D320" s="231"/>
    </row>
    <row r="321">
      <c r="A321" s="231"/>
      <c r="C321" s="231"/>
      <c r="D321" s="231"/>
    </row>
    <row r="322">
      <c r="A322" s="231"/>
      <c r="C322" s="231"/>
      <c r="D322" s="231"/>
    </row>
    <row r="323">
      <c r="A323" s="231"/>
      <c r="C323" s="231"/>
      <c r="D323" s="231"/>
    </row>
    <row r="324">
      <c r="A324" s="231"/>
      <c r="C324" s="231"/>
      <c r="D324" s="231"/>
    </row>
    <row r="325">
      <c r="A325" s="231"/>
      <c r="C325" s="231"/>
      <c r="D325" s="231"/>
    </row>
    <row r="326">
      <c r="A326" s="231"/>
      <c r="C326" s="231"/>
      <c r="D326" s="231"/>
    </row>
    <row r="327">
      <c r="A327" s="231"/>
      <c r="C327" s="231"/>
      <c r="D327" s="231"/>
    </row>
    <row r="328">
      <c r="A328" s="231"/>
      <c r="C328" s="231"/>
      <c r="D328" s="231"/>
    </row>
    <row r="329">
      <c r="A329" s="231"/>
      <c r="C329" s="231"/>
      <c r="D329" s="231"/>
    </row>
    <row r="330">
      <c r="A330" s="231"/>
      <c r="C330" s="231"/>
      <c r="D330" s="231"/>
    </row>
    <row r="331">
      <c r="A331" s="231"/>
      <c r="C331" s="231"/>
      <c r="D331" s="231"/>
    </row>
    <row r="332">
      <c r="A332" s="231"/>
      <c r="C332" s="231"/>
      <c r="D332" s="231"/>
    </row>
    <row r="333">
      <c r="A333" s="231"/>
      <c r="C333" s="231"/>
      <c r="D333" s="231"/>
    </row>
    <row r="334">
      <c r="A334" s="231"/>
      <c r="C334" s="231"/>
      <c r="D334" s="231"/>
    </row>
    <row r="335">
      <c r="A335" s="231"/>
      <c r="C335" s="231"/>
      <c r="D335" s="231"/>
    </row>
    <row r="336">
      <c r="A336" s="231"/>
      <c r="C336" s="231"/>
      <c r="D336" s="231"/>
    </row>
    <row r="337">
      <c r="A337" s="231"/>
      <c r="C337" s="231"/>
      <c r="D337" s="231"/>
    </row>
    <row r="338">
      <c r="A338" s="231"/>
      <c r="C338" s="231"/>
      <c r="D338" s="231"/>
    </row>
    <row r="339">
      <c r="A339" s="231"/>
      <c r="C339" s="231"/>
      <c r="D339" s="231"/>
    </row>
    <row r="340">
      <c r="A340" s="231"/>
      <c r="C340" s="231"/>
      <c r="D340" s="231"/>
    </row>
    <row r="341">
      <c r="A341" s="231"/>
      <c r="C341" s="231"/>
      <c r="D341" s="231"/>
    </row>
    <row r="342">
      <c r="A342" s="231"/>
      <c r="C342" s="231"/>
      <c r="D342" s="231"/>
    </row>
    <row r="343">
      <c r="A343" s="231"/>
      <c r="C343" s="231"/>
      <c r="D343" s="231"/>
    </row>
    <row r="344">
      <c r="A344" s="231"/>
      <c r="C344" s="231"/>
      <c r="D344" s="231"/>
    </row>
    <row r="345">
      <c r="A345" s="231"/>
      <c r="C345" s="231"/>
      <c r="D345" s="231"/>
    </row>
    <row r="346">
      <c r="A346" s="231"/>
      <c r="C346" s="231"/>
      <c r="D346" s="231"/>
    </row>
    <row r="347">
      <c r="A347" s="231"/>
      <c r="C347" s="231"/>
      <c r="D347" s="231"/>
    </row>
    <row r="348">
      <c r="A348" s="231"/>
      <c r="C348" s="231"/>
      <c r="D348" s="231"/>
    </row>
    <row r="349">
      <c r="A349" s="231"/>
      <c r="C349" s="231"/>
      <c r="D349" s="231"/>
    </row>
    <row r="350">
      <c r="A350" s="231"/>
      <c r="C350" s="231"/>
      <c r="D350" s="231"/>
    </row>
    <row r="351">
      <c r="A351" s="231"/>
      <c r="C351" s="231"/>
      <c r="D351" s="231"/>
    </row>
    <row r="352">
      <c r="A352" s="231"/>
      <c r="C352" s="231"/>
      <c r="D352" s="231"/>
    </row>
    <row r="353">
      <c r="A353" s="231"/>
      <c r="C353" s="231"/>
      <c r="D353" s="231"/>
    </row>
    <row r="354">
      <c r="A354" s="231"/>
      <c r="C354" s="231"/>
      <c r="D354" s="231"/>
    </row>
    <row r="355">
      <c r="A355" s="231"/>
      <c r="C355" s="231"/>
      <c r="D355" s="231"/>
    </row>
    <row r="356">
      <c r="A356" s="231"/>
      <c r="C356" s="231"/>
      <c r="D356" s="231"/>
    </row>
    <row r="357">
      <c r="A357" s="231"/>
      <c r="C357" s="231"/>
      <c r="D357" s="231"/>
    </row>
    <row r="358">
      <c r="A358" s="231"/>
      <c r="C358" s="231"/>
      <c r="D358" s="231"/>
    </row>
    <row r="359">
      <c r="A359" s="231"/>
      <c r="C359" s="231"/>
      <c r="D359" s="231"/>
    </row>
    <row r="360">
      <c r="A360" s="231"/>
      <c r="C360" s="231"/>
      <c r="D360" s="231"/>
    </row>
    <row r="361">
      <c r="A361" s="231"/>
      <c r="C361" s="231"/>
      <c r="D361" s="231"/>
    </row>
    <row r="362">
      <c r="A362" s="231"/>
      <c r="C362" s="231"/>
      <c r="D362" s="231"/>
    </row>
    <row r="363">
      <c r="A363" s="231"/>
      <c r="C363" s="231"/>
      <c r="D363" s="231"/>
    </row>
    <row r="364">
      <c r="A364" s="231"/>
      <c r="C364" s="231"/>
      <c r="D364" s="231"/>
    </row>
    <row r="365">
      <c r="A365" s="231"/>
      <c r="C365" s="231"/>
      <c r="D365" s="231"/>
    </row>
    <row r="366">
      <c r="A366" s="231"/>
      <c r="C366" s="231"/>
      <c r="D366" s="231"/>
    </row>
    <row r="367">
      <c r="A367" s="231"/>
      <c r="C367" s="231"/>
      <c r="D367" s="231"/>
    </row>
    <row r="368">
      <c r="A368" s="231"/>
      <c r="C368" s="231"/>
      <c r="D368" s="231"/>
    </row>
    <row r="369">
      <c r="A369" s="231"/>
      <c r="C369" s="231"/>
      <c r="D369" s="231"/>
    </row>
    <row r="370">
      <c r="A370" s="231"/>
      <c r="C370" s="231"/>
      <c r="D370" s="231"/>
    </row>
    <row r="371">
      <c r="A371" s="231"/>
      <c r="C371" s="231"/>
      <c r="D371" s="231"/>
    </row>
    <row r="372">
      <c r="A372" s="231"/>
      <c r="C372" s="231"/>
      <c r="D372" s="231"/>
    </row>
    <row r="373">
      <c r="A373" s="231"/>
      <c r="C373" s="231"/>
      <c r="D373" s="231"/>
    </row>
    <row r="374">
      <c r="A374" s="231"/>
      <c r="C374" s="231"/>
      <c r="D374" s="231"/>
    </row>
    <row r="375">
      <c r="A375" s="231"/>
      <c r="C375" s="231"/>
      <c r="D375" s="231"/>
    </row>
    <row r="376">
      <c r="A376" s="231"/>
      <c r="C376" s="231"/>
      <c r="D376" s="231"/>
    </row>
    <row r="377">
      <c r="A377" s="231"/>
      <c r="C377" s="231"/>
      <c r="D377" s="231"/>
    </row>
    <row r="378">
      <c r="A378" s="231"/>
      <c r="C378" s="231"/>
      <c r="D378" s="231"/>
    </row>
    <row r="379">
      <c r="A379" s="231"/>
      <c r="C379" s="231"/>
      <c r="D379" s="231"/>
    </row>
    <row r="380">
      <c r="A380" s="231"/>
      <c r="C380" s="231"/>
      <c r="D380" s="231"/>
    </row>
    <row r="381">
      <c r="A381" s="231"/>
      <c r="C381" s="231"/>
      <c r="D381" s="231"/>
    </row>
    <row r="382">
      <c r="A382" s="231"/>
      <c r="C382" s="231"/>
      <c r="D382" s="231"/>
    </row>
    <row r="383">
      <c r="A383" s="231"/>
      <c r="C383" s="231"/>
      <c r="D383" s="231"/>
    </row>
    <row r="384">
      <c r="A384" s="231"/>
      <c r="C384" s="231"/>
      <c r="D384" s="231"/>
    </row>
    <row r="385">
      <c r="A385" s="231"/>
      <c r="C385" s="231"/>
      <c r="D385" s="231"/>
    </row>
    <row r="386">
      <c r="A386" s="231"/>
      <c r="C386" s="231"/>
      <c r="D386" s="231"/>
    </row>
    <row r="387">
      <c r="A387" s="231"/>
      <c r="C387" s="231"/>
      <c r="D387" s="231"/>
    </row>
    <row r="388">
      <c r="A388" s="231"/>
      <c r="C388" s="231"/>
      <c r="D388" s="231"/>
    </row>
    <row r="389">
      <c r="A389" s="231"/>
      <c r="C389" s="231"/>
      <c r="D389" s="231"/>
    </row>
    <row r="390">
      <c r="A390" s="231"/>
      <c r="C390" s="231"/>
      <c r="D390" s="231"/>
    </row>
    <row r="391">
      <c r="A391" s="231"/>
      <c r="C391" s="231"/>
      <c r="D391" s="231"/>
    </row>
    <row r="392">
      <c r="A392" s="231"/>
      <c r="C392" s="231"/>
      <c r="D392" s="231"/>
    </row>
    <row r="393">
      <c r="A393" s="231"/>
      <c r="C393" s="231"/>
      <c r="D393" s="231"/>
    </row>
    <row r="394">
      <c r="A394" s="231"/>
      <c r="C394" s="231"/>
      <c r="D394" s="231"/>
    </row>
    <row r="395">
      <c r="A395" s="231"/>
      <c r="C395" s="231"/>
      <c r="D395" s="231"/>
    </row>
    <row r="396">
      <c r="A396" s="231"/>
      <c r="C396" s="231"/>
      <c r="D396" s="231"/>
    </row>
    <row r="397">
      <c r="A397" s="231"/>
      <c r="C397" s="231"/>
      <c r="D397" s="231"/>
    </row>
    <row r="398">
      <c r="A398" s="231"/>
      <c r="C398" s="231"/>
      <c r="D398" s="231"/>
    </row>
    <row r="399">
      <c r="A399" s="231"/>
      <c r="C399" s="231"/>
      <c r="D399" s="231"/>
    </row>
    <row r="400">
      <c r="A400" s="231"/>
      <c r="C400" s="231"/>
      <c r="D400" s="231"/>
    </row>
    <row r="401">
      <c r="A401" s="231"/>
      <c r="C401" s="231"/>
      <c r="D401" s="231"/>
    </row>
    <row r="402">
      <c r="A402" s="231"/>
      <c r="C402" s="231"/>
      <c r="D402" s="231"/>
    </row>
    <row r="403">
      <c r="A403" s="231"/>
      <c r="C403" s="231"/>
      <c r="D403" s="231"/>
    </row>
    <row r="404">
      <c r="A404" s="231"/>
      <c r="C404" s="231"/>
      <c r="D404" s="231"/>
    </row>
    <row r="405">
      <c r="A405" s="231"/>
      <c r="C405" s="231"/>
      <c r="D405" s="231"/>
    </row>
    <row r="406">
      <c r="A406" s="231"/>
      <c r="C406" s="231"/>
      <c r="D406" s="231"/>
    </row>
    <row r="407">
      <c r="A407" s="231"/>
      <c r="C407" s="231"/>
      <c r="D407" s="231"/>
    </row>
    <row r="408">
      <c r="A408" s="231"/>
      <c r="C408" s="231"/>
      <c r="D408" s="231"/>
    </row>
    <row r="409">
      <c r="A409" s="231"/>
      <c r="C409" s="231"/>
      <c r="D409" s="231"/>
    </row>
    <row r="410">
      <c r="A410" s="231"/>
      <c r="C410" s="231"/>
      <c r="D410" s="231"/>
    </row>
    <row r="411">
      <c r="A411" s="231"/>
      <c r="C411" s="231"/>
      <c r="D411" s="231"/>
    </row>
    <row r="412">
      <c r="A412" s="231"/>
      <c r="C412" s="231"/>
      <c r="D412" s="231"/>
    </row>
    <row r="413">
      <c r="A413" s="231"/>
      <c r="C413" s="231"/>
      <c r="D413" s="231"/>
    </row>
    <row r="414">
      <c r="A414" s="231"/>
      <c r="C414" s="231"/>
      <c r="D414" s="231"/>
    </row>
    <row r="415">
      <c r="A415" s="231"/>
      <c r="C415" s="231"/>
      <c r="D415" s="231"/>
    </row>
    <row r="416">
      <c r="A416" s="231"/>
      <c r="C416" s="231"/>
      <c r="D416" s="231"/>
    </row>
    <row r="417">
      <c r="A417" s="231"/>
      <c r="C417" s="231"/>
      <c r="D417" s="231"/>
    </row>
    <row r="418">
      <c r="A418" s="231"/>
      <c r="C418" s="231"/>
      <c r="D418" s="231"/>
    </row>
    <row r="419">
      <c r="A419" s="231"/>
      <c r="C419" s="231"/>
      <c r="D419" s="231"/>
    </row>
    <row r="420">
      <c r="A420" s="231"/>
      <c r="C420" s="231"/>
      <c r="D420" s="231"/>
    </row>
    <row r="421">
      <c r="A421" s="231"/>
      <c r="C421" s="231"/>
      <c r="D421" s="231"/>
    </row>
    <row r="422">
      <c r="A422" s="231"/>
      <c r="C422" s="231"/>
      <c r="D422" s="231"/>
    </row>
    <row r="423">
      <c r="A423" s="231"/>
      <c r="C423" s="231"/>
      <c r="D423" s="231"/>
    </row>
    <row r="424">
      <c r="A424" s="231"/>
      <c r="C424" s="231"/>
      <c r="D424" s="231"/>
    </row>
    <row r="425">
      <c r="A425" s="231"/>
      <c r="C425" s="231"/>
      <c r="D425" s="231"/>
    </row>
    <row r="426">
      <c r="A426" s="231"/>
      <c r="C426" s="231"/>
      <c r="D426" s="231"/>
    </row>
    <row r="427">
      <c r="A427" s="231"/>
      <c r="C427" s="231"/>
      <c r="D427" s="231"/>
    </row>
    <row r="428">
      <c r="A428" s="231"/>
      <c r="C428" s="231"/>
      <c r="D428" s="231"/>
    </row>
    <row r="429">
      <c r="A429" s="231"/>
      <c r="C429" s="231"/>
      <c r="D429" s="231"/>
    </row>
    <row r="430">
      <c r="A430" s="231"/>
      <c r="C430" s="231"/>
      <c r="D430" s="231"/>
    </row>
    <row r="431">
      <c r="A431" s="231"/>
      <c r="C431" s="231"/>
      <c r="D431" s="231"/>
    </row>
    <row r="432">
      <c r="A432" s="231"/>
      <c r="C432" s="231"/>
      <c r="D432" s="231"/>
    </row>
    <row r="433">
      <c r="A433" s="231"/>
      <c r="C433" s="231"/>
      <c r="D433" s="231"/>
    </row>
    <row r="434">
      <c r="A434" s="231"/>
      <c r="C434" s="231"/>
      <c r="D434" s="231"/>
    </row>
    <row r="435">
      <c r="A435" s="231"/>
      <c r="C435" s="231"/>
      <c r="D435" s="231"/>
    </row>
    <row r="436">
      <c r="A436" s="231"/>
      <c r="C436" s="231"/>
      <c r="D436" s="231"/>
    </row>
    <row r="437">
      <c r="A437" s="231"/>
      <c r="C437" s="231"/>
      <c r="D437" s="231"/>
    </row>
    <row r="438">
      <c r="A438" s="231"/>
      <c r="C438" s="231"/>
      <c r="D438" s="231"/>
    </row>
    <row r="439">
      <c r="A439" s="231"/>
      <c r="C439" s="231"/>
      <c r="D439" s="231"/>
    </row>
    <row r="440">
      <c r="A440" s="231"/>
      <c r="C440" s="231"/>
      <c r="D440" s="231"/>
    </row>
    <row r="441">
      <c r="A441" s="231"/>
      <c r="C441" s="231"/>
      <c r="D441" s="231"/>
    </row>
    <row r="442">
      <c r="A442" s="231"/>
      <c r="C442" s="231"/>
      <c r="D442" s="231"/>
    </row>
    <row r="443">
      <c r="A443" s="231"/>
      <c r="C443" s="231"/>
      <c r="D443" s="231"/>
    </row>
    <row r="444">
      <c r="A444" s="231"/>
      <c r="C444" s="231"/>
      <c r="D444" s="231"/>
    </row>
    <row r="445">
      <c r="A445" s="231"/>
      <c r="C445" s="231"/>
      <c r="D445" s="231"/>
    </row>
    <row r="446">
      <c r="A446" s="231"/>
      <c r="C446" s="231"/>
      <c r="D446" s="231"/>
    </row>
    <row r="447">
      <c r="A447" s="231"/>
      <c r="C447" s="231"/>
      <c r="D447" s="231"/>
    </row>
    <row r="448">
      <c r="A448" s="231"/>
      <c r="C448" s="231"/>
      <c r="D448" s="231"/>
    </row>
    <row r="449">
      <c r="A449" s="231"/>
      <c r="C449" s="231"/>
      <c r="D449" s="231"/>
    </row>
    <row r="450">
      <c r="A450" s="231"/>
      <c r="C450" s="231"/>
      <c r="D450" s="231"/>
    </row>
    <row r="451">
      <c r="A451" s="231"/>
      <c r="C451" s="231"/>
      <c r="D451" s="231"/>
    </row>
    <row r="452">
      <c r="A452" s="231"/>
      <c r="C452" s="231"/>
      <c r="D452" s="231"/>
    </row>
    <row r="453">
      <c r="A453" s="231"/>
      <c r="C453" s="231"/>
      <c r="D453" s="231"/>
    </row>
    <row r="454">
      <c r="A454" s="231"/>
      <c r="C454" s="231"/>
      <c r="D454" s="231"/>
    </row>
    <row r="455">
      <c r="A455" s="231"/>
      <c r="C455" s="231"/>
      <c r="D455" s="231"/>
    </row>
    <row r="456">
      <c r="A456" s="231"/>
      <c r="C456" s="231"/>
      <c r="D456" s="231"/>
    </row>
    <row r="457">
      <c r="A457" s="231"/>
      <c r="C457" s="231"/>
      <c r="D457" s="231"/>
    </row>
    <row r="458">
      <c r="A458" s="231"/>
      <c r="C458" s="231"/>
      <c r="D458" s="231"/>
    </row>
    <row r="459">
      <c r="A459" s="231"/>
      <c r="C459" s="231"/>
      <c r="D459" s="231"/>
    </row>
    <row r="460">
      <c r="A460" s="231"/>
      <c r="C460" s="231"/>
      <c r="D460" s="231"/>
    </row>
    <row r="461">
      <c r="A461" s="231"/>
      <c r="C461" s="231"/>
      <c r="D461" s="231"/>
    </row>
    <row r="462">
      <c r="A462" s="231"/>
      <c r="C462" s="231"/>
      <c r="D462" s="231"/>
    </row>
    <row r="463">
      <c r="A463" s="231"/>
      <c r="C463" s="231"/>
      <c r="D463" s="231"/>
    </row>
    <row r="464">
      <c r="A464" s="231"/>
      <c r="C464" s="231"/>
      <c r="D464" s="231"/>
    </row>
    <row r="465">
      <c r="A465" s="231"/>
      <c r="C465" s="231"/>
      <c r="D465" s="231"/>
    </row>
    <row r="466">
      <c r="A466" s="231"/>
      <c r="C466" s="231"/>
      <c r="D466" s="231"/>
    </row>
    <row r="467">
      <c r="A467" s="231"/>
      <c r="C467" s="231"/>
      <c r="D467" s="231"/>
    </row>
    <row r="468">
      <c r="A468" s="231"/>
      <c r="C468" s="231"/>
      <c r="D468" s="231"/>
    </row>
    <row r="469">
      <c r="A469" s="231"/>
      <c r="C469" s="231"/>
      <c r="D469" s="231"/>
    </row>
    <row r="470">
      <c r="A470" s="231"/>
      <c r="C470" s="231"/>
      <c r="D470" s="231"/>
    </row>
    <row r="471">
      <c r="A471" s="231"/>
      <c r="C471" s="231"/>
      <c r="D471" s="231"/>
    </row>
    <row r="472">
      <c r="A472" s="231"/>
      <c r="C472" s="231"/>
      <c r="D472" s="231"/>
    </row>
    <row r="473">
      <c r="A473" s="231"/>
      <c r="C473" s="231"/>
      <c r="D473" s="231"/>
    </row>
    <row r="474">
      <c r="A474" s="231"/>
      <c r="C474" s="231"/>
      <c r="D474" s="231"/>
    </row>
    <row r="475">
      <c r="A475" s="231"/>
      <c r="C475" s="231"/>
      <c r="D475" s="231"/>
    </row>
    <row r="476">
      <c r="A476" s="231"/>
      <c r="C476" s="231"/>
      <c r="D476" s="231"/>
    </row>
    <row r="477">
      <c r="A477" s="231"/>
      <c r="C477" s="231"/>
      <c r="D477" s="231"/>
    </row>
    <row r="478">
      <c r="A478" s="231"/>
      <c r="C478" s="231"/>
      <c r="D478" s="231"/>
    </row>
    <row r="479">
      <c r="A479" s="231"/>
      <c r="C479" s="231"/>
      <c r="D479" s="231"/>
    </row>
    <row r="480">
      <c r="A480" s="231"/>
      <c r="C480" s="231"/>
      <c r="D480" s="231"/>
    </row>
    <row r="481">
      <c r="A481" s="231"/>
      <c r="C481" s="231"/>
      <c r="D481" s="231"/>
    </row>
    <row r="482">
      <c r="A482" s="231"/>
      <c r="C482" s="231"/>
      <c r="D482" s="231"/>
    </row>
    <row r="483">
      <c r="A483" s="231"/>
      <c r="C483" s="231"/>
      <c r="D483" s="231"/>
    </row>
    <row r="484">
      <c r="A484" s="231"/>
      <c r="C484" s="231"/>
      <c r="D484" s="231"/>
    </row>
    <row r="485">
      <c r="A485" s="231"/>
      <c r="C485" s="231"/>
      <c r="D485" s="231"/>
    </row>
    <row r="486">
      <c r="A486" s="231"/>
      <c r="C486" s="231"/>
      <c r="D486" s="231"/>
    </row>
    <row r="487">
      <c r="A487" s="231"/>
      <c r="C487" s="231"/>
      <c r="D487" s="231"/>
    </row>
    <row r="488">
      <c r="A488" s="231"/>
      <c r="C488" s="231"/>
      <c r="D488" s="231"/>
    </row>
    <row r="489">
      <c r="A489" s="231"/>
      <c r="C489" s="231"/>
      <c r="D489" s="231"/>
    </row>
    <row r="490">
      <c r="A490" s="231"/>
      <c r="C490" s="231"/>
      <c r="D490" s="231"/>
    </row>
    <row r="491">
      <c r="A491" s="231"/>
      <c r="C491" s="231"/>
      <c r="D491" s="231"/>
    </row>
    <row r="492">
      <c r="A492" s="231"/>
      <c r="C492" s="231"/>
      <c r="D492" s="231"/>
    </row>
    <row r="493">
      <c r="A493" s="231"/>
      <c r="C493" s="231"/>
      <c r="D493" s="231"/>
    </row>
    <row r="494">
      <c r="A494" s="231"/>
      <c r="C494" s="231"/>
      <c r="D494" s="231"/>
    </row>
    <row r="495">
      <c r="A495" s="231"/>
      <c r="C495" s="231"/>
      <c r="D495" s="231"/>
    </row>
    <row r="496">
      <c r="A496" s="231"/>
      <c r="C496" s="231"/>
      <c r="D496" s="231"/>
    </row>
    <row r="497">
      <c r="A497" s="231"/>
      <c r="C497" s="231"/>
      <c r="D497" s="231"/>
    </row>
    <row r="498">
      <c r="A498" s="231"/>
      <c r="C498" s="231"/>
      <c r="D498" s="231"/>
    </row>
    <row r="499">
      <c r="A499" s="231"/>
      <c r="C499" s="231"/>
      <c r="D499" s="231"/>
    </row>
    <row r="500">
      <c r="A500" s="231"/>
      <c r="C500" s="231"/>
      <c r="D500" s="231"/>
    </row>
    <row r="501">
      <c r="A501" s="231"/>
      <c r="C501" s="231"/>
      <c r="D501" s="231"/>
    </row>
    <row r="502">
      <c r="A502" s="231"/>
      <c r="C502" s="231"/>
      <c r="D502" s="231"/>
    </row>
    <row r="503">
      <c r="A503" s="231"/>
      <c r="C503" s="231"/>
      <c r="D503" s="231"/>
    </row>
    <row r="504">
      <c r="A504" s="231"/>
      <c r="C504" s="231"/>
      <c r="D504" s="231"/>
    </row>
    <row r="505">
      <c r="A505" s="231"/>
      <c r="C505" s="231"/>
      <c r="D505" s="231"/>
    </row>
    <row r="506">
      <c r="A506" s="231"/>
      <c r="C506" s="231"/>
      <c r="D506" s="231"/>
    </row>
    <row r="507">
      <c r="A507" s="231"/>
      <c r="C507" s="231"/>
      <c r="D507" s="231"/>
    </row>
    <row r="508">
      <c r="A508" s="231"/>
      <c r="C508" s="231"/>
      <c r="D508" s="231"/>
    </row>
    <row r="509">
      <c r="A509" s="231"/>
      <c r="C509" s="231"/>
      <c r="D509" s="231"/>
    </row>
    <row r="510">
      <c r="A510" s="231"/>
      <c r="C510" s="231"/>
      <c r="D510" s="231"/>
    </row>
    <row r="511">
      <c r="A511" s="231"/>
      <c r="C511" s="231"/>
      <c r="D511" s="231"/>
    </row>
    <row r="512">
      <c r="A512" s="231"/>
      <c r="C512" s="231"/>
      <c r="D512" s="231"/>
    </row>
    <row r="513">
      <c r="A513" s="231"/>
      <c r="C513" s="231"/>
      <c r="D513" s="231"/>
    </row>
    <row r="514">
      <c r="A514" s="231"/>
      <c r="C514" s="231"/>
      <c r="D514" s="231"/>
    </row>
    <row r="515">
      <c r="A515" s="231"/>
      <c r="C515" s="231"/>
      <c r="D515" s="231"/>
    </row>
    <row r="516">
      <c r="A516" s="231"/>
      <c r="C516" s="231"/>
      <c r="D516" s="231"/>
    </row>
    <row r="517">
      <c r="A517" s="231"/>
      <c r="C517" s="231"/>
      <c r="D517" s="231"/>
    </row>
    <row r="518">
      <c r="A518" s="231"/>
      <c r="C518" s="231"/>
      <c r="D518" s="231"/>
    </row>
    <row r="519">
      <c r="A519" s="231"/>
      <c r="C519" s="231"/>
      <c r="D519" s="231"/>
    </row>
    <row r="520">
      <c r="A520" s="231"/>
      <c r="C520" s="231"/>
      <c r="D520" s="231"/>
    </row>
    <row r="521">
      <c r="A521" s="231"/>
      <c r="C521" s="231"/>
      <c r="D521" s="231"/>
    </row>
    <row r="522">
      <c r="A522" s="231"/>
      <c r="C522" s="231"/>
      <c r="D522" s="231"/>
    </row>
    <row r="523">
      <c r="A523" s="231"/>
      <c r="C523" s="231"/>
      <c r="D523" s="231"/>
    </row>
    <row r="524">
      <c r="A524" s="231"/>
      <c r="C524" s="231"/>
      <c r="D524" s="231"/>
    </row>
    <row r="525">
      <c r="A525" s="231"/>
      <c r="C525" s="231"/>
      <c r="D525" s="231"/>
    </row>
    <row r="526">
      <c r="A526" s="231"/>
      <c r="C526" s="231"/>
      <c r="D526" s="231"/>
    </row>
    <row r="527">
      <c r="A527" s="231"/>
      <c r="C527" s="231"/>
      <c r="D527" s="231"/>
    </row>
    <row r="528">
      <c r="A528" s="231"/>
      <c r="C528" s="231"/>
      <c r="D528" s="231"/>
    </row>
    <row r="529">
      <c r="A529" s="231"/>
      <c r="C529" s="231"/>
      <c r="D529" s="231"/>
    </row>
    <row r="530">
      <c r="A530" s="231"/>
      <c r="C530" s="231"/>
      <c r="D530" s="231"/>
    </row>
    <row r="531">
      <c r="A531" s="231"/>
      <c r="C531" s="231"/>
      <c r="D531" s="231"/>
    </row>
    <row r="532">
      <c r="A532" s="231"/>
      <c r="C532" s="231"/>
      <c r="D532" s="231"/>
    </row>
    <row r="533">
      <c r="A533" s="231"/>
      <c r="C533" s="231"/>
      <c r="D533" s="231"/>
    </row>
    <row r="534">
      <c r="A534" s="231"/>
      <c r="C534" s="231"/>
      <c r="D534" s="231"/>
    </row>
    <row r="535">
      <c r="A535" s="231"/>
      <c r="C535" s="231"/>
      <c r="D535" s="231"/>
    </row>
    <row r="536">
      <c r="A536" s="231"/>
      <c r="C536" s="231"/>
      <c r="D536" s="231"/>
    </row>
    <row r="537">
      <c r="A537" s="231"/>
      <c r="C537" s="231"/>
      <c r="D537" s="231"/>
    </row>
    <row r="538">
      <c r="A538" s="231"/>
      <c r="C538" s="231"/>
      <c r="D538" s="231"/>
    </row>
    <row r="539">
      <c r="A539" s="231"/>
      <c r="C539" s="231"/>
      <c r="D539" s="231"/>
    </row>
    <row r="540">
      <c r="A540" s="231"/>
      <c r="C540" s="231"/>
      <c r="D540" s="231"/>
    </row>
    <row r="541">
      <c r="A541" s="231"/>
      <c r="C541" s="231"/>
      <c r="D541" s="231"/>
    </row>
    <row r="542">
      <c r="A542" s="231"/>
      <c r="C542" s="231"/>
      <c r="D542" s="231"/>
    </row>
    <row r="543">
      <c r="A543" s="231"/>
      <c r="C543" s="231"/>
      <c r="D543" s="231"/>
    </row>
    <row r="544">
      <c r="A544" s="231"/>
      <c r="C544" s="231"/>
      <c r="D544" s="231"/>
    </row>
    <row r="545">
      <c r="A545" s="231"/>
      <c r="C545" s="231"/>
      <c r="D545" s="231"/>
    </row>
    <row r="546">
      <c r="A546" s="231"/>
      <c r="C546" s="231"/>
      <c r="D546" s="231"/>
    </row>
    <row r="547">
      <c r="A547" s="231"/>
      <c r="C547" s="231"/>
      <c r="D547" s="231"/>
    </row>
    <row r="548">
      <c r="A548" s="231"/>
      <c r="C548" s="231"/>
      <c r="D548" s="231"/>
    </row>
    <row r="549">
      <c r="A549" s="231"/>
      <c r="C549" s="231"/>
      <c r="D549" s="231"/>
    </row>
    <row r="550">
      <c r="A550" s="231"/>
      <c r="C550" s="231"/>
      <c r="D550" s="231"/>
    </row>
    <row r="551">
      <c r="A551" s="231"/>
      <c r="C551" s="231"/>
      <c r="D551" s="231"/>
    </row>
    <row r="552">
      <c r="A552" s="231"/>
      <c r="C552" s="231"/>
      <c r="D552" s="231"/>
    </row>
    <row r="553">
      <c r="A553" s="231"/>
      <c r="C553" s="231"/>
      <c r="D553" s="231"/>
    </row>
    <row r="554">
      <c r="A554" s="231"/>
      <c r="C554" s="231"/>
      <c r="D554" s="231"/>
    </row>
    <row r="555">
      <c r="A555" s="231"/>
      <c r="C555" s="231"/>
      <c r="D555" s="231"/>
    </row>
    <row r="556">
      <c r="A556" s="231"/>
      <c r="C556" s="231"/>
      <c r="D556" s="231"/>
    </row>
    <row r="557">
      <c r="A557" s="231"/>
      <c r="C557" s="231"/>
      <c r="D557" s="231"/>
    </row>
    <row r="558">
      <c r="A558" s="231"/>
      <c r="C558" s="231"/>
      <c r="D558" s="231"/>
    </row>
    <row r="559">
      <c r="A559" s="231"/>
      <c r="C559" s="231"/>
      <c r="D559" s="231"/>
    </row>
    <row r="560">
      <c r="A560" s="231"/>
      <c r="C560" s="231"/>
      <c r="D560" s="231"/>
    </row>
    <row r="561">
      <c r="A561" s="231"/>
      <c r="C561" s="231"/>
      <c r="D561" s="231"/>
    </row>
    <row r="562">
      <c r="A562" s="231"/>
      <c r="C562" s="231"/>
      <c r="D562" s="231"/>
    </row>
    <row r="563">
      <c r="A563" s="231"/>
      <c r="C563" s="231"/>
      <c r="D563" s="231"/>
    </row>
    <row r="564">
      <c r="A564" s="231"/>
      <c r="C564" s="231"/>
      <c r="D564" s="231"/>
    </row>
    <row r="565">
      <c r="A565" s="231"/>
      <c r="C565" s="231"/>
      <c r="D565" s="231"/>
    </row>
    <row r="566">
      <c r="A566" s="231"/>
      <c r="C566" s="231"/>
      <c r="D566" s="231"/>
    </row>
    <row r="567">
      <c r="A567" s="231"/>
      <c r="C567" s="231"/>
      <c r="D567" s="231"/>
    </row>
    <row r="568">
      <c r="A568" s="231"/>
      <c r="C568" s="231"/>
      <c r="D568" s="231"/>
    </row>
    <row r="569">
      <c r="A569" s="231"/>
      <c r="C569" s="231"/>
      <c r="D569" s="231"/>
    </row>
    <row r="570">
      <c r="A570" s="231"/>
      <c r="C570" s="231"/>
      <c r="D570" s="231"/>
    </row>
    <row r="571">
      <c r="A571" s="231"/>
      <c r="C571" s="231"/>
      <c r="D571" s="231"/>
    </row>
    <row r="572">
      <c r="A572" s="231"/>
      <c r="C572" s="231"/>
      <c r="D572" s="231"/>
    </row>
    <row r="573">
      <c r="A573" s="231"/>
      <c r="C573" s="231"/>
      <c r="D573" s="231"/>
    </row>
    <row r="574">
      <c r="A574" s="231"/>
      <c r="C574" s="231"/>
      <c r="D574" s="231"/>
    </row>
    <row r="575">
      <c r="A575" s="231"/>
      <c r="C575" s="231"/>
      <c r="D575" s="231"/>
    </row>
    <row r="576">
      <c r="A576" s="231"/>
      <c r="C576" s="231"/>
      <c r="D576" s="231"/>
    </row>
    <row r="577">
      <c r="A577" s="231"/>
      <c r="C577" s="231"/>
      <c r="D577" s="231"/>
    </row>
    <row r="578">
      <c r="A578" s="231"/>
      <c r="C578" s="231"/>
      <c r="D578" s="231"/>
    </row>
    <row r="579">
      <c r="A579" s="231"/>
      <c r="C579" s="231"/>
      <c r="D579" s="231"/>
    </row>
    <row r="580">
      <c r="A580" s="231"/>
      <c r="C580" s="231"/>
      <c r="D580" s="231"/>
    </row>
    <row r="581">
      <c r="A581" s="231"/>
      <c r="C581" s="231"/>
      <c r="D581" s="231"/>
    </row>
    <row r="582">
      <c r="A582" s="231"/>
      <c r="C582" s="231"/>
      <c r="D582" s="231"/>
    </row>
    <row r="583">
      <c r="A583" s="231"/>
      <c r="C583" s="231"/>
      <c r="D583" s="231"/>
    </row>
    <row r="584">
      <c r="A584" s="231"/>
      <c r="C584" s="231"/>
      <c r="D584" s="231"/>
    </row>
    <row r="585">
      <c r="A585" s="231"/>
      <c r="C585" s="231"/>
      <c r="D585" s="231"/>
    </row>
    <row r="586">
      <c r="A586" s="231"/>
      <c r="C586" s="231"/>
      <c r="D586" s="231"/>
    </row>
    <row r="587">
      <c r="A587" s="231"/>
      <c r="C587" s="231"/>
      <c r="D587" s="231"/>
    </row>
    <row r="588">
      <c r="A588" s="231"/>
      <c r="C588" s="231"/>
      <c r="D588" s="231"/>
    </row>
    <row r="589">
      <c r="A589" s="231"/>
      <c r="C589" s="231"/>
      <c r="D589" s="231"/>
    </row>
    <row r="590">
      <c r="A590" s="231"/>
      <c r="C590" s="231"/>
      <c r="D590" s="231"/>
    </row>
    <row r="591">
      <c r="A591" s="231"/>
      <c r="C591" s="231"/>
      <c r="D591" s="231"/>
    </row>
    <row r="592">
      <c r="A592" s="231"/>
      <c r="C592" s="231"/>
      <c r="D592" s="231"/>
    </row>
    <row r="593">
      <c r="A593" s="231"/>
      <c r="C593" s="231"/>
      <c r="D593" s="231"/>
    </row>
    <row r="594">
      <c r="A594" s="231"/>
      <c r="C594" s="231"/>
      <c r="D594" s="231"/>
    </row>
    <row r="595">
      <c r="A595" s="231"/>
      <c r="C595" s="231"/>
      <c r="D595" s="231"/>
    </row>
    <row r="596">
      <c r="A596" s="231"/>
      <c r="C596" s="231"/>
      <c r="D596" s="231"/>
    </row>
    <row r="597">
      <c r="A597" s="231"/>
      <c r="C597" s="231"/>
      <c r="D597" s="231"/>
    </row>
    <row r="598">
      <c r="A598" s="231"/>
      <c r="C598" s="231"/>
      <c r="D598" s="231"/>
    </row>
    <row r="599">
      <c r="A599" s="231"/>
      <c r="C599" s="231"/>
      <c r="D599" s="231"/>
    </row>
    <row r="600">
      <c r="A600" s="231"/>
      <c r="C600" s="231"/>
      <c r="D600" s="231"/>
    </row>
    <row r="601">
      <c r="A601" s="231"/>
      <c r="C601" s="231"/>
      <c r="D601" s="231"/>
    </row>
    <row r="602">
      <c r="A602" s="231"/>
      <c r="C602" s="231"/>
      <c r="D602" s="231"/>
    </row>
    <row r="603">
      <c r="A603" s="231"/>
      <c r="C603" s="231"/>
      <c r="D603" s="231"/>
    </row>
    <row r="604">
      <c r="A604" s="231"/>
      <c r="C604" s="231"/>
      <c r="D604" s="231"/>
    </row>
    <row r="605">
      <c r="A605" s="231"/>
      <c r="C605" s="231"/>
      <c r="D605" s="231"/>
    </row>
    <row r="606">
      <c r="A606" s="231"/>
      <c r="C606" s="231"/>
      <c r="D606" s="231"/>
    </row>
    <row r="607">
      <c r="A607" s="231"/>
      <c r="C607" s="231"/>
      <c r="D607" s="231"/>
    </row>
    <row r="608">
      <c r="A608" s="231"/>
      <c r="C608" s="231"/>
      <c r="D608" s="231"/>
    </row>
    <row r="609">
      <c r="A609" s="231"/>
      <c r="C609" s="231"/>
      <c r="D609" s="231"/>
    </row>
    <row r="610">
      <c r="A610" s="231"/>
      <c r="C610" s="231"/>
      <c r="D610" s="231"/>
    </row>
    <row r="611">
      <c r="A611" s="231"/>
      <c r="C611" s="231"/>
      <c r="D611" s="231"/>
    </row>
    <row r="612">
      <c r="A612" s="231"/>
      <c r="C612" s="231"/>
      <c r="D612" s="231"/>
    </row>
    <row r="613">
      <c r="A613" s="231"/>
      <c r="C613" s="231"/>
      <c r="D613" s="231"/>
    </row>
    <row r="614">
      <c r="A614" s="231"/>
      <c r="C614" s="231"/>
      <c r="D614" s="231"/>
    </row>
    <row r="615">
      <c r="A615" s="231"/>
      <c r="C615" s="231"/>
      <c r="D615" s="231"/>
    </row>
    <row r="616">
      <c r="A616" s="231"/>
      <c r="C616" s="231"/>
      <c r="D616" s="231"/>
    </row>
    <row r="617">
      <c r="A617" s="231"/>
      <c r="C617" s="231"/>
      <c r="D617" s="231"/>
    </row>
    <row r="618">
      <c r="A618" s="231"/>
      <c r="C618" s="231"/>
      <c r="D618" s="231"/>
    </row>
    <row r="619">
      <c r="A619" s="231"/>
      <c r="C619" s="231"/>
      <c r="D619" s="231"/>
    </row>
    <row r="620">
      <c r="A620" s="231"/>
      <c r="C620" s="231"/>
      <c r="D620" s="231"/>
    </row>
    <row r="621">
      <c r="A621" s="231"/>
      <c r="C621" s="231"/>
      <c r="D621" s="231"/>
    </row>
    <row r="622">
      <c r="A622" s="231"/>
      <c r="C622" s="231"/>
      <c r="D622" s="231"/>
    </row>
    <row r="623">
      <c r="A623" s="231"/>
      <c r="C623" s="231"/>
      <c r="D623" s="231"/>
    </row>
    <row r="624">
      <c r="A624" s="231"/>
      <c r="C624" s="231"/>
      <c r="D624" s="231"/>
    </row>
    <row r="625">
      <c r="A625" s="231"/>
      <c r="C625" s="231"/>
      <c r="D625" s="231"/>
    </row>
    <row r="626">
      <c r="A626" s="231"/>
      <c r="C626" s="231"/>
      <c r="D626" s="231"/>
    </row>
    <row r="627">
      <c r="A627" s="231"/>
      <c r="C627" s="231"/>
      <c r="D627" s="231"/>
    </row>
    <row r="628">
      <c r="A628" s="231"/>
      <c r="C628" s="231"/>
      <c r="D628" s="231"/>
    </row>
    <row r="629">
      <c r="A629" s="231"/>
      <c r="C629" s="231"/>
      <c r="D629" s="231"/>
    </row>
    <row r="630">
      <c r="A630" s="231"/>
      <c r="C630" s="231"/>
      <c r="D630" s="231"/>
    </row>
    <row r="631">
      <c r="A631" s="231"/>
      <c r="C631" s="231"/>
      <c r="D631" s="231"/>
    </row>
    <row r="632">
      <c r="A632" s="231"/>
      <c r="C632" s="231"/>
      <c r="D632" s="231"/>
    </row>
    <row r="633">
      <c r="A633" s="231"/>
      <c r="C633" s="231"/>
      <c r="D633" s="231"/>
    </row>
    <row r="634">
      <c r="A634" s="231"/>
      <c r="C634" s="231"/>
      <c r="D634" s="231"/>
    </row>
    <row r="635">
      <c r="A635" s="231"/>
      <c r="C635" s="231"/>
      <c r="D635" s="231"/>
    </row>
    <row r="636">
      <c r="A636" s="231"/>
      <c r="C636" s="231"/>
      <c r="D636" s="231"/>
    </row>
    <row r="637">
      <c r="A637" s="231"/>
      <c r="C637" s="231"/>
      <c r="D637" s="231"/>
    </row>
    <row r="638">
      <c r="A638" s="231"/>
      <c r="C638" s="231"/>
      <c r="D638" s="231"/>
    </row>
    <row r="639">
      <c r="A639" s="231"/>
      <c r="C639" s="231"/>
      <c r="D639" s="231"/>
    </row>
    <row r="640">
      <c r="A640" s="231"/>
      <c r="C640" s="231"/>
      <c r="D640" s="231"/>
    </row>
    <row r="641">
      <c r="A641" s="231"/>
      <c r="C641" s="231"/>
      <c r="D641" s="231"/>
    </row>
    <row r="642">
      <c r="A642" s="231"/>
      <c r="C642" s="231"/>
      <c r="D642" s="231"/>
    </row>
    <row r="643">
      <c r="A643" s="231"/>
      <c r="C643" s="231"/>
      <c r="D643" s="231"/>
    </row>
    <row r="644">
      <c r="A644" s="231"/>
      <c r="C644" s="231"/>
      <c r="D644" s="231"/>
    </row>
    <row r="645">
      <c r="A645" s="231"/>
      <c r="C645" s="231"/>
      <c r="D645" s="231"/>
    </row>
    <row r="646">
      <c r="A646" s="231"/>
      <c r="C646" s="231"/>
      <c r="D646" s="231"/>
    </row>
    <row r="647">
      <c r="A647" s="231"/>
      <c r="C647" s="231"/>
      <c r="D647" s="231"/>
    </row>
    <row r="648">
      <c r="A648" s="231"/>
      <c r="C648" s="231"/>
      <c r="D648" s="231"/>
    </row>
    <row r="649">
      <c r="A649" s="231"/>
      <c r="C649" s="231"/>
      <c r="D649" s="231"/>
    </row>
    <row r="650">
      <c r="A650" s="231"/>
      <c r="C650" s="231"/>
      <c r="D650" s="231"/>
    </row>
    <row r="651">
      <c r="A651" s="231"/>
      <c r="C651" s="231"/>
      <c r="D651" s="231"/>
    </row>
    <row r="652">
      <c r="A652" s="231"/>
      <c r="C652" s="231"/>
      <c r="D652" s="231"/>
    </row>
    <row r="653">
      <c r="A653" s="231"/>
      <c r="C653" s="231"/>
      <c r="D653" s="231"/>
    </row>
    <row r="654">
      <c r="A654" s="231"/>
      <c r="C654" s="231"/>
      <c r="D654" s="231"/>
    </row>
    <row r="655">
      <c r="A655" s="231"/>
      <c r="C655" s="231"/>
      <c r="D655" s="231"/>
    </row>
    <row r="656">
      <c r="A656" s="231"/>
      <c r="C656" s="231"/>
      <c r="D656" s="231"/>
    </row>
    <row r="657">
      <c r="A657" s="231"/>
      <c r="C657" s="231"/>
      <c r="D657" s="231"/>
    </row>
    <row r="658">
      <c r="A658" s="231"/>
      <c r="C658" s="231"/>
      <c r="D658" s="231"/>
    </row>
    <row r="659">
      <c r="A659" s="231"/>
      <c r="C659" s="231"/>
      <c r="D659" s="231"/>
    </row>
    <row r="660">
      <c r="A660" s="231"/>
      <c r="C660" s="231"/>
      <c r="D660" s="231"/>
    </row>
    <row r="661">
      <c r="A661" s="231"/>
      <c r="C661" s="231"/>
      <c r="D661" s="231"/>
    </row>
    <row r="662">
      <c r="A662" s="231"/>
      <c r="C662" s="231"/>
      <c r="D662" s="231"/>
    </row>
    <row r="663">
      <c r="A663" s="231"/>
      <c r="C663" s="231"/>
      <c r="D663" s="231"/>
    </row>
    <row r="664">
      <c r="A664" s="231"/>
      <c r="C664" s="231"/>
      <c r="D664" s="231"/>
    </row>
    <row r="665">
      <c r="A665" s="231"/>
      <c r="C665" s="231"/>
      <c r="D665" s="231"/>
    </row>
    <row r="666">
      <c r="A666" s="231"/>
      <c r="C666" s="231"/>
      <c r="D666" s="231"/>
    </row>
    <row r="667">
      <c r="A667" s="231"/>
      <c r="C667" s="231"/>
      <c r="D667" s="231"/>
    </row>
    <row r="668">
      <c r="A668" s="231"/>
      <c r="C668" s="231"/>
      <c r="D668" s="231"/>
    </row>
    <row r="669">
      <c r="A669" s="231"/>
      <c r="C669" s="231"/>
      <c r="D669" s="231"/>
    </row>
    <row r="670">
      <c r="A670" s="231"/>
      <c r="C670" s="231"/>
      <c r="D670" s="231"/>
    </row>
    <row r="671">
      <c r="A671" s="231"/>
      <c r="C671" s="231"/>
      <c r="D671" s="231"/>
    </row>
    <row r="672">
      <c r="A672" s="231"/>
      <c r="C672" s="231"/>
      <c r="D672" s="231"/>
    </row>
    <row r="673">
      <c r="A673" s="231"/>
      <c r="C673" s="231"/>
      <c r="D673" s="231"/>
    </row>
    <row r="674">
      <c r="A674" s="231"/>
      <c r="C674" s="231"/>
      <c r="D674" s="231"/>
    </row>
    <row r="675">
      <c r="A675" s="231"/>
      <c r="C675" s="231"/>
      <c r="D675" s="231"/>
    </row>
    <row r="676">
      <c r="A676" s="231"/>
      <c r="C676" s="231"/>
      <c r="D676" s="231"/>
    </row>
    <row r="677">
      <c r="A677" s="231"/>
      <c r="C677" s="231"/>
      <c r="D677" s="231"/>
    </row>
    <row r="678">
      <c r="A678" s="231"/>
      <c r="C678" s="231"/>
      <c r="D678" s="231"/>
    </row>
    <row r="679">
      <c r="A679" s="231"/>
      <c r="C679" s="231"/>
      <c r="D679" s="231"/>
    </row>
    <row r="680">
      <c r="A680" s="231"/>
      <c r="C680" s="231"/>
      <c r="D680" s="231"/>
    </row>
    <row r="681">
      <c r="A681" s="231"/>
      <c r="C681" s="231"/>
      <c r="D681" s="231"/>
    </row>
    <row r="682">
      <c r="A682" s="231"/>
      <c r="C682" s="231"/>
      <c r="D682" s="231"/>
    </row>
    <row r="683">
      <c r="A683" s="231"/>
      <c r="C683" s="231"/>
      <c r="D683" s="231"/>
    </row>
    <row r="684">
      <c r="A684" s="231"/>
      <c r="C684" s="231"/>
      <c r="D684" s="231"/>
    </row>
    <row r="685">
      <c r="A685" s="231"/>
      <c r="C685" s="231"/>
      <c r="D685" s="231"/>
    </row>
    <row r="686">
      <c r="A686" s="231"/>
      <c r="C686" s="231"/>
      <c r="D686" s="231"/>
    </row>
    <row r="687">
      <c r="A687" s="231"/>
      <c r="C687" s="231"/>
      <c r="D687" s="231"/>
    </row>
    <row r="688">
      <c r="A688" s="231"/>
      <c r="C688" s="231"/>
      <c r="D688" s="231"/>
    </row>
    <row r="689">
      <c r="A689" s="231"/>
      <c r="C689" s="231"/>
      <c r="D689" s="231"/>
    </row>
    <row r="690">
      <c r="A690" s="231"/>
      <c r="C690" s="231"/>
      <c r="D690" s="231"/>
    </row>
    <row r="691">
      <c r="A691" s="231"/>
      <c r="C691" s="231"/>
      <c r="D691" s="231"/>
    </row>
    <row r="692">
      <c r="A692" s="231"/>
      <c r="C692" s="231"/>
      <c r="D692" s="231"/>
    </row>
    <row r="693">
      <c r="A693" s="231"/>
      <c r="C693" s="231"/>
      <c r="D693" s="231"/>
    </row>
    <row r="694">
      <c r="A694" s="231"/>
      <c r="C694" s="231"/>
      <c r="D694" s="231"/>
    </row>
    <row r="695">
      <c r="A695" s="231"/>
      <c r="C695" s="231"/>
      <c r="D695" s="231"/>
    </row>
    <row r="696">
      <c r="A696" s="231"/>
      <c r="C696" s="231"/>
      <c r="D696" s="231"/>
    </row>
    <row r="697">
      <c r="A697" s="231"/>
      <c r="C697" s="231"/>
      <c r="D697" s="231"/>
    </row>
    <row r="698">
      <c r="A698" s="231"/>
      <c r="C698" s="231"/>
      <c r="D698" s="231"/>
    </row>
    <row r="699">
      <c r="A699" s="231"/>
      <c r="C699" s="231"/>
      <c r="D699" s="231"/>
    </row>
    <row r="700">
      <c r="A700" s="231"/>
      <c r="C700" s="231"/>
      <c r="D700" s="231"/>
    </row>
    <row r="701">
      <c r="A701" s="231"/>
      <c r="C701" s="231"/>
      <c r="D701" s="231"/>
    </row>
    <row r="702">
      <c r="A702" s="231"/>
      <c r="C702" s="231"/>
      <c r="D702" s="231"/>
    </row>
    <row r="703">
      <c r="A703" s="231"/>
      <c r="C703" s="231"/>
      <c r="D703" s="231"/>
    </row>
    <row r="704">
      <c r="A704" s="231"/>
      <c r="C704" s="231"/>
      <c r="D704" s="231"/>
    </row>
    <row r="705">
      <c r="A705" s="231"/>
      <c r="C705" s="231"/>
      <c r="D705" s="231"/>
    </row>
    <row r="706">
      <c r="A706" s="231"/>
      <c r="C706" s="231"/>
      <c r="D706" s="231"/>
    </row>
    <row r="707">
      <c r="A707" s="231"/>
      <c r="C707" s="231"/>
      <c r="D707" s="231"/>
    </row>
    <row r="708">
      <c r="A708" s="231"/>
      <c r="C708" s="231"/>
      <c r="D708" s="231"/>
    </row>
    <row r="709">
      <c r="A709" s="231"/>
      <c r="C709" s="231"/>
      <c r="D709" s="231"/>
    </row>
    <row r="710">
      <c r="A710" s="231"/>
      <c r="C710" s="231"/>
      <c r="D710" s="231"/>
    </row>
    <row r="711">
      <c r="A711" s="231"/>
      <c r="C711" s="231"/>
      <c r="D711" s="231"/>
    </row>
    <row r="712">
      <c r="A712" s="231"/>
      <c r="C712" s="231"/>
      <c r="D712" s="231"/>
    </row>
    <row r="713">
      <c r="A713" s="231"/>
      <c r="C713" s="231"/>
      <c r="D713" s="231"/>
    </row>
    <row r="714">
      <c r="A714" s="231"/>
      <c r="C714" s="231"/>
      <c r="D714" s="231"/>
    </row>
    <row r="715">
      <c r="A715" s="231"/>
      <c r="C715" s="231"/>
      <c r="D715" s="231"/>
    </row>
    <row r="716">
      <c r="A716" s="231"/>
      <c r="C716" s="231"/>
      <c r="D716" s="231"/>
    </row>
    <row r="717">
      <c r="A717" s="231"/>
      <c r="C717" s="231"/>
      <c r="D717" s="231"/>
    </row>
    <row r="718">
      <c r="A718" s="231"/>
      <c r="C718" s="231"/>
      <c r="D718" s="231"/>
    </row>
    <row r="719">
      <c r="A719" s="231"/>
      <c r="C719" s="231"/>
      <c r="D719" s="231"/>
    </row>
    <row r="720">
      <c r="A720" s="231"/>
      <c r="C720" s="231"/>
      <c r="D720" s="231"/>
    </row>
    <row r="721">
      <c r="A721" s="231"/>
      <c r="C721" s="231"/>
      <c r="D721" s="231"/>
    </row>
    <row r="722">
      <c r="A722" s="231"/>
      <c r="C722" s="231"/>
      <c r="D722" s="231"/>
    </row>
    <row r="723">
      <c r="A723" s="231"/>
      <c r="C723" s="231"/>
      <c r="D723" s="231"/>
    </row>
    <row r="724">
      <c r="A724" s="231"/>
      <c r="C724" s="231"/>
      <c r="D724" s="231"/>
    </row>
    <row r="725">
      <c r="A725" s="231"/>
      <c r="C725" s="231"/>
      <c r="D725" s="231"/>
    </row>
    <row r="726">
      <c r="A726" s="231"/>
      <c r="C726" s="231"/>
      <c r="D726" s="231"/>
    </row>
    <row r="727">
      <c r="A727" s="231"/>
      <c r="C727" s="231"/>
      <c r="D727" s="231"/>
    </row>
    <row r="728">
      <c r="A728" s="231"/>
      <c r="C728" s="231"/>
      <c r="D728" s="231"/>
    </row>
    <row r="729">
      <c r="A729" s="231"/>
      <c r="C729" s="231"/>
      <c r="D729" s="231"/>
    </row>
    <row r="730">
      <c r="A730" s="231"/>
      <c r="C730" s="231"/>
      <c r="D730" s="231"/>
    </row>
    <row r="731">
      <c r="A731" s="231"/>
      <c r="C731" s="231"/>
      <c r="D731" s="231"/>
    </row>
    <row r="732">
      <c r="A732" s="231"/>
      <c r="C732" s="231"/>
      <c r="D732" s="231"/>
    </row>
    <row r="733">
      <c r="A733" s="231"/>
      <c r="C733" s="231"/>
      <c r="D733" s="231"/>
    </row>
    <row r="734">
      <c r="A734" s="231"/>
      <c r="C734" s="231"/>
      <c r="D734" s="231"/>
    </row>
    <row r="735">
      <c r="A735" s="231"/>
      <c r="C735" s="231"/>
      <c r="D735" s="231"/>
    </row>
    <row r="736">
      <c r="A736" s="231"/>
      <c r="C736" s="231"/>
      <c r="D736" s="231"/>
    </row>
    <row r="737">
      <c r="A737" s="231"/>
      <c r="C737" s="231"/>
      <c r="D737" s="231"/>
    </row>
    <row r="738">
      <c r="A738" s="231"/>
      <c r="C738" s="231"/>
      <c r="D738" s="231"/>
    </row>
    <row r="739">
      <c r="A739" s="231"/>
      <c r="C739" s="231"/>
      <c r="D739" s="231"/>
    </row>
    <row r="740">
      <c r="A740" s="231"/>
      <c r="C740" s="231"/>
      <c r="D740" s="231"/>
    </row>
    <row r="741">
      <c r="A741" s="231"/>
      <c r="C741" s="231"/>
      <c r="D741" s="231"/>
    </row>
    <row r="742">
      <c r="A742" s="231"/>
      <c r="C742" s="231"/>
      <c r="D742" s="231"/>
    </row>
    <row r="743">
      <c r="A743" s="231"/>
      <c r="C743" s="231"/>
      <c r="D743" s="231"/>
    </row>
    <row r="744">
      <c r="A744" s="231"/>
      <c r="C744" s="231"/>
      <c r="D744" s="231"/>
    </row>
    <row r="745">
      <c r="A745" s="231"/>
      <c r="C745" s="231"/>
      <c r="D745" s="231"/>
    </row>
    <row r="746">
      <c r="A746" s="231"/>
      <c r="C746" s="231"/>
      <c r="D746" s="231"/>
    </row>
    <row r="747">
      <c r="A747" s="231"/>
      <c r="C747" s="231"/>
      <c r="D747" s="231"/>
    </row>
    <row r="748">
      <c r="A748" s="231"/>
      <c r="C748" s="231"/>
      <c r="D748" s="231"/>
    </row>
    <row r="749">
      <c r="A749" s="231"/>
      <c r="C749" s="231"/>
      <c r="D749" s="231"/>
    </row>
    <row r="750">
      <c r="A750" s="231"/>
      <c r="C750" s="231"/>
      <c r="D750" s="231"/>
    </row>
    <row r="751">
      <c r="A751" s="231"/>
      <c r="C751" s="231"/>
      <c r="D751" s="231"/>
    </row>
    <row r="752">
      <c r="A752" s="231"/>
      <c r="C752" s="231"/>
      <c r="D752" s="231"/>
    </row>
    <row r="753">
      <c r="A753" s="231"/>
      <c r="C753" s="231"/>
      <c r="D753" s="231"/>
    </row>
    <row r="754">
      <c r="A754" s="231"/>
      <c r="C754" s="231"/>
      <c r="D754" s="231"/>
    </row>
    <row r="755">
      <c r="A755" s="231"/>
      <c r="C755" s="231"/>
      <c r="D755" s="231"/>
    </row>
    <row r="756">
      <c r="A756" s="231"/>
      <c r="C756" s="231"/>
      <c r="D756" s="231"/>
    </row>
    <row r="757">
      <c r="A757" s="231"/>
      <c r="C757" s="231"/>
      <c r="D757" s="231"/>
    </row>
    <row r="758">
      <c r="A758" s="231"/>
      <c r="C758" s="231"/>
      <c r="D758" s="231"/>
    </row>
    <row r="759">
      <c r="A759" s="231"/>
      <c r="C759" s="231"/>
      <c r="D759" s="231"/>
    </row>
    <row r="760">
      <c r="A760" s="231"/>
      <c r="C760" s="231"/>
      <c r="D760" s="231"/>
    </row>
    <row r="761">
      <c r="A761" s="231"/>
      <c r="C761" s="231"/>
      <c r="D761" s="231"/>
    </row>
    <row r="762">
      <c r="A762" s="231"/>
      <c r="C762" s="231"/>
      <c r="D762" s="231"/>
    </row>
    <row r="763">
      <c r="A763" s="231"/>
      <c r="C763" s="231"/>
      <c r="D763" s="231"/>
    </row>
    <row r="764">
      <c r="A764" s="231"/>
      <c r="C764" s="231"/>
      <c r="D764" s="231"/>
    </row>
    <row r="765">
      <c r="A765" s="231"/>
      <c r="C765" s="231"/>
      <c r="D765" s="231"/>
    </row>
    <row r="766">
      <c r="A766" s="231"/>
      <c r="C766" s="231"/>
      <c r="D766" s="231"/>
    </row>
    <row r="767">
      <c r="A767" s="231"/>
      <c r="C767" s="231"/>
      <c r="D767" s="231"/>
    </row>
    <row r="768">
      <c r="A768" s="231"/>
      <c r="C768" s="231"/>
      <c r="D768" s="231"/>
    </row>
    <row r="769">
      <c r="A769" s="231"/>
      <c r="C769" s="231"/>
      <c r="D769" s="231"/>
    </row>
    <row r="770">
      <c r="A770" s="231"/>
      <c r="C770" s="231"/>
      <c r="D770" s="231"/>
    </row>
    <row r="771">
      <c r="A771" s="231"/>
      <c r="C771" s="231"/>
      <c r="D771" s="231"/>
    </row>
    <row r="772">
      <c r="A772" s="231"/>
      <c r="C772" s="231"/>
      <c r="D772" s="231"/>
    </row>
    <row r="773">
      <c r="A773" s="231"/>
      <c r="C773" s="231"/>
      <c r="D773" s="231"/>
    </row>
    <row r="774">
      <c r="A774" s="231"/>
      <c r="C774" s="231"/>
      <c r="D774" s="231"/>
    </row>
    <row r="775">
      <c r="A775" s="231"/>
      <c r="C775" s="231"/>
      <c r="D775" s="231"/>
    </row>
    <row r="776">
      <c r="A776" s="231"/>
      <c r="C776" s="231"/>
      <c r="D776" s="231"/>
    </row>
    <row r="777">
      <c r="A777" s="231"/>
      <c r="C777" s="231"/>
      <c r="D777" s="231"/>
    </row>
    <row r="778">
      <c r="A778" s="231"/>
      <c r="C778" s="231"/>
      <c r="D778" s="231"/>
    </row>
    <row r="779">
      <c r="A779" s="231"/>
      <c r="C779" s="231"/>
      <c r="D779" s="231"/>
    </row>
    <row r="780">
      <c r="A780" s="231"/>
      <c r="C780" s="231"/>
      <c r="D780" s="231"/>
    </row>
    <row r="781">
      <c r="A781" s="231"/>
      <c r="C781" s="231"/>
      <c r="D781" s="231"/>
    </row>
    <row r="782">
      <c r="A782" s="231"/>
      <c r="C782" s="231"/>
      <c r="D782" s="231"/>
    </row>
    <row r="783">
      <c r="A783" s="231"/>
      <c r="C783" s="231"/>
      <c r="D783" s="231"/>
    </row>
    <row r="784">
      <c r="A784" s="231"/>
      <c r="C784" s="231"/>
      <c r="D784" s="231"/>
    </row>
    <row r="785">
      <c r="A785" s="231"/>
      <c r="C785" s="231"/>
      <c r="D785" s="231"/>
    </row>
    <row r="786">
      <c r="A786" s="231"/>
      <c r="C786" s="231"/>
      <c r="D786" s="231"/>
    </row>
    <row r="787">
      <c r="A787" s="231"/>
      <c r="C787" s="231"/>
      <c r="D787" s="231"/>
    </row>
    <row r="788">
      <c r="A788" s="231"/>
      <c r="C788" s="231"/>
      <c r="D788" s="231"/>
    </row>
    <row r="789">
      <c r="A789" s="231"/>
      <c r="C789" s="231"/>
      <c r="D789" s="231"/>
    </row>
    <row r="790">
      <c r="A790" s="231"/>
      <c r="C790" s="231"/>
      <c r="D790" s="231"/>
    </row>
    <row r="791">
      <c r="A791" s="231"/>
      <c r="C791" s="231"/>
      <c r="D791" s="231"/>
    </row>
    <row r="792">
      <c r="A792" s="231"/>
      <c r="C792" s="231"/>
      <c r="D792" s="231"/>
    </row>
    <row r="793">
      <c r="A793" s="231"/>
      <c r="C793" s="231"/>
      <c r="D793" s="231"/>
    </row>
    <row r="794">
      <c r="A794" s="231"/>
      <c r="C794" s="231"/>
      <c r="D794" s="231"/>
    </row>
    <row r="795">
      <c r="A795" s="231"/>
      <c r="C795" s="231"/>
      <c r="D795" s="231"/>
    </row>
    <row r="796">
      <c r="A796" s="231"/>
      <c r="C796" s="231"/>
      <c r="D796" s="231"/>
    </row>
    <row r="797">
      <c r="A797" s="231"/>
      <c r="C797" s="231"/>
      <c r="D797" s="231"/>
    </row>
    <row r="798">
      <c r="A798" s="231"/>
      <c r="C798" s="231"/>
      <c r="D798" s="231"/>
    </row>
    <row r="799">
      <c r="A799" s="231"/>
      <c r="C799" s="231"/>
      <c r="D799" s="231"/>
    </row>
    <row r="800">
      <c r="A800" s="231"/>
      <c r="C800" s="231"/>
      <c r="D800" s="231"/>
    </row>
    <row r="801">
      <c r="A801" s="231"/>
      <c r="C801" s="231"/>
      <c r="D801" s="231"/>
    </row>
    <row r="802">
      <c r="A802" s="231"/>
      <c r="C802" s="231"/>
      <c r="D802" s="231"/>
    </row>
    <row r="803">
      <c r="A803" s="231"/>
      <c r="C803" s="231"/>
      <c r="D803" s="231"/>
    </row>
    <row r="804">
      <c r="A804" s="231"/>
      <c r="C804" s="231"/>
      <c r="D804" s="231"/>
    </row>
    <row r="805">
      <c r="A805" s="231"/>
      <c r="C805" s="231"/>
      <c r="D805" s="231"/>
    </row>
    <row r="806">
      <c r="A806" s="231"/>
      <c r="C806" s="231"/>
      <c r="D806" s="231"/>
    </row>
    <row r="807">
      <c r="A807" s="231"/>
      <c r="C807" s="231"/>
      <c r="D807" s="231"/>
    </row>
    <row r="808">
      <c r="A808" s="231"/>
      <c r="C808" s="231"/>
      <c r="D808" s="231"/>
    </row>
    <row r="809">
      <c r="A809" s="231"/>
      <c r="C809" s="231"/>
      <c r="D809" s="231"/>
    </row>
    <row r="810">
      <c r="A810" s="231"/>
      <c r="C810" s="231"/>
      <c r="D810" s="231"/>
    </row>
    <row r="811">
      <c r="A811" s="231"/>
      <c r="C811" s="231"/>
      <c r="D811" s="231"/>
    </row>
    <row r="812">
      <c r="A812" s="231"/>
      <c r="C812" s="231"/>
      <c r="D812" s="231"/>
    </row>
    <row r="813">
      <c r="A813" s="231"/>
      <c r="C813" s="231"/>
      <c r="D813" s="231"/>
    </row>
    <row r="814">
      <c r="A814" s="231"/>
      <c r="C814" s="231"/>
      <c r="D814" s="231"/>
    </row>
    <row r="815">
      <c r="A815" s="231"/>
      <c r="C815" s="231"/>
      <c r="D815" s="231"/>
    </row>
    <row r="816">
      <c r="A816" s="231"/>
      <c r="C816" s="231"/>
      <c r="D816" s="231"/>
    </row>
    <row r="817">
      <c r="A817" s="231"/>
      <c r="C817" s="231"/>
      <c r="D817" s="231"/>
    </row>
    <row r="818">
      <c r="A818" s="231"/>
      <c r="C818" s="231"/>
      <c r="D818" s="231"/>
    </row>
    <row r="819">
      <c r="A819" s="231"/>
      <c r="C819" s="231"/>
      <c r="D819" s="231"/>
    </row>
    <row r="820">
      <c r="A820" s="231"/>
      <c r="C820" s="231"/>
      <c r="D820" s="231"/>
    </row>
    <row r="821">
      <c r="A821" s="231"/>
      <c r="C821" s="231"/>
      <c r="D821" s="231"/>
    </row>
    <row r="822">
      <c r="A822" s="231"/>
      <c r="C822" s="231"/>
      <c r="D822" s="231"/>
    </row>
    <row r="823">
      <c r="A823" s="231"/>
      <c r="C823" s="231"/>
      <c r="D823" s="231"/>
    </row>
    <row r="824">
      <c r="A824" s="231"/>
      <c r="C824" s="231"/>
      <c r="D824" s="231"/>
    </row>
    <row r="825">
      <c r="A825" s="231"/>
      <c r="C825" s="231"/>
      <c r="D825" s="231"/>
    </row>
    <row r="826">
      <c r="A826" s="231"/>
      <c r="C826" s="231"/>
      <c r="D826" s="231"/>
    </row>
    <row r="827">
      <c r="A827" s="231"/>
      <c r="C827" s="231"/>
      <c r="D827" s="231"/>
    </row>
    <row r="828">
      <c r="A828" s="231"/>
      <c r="C828" s="231"/>
      <c r="D828" s="231"/>
    </row>
    <row r="829">
      <c r="A829" s="231"/>
      <c r="C829" s="231"/>
      <c r="D829" s="231"/>
    </row>
    <row r="830">
      <c r="A830" s="231"/>
      <c r="C830" s="231"/>
      <c r="D830" s="231"/>
    </row>
    <row r="831">
      <c r="A831" s="231"/>
      <c r="C831" s="231"/>
      <c r="D831" s="231"/>
    </row>
    <row r="832">
      <c r="A832" s="231"/>
      <c r="C832" s="231"/>
      <c r="D832" s="231"/>
    </row>
    <row r="833">
      <c r="A833" s="231"/>
      <c r="C833" s="231"/>
      <c r="D833" s="231"/>
    </row>
    <row r="834">
      <c r="A834" s="231"/>
      <c r="C834" s="231"/>
      <c r="D834" s="231"/>
    </row>
    <row r="835">
      <c r="A835" s="231"/>
      <c r="C835" s="231"/>
      <c r="D835" s="231"/>
    </row>
    <row r="836">
      <c r="A836" s="231"/>
      <c r="C836" s="231"/>
      <c r="D836" s="231"/>
    </row>
    <row r="837">
      <c r="A837" s="231"/>
      <c r="C837" s="231"/>
      <c r="D837" s="231"/>
    </row>
    <row r="838">
      <c r="A838" s="231"/>
      <c r="C838" s="231"/>
      <c r="D838" s="231"/>
    </row>
    <row r="839">
      <c r="A839" s="231"/>
      <c r="C839" s="231"/>
      <c r="D839" s="231"/>
    </row>
    <row r="840">
      <c r="A840" s="231"/>
      <c r="C840" s="231"/>
      <c r="D840" s="231"/>
    </row>
    <row r="841">
      <c r="A841" s="231"/>
      <c r="C841" s="231"/>
      <c r="D841" s="231"/>
    </row>
    <row r="842">
      <c r="A842" s="231"/>
      <c r="C842" s="231"/>
      <c r="D842" s="231"/>
    </row>
    <row r="843">
      <c r="A843" s="231"/>
      <c r="C843" s="231"/>
      <c r="D843" s="231"/>
    </row>
    <row r="844">
      <c r="A844" s="231"/>
      <c r="C844" s="231"/>
      <c r="D844" s="231"/>
    </row>
    <row r="845">
      <c r="A845" s="231"/>
      <c r="C845" s="231"/>
      <c r="D845" s="231"/>
    </row>
    <row r="846">
      <c r="A846" s="231"/>
      <c r="C846" s="231"/>
      <c r="D846" s="231"/>
    </row>
    <row r="847">
      <c r="A847" s="231"/>
      <c r="C847" s="231"/>
      <c r="D847" s="231"/>
    </row>
    <row r="848">
      <c r="A848" s="231"/>
      <c r="C848" s="231"/>
      <c r="D848" s="231"/>
    </row>
    <row r="849">
      <c r="A849" s="231"/>
      <c r="C849" s="231"/>
      <c r="D849" s="231"/>
    </row>
    <row r="850">
      <c r="A850" s="231"/>
      <c r="C850" s="231"/>
      <c r="D850" s="231"/>
    </row>
    <row r="851">
      <c r="A851" s="231"/>
      <c r="C851" s="231"/>
      <c r="D851" s="231"/>
    </row>
    <row r="852">
      <c r="A852" s="231"/>
      <c r="C852" s="231"/>
      <c r="D852" s="231"/>
    </row>
    <row r="853">
      <c r="A853" s="231"/>
      <c r="C853" s="231"/>
      <c r="D853" s="231"/>
    </row>
    <row r="854">
      <c r="A854" s="231"/>
      <c r="C854" s="231"/>
      <c r="D854" s="231"/>
    </row>
    <row r="855">
      <c r="A855" s="231"/>
      <c r="C855" s="231"/>
      <c r="D855" s="231"/>
    </row>
    <row r="856">
      <c r="A856" s="231"/>
      <c r="C856" s="231"/>
      <c r="D856" s="231"/>
    </row>
    <row r="857">
      <c r="A857" s="231"/>
      <c r="C857" s="231"/>
      <c r="D857" s="231"/>
    </row>
    <row r="858">
      <c r="A858" s="231"/>
      <c r="C858" s="231"/>
      <c r="D858" s="231"/>
    </row>
    <row r="859">
      <c r="A859" s="231"/>
      <c r="C859" s="231"/>
      <c r="D859" s="231"/>
    </row>
    <row r="860">
      <c r="A860" s="231"/>
      <c r="C860" s="231"/>
      <c r="D860" s="231"/>
    </row>
    <row r="861">
      <c r="A861" s="231"/>
      <c r="C861" s="231"/>
      <c r="D861" s="231"/>
    </row>
    <row r="862">
      <c r="A862" s="231"/>
      <c r="C862" s="231"/>
      <c r="D862" s="231"/>
    </row>
    <row r="863">
      <c r="A863" s="231"/>
      <c r="C863" s="231"/>
      <c r="D863" s="231"/>
    </row>
    <row r="864">
      <c r="A864" s="231"/>
      <c r="C864" s="231"/>
      <c r="D864" s="231"/>
    </row>
    <row r="865">
      <c r="A865" s="231"/>
      <c r="C865" s="231"/>
      <c r="D865" s="231"/>
    </row>
    <row r="866">
      <c r="A866" s="231"/>
      <c r="C866" s="231"/>
      <c r="D866" s="231"/>
    </row>
    <row r="867">
      <c r="A867" s="231"/>
      <c r="C867" s="231"/>
      <c r="D867" s="231"/>
    </row>
    <row r="868">
      <c r="A868" s="231"/>
      <c r="C868" s="231"/>
      <c r="D868" s="231"/>
    </row>
    <row r="869">
      <c r="A869" s="231"/>
      <c r="C869" s="231"/>
      <c r="D869" s="231"/>
    </row>
    <row r="870">
      <c r="A870" s="231"/>
      <c r="C870" s="231"/>
      <c r="D870" s="231"/>
    </row>
    <row r="871">
      <c r="A871" s="231"/>
      <c r="C871" s="231"/>
      <c r="D871" s="231"/>
    </row>
    <row r="872">
      <c r="A872" s="231"/>
      <c r="C872" s="231"/>
      <c r="D872" s="231"/>
    </row>
    <row r="873">
      <c r="A873" s="231"/>
      <c r="C873" s="231"/>
      <c r="D873" s="231"/>
    </row>
    <row r="874">
      <c r="A874" s="231"/>
      <c r="C874" s="231"/>
      <c r="D874" s="231"/>
    </row>
    <row r="875">
      <c r="A875" s="231"/>
      <c r="C875" s="231"/>
      <c r="D875" s="231"/>
    </row>
    <row r="876">
      <c r="A876" s="231"/>
      <c r="C876" s="231"/>
      <c r="D876" s="231"/>
    </row>
    <row r="877">
      <c r="A877" s="231"/>
      <c r="C877" s="231"/>
      <c r="D877" s="231"/>
    </row>
    <row r="878">
      <c r="A878" s="231"/>
      <c r="C878" s="231"/>
      <c r="D878" s="231"/>
    </row>
    <row r="879">
      <c r="A879" s="231"/>
      <c r="C879" s="231"/>
      <c r="D879" s="231"/>
    </row>
    <row r="880">
      <c r="A880" s="231"/>
      <c r="C880" s="231"/>
      <c r="D880" s="231"/>
    </row>
    <row r="881">
      <c r="A881" s="231"/>
      <c r="C881" s="231"/>
      <c r="D881" s="231"/>
    </row>
    <row r="882">
      <c r="A882" s="231"/>
      <c r="C882" s="231"/>
      <c r="D882" s="231"/>
    </row>
    <row r="883">
      <c r="A883" s="231"/>
      <c r="C883" s="231"/>
      <c r="D883" s="231"/>
    </row>
    <row r="884">
      <c r="A884" s="231"/>
      <c r="C884" s="231"/>
      <c r="D884" s="231"/>
    </row>
    <row r="885">
      <c r="A885" s="231"/>
      <c r="C885" s="231"/>
      <c r="D885" s="231"/>
    </row>
    <row r="886">
      <c r="A886" s="231"/>
      <c r="C886" s="231"/>
      <c r="D886" s="231"/>
    </row>
    <row r="887">
      <c r="A887" s="231"/>
      <c r="C887" s="231"/>
      <c r="D887" s="231"/>
    </row>
    <row r="888">
      <c r="A888" s="231"/>
      <c r="C888" s="231"/>
      <c r="D888" s="231"/>
    </row>
    <row r="889">
      <c r="A889" s="231"/>
      <c r="C889" s="231"/>
      <c r="D889" s="231"/>
    </row>
    <row r="890">
      <c r="A890" s="231"/>
      <c r="C890" s="231"/>
      <c r="D890" s="231"/>
    </row>
    <row r="891">
      <c r="A891" s="231"/>
      <c r="C891" s="231"/>
      <c r="D891" s="231"/>
    </row>
    <row r="892">
      <c r="A892" s="231"/>
      <c r="C892" s="231"/>
      <c r="D892" s="231"/>
    </row>
    <row r="893">
      <c r="A893" s="231"/>
      <c r="C893" s="231"/>
      <c r="D893" s="231"/>
    </row>
    <row r="894">
      <c r="A894" s="231"/>
      <c r="C894" s="231"/>
      <c r="D894" s="231"/>
    </row>
    <row r="895">
      <c r="A895" s="231"/>
      <c r="C895" s="231"/>
      <c r="D895" s="231"/>
    </row>
    <row r="896">
      <c r="A896" s="231"/>
      <c r="C896" s="231"/>
      <c r="D896" s="231"/>
    </row>
    <row r="897">
      <c r="A897" s="231"/>
      <c r="C897" s="231"/>
      <c r="D897" s="231"/>
    </row>
    <row r="898">
      <c r="A898" s="231"/>
      <c r="C898" s="231"/>
      <c r="D898" s="231"/>
    </row>
    <row r="899">
      <c r="A899" s="231"/>
      <c r="C899" s="231"/>
      <c r="D899" s="231"/>
    </row>
    <row r="900">
      <c r="A900" s="231"/>
      <c r="C900" s="231"/>
      <c r="D900" s="231"/>
    </row>
    <row r="901">
      <c r="A901" s="231"/>
      <c r="C901" s="231"/>
      <c r="D901" s="231"/>
    </row>
    <row r="902">
      <c r="A902" s="231"/>
      <c r="C902" s="231"/>
      <c r="D902" s="231"/>
    </row>
    <row r="903">
      <c r="A903" s="231"/>
      <c r="C903" s="231"/>
      <c r="D903" s="231"/>
    </row>
    <row r="904">
      <c r="A904" s="231"/>
      <c r="C904" s="231"/>
      <c r="D904" s="231"/>
    </row>
    <row r="905">
      <c r="A905" s="231"/>
      <c r="C905" s="231"/>
      <c r="D905" s="231"/>
    </row>
    <row r="906">
      <c r="A906" s="231"/>
      <c r="C906" s="231"/>
      <c r="D906" s="231"/>
    </row>
    <row r="907">
      <c r="A907" s="231"/>
      <c r="C907" s="231"/>
      <c r="D907" s="231"/>
    </row>
    <row r="908">
      <c r="A908" s="231"/>
      <c r="C908" s="231"/>
      <c r="D908" s="231"/>
    </row>
    <row r="909">
      <c r="A909" s="231"/>
      <c r="C909" s="231"/>
      <c r="D909" s="231"/>
    </row>
    <row r="910">
      <c r="A910" s="231"/>
      <c r="C910" s="231"/>
      <c r="D910" s="231"/>
    </row>
    <row r="911">
      <c r="A911" s="231"/>
      <c r="C911" s="231"/>
      <c r="D911" s="231"/>
    </row>
    <row r="912">
      <c r="A912" s="231"/>
      <c r="C912" s="231"/>
      <c r="D912" s="231"/>
    </row>
    <row r="913">
      <c r="A913" s="231"/>
      <c r="C913" s="231"/>
      <c r="D913" s="231"/>
    </row>
    <row r="914">
      <c r="A914" s="231"/>
      <c r="C914" s="231"/>
      <c r="D914" s="231"/>
    </row>
    <row r="915">
      <c r="A915" s="231"/>
      <c r="C915" s="231"/>
      <c r="D915" s="231"/>
    </row>
    <row r="916">
      <c r="A916" s="231"/>
      <c r="C916" s="231"/>
      <c r="D916" s="231"/>
    </row>
    <row r="917">
      <c r="A917" s="231"/>
      <c r="C917" s="231"/>
      <c r="D917" s="231"/>
    </row>
    <row r="918">
      <c r="A918" s="231"/>
      <c r="C918" s="231"/>
      <c r="D918" s="231"/>
    </row>
    <row r="919">
      <c r="A919" s="231"/>
      <c r="C919" s="231"/>
      <c r="D919" s="231"/>
    </row>
    <row r="920">
      <c r="A920" s="231"/>
      <c r="C920" s="231"/>
      <c r="D920" s="231"/>
    </row>
    <row r="921">
      <c r="A921" s="231"/>
      <c r="C921" s="231"/>
      <c r="D921" s="231"/>
    </row>
    <row r="922">
      <c r="A922" s="231"/>
      <c r="C922" s="231"/>
      <c r="D922" s="231"/>
    </row>
    <row r="923">
      <c r="A923" s="231"/>
      <c r="C923" s="231"/>
      <c r="D923" s="231"/>
    </row>
    <row r="924">
      <c r="A924" s="231"/>
      <c r="C924" s="231"/>
      <c r="D924" s="231"/>
    </row>
    <row r="925">
      <c r="A925" s="231"/>
      <c r="C925" s="231"/>
      <c r="D925" s="231"/>
    </row>
    <row r="926">
      <c r="A926" s="231"/>
      <c r="C926" s="231"/>
      <c r="D926" s="231"/>
    </row>
    <row r="927">
      <c r="A927" s="231"/>
      <c r="C927" s="231"/>
      <c r="D927" s="231"/>
    </row>
    <row r="928">
      <c r="A928" s="231"/>
      <c r="C928" s="231"/>
      <c r="D928" s="231"/>
    </row>
    <row r="929">
      <c r="A929" s="231"/>
      <c r="C929" s="231"/>
      <c r="D929" s="231"/>
    </row>
    <row r="930">
      <c r="A930" s="231"/>
      <c r="C930" s="231"/>
      <c r="D930" s="231"/>
    </row>
    <row r="931">
      <c r="A931" s="231"/>
      <c r="C931" s="231"/>
      <c r="D931" s="231"/>
    </row>
    <row r="932">
      <c r="A932" s="231"/>
      <c r="C932" s="231"/>
      <c r="D932" s="231"/>
    </row>
    <row r="933">
      <c r="A933" s="231"/>
      <c r="C933" s="231"/>
      <c r="D933" s="231"/>
    </row>
    <row r="934">
      <c r="A934" s="231"/>
      <c r="C934" s="231"/>
      <c r="D934" s="231"/>
    </row>
    <row r="935">
      <c r="A935" s="231"/>
      <c r="C935" s="231"/>
      <c r="D935" s="231"/>
    </row>
    <row r="936">
      <c r="A936" s="231"/>
      <c r="C936" s="231"/>
      <c r="D936" s="231"/>
    </row>
    <row r="937">
      <c r="A937" s="231"/>
      <c r="C937" s="231"/>
      <c r="D937" s="231"/>
    </row>
    <row r="938">
      <c r="A938" s="231"/>
      <c r="C938" s="231"/>
      <c r="D938" s="231"/>
    </row>
    <row r="939">
      <c r="A939" s="231"/>
      <c r="C939" s="231"/>
      <c r="D939" s="231"/>
    </row>
    <row r="940">
      <c r="A940" s="231"/>
      <c r="C940" s="231"/>
      <c r="D940" s="231"/>
    </row>
    <row r="941">
      <c r="A941" s="231"/>
      <c r="C941" s="231"/>
      <c r="D941" s="231"/>
    </row>
    <row r="942">
      <c r="A942" s="231"/>
      <c r="C942" s="231"/>
      <c r="D942" s="231"/>
    </row>
    <row r="943">
      <c r="A943" s="231"/>
      <c r="C943" s="231"/>
      <c r="D943" s="231"/>
    </row>
    <row r="944">
      <c r="A944" s="231"/>
      <c r="C944" s="231"/>
      <c r="D944" s="231"/>
    </row>
    <row r="945">
      <c r="A945" s="231"/>
      <c r="C945" s="231"/>
      <c r="D945" s="231"/>
    </row>
    <row r="946">
      <c r="A946" s="231"/>
      <c r="C946" s="231"/>
      <c r="D946" s="231"/>
    </row>
    <row r="947">
      <c r="A947" s="231"/>
      <c r="C947" s="231"/>
      <c r="D947" s="231"/>
    </row>
    <row r="948">
      <c r="A948" s="231"/>
      <c r="C948" s="231"/>
      <c r="D948" s="231"/>
    </row>
    <row r="949">
      <c r="A949" s="231"/>
      <c r="C949" s="231"/>
      <c r="D949" s="231"/>
    </row>
    <row r="950">
      <c r="A950" s="231"/>
      <c r="C950" s="231"/>
      <c r="D950" s="231"/>
    </row>
    <row r="951">
      <c r="A951" s="231"/>
      <c r="C951" s="231"/>
      <c r="D951" s="231"/>
    </row>
    <row r="952">
      <c r="A952" s="231"/>
      <c r="C952" s="231"/>
      <c r="D952" s="231"/>
    </row>
    <row r="953">
      <c r="A953" s="231"/>
      <c r="C953" s="231"/>
      <c r="D953" s="231"/>
    </row>
    <row r="954">
      <c r="A954" s="231"/>
      <c r="C954" s="231"/>
      <c r="D954" s="231"/>
    </row>
    <row r="955">
      <c r="A955" s="231"/>
      <c r="C955" s="231"/>
      <c r="D955" s="231"/>
    </row>
    <row r="956">
      <c r="A956" s="231"/>
      <c r="C956" s="231"/>
      <c r="D956" s="231"/>
    </row>
    <row r="957">
      <c r="A957" s="231"/>
      <c r="C957" s="231"/>
      <c r="D957" s="231"/>
    </row>
    <row r="958">
      <c r="A958" s="231"/>
      <c r="C958" s="231"/>
      <c r="D958" s="231"/>
    </row>
    <row r="959">
      <c r="A959" s="231"/>
      <c r="C959" s="231"/>
      <c r="D959" s="231"/>
    </row>
    <row r="960">
      <c r="A960" s="231"/>
      <c r="C960" s="231"/>
      <c r="D960" s="231"/>
    </row>
    <row r="961">
      <c r="A961" s="231"/>
      <c r="C961" s="231"/>
      <c r="D961" s="231"/>
    </row>
    <row r="962">
      <c r="A962" s="231"/>
      <c r="C962" s="231"/>
      <c r="D962" s="231"/>
    </row>
    <row r="963">
      <c r="A963" s="231"/>
      <c r="C963" s="231"/>
      <c r="D963" s="231"/>
    </row>
    <row r="964">
      <c r="A964" s="231"/>
      <c r="C964" s="231"/>
      <c r="D964" s="231"/>
    </row>
    <row r="965">
      <c r="A965" s="231"/>
      <c r="C965" s="231"/>
      <c r="D965" s="231"/>
    </row>
    <row r="966">
      <c r="A966" s="231"/>
      <c r="C966" s="231"/>
      <c r="D966" s="231"/>
    </row>
    <row r="967">
      <c r="A967" s="231"/>
      <c r="C967" s="231"/>
      <c r="D967" s="231"/>
    </row>
    <row r="968">
      <c r="A968" s="231"/>
      <c r="C968" s="231"/>
      <c r="D968" s="231"/>
    </row>
    <row r="969">
      <c r="A969" s="231"/>
      <c r="C969" s="231"/>
      <c r="D969" s="231"/>
    </row>
    <row r="970">
      <c r="A970" s="231"/>
      <c r="C970" s="231"/>
      <c r="D970" s="231"/>
    </row>
    <row r="971">
      <c r="A971" s="231"/>
      <c r="C971" s="231"/>
      <c r="D971" s="231"/>
    </row>
    <row r="972">
      <c r="A972" s="231"/>
      <c r="C972" s="231"/>
      <c r="D972" s="231"/>
    </row>
    <row r="973">
      <c r="A973" s="231"/>
      <c r="C973" s="231"/>
      <c r="D973" s="231"/>
    </row>
    <row r="974">
      <c r="A974" s="231"/>
      <c r="C974" s="231"/>
      <c r="D974" s="231"/>
    </row>
    <row r="975">
      <c r="A975" s="231"/>
      <c r="C975" s="231"/>
      <c r="D975" s="231"/>
    </row>
    <row r="976">
      <c r="A976" s="231"/>
      <c r="C976" s="231"/>
      <c r="D976" s="231"/>
    </row>
    <row r="977">
      <c r="A977" s="231"/>
      <c r="C977" s="231"/>
      <c r="D977" s="231"/>
    </row>
    <row r="978">
      <c r="A978" s="231"/>
      <c r="C978" s="231"/>
      <c r="D978" s="231"/>
    </row>
    <row r="979">
      <c r="A979" s="231"/>
      <c r="C979" s="231"/>
      <c r="D979" s="231"/>
    </row>
    <row r="980">
      <c r="A980" s="231"/>
      <c r="C980" s="231"/>
      <c r="D980" s="231"/>
    </row>
    <row r="981">
      <c r="A981" s="231"/>
      <c r="C981" s="231"/>
      <c r="D981" s="231"/>
    </row>
    <row r="982">
      <c r="A982" s="231"/>
      <c r="C982" s="231"/>
      <c r="D982" s="231"/>
    </row>
    <row r="983">
      <c r="A983" s="231"/>
      <c r="C983" s="231"/>
      <c r="D983" s="231"/>
    </row>
    <row r="984">
      <c r="A984" s="231"/>
      <c r="C984" s="231"/>
      <c r="D984" s="231"/>
    </row>
    <row r="985">
      <c r="A985" s="231"/>
      <c r="C985" s="231"/>
      <c r="D985" s="231"/>
    </row>
    <row r="986">
      <c r="A986" s="231"/>
      <c r="C986" s="231"/>
      <c r="D986" s="231"/>
    </row>
    <row r="987">
      <c r="A987" s="231"/>
      <c r="C987" s="231"/>
      <c r="D987" s="231"/>
    </row>
    <row r="988">
      <c r="A988" s="231"/>
      <c r="C988" s="231"/>
      <c r="D988" s="231"/>
    </row>
    <row r="989">
      <c r="A989" s="231"/>
      <c r="C989" s="231"/>
      <c r="D989" s="231"/>
    </row>
    <row r="990">
      <c r="A990" s="231"/>
      <c r="C990" s="231"/>
      <c r="D990" s="231"/>
    </row>
    <row r="991">
      <c r="A991" s="231"/>
      <c r="C991" s="231"/>
      <c r="D991" s="231"/>
    </row>
    <row r="992">
      <c r="A992" s="231"/>
      <c r="C992" s="231"/>
      <c r="D992" s="231"/>
    </row>
    <row r="993">
      <c r="A993" s="231"/>
      <c r="C993" s="231"/>
      <c r="D993" s="231"/>
    </row>
    <row r="994">
      <c r="A994" s="231"/>
      <c r="C994" s="231"/>
      <c r="D994" s="231"/>
    </row>
    <row r="995">
      <c r="A995" s="231"/>
      <c r="C995" s="231"/>
      <c r="D995" s="231"/>
    </row>
    <row r="996">
      <c r="A996" s="231"/>
      <c r="C996" s="231"/>
      <c r="D996" s="231"/>
    </row>
    <row r="997">
      <c r="A997" s="231"/>
      <c r="C997" s="231"/>
      <c r="D997" s="231"/>
    </row>
    <row r="998">
      <c r="A998" s="231"/>
      <c r="C998" s="231"/>
      <c r="D998" s="231"/>
    </row>
    <row r="999">
      <c r="A999" s="231"/>
      <c r="C999" s="231"/>
      <c r="D999" s="231"/>
    </row>
    <row r="1000">
      <c r="A1000" s="231"/>
      <c r="C1000" s="231"/>
      <c r="D1000" s="231"/>
    </row>
  </sheetData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outlinePr summaryBelow="0" summaryRight="0"/>
  </sheetPr>
  <sheetViews>
    <sheetView workbookViewId="0"/>
  </sheetViews>
  <sheetFormatPr customHeight="1" defaultColWidth="12.63" defaultRowHeight="15.75"/>
  <sheetData>
    <row r="1">
      <c r="A1" s="35" t="s">
        <v>44</v>
      </c>
      <c r="B1" s="11" t="s">
        <v>1</v>
      </c>
    </row>
    <row r="2">
      <c r="A2" s="7" t="s">
        <v>1738</v>
      </c>
      <c r="B2" s="11">
        <v>5421.0</v>
      </c>
      <c r="C2" s="7"/>
    </row>
    <row r="3">
      <c r="A3" s="7" t="s">
        <v>1736</v>
      </c>
      <c r="B3" s="11">
        <v>6675.0</v>
      </c>
    </row>
    <row r="4">
      <c r="A4" s="7" t="s">
        <v>1739</v>
      </c>
      <c r="B4" s="11">
        <v>986.0</v>
      </c>
    </row>
    <row r="5">
      <c r="A5" s="7" t="s">
        <v>1740</v>
      </c>
      <c r="B5" s="11">
        <v>986.0</v>
      </c>
    </row>
    <row r="6">
      <c r="A6" s="7" t="s">
        <v>1741</v>
      </c>
      <c r="B6" s="11">
        <v>986.0</v>
      </c>
    </row>
    <row r="7">
      <c r="A7" s="7" t="s">
        <v>1742</v>
      </c>
      <c r="B7" s="11">
        <v>663.0</v>
      </c>
    </row>
    <row r="8">
      <c r="A8" s="7" t="s">
        <v>1745</v>
      </c>
      <c r="B8" s="11">
        <v>7157.0</v>
      </c>
    </row>
    <row r="9">
      <c r="A9" s="7" t="s">
        <v>1747</v>
      </c>
      <c r="B9" s="11">
        <v>7100.0</v>
      </c>
    </row>
    <row r="10">
      <c r="A10" s="7" t="s">
        <v>1749</v>
      </c>
      <c r="B10" s="11">
        <v>6875.0</v>
      </c>
    </row>
    <row r="11">
      <c r="A11" s="7" t="s">
        <v>1743</v>
      </c>
      <c r="B11" s="11">
        <v>5421.0</v>
      </c>
    </row>
    <row r="12">
      <c r="A12" s="7" t="s">
        <v>1744</v>
      </c>
      <c r="B12" s="11">
        <v>5421.0</v>
      </c>
    </row>
    <row r="13">
      <c r="A13" s="7" t="s">
        <v>1746</v>
      </c>
      <c r="B13" s="11">
        <v>5421.0</v>
      </c>
    </row>
    <row r="14">
      <c r="A14" s="7" t="s">
        <v>1748</v>
      </c>
      <c r="B14" s="11">
        <v>5421.0</v>
      </c>
    </row>
    <row r="15">
      <c r="A15" s="7" t="s">
        <v>1750</v>
      </c>
      <c r="B15" s="11">
        <v>8199.0</v>
      </c>
    </row>
    <row r="16">
      <c r="A16" s="7" t="s">
        <v>1751</v>
      </c>
      <c r="B16" s="11">
        <v>8199.0</v>
      </c>
    </row>
    <row r="17">
      <c r="A17" s="7" t="s">
        <v>1752</v>
      </c>
      <c r="B17" s="11">
        <v>14065.0</v>
      </c>
    </row>
    <row r="18">
      <c r="A18" s="7" t="s">
        <v>1758</v>
      </c>
      <c r="B18" s="11">
        <v>11875.0</v>
      </c>
    </row>
    <row r="19">
      <c r="A19" s="7" t="s">
        <v>1753</v>
      </c>
      <c r="B19" s="11">
        <v>11708.0</v>
      </c>
    </row>
    <row r="20">
      <c r="A20" s="7" t="s">
        <v>1754</v>
      </c>
      <c r="B20" s="11">
        <v>14337.0</v>
      </c>
    </row>
    <row r="21">
      <c r="A21" s="7" t="s">
        <v>1755</v>
      </c>
      <c r="B21" s="11">
        <v>9307.0</v>
      </c>
    </row>
    <row r="22">
      <c r="A22" s="7" t="s">
        <v>1756</v>
      </c>
      <c r="B22" s="16">
        <v>12553.0</v>
      </c>
    </row>
    <row r="23">
      <c r="A23" s="7" t="s">
        <v>1757</v>
      </c>
      <c r="B23" s="11">
        <v>6924.0</v>
      </c>
    </row>
    <row r="24">
      <c r="A24" s="7" t="s">
        <v>1759</v>
      </c>
      <c r="B24" s="11">
        <v>6829.0</v>
      </c>
    </row>
    <row r="25">
      <c r="A25" s="7" t="s">
        <v>1760</v>
      </c>
      <c r="B25" s="11">
        <v>14482.0</v>
      </c>
    </row>
    <row r="26">
      <c r="A26" s="7" t="s">
        <v>1761</v>
      </c>
      <c r="B26" s="11">
        <v>6729.0</v>
      </c>
    </row>
    <row r="27">
      <c r="A27" s="7" t="s">
        <v>1762</v>
      </c>
      <c r="B27" s="11">
        <v>13951.0</v>
      </c>
    </row>
    <row r="28">
      <c r="A28" s="7" t="s">
        <v>1763</v>
      </c>
      <c r="B28" s="11">
        <v>7033.0</v>
      </c>
    </row>
    <row r="29">
      <c r="A29" s="7" t="s">
        <v>1764</v>
      </c>
      <c r="B29" s="11">
        <v>6772.0</v>
      </c>
    </row>
    <row r="30">
      <c r="A30" s="7" t="s">
        <v>1765</v>
      </c>
      <c r="B30" s="122">
        <v>12609.0</v>
      </c>
    </row>
    <row r="31">
      <c r="A31" s="7" t="s">
        <v>1766</v>
      </c>
      <c r="B31" s="11">
        <v>4514.0</v>
      </c>
      <c r="C31" s="11">
        <v>6771.0</v>
      </c>
    </row>
    <row r="32">
      <c r="A32" s="7" t="s">
        <v>1767</v>
      </c>
      <c r="B32" s="11">
        <v>7747.0</v>
      </c>
    </row>
    <row r="33">
      <c r="A33" s="7" t="s">
        <v>1768</v>
      </c>
      <c r="B33" s="11">
        <v>14033.0</v>
      </c>
    </row>
    <row r="34">
      <c r="A34" s="7" t="s">
        <v>1778</v>
      </c>
      <c r="B34" s="11">
        <v>12346.0</v>
      </c>
    </row>
    <row r="35">
      <c r="A35" s="7" t="s">
        <v>1787</v>
      </c>
      <c r="B35" s="11">
        <v>2345.0</v>
      </c>
    </row>
    <row r="36">
      <c r="A36" s="7" t="s">
        <v>1779</v>
      </c>
      <c r="B36" s="11">
        <v>2345.0</v>
      </c>
    </row>
    <row r="37">
      <c r="A37" s="7" t="s">
        <v>1780</v>
      </c>
      <c r="B37" s="11">
        <v>2345.0</v>
      </c>
    </row>
    <row r="38">
      <c r="A38" s="7" t="s">
        <v>1781</v>
      </c>
      <c r="B38" s="11">
        <v>2345.0</v>
      </c>
    </row>
    <row r="39">
      <c r="A39" s="7" t="s">
        <v>1782</v>
      </c>
      <c r="B39" s="11">
        <v>11049.0</v>
      </c>
    </row>
    <row r="40">
      <c r="A40" s="7" t="s">
        <v>1784</v>
      </c>
      <c r="B40" s="11">
        <v>11049.0</v>
      </c>
    </row>
    <row r="41">
      <c r="A41" s="7" t="s">
        <v>1785</v>
      </c>
      <c r="B41" s="11">
        <v>6132.0</v>
      </c>
    </row>
    <row r="42">
      <c r="A42" s="7" t="s">
        <v>5544</v>
      </c>
      <c r="B42" s="11">
        <v>11049.0</v>
      </c>
    </row>
    <row r="43">
      <c r="A43" s="7" t="s">
        <v>5545</v>
      </c>
      <c r="B43" s="11">
        <v>11049.0</v>
      </c>
    </row>
    <row r="44">
      <c r="A44" s="7" t="s">
        <v>5546</v>
      </c>
      <c r="B44" s="11">
        <v>11049.0</v>
      </c>
    </row>
    <row r="45">
      <c r="A45" s="7" t="s">
        <v>5547</v>
      </c>
      <c r="B45" s="11">
        <v>11049.0</v>
      </c>
    </row>
    <row r="46">
      <c r="A46" s="7" t="s">
        <v>5548</v>
      </c>
      <c r="B46" s="11">
        <v>7023.0</v>
      </c>
    </row>
    <row r="47">
      <c r="A47" s="7" t="s">
        <v>5549</v>
      </c>
      <c r="B47" s="11">
        <v>11049.0</v>
      </c>
    </row>
    <row r="48">
      <c r="A48" s="7" t="s">
        <v>5550</v>
      </c>
      <c r="B48" s="11">
        <v>11049.0</v>
      </c>
    </row>
    <row r="49">
      <c r="A49" s="7" t="s">
        <v>5551</v>
      </c>
      <c r="B49" s="11">
        <v>11049.0</v>
      </c>
    </row>
    <row r="50">
      <c r="A50" s="7" t="s">
        <v>5552</v>
      </c>
      <c r="B50" s="11">
        <v>11049.0</v>
      </c>
    </row>
    <row r="51">
      <c r="A51" s="7" t="s">
        <v>5553</v>
      </c>
      <c r="B51" s="11">
        <v>7031.0</v>
      </c>
    </row>
    <row r="52">
      <c r="A52" s="7" t="s">
        <v>5554</v>
      </c>
      <c r="B52" s="11">
        <v>11049.0</v>
      </c>
    </row>
    <row r="53">
      <c r="A53" s="7" t="s">
        <v>5555</v>
      </c>
      <c r="B53" s="11">
        <v>11049.0</v>
      </c>
    </row>
    <row r="54">
      <c r="A54" s="7" t="s">
        <v>5556</v>
      </c>
      <c r="B54" s="11">
        <v>11049.0</v>
      </c>
    </row>
    <row r="55">
      <c r="A55" s="7" t="s">
        <v>5557</v>
      </c>
      <c r="B55" s="11">
        <v>11049.0</v>
      </c>
    </row>
    <row r="56">
      <c r="A56" s="7" t="s">
        <v>5558</v>
      </c>
      <c r="B56" s="11">
        <v>7083.0</v>
      </c>
    </row>
    <row r="57">
      <c r="A57" s="7" t="s">
        <v>5559</v>
      </c>
      <c r="B57" s="11">
        <v>6924.0</v>
      </c>
    </row>
    <row r="58">
      <c r="A58" s="7" t="s">
        <v>5560</v>
      </c>
      <c r="B58" s="35">
        <v>6726.0</v>
      </c>
    </row>
    <row r="59">
      <c r="A59" s="7" t="s">
        <v>5561</v>
      </c>
      <c r="B59" s="35">
        <v>6726.0</v>
      </c>
    </row>
    <row r="60">
      <c r="A60" s="7" t="s">
        <v>5562</v>
      </c>
      <c r="B60" s="11">
        <v>11049.0</v>
      </c>
    </row>
    <row r="61">
      <c r="A61" s="7" t="s">
        <v>5563</v>
      </c>
      <c r="B61" s="11">
        <v>3607.0</v>
      </c>
    </row>
    <row r="62">
      <c r="A62" s="7" t="s">
        <v>5564</v>
      </c>
      <c r="B62" s="11">
        <v>3607.0</v>
      </c>
    </row>
    <row r="63">
      <c r="A63" s="7" t="s">
        <v>5565</v>
      </c>
      <c r="B63" s="11">
        <v>13829.0</v>
      </c>
    </row>
    <row r="64">
      <c r="A64" s="7" t="s">
        <v>5566</v>
      </c>
      <c r="B64" s="11">
        <v>12553.0</v>
      </c>
    </row>
    <row r="65">
      <c r="A65" s="7" t="s">
        <v>5567</v>
      </c>
      <c r="B65" s="11">
        <v>14494.0</v>
      </c>
    </row>
    <row r="66">
      <c r="A66" s="7" t="s">
        <v>5568</v>
      </c>
      <c r="B66" s="11">
        <v>12932.0</v>
      </c>
    </row>
    <row r="67">
      <c r="A67" s="7" t="s">
        <v>5569</v>
      </c>
      <c r="B67" s="11">
        <v>6668.0</v>
      </c>
    </row>
    <row r="68">
      <c r="A68" s="7" t="s">
        <v>5570</v>
      </c>
      <c r="B68" s="11">
        <v>14580.0</v>
      </c>
    </row>
    <row r="69">
      <c r="A69" s="7" t="s">
        <v>5571</v>
      </c>
      <c r="B69" s="11">
        <v>7229.0</v>
      </c>
    </row>
    <row r="70">
      <c r="A70" s="7" t="s">
        <v>5572</v>
      </c>
      <c r="B70" s="11">
        <v>6903.0</v>
      </c>
    </row>
    <row r="71">
      <c r="A71" s="7" t="s">
        <v>5573</v>
      </c>
      <c r="B71" s="11">
        <v>3607.0</v>
      </c>
    </row>
    <row r="72">
      <c r="A72" s="7" t="s">
        <v>5574</v>
      </c>
      <c r="B72" s="11">
        <v>3607.0</v>
      </c>
    </row>
    <row r="73">
      <c r="A73" s="7" t="s">
        <v>5575</v>
      </c>
      <c r="B73" s="11">
        <v>6722.0</v>
      </c>
    </row>
    <row r="74">
      <c r="A74" s="7" t="s">
        <v>5576</v>
      </c>
      <c r="B74" s="16">
        <v>14465.0</v>
      </c>
    </row>
    <row r="75">
      <c r="A75" s="7" t="s">
        <v>5577</v>
      </c>
      <c r="B75" s="11">
        <v>3307.0</v>
      </c>
    </row>
    <row r="76">
      <c r="A76" s="7" t="s">
        <v>5578</v>
      </c>
      <c r="B76" s="11">
        <v>283.0</v>
      </c>
    </row>
    <row r="77">
      <c r="A77" s="7" t="s">
        <v>5579</v>
      </c>
      <c r="B77" s="11">
        <v>6947.0</v>
      </c>
    </row>
    <row r="78">
      <c r="A78" s="7" t="s">
        <v>5580</v>
      </c>
      <c r="B78" s="11">
        <v>13858.0</v>
      </c>
    </row>
    <row r="79">
      <c r="A79" s="7" t="s">
        <v>5586</v>
      </c>
      <c r="B79" s="11">
        <v>3607.0</v>
      </c>
    </row>
    <row r="80">
      <c r="A80" s="7" t="s">
        <v>5587</v>
      </c>
      <c r="B80" s="11">
        <v>3607.0</v>
      </c>
    </row>
    <row r="81">
      <c r="A81" s="7" t="s">
        <v>5588</v>
      </c>
      <c r="B81" s="11">
        <v>3607.0</v>
      </c>
    </row>
    <row r="82">
      <c r="A82" s="7" t="s">
        <v>5589</v>
      </c>
      <c r="B82" s="11">
        <v>3607.0</v>
      </c>
    </row>
    <row r="83">
      <c r="A83" s="7" t="s">
        <v>5590</v>
      </c>
      <c r="B83" s="11">
        <v>3607.0</v>
      </c>
    </row>
    <row r="84">
      <c r="A84" s="7" t="s">
        <v>5591</v>
      </c>
      <c r="B84" s="11">
        <v>3607.0</v>
      </c>
    </row>
    <row r="85">
      <c r="A85" s="7" t="s">
        <v>5592</v>
      </c>
      <c r="B85" s="11">
        <v>3607.0</v>
      </c>
    </row>
    <row r="86">
      <c r="A86" s="7" t="s">
        <v>5593</v>
      </c>
      <c r="B86" s="11">
        <v>3607.0</v>
      </c>
    </row>
    <row r="87">
      <c r="A87" s="65" t="s">
        <v>1769</v>
      </c>
      <c r="B87" s="680">
        <v>12277.0</v>
      </c>
      <c r="C87" s="11" t="s">
        <v>10980</v>
      </c>
    </row>
    <row r="88">
      <c r="A88" s="65" t="s">
        <v>1770</v>
      </c>
      <c r="B88" s="198"/>
      <c r="C88" s="11" t="s">
        <v>10980</v>
      </c>
    </row>
    <row r="89">
      <c r="A89" s="65" t="s">
        <v>1771</v>
      </c>
      <c r="B89" s="5">
        <v>13988.0</v>
      </c>
      <c r="C89" s="11" t="s">
        <v>10980</v>
      </c>
    </row>
    <row r="90">
      <c r="A90" s="65" t="s">
        <v>1772</v>
      </c>
      <c r="B90" s="7"/>
      <c r="C90" s="11" t="s">
        <v>10980</v>
      </c>
    </row>
    <row r="91">
      <c r="A91" s="65" t="s">
        <v>1773</v>
      </c>
      <c r="B91" s="7"/>
      <c r="C91" s="11" t="s">
        <v>10980</v>
      </c>
    </row>
    <row r="92">
      <c r="A92" s="65" t="s">
        <v>1774</v>
      </c>
      <c r="B92" s="7"/>
      <c r="C92" s="11" t="s">
        <v>10980</v>
      </c>
    </row>
    <row r="93">
      <c r="A93" s="65" t="s">
        <v>1775</v>
      </c>
      <c r="B93" s="7"/>
      <c r="C93" s="11" t="s">
        <v>10980</v>
      </c>
    </row>
    <row r="94">
      <c r="A94" s="65" t="s">
        <v>1776</v>
      </c>
      <c r="B94" s="198"/>
      <c r="C94" s="11" t="s">
        <v>10980</v>
      </c>
    </row>
    <row r="95">
      <c r="A95" s="65" t="s">
        <v>1783</v>
      </c>
      <c r="B95" s="7"/>
      <c r="C95" s="11" t="s">
        <v>10980</v>
      </c>
    </row>
    <row r="96">
      <c r="A96" s="65" t="s">
        <v>1777</v>
      </c>
      <c r="B96" s="7"/>
      <c r="C96" s="11" t="s">
        <v>10980</v>
      </c>
    </row>
    <row r="97">
      <c r="A97" s="65" t="s">
        <v>5581</v>
      </c>
      <c r="B97" s="7"/>
      <c r="C97" s="11" t="s">
        <v>10980</v>
      </c>
    </row>
    <row r="98">
      <c r="A98" s="65" t="s">
        <v>5582</v>
      </c>
      <c r="B98" s="7"/>
      <c r="C98" s="11" t="s">
        <v>10980</v>
      </c>
    </row>
    <row r="99">
      <c r="A99" s="65" t="s">
        <v>5583</v>
      </c>
      <c r="B99" s="7"/>
      <c r="C99" s="11" t="s">
        <v>10980</v>
      </c>
    </row>
    <row r="100">
      <c r="A100" s="65" t="s">
        <v>5584</v>
      </c>
      <c r="B100" s="7"/>
      <c r="C100" s="11" t="s">
        <v>10980</v>
      </c>
    </row>
    <row r="101">
      <c r="A101" s="65" t="s">
        <v>5585</v>
      </c>
      <c r="B101" s="7"/>
      <c r="C101" s="11" t="s">
        <v>10980</v>
      </c>
    </row>
    <row r="102">
      <c r="A102" s="21"/>
    </row>
    <row r="103">
      <c r="A103" s="21"/>
    </row>
    <row r="104">
      <c r="A104" s="21"/>
    </row>
    <row r="105">
      <c r="A105" s="21"/>
    </row>
    <row r="106">
      <c r="A106" s="21"/>
    </row>
    <row r="107">
      <c r="A107" s="21"/>
    </row>
    <row r="108">
      <c r="A108" s="21"/>
    </row>
    <row r="109">
      <c r="A109" s="21"/>
    </row>
    <row r="110">
      <c r="A110" s="21"/>
    </row>
    <row r="111">
      <c r="A111" s="21"/>
    </row>
    <row r="112">
      <c r="A112" s="21"/>
    </row>
    <row r="113">
      <c r="A113" s="21"/>
    </row>
    <row r="114">
      <c r="A114" s="21"/>
    </row>
    <row r="115">
      <c r="A115" s="21"/>
    </row>
    <row r="116">
      <c r="A116" s="21"/>
    </row>
    <row r="117">
      <c r="A117" s="21"/>
    </row>
    <row r="118">
      <c r="A118" s="21"/>
    </row>
    <row r="119">
      <c r="A119" s="21"/>
    </row>
    <row r="120">
      <c r="A120" s="21"/>
    </row>
    <row r="121">
      <c r="A121" s="21"/>
    </row>
    <row r="122">
      <c r="A122" s="21"/>
    </row>
    <row r="123">
      <c r="A123" s="21"/>
    </row>
    <row r="124">
      <c r="A124" s="21"/>
    </row>
    <row r="125">
      <c r="A125" s="21"/>
    </row>
    <row r="126">
      <c r="A126" s="21"/>
    </row>
    <row r="127">
      <c r="A127" s="21"/>
    </row>
    <row r="128">
      <c r="A128" s="21"/>
    </row>
    <row r="129">
      <c r="A129" s="21"/>
    </row>
    <row r="130">
      <c r="A130" s="21"/>
    </row>
    <row r="131">
      <c r="A131" s="21"/>
    </row>
    <row r="132">
      <c r="A132" s="21"/>
    </row>
    <row r="133">
      <c r="A133" s="21"/>
    </row>
    <row r="134">
      <c r="A134" s="21"/>
    </row>
    <row r="135">
      <c r="A135" s="21"/>
    </row>
    <row r="136">
      <c r="A136" s="21"/>
    </row>
    <row r="137">
      <c r="A137" s="21"/>
    </row>
    <row r="138">
      <c r="A138" s="21"/>
    </row>
    <row r="139">
      <c r="A139" s="21"/>
    </row>
    <row r="140">
      <c r="A140" s="21"/>
    </row>
    <row r="141">
      <c r="A141" s="21"/>
    </row>
    <row r="142">
      <c r="A142" s="21"/>
    </row>
    <row r="143">
      <c r="A143" s="21"/>
    </row>
    <row r="144">
      <c r="A144" s="21"/>
    </row>
    <row r="145">
      <c r="A145" s="21"/>
    </row>
    <row r="146">
      <c r="A146" s="21"/>
    </row>
    <row r="147">
      <c r="A147" s="21"/>
    </row>
    <row r="148">
      <c r="A148" s="21"/>
    </row>
    <row r="149">
      <c r="A149" s="21"/>
    </row>
    <row r="150">
      <c r="A150" s="21"/>
    </row>
    <row r="151">
      <c r="A151" s="21"/>
    </row>
    <row r="152">
      <c r="A152" s="21"/>
    </row>
    <row r="153">
      <c r="A153" s="21"/>
    </row>
    <row r="154">
      <c r="A154" s="21"/>
    </row>
    <row r="155">
      <c r="A155" s="21"/>
    </row>
    <row r="156">
      <c r="A156" s="21"/>
    </row>
    <row r="157">
      <c r="A157" s="21"/>
    </row>
    <row r="158">
      <c r="A158" s="21"/>
    </row>
    <row r="159">
      <c r="A159" s="21"/>
    </row>
    <row r="160">
      <c r="A160" s="21"/>
    </row>
    <row r="161">
      <c r="A161" s="21"/>
    </row>
    <row r="162">
      <c r="A162" s="21"/>
    </row>
    <row r="163">
      <c r="A163" s="21"/>
    </row>
    <row r="164">
      <c r="A164" s="21"/>
    </row>
    <row r="165">
      <c r="A165" s="21"/>
    </row>
    <row r="166">
      <c r="A166" s="21"/>
    </row>
    <row r="167">
      <c r="A167" s="21"/>
    </row>
    <row r="168">
      <c r="A168" s="21"/>
    </row>
    <row r="169">
      <c r="A169" s="21"/>
    </row>
    <row r="170">
      <c r="A170" s="21"/>
    </row>
    <row r="171">
      <c r="A171" s="21"/>
    </row>
    <row r="172">
      <c r="A172" s="21"/>
    </row>
    <row r="173">
      <c r="A173" s="21"/>
    </row>
    <row r="174">
      <c r="A174" s="21"/>
    </row>
    <row r="175">
      <c r="A175" s="21"/>
    </row>
    <row r="176">
      <c r="A176" s="21"/>
    </row>
    <row r="177">
      <c r="A177" s="21"/>
    </row>
    <row r="178">
      <c r="A178" s="21"/>
    </row>
    <row r="179">
      <c r="A179" s="21"/>
    </row>
    <row r="180">
      <c r="A180" s="21"/>
    </row>
    <row r="181">
      <c r="A181" s="21"/>
    </row>
    <row r="182">
      <c r="A182" s="21"/>
    </row>
    <row r="183">
      <c r="A183" s="21"/>
    </row>
    <row r="184">
      <c r="A184" s="21"/>
    </row>
    <row r="185">
      <c r="A185" s="21"/>
    </row>
    <row r="186">
      <c r="A186" s="21"/>
    </row>
    <row r="187">
      <c r="A187" s="21"/>
    </row>
    <row r="188">
      <c r="A188" s="21"/>
    </row>
    <row r="189">
      <c r="A189" s="21"/>
    </row>
    <row r="190">
      <c r="A190" s="21"/>
    </row>
    <row r="191">
      <c r="A191" s="21"/>
    </row>
    <row r="192">
      <c r="A192" s="21"/>
    </row>
    <row r="193">
      <c r="A193" s="21"/>
    </row>
    <row r="194">
      <c r="A194" s="21"/>
    </row>
    <row r="195">
      <c r="A195" s="21"/>
    </row>
    <row r="196">
      <c r="A196" s="21"/>
    </row>
    <row r="197">
      <c r="A197" s="21"/>
    </row>
    <row r="198">
      <c r="A198" s="21"/>
    </row>
    <row r="199">
      <c r="A199" s="21"/>
    </row>
    <row r="200">
      <c r="A200" s="21"/>
    </row>
    <row r="201">
      <c r="A201" s="21"/>
    </row>
    <row r="202">
      <c r="A202" s="21"/>
    </row>
    <row r="203">
      <c r="A203" s="21"/>
    </row>
    <row r="204">
      <c r="A204" s="21"/>
    </row>
    <row r="205">
      <c r="A205" s="21"/>
    </row>
    <row r="206">
      <c r="A206" s="21"/>
    </row>
    <row r="207">
      <c r="A207" s="21"/>
    </row>
    <row r="208">
      <c r="A208" s="21"/>
    </row>
    <row r="209">
      <c r="A209" s="21"/>
    </row>
    <row r="210">
      <c r="A210" s="21"/>
    </row>
    <row r="211">
      <c r="A211" s="21"/>
    </row>
    <row r="212">
      <c r="A212" s="21"/>
    </row>
    <row r="213">
      <c r="A213" s="21"/>
    </row>
    <row r="214">
      <c r="A214" s="21"/>
    </row>
    <row r="215">
      <c r="A215" s="21"/>
    </row>
    <row r="216">
      <c r="A216" s="21"/>
    </row>
    <row r="217">
      <c r="A217" s="21"/>
    </row>
    <row r="218">
      <c r="A218" s="21"/>
    </row>
    <row r="219">
      <c r="A219" s="21"/>
    </row>
    <row r="220">
      <c r="A220" s="21"/>
    </row>
    <row r="221">
      <c r="A221" s="21"/>
    </row>
    <row r="222">
      <c r="A222" s="21"/>
    </row>
    <row r="223">
      <c r="A223" s="21"/>
    </row>
    <row r="224">
      <c r="A224" s="21"/>
    </row>
    <row r="225">
      <c r="A225" s="21"/>
    </row>
    <row r="226">
      <c r="A226" s="21"/>
    </row>
    <row r="227">
      <c r="A227" s="21"/>
    </row>
    <row r="228">
      <c r="A228" s="21"/>
    </row>
    <row r="229">
      <c r="A229" s="21"/>
    </row>
    <row r="230">
      <c r="A230" s="21"/>
    </row>
    <row r="231">
      <c r="A231" s="21"/>
    </row>
    <row r="232">
      <c r="A232" s="21"/>
    </row>
    <row r="233">
      <c r="A233" s="21"/>
    </row>
    <row r="234">
      <c r="A234" s="21"/>
    </row>
    <row r="235">
      <c r="A235" s="21"/>
    </row>
    <row r="236">
      <c r="A236" s="21"/>
    </row>
    <row r="237">
      <c r="A237" s="21"/>
    </row>
    <row r="238">
      <c r="A238" s="21"/>
    </row>
    <row r="239">
      <c r="A239" s="21"/>
    </row>
    <row r="240">
      <c r="A240" s="21"/>
    </row>
    <row r="241">
      <c r="A241" s="21"/>
    </row>
    <row r="242">
      <c r="A242" s="21"/>
    </row>
    <row r="243">
      <c r="A243" s="21"/>
    </row>
    <row r="244">
      <c r="A244" s="21"/>
    </row>
    <row r="245">
      <c r="A245" s="21"/>
    </row>
    <row r="246">
      <c r="A246" s="21"/>
    </row>
    <row r="247">
      <c r="A247" s="21"/>
    </row>
    <row r="248">
      <c r="A248" s="21"/>
    </row>
    <row r="249">
      <c r="A249" s="21"/>
    </row>
    <row r="250">
      <c r="A250" s="21"/>
    </row>
    <row r="251">
      <c r="A251" s="21"/>
    </row>
    <row r="252">
      <c r="A252" s="21"/>
    </row>
    <row r="253">
      <c r="A253" s="21"/>
    </row>
    <row r="254">
      <c r="A254" s="21"/>
    </row>
    <row r="255">
      <c r="A255" s="21"/>
    </row>
    <row r="256">
      <c r="A256" s="21"/>
    </row>
    <row r="257">
      <c r="A257" s="21"/>
    </row>
    <row r="258">
      <c r="A258" s="21"/>
    </row>
    <row r="259">
      <c r="A259" s="21"/>
    </row>
    <row r="260">
      <c r="A260" s="21"/>
    </row>
    <row r="261">
      <c r="A261" s="21"/>
    </row>
    <row r="262">
      <c r="A262" s="21"/>
    </row>
    <row r="263">
      <c r="A263" s="21"/>
    </row>
    <row r="264">
      <c r="A264" s="21"/>
    </row>
    <row r="265">
      <c r="A265" s="21"/>
    </row>
    <row r="266">
      <c r="A266" s="21"/>
    </row>
    <row r="267">
      <c r="A267" s="21"/>
    </row>
    <row r="268">
      <c r="A268" s="21"/>
    </row>
    <row r="269">
      <c r="A269" s="21"/>
    </row>
    <row r="270">
      <c r="A270" s="21"/>
    </row>
    <row r="271">
      <c r="A271" s="21"/>
    </row>
    <row r="272">
      <c r="A272" s="21"/>
    </row>
    <row r="273">
      <c r="A273" s="21"/>
    </row>
    <row r="274">
      <c r="A274" s="21"/>
    </row>
    <row r="275">
      <c r="A275" s="21"/>
    </row>
    <row r="276">
      <c r="A276" s="21"/>
    </row>
    <row r="277">
      <c r="A277" s="21"/>
    </row>
    <row r="278">
      <c r="A278" s="21"/>
    </row>
    <row r="279">
      <c r="A279" s="21"/>
    </row>
    <row r="280">
      <c r="A280" s="21"/>
    </row>
    <row r="281">
      <c r="A281" s="21"/>
    </row>
    <row r="282">
      <c r="A282" s="21"/>
    </row>
    <row r="283">
      <c r="A283" s="21"/>
    </row>
    <row r="284">
      <c r="A284" s="21"/>
    </row>
    <row r="285">
      <c r="A285" s="21"/>
    </row>
    <row r="286">
      <c r="A286" s="21"/>
    </row>
    <row r="287">
      <c r="A287" s="21"/>
    </row>
    <row r="288">
      <c r="A288" s="21"/>
    </row>
    <row r="289">
      <c r="A289" s="21"/>
    </row>
    <row r="290">
      <c r="A290" s="21"/>
    </row>
    <row r="291">
      <c r="A291" s="21"/>
    </row>
    <row r="292">
      <c r="A292" s="21"/>
    </row>
    <row r="293">
      <c r="A293" s="21"/>
    </row>
    <row r="294">
      <c r="A294" s="21"/>
    </row>
    <row r="295">
      <c r="A295" s="21"/>
    </row>
    <row r="296">
      <c r="A296" s="21"/>
    </row>
    <row r="297">
      <c r="A297" s="21"/>
    </row>
    <row r="298">
      <c r="A298" s="21"/>
    </row>
    <row r="299">
      <c r="A299" s="21"/>
    </row>
    <row r="300">
      <c r="A300" s="21"/>
    </row>
    <row r="301">
      <c r="A301" s="21"/>
    </row>
    <row r="302">
      <c r="A302" s="21"/>
    </row>
    <row r="303">
      <c r="A303" s="21"/>
    </row>
    <row r="304">
      <c r="A304" s="21"/>
    </row>
    <row r="305">
      <c r="A305" s="21"/>
    </row>
    <row r="306">
      <c r="A306" s="21"/>
    </row>
    <row r="307">
      <c r="A307" s="21"/>
    </row>
    <row r="308">
      <c r="A308" s="21"/>
    </row>
    <row r="309">
      <c r="A309" s="21"/>
    </row>
    <row r="310">
      <c r="A310" s="21"/>
    </row>
    <row r="311">
      <c r="A311" s="21"/>
    </row>
    <row r="312">
      <c r="A312" s="21"/>
    </row>
    <row r="313">
      <c r="A313" s="21"/>
    </row>
    <row r="314">
      <c r="A314" s="21"/>
    </row>
    <row r="315">
      <c r="A315" s="21"/>
    </row>
    <row r="316">
      <c r="A316" s="21"/>
    </row>
    <row r="317">
      <c r="A317" s="21"/>
    </row>
    <row r="318">
      <c r="A318" s="21"/>
    </row>
    <row r="319">
      <c r="A319" s="21"/>
    </row>
    <row r="320">
      <c r="A320" s="21"/>
    </row>
    <row r="321">
      <c r="A321" s="21"/>
    </row>
    <row r="322">
      <c r="A322" s="21"/>
    </row>
    <row r="323">
      <c r="A323" s="21"/>
    </row>
    <row r="324">
      <c r="A324" s="21"/>
    </row>
    <row r="325">
      <c r="A325" s="21"/>
    </row>
    <row r="326">
      <c r="A326" s="21"/>
    </row>
    <row r="327">
      <c r="A327" s="21"/>
    </row>
    <row r="328">
      <c r="A328" s="21"/>
    </row>
    <row r="329">
      <c r="A329" s="21"/>
    </row>
    <row r="330">
      <c r="A330" s="21"/>
    </row>
    <row r="331">
      <c r="A331" s="21"/>
    </row>
    <row r="332">
      <c r="A332" s="21"/>
    </row>
    <row r="333">
      <c r="A333" s="21"/>
    </row>
    <row r="334">
      <c r="A334" s="21"/>
    </row>
    <row r="335">
      <c r="A335" s="21"/>
    </row>
    <row r="336">
      <c r="A336" s="21"/>
    </row>
    <row r="337">
      <c r="A337" s="21"/>
    </row>
    <row r="338">
      <c r="A338" s="21"/>
    </row>
    <row r="339">
      <c r="A339" s="21"/>
    </row>
    <row r="340">
      <c r="A340" s="21"/>
    </row>
    <row r="341">
      <c r="A341" s="21"/>
    </row>
    <row r="342">
      <c r="A342" s="21"/>
    </row>
    <row r="343">
      <c r="A343" s="21"/>
    </row>
    <row r="344">
      <c r="A344" s="21"/>
    </row>
    <row r="345">
      <c r="A345" s="21"/>
    </row>
    <row r="346">
      <c r="A346" s="21"/>
    </row>
    <row r="347">
      <c r="A347" s="21"/>
    </row>
    <row r="348">
      <c r="A348" s="21"/>
    </row>
    <row r="349">
      <c r="A349" s="21"/>
    </row>
    <row r="350">
      <c r="A350" s="21"/>
    </row>
    <row r="351">
      <c r="A351" s="21"/>
    </row>
    <row r="352">
      <c r="A352" s="21"/>
    </row>
    <row r="353">
      <c r="A353" s="21"/>
    </row>
    <row r="354">
      <c r="A354" s="21"/>
    </row>
    <row r="355">
      <c r="A355" s="21"/>
    </row>
    <row r="356">
      <c r="A356" s="21"/>
    </row>
    <row r="357">
      <c r="A357" s="21"/>
    </row>
    <row r="358">
      <c r="A358" s="21"/>
    </row>
    <row r="359">
      <c r="A359" s="21"/>
    </row>
    <row r="360">
      <c r="A360" s="21"/>
    </row>
    <row r="361">
      <c r="A361" s="21"/>
    </row>
    <row r="362">
      <c r="A362" s="21"/>
    </row>
    <row r="363">
      <c r="A363" s="21"/>
    </row>
    <row r="364">
      <c r="A364" s="21"/>
    </row>
    <row r="365">
      <c r="A365" s="21"/>
    </row>
    <row r="366">
      <c r="A366" s="21"/>
    </row>
    <row r="367">
      <c r="A367" s="21"/>
    </row>
    <row r="368">
      <c r="A368" s="21"/>
    </row>
    <row r="369">
      <c r="A369" s="21"/>
    </row>
    <row r="370">
      <c r="A370" s="21"/>
    </row>
    <row r="371">
      <c r="A371" s="21"/>
    </row>
    <row r="372">
      <c r="A372" s="21"/>
    </row>
    <row r="373">
      <c r="A373" s="21"/>
    </row>
    <row r="374">
      <c r="A374" s="21"/>
    </row>
    <row r="375">
      <c r="A375" s="21"/>
    </row>
    <row r="376">
      <c r="A376" s="21"/>
    </row>
    <row r="377">
      <c r="A377" s="21"/>
    </row>
    <row r="378">
      <c r="A378" s="21"/>
    </row>
    <row r="379">
      <c r="A379" s="21"/>
    </row>
    <row r="380">
      <c r="A380" s="21"/>
    </row>
    <row r="381">
      <c r="A381" s="21"/>
    </row>
    <row r="382">
      <c r="A382" s="21"/>
    </row>
    <row r="383">
      <c r="A383" s="21"/>
    </row>
    <row r="384">
      <c r="A384" s="21"/>
    </row>
    <row r="385">
      <c r="A385" s="21"/>
    </row>
    <row r="386">
      <c r="A386" s="21"/>
    </row>
    <row r="387">
      <c r="A387" s="21"/>
    </row>
    <row r="388">
      <c r="A388" s="21"/>
    </row>
    <row r="389">
      <c r="A389" s="21"/>
    </row>
    <row r="390">
      <c r="A390" s="21"/>
    </row>
    <row r="391">
      <c r="A391" s="21"/>
    </row>
    <row r="392">
      <c r="A392" s="21"/>
    </row>
    <row r="393">
      <c r="A393" s="21"/>
    </row>
    <row r="394">
      <c r="A394" s="21"/>
    </row>
    <row r="395">
      <c r="A395" s="21"/>
    </row>
    <row r="396">
      <c r="A396" s="21"/>
    </row>
    <row r="397">
      <c r="A397" s="21"/>
    </row>
    <row r="398">
      <c r="A398" s="21"/>
    </row>
    <row r="399">
      <c r="A399" s="21"/>
    </row>
    <row r="400">
      <c r="A400" s="21"/>
    </row>
    <row r="401">
      <c r="A401" s="21"/>
    </row>
    <row r="402">
      <c r="A402" s="21"/>
    </row>
    <row r="403">
      <c r="A403" s="21"/>
    </row>
    <row r="404">
      <c r="A404" s="21"/>
    </row>
    <row r="405">
      <c r="A405" s="21"/>
    </row>
    <row r="406">
      <c r="A406" s="21"/>
    </row>
    <row r="407">
      <c r="A407" s="21"/>
    </row>
    <row r="408">
      <c r="A408" s="21"/>
    </row>
    <row r="409">
      <c r="A409" s="21"/>
    </row>
    <row r="410">
      <c r="A410" s="21"/>
    </row>
    <row r="411">
      <c r="A411" s="21"/>
    </row>
    <row r="412">
      <c r="A412" s="21"/>
    </row>
    <row r="413">
      <c r="A413" s="21"/>
    </row>
    <row r="414">
      <c r="A414" s="21"/>
    </row>
    <row r="415">
      <c r="A415" s="21"/>
    </row>
    <row r="416">
      <c r="A416" s="21"/>
    </row>
    <row r="417">
      <c r="A417" s="21"/>
    </row>
    <row r="418">
      <c r="A418" s="21"/>
    </row>
    <row r="419">
      <c r="A419" s="21"/>
    </row>
    <row r="420">
      <c r="A420" s="21"/>
    </row>
    <row r="421">
      <c r="A421" s="21"/>
    </row>
    <row r="422">
      <c r="A422" s="21"/>
    </row>
    <row r="423">
      <c r="A423" s="21"/>
    </row>
    <row r="424">
      <c r="A424" s="21"/>
    </row>
    <row r="425">
      <c r="A425" s="21"/>
    </row>
    <row r="426">
      <c r="A426" s="21"/>
    </row>
    <row r="427">
      <c r="A427" s="21"/>
    </row>
    <row r="428">
      <c r="A428" s="21"/>
    </row>
    <row r="429">
      <c r="A429" s="21"/>
    </row>
    <row r="430">
      <c r="A430" s="21"/>
    </row>
    <row r="431">
      <c r="A431" s="21"/>
    </row>
    <row r="432">
      <c r="A432" s="21"/>
    </row>
    <row r="433">
      <c r="A433" s="21"/>
    </row>
    <row r="434">
      <c r="A434" s="21"/>
    </row>
    <row r="435">
      <c r="A435" s="21"/>
    </row>
    <row r="436">
      <c r="A436" s="21"/>
    </row>
    <row r="437">
      <c r="A437" s="21"/>
    </row>
    <row r="438">
      <c r="A438" s="21"/>
    </row>
    <row r="439">
      <c r="A439" s="21"/>
    </row>
    <row r="440">
      <c r="A440" s="21"/>
    </row>
    <row r="441">
      <c r="A441" s="21"/>
    </row>
    <row r="442">
      <c r="A442" s="21"/>
    </row>
    <row r="443">
      <c r="A443" s="21"/>
    </row>
    <row r="444">
      <c r="A444" s="21"/>
    </row>
    <row r="445">
      <c r="A445" s="21"/>
    </row>
    <row r="446">
      <c r="A446" s="21"/>
    </row>
    <row r="447">
      <c r="A447" s="21"/>
    </row>
    <row r="448">
      <c r="A448" s="21"/>
    </row>
    <row r="449">
      <c r="A449" s="21"/>
    </row>
    <row r="450">
      <c r="A450" s="21"/>
    </row>
    <row r="451">
      <c r="A451" s="21"/>
    </row>
    <row r="452">
      <c r="A452" s="21"/>
    </row>
    <row r="453">
      <c r="A453" s="21"/>
    </row>
    <row r="454">
      <c r="A454" s="21"/>
    </row>
    <row r="455">
      <c r="A455" s="21"/>
    </row>
    <row r="456">
      <c r="A456" s="21"/>
    </row>
    <row r="457">
      <c r="A457" s="21"/>
    </row>
    <row r="458">
      <c r="A458" s="21"/>
    </row>
    <row r="459">
      <c r="A459" s="21"/>
    </row>
    <row r="460">
      <c r="A460" s="21"/>
    </row>
    <row r="461">
      <c r="A461" s="21"/>
    </row>
    <row r="462">
      <c r="A462" s="21"/>
    </row>
    <row r="463">
      <c r="A463" s="21"/>
    </row>
    <row r="464">
      <c r="A464" s="21"/>
    </row>
    <row r="465">
      <c r="A465" s="21"/>
    </row>
    <row r="466">
      <c r="A466" s="21"/>
    </row>
    <row r="467">
      <c r="A467" s="21"/>
    </row>
    <row r="468">
      <c r="A468" s="21"/>
    </row>
    <row r="469">
      <c r="A469" s="21"/>
    </row>
    <row r="470">
      <c r="A470" s="21"/>
    </row>
    <row r="471">
      <c r="A471" s="21"/>
    </row>
    <row r="472">
      <c r="A472" s="21"/>
    </row>
    <row r="473">
      <c r="A473" s="21"/>
    </row>
    <row r="474">
      <c r="A474" s="21"/>
    </row>
    <row r="475">
      <c r="A475" s="21"/>
    </row>
    <row r="476">
      <c r="A476" s="21"/>
    </row>
    <row r="477">
      <c r="A477" s="21"/>
    </row>
    <row r="478">
      <c r="A478" s="21"/>
    </row>
    <row r="479">
      <c r="A479" s="21"/>
    </row>
    <row r="480">
      <c r="A480" s="21"/>
    </row>
    <row r="481">
      <c r="A481" s="21"/>
    </row>
    <row r="482">
      <c r="A482" s="21"/>
    </row>
    <row r="483">
      <c r="A483" s="21"/>
    </row>
    <row r="484">
      <c r="A484" s="21"/>
    </row>
    <row r="485">
      <c r="A485" s="21"/>
    </row>
    <row r="486">
      <c r="A486" s="21"/>
    </row>
    <row r="487">
      <c r="A487" s="21"/>
    </row>
    <row r="488">
      <c r="A488" s="21"/>
    </row>
    <row r="489">
      <c r="A489" s="21"/>
    </row>
    <row r="490">
      <c r="A490" s="21"/>
    </row>
    <row r="491">
      <c r="A491" s="21"/>
    </row>
    <row r="492">
      <c r="A492" s="21"/>
    </row>
    <row r="493">
      <c r="A493" s="21"/>
    </row>
    <row r="494">
      <c r="A494" s="21"/>
    </row>
    <row r="495">
      <c r="A495" s="21"/>
    </row>
    <row r="496">
      <c r="A496" s="21"/>
    </row>
    <row r="497">
      <c r="A497" s="21"/>
    </row>
    <row r="498">
      <c r="A498" s="21"/>
    </row>
    <row r="499">
      <c r="A499" s="21"/>
    </row>
    <row r="500">
      <c r="A500" s="21"/>
    </row>
    <row r="501">
      <c r="A501" s="21"/>
    </row>
    <row r="502">
      <c r="A502" s="21"/>
    </row>
    <row r="503">
      <c r="A503" s="21"/>
    </row>
    <row r="504">
      <c r="A504" s="21"/>
    </row>
    <row r="505">
      <c r="A505" s="21"/>
    </row>
    <row r="506">
      <c r="A506" s="21"/>
    </row>
    <row r="507">
      <c r="A507" s="21"/>
    </row>
    <row r="508">
      <c r="A508" s="21"/>
    </row>
    <row r="509">
      <c r="A509" s="21"/>
    </row>
    <row r="510">
      <c r="A510" s="21"/>
    </row>
    <row r="511">
      <c r="A511" s="21"/>
    </row>
    <row r="512">
      <c r="A512" s="21"/>
    </row>
    <row r="513">
      <c r="A513" s="21"/>
    </row>
    <row r="514">
      <c r="A514" s="21"/>
    </row>
    <row r="515">
      <c r="A515" s="21"/>
    </row>
    <row r="516">
      <c r="A516" s="21"/>
    </row>
    <row r="517">
      <c r="A517" s="21"/>
    </row>
    <row r="518">
      <c r="A518" s="21"/>
    </row>
    <row r="519">
      <c r="A519" s="21"/>
    </row>
    <row r="520">
      <c r="A520" s="21"/>
    </row>
    <row r="521">
      <c r="A521" s="21"/>
    </row>
    <row r="522">
      <c r="A522" s="21"/>
    </row>
    <row r="523">
      <c r="A523" s="21"/>
    </row>
    <row r="524">
      <c r="A524" s="21"/>
    </row>
    <row r="525">
      <c r="A525" s="21"/>
    </row>
    <row r="526">
      <c r="A526" s="21"/>
    </row>
    <row r="527">
      <c r="A527" s="21"/>
    </row>
    <row r="528">
      <c r="A528" s="21"/>
    </row>
    <row r="529">
      <c r="A529" s="21"/>
    </row>
    <row r="530">
      <c r="A530" s="21"/>
    </row>
    <row r="531">
      <c r="A531" s="21"/>
    </row>
    <row r="532">
      <c r="A532" s="21"/>
    </row>
    <row r="533">
      <c r="A533" s="21"/>
    </row>
    <row r="534">
      <c r="A534" s="21"/>
    </row>
    <row r="535">
      <c r="A535" s="21"/>
    </row>
    <row r="536">
      <c r="A536" s="21"/>
    </row>
    <row r="537">
      <c r="A537" s="21"/>
    </row>
    <row r="538">
      <c r="A538" s="21"/>
    </row>
    <row r="539">
      <c r="A539" s="21"/>
    </row>
    <row r="540">
      <c r="A540" s="21"/>
    </row>
    <row r="541">
      <c r="A541" s="21"/>
    </row>
    <row r="542">
      <c r="A542" s="21"/>
    </row>
    <row r="543">
      <c r="A543" s="21"/>
    </row>
    <row r="544">
      <c r="A544" s="21"/>
    </row>
    <row r="545">
      <c r="A545" s="21"/>
    </row>
    <row r="546">
      <c r="A546" s="21"/>
    </row>
    <row r="547">
      <c r="A547" s="21"/>
    </row>
    <row r="548">
      <c r="A548" s="21"/>
    </row>
    <row r="549">
      <c r="A549" s="21"/>
    </row>
    <row r="550">
      <c r="A550" s="21"/>
    </row>
    <row r="551">
      <c r="A551" s="21"/>
    </row>
    <row r="552">
      <c r="A552" s="21"/>
    </row>
    <row r="553">
      <c r="A553" s="21"/>
    </row>
    <row r="554">
      <c r="A554" s="21"/>
    </row>
    <row r="555">
      <c r="A555" s="21"/>
    </row>
    <row r="556">
      <c r="A556" s="21"/>
    </row>
    <row r="557">
      <c r="A557" s="21"/>
    </row>
    <row r="558">
      <c r="A558" s="21"/>
    </row>
    <row r="559">
      <c r="A559" s="21"/>
    </row>
    <row r="560">
      <c r="A560" s="21"/>
    </row>
    <row r="561">
      <c r="A561" s="21"/>
    </row>
    <row r="562">
      <c r="A562" s="21"/>
    </row>
    <row r="563">
      <c r="A563" s="21"/>
    </row>
    <row r="564">
      <c r="A564" s="21"/>
    </row>
    <row r="565">
      <c r="A565" s="21"/>
    </row>
    <row r="566">
      <c r="A566" s="21"/>
    </row>
    <row r="567">
      <c r="A567" s="21"/>
    </row>
    <row r="568">
      <c r="A568" s="21"/>
    </row>
    <row r="569">
      <c r="A569" s="21"/>
    </row>
    <row r="570">
      <c r="A570" s="21"/>
    </row>
    <row r="571">
      <c r="A571" s="21"/>
    </row>
    <row r="572">
      <c r="A572" s="21"/>
    </row>
    <row r="573">
      <c r="A573" s="21"/>
    </row>
    <row r="574">
      <c r="A574" s="21"/>
    </row>
    <row r="575">
      <c r="A575" s="21"/>
    </row>
    <row r="576">
      <c r="A576" s="21"/>
    </row>
    <row r="577">
      <c r="A577" s="21"/>
    </row>
    <row r="578">
      <c r="A578" s="21"/>
    </row>
    <row r="579">
      <c r="A579" s="21"/>
    </row>
    <row r="580">
      <c r="A580" s="21"/>
    </row>
    <row r="581">
      <c r="A581" s="21"/>
    </row>
    <row r="582">
      <c r="A582" s="21"/>
    </row>
    <row r="583">
      <c r="A583" s="21"/>
    </row>
    <row r="584">
      <c r="A584" s="21"/>
    </row>
    <row r="585">
      <c r="A585" s="21"/>
    </row>
    <row r="586">
      <c r="A586" s="21"/>
    </row>
    <row r="587">
      <c r="A587" s="21"/>
    </row>
    <row r="588">
      <c r="A588" s="21"/>
    </row>
    <row r="589">
      <c r="A589" s="21"/>
    </row>
    <row r="590">
      <c r="A590" s="21"/>
    </row>
    <row r="591">
      <c r="A591" s="21"/>
    </row>
    <row r="592">
      <c r="A592" s="21"/>
    </row>
    <row r="593">
      <c r="A593" s="21"/>
    </row>
    <row r="594">
      <c r="A594" s="21"/>
    </row>
    <row r="595">
      <c r="A595" s="21"/>
    </row>
    <row r="596">
      <c r="A596" s="21"/>
    </row>
    <row r="597">
      <c r="A597" s="21"/>
    </row>
    <row r="598">
      <c r="A598" s="21"/>
    </row>
    <row r="599">
      <c r="A599" s="21"/>
    </row>
    <row r="600">
      <c r="A600" s="21"/>
    </row>
    <row r="601">
      <c r="A601" s="21"/>
    </row>
    <row r="602">
      <c r="A602" s="21"/>
    </row>
    <row r="603">
      <c r="A603" s="21"/>
    </row>
    <row r="604">
      <c r="A604" s="21"/>
    </row>
    <row r="605">
      <c r="A605" s="21"/>
    </row>
    <row r="606">
      <c r="A606" s="21"/>
    </row>
    <row r="607">
      <c r="A607" s="21"/>
    </row>
    <row r="608">
      <c r="A608" s="21"/>
    </row>
    <row r="609">
      <c r="A609" s="21"/>
    </row>
    <row r="610">
      <c r="A610" s="21"/>
    </row>
    <row r="611">
      <c r="A611" s="21"/>
    </row>
    <row r="612">
      <c r="A612" s="21"/>
    </row>
    <row r="613">
      <c r="A613" s="21"/>
    </row>
    <row r="614">
      <c r="A614" s="21"/>
    </row>
    <row r="615">
      <c r="A615" s="21"/>
    </row>
    <row r="616">
      <c r="A616" s="21"/>
    </row>
    <row r="617">
      <c r="A617" s="21"/>
    </row>
    <row r="618">
      <c r="A618" s="21"/>
    </row>
    <row r="619">
      <c r="A619" s="21"/>
    </row>
    <row r="620">
      <c r="A620" s="21"/>
    </row>
    <row r="621">
      <c r="A621" s="21"/>
    </row>
    <row r="622">
      <c r="A622" s="21"/>
    </row>
    <row r="623">
      <c r="A623" s="21"/>
    </row>
    <row r="624">
      <c r="A624" s="21"/>
    </row>
    <row r="625">
      <c r="A625" s="21"/>
    </row>
    <row r="626">
      <c r="A626" s="21"/>
    </row>
    <row r="627">
      <c r="A627" s="21"/>
    </row>
    <row r="628">
      <c r="A628" s="21"/>
    </row>
    <row r="629">
      <c r="A629" s="21"/>
    </row>
    <row r="630">
      <c r="A630" s="21"/>
    </row>
    <row r="631">
      <c r="A631" s="21"/>
    </row>
    <row r="632">
      <c r="A632" s="21"/>
    </row>
    <row r="633">
      <c r="A633" s="21"/>
    </row>
    <row r="634">
      <c r="A634" s="21"/>
    </row>
    <row r="635">
      <c r="A635" s="21"/>
    </row>
    <row r="636">
      <c r="A636" s="21"/>
    </row>
    <row r="637">
      <c r="A637" s="21"/>
    </row>
    <row r="638">
      <c r="A638" s="21"/>
    </row>
    <row r="639">
      <c r="A639" s="21"/>
    </row>
    <row r="640">
      <c r="A640" s="21"/>
    </row>
    <row r="641">
      <c r="A641" s="21"/>
    </row>
    <row r="642">
      <c r="A642" s="21"/>
    </row>
    <row r="643">
      <c r="A643" s="21"/>
    </row>
    <row r="644">
      <c r="A644" s="21"/>
    </row>
    <row r="645">
      <c r="A645" s="21"/>
    </row>
    <row r="646">
      <c r="A646" s="21"/>
    </row>
    <row r="647">
      <c r="A647" s="21"/>
    </row>
    <row r="648">
      <c r="A648" s="21"/>
    </row>
    <row r="649">
      <c r="A649" s="21"/>
    </row>
    <row r="650">
      <c r="A650" s="21"/>
    </row>
    <row r="651">
      <c r="A651" s="21"/>
    </row>
    <row r="652">
      <c r="A652" s="21"/>
    </row>
    <row r="653">
      <c r="A653" s="21"/>
    </row>
    <row r="654">
      <c r="A654" s="21"/>
    </row>
    <row r="655">
      <c r="A655" s="21"/>
    </row>
    <row r="656">
      <c r="A656" s="21"/>
    </row>
    <row r="657">
      <c r="A657" s="21"/>
    </row>
    <row r="658">
      <c r="A658" s="21"/>
    </row>
    <row r="659">
      <c r="A659" s="21"/>
    </row>
    <row r="660">
      <c r="A660" s="21"/>
    </row>
    <row r="661">
      <c r="A661" s="21"/>
    </row>
    <row r="662">
      <c r="A662" s="21"/>
    </row>
    <row r="663">
      <c r="A663" s="21"/>
    </row>
    <row r="664">
      <c r="A664" s="21"/>
    </row>
    <row r="665">
      <c r="A665" s="21"/>
    </row>
    <row r="666">
      <c r="A666" s="21"/>
    </row>
    <row r="667">
      <c r="A667" s="21"/>
    </row>
    <row r="668">
      <c r="A668" s="21"/>
    </row>
    <row r="669">
      <c r="A669" s="21"/>
    </row>
    <row r="670">
      <c r="A670" s="21"/>
    </row>
    <row r="671">
      <c r="A671" s="21"/>
    </row>
    <row r="672">
      <c r="A672" s="21"/>
    </row>
    <row r="673">
      <c r="A673" s="21"/>
    </row>
    <row r="674">
      <c r="A674" s="21"/>
    </row>
    <row r="675">
      <c r="A675" s="21"/>
    </row>
    <row r="676">
      <c r="A676" s="21"/>
    </row>
    <row r="677">
      <c r="A677" s="21"/>
    </row>
    <row r="678">
      <c r="A678" s="21"/>
    </row>
    <row r="679">
      <c r="A679" s="21"/>
    </row>
    <row r="680">
      <c r="A680" s="21"/>
    </row>
    <row r="681">
      <c r="A681" s="21"/>
    </row>
    <row r="682">
      <c r="A682" s="21"/>
    </row>
    <row r="683">
      <c r="A683" s="21"/>
    </row>
    <row r="684">
      <c r="A684" s="21"/>
    </row>
    <row r="685">
      <c r="A685" s="21"/>
    </row>
    <row r="686">
      <c r="A686" s="21"/>
    </row>
    <row r="687">
      <c r="A687" s="21"/>
    </row>
    <row r="688">
      <c r="A688" s="21"/>
    </row>
    <row r="689">
      <c r="A689" s="21"/>
    </row>
    <row r="690">
      <c r="A690" s="21"/>
    </row>
    <row r="691">
      <c r="A691" s="21"/>
    </row>
    <row r="692">
      <c r="A692" s="21"/>
    </row>
    <row r="693">
      <c r="A693" s="21"/>
    </row>
    <row r="694">
      <c r="A694" s="21"/>
    </row>
    <row r="695">
      <c r="A695" s="21"/>
    </row>
    <row r="696">
      <c r="A696" s="21"/>
    </row>
    <row r="697">
      <c r="A697" s="21"/>
    </row>
    <row r="698">
      <c r="A698" s="21"/>
    </row>
    <row r="699">
      <c r="A699" s="21"/>
    </row>
    <row r="700">
      <c r="A700" s="21"/>
    </row>
    <row r="701">
      <c r="A701" s="21"/>
    </row>
    <row r="702">
      <c r="A702" s="21"/>
    </row>
    <row r="703">
      <c r="A703" s="21"/>
    </row>
    <row r="704">
      <c r="A704" s="21"/>
    </row>
    <row r="705">
      <c r="A705" s="21"/>
    </row>
    <row r="706">
      <c r="A706" s="21"/>
    </row>
    <row r="707">
      <c r="A707" s="21"/>
    </row>
    <row r="708">
      <c r="A708" s="21"/>
    </row>
    <row r="709">
      <c r="A709" s="21"/>
    </row>
    <row r="710">
      <c r="A710" s="21"/>
    </row>
    <row r="711">
      <c r="A711" s="21"/>
    </row>
    <row r="712">
      <c r="A712" s="21"/>
    </row>
    <row r="713">
      <c r="A713" s="21"/>
    </row>
    <row r="714">
      <c r="A714" s="21"/>
    </row>
    <row r="715">
      <c r="A715" s="21"/>
    </row>
    <row r="716">
      <c r="A716" s="21"/>
    </row>
    <row r="717">
      <c r="A717" s="21"/>
    </row>
    <row r="718">
      <c r="A718" s="21"/>
    </row>
    <row r="719">
      <c r="A719" s="21"/>
    </row>
    <row r="720">
      <c r="A720" s="21"/>
    </row>
    <row r="721">
      <c r="A721" s="21"/>
    </row>
    <row r="722">
      <c r="A722" s="21"/>
    </row>
    <row r="723">
      <c r="A723" s="21"/>
    </row>
    <row r="724">
      <c r="A724" s="21"/>
    </row>
    <row r="725">
      <c r="A725" s="21"/>
    </row>
    <row r="726">
      <c r="A726" s="21"/>
    </row>
    <row r="727">
      <c r="A727" s="21"/>
    </row>
    <row r="728">
      <c r="A728" s="21"/>
    </row>
    <row r="729">
      <c r="A729" s="21"/>
    </row>
    <row r="730">
      <c r="A730" s="21"/>
    </row>
    <row r="731">
      <c r="A731" s="21"/>
    </row>
    <row r="732">
      <c r="A732" s="21"/>
    </row>
    <row r="733">
      <c r="A733" s="21"/>
    </row>
    <row r="734">
      <c r="A734" s="21"/>
    </row>
    <row r="735">
      <c r="A735" s="21"/>
    </row>
    <row r="736">
      <c r="A736" s="21"/>
    </row>
    <row r="737">
      <c r="A737" s="21"/>
    </row>
    <row r="738">
      <c r="A738" s="21"/>
    </row>
    <row r="739">
      <c r="A739" s="21"/>
    </row>
    <row r="740">
      <c r="A740" s="21"/>
    </row>
    <row r="741">
      <c r="A741" s="21"/>
    </row>
    <row r="742">
      <c r="A742" s="21"/>
    </row>
    <row r="743">
      <c r="A743" s="21"/>
    </row>
    <row r="744">
      <c r="A744" s="21"/>
    </row>
    <row r="745">
      <c r="A745" s="21"/>
    </row>
    <row r="746">
      <c r="A746" s="21"/>
    </row>
    <row r="747">
      <c r="A747" s="21"/>
    </row>
    <row r="748">
      <c r="A748" s="21"/>
    </row>
    <row r="749">
      <c r="A749" s="21"/>
    </row>
    <row r="750">
      <c r="A750" s="21"/>
    </row>
    <row r="751">
      <c r="A751" s="21"/>
    </row>
    <row r="752">
      <c r="A752" s="21"/>
    </row>
    <row r="753">
      <c r="A753" s="21"/>
    </row>
    <row r="754">
      <c r="A754" s="21"/>
    </row>
    <row r="755">
      <c r="A755" s="21"/>
    </row>
    <row r="756">
      <c r="A756" s="21"/>
    </row>
    <row r="757">
      <c r="A757" s="21"/>
    </row>
    <row r="758">
      <c r="A758" s="21"/>
    </row>
    <row r="759">
      <c r="A759" s="21"/>
    </row>
    <row r="760">
      <c r="A760" s="21"/>
    </row>
    <row r="761">
      <c r="A761" s="21"/>
    </row>
    <row r="762">
      <c r="A762" s="21"/>
    </row>
    <row r="763">
      <c r="A763" s="21"/>
    </row>
    <row r="764">
      <c r="A764" s="21"/>
    </row>
    <row r="765">
      <c r="A765" s="21"/>
    </row>
    <row r="766">
      <c r="A766" s="21"/>
    </row>
    <row r="767">
      <c r="A767" s="21"/>
    </row>
    <row r="768">
      <c r="A768" s="21"/>
    </row>
    <row r="769">
      <c r="A769" s="21"/>
    </row>
    <row r="770">
      <c r="A770" s="21"/>
    </row>
    <row r="771">
      <c r="A771" s="21"/>
    </row>
    <row r="772">
      <c r="A772" s="21"/>
    </row>
    <row r="773">
      <c r="A773" s="21"/>
    </row>
    <row r="774">
      <c r="A774" s="21"/>
    </row>
    <row r="775">
      <c r="A775" s="21"/>
    </row>
    <row r="776">
      <c r="A776" s="21"/>
    </row>
    <row r="777">
      <c r="A777" s="21"/>
    </row>
    <row r="778">
      <c r="A778" s="21"/>
    </row>
    <row r="779">
      <c r="A779" s="21"/>
    </row>
    <row r="780">
      <c r="A780" s="21"/>
    </row>
    <row r="781">
      <c r="A781" s="21"/>
    </row>
    <row r="782">
      <c r="A782" s="21"/>
    </row>
    <row r="783">
      <c r="A783" s="21"/>
    </row>
    <row r="784">
      <c r="A784" s="21"/>
    </row>
    <row r="785">
      <c r="A785" s="21"/>
    </row>
    <row r="786">
      <c r="A786" s="21"/>
    </row>
    <row r="787">
      <c r="A787" s="21"/>
    </row>
    <row r="788">
      <c r="A788" s="21"/>
    </row>
    <row r="789">
      <c r="A789" s="21"/>
    </row>
    <row r="790">
      <c r="A790" s="21"/>
    </row>
    <row r="791">
      <c r="A791" s="21"/>
    </row>
    <row r="792">
      <c r="A792" s="21"/>
    </row>
    <row r="793">
      <c r="A793" s="21"/>
    </row>
    <row r="794">
      <c r="A794" s="21"/>
    </row>
    <row r="795">
      <c r="A795" s="21"/>
    </row>
    <row r="796">
      <c r="A796" s="21"/>
    </row>
    <row r="797">
      <c r="A797" s="21"/>
    </row>
    <row r="798">
      <c r="A798" s="21"/>
    </row>
    <row r="799">
      <c r="A799" s="21"/>
    </row>
    <row r="800">
      <c r="A800" s="21"/>
    </row>
    <row r="801">
      <c r="A801" s="21"/>
    </row>
    <row r="802">
      <c r="A802" s="21"/>
    </row>
    <row r="803">
      <c r="A803" s="21"/>
    </row>
    <row r="804">
      <c r="A804" s="21"/>
    </row>
    <row r="805">
      <c r="A805" s="21"/>
    </row>
    <row r="806">
      <c r="A806" s="21"/>
    </row>
    <row r="807">
      <c r="A807" s="21"/>
    </row>
    <row r="808">
      <c r="A808" s="21"/>
    </row>
    <row r="809">
      <c r="A809" s="21"/>
    </row>
    <row r="810">
      <c r="A810" s="21"/>
    </row>
    <row r="811">
      <c r="A811" s="21"/>
    </row>
    <row r="812">
      <c r="A812" s="21"/>
    </row>
    <row r="813">
      <c r="A813" s="21"/>
    </row>
    <row r="814">
      <c r="A814" s="21"/>
    </row>
    <row r="815">
      <c r="A815" s="21"/>
    </row>
    <row r="816">
      <c r="A816" s="21"/>
    </row>
    <row r="817">
      <c r="A817" s="21"/>
    </row>
    <row r="818">
      <c r="A818" s="21"/>
    </row>
    <row r="819">
      <c r="A819" s="21"/>
    </row>
    <row r="820">
      <c r="A820" s="21"/>
    </row>
    <row r="821">
      <c r="A821" s="21"/>
    </row>
    <row r="822">
      <c r="A822" s="21"/>
    </row>
    <row r="823">
      <c r="A823" s="21"/>
    </row>
    <row r="824">
      <c r="A824" s="21"/>
    </row>
    <row r="825">
      <c r="A825" s="21"/>
    </row>
    <row r="826">
      <c r="A826" s="21"/>
    </row>
    <row r="827">
      <c r="A827" s="21"/>
    </row>
    <row r="828">
      <c r="A828" s="21"/>
    </row>
    <row r="829">
      <c r="A829" s="21"/>
    </row>
    <row r="830">
      <c r="A830" s="21"/>
    </row>
    <row r="831">
      <c r="A831" s="21"/>
    </row>
    <row r="832">
      <c r="A832" s="21"/>
    </row>
    <row r="833">
      <c r="A833" s="21"/>
    </row>
    <row r="834">
      <c r="A834" s="21"/>
    </row>
    <row r="835">
      <c r="A835" s="21"/>
    </row>
    <row r="836">
      <c r="A836" s="21"/>
    </row>
    <row r="837">
      <c r="A837" s="21"/>
    </row>
    <row r="838">
      <c r="A838" s="21"/>
    </row>
    <row r="839">
      <c r="A839" s="21"/>
    </row>
    <row r="840">
      <c r="A840" s="21"/>
    </row>
    <row r="841">
      <c r="A841" s="21"/>
    </row>
    <row r="842">
      <c r="A842" s="21"/>
    </row>
    <row r="843">
      <c r="A843" s="21"/>
    </row>
    <row r="844">
      <c r="A844" s="21"/>
    </row>
    <row r="845">
      <c r="A845" s="21"/>
    </row>
    <row r="846">
      <c r="A846" s="21"/>
    </row>
    <row r="847">
      <c r="A847" s="21"/>
    </row>
    <row r="848">
      <c r="A848" s="21"/>
    </row>
    <row r="849">
      <c r="A849" s="21"/>
    </row>
    <row r="850">
      <c r="A850" s="21"/>
    </row>
    <row r="851">
      <c r="A851" s="21"/>
    </row>
    <row r="852">
      <c r="A852" s="21"/>
    </row>
    <row r="853">
      <c r="A853" s="21"/>
    </row>
    <row r="854">
      <c r="A854" s="21"/>
    </row>
    <row r="855">
      <c r="A855" s="21"/>
    </row>
    <row r="856">
      <c r="A856" s="21"/>
    </row>
    <row r="857">
      <c r="A857" s="21"/>
    </row>
    <row r="858">
      <c r="A858" s="21"/>
    </row>
    <row r="859">
      <c r="A859" s="21"/>
    </row>
    <row r="860">
      <c r="A860" s="21"/>
    </row>
    <row r="861">
      <c r="A861" s="21"/>
    </row>
    <row r="862">
      <c r="A862" s="21"/>
    </row>
    <row r="863">
      <c r="A863" s="21"/>
    </row>
    <row r="864">
      <c r="A864" s="21"/>
    </row>
    <row r="865">
      <c r="A865" s="21"/>
    </row>
    <row r="866">
      <c r="A866" s="21"/>
    </row>
    <row r="867">
      <c r="A867" s="21"/>
    </row>
    <row r="868">
      <c r="A868" s="21"/>
    </row>
    <row r="869">
      <c r="A869" s="21"/>
    </row>
    <row r="870">
      <c r="A870" s="21"/>
    </row>
    <row r="871">
      <c r="A871" s="21"/>
    </row>
    <row r="872">
      <c r="A872" s="21"/>
    </row>
    <row r="873">
      <c r="A873" s="21"/>
    </row>
    <row r="874">
      <c r="A874" s="21"/>
    </row>
    <row r="875">
      <c r="A875" s="21"/>
    </row>
    <row r="876">
      <c r="A876" s="21"/>
    </row>
    <row r="877">
      <c r="A877" s="21"/>
    </row>
    <row r="878">
      <c r="A878" s="21"/>
    </row>
    <row r="879">
      <c r="A879" s="21"/>
    </row>
    <row r="880">
      <c r="A880" s="21"/>
    </row>
    <row r="881">
      <c r="A881" s="21"/>
    </row>
    <row r="882">
      <c r="A882" s="21"/>
    </row>
    <row r="883">
      <c r="A883" s="21"/>
    </row>
    <row r="884">
      <c r="A884" s="21"/>
    </row>
    <row r="885">
      <c r="A885" s="21"/>
    </row>
    <row r="886">
      <c r="A886" s="21"/>
    </row>
    <row r="887">
      <c r="A887" s="21"/>
    </row>
    <row r="888">
      <c r="A888" s="21"/>
    </row>
    <row r="889">
      <c r="A889" s="21"/>
    </row>
    <row r="890">
      <c r="A890" s="21"/>
    </row>
    <row r="891">
      <c r="A891" s="21"/>
    </row>
    <row r="892">
      <c r="A892" s="21"/>
    </row>
    <row r="893">
      <c r="A893" s="21"/>
    </row>
    <row r="894">
      <c r="A894" s="21"/>
    </row>
    <row r="895">
      <c r="A895" s="21"/>
    </row>
    <row r="896">
      <c r="A896" s="21"/>
    </row>
    <row r="897">
      <c r="A897" s="21"/>
    </row>
    <row r="898">
      <c r="A898" s="21"/>
    </row>
    <row r="899">
      <c r="A899" s="21"/>
    </row>
    <row r="900">
      <c r="A900" s="21"/>
    </row>
    <row r="901">
      <c r="A901" s="21"/>
    </row>
    <row r="902">
      <c r="A902" s="21"/>
    </row>
    <row r="903">
      <c r="A903" s="21"/>
    </row>
    <row r="904">
      <c r="A904" s="21"/>
    </row>
    <row r="905">
      <c r="A905" s="21"/>
    </row>
    <row r="906">
      <c r="A906" s="21"/>
    </row>
    <row r="907">
      <c r="A907" s="21"/>
    </row>
    <row r="908">
      <c r="A908" s="21"/>
    </row>
    <row r="909">
      <c r="A909" s="21"/>
    </row>
    <row r="910">
      <c r="A910" s="21"/>
    </row>
    <row r="911">
      <c r="A911" s="21"/>
    </row>
    <row r="912">
      <c r="A912" s="21"/>
    </row>
    <row r="913">
      <c r="A913" s="21"/>
    </row>
    <row r="914">
      <c r="A914" s="21"/>
    </row>
    <row r="915">
      <c r="A915" s="21"/>
    </row>
    <row r="916">
      <c r="A916" s="21"/>
    </row>
    <row r="917">
      <c r="A917" s="21"/>
    </row>
    <row r="918">
      <c r="A918" s="21"/>
    </row>
    <row r="919">
      <c r="A919" s="21"/>
    </row>
    <row r="920">
      <c r="A920" s="21"/>
    </row>
    <row r="921">
      <c r="A921" s="21"/>
    </row>
    <row r="922">
      <c r="A922" s="21"/>
    </row>
    <row r="923">
      <c r="A923" s="21"/>
    </row>
    <row r="924">
      <c r="A924" s="21"/>
    </row>
    <row r="925">
      <c r="A925" s="21"/>
    </row>
    <row r="926">
      <c r="A926" s="21"/>
    </row>
    <row r="927">
      <c r="A927" s="21"/>
    </row>
    <row r="928">
      <c r="A928" s="21"/>
    </row>
    <row r="929">
      <c r="A929" s="21"/>
    </row>
    <row r="930">
      <c r="A930" s="21"/>
    </row>
    <row r="931">
      <c r="A931" s="21"/>
    </row>
    <row r="932">
      <c r="A932" s="21"/>
    </row>
    <row r="933">
      <c r="A933" s="21"/>
    </row>
    <row r="934">
      <c r="A934" s="21"/>
    </row>
    <row r="935">
      <c r="A935" s="21"/>
    </row>
    <row r="936">
      <c r="A936" s="21"/>
    </row>
    <row r="937">
      <c r="A937" s="21"/>
    </row>
    <row r="938">
      <c r="A938" s="21"/>
    </row>
    <row r="939">
      <c r="A939" s="21"/>
    </row>
    <row r="940">
      <c r="A940" s="21"/>
    </row>
    <row r="941">
      <c r="A941" s="21"/>
    </row>
    <row r="942">
      <c r="A942" s="21"/>
    </row>
    <row r="943">
      <c r="A943" s="21"/>
    </row>
    <row r="944">
      <c r="A944" s="21"/>
    </row>
    <row r="945">
      <c r="A945" s="21"/>
    </row>
    <row r="946">
      <c r="A946" s="21"/>
    </row>
    <row r="947">
      <c r="A947" s="21"/>
    </row>
    <row r="948">
      <c r="A948" s="21"/>
    </row>
    <row r="949">
      <c r="A949" s="21"/>
    </row>
    <row r="950">
      <c r="A950" s="21"/>
    </row>
    <row r="951">
      <c r="A951" s="21"/>
    </row>
    <row r="952">
      <c r="A952" s="21"/>
    </row>
    <row r="953">
      <c r="A953" s="21"/>
    </row>
    <row r="954">
      <c r="A954" s="21"/>
    </row>
    <row r="955">
      <c r="A955" s="21"/>
    </row>
    <row r="956">
      <c r="A956" s="21"/>
    </row>
    <row r="957">
      <c r="A957" s="21"/>
    </row>
    <row r="958">
      <c r="A958" s="21"/>
    </row>
    <row r="959">
      <c r="A959" s="21"/>
    </row>
    <row r="960">
      <c r="A960" s="21"/>
    </row>
    <row r="961">
      <c r="A961" s="21"/>
    </row>
    <row r="962">
      <c r="A962" s="21"/>
    </row>
    <row r="963">
      <c r="A963" s="21"/>
    </row>
    <row r="964">
      <c r="A964" s="21"/>
    </row>
    <row r="965">
      <c r="A965" s="21"/>
    </row>
    <row r="966">
      <c r="A966" s="21"/>
    </row>
    <row r="967">
      <c r="A967" s="21"/>
    </row>
    <row r="968">
      <c r="A968" s="21"/>
    </row>
    <row r="969">
      <c r="A969" s="21"/>
    </row>
    <row r="970">
      <c r="A970" s="21"/>
    </row>
    <row r="971">
      <c r="A971" s="21"/>
    </row>
    <row r="972">
      <c r="A972" s="21"/>
    </row>
    <row r="973">
      <c r="A973" s="21"/>
    </row>
    <row r="974">
      <c r="A974" s="21"/>
    </row>
    <row r="975">
      <c r="A975" s="21"/>
    </row>
    <row r="976">
      <c r="A976" s="21"/>
    </row>
    <row r="977">
      <c r="A977" s="21"/>
    </row>
    <row r="978">
      <c r="A978" s="21"/>
    </row>
    <row r="979">
      <c r="A979" s="21"/>
    </row>
    <row r="980">
      <c r="A980" s="21"/>
    </row>
    <row r="981">
      <c r="A981" s="21"/>
    </row>
    <row r="982">
      <c r="A982" s="21"/>
    </row>
    <row r="983">
      <c r="A983" s="21"/>
    </row>
    <row r="984">
      <c r="A984" s="21"/>
    </row>
    <row r="985">
      <c r="A985" s="21"/>
    </row>
    <row r="986">
      <c r="A986" s="21"/>
    </row>
    <row r="987">
      <c r="A987" s="21"/>
    </row>
    <row r="988">
      <c r="A988" s="21"/>
    </row>
    <row r="989">
      <c r="A989" s="21"/>
    </row>
    <row r="990">
      <c r="A990" s="21"/>
    </row>
    <row r="991">
      <c r="A991" s="21"/>
    </row>
    <row r="992">
      <c r="A992" s="21"/>
    </row>
    <row r="993">
      <c r="A993" s="21"/>
    </row>
    <row r="994">
      <c r="A994" s="21"/>
    </row>
    <row r="995">
      <c r="A995" s="21"/>
    </row>
    <row r="996">
      <c r="A996" s="21"/>
    </row>
    <row r="997">
      <c r="A997" s="21"/>
    </row>
    <row r="998">
      <c r="A998" s="21"/>
    </row>
    <row r="999">
      <c r="A999" s="21"/>
    </row>
    <row r="1000">
      <c r="A1000" s="21"/>
    </row>
    <row r="1001">
      <c r="A1001" s="21"/>
    </row>
    <row r="1002">
      <c r="A1002" s="21"/>
    </row>
    <row r="1003">
      <c r="A1003" s="21"/>
    </row>
    <row r="1004">
      <c r="A1004" s="21"/>
    </row>
    <row r="1005">
      <c r="A1005" s="21"/>
    </row>
    <row r="1006">
      <c r="A1006" s="21"/>
    </row>
    <row r="1007">
      <c r="A1007" s="21"/>
    </row>
    <row r="1008">
      <c r="A1008" s="21"/>
    </row>
    <row r="1009">
      <c r="A1009" s="21"/>
    </row>
    <row r="1010">
      <c r="A1010" s="21"/>
    </row>
    <row r="1011">
      <c r="A1011" s="21"/>
    </row>
    <row r="1012">
      <c r="A1012" s="21"/>
    </row>
    <row r="1013">
      <c r="A1013" s="21"/>
    </row>
    <row r="1014">
      <c r="A1014" s="21"/>
    </row>
    <row r="1015">
      <c r="A1015" s="21"/>
    </row>
    <row r="1016">
      <c r="A1016" s="21"/>
    </row>
    <row r="1017">
      <c r="A1017" s="21"/>
    </row>
    <row r="1018">
      <c r="A1018" s="21"/>
    </row>
    <row r="1019">
      <c r="A1019" s="21"/>
    </row>
    <row r="1020">
      <c r="A1020" s="21"/>
    </row>
    <row r="1021">
      <c r="A1021" s="21"/>
    </row>
    <row r="1022">
      <c r="A1022" s="21"/>
    </row>
    <row r="1023">
      <c r="A1023" s="21"/>
    </row>
    <row r="1024">
      <c r="A1024" s="21"/>
    </row>
    <row r="1025">
      <c r="A1025" s="21"/>
    </row>
    <row r="1026">
      <c r="A1026" s="21"/>
    </row>
    <row r="1027">
      <c r="A1027" s="21"/>
    </row>
    <row r="1028">
      <c r="A1028" s="21"/>
    </row>
    <row r="1029">
      <c r="A1029" s="21"/>
    </row>
    <row r="1030">
      <c r="A1030" s="21"/>
    </row>
    <row r="1031">
      <c r="A1031" s="21"/>
    </row>
    <row r="1032">
      <c r="A1032" s="21"/>
    </row>
    <row r="1033">
      <c r="A1033" s="21"/>
    </row>
    <row r="1034">
      <c r="A1034" s="21"/>
    </row>
    <row r="1035">
      <c r="A1035" s="21"/>
    </row>
    <row r="1036">
      <c r="A1036" s="21"/>
    </row>
    <row r="1037">
      <c r="A1037" s="21"/>
    </row>
    <row r="1038">
      <c r="A1038" s="21"/>
    </row>
    <row r="1039">
      <c r="A1039" s="21"/>
    </row>
    <row r="1040">
      <c r="A1040" s="21"/>
    </row>
    <row r="1041">
      <c r="A1041" s="21"/>
    </row>
    <row r="1042">
      <c r="A1042" s="21"/>
    </row>
    <row r="1043">
      <c r="A1043" s="21"/>
    </row>
    <row r="1044">
      <c r="A1044" s="21"/>
    </row>
    <row r="1045">
      <c r="A1045" s="21"/>
    </row>
    <row r="1046">
      <c r="A1046" s="21"/>
    </row>
    <row r="1047">
      <c r="A1047" s="21"/>
    </row>
    <row r="1048">
      <c r="A1048" s="21"/>
    </row>
    <row r="1049">
      <c r="A1049" s="21"/>
    </row>
    <row r="1050">
      <c r="A1050" s="21"/>
    </row>
    <row r="1051">
      <c r="A1051" s="21"/>
    </row>
    <row r="1052">
      <c r="A1052" s="21"/>
    </row>
    <row r="1053">
      <c r="A1053" s="21"/>
    </row>
    <row r="1054">
      <c r="A1054" s="21"/>
    </row>
    <row r="1055">
      <c r="A1055" s="21"/>
    </row>
    <row r="1056">
      <c r="A1056" s="21"/>
    </row>
    <row r="1057">
      <c r="A1057" s="21"/>
    </row>
    <row r="1058">
      <c r="A1058" s="21"/>
    </row>
    <row r="1059">
      <c r="A1059" s="21"/>
    </row>
    <row r="1060">
      <c r="A1060" s="21"/>
    </row>
    <row r="1061">
      <c r="A1061" s="21"/>
    </row>
    <row r="1062">
      <c r="A1062" s="21"/>
    </row>
    <row r="1063">
      <c r="A1063" s="21"/>
    </row>
    <row r="1064">
      <c r="A1064" s="21"/>
    </row>
    <row r="1065">
      <c r="A1065" s="21"/>
    </row>
    <row r="1066">
      <c r="A1066" s="21"/>
    </row>
    <row r="1067">
      <c r="A1067" s="21"/>
    </row>
    <row r="1068">
      <c r="A1068" s="21"/>
    </row>
    <row r="1069">
      <c r="A1069" s="21"/>
    </row>
    <row r="1070">
      <c r="A1070" s="21"/>
    </row>
    <row r="1071">
      <c r="A1071" s="21"/>
    </row>
    <row r="1072">
      <c r="A1072" s="21"/>
    </row>
    <row r="1073">
      <c r="A1073" s="21"/>
    </row>
    <row r="1074">
      <c r="A1074" s="21"/>
    </row>
    <row r="1075">
      <c r="A1075" s="21"/>
    </row>
    <row r="1076">
      <c r="A1076" s="21"/>
    </row>
    <row r="1077">
      <c r="A1077" s="21"/>
    </row>
    <row r="1078">
      <c r="A1078" s="21"/>
    </row>
    <row r="1079">
      <c r="A1079" s="21"/>
    </row>
    <row r="1080">
      <c r="A1080" s="21"/>
    </row>
    <row r="1081">
      <c r="A1081" s="21"/>
    </row>
    <row r="1082">
      <c r="A1082" s="21"/>
    </row>
    <row r="1083">
      <c r="A1083" s="21"/>
    </row>
    <row r="1084">
      <c r="A1084" s="21"/>
    </row>
    <row r="1085">
      <c r="A1085" s="21"/>
    </row>
    <row r="1086">
      <c r="A1086" s="21"/>
    </row>
    <row r="1087">
      <c r="A1087" s="21"/>
    </row>
    <row r="1088">
      <c r="A1088" s="21"/>
    </row>
    <row r="1089">
      <c r="A1089" s="21"/>
    </row>
    <row r="1090">
      <c r="A1090" s="21"/>
    </row>
    <row r="1091">
      <c r="A1091" s="21"/>
    </row>
    <row r="1092">
      <c r="A1092" s="21"/>
    </row>
    <row r="1093">
      <c r="A1093" s="21"/>
    </row>
    <row r="1094">
      <c r="A1094" s="21"/>
    </row>
    <row r="1095">
      <c r="A1095" s="21"/>
    </row>
    <row r="1096">
      <c r="A1096" s="21"/>
    </row>
    <row r="1097">
      <c r="A1097" s="21"/>
    </row>
    <row r="1098">
      <c r="A1098" s="21"/>
    </row>
    <row r="1099">
      <c r="A1099" s="21"/>
    </row>
    <row r="1100">
      <c r="A1100" s="21"/>
    </row>
    <row r="1101">
      <c r="A1101" s="21"/>
    </row>
    <row r="1102">
      <c r="A1102" s="21"/>
    </row>
    <row r="1103">
      <c r="A1103" s="21"/>
    </row>
    <row r="1104">
      <c r="A1104" s="21"/>
    </row>
    <row r="1105">
      <c r="A1105" s="21"/>
    </row>
    <row r="1106">
      <c r="A1106" s="21"/>
    </row>
    <row r="1107">
      <c r="A1107" s="21"/>
    </row>
    <row r="1108">
      <c r="A1108" s="21"/>
    </row>
    <row r="1109">
      <c r="A1109" s="21"/>
    </row>
    <row r="1110">
      <c r="A1110" s="21"/>
    </row>
    <row r="1111">
      <c r="A1111" s="21"/>
    </row>
    <row r="1112">
      <c r="A1112" s="21"/>
    </row>
    <row r="1113">
      <c r="A1113" s="21"/>
    </row>
    <row r="1114">
      <c r="A1114" s="21"/>
    </row>
    <row r="1115">
      <c r="A1115" s="21"/>
    </row>
    <row r="1116">
      <c r="A1116" s="21"/>
    </row>
    <row r="1117">
      <c r="A1117" s="21"/>
    </row>
    <row r="1118">
      <c r="A1118" s="21"/>
    </row>
    <row r="1119">
      <c r="A1119" s="21"/>
    </row>
    <row r="1120">
      <c r="A1120" s="21"/>
    </row>
    <row r="1121">
      <c r="A1121" s="21"/>
    </row>
    <row r="1122">
      <c r="A1122" s="21"/>
    </row>
    <row r="1123">
      <c r="A1123" s="21"/>
    </row>
    <row r="1124">
      <c r="A1124" s="21"/>
    </row>
    <row r="1125">
      <c r="A1125" s="21"/>
    </row>
    <row r="1126">
      <c r="A1126" s="21"/>
    </row>
    <row r="1127">
      <c r="A1127" s="21"/>
    </row>
    <row r="1128">
      <c r="A1128" s="21"/>
    </row>
    <row r="1129">
      <c r="A1129" s="21"/>
    </row>
    <row r="1130">
      <c r="A1130" s="21"/>
    </row>
    <row r="1131">
      <c r="A1131" s="21"/>
    </row>
    <row r="1132">
      <c r="A1132" s="21"/>
    </row>
    <row r="1133">
      <c r="A1133" s="21"/>
    </row>
    <row r="1134">
      <c r="A1134" s="21"/>
    </row>
    <row r="1135">
      <c r="A1135" s="21"/>
    </row>
    <row r="1136">
      <c r="A1136" s="21"/>
    </row>
    <row r="1137">
      <c r="A1137" s="21"/>
    </row>
    <row r="1138">
      <c r="A1138" s="21"/>
    </row>
    <row r="1139">
      <c r="A1139" s="21"/>
    </row>
    <row r="1140">
      <c r="A1140" s="21"/>
    </row>
    <row r="1141">
      <c r="A1141" s="21"/>
    </row>
    <row r="1142">
      <c r="A1142" s="21"/>
    </row>
    <row r="1143">
      <c r="A1143" s="21"/>
    </row>
    <row r="1144">
      <c r="A1144" s="21"/>
    </row>
    <row r="1145">
      <c r="A1145" s="21"/>
    </row>
    <row r="1146">
      <c r="A1146" s="21"/>
    </row>
    <row r="1147">
      <c r="A1147" s="21"/>
    </row>
    <row r="1148">
      <c r="A1148" s="21"/>
    </row>
    <row r="1149">
      <c r="A1149" s="21"/>
    </row>
    <row r="1150">
      <c r="A1150" s="21"/>
    </row>
    <row r="1151">
      <c r="A1151" s="21"/>
    </row>
    <row r="1152">
      <c r="A1152" s="21"/>
    </row>
    <row r="1153">
      <c r="A1153" s="21"/>
    </row>
    <row r="1154">
      <c r="A1154" s="21"/>
    </row>
    <row r="1155">
      <c r="A1155" s="21"/>
    </row>
    <row r="1156">
      <c r="A1156" s="21"/>
    </row>
    <row r="1157">
      <c r="A1157" s="21"/>
    </row>
    <row r="1158">
      <c r="A1158" s="21"/>
    </row>
    <row r="1159">
      <c r="A1159" s="21"/>
    </row>
    <row r="1160">
      <c r="A1160" s="21"/>
    </row>
    <row r="1161">
      <c r="A1161" s="21"/>
    </row>
    <row r="1162">
      <c r="A1162" s="21"/>
    </row>
    <row r="1163">
      <c r="A1163" s="21"/>
    </row>
    <row r="1164">
      <c r="A1164" s="21"/>
    </row>
    <row r="1165">
      <c r="A1165" s="21"/>
    </row>
    <row r="1166">
      <c r="A1166" s="21"/>
    </row>
    <row r="1167">
      <c r="A1167" s="21"/>
    </row>
    <row r="1168">
      <c r="A1168" s="21"/>
    </row>
    <row r="1169">
      <c r="A1169" s="21"/>
    </row>
    <row r="1170">
      <c r="A1170" s="21"/>
    </row>
    <row r="1171">
      <c r="A1171" s="21"/>
    </row>
    <row r="1172">
      <c r="A1172" s="21"/>
    </row>
    <row r="1173">
      <c r="A1173" s="21"/>
    </row>
    <row r="1174">
      <c r="A1174" s="21"/>
    </row>
    <row r="1175">
      <c r="A1175" s="21"/>
    </row>
    <row r="1176">
      <c r="A1176" s="21"/>
    </row>
    <row r="1177">
      <c r="A1177" s="21"/>
    </row>
    <row r="1178">
      <c r="A1178" s="21"/>
    </row>
    <row r="1179">
      <c r="A1179" s="21"/>
    </row>
    <row r="1180">
      <c r="A1180" s="21"/>
    </row>
    <row r="1181">
      <c r="A1181" s="21"/>
    </row>
    <row r="1182">
      <c r="A1182" s="21"/>
    </row>
    <row r="1183">
      <c r="A1183" s="21"/>
    </row>
    <row r="1184">
      <c r="A1184" s="21"/>
    </row>
    <row r="1185">
      <c r="A1185" s="21"/>
    </row>
    <row r="1186">
      <c r="A1186" s="21"/>
    </row>
    <row r="1187">
      <c r="A1187" s="21"/>
    </row>
    <row r="1188">
      <c r="A1188" s="21"/>
    </row>
    <row r="1189">
      <c r="A1189" s="21"/>
    </row>
    <row r="1190">
      <c r="A1190" s="21"/>
    </row>
    <row r="1191">
      <c r="A1191" s="21"/>
    </row>
    <row r="1192">
      <c r="A1192" s="21"/>
    </row>
    <row r="1193">
      <c r="A1193" s="21"/>
    </row>
    <row r="1194">
      <c r="A1194" s="21"/>
    </row>
    <row r="1195">
      <c r="A1195" s="21"/>
    </row>
    <row r="1196">
      <c r="A1196" s="21"/>
    </row>
    <row r="1197">
      <c r="A1197" s="21"/>
    </row>
    <row r="1198">
      <c r="A1198" s="21"/>
    </row>
    <row r="1199">
      <c r="A1199" s="21"/>
    </row>
    <row r="1200">
      <c r="A1200" s="21"/>
    </row>
    <row r="1201">
      <c r="A1201" s="21"/>
    </row>
    <row r="1202">
      <c r="A1202" s="21"/>
    </row>
    <row r="1203">
      <c r="A1203" s="21"/>
    </row>
    <row r="1204">
      <c r="A1204" s="21"/>
    </row>
    <row r="1205">
      <c r="A1205" s="21"/>
    </row>
    <row r="1206">
      <c r="A1206" s="21"/>
    </row>
    <row r="1207">
      <c r="A1207" s="21"/>
    </row>
    <row r="1208">
      <c r="A1208" s="21"/>
    </row>
    <row r="1209">
      <c r="A1209" s="21"/>
    </row>
    <row r="1210">
      <c r="A1210" s="21"/>
    </row>
    <row r="1211">
      <c r="A1211" s="21"/>
    </row>
    <row r="1212">
      <c r="A1212" s="21"/>
    </row>
    <row r="1213">
      <c r="A1213" s="21"/>
    </row>
    <row r="1214">
      <c r="A1214" s="21"/>
    </row>
    <row r="1215">
      <c r="A1215" s="21"/>
    </row>
    <row r="1216">
      <c r="A1216" s="21"/>
    </row>
    <row r="1217">
      <c r="A1217" s="21"/>
    </row>
    <row r="1218">
      <c r="A1218" s="21"/>
    </row>
    <row r="1219">
      <c r="A1219" s="21"/>
    </row>
    <row r="1220">
      <c r="A1220" s="21"/>
    </row>
    <row r="1221">
      <c r="A1221" s="21"/>
    </row>
    <row r="1222">
      <c r="A1222" s="21"/>
    </row>
    <row r="1223">
      <c r="A1223" s="21"/>
    </row>
    <row r="1224">
      <c r="A1224" s="21"/>
    </row>
    <row r="1225">
      <c r="A1225" s="21"/>
    </row>
    <row r="1226">
      <c r="A1226" s="21"/>
    </row>
    <row r="1227">
      <c r="A1227" s="21"/>
    </row>
    <row r="1228">
      <c r="A1228" s="21"/>
    </row>
    <row r="1229">
      <c r="A1229" s="21"/>
    </row>
    <row r="1230">
      <c r="A1230" s="21"/>
    </row>
    <row r="1231">
      <c r="A1231" s="21"/>
    </row>
    <row r="1232">
      <c r="A1232" s="21"/>
    </row>
    <row r="1233">
      <c r="A1233" s="21"/>
    </row>
    <row r="1234">
      <c r="A1234" s="21"/>
    </row>
    <row r="1235">
      <c r="A1235" s="21"/>
    </row>
    <row r="1236">
      <c r="A1236" s="21"/>
    </row>
    <row r="1237">
      <c r="A1237" s="21"/>
    </row>
    <row r="1238">
      <c r="A1238" s="21"/>
    </row>
    <row r="1239">
      <c r="A1239" s="21"/>
    </row>
    <row r="1240">
      <c r="A1240" s="21"/>
    </row>
    <row r="1241">
      <c r="A1241" s="21"/>
    </row>
    <row r="1242">
      <c r="A1242" s="21"/>
      <c r="B1242" s="586"/>
    </row>
    <row r="1243">
      <c r="A1243" s="21"/>
    </row>
    <row r="1244">
      <c r="A1244" s="21"/>
    </row>
    <row r="1245">
      <c r="A1245" s="21"/>
    </row>
    <row r="1246">
      <c r="A1246" s="21"/>
    </row>
    <row r="1247">
      <c r="A1247" s="21"/>
    </row>
    <row r="1248">
      <c r="A1248" s="21"/>
    </row>
    <row r="1249">
      <c r="A1249" s="21"/>
    </row>
    <row r="1250">
      <c r="A1250" s="21"/>
    </row>
    <row r="1251">
      <c r="A1251" s="21"/>
    </row>
    <row r="1252">
      <c r="A1252" s="21"/>
    </row>
    <row r="1253">
      <c r="A1253" s="21"/>
    </row>
    <row r="1254">
      <c r="A1254" s="21"/>
    </row>
    <row r="1255">
      <c r="A1255" s="21"/>
    </row>
    <row r="1256">
      <c r="A1256" s="21"/>
    </row>
    <row r="1257">
      <c r="A1257" s="21"/>
    </row>
    <row r="1258">
      <c r="A1258" s="21"/>
    </row>
    <row r="1259">
      <c r="A1259" s="21"/>
    </row>
    <row r="1260">
      <c r="A1260" s="21"/>
    </row>
    <row r="1261">
      <c r="A1261" s="21"/>
    </row>
    <row r="1262">
      <c r="A1262" s="21"/>
    </row>
    <row r="1263">
      <c r="A1263" s="21"/>
    </row>
    <row r="1264">
      <c r="A1264" s="21"/>
    </row>
    <row r="1265">
      <c r="A1265" s="21"/>
    </row>
    <row r="1266">
      <c r="A1266" s="21"/>
    </row>
    <row r="1267">
      <c r="A1267" s="21"/>
    </row>
    <row r="1268">
      <c r="A1268" s="21"/>
      <c r="C1268" s="11"/>
    </row>
    <row r="1269">
      <c r="A1269" s="21"/>
      <c r="C1269" s="11"/>
    </row>
    <row r="1270">
      <c r="A1270" s="21"/>
      <c r="C1270" s="11"/>
    </row>
    <row r="1271">
      <c r="A1271" s="21"/>
      <c r="C1271" s="11"/>
    </row>
    <row r="1272">
      <c r="A1272" s="21"/>
      <c r="C1272" s="11"/>
    </row>
    <row r="1273">
      <c r="A1273" s="21"/>
      <c r="C1273" s="11"/>
    </row>
    <row r="1274">
      <c r="A1274" s="21"/>
      <c r="C1274" s="11"/>
    </row>
    <row r="1275">
      <c r="A1275" s="21"/>
      <c r="C1275" s="11"/>
    </row>
    <row r="1276">
      <c r="A1276" s="21"/>
      <c r="C1276" s="11"/>
    </row>
    <row r="1277">
      <c r="A1277" s="21"/>
      <c r="C1277" s="11"/>
    </row>
    <row r="1278">
      <c r="A1278" s="21"/>
      <c r="C1278" s="11"/>
    </row>
    <row r="1279">
      <c r="A1279" s="21"/>
      <c r="C1279" s="11"/>
    </row>
    <row r="1280">
      <c r="A1280" s="21"/>
      <c r="C1280" s="11"/>
    </row>
    <row r="1281">
      <c r="A1281" s="21"/>
      <c r="C1281" s="11"/>
    </row>
    <row r="1282">
      <c r="A1282" s="21"/>
      <c r="C1282" s="11"/>
    </row>
    <row r="1283">
      <c r="A1283" s="21"/>
      <c r="C1283" s="11"/>
    </row>
    <row r="1284">
      <c r="A1284" s="21"/>
      <c r="C1284" s="11"/>
    </row>
    <row r="1285">
      <c r="A1285" s="21"/>
      <c r="C1285" s="11"/>
    </row>
    <row r="1286">
      <c r="A1286" s="21"/>
      <c r="C1286" s="11"/>
    </row>
    <row r="1287">
      <c r="A1287" s="21"/>
      <c r="C1287" s="11"/>
    </row>
    <row r="1288">
      <c r="A1288" s="21"/>
      <c r="C1288" s="11"/>
    </row>
    <row r="1289">
      <c r="A1289" s="21"/>
      <c r="C1289" s="11"/>
    </row>
    <row r="1290">
      <c r="A1290" s="21"/>
      <c r="C1290" s="11"/>
    </row>
    <row r="1291">
      <c r="A1291" s="21"/>
      <c r="C1291" s="11"/>
    </row>
    <row r="1292">
      <c r="A1292" s="21"/>
      <c r="C1292" s="11"/>
    </row>
    <row r="1293">
      <c r="A1293" s="21"/>
      <c r="C1293" s="11"/>
    </row>
    <row r="1294">
      <c r="A1294" s="21"/>
      <c r="C1294" s="11"/>
    </row>
    <row r="1295">
      <c r="A1295" s="21"/>
      <c r="C1295" s="11"/>
    </row>
    <row r="1296">
      <c r="A1296" s="21"/>
      <c r="C1296" s="11"/>
    </row>
    <row r="1297">
      <c r="A1297" s="21"/>
      <c r="C1297" s="11"/>
    </row>
    <row r="1298">
      <c r="A1298" s="21"/>
      <c r="C1298" s="11"/>
    </row>
    <row r="1299">
      <c r="A1299" s="21"/>
      <c r="C1299" s="11"/>
    </row>
    <row r="1300">
      <c r="A1300" s="21"/>
      <c r="C1300" s="11"/>
    </row>
    <row r="1301">
      <c r="A1301" s="21"/>
      <c r="C1301" s="11"/>
    </row>
    <row r="1302">
      <c r="A1302" s="21"/>
      <c r="C1302" s="11"/>
    </row>
    <row r="1303">
      <c r="A1303" s="21"/>
      <c r="C1303" s="11"/>
    </row>
    <row r="1304">
      <c r="A1304" s="21"/>
      <c r="C1304" s="11"/>
    </row>
    <row r="1305">
      <c r="A1305" s="21"/>
      <c r="C1305" s="11"/>
    </row>
    <row r="1306">
      <c r="A1306" s="21"/>
      <c r="C1306" s="11"/>
    </row>
    <row r="1307">
      <c r="A1307" s="21"/>
      <c r="C1307" s="11"/>
    </row>
    <row r="1308">
      <c r="A1308" s="21"/>
      <c r="C1308" s="11"/>
    </row>
    <row r="1309">
      <c r="A1309" s="21"/>
      <c r="C1309" s="11"/>
    </row>
    <row r="1310">
      <c r="A1310" s="21"/>
      <c r="C1310" s="11"/>
    </row>
    <row r="1311">
      <c r="A1311" s="21"/>
      <c r="C1311" s="11"/>
    </row>
    <row r="1312">
      <c r="A1312" s="21"/>
      <c r="C1312" s="11"/>
    </row>
    <row r="1313">
      <c r="A1313" s="21"/>
      <c r="C1313" s="11"/>
    </row>
    <row r="1314">
      <c r="A1314" s="21"/>
      <c r="C1314" s="11"/>
    </row>
    <row r="1315">
      <c r="A1315" s="21"/>
      <c r="C1315" s="11"/>
    </row>
    <row r="1316">
      <c r="A1316" s="21"/>
      <c r="C1316" s="11"/>
    </row>
    <row r="1317">
      <c r="A1317" s="21"/>
      <c r="C1317" s="11"/>
    </row>
    <row r="1318">
      <c r="A1318" s="21"/>
      <c r="C1318" s="11"/>
    </row>
    <row r="1319">
      <c r="A1319" s="21"/>
      <c r="C1319" s="11"/>
    </row>
    <row r="1320">
      <c r="A1320" s="21"/>
      <c r="C1320" s="11"/>
    </row>
    <row r="1321">
      <c r="A1321" s="21"/>
      <c r="C1321" s="11"/>
    </row>
    <row r="1322">
      <c r="A1322" s="21"/>
      <c r="C1322" s="11"/>
    </row>
    <row r="1323">
      <c r="A1323" s="21"/>
      <c r="C1323" s="11"/>
    </row>
    <row r="1324">
      <c r="A1324" s="21"/>
      <c r="C1324" s="11"/>
    </row>
    <row r="1325">
      <c r="A1325" s="21"/>
      <c r="C1325" s="11"/>
    </row>
    <row r="1326">
      <c r="A1326" s="21"/>
      <c r="C1326" s="11"/>
    </row>
    <row r="1327">
      <c r="A1327" s="21"/>
      <c r="C1327" s="11"/>
    </row>
    <row r="1328">
      <c r="A1328" s="21"/>
      <c r="C1328" s="11"/>
    </row>
    <row r="1329">
      <c r="A1329" s="21"/>
      <c r="C1329" s="11"/>
    </row>
    <row r="1330">
      <c r="A1330" s="21"/>
      <c r="C1330" s="11"/>
    </row>
    <row r="1331">
      <c r="A1331" s="21"/>
      <c r="C1331" s="11"/>
    </row>
    <row r="1332">
      <c r="A1332" s="21"/>
      <c r="C1332" s="11"/>
    </row>
    <row r="1333">
      <c r="A1333" s="21"/>
      <c r="C1333" s="11"/>
    </row>
    <row r="1334">
      <c r="A1334" s="21"/>
      <c r="C1334" s="11"/>
    </row>
    <row r="1335">
      <c r="A1335" s="21"/>
      <c r="C1335" s="11"/>
    </row>
    <row r="1336">
      <c r="A1336" s="21"/>
      <c r="C1336" s="11"/>
    </row>
    <row r="1337">
      <c r="A1337" s="21"/>
      <c r="C1337" s="11"/>
    </row>
    <row r="1338">
      <c r="A1338" s="21"/>
      <c r="C1338" s="11"/>
    </row>
    <row r="1339">
      <c r="A1339" s="21"/>
      <c r="C1339" s="11"/>
    </row>
    <row r="1340">
      <c r="A1340" s="21"/>
      <c r="C1340" s="11"/>
    </row>
    <row r="1341">
      <c r="A1341" s="21"/>
      <c r="C1341" s="11"/>
    </row>
    <row r="1342">
      <c r="A1342" s="21"/>
      <c r="C1342" s="11"/>
    </row>
    <row r="1343">
      <c r="A1343" s="21"/>
      <c r="C1343" s="11"/>
    </row>
    <row r="1344">
      <c r="A1344" s="21"/>
      <c r="C1344" s="11"/>
    </row>
    <row r="1345">
      <c r="A1345" s="21"/>
      <c r="C1345" s="11"/>
    </row>
    <row r="1346">
      <c r="A1346" s="21"/>
      <c r="C1346" s="11"/>
    </row>
    <row r="1347">
      <c r="A1347" s="21"/>
      <c r="C1347" s="11"/>
    </row>
    <row r="1348">
      <c r="A1348" s="21"/>
      <c r="C1348" s="11"/>
    </row>
    <row r="1349">
      <c r="A1349" s="21"/>
      <c r="C1349" s="11"/>
    </row>
    <row r="1350">
      <c r="A1350" s="21"/>
      <c r="C1350" s="11"/>
    </row>
    <row r="1351">
      <c r="A1351" s="21"/>
      <c r="C1351" s="11"/>
    </row>
    <row r="1352">
      <c r="A1352" s="21"/>
      <c r="C1352" s="11"/>
    </row>
    <row r="1353">
      <c r="A1353" s="21"/>
      <c r="C1353" s="11"/>
    </row>
    <row r="1354">
      <c r="A1354" s="21"/>
      <c r="C1354" s="11"/>
    </row>
    <row r="1355">
      <c r="A1355" s="21"/>
      <c r="C1355" s="11"/>
    </row>
    <row r="1356">
      <c r="A1356" s="21"/>
      <c r="C1356" s="11"/>
    </row>
    <row r="1357">
      <c r="A1357" s="21"/>
      <c r="C1357" s="11"/>
    </row>
    <row r="1358">
      <c r="A1358" s="21"/>
      <c r="C1358" s="11"/>
    </row>
    <row r="1359">
      <c r="A1359" s="21"/>
      <c r="C1359" s="11"/>
    </row>
    <row r="1360">
      <c r="A1360" s="21"/>
      <c r="C1360" s="11"/>
    </row>
    <row r="1361">
      <c r="A1361" s="21"/>
      <c r="C1361" s="11"/>
    </row>
    <row r="1362">
      <c r="A1362" s="21"/>
      <c r="C1362" s="11"/>
    </row>
    <row r="1363">
      <c r="A1363" s="21"/>
      <c r="C1363" s="11"/>
    </row>
    <row r="1364">
      <c r="A1364" s="21"/>
      <c r="C1364" s="11"/>
    </row>
    <row r="1365">
      <c r="A1365" s="21"/>
      <c r="C1365" s="11"/>
    </row>
    <row r="1366">
      <c r="A1366" s="21"/>
      <c r="C1366" s="11"/>
    </row>
    <row r="1367">
      <c r="A1367" s="21"/>
      <c r="C1367" s="11"/>
    </row>
    <row r="1368">
      <c r="A1368" s="21"/>
      <c r="C1368" s="11"/>
    </row>
    <row r="1369">
      <c r="A1369" s="21"/>
      <c r="C1369" s="11"/>
    </row>
    <row r="1370">
      <c r="A1370" s="21"/>
      <c r="C1370" s="11"/>
    </row>
    <row r="1371">
      <c r="A1371" s="21"/>
      <c r="C1371" s="11"/>
    </row>
    <row r="1372">
      <c r="A1372" s="21"/>
      <c r="C1372" s="11"/>
    </row>
    <row r="1373">
      <c r="A1373" s="21"/>
      <c r="C1373" s="11"/>
    </row>
    <row r="1374">
      <c r="A1374" s="21"/>
      <c r="C1374" s="11"/>
    </row>
    <row r="1375">
      <c r="A1375" s="21"/>
      <c r="C1375" s="11"/>
    </row>
    <row r="1376">
      <c r="A1376" s="21"/>
      <c r="C1376" s="11"/>
    </row>
    <row r="1377">
      <c r="A1377" s="21"/>
      <c r="C1377" s="11"/>
    </row>
    <row r="1378">
      <c r="A1378" s="21"/>
      <c r="C1378" s="11"/>
    </row>
    <row r="1379">
      <c r="A1379" s="21"/>
      <c r="C1379" s="11"/>
    </row>
    <row r="1380">
      <c r="A1380" s="21"/>
      <c r="C1380" s="11"/>
    </row>
    <row r="1381">
      <c r="A1381" s="21"/>
      <c r="C1381" s="11"/>
    </row>
    <row r="1382">
      <c r="A1382" s="21"/>
      <c r="C1382" s="11"/>
    </row>
    <row r="1383">
      <c r="A1383" s="21"/>
      <c r="C1383" s="11"/>
    </row>
    <row r="1384">
      <c r="A1384" s="21"/>
      <c r="C1384" s="11"/>
    </row>
    <row r="1385">
      <c r="A1385" s="21"/>
      <c r="C1385" s="11"/>
    </row>
    <row r="1386">
      <c r="A1386" s="21"/>
      <c r="C1386" s="11"/>
    </row>
    <row r="1387">
      <c r="A1387" s="21"/>
      <c r="C1387" s="11"/>
    </row>
    <row r="1388">
      <c r="A1388" s="21"/>
      <c r="C1388" s="11"/>
    </row>
    <row r="1389">
      <c r="A1389" s="21"/>
      <c r="C1389" s="11"/>
    </row>
    <row r="1390">
      <c r="A1390" s="21"/>
      <c r="C1390" s="11"/>
    </row>
    <row r="1391">
      <c r="A1391" s="21"/>
      <c r="C1391" s="11"/>
    </row>
    <row r="1392">
      <c r="A1392" s="21"/>
      <c r="C1392" s="11"/>
    </row>
    <row r="1393">
      <c r="A1393" s="21"/>
      <c r="C1393" s="11"/>
    </row>
    <row r="1394">
      <c r="A1394" s="21"/>
      <c r="C1394" s="11"/>
    </row>
    <row r="1395">
      <c r="A1395" s="21"/>
      <c r="C1395" s="11"/>
    </row>
    <row r="1396">
      <c r="A1396" s="21"/>
      <c r="C1396" s="11"/>
    </row>
    <row r="1397">
      <c r="A1397" s="21"/>
      <c r="C1397" s="11"/>
    </row>
    <row r="1398">
      <c r="A1398" s="21"/>
      <c r="C1398" s="11"/>
    </row>
    <row r="1399">
      <c r="A1399" s="21"/>
      <c r="C1399" s="11"/>
    </row>
    <row r="1400">
      <c r="A1400" s="21"/>
      <c r="C1400" s="11"/>
    </row>
    <row r="1401">
      <c r="A1401" s="21"/>
      <c r="C1401" s="11"/>
    </row>
    <row r="1402">
      <c r="A1402" s="21"/>
      <c r="C1402" s="11"/>
    </row>
    <row r="1403">
      <c r="A1403" s="21"/>
      <c r="C1403" s="11"/>
    </row>
    <row r="1404">
      <c r="A1404" s="21"/>
      <c r="C1404" s="11"/>
    </row>
    <row r="1405">
      <c r="A1405" s="21"/>
      <c r="C1405" s="11"/>
    </row>
    <row r="1406">
      <c r="A1406" s="21"/>
      <c r="C1406" s="11"/>
    </row>
    <row r="1407">
      <c r="A1407" s="21"/>
      <c r="C1407" s="11"/>
    </row>
    <row r="1408">
      <c r="A1408" s="21"/>
      <c r="C1408" s="11"/>
    </row>
    <row r="1409">
      <c r="A1409" s="21"/>
      <c r="C1409" s="11"/>
    </row>
    <row r="1410">
      <c r="A1410" s="21"/>
      <c r="C1410" s="11"/>
    </row>
    <row r="1411">
      <c r="A1411" s="21"/>
      <c r="C1411" s="11"/>
    </row>
    <row r="1412">
      <c r="A1412" s="21"/>
      <c r="C1412" s="11"/>
    </row>
    <row r="1413">
      <c r="A1413" s="21"/>
      <c r="C1413" s="11"/>
    </row>
    <row r="1414">
      <c r="A1414" s="21"/>
      <c r="C1414" s="11"/>
    </row>
    <row r="1415">
      <c r="A1415" s="21"/>
      <c r="C1415" s="11"/>
    </row>
    <row r="1416">
      <c r="A1416" s="21"/>
      <c r="C1416" s="11"/>
    </row>
    <row r="1417">
      <c r="A1417" s="21"/>
      <c r="C1417" s="11"/>
    </row>
    <row r="1418">
      <c r="A1418" s="21"/>
      <c r="C1418" s="11"/>
    </row>
    <row r="1419">
      <c r="A1419" s="21"/>
      <c r="C1419" s="11"/>
    </row>
    <row r="1420">
      <c r="A1420" s="21"/>
      <c r="C1420" s="11"/>
    </row>
    <row r="1421">
      <c r="A1421" s="21"/>
      <c r="C1421" s="11"/>
    </row>
    <row r="1422">
      <c r="A1422" s="21"/>
      <c r="C1422" s="11"/>
    </row>
    <row r="1423">
      <c r="A1423" s="21"/>
      <c r="C1423" s="11"/>
    </row>
    <row r="1424">
      <c r="A1424" s="21"/>
      <c r="C1424" s="11"/>
    </row>
    <row r="1425">
      <c r="A1425" s="21"/>
      <c r="C1425" s="11"/>
    </row>
    <row r="1426">
      <c r="A1426" s="21"/>
      <c r="C1426" s="11"/>
    </row>
    <row r="1427">
      <c r="A1427" s="21"/>
      <c r="C1427" s="11"/>
    </row>
    <row r="1428">
      <c r="A1428" s="21"/>
      <c r="C1428" s="11"/>
    </row>
    <row r="1429">
      <c r="A1429" s="21"/>
      <c r="C1429" s="11"/>
    </row>
    <row r="1430">
      <c r="A1430" s="21"/>
      <c r="C1430" s="11"/>
    </row>
    <row r="1431">
      <c r="A1431" s="21"/>
      <c r="C1431" s="11"/>
    </row>
    <row r="1432">
      <c r="A1432" s="21"/>
      <c r="C1432" s="11"/>
    </row>
    <row r="1433">
      <c r="A1433" s="21"/>
      <c r="C1433" s="11"/>
    </row>
    <row r="1434">
      <c r="A1434" s="21"/>
      <c r="C1434" s="11"/>
    </row>
    <row r="1435">
      <c r="A1435" s="21"/>
      <c r="C1435" s="11"/>
    </row>
    <row r="1436">
      <c r="A1436" s="21"/>
      <c r="C1436" s="11"/>
    </row>
    <row r="1437">
      <c r="A1437" s="21"/>
      <c r="C1437" s="11"/>
    </row>
    <row r="1438">
      <c r="A1438" s="21"/>
      <c r="C1438" s="11"/>
    </row>
    <row r="1439">
      <c r="A1439" s="21"/>
      <c r="C1439" s="11"/>
    </row>
    <row r="1440">
      <c r="A1440" s="21"/>
      <c r="C1440" s="11"/>
    </row>
    <row r="1441">
      <c r="A1441" s="21"/>
      <c r="C1441" s="11"/>
    </row>
    <row r="1442">
      <c r="A1442" s="21"/>
      <c r="C1442" s="11"/>
    </row>
    <row r="1443">
      <c r="A1443" s="21"/>
      <c r="C1443" s="11"/>
    </row>
    <row r="1444">
      <c r="A1444" s="21"/>
      <c r="C1444" s="11"/>
    </row>
    <row r="1445">
      <c r="A1445" s="21"/>
      <c r="C1445" s="11"/>
    </row>
    <row r="1446">
      <c r="A1446" s="21"/>
      <c r="C1446" s="11"/>
    </row>
    <row r="1447">
      <c r="A1447" s="21"/>
      <c r="C1447" s="11"/>
    </row>
    <row r="1448">
      <c r="A1448" s="21"/>
      <c r="C1448" s="11"/>
    </row>
    <row r="1449">
      <c r="A1449" s="21"/>
      <c r="C1449" s="11"/>
    </row>
    <row r="1450">
      <c r="A1450" s="21"/>
      <c r="C1450" s="11"/>
    </row>
    <row r="1451">
      <c r="A1451" s="21"/>
      <c r="C1451" s="11"/>
    </row>
    <row r="1452">
      <c r="A1452" s="21"/>
      <c r="C1452" s="11"/>
    </row>
    <row r="1453">
      <c r="A1453" s="21"/>
      <c r="C1453" s="11"/>
    </row>
    <row r="1454">
      <c r="A1454" s="21"/>
      <c r="C1454" s="11"/>
    </row>
    <row r="1455">
      <c r="A1455" s="21"/>
      <c r="C1455" s="11"/>
    </row>
    <row r="1456">
      <c r="A1456" s="21"/>
      <c r="C1456" s="11"/>
    </row>
    <row r="1457">
      <c r="A1457" s="21"/>
      <c r="C1457" s="11"/>
    </row>
    <row r="1458">
      <c r="A1458" s="21"/>
      <c r="C1458" s="11"/>
    </row>
    <row r="1459">
      <c r="A1459" s="21"/>
      <c r="C1459" s="11"/>
    </row>
    <row r="1460">
      <c r="A1460" s="21"/>
      <c r="C1460" s="11"/>
    </row>
    <row r="1461">
      <c r="A1461" s="21"/>
      <c r="C1461" s="11"/>
    </row>
    <row r="1462">
      <c r="A1462" s="21"/>
      <c r="C1462" s="11"/>
    </row>
    <row r="1463">
      <c r="A1463" s="21"/>
      <c r="C1463" s="11"/>
    </row>
    <row r="1464">
      <c r="A1464" s="21"/>
      <c r="C1464" s="11"/>
    </row>
    <row r="1465">
      <c r="A1465" s="21"/>
      <c r="C1465" s="11"/>
    </row>
    <row r="1466">
      <c r="A1466" s="21"/>
      <c r="C1466" s="11"/>
    </row>
    <row r="1467">
      <c r="A1467" s="21"/>
      <c r="C1467" s="11"/>
    </row>
    <row r="1468">
      <c r="A1468" s="21"/>
      <c r="C1468" s="11"/>
    </row>
    <row r="1469">
      <c r="A1469" s="21"/>
      <c r="C1469" s="11"/>
    </row>
    <row r="1470">
      <c r="A1470" s="21"/>
      <c r="C1470" s="11"/>
    </row>
    <row r="1471">
      <c r="A1471" s="21"/>
      <c r="C1471" s="11"/>
    </row>
    <row r="1472">
      <c r="A1472" s="21"/>
      <c r="C1472" s="11"/>
    </row>
    <row r="1473">
      <c r="A1473" s="21"/>
      <c r="C1473" s="11"/>
    </row>
    <row r="1474">
      <c r="A1474" s="21"/>
      <c r="C1474" s="11"/>
    </row>
    <row r="1475">
      <c r="A1475" s="21"/>
      <c r="C1475" s="11"/>
    </row>
    <row r="1476">
      <c r="A1476" s="21"/>
      <c r="C1476" s="11"/>
    </row>
    <row r="1477">
      <c r="A1477" s="21"/>
      <c r="C1477" s="11"/>
    </row>
    <row r="1478">
      <c r="A1478" s="21"/>
      <c r="C1478" s="11"/>
    </row>
    <row r="1479">
      <c r="A1479" s="21"/>
      <c r="C1479" s="11"/>
    </row>
    <row r="1480">
      <c r="A1480" s="21"/>
      <c r="C1480" s="11"/>
    </row>
    <row r="1481">
      <c r="A1481" s="21"/>
      <c r="C1481" s="11"/>
    </row>
    <row r="1482">
      <c r="A1482" s="21"/>
      <c r="C1482" s="11"/>
    </row>
    <row r="1483">
      <c r="A1483" s="21"/>
      <c r="C1483" s="11"/>
    </row>
    <row r="1484">
      <c r="A1484" s="21"/>
      <c r="C1484" s="11"/>
    </row>
    <row r="1485">
      <c r="A1485" s="21"/>
      <c r="C1485" s="11"/>
    </row>
    <row r="1486">
      <c r="A1486" s="21"/>
      <c r="C1486" s="11"/>
    </row>
    <row r="1487">
      <c r="A1487" s="21"/>
      <c r="C1487" s="11"/>
    </row>
    <row r="1488">
      <c r="A1488" s="21"/>
      <c r="C1488" s="11"/>
    </row>
    <row r="1489">
      <c r="A1489" s="21"/>
      <c r="C1489" s="11"/>
    </row>
    <row r="1490">
      <c r="A1490" s="21"/>
      <c r="C1490" s="11"/>
    </row>
    <row r="1491">
      <c r="A1491" s="21"/>
      <c r="C1491" s="11"/>
    </row>
    <row r="1492">
      <c r="A1492" s="21"/>
      <c r="C1492" s="11"/>
    </row>
    <row r="1493">
      <c r="A1493" s="21"/>
      <c r="C1493" s="11"/>
    </row>
    <row r="1494">
      <c r="A1494" s="21"/>
      <c r="C1494" s="11"/>
    </row>
    <row r="1495">
      <c r="A1495" s="21"/>
      <c r="C1495" s="11"/>
    </row>
    <row r="1496">
      <c r="A1496" s="21"/>
      <c r="C1496" s="11"/>
    </row>
    <row r="1497">
      <c r="A1497" s="21"/>
      <c r="C1497" s="11"/>
    </row>
    <row r="1498">
      <c r="A1498" s="21"/>
      <c r="C1498" s="11"/>
    </row>
    <row r="1499">
      <c r="A1499" s="21"/>
      <c r="C1499" s="11"/>
    </row>
    <row r="1500">
      <c r="A1500" s="21"/>
      <c r="C1500" s="11"/>
    </row>
    <row r="1501">
      <c r="A1501" s="21"/>
      <c r="C1501" s="11"/>
    </row>
    <row r="1502">
      <c r="A1502" s="21"/>
      <c r="C1502" s="11"/>
    </row>
    <row r="1503">
      <c r="A1503" s="21"/>
      <c r="C1503" s="11"/>
    </row>
    <row r="1504">
      <c r="A1504" s="21"/>
      <c r="C1504" s="11"/>
    </row>
    <row r="1505">
      <c r="A1505" s="21"/>
      <c r="C1505" s="11"/>
    </row>
    <row r="1506">
      <c r="A1506" s="21"/>
      <c r="C1506" s="11"/>
    </row>
    <row r="1507">
      <c r="A1507" s="21"/>
      <c r="C1507" s="11"/>
    </row>
    <row r="1508">
      <c r="A1508" s="21"/>
      <c r="C1508" s="11"/>
    </row>
    <row r="1509">
      <c r="A1509" s="21"/>
      <c r="C1509" s="11"/>
    </row>
    <row r="1510">
      <c r="A1510" s="21"/>
      <c r="C1510" s="11"/>
    </row>
    <row r="1511">
      <c r="A1511" s="21"/>
      <c r="C1511" s="11"/>
    </row>
    <row r="1512">
      <c r="A1512" s="21"/>
      <c r="C1512" s="11"/>
    </row>
    <row r="1513">
      <c r="A1513" s="21"/>
      <c r="C1513" s="11"/>
    </row>
    <row r="1514">
      <c r="A1514" s="21"/>
      <c r="C1514" s="11"/>
    </row>
    <row r="1515">
      <c r="A1515" s="21"/>
      <c r="C1515" s="11"/>
    </row>
    <row r="1516">
      <c r="A1516" s="21"/>
      <c r="C1516" s="11"/>
    </row>
    <row r="1517">
      <c r="A1517" s="21"/>
      <c r="C1517" s="11"/>
    </row>
    <row r="1518">
      <c r="A1518" s="21"/>
      <c r="C1518" s="11"/>
    </row>
    <row r="1519">
      <c r="A1519" s="21"/>
      <c r="C1519" s="11"/>
    </row>
    <row r="1520">
      <c r="A1520" s="21"/>
      <c r="C1520" s="11"/>
    </row>
    <row r="1521">
      <c r="A1521" s="21"/>
      <c r="C1521" s="11"/>
    </row>
    <row r="1522">
      <c r="A1522" s="21"/>
      <c r="C1522" s="11"/>
    </row>
    <row r="1523">
      <c r="A1523" s="21"/>
      <c r="C1523" s="11"/>
    </row>
    <row r="1524">
      <c r="A1524" s="21"/>
      <c r="C1524" s="11"/>
    </row>
    <row r="1525">
      <c r="A1525" s="21"/>
      <c r="C1525" s="11"/>
    </row>
    <row r="1526">
      <c r="A1526" s="21"/>
      <c r="C1526" s="11"/>
    </row>
    <row r="1527">
      <c r="A1527" s="21"/>
      <c r="C1527" s="11"/>
    </row>
    <row r="1528">
      <c r="A1528" s="21"/>
      <c r="C1528" s="11"/>
    </row>
    <row r="1529">
      <c r="A1529" s="21"/>
      <c r="C1529" s="11"/>
    </row>
    <row r="1530">
      <c r="A1530" s="21"/>
      <c r="C1530" s="11"/>
    </row>
    <row r="1531">
      <c r="A1531" s="21"/>
      <c r="C1531" s="11"/>
    </row>
    <row r="1532">
      <c r="A1532" s="21"/>
      <c r="C1532" s="11"/>
    </row>
    <row r="1533">
      <c r="A1533" s="21"/>
      <c r="C1533" s="11"/>
    </row>
    <row r="1534">
      <c r="A1534" s="21"/>
      <c r="C1534" s="11"/>
    </row>
    <row r="1535">
      <c r="A1535" s="21"/>
      <c r="C1535" s="11"/>
    </row>
    <row r="1536">
      <c r="A1536" s="21"/>
      <c r="C1536" s="11"/>
    </row>
    <row r="1537">
      <c r="A1537" s="21"/>
      <c r="C1537" s="11"/>
    </row>
    <row r="1538">
      <c r="A1538" s="21"/>
      <c r="C1538" s="11"/>
    </row>
    <row r="1539">
      <c r="A1539" s="21"/>
      <c r="C1539" s="11"/>
    </row>
    <row r="1540">
      <c r="A1540" s="21"/>
      <c r="C1540" s="11"/>
    </row>
    <row r="1541">
      <c r="A1541" s="21"/>
      <c r="C1541" s="11"/>
    </row>
    <row r="1542">
      <c r="A1542" s="21"/>
      <c r="C1542" s="11"/>
    </row>
    <row r="1543">
      <c r="A1543" s="21"/>
      <c r="C1543" s="11"/>
    </row>
    <row r="1544">
      <c r="A1544" s="21"/>
      <c r="C1544" s="11"/>
    </row>
    <row r="1545">
      <c r="A1545" s="21"/>
      <c r="C1545" s="11"/>
    </row>
    <row r="1546">
      <c r="A1546" s="21"/>
      <c r="C1546" s="11"/>
    </row>
    <row r="1547">
      <c r="A1547" s="21"/>
      <c r="C1547" s="11"/>
    </row>
    <row r="1548">
      <c r="A1548" s="21"/>
      <c r="C1548" s="11"/>
    </row>
    <row r="1549">
      <c r="A1549" s="21"/>
      <c r="C1549" s="11"/>
    </row>
    <row r="1550">
      <c r="A1550" s="21"/>
      <c r="C1550" s="11"/>
    </row>
    <row r="1551">
      <c r="A1551" s="21"/>
      <c r="C1551" s="11"/>
    </row>
    <row r="1552">
      <c r="A1552" s="21"/>
      <c r="C1552" s="11"/>
    </row>
    <row r="1553">
      <c r="A1553" s="21"/>
      <c r="C1553" s="11"/>
    </row>
    <row r="1554">
      <c r="A1554" s="21"/>
      <c r="C1554" s="11"/>
    </row>
    <row r="1555">
      <c r="A1555" s="21"/>
      <c r="C1555" s="11"/>
    </row>
    <row r="1556">
      <c r="A1556" s="21"/>
      <c r="C1556" s="11"/>
    </row>
    <row r="1557">
      <c r="A1557" s="21"/>
      <c r="C1557" s="11"/>
    </row>
    <row r="1558">
      <c r="A1558" s="21"/>
      <c r="C1558" s="11"/>
    </row>
    <row r="1559">
      <c r="A1559" s="21"/>
      <c r="C1559" s="11"/>
    </row>
    <row r="1560">
      <c r="A1560" s="21"/>
      <c r="C1560" s="11"/>
    </row>
    <row r="1561">
      <c r="A1561" s="21"/>
      <c r="C1561" s="11"/>
    </row>
    <row r="1562">
      <c r="A1562" s="21"/>
      <c r="C1562" s="11"/>
    </row>
    <row r="1563">
      <c r="A1563" s="21"/>
      <c r="C1563" s="11"/>
    </row>
    <row r="1564">
      <c r="A1564" s="21"/>
      <c r="C1564" s="11"/>
    </row>
    <row r="1565">
      <c r="A1565" s="21"/>
      <c r="C1565" s="11"/>
    </row>
    <row r="1566">
      <c r="A1566" s="21"/>
      <c r="C1566" s="11"/>
    </row>
    <row r="1567">
      <c r="A1567" s="21"/>
      <c r="C1567" s="11"/>
    </row>
    <row r="1568">
      <c r="A1568" s="21"/>
      <c r="C1568" s="11"/>
    </row>
    <row r="1569">
      <c r="A1569" s="21"/>
      <c r="C1569" s="11"/>
    </row>
    <row r="1570">
      <c r="A1570" s="21"/>
      <c r="C1570" s="11"/>
    </row>
    <row r="1571">
      <c r="A1571" s="21"/>
      <c r="C1571" s="11"/>
    </row>
    <row r="1572">
      <c r="A1572" s="21"/>
      <c r="C1572" s="11"/>
    </row>
    <row r="1573">
      <c r="A1573" s="21"/>
      <c r="C1573" s="11"/>
    </row>
    <row r="1574">
      <c r="A1574" s="21"/>
      <c r="C1574" s="11"/>
    </row>
    <row r="1575">
      <c r="A1575" s="21"/>
      <c r="C1575" s="11"/>
    </row>
    <row r="1576">
      <c r="A1576" s="21"/>
      <c r="C1576" s="11"/>
    </row>
    <row r="1577">
      <c r="A1577" s="21"/>
      <c r="C1577" s="11"/>
    </row>
    <row r="1578">
      <c r="A1578" s="21"/>
      <c r="C1578" s="11"/>
    </row>
    <row r="1579">
      <c r="A1579" s="21"/>
      <c r="C1579" s="11"/>
    </row>
    <row r="1580">
      <c r="A1580" s="21"/>
      <c r="C1580" s="11"/>
    </row>
    <row r="1581">
      <c r="A1581" s="21"/>
      <c r="C1581" s="11"/>
    </row>
    <row r="1582">
      <c r="A1582" s="21"/>
      <c r="C1582" s="11"/>
    </row>
    <row r="1583">
      <c r="A1583" s="21"/>
      <c r="C1583" s="11"/>
    </row>
    <row r="1584">
      <c r="A1584" s="21"/>
      <c r="C1584" s="11"/>
    </row>
    <row r="1585">
      <c r="A1585" s="21"/>
      <c r="C1585" s="11"/>
    </row>
    <row r="1586">
      <c r="A1586" s="21"/>
      <c r="C1586" s="11"/>
    </row>
    <row r="1587">
      <c r="A1587" s="21"/>
      <c r="C1587" s="11"/>
    </row>
    <row r="1588">
      <c r="A1588" s="21"/>
      <c r="C1588" s="11"/>
    </row>
    <row r="1589">
      <c r="A1589" s="21"/>
      <c r="C1589" s="11"/>
    </row>
    <row r="1590">
      <c r="A1590" s="21"/>
      <c r="C1590" s="11"/>
    </row>
    <row r="1591">
      <c r="A1591" s="21"/>
      <c r="C1591" s="11"/>
    </row>
    <row r="1592">
      <c r="A1592" s="21"/>
      <c r="C1592" s="11"/>
    </row>
    <row r="1593">
      <c r="A1593" s="21"/>
      <c r="C1593" s="11"/>
    </row>
    <row r="1594">
      <c r="A1594" s="21"/>
      <c r="C1594" s="11"/>
    </row>
    <row r="1595">
      <c r="A1595" s="21"/>
      <c r="C1595" s="11"/>
    </row>
    <row r="1596">
      <c r="A1596" s="21"/>
      <c r="C1596" s="11"/>
    </row>
    <row r="1597">
      <c r="A1597" s="21"/>
      <c r="C1597" s="11"/>
    </row>
    <row r="1598">
      <c r="A1598" s="21"/>
      <c r="C1598" s="11"/>
    </row>
    <row r="1599">
      <c r="A1599" s="21"/>
      <c r="C1599" s="11"/>
    </row>
    <row r="1600">
      <c r="A1600" s="21"/>
      <c r="C1600" s="11"/>
    </row>
    <row r="1601">
      <c r="A1601" s="21"/>
      <c r="C1601" s="11"/>
    </row>
    <row r="1602">
      <c r="A1602" s="21"/>
      <c r="C1602" s="11"/>
    </row>
    <row r="1603">
      <c r="A1603" s="21"/>
      <c r="C1603" s="11"/>
    </row>
    <row r="1604">
      <c r="A1604" s="21"/>
      <c r="C1604" s="11"/>
    </row>
    <row r="1605">
      <c r="A1605" s="21"/>
      <c r="C1605" s="11"/>
    </row>
    <row r="1606">
      <c r="A1606" s="21"/>
      <c r="C1606" s="11"/>
    </row>
    <row r="1607">
      <c r="A1607" s="21"/>
      <c r="C1607" s="11"/>
    </row>
    <row r="1608">
      <c r="A1608" s="21"/>
      <c r="C1608" s="11"/>
    </row>
    <row r="1609">
      <c r="A1609" s="21"/>
      <c r="C1609" s="11"/>
    </row>
    <row r="1610">
      <c r="A1610" s="21"/>
      <c r="C1610" s="11"/>
    </row>
    <row r="1611">
      <c r="A1611" s="21"/>
      <c r="C1611" s="11"/>
    </row>
    <row r="1612">
      <c r="A1612" s="21"/>
      <c r="C1612" s="11"/>
    </row>
    <row r="1613">
      <c r="A1613" s="21"/>
      <c r="C1613" s="11"/>
    </row>
    <row r="1614">
      <c r="A1614" s="21"/>
      <c r="C1614" s="11"/>
    </row>
    <row r="1615">
      <c r="A1615" s="21"/>
      <c r="C1615" s="11"/>
    </row>
    <row r="1616">
      <c r="A1616" s="21"/>
      <c r="C1616" s="11"/>
    </row>
    <row r="1617">
      <c r="A1617" s="21"/>
      <c r="C1617" s="11"/>
    </row>
    <row r="1618">
      <c r="A1618" s="21"/>
      <c r="C1618" s="11"/>
    </row>
    <row r="1619">
      <c r="A1619" s="21"/>
      <c r="C1619" s="11"/>
    </row>
    <row r="1620">
      <c r="A1620" s="21"/>
      <c r="C1620" s="11"/>
    </row>
    <row r="1621">
      <c r="A1621" s="21"/>
      <c r="C1621" s="11"/>
    </row>
    <row r="1622">
      <c r="A1622" s="21"/>
      <c r="C1622" s="11"/>
    </row>
    <row r="1623">
      <c r="A1623" s="21"/>
      <c r="C1623" s="11"/>
    </row>
    <row r="1624">
      <c r="A1624" s="21"/>
      <c r="C1624" s="11"/>
    </row>
    <row r="1625">
      <c r="A1625" s="21"/>
      <c r="C1625" s="11"/>
    </row>
    <row r="1626">
      <c r="A1626" s="21"/>
      <c r="C1626" s="11"/>
    </row>
    <row r="1627">
      <c r="A1627" s="21"/>
      <c r="C1627" s="11"/>
    </row>
    <row r="1628">
      <c r="A1628" s="21"/>
      <c r="C1628" s="11"/>
    </row>
    <row r="1629">
      <c r="A1629" s="21"/>
      <c r="C1629" s="11"/>
    </row>
    <row r="1630">
      <c r="A1630" s="21"/>
      <c r="C1630" s="11"/>
    </row>
    <row r="1631">
      <c r="A1631" s="21"/>
      <c r="C1631" s="11"/>
    </row>
    <row r="1632">
      <c r="A1632" s="21"/>
      <c r="C1632" s="11"/>
    </row>
    <row r="1633">
      <c r="A1633" s="21"/>
      <c r="C1633" s="11"/>
    </row>
    <row r="1634">
      <c r="A1634" s="21"/>
      <c r="C1634" s="11"/>
    </row>
    <row r="1635">
      <c r="A1635" s="21"/>
      <c r="C1635" s="11"/>
    </row>
    <row r="1636">
      <c r="A1636" s="21"/>
      <c r="C1636" s="11"/>
    </row>
    <row r="1637">
      <c r="A1637" s="21"/>
      <c r="C1637" s="11"/>
    </row>
    <row r="1638">
      <c r="A1638" s="21"/>
      <c r="C1638" s="11"/>
    </row>
    <row r="1639">
      <c r="A1639" s="21"/>
      <c r="C1639" s="11"/>
    </row>
    <row r="1640">
      <c r="A1640" s="21"/>
      <c r="C1640" s="11"/>
    </row>
    <row r="1641">
      <c r="A1641" s="21"/>
      <c r="C1641" s="11"/>
    </row>
    <row r="1642">
      <c r="A1642" s="21"/>
      <c r="C1642" s="11"/>
    </row>
    <row r="1643">
      <c r="A1643" s="21"/>
      <c r="C1643" s="11"/>
    </row>
    <row r="1644">
      <c r="A1644" s="21"/>
      <c r="C1644" s="11"/>
    </row>
    <row r="1645">
      <c r="A1645" s="21"/>
      <c r="C1645" s="11"/>
    </row>
    <row r="1646">
      <c r="A1646" s="21"/>
      <c r="C1646" s="11"/>
    </row>
    <row r="1647">
      <c r="A1647" s="21"/>
      <c r="C1647" s="11"/>
    </row>
    <row r="1648">
      <c r="A1648" s="21"/>
      <c r="C1648" s="11"/>
    </row>
    <row r="1649">
      <c r="A1649" s="21"/>
      <c r="C1649" s="11"/>
    </row>
    <row r="1650">
      <c r="A1650" s="21"/>
      <c r="C1650" s="11"/>
    </row>
    <row r="1651">
      <c r="A1651" s="21"/>
      <c r="C1651" s="11"/>
    </row>
    <row r="1652">
      <c r="A1652" s="21"/>
      <c r="C1652" s="11"/>
    </row>
    <row r="1653">
      <c r="A1653" s="21"/>
      <c r="C1653" s="11"/>
    </row>
    <row r="1654">
      <c r="A1654" s="21"/>
      <c r="C1654" s="11"/>
    </row>
    <row r="1655">
      <c r="A1655" s="21"/>
      <c r="C1655" s="11"/>
    </row>
    <row r="1656">
      <c r="A1656" s="21"/>
      <c r="C1656" s="11"/>
    </row>
    <row r="1657">
      <c r="A1657" s="21"/>
      <c r="C1657" s="11"/>
    </row>
    <row r="1658">
      <c r="A1658" s="21"/>
      <c r="C1658" s="11"/>
    </row>
    <row r="1659">
      <c r="A1659" s="21"/>
      <c r="C1659" s="11"/>
    </row>
    <row r="1660">
      <c r="A1660" s="21"/>
      <c r="C1660" s="11"/>
    </row>
    <row r="1661">
      <c r="A1661" s="21"/>
      <c r="C1661" s="11"/>
    </row>
    <row r="1662">
      <c r="A1662" s="21"/>
      <c r="C1662" s="11"/>
    </row>
    <row r="1663">
      <c r="A1663" s="21"/>
      <c r="C1663" s="11"/>
    </row>
    <row r="1664">
      <c r="A1664" s="21"/>
      <c r="C1664" s="11"/>
    </row>
    <row r="1665">
      <c r="A1665" s="21"/>
      <c r="C1665" s="11"/>
    </row>
    <row r="1666">
      <c r="A1666" s="21"/>
      <c r="C1666" s="11"/>
    </row>
    <row r="1667">
      <c r="A1667" s="21"/>
      <c r="C1667" s="11"/>
    </row>
    <row r="1668">
      <c r="A1668" s="21"/>
      <c r="C1668" s="11"/>
    </row>
    <row r="1669">
      <c r="A1669" s="21"/>
      <c r="C1669" s="11"/>
    </row>
    <row r="1670">
      <c r="A1670" s="21"/>
      <c r="C1670" s="11"/>
    </row>
    <row r="1671">
      <c r="A1671" s="21"/>
      <c r="C1671" s="11"/>
    </row>
    <row r="1672">
      <c r="A1672" s="21"/>
      <c r="C1672" s="11"/>
    </row>
    <row r="1673">
      <c r="A1673" s="21"/>
      <c r="C1673" s="11"/>
    </row>
    <row r="1674">
      <c r="A1674" s="21"/>
      <c r="C1674" s="11"/>
    </row>
    <row r="1675">
      <c r="A1675" s="21"/>
      <c r="C1675" s="11"/>
    </row>
    <row r="1676">
      <c r="A1676" s="21"/>
      <c r="C1676" s="11"/>
    </row>
    <row r="1677">
      <c r="A1677" s="21"/>
      <c r="C1677" s="11"/>
    </row>
    <row r="1678">
      <c r="A1678" s="21"/>
      <c r="C1678" s="11"/>
    </row>
    <row r="1679">
      <c r="A1679" s="21"/>
      <c r="C1679" s="11"/>
    </row>
    <row r="1680">
      <c r="A1680" s="21"/>
      <c r="C1680" s="11"/>
    </row>
    <row r="1681">
      <c r="A1681" s="21"/>
      <c r="C1681" s="11"/>
    </row>
    <row r="1682">
      <c r="A1682" s="21"/>
      <c r="C1682" s="11"/>
    </row>
    <row r="1683">
      <c r="A1683" s="21"/>
      <c r="C1683" s="11"/>
    </row>
    <row r="1684">
      <c r="A1684" s="21"/>
      <c r="C1684" s="11"/>
    </row>
    <row r="1685">
      <c r="A1685" s="21"/>
      <c r="C1685" s="11"/>
    </row>
    <row r="1686">
      <c r="A1686" s="21"/>
      <c r="C1686" s="11"/>
    </row>
    <row r="1687">
      <c r="A1687" s="21"/>
      <c r="C1687" s="11"/>
    </row>
    <row r="1688">
      <c r="A1688" s="21"/>
      <c r="C1688" s="11"/>
    </row>
    <row r="1689">
      <c r="A1689" s="21"/>
      <c r="C1689" s="11"/>
    </row>
    <row r="1690">
      <c r="A1690" s="21"/>
      <c r="C1690" s="11"/>
    </row>
    <row r="1691">
      <c r="A1691" s="21"/>
      <c r="C1691" s="11"/>
    </row>
    <row r="1692">
      <c r="A1692" s="21"/>
      <c r="C1692" s="11"/>
    </row>
    <row r="1693">
      <c r="A1693" s="21"/>
      <c r="C1693" s="11"/>
    </row>
    <row r="1694">
      <c r="A1694" s="21"/>
      <c r="C1694" s="11"/>
    </row>
    <row r="1695">
      <c r="A1695" s="21"/>
      <c r="C1695" s="11"/>
    </row>
    <row r="1696">
      <c r="A1696" s="21"/>
      <c r="C1696" s="11"/>
    </row>
    <row r="1697">
      <c r="A1697" s="21"/>
      <c r="C1697" s="11"/>
    </row>
    <row r="1698">
      <c r="A1698" s="21"/>
      <c r="C1698" s="11"/>
    </row>
    <row r="1699">
      <c r="A1699" s="21"/>
      <c r="C1699" s="11"/>
    </row>
    <row r="1700">
      <c r="A1700" s="21"/>
      <c r="C1700" s="11"/>
    </row>
    <row r="1701">
      <c r="A1701" s="21"/>
      <c r="C1701" s="11"/>
    </row>
    <row r="1702">
      <c r="A1702" s="21"/>
      <c r="C1702" s="11"/>
    </row>
    <row r="1703">
      <c r="A1703" s="21"/>
      <c r="C1703" s="11"/>
    </row>
    <row r="1704">
      <c r="A1704" s="21"/>
      <c r="C1704" s="11"/>
    </row>
    <row r="1705">
      <c r="A1705" s="21"/>
      <c r="C1705" s="11"/>
    </row>
    <row r="1706">
      <c r="A1706" s="21"/>
      <c r="C1706" s="11"/>
    </row>
    <row r="1707">
      <c r="A1707" s="21"/>
      <c r="C1707" s="11"/>
    </row>
    <row r="1708">
      <c r="A1708" s="21"/>
      <c r="C1708" s="11"/>
    </row>
    <row r="1709">
      <c r="A1709" s="21"/>
      <c r="C1709" s="11"/>
    </row>
    <row r="1710">
      <c r="A1710" s="21"/>
      <c r="C1710" s="11"/>
    </row>
    <row r="1711">
      <c r="A1711" s="21"/>
      <c r="C1711" s="11"/>
    </row>
    <row r="1712">
      <c r="A1712" s="21"/>
      <c r="C1712" s="11"/>
    </row>
    <row r="1713">
      <c r="A1713" s="21"/>
      <c r="C1713" s="11"/>
    </row>
    <row r="1714">
      <c r="A1714" s="21"/>
      <c r="C1714" s="11"/>
    </row>
    <row r="1715">
      <c r="A1715" s="21"/>
      <c r="C1715" s="11"/>
    </row>
    <row r="1716">
      <c r="A1716" s="21"/>
      <c r="C1716" s="11"/>
    </row>
    <row r="1717">
      <c r="A1717" s="21"/>
      <c r="C1717" s="11"/>
    </row>
    <row r="1718">
      <c r="A1718" s="21"/>
      <c r="C1718" s="11"/>
    </row>
    <row r="1719">
      <c r="A1719" s="21"/>
      <c r="C1719" s="11"/>
    </row>
    <row r="1720">
      <c r="A1720" s="21"/>
      <c r="C1720" s="11"/>
    </row>
    <row r="1721">
      <c r="A1721" s="21"/>
      <c r="C1721" s="11"/>
    </row>
    <row r="1722">
      <c r="A1722" s="21"/>
      <c r="C1722" s="11"/>
    </row>
    <row r="1723">
      <c r="A1723" s="21"/>
      <c r="C1723" s="11"/>
    </row>
    <row r="1724">
      <c r="A1724" s="21"/>
      <c r="C1724" s="11"/>
    </row>
    <row r="1725">
      <c r="A1725" s="21"/>
      <c r="C1725" s="11"/>
    </row>
    <row r="1726">
      <c r="A1726" s="21"/>
      <c r="C1726" s="11"/>
    </row>
    <row r="1727">
      <c r="A1727" s="21"/>
      <c r="C1727" s="11"/>
    </row>
    <row r="1728">
      <c r="A1728" s="21"/>
      <c r="C1728" s="11"/>
    </row>
    <row r="1729">
      <c r="A1729" s="21"/>
      <c r="C1729" s="11"/>
    </row>
    <row r="1730">
      <c r="A1730" s="21"/>
      <c r="C1730" s="11"/>
    </row>
    <row r="1731">
      <c r="A1731" s="21"/>
      <c r="C1731" s="11"/>
    </row>
    <row r="1732">
      <c r="A1732" s="21"/>
      <c r="C1732" s="11"/>
    </row>
    <row r="1733">
      <c r="A1733" s="21"/>
      <c r="C1733" s="11"/>
    </row>
    <row r="1734">
      <c r="A1734" s="21"/>
      <c r="C1734" s="11"/>
    </row>
    <row r="1735">
      <c r="A1735" s="21"/>
      <c r="C1735" s="11"/>
    </row>
    <row r="1736">
      <c r="A1736" s="21"/>
      <c r="C1736" s="11"/>
    </row>
    <row r="1737">
      <c r="A1737" s="21"/>
      <c r="C1737" s="11"/>
    </row>
    <row r="1738">
      <c r="A1738" s="21"/>
      <c r="C1738" s="11"/>
    </row>
    <row r="1739">
      <c r="A1739" s="21"/>
      <c r="C1739" s="11"/>
    </row>
    <row r="1740">
      <c r="A1740" s="21"/>
      <c r="C1740" s="11"/>
    </row>
    <row r="1741">
      <c r="A1741" s="21"/>
      <c r="C1741" s="11"/>
    </row>
    <row r="1742">
      <c r="A1742" s="21"/>
      <c r="C1742" s="11"/>
    </row>
    <row r="1743">
      <c r="A1743" s="21"/>
      <c r="C1743" s="11"/>
    </row>
    <row r="1744">
      <c r="A1744" s="21"/>
      <c r="C1744" s="11"/>
    </row>
    <row r="1745">
      <c r="A1745" s="21"/>
      <c r="C1745" s="11"/>
    </row>
    <row r="1746">
      <c r="A1746" s="21"/>
      <c r="C1746" s="11"/>
    </row>
    <row r="1747">
      <c r="A1747" s="21"/>
      <c r="C1747" s="11"/>
    </row>
    <row r="1748">
      <c r="A1748" s="21"/>
      <c r="C1748" s="11"/>
    </row>
    <row r="1749">
      <c r="A1749" s="21"/>
      <c r="C1749" s="11"/>
    </row>
    <row r="1750">
      <c r="A1750" s="21"/>
      <c r="C1750" s="11"/>
    </row>
    <row r="1751">
      <c r="A1751" s="21"/>
      <c r="C1751" s="11"/>
    </row>
    <row r="1752">
      <c r="A1752" s="21"/>
      <c r="C1752" s="11"/>
    </row>
    <row r="1753">
      <c r="A1753" s="21"/>
      <c r="C1753" s="11"/>
    </row>
    <row r="1754">
      <c r="A1754" s="21"/>
      <c r="C1754" s="11"/>
    </row>
    <row r="1755">
      <c r="A1755" s="21"/>
      <c r="C1755" s="11"/>
    </row>
    <row r="1756">
      <c r="A1756" s="21"/>
      <c r="C1756" s="11"/>
    </row>
    <row r="1757">
      <c r="A1757" s="21"/>
      <c r="C1757" s="11"/>
    </row>
    <row r="1758">
      <c r="A1758" s="21"/>
      <c r="C1758" s="11"/>
    </row>
    <row r="1759">
      <c r="A1759" s="21"/>
      <c r="C1759" s="11"/>
    </row>
    <row r="1760">
      <c r="A1760" s="21"/>
      <c r="C1760" s="11"/>
    </row>
    <row r="1761">
      <c r="A1761" s="21"/>
      <c r="C1761" s="11"/>
    </row>
    <row r="1762">
      <c r="A1762" s="21"/>
      <c r="C1762" s="11"/>
    </row>
    <row r="1763">
      <c r="A1763" s="21"/>
      <c r="C1763" s="11"/>
    </row>
    <row r="1764">
      <c r="A1764" s="21"/>
      <c r="C1764" s="11"/>
    </row>
    <row r="1765">
      <c r="A1765" s="21"/>
      <c r="C1765" s="11"/>
    </row>
    <row r="1766">
      <c r="A1766" s="21"/>
      <c r="C1766" s="11"/>
    </row>
    <row r="1767">
      <c r="A1767" s="21"/>
      <c r="C1767" s="11"/>
    </row>
    <row r="1768">
      <c r="A1768" s="21"/>
      <c r="C1768" s="11"/>
    </row>
    <row r="1769">
      <c r="A1769" s="21"/>
      <c r="C1769" s="11"/>
    </row>
    <row r="1770">
      <c r="A1770" s="21"/>
      <c r="C1770" s="11"/>
    </row>
    <row r="1771">
      <c r="A1771" s="21"/>
      <c r="C1771" s="11"/>
    </row>
    <row r="1772">
      <c r="A1772" s="21"/>
      <c r="C1772" s="11"/>
    </row>
    <row r="1773">
      <c r="A1773" s="21"/>
      <c r="C1773" s="11"/>
    </row>
    <row r="1774">
      <c r="A1774" s="21"/>
      <c r="C1774" s="11"/>
    </row>
    <row r="1775">
      <c r="A1775" s="21"/>
      <c r="C1775" s="11"/>
    </row>
    <row r="1776">
      <c r="A1776" s="21"/>
      <c r="C1776" s="11"/>
    </row>
    <row r="1777">
      <c r="A1777" s="21"/>
      <c r="C1777" s="11"/>
    </row>
    <row r="1778">
      <c r="A1778" s="21"/>
      <c r="C1778" s="11"/>
    </row>
    <row r="1779">
      <c r="A1779" s="21"/>
      <c r="C1779" s="11"/>
    </row>
    <row r="1780">
      <c r="A1780" s="21"/>
      <c r="C1780" s="11"/>
    </row>
    <row r="1781">
      <c r="A1781" s="21"/>
      <c r="C1781" s="11"/>
    </row>
    <row r="1782">
      <c r="A1782" s="21"/>
      <c r="C1782" s="11"/>
    </row>
    <row r="1783">
      <c r="A1783" s="21"/>
      <c r="C1783" s="11"/>
    </row>
    <row r="1784">
      <c r="A1784" s="21"/>
      <c r="C1784" s="11"/>
    </row>
    <row r="1785">
      <c r="A1785" s="21"/>
      <c r="C1785" s="11"/>
    </row>
    <row r="1786">
      <c r="A1786" s="21"/>
      <c r="C1786" s="11"/>
    </row>
    <row r="1787">
      <c r="A1787" s="21"/>
      <c r="C1787" s="11"/>
    </row>
    <row r="1788">
      <c r="A1788" s="21"/>
      <c r="C1788" s="11"/>
    </row>
    <row r="1789">
      <c r="A1789" s="21"/>
      <c r="C1789" s="11"/>
    </row>
    <row r="1790">
      <c r="A1790" s="21"/>
      <c r="C1790" s="11"/>
    </row>
    <row r="1791">
      <c r="A1791" s="21"/>
      <c r="C1791" s="11"/>
    </row>
    <row r="1792">
      <c r="A1792" s="21"/>
      <c r="C1792" s="11"/>
    </row>
    <row r="1793">
      <c r="A1793" s="21"/>
      <c r="C1793" s="11"/>
    </row>
    <row r="1794">
      <c r="A1794" s="21"/>
      <c r="C1794" s="11"/>
    </row>
    <row r="1795">
      <c r="A1795" s="21"/>
      <c r="C1795" s="11"/>
    </row>
    <row r="1796">
      <c r="A1796" s="21"/>
      <c r="C1796" s="11"/>
    </row>
    <row r="1797">
      <c r="A1797" s="21"/>
      <c r="C1797" s="11"/>
    </row>
    <row r="1798">
      <c r="A1798" s="21"/>
      <c r="C1798" s="11"/>
    </row>
    <row r="1799">
      <c r="A1799" s="21"/>
      <c r="C1799" s="11"/>
    </row>
    <row r="1800">
      <c r="A1800" s="21"/>
      <c r="C1800" s="11"/>
    </row>
    <row r="1801">
      <c r="A1801" s="21"/>
      <c r="C1801" s="11"/>
    </row>
    <row r="1802">
      <c r="A1802" s="21"/>
      <c r="C1802" s="11"/>
    </row>
    <row r="1803">
      <c r="A1803" s="21"/>
      <c r="C1803" s="11"/>
    </row>
    <row r="1804">
      <c r="A1804" s="21"/>
      <c r="C1804" s="11"/>
    </row>
    <row r="1805">
      <c r="A1805" s="21"/>
      <c r="C1805" s="11"/>
    </row>
    <row r="1806">
      <c r="A1806" s="21"/>
      <c r="C1806" s="11"/>
    </row>
    <row r="1807">
      <c r="A1807" s="21"/>
      <c r="C1807" s="11"/>
    </row>
    <row r="1808">
      <c r="A1808" s="21"/>
      <c r="C1808" s="11"/>
    </row>
    <row r="1809">
      <c r="A1809" s="21"/>
      <c r="C1809" s="11"/>
    </row>
    <row r="1810">
      <c r="A1810" s="21"/>
      <c r="C1810" s="11"/>
    </row>
    <row r="1811">
      <c r="A1811" s="21"/>
      <c r="C1811" s="11"/>
    </row>
    <row r="1812">
      <c r="A1812" s="21"/>
      <c r="C1812" s="11"/>
    </row>
    <row r="1813">
      <c r="A1813" s="21"/>
      <c r="C1813" s="11"/>
    </row>
    <row r="1814">
      <c r="A1814" s="21"/>
      <c r="C1814" s="11"/>
    </row>
    <row r="1815">
      <c r="A1815" s="21"/>
      <c r="C1815" s="11"/>
    </row>
    <row r="1816">
      <c r="A1816" s="21"/>
      <c r="C1816" s="11"/>
    </row>
    <row r="1817">
      <c r="A1817" s="21"/>
      <c r="C1817" s="11"/>
    </row>
    <row r="1818">
      <c r="A1818" s="21"/>
      <c r="C1818" s="11"/>
    </row>
    <row r="1819">
      <c r="A1819" s="21"/>
      <c r="C1819" s="11"/>
    </row>
    <row r="1820">
      <c r="A1820" s="21"/>
      <c r="C1820" s="11"/>
    </row>
    <row r="1821">
      <c r="A1821" s="21"/>
      <c r="C1821" s="11"/>
    </row>
    <row r="1822">
      <c r="A1822" s="21"/>
      <c r="C1822" s="11"/>
    </row>
    <row r="1823">
      <c r="A1823" s="21"/>
      <c r="C1823" s="11"/>
    </row>
    <row r="1824">
      <c r="A1824" s="21"/>
      <c r="C1824" s="11"/>
    </row>
    <row r="1825">
      <c r="A1825" s="21"/>
      <c r="C1825" s="11"/>
    </row>
    <row r="1826">
      <c r="A1826" s="21"/>
      <c r="C1826" s="11"/>
    </row>
    <row r="1827">
      <c r="A1827" s="21"/>
      <c r="C1827" s="11"/>
    </row>
    <row r="1828">
      <c r="A1828" s="21"/>
      <c r="C1828" s="11"/>
    </row>
    <row r="1829">
      <c r="A1829" s="21"/>
      <c r="C1829" s="11"/>
    </row>
    <row r="1830">
      <c r="A1830" s="21"/>
      <c r="C1830" s="11"/>
    </row>
    <row r="1831">
      <c r="A1831" s="21"/>
      <c r="C1831" s="11"/>
    </row>
    <row r="1832">
      <c r="A1832" s="21"/>
      <c r="C1832" s="11"/>
    </row>
    <row r="1833">
      <c r="A1833" s="21"/>
      <c r="C1833" s="11"/>
    </row>
    <row r="1834">
      <c r="A1834" s="21"/>
      <c r="C1834" s="11"/>
    </row>
    <row r="1835">
      <c r="A1835" s="21"/>
      <c r="C1835" s="11"/>
    </row>
    <row r="1836">
      <c r="A1836" s="21"/>
      <c r="C1836" s="11"/>
    </row>
    <row r="1837">
      <c r="A1837" s="21"/>
      <c r="C1837" s="11"/>
    </row>
    <row r="1838">
      <c r="A1838" s="21"/>
      <c r="C1838" s="11"/>
    </row>
    <row r="1839">
      <c r="A1839" s="21"/>
      <c r="C1839" s="11"/>
    </row>
    <row r="1840">
      <c r="A1840" s="21"/>
      <c r="C1840" s="11"/>
    </row>
    <row r="1841">
      <c r="A1841" s="21"/>
      <c r="C1841" s="11"/>
    </row>
    <row r="1842">
      <c r="A1842" s="21"/>
      <c r="C1842" s="11"/>
    </row>
    <row r="1843">
      <c r="A1843" s="21"/>
      <c r="C1843" s="11"/>
    </row>
    <row r="1844">
      <c r="A1844" s="21"/>
      <c r="C1844" s="11"/>
    </row>
    <row r="1845">
      <c r="A1845" s="21"/>
      <c r="C1845" s="11"/>
    </row>
    <row r="1846">
      <c r="A1846" s="21"/>
      <c r="C1846" s="11"/>
    </row>
    <row r="1847">
      <c r="A1847" s="21"/>
      <c r="C1847" s="11"/>
    </row>
    <row r="1848">
      <c r="A1848" s="21"/>
      <c r="C1848" s="11"/>
    </row>
    <row r="1849">
      <c r="A1849" s="21"/>
      <c r="C1849" s="11"/>
    </row>
    <row r="1850">
      <c r="A1850" s="21"/>
      <c r="C1850" s="11"/>
    </row>
    <row r="1851">
      <c r="A1851" s="21"/>
      <c r="C1851" s="11"/>
    </row>
    <row r="1852">
      <c r="A1852" s="21"/>
      <c r="C1852" s="11"/>
    </row>
    <row r="1853">
      <c r="A1853" s="21"/>
      <c r="C1853" s="11"/>
    </row>
    <row r="1854">
      <c r="A1854" s="21"/>
      <c r="C1854" s="11"/>
    </row>
    <row r="1855">
      <c r="A1855" s="21"/>
      <c r="C1855" s="11"/>
    </row>
    <row r="1856">
      <c r="A1856" s="21"/>
      <c r="C1856" s="11"/>
    </row>
    <row r="1857">
      <c r="A1857" s="21"/>
      <c r="C1857" s="11"/>
    </row>
    <row r="1858">
      <c r="A1858" s="21"/>
      <c r="C1858" s="11"/>
    </row>
    <row r="1859">
      <c r="A1859" s="21"/>
      <c r="C1859" s="11"/>
    </row>
    <row r="1860">
      <c r="A1860" s="21"/>
      <c r="C1860" s="11"/>
    </row>
    <row r="1861">
      <c r="A1861" s="21"/>
      <c r="C1861" s="11"/>
    </row>
    <row r="1862">
      <c r="A1862" s="21"/>
      <c r="C1862" s="11"/>
    </row>
    <row r="1863">
      <c r="A1863" s="21"/>
      <c r="C1863" s="11"/>
    </row>
    <row r="1864">
      <c r="A1864" s="21"/>
      <c r="C1864" s="11"/>
    </row>
    <row r="1865">
      <c r="A1865" s="21"/>
      <c r="C1865" s="11"/>
    </row>
    <row r="1866">
      <c r="A1866" s="21"/>
      <c r="C1866" s="11"/>
    </row>
    <row r="1867">
      <c r="A1867" s="21"/>
      <c r="C1867" s="11"/>
    </row>
    <row r="1868">
      <c r="A1868" s="21"/>
      <c r="C1868" s="11"/>
    </row>
    <row r="1869">
      <c r="A1869" s="21"/>
      <c r="C1869" s="11"/>
    </row>
    <row r="1870">
      <c r="A1870" s="21"/>
      <c r="C1870" s="11"/>
    </row>
    <row r="1871">
      <c r="A1871" s="21"/>
      <c r="C1871" s="11"/>
    </row>
    <row r="1872">
      <c r="A1872" s="21"/>
      <c r="C1872" s="11"/>
    </row>
    <row r="1873">
      <c r="A1873" s="21"/>
      <c r="C1873" s="11"/>
    </row>
    <row r="1874">
      <c r="A1874" s="21"/>
      <c r="C1874" s="11"/>
    </row>
    <row r="1875">
      <c r="A1875" s="21"/>
      <c r="C1875" s="11"/>
    </row>
    <row r="1876">
      <c r="A1876" s="21"/>
      <c r="C1876" s="11"/>
    </row>
    <row r="1877">
      <c r="A1877" s="21"/>
      <c r="C1877" s="11"/>
    </row>
    <row r="1878">
      <c r="A1878" s="21"/>
      <c r="C1878" s="11"/>
    </row>
    <row r="1879">
      <c r="A1879" s="21"/>
      <c r="C1879" s="11"/>
    </row>
    <row r="1880">
      <c r="A1880" s="21"/>
      <c r="C1880" s="11"/>
    </row>
    <row r="1881">
      <c r="A1881" s="21"/>
      <c r="C1881" s="11"/>
    </row>
    <row r="1882">
      <c r="A1882" s="21"/>
      <c r="C1882" s="11"/>
    </row>
    <row r="1883">
      <c r="A1883" s="21"/>
      <c r="C1883" s="11"/>
    </row>
    <row r="1884">
      <c r="A1884" s="21"/>
      <c r="C1884" s="11"/>
    </row>
    <row r="1885">
      <c r="A1885" s="21"/>
      <c r="C1885" s="11"/>
    </row>
    <row r="1886">
      <c r="A1886" s="21"/>
      <c r="C1886" s="11"/>
    </row>
    <row r="1887">
      <c r="A1887" s="21"/>
      <c r="C1887" s="11"/>
    </row>
    <row r="1888">
      <c r="A1888" s="21"/>
      <c r="C1888" s="11"/>
    </row>
    <row r="1889">
      <c r="A1889" s="21"/>
      <c r="C1889" s="11"/>
    </row>
    <row r="1890">
      <c r="A1890" s="21"/>
      <c r="C1890" s="11"/>
    </row>
    <row r="1891">
      <c r="A1891" s="21"/>
      <c r="C1891" s="11"/>
    </row>
    <row r="1892">
      <c r="A1892" s="21"/>
      <c r="C1892" s="11"/>
    </row>
    <row r="1893">
      <c r="A1893" s="21"/>
      <c r="C1893" s="11"/>
    </row>
    <row r="1894">
      <c r="A1894" s="21"/>
      <c r="C1894" s="11"/>
    </row>
    <row r="1895">
      <c r="A1895" s="21"/>
      <c r="C1895" s="11"/>
    </row>
    <row r="1896">
      <c r="A1896" s="21"/>
      <c r="C1896" s="11"/>
    </row>
    <row r="1897">
      <c r="A1897" s="21"/>
      <c r="C1897" s="11"/>
    </row>
    <row r="1898">
      <c r="A1898" s="21"/>
      <c r="C1898" s="11"/>
    </row>
    <row r="1899">
      <c r="A1899" s="21"/>
      <c r="C1899" s="11"/>
    </row>
    <row r="1900">
      <c r="A1900" s="21"/>
      <c r="C1900" s="11"/>
    </row>
    <row r="1901">
      <c r="A1901" s="21"/>
      <c r="C1901" s="11"/>
    </row>
    <row r="1902">
      <c r="A1902" s="21"/>
      <c r="C1902" s="11"/>
    </row>
    <row r="1903">
      <c r="A1903" s="21"/>
      <c r="C1903" s="11"/>
    </row>
    <row r="1904">
      <c r="A1904" s="21"/>
      <c r="C1904" s="11"/>
    </row>
    <row r="1905">
      <c r="A1905" s="21"/>
      <c r="C1905" s="11"/>
    </row>
    <row r="1906">
      <c r="A1906" s="21"/>
      <c r="C1906" s="11"/>
    </row>
    <row r="1907">
      <c r="A1907" s="21"/>
      <c r="C1907" s="11"/>
    </row>
    <row r="1908">
      <c r="A1908" s="21"/>
      <c r="C1908" s="11"/>
    </row>
    <row r="1909">
      <c r="A1909" s="21"/>
      <c r="C1909" s="11"/>
    </row>
    <row r="1910">
      <c r="A1910" s="21"/>
      <c r="C1910" s="11"/>
    </row>
    <row r="1911">
      <c r="A1911" s="21"/>
      <c r="C1911" s="11"/>
    </row>
    <row r="1912">
      <c r="A1912" s="21"/>
      <c r="C1912" s="11"/>
    </row>
    <row r="1913">
      <c r="A1913" s="21"/>
      <c r="C1913" s="11"/>
    </row>
    <row r="1914">
      <c r="A1914" s="21"/>
      <c r="C1914" s="11"/>
    </row>
    <row r="1915">
      <c r="A1915" s="21"/>
      <c r="C1915" s="11"/>
    </row>
    <row r="1916">
      <c r="A1916" s="21"/>
      <c r="C1916" s="11"/>
    </row>
    <row r="1917">
      <c r="A1917" s="21"/>
      <c r="C1917" s="11"/>
    </row>
    <row r="1918">
      <c r="A1918" s="21"/>
      <c r="C1918" s="11"/>
    </row>
    <row r="1919">
      <c r="A1919" s="21"/>
      <c r="C1919" s="11"/>
    </row>
    <row r="1920">
      <c r="A1920" s="21"/>
      <c r="C1920" s="11"/>
    </row>
    <row r="1921">
      <c r="A1921" s="21"/>
      <c r="C1921" s="11"/>
    </row>
    <row r="1922">
      <c r="A1922" s="21"/>
      <c r="C1922" s="11"/>
    </row>
    <row r="1923">
      <c r="A1923" s="21"/>
      <c r="C1923" s="11"/>
    </row>
    <row r="1924">
      <c r="A1924" s="21"/>
      <c r="C1924" s="11"/>
    </row>
    <row r="1925">
      <c r="A1925" s="21"/>
      <c r="C1925" s="11"/>
    </row>
    <row r="1926">
      <c r="A1926" s="21"/>
      <c r="C1926" s="11"/>
    </row>
    <row r="1927">
      <c r="A1927" s="21"/>
      <c r="C1927" s="11"/>
    </row>
    <row r="1928">
      <c r="A1928" s="21"/>
      <c r="C1928" s="11"/>
    </row>
    <row r="1929">
      <c r="A1929" s="21"/>
      <c r="C1929" s="11"/>
    </row>
    <row r="1930">
      <c r="A1930" s="21"/>
      <c r="C1930" s="11"/>
    </row>
    <row r="1931">
      <c r="A1931" s="21"/>
      <c r="C1931" s="11"/>
    </row>
    <row r="1932">
      <c r="A1932" s="21"/>
      <c r="C1932" s="11"/>
    </row>
    <row r="1933">
      <c r="A1933" s="21"/>
      <c r="C1933" s="11"/>
    </row>
    <row r="1934">
      <c r="A1934" s="21"/>
      <c r="C1934" s="11"/>
    </row>
    <row r="1935">
      <c r="A1935" s="21"/>
      <c r="C1935" s="11"/>
    </row>
    <row r="1936">
      <c r="A1936" s="21"/>
      <c r="C1936" s="11"/>
    </row>
    <row r="1937">
      <c r="A1937" s="21"/>
      <c r="C1937" s="11"/>
    </row>
    <row r="1938">
      <c r="A1938" s="21"/>
      <c r="C1938" s="11"/>
    </row>
    <row r="1939">
      <c r="A1939" s="21"/>
      <c r="C1939" s="11"/>
    </row>
    <row r="1940">
      <c r="A1940" s="21"/>
      <c r="C1940" s="11"/>
    </row>
    <row r="1941">
      <c r="A1941" s="21"/>
      <c r="C1941" s="11"/>
    </row>
    <row r="1942">
      <c r="A1942" s="21"/>
      <c r="C1942" s="11"/>
    </row>
    <row r="1943">
      <c r="A1943" s="21"/>
      <c r="C1943" s="11"/>
    </row>
    <row r="1944">
      <c r="A1944" s="21"/>
      <c r="C1944" s="11"/>
    </row>
    <row r="1945">
      <c r="A1945" s="21"/>
      <c r="C1945" s="11"/>
    </row>
    <row r="1946">
      <c r="A1946" s="21"/>
      <c r="C1946" s="11"/>
    </row>
    <row r="1947">
      <c r="A1947" s="21"/>
      <c r="C1947" s="11"/>
    </row>
    <row r="1948">
      <c r="A1948" s="21"/>
      <c r="C1948" s="11"/>
    </row>
    <row r="1949">
      <c r="A1949" s="21"/>
      <c r="C1949" s="11"/>
    </row>
    <row r="1950">
      <c r="A1950" s="21"/>
      <c r="C1950" s="11"/>
    </row>
    <row r="1951">
      <c r="A1951" s="21"/>
      <c r="C1951" s="11"/>
    </row>
    <row r="1952">
      <c r="A1952" s="21"/>
      <c r="C1952" s="11"/>
    </row>
    <row r="1953">
      <c r="A1953" s="21"/>
      <c r="C1953" s="11"/>
    </row>
    <row r="1954">
      <c r="A1954" s="21"/>
      <c r="C1954" s="11"/>
    </row>
    <row r="1955">
      <c r="A1955" s="21"/>
      <c r="C1955" s="11"/>
    </row>
    <row r="1956">
      <c r="A1956" s="21"/>
      <c r="C1956" s="11"/>
    </row>
    <row r="1957">
      <c r="A1957" s="21"/>
      <c r="C1957" s="11"/>
    </row>
    <row r="1958">
      <c r="A1958" s="21"/>
      <c r="C1958" s="11"/>
    </row>
    <row r="1959">
      <c r="A1959" s="21"/>
      <c r="C1959" s="11"/>
    </row>
    <row r="1960">
      <c r="A1960" s="21"/>
      <c r="C1960" s="11"/>
    </row>
    <row r="1961">
      <c r="A1961" s="21"/>
      <c r="C1961" s="11"/>
    </row>
    <row r="1962">
      <c r="A1962" s="21"/>
      <c r="C1962" s="11"/>
    </row>
    <row r="1963">
      <c r="A1963" s="21"/>
      <c r="C1963" s="11"/>
    </row>
    <row r="1964">
      <c r="A1964" s="21"/>
      <c r="C1964" s="11"/>
    </row>
    <row r="1965">
      <c r="A1965" s="21"/>
      <c r="C1965" s="11"/>
    </row>
    <row r="1966">
      <c r="A1966" s="21"/>
      <c r="C1966" s="11"/>
    </row>
    <row r="1967">
      <c r="A1967" s="21"/>
      <c r="C1967" s="11"/>
    </row>
    <row r="1968">
      <c r="A1968" s="21"/>
      <c r="C1968" s="11"/>
    </row>
    <row r="1969">
      <c r="A1969" s="21"/>
      <c r="C1969" s="11"/>
    </row>
    <row r="1970">
      <c r="A1970" s="21"/>
      <c r="C1970" s="11"/>
    </row>
    <row r="1971">
      <c r="A1971" s="21"/>
      <c r="C1971" s="11"/>
    </row>
    <row r="1972">
      <c r="A1972" s="21"/>
      <c r="C1972" s="11"/>
    </row>
    <row r="1973">
      <c r="A1973" s="21"/>
      <c r="C1973" s="11"/>
    </row>
    <row r="1974">
      <c r="A1974" s="21"/>
      <c r="C1974" s="11"/>
    </row>
    <row r="1975">
      <c r="A1975" s="21"/>
      <c r="C1975" s="11"/>
    </row>
    <row r="1976">
      <c r="A1976" s="21"/>
      <c r="C1976" s="11"/>
    </row>
    <row r="1977">
      <c r="A1977" s="21"/>
      <c r="C1977" s="11"/>
    </row>
    <row r="1978">
      <c r="A1978" s="21"/>
      <c r="C1978" s="11"/>
    </row>
    <row r="1979">
      <c r="A1979" s="21"/>
      <c r="C1979" s="11"/>
    </row>
    <row r="1980">
      <c r="A1980" s="21"/>
      <c r="C1980" s="11"/>
    </row>
    <row r="1981">
      <c r="A1981" s="21"/>
      <c r="C1981" s="11"/>
    </row>
    <row r="1982">
      <c r="A1982" s="21"/>
      <c r="C1982" s="11"/>
    </row>
    <row r="1983">
      <c r="A1983" s="21"/>
      <c r="C1983" s="11"/>
    </row>
    <row r="1984">
      <c r="A1984" s="21"/>
      <c r="C1984" s="11"/>
    </row>
    <row r="1985">
      <c r="A1985" s="21"/>
      <c r="C1985" s="11"/>
    </row>
    <row r="1986">
      <c r="A1986" s="21"/>
      <c r="C1986" s="11"/>
    </row>
    <row r="1987">
      <c r="A1987" s="21"/>
      <c r="C1987" s="11"/>
    </row>
    <row r="1988">
      <c r="A1988" s="21"/>
      <c r="C1988" s="11"/>
    </row>
    <row r="1989">
      <c r="A1989" s="21"/>
      <c r="C1989" s="11"/>
    </row>
    <row r="1990">
      <c r="A1990" s="21"/>
      <c r="C1990" s="11"/>
    </row>
    <row r="1991">
      <c r="A1991" s="21"/>
      <c r="C1991" s="11"/>
    </row>
    <row r="1992">
      <c r="A1992" s="21"/>
      <c r="C1992" s="11"/>
    </row>
    <row r="1993">
      <c r="A1993" s="21"/>
      <c r="C1993" s="11"/>
    </row>
    <row r="1994">
      <c r="A1994" s="21"/>
      <c r="C1994" s="11"/>
    </row>
    <row r="1995">
      <c r="A1995" s="21"/>
      <c r="C1995" s="11"/>
    </row>
    <row r="1996">
      <c r="A1996" s="21"/>
      <c r="C1996" s="11"/>
    </row>
    <row r="1997">
      <c r="A1997" s="21"/>
      <c r="C1997" s="11"/>
    </row>
    <row r="1998">
      <c r="A1998" s="21"/>
      <c r="C1998" s="11"/>
    </row>
    <row r="1999">
      <c r="A1999" s="21"/>
      <c r="C1999" s="11"/>
    </row>
    <row r="2000">
      <c r="A2000" s="21"/>
      <c r="C2000" s="11"/>
    </row>
    <row r="2001">
      <c r="A2001" s="21"/>
      <c r="C2001" s="11"/>
    </row>
    <row r="2002">
      <c r="A2002" s="21"/>
      <c r="C2002" s="11"/>
    </row>
    <row r="2003">
      <c r="A2003" s="21"/>
      <c r="C2003" s="11"/>
    </row>
    <row r="2004">
      <c r="A2004" s="21"/>
      <c r="C2004" s="11"/>
    </row>
    <row r="2005">
      <c r="A2005" s="21"/>
      <c r="C2005" s="11"/>
    </row>
    <row r="2006">
      <c r="A2006" s="21"/>
      <c r="C2006" s="11"/>
    </row>
    <row r="2007">
      <c r="A2007" s="21"/>
      <c r="C2007" s="11"/>
    </row>
    <row r="2008">
      <c r="A2008" s="21"/>
      <c r="C2008" s="11"/>
    </row>
    <row r="2009">
      <c r="A2009" s="21"/>
      <c r="C2009" s="11"/>
    </row>
    <row r="2010">
      <c r="A2010" s="21"/>
      <c r="C2010" s="11"/>
    </row>
    <row r="2011">
      <c r="A2011" s="21"/>
      <c r="C2011" s="11"/>
    </row>
    <row r="2012">
      <c r="A2012" s="21"/>
      <c r="C2012" s="11"/>
    </row>
    <row r="2013">
      <c r="A2013" s="21"/>
      <c r="C2013" s="11"/>
    </row>
    <row r="2014">
      <c r="A2014" s="21"/>
      <c r="C2014" s="11"/>
    </row>
    <row r="2015">
      <c r="A2015" s="21"/>
      <c r="C2015" s="11"/>
    </row>
    <row r="2016">
      <c r="A2016" s="21"/>
      <c r="C2016" s="11"/>
    </row>
    <row r="2017">
      <c r="A2017" s="21"/>
      <c r="C2017" s="11"/>
    </row>
    <row r="2018">
      <c r="A2018" s="21"/>
      <c r="C2018" s="11"/>
    </row>
    <row r="2019">
      <c r="A2019" s="21"/>
      <c r="C2019" s="11"/>
    </row>
    <row r="2020">
      <c r="A2020" s="21"/>
      <c r="C2020" s="11"/>
    </row>
    <row r="2021">
      <c r="A2021" s="21"/>
      <c r="C2021" s="11"/>
    </row>
    <row r="2022">
      <c r="A2022" s="21"/>
      <c r="C2022" s="11"/>
    </row>
    <row r="2023">
      <c r="A2023" s="21"/>
      <c r="C2023" s="11"/>
    </row>
    <row r="2024">
      <c r="A2024" s="21"/>
      <c r="C2024" s="11"/>
    </row>
    <row r="2025">
      <c r="A2025" s="21"/>
      <c r="C2025" s="11"/>
    </row>
    <row r="2026">
      <c r="A2026" s="21"/>
      <c r="C2026" s="11"/>
    </row>
    <row r="2027">
      <c r="A2027" s="21"/>
      <c r="C2027" s="11"/>
    </row>
    <row r="2028">
      <c r="A2028" s="21"/>
      <c r="C2028" s="11"/>
    </row>
    <row r="2029">
      <c r="A2029" s="21"/>
      <c r="C2029" s="11"/>
    </row>
    <row r="2030">
      <c r="A2030" s="21"/>
      <c r="C2030" s="11"/>
    </row>
    <row r="2031">
      <c r="A2031" s="21"/>
      <c r="C2031" s="11"/>
    </row>
    <row r="2032">
      <c r="A2032" s="21"/>
      <c r="C2032" s="11"/>
    </row>
    <row r="2033">
      <c r="A2033" s="21"/>
      <c r="C2033" s="11"/>
    </row>
    <row r="2034">
      <c r="A2034" s="21"/>
      <c r="C2034" s="11"/>
    </row>
    <row r="2035">
      <c r="A2035" s="21"/>
      <c r="C2035" s="11"/>
    </row>
    <row r="2036">
      <c r="A2036" s="21"/>
      <c r="C2036" s="11"/>
    </row>
    <row r="2037">
      <c r="A2037" s="21"/>
      <c r="C2037" s="11"/>
    </row>
    <row r="2038">
      <c r="A2038" s="21"/>
      <c r="C2038" s="11"/>
    </row>
    <row r="2039">
      <c r="A2039" s="21"/>
      <c r="C2039" s="11"/>
    </row>
    <row r="2040">
      <c r="A2040" s="21"/>
      <c r="C2040" s="11"/>
    </row>
    <row r="2041">
      <c r="A2041" s="21"/>
      <c r="C2041" s="11"/>
    </row>
    <row r="2042">
      <c r="A2042" s="21"/>
      <c r="C2042" s="11"/>
    </row>
    <row r="2043">
      <c r="A2043" s="21"/>
      <c r="C2043" s="11"/>
    </row>
    <row r="2044">
      <c r="A2044" s="21"/>
      <c r="C2044" s="11"/>
    </row>
    <row r="2045">
      <c r="A2045" s="21"/>
      <c r="C2045" s="11"/>
    </row>
    <row r="2046">
      <c r="A2046" s="21"/>
      <c r="C2046" s="11"/>
    </row>
    <row r="2047">
      <c r="A2047" s="21"/>
      <c r="C2047" s="11"/>
    </row>
    <row r="2048">
      <c r="A2048" s="21"/>
      <c r="C2048" s="11"/>
    </row>
    <row r="2049">
      <c r="A2049" s="21"/>
      <c r="C2049" s="11"/>
    </row>
    <row r="2050">
      <c r="A2050" s="21"/>
      <c r="C2050" s="11"/>
    </row>
    <row r="2051">
      <c r="A2051" s="21"/>
      <c r="C2051" s="11"/>
    </row>
    <row r="2052">
      <c r="A2052" s="21"/>
      <c r="C2052" s="11"/>
    </row>
    <row r="2053">
      <c r="A2053" s="21"/>
      <c r="C2053" s="11"/>
    </row>
    <row r="2054">
      <c r="A2054" s="21"/>
      <c r="C2054" s="11"/>
    </row>
    <row r="2055">
      <c r="A2055" s="21"/>
      <c r="C2055" s="11"/>
    </row>
    <row r="2056">
      <c r="A2056" s="21"/>
      <c r="C2056" s="11"/>
    </row>
    <row r="2057">
      <c r="A2057" s="21"/>
      <c r="C2057" s="11"/>
    </row>
    <row r="2058">
      <c r="A2058" s="21"/>
      <c r="C2058" s="11"/>
    </row>
    <row r="2059">
      <c r="A2059" s="21"/>
      <c r="C2059" s="11"/>
    </row>
    <row r="2060">
      <c r="A2060" s="21"/>
      <c r="C2060" s="11"/>
    </row>
    <row r="2061">
      <c r="A2061" s="21"/>
      <c r="C2061" s="11"/>
    </row>
    <row r="2062">
      <c r="A2062" s="21"/>
      <c r="C2062" s="11"/>
    </row>
    <row r="2063">
      <c r="A2063" s="21"/>
      <c r="C2063" s="11"/>
    </row>
    <row r="2064">
      <c r="A2064" s="21"/>
      <c r="C2064" s="11"/>
    </row>
    <row r="2065">
      <c r="A2065" s="21"/>
      <c r="C2065" s="11"/>
    </row>
    <row r="2066">
      <c r="A2066" s="21"/>
      <c r="C2066" s="11"/>
    </row>
    <row r="2067">
      <c r="A2067" s="21"/>
      <c r="C2067" s="11"/>
    </row>
    <row r="2068">
      <c r="A2068" s="21"/>
      <c r="C2068" s="11"/>
    </row>
    <row r="2069">
      <c r="A2069" s="21"/>
      <c r="C2069" s="11"/>
    </row>
    <row r="2070">
      <c r="A2070" s="21"/>
      <c r="C2070" s="11"/>
    </row>
    <row r="2071">
      <c r="A2071" s="21"/>
      <c r="C2071" s="11"/>
    </row>
    <row r="2072">
      <c r="A2072" s="21"/>
      <c r="C2072" s="11"/>
    </row>
    <row r="2073">
      <c r="A2073" s="21"/>
      <c r="C2073" s="11"/>
    </row>
    <row r="2074">
      <c r="A2074" s="21"/>
      <c r="C2074" s="11"/>
    </row>
    <row r="2075">
      <c r="A2075" s="21"/>
      <c r="C2075" s="11"/>
    </row>
    <row r="2076">
      <c r="A2076" s="21"/>
      <c r="C2076" s="11"/>
    </row>
    <row r="2077">
      <c r="A2077" s="21"/>
      <c r="C2077" s="11"/>
    </row>
    <row r="2078">
      <c r="A2078" s="21"/>
      <c r="C2078" s="11"/>
    </row>
    <row r="2079">
      <c r="A2079" s="21"/>
      <c r="C2079" s="11"/>
    </row>
    <row r="2080">
      <c r="A2080" s="21"/>
      <c r="C2080" s="11"/>
    </row>
    <row r="2081">
      <c r="A2081" s="21"/>
      <c r="C2081" s="11"/>
    </row>
    <row r="2082">
      <c r="A2082" s="21"/>
      <c r="C2082" s="11"/>
    </row>
    <row r="2083">
      <c r="A2083" s="21"/>
      <c r="C2083" s="11"/>
    </row>
    <row r="2084">
      <c r="A2084" s="21"/>
      <c r="C2084" s="11"/>
    </row>
    <row r="2085">
      <c r="A2085" s="21"/>
      <c r="C2085" s="11"/>
    </row>
    <row r="2086">
      <c r="A2086" s="21"/>
      <c r="C2086" s="11"/>
    </row>
    <row r="2087">
      <c r="A2087" s="21"/>
      <c r="C2087" s="11"/>
    </row>
    <row r="2088">
      <c r="A2088" s="21"/>
      <c r="C2088" s="11"/>
    </row>
    <row r="2089">
      <c r="A2089" s="21"/>
      <c r="C2089" s="11"/>
    </row>
    <row r="2090">
      <c r="A2090" s="21"/>
      <c r="C2090" s="11"/>
    </row>
    <row r="2091">
      <c r="A2091" s="21"/>
      <c r="C2091" s="11"/>
    </row>
    <row r="2092">
      <c r="A2092" s="21"/>
      <c r="C2092" s="11"/>
    </row>
    <row r="2093">
      <c r="A2093" s="21"/>
      <c r="C2093" s="11"/>
    </row>
    <row r="2094">
      <c r="A2094" s="21"/>
      <c r="C2094" s="11"/>
    </row>
    <row r="2095">
      <c r="A2095" s="21"/>
      <c r="C2095" s="11"/>
    </row>
    <row r="2096">
      <c r="A2096" s="21"/>
      <c r="C2096" s="11"/>
    </row>
    <row r="2097">
      <c r="A2097" s="21"/>
      <c r="C2097" s="11"/>
    </row>
    <row r="2098">
      <c r="A2098" s="21"/>
      <c r="C2098" s="11"/>
    </row>
    <row r="2099">
      <c r="A2099" s="21"/>
      <c r="C2099" s="11"/>
    </row>
    <row r="2100">
      <c r="A2100" s="21"/>
      <c r="C2100" s="11"/>
    </row>
    <row r="2101">
      <c r="A2101" s="21"/>
      <c r="C2101" s="11"/>
    </row>
    <row r="2102">
      <c r="A2102" s="21"/>
      <c r="C2102" s="11"/>
    </row>
    <row r="2103">
      <c r="A2103" s="21"/>
      <c r="C2103" s="11"/>
    </row>
    <row r="2104">
      <c r="A2104" s="21"/>
      <c r="C2104" s="11"/>
    </row>
    <row r="2105">
      <c r="A2105" s="21"/>
      <c r="C2105" s="11"/>
    </row>
    <row r="2106">
      <c r="A2106" s="21"/>
      <c r="C2106" s="11"/>
    </row>
    <row r="2107">
      <c r="A2107" s="21"/>
      <c r="C2107" s="11"/>
    </row>
    <row r="2108">
      <c r="A2108" s="21"/>
      <c r="C2108" s="11"/>
    </row>
    <row r="2109">
      <c r="A2109" s="21"/>
      <c r="C2109" s="11"/>
    </row>
    <row r="2110">
      <c r="A2110" s="21"/>
      <c r="C2110" s="11"/>
    </row>
    <row r="2111">
      <c r="A2111" s="21"/>
      <c r="C2111" s="11"/>
    </row>
    <row r="2112">
      <c r="A2112" s="21"/>
      <c r="C2112" s="11"/>
    </row>
    <row r="2113">
      <c r="A2113" s="21"/>
      <c r="C2113" s="11"/>
    </row>
    <row r="2114">
      <c r="A2114" s="21"/>
      <c r="C2114" s="11"/>
    </row>
    <row r="2115">
      <c r="A2115" s="21"/>
      <c r="C2115" s="11"/>
    </row>
    <row r="2116">
      <c r="A2116" s="21"/>
      <c r="C2116" s="11"/>
    </row>
    <row r="2117">
      <c r="A2117" s="21"/>
      <c r="C2117" s="11"/>
    </row>
    <row r="2118">
      <c r="A2118" s="21"/>
      <c r="C2118" s="11"/>
    </row>
    <row r="2119">
      <c r="A2119" s="21"/>
      <c r="C2119" s="11"/>
    </row>
    <row r="2120">
      <c r="A2120" s="21"/>
      <c r="C2120" s="11"/>
    </row>
    <row r="2121">
      <c r="A2121" s="21"/>
      <c r="C2121" s="11"/>
    </row>
    <row r="2122">
      <c r="A2122" s="21"/>
      <c r="C2122" s="11"/>
    </row>
    <row r="2123">
      <c r="A2123" s="21"/>
      <c r="C2123" s="11"/>
    </row>
    <row r="2124">
      <c r="A2124" s="21"/>
      <c r="C2124" s="11"/>
    </row>
    <row r="2125">
      <c r="A2125" s="21"/>
      <c r="C2125" s="11"/>
    </row>
    <row r="2126">
      <c r="A2126" s="21"/>
      <c r="C2126" s="11"/>
    </row>
    <row r="2127">
      <c r="A2127" s="21"/>
      <c r="C2127" s="11"/>
    </row>
    <row r="2128">
      <c r="A2128" s="21"/>
      <c r="C2128" s="11"/>
    </row>
    <row r="2129">
      <c r="A2129" s="21"/>
      <c r="C2129" s="11"/>
    </row>
    <row r="2130">
      <c r="A2130" s="21"/>
      <c r="C2130" s="11"/>
    </row>
    <row r="2131">
      <c r="A2131" s="21"/>
      <c r="C2131" s="11"/>
    </row>
    <row r="2132">
      <c r="A2132" s="21"/>
      <c r="C2132" s="11"/>
    </row>
    <row r="2133">
      <c r="A2133" s="21"/>
      <c r="C2133" s="11"/>
    </row>
    <row r="2134">
      <c r="A2134" s="21"/>
      <c r="C2134" s="11"/>
    </row>
    <row r="2135">
      <c r="A2135" s="21"/>
      <c r="C2135" s="11"/>
    </row>
    <row r="2136">
      <c r="A2136" s="21"/>
      <c r="C2136" s="11"/>
    </row>
    <row r="2137">
      <c r="A2137" s="21"/>
      <c r="C2137" s="11"/>
    </row>
    <row r="2138">
      <c r="A2138" s="21"/>
      <c r="C2138" s="11"/>
    </row>
    <row r="2139">
      <c r="A2139" s="21"/>
      <c r="C2139" s="11"/>
    </row>
    <row r="2140">
      <c r="A2140" s="21"/>
      <c r="C2140" s="11"/>
    </row>
    <row r="2141">
      <c r="A2141" s="21"/>
      <c r="C2141" s="11"/>
    </row>
    <row r="2142">
      <c r="A2142" s="21"/>
      <c r="C2142" s="11"/>
    </row>
    <row r="2143">
      <c r="A2143" s="21"/>
      <c r="C2143" s="11"/>
    </row>
    <row r="2144">
      <c r="A2144" s="21"/>
      <c r="C2144" s="11"/>
    </row>
    <row r="2145">
      <c r="A2145" s="21"/>
      <c r="C2145" s="11"/>
    </row>
    <row r="2146">
      <c r="A2146" s="21"/>
      <c r="C2146" s="11"/>
    </row>
    <row r="2147">
      <c r="A2147" s="21"/>
      <c r="C2147" s="11"/>
    </row>
    <row r="2148">
      <c r="A2148" s="21"/>
      <c r="C2148" s="11"/>
    </row>
    <row r="2149">
      <c r="A2149" s="21"/>
      <c r="C2149" s="11"/>
    </row>
    <row r="2150">
      <c r="A2150" s="21"/>
      <c r="C2150" s="11"/>
    </row>
    <row r="2151">
      <c r="A2151" s="21"/>
      <c r="C2151" s="11"/>
    </row>
    <row r="2152">
      <c r="A2152" s="21"/>
      <c r="C2152" s="11"/>
    </row>
    <row r="2153">
      <c r="A2153" s="21"/>
      <c r="C2153" s="11"/>
    </row>
    <row r="2154">
      <c r="A2154" s="21"/>
      <c r="C2154" s="11"/>
    </row>
    <row r="2155">
      <c r="A2155" s="21"/>
      <c r="C2155" s="11"/>
    </row>
    <row r="2156">
      <c r="A2156" s="21"/>
      <c r="C2156" s="11"/>
    </row>
    <row r="2157">
      <c r="A2157" s="21"/>
      <c r="C2157" s="11"/>
    </row>
    <row r="2158">
      <c r="A2158" s="21"/>
      <c r="C2158" s="11"/>
    </row>
    <row r="2159">
      <c r="A2159" s="21"/>
      <c r="C2159" s="11"/>
    </row>
    <row r="2160">
      <c r="A2160" s="21"/>
      <c r="C2160" s="11"/>
    </row>
    <row r="2161">
      <c r="A2161" s="21"/>
      <c r="C2161" s="11"/>
    </row>
    <row r="2162">
      <c r="A2162" s="21"/>
      <c r="C2162" s="11"/>
    </row>
    <row r="2163">
      <c r="A2163" s="21"/>
      <c r="C2163" s="11"/>
    </row>
    <row r="2164">
      <c r="A2164" s="21"/>
      <c r="C2164" s="11"/>
    </row>
    <row r="2165">
      <c r="A2165" s="21"/>
      <c r="C2165" s="11"/>
    </row>
    <row r="2166">
      <c r="A2166" s="21"/>
      <c r="C2166" s="11"/>
    </row>
    <row r="2167">
      <c r="A2167" s="21"/>
      <c r="C2167" s="11"/>
    </row>
    <row r="2168">
      <c r="A2168" s="21"/>
      <c r="C2168" s="11"/>
    </row>
    <row r="2169">
      <c r="A2169" s="21"/>
      <c r="C2169" s="11"/>
    </row>
    <row r="2170">
      <c r="A2170" s="21"/>
      <c r="C2170" s="11"/>
    </row>
    <row r="2171">
      <c r="A2171" s="21"/>
      <c r="C2171" s="11"/>
    </row>
    <row r="2172">
      <c r="A2172" s="21"/>
      <c r="C2172" s="11"/>
    </row>
    <row r="2173">
      <c r="A2173" s="21"/>
      <c r="C2173" s="11"/>
    </row>
    <row r="2174">
      <c r="A2174" s="21"/>
      <c r="C2174" s="11"/>
    </row>
    <row r="2175">
      <c r="A2175" s="21"/>
      <c r="C2175" s="11"/>
    </row>
    <row r="2176">
      <c r="A2176" s="21"/>
      <c r="C2176" s="11"/>
    </row>
    <row r="2177">
      <c r="A2177" s="21"/>
      <c r="C2177" s="11"/>
    </row>
    <row r="2178">
      <c r="A2178" s="21"/>
      <c r="C2178" s="11"/>
    </row>
    <row r="2179">
      <c r="A2179" s="21"/>
      <c r="C2179" s="11"/>
    </row>
    <row r="2180">
      <c r="A2180" s="21"/>
      <c r="C2180" s="11"/>
    </row>
    <row r="2181">
      <c r="A2181" s="21"/>
      <c r="C2181" s="11"/>
    </row>
    <row r="2182">
      <c r="A2182" s="21"/>
      <c r="C2182" s="11"/>
    </row>
    <row r="2183">
      <c r="A2183" s="21"/>
      <c r="C2183" s="11"/>
    </row>
    <row r="2184">
      <c r="A2184" s="21"/>
      <c r="C2184" s="11"/>
    </row>
    <row r="2185">
      <c r="A2185" s="21"/>
      <c r="C2185" s="11"/>
    </row>
    <row r="2186">
      <c r="A2186" s="21"/>
      <c r="C2186" s="11"/>
    </row>
    <row r="2187">
      <c r="A2187" s="21"/>
      <c r="C2187" s="11"/>
    </row>
    <row r="2188">
      <c r="A2188" s="21"/>
      <c r="C2188" s="11"/>
    </row>
    <row r="2189">
      <c r="A2189" s="21"/>
      <c r="C2189" s="11"/>
    </row>
    <row r="2190">
      <c r="A2190" s="21"/>
      <c r="C2190" s="11"/>
    </row>
    <row r="2191">
      <c r="A2191" s="21"/>
      <c r="C2191" s="11"/>
    </row>
    <row r="2192">
      <c r="A2192" s="21"/>
      <c r="C2192" s="11"/>
    </row>
    <row r="2193">
      <c r="A2193" s="21"/>
      <c r="C2193" s="11"/>
    </row>
    <row r="2194">
      <c r="A2194" s="21"/>
      <c r="C2194" s="11"/>
    </row>
    <row r="2195">
      <c r="A2195" s="21"/>
      <c r="C2195" s="11"/>
    </row>
    <row r="2196">
      <c r="A2196" s="21"/>
      <c r="C2196" s="11"/>
    </row>
    <row r="2197">
      <c r="A2197" s="21"/>
      <c r="C2197" s="11"/>
    </row>
    <row r="2198">
      <c r="A2198" s="21"/>
      <c r="C2198" s="11"/>
    </row>
    <row r="2199">
      <c r="A2199" s="21"/>
      <c r="C2199" s="11"/>
    </row>
    <row r="2200">
      <c r="A2200" s="21"/>
      <c r="C2200" s="11"/>
    </row>
    <row r="2201">
      <c r="A2201" s="21"/>
      <c r="C2201" s="11"/>
    </row>
    <row r="2202">
      <c r="A2202" s="21"/>
      <c r="C2202" s="11"/>
    </row>
    <row r="2203">
      <c r="A2203" s="21"/>
      <c r="C2203" s="11"/>
    </row>
    <row r="2204">
      <c r="A2204" s="21"/>
      <c r="C2204" s="11"/>
    </row>
    <row r="2205">
      <c r="A2205" s="21"/>
      <c r="C2205" s="11"/>
    </row>
    <row r="2206">
      <c r="A2206" s="21"/>
      <c r="C2206" s="11"/>
    </row>
    <row r="2207">
      <c r="A2207" s="21"/>
      <c r="C2207" s="11"/>
    </row>
    <row r="2208">
      <c r="A2208" s="21"/>
      <c r="C2208" s="11"/>
    </row>
    <row r="2209">
      <c r="A2209" s="21"/>
      <c r="C2209" s="11"/>
    </row>
    <row r="2210">
      <c r="A2210" s="21"/>
      <c r="C2210" s="11"/>
    </row>
    <row r="2211">
      <c r="A2211" s="21"/>
      <c r="C2211" s="11"/>
    </row>
    <row r="2212">
      <c r="A2212" s="21"/>
      <c r="C2212" s="11"/>
    </row>
    <row r="2213">
      <c r="A2213" s="21"/>
      <c r="C2213" s="11"/>
    </row>
    <row r="2214">
      <c r="A2214" s="21"/>
      <c r="C2214" s="11"/>
    </row>
    <row r="2215">
      <c r="A2215" s="21"/>
      <c r="C2215" s="11"/>
    </row>
    <row r="2216">
      <c r="A2216" s="21"/>
      <c r="C2216" s="11"/>
    </row>
    <row r="2217">
      <c r="A2217" s="21"/>
      <c r="C2217" s="11"/>
    </row>
    <row r="2218">
      <c r="A2218" s="21"/>
      <c r="C2218" s="11"/>
    </row>
    <row r="2219">
      <c r="A2219" s="21"/>
      <c r="C2219" s="11"/>
    </row>
    <row r="2220">
      <c r="A2220" s="21"/>
      <c r="C2220" s="11"/>
    </row>
    <row r="2221">
      <c r="A2221" s="21"/>
      <c r="C2221" s="11"/>
    </row>
    <row r="2222">
      <c r="A2222" s="21"/>
      <c r="C2222" s="11"/>
    </row>
    <row r="2223">
      <c r="A2223" s="21"/>
      <c r="C2223" s="11"/>
    </row>
    <row r="2224">
      <c r="A2224" s="21"/>
      <c r="C2224" s="11"/>
    </row>
    <row r="2225">
      <c r="A2225" s="21"/>
      <c r="C2225" s="11"/>
    </row>
    <row r="2226">
      <c r="A2226" s="21"/>
      <c r="C2226" s="11"/>
    </row>
    <row r="2227">
      <c r="A2227" s="21"/>
      <c r="C2227" s="11"/>
    </row>
    <row r="2228">
      <c r="A2228" s="21"/>
      <c r="C2228" s="11"/>
    </row>
    <row r="2229">
      <c r="A2229" s="21"/>
      <c r="C2229" s="11"/>
    </row>
    <row r="2230">
      <c r="A2230" s="21"/>
      <c r="C2230" s="11"/>
    </row>
    <row r="2231">
      <c r="A2231" s="21"/>
      <c r="C2231" s="11"/>
    </row>
    <row r="2232">
      <c r="A2232" s="21"/>
      <c r="C2232" s="11"/>
    </row>
    <row r="2233">
      <c r="A2233" s="21"/>
      <c r="C2233" s="11"/>
    </row>
    <row r="2234">
      <c r="A2234" s="21"/>
      <c r="C2234" s="11"/>
    </row>
    <row r="2235">
      <c r="A2235" s="21"/>
      <c r="C2235" s="11"/>
    </row>
    <row r="2236">
      <c r="A2236" s="21"/>
      <c r="C2236" s="11"/>
    </row>
    <row r="2237">
      <c r="A2237" s="21"/>
      <c r="C2237" s="11"/>
    </row>
    <row r="2238">
      <c r="A2238" s="21"/>
      <c r="C2238" s="11"/>
    </row>
    <row r="2239">
      <c r="A2239" s="21"/>
      <c r="C2239" s="11"/>
    </row>
    <row r="2240">
      <c r="A2240" s="21"/>
      <c r="C2240" s="11"/>
    </row>
    <row r="2241">
      <c r="A2241" s="21"/>
      <c r="C2241" s="11"/>
    </row>
    <row r="2242">
      <c r="A2242" s="21"/>
      <c r="C2242" s="11"/>
    </row>
    <row r="2243">
      <c r="A2243" s="21"/>
      <c r="C2243" s="11"/>
    </row>
    <row r="2244">
      <c r="A2244" s="21"/>
      <c r="C2244" s="11"/>
    </row>
    <row r="2245">
      <c r="A2245" s="21"/>
      <c r="C2245" s="11"/>
    </row>
    <row r="2246">
      <c r="A2246" s="21"/>
      <c r="C2246" s="11"/>
    </row>
    <row r="2247">
      <c r="A2247" s="21"/>
      <c r="C2247" s="11"/>
    </row>
    <row r="2248">
      <c r="A2248" s="21"/>
      <c r="C2248" s="11"/>
    </row>
    <row r="2249">
      <c r="A2249" s="21"/>
      <c r="C2249" s="11"/>
    </row>
    <row r="2250">
      <c r="A2250" s="21"/>
      <c r="C2250" s="11"/>
    </row>
    <row r="2251">
      <c r="A2251" s="21"/>
      <c r="C2251" s="11"/>
    </row>
    <row r="2252">
      <c r="A2252" s="21"/>
      <c r="C2252" s="11"/>
    </row>
    <row r="2253">
      <c r="A2253" s="21"/>
      <c r="C2253" s="11"/>
    </row>
    <row r="2254">
      <c r="A2254" s="21"/>
      <c r="C2254" s="11"/>
    </row>
    <row r="2255">
      <c r="A2255" s="21"/>
      <c r="C2255" s="11"/>
    </row>
    <row r="2256">
      <c r="A2256" s="21"/>
      <c r="C2256" s="11"/>
    </row>
    <row r="2257">
      <c r="C2257" s="11"/>
    </row>
    <row r="2258">
      <c r="C2258" s="11"/>
    </row>
    <row r="2259">
      <c r="C2259" s="11"/>
    </row>
    <row r="2260">
      <c r="C2260" s="11"/>
    </row>
    <row r="2261">
      <c r="C2261" s="11"/>
    </row>
    <row r="2262">
      <c r="C2262" s="11"/>
    </row>
    <row r="2263">
      <c r="C2263" s="11"/>
    </row>
    <row r="2264">
      <c r="C2264" s="11"/>
    </row>
    <row r="2265">
      <c r="C2265" s="11"/>
    </row>
    <row r="2266">
      <c r="C2266" s="11"/>
    </row>
    <row r="2267">
      <c r="C2267" s="11"/>
    </row>
  </sheetData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20.5"/>
    <col customWidth="1" min="5" max="5" width="33.0"/>
    <col hidden="1" min="8" max="25" width="12.63"/>
  </cols>
  <sheetData>
    <row r="1">
      <c r="A1" s="358" t="s">
        <v>44</v>
      </c>
      <c r="B1" s="681" t="s">
        <v>1</v>
      </c>
      <c r="C1" s="57" t="s">
        <v>294</v>
      </c>
      <c r="D1" s="55" t="s">
        <v>248</v>
      </c>
      <c r="E1" s="348" t="s">
        <v>249</v>
      </c>
      <c r="F1" s="349" t="s">
        <v>250</v>
      </c>
      <c r="G1" s="45"/>
      <c r="K1" s="97" t="s">
        <v>4272</v>
      </c>
      <c r="L1" s="97" t="s">
        <v>19239</v>
      </c>
      <c r="O1" s="682" t="s">
        <v>19240</v>
      </c>
      <c r="P1" s="129" t="s">
        <v>1</v>
      </c>
    </row>
    <row r="2">
      <c r="A2" s="101" t="s">
        <v>19241</v>
      </c>
      <c r="B2" s="57">
        <v>2345.0</v>
      </c>
      <c r="C2" s="683">
        <v>0.1</v>
      </c>
      <c r="D2" s="179">
        <v>0.9</v>
      </c>
      <c r="E2" s="179">
        <v>0.9</v>
      </c>
      <c r="F2" s="348" t="s">
        <v>1656</v>
      </c>
      <c r="G2" s="45"/>
      <c r="K2" s="97">
        <v>986.0</v>
      </c>
      <c r="L2" s="684">
        <v>0.11</v>
      </c>
      <c r="O2" s="208" t="s">
        <v>19241</v>
      </c>
      <c r="P2" s="350">
        <v>189.0</v>
      </c>
      <c r="Q2" s="36"/>
    </row>
    <row r="3">
      <c r="A3" s="101" t="s">
        <v>19242</v>
      </c>
      <c r="B3" s="57">
        <v>2345.0</v>
      </c>
      <c r="C3" s="683">
        <v>0.1</v>
      </c>
      <c r="D3" s="179">
        <v>0.9</v>
      </c>
      <c r="E3" s="179">
        <v>0.9</v>
      </c>
      <c r="F3" s="348" t="s">
        <v>1656</v>
      </c>
      <c r="G3" s="45"/>
      <c r="K3" s="97">
        <v>2345.0</v>
      </c>
      <c r="L3" s="684">
        <v>0.11</v>
      </c>
      <c r="O3" s="208" t="s">
        <v>19242</v>
      </c>
      <c r="P3" s="205">
        <v>6557.0</v>
      </c>
      <c r="Q3" s="36"/>
    </row>
    <row r="4">
      <c r="A4" s="101" t="s">
        <v>19243</v>
      </c>
      <c r="B4" s="57">
        <v>2345.0</v>
      </c>
      <c r="C4" s="683">
        <v>0.1</v>
      </c>
      <c r="D4" s="179">
        <v>0.9</v>
      </c>
      <c r="E4" s="179">
        <v>0.9</v>
      </c>
      <c r="F4" s="348" t="s">
        <v>1656</v>
      </c>
      <c r="G4" s="45"/>
      <c r="K4" s="97">
        <v>189.0</v>
      </c>
      <c r="L4" s="684">
        <v>0.11</v>
      </c>
      <c r="O4" s="208" t="s">
        <v>19243</v>
      </c>
      <c r="P4" s="205">
        <v>6557.0</v>
      </c>
      <c r="Q4" s="36"/>
    </row>
    <row r="5">
      <c r="A5" s="101" t="s">
        <v>19244</v>
      </c>
      <c r="B5" s="57">
        <v>2345.0</v>
      </c>
      <c r="C5" s="683">
        <v>0.1</v>
      </c>
      <c r="D5" s="179">
        <v>0.9</v>
      </c>
      <c r="E5" s="179">
        <v>0.9</v>
      </c>
      <c r="F5" s="348" t="s">
        <v>1656</v>
      </c>
      <c r="G5" s="45"/>
      <c r="K5" s="97">
        <v>7022.0</v>
      </c>
      <c r="L5" s="684">
        <v>0.11</v>
      </c>
      <c r="O5" s="208" t="s">
        <v>19244</v>
      </c>
      <c r="P5" s="350">
        <v>189.0</v>
      </c>
      <c r="Q5" s="36"/>
    </row>
    <row r="6">
      <c r="A6" s="101" t="s">
        <v>19245</v>
      </c>
      <c r="B6" s="57">
        <v>2345.0</v>
      </c>
      <c r="C6" s="683">
        <v>0.1</v>
      </c>
      <c r="D6" s="179">
        <v>0.9</v>
      </c>
      <c r="E6" s="179">
        <v>0.9</v>
      </c>
      <c r="F6" s="348" t="s">
        <v>1656</v>
      </c>
      <c r="G6" s="45"/>
      <c r="O6" s="208" t="s">
        <v>19245</v>
      </c>
      <c r="P6" s="350">
        <v>189.0</v>
      </c>
      <c r="Q6" s="36"/>
    </row>
    <row r="7">
      <c r="A7" s="101" t="s">
        <v>19246</v>
      </c>
      <c r="B7" s="57">
        <v>2345.0</v>
      </c>
      <c r="C7" s="683">
        <v>0.1</v>
      </c>
      <c r="D7" s="179">
        <v>0.9</v>
      </c>
      <c r="E7" s="179">
        <v>0.9</v>
      </c>
      <c r="F7" s="348" t="s">
        <v>1656</v>
      </c>
      <c r="G7" s="45"/>
      <c r="O7" s="208" t="s">
        <v>19246</v>
      </c>
      <c r="P7" s="350">
        <v>189.0</v>
      </c>
      <c r="Q7" s="36"/>
    </row>
    <row r="8">
      <c r="A8" s="101" t="s">
        <v>19247</v>
      </c>
      <c r="B8" s="37">
        <v>14480.0</v>
      </c>
      <c r="C8" s="683">
        <v>0.1</v>
      </c>
      <c r="D8" s="179">
        <v>0.75</v>
      </c>
      <c r="E8" s="179">
        <v>0.75</v>
      </c>
      <c r="F8" s="348" t="s">
        <v>1656</v>
      </c>
      <c r="G8" s="45"/>
      <c r="O8" s="208" t="s">
        <v>19247</v>
      </c>
      <c r="P8" s="205">
        <v>2345.0</v>
      </c>
      <c r="Q8" s="36"/>
    </row>
    <row r="9">
      <c r="A9" s="101" t="s">
        <v>19248</v>
      </c>
      <c r="B9" s="57">
        <v>3607.0</v>
      </c>
      <c r="C9" s="683">
        <v>0.1</v>
      </c>
      <c r="D9" s="179">
        <v>0.8</v>
      </c>
      <c r="E9" s="179">
        <v>0.8</v>
      </c>
      <c r="F9" s="348" t="s">
        <v>1656</v>
      </c>
      <c r="G9" s="45"/>
      <c r="O9" s="208" t="s">
        <v>19248</v>
      </c>
      <c r="P9" s="205">
        <v>2345.0</v>
      </c>
      <c r="Q9" s="36"/>
    </row>
    <row r="10">
      <c r="A10" s="101" t="s">
        <v>19249</v>
      </c>
      <c r="B10" s="57">
        <v>3607.0</v>
      </c>
      <c r="C10" s="683">
        <v>0.1</v>
      </c>
      <c r="D10" s="179">
        <v>0.8</v>
      </c>
      <c r="E10" s="179">
        <v>0.8</v>
      </c>
      <c r="F10" s="348" t="s">
        <v>1656</v>
      </c>
      <c r="G10" s="45"/>
      <c r="O10" s="208" t="s">
        <v>19249</v>
      </c>
      <c r="P10" s="205">
        <v>2345.0</v>
      </c>
      <c r="Q10" s="36"/>
    </row>
    <row r="11">
      <c r="A11" s="101" t="s">
        <v>19250</v>
      </c>
      <c r="B11" s="57">
        <v>6729.0</v>
      </c>
      <c r="C11" s="683">
        <v>0.1</v>
      </c>
      <c r="D11" s="179">
        <v>0.8</v>
      </c>
      <c r="E11" s="179">
        <v>0.8</v>
      </c>
      <c r="F11" s="348" t="s">
        <v>1656</v>
      </c>
      <c r="G11" s="39"/>
      <c r="O11" s="7" t="s">
        <v>19250</v>
      </c>
      <c r="P11" s="129">
        <v>6729.0</v>
      </c>
    </row>
    <row r="12">
      <c r="A12" s="101" t="s">
        <v>19251</v>
      </c>
      <c r="B12" s="25">
        <v>3607.0</v>
      </c>
      <c r="C12" s="683">
        <v>0.1</v>
      </c>
      <c r="D12" s="179">
        <v>0.8</v>
      </c>
      <c r="E12" s="179">
        <v>0.8</v>
      </c>
      <c r="F12" s="348" t="s">
        <v>1656</v>
      </c>
      <c r="G12" s="39"/>
      <c r="O12" s="208" t="s">
        <v>19251</v>
      </c>
      <c r="P12" s="11">
        <v>3607.0</v>
      </c>
      <c r="Q12" s="205">
        <v>6133.0</v>
      </c>
    </row>
    <row r="13">
      <c r="A13" s="101" t="s">
        <v>19252</v>
      </c>
      <c r="B13" s="57">
        <v>3607.0</v>
      </c>
      <c r="C13" s="683">
        <v>0.1</v>
      </c>
      <c r="D13" s="179">
        <v>0.8</v>
      </c>
      <c r="E13" s="179">
        <v>0.8</v>
      </c>
      <c r="F13" s="348" t="s">
        <v>1656</v>
      </c>
      <c r="G13" s="39"/>
      <c r="O13" s="208" t="s">
        <v>19252</v>
      </c>
      <c r="P13" s="205">
        <v>6133.0</v>
      </c>
      <c r="Q13" s="36"/>
    </row>
    <row r="14">
      <c r="A14" s="101" t="s">
        <v>19253</v>
      </c>
      <c r="B14" s="57">
        <v>3607.0</v>
      </c>
      <c r="C14" s="683">
        <v>0.1</v>
      </c>
      <c r="D14" s="179">
        <v>0.8</v>
      </c>
      <c r="E14" s="179">
        <v>0.8</v>
      </c>
      <c r="F14" s="348" t="s">
        <v>1656</v>
      </c>
      <c r="G14" s="39"/>
      <c r="O14" s="208" t="s">
        <v>19253</v>
      </c>
      <c r="P14" s="205">
        <v>6132.0</v>
      </c>
      <c r="Q14" s="36"/>
    </row>
    <row r="15">
      <c r="A15" s="101" t="s">
        <v>19254</v>
      </c>
      <c r="B15" s="57">
        <v>6557.0</v>
      </c>
      <c r="C15" s="683">
        <v>0.1</v>
      </c>
      <c r="D15" s="179">
        <v>0.75</v>
      </c>
      <c r="E15" s="179">
        <v>0.75</v>
      </c>
      <c r="F15" s="348" t="s">
        <v>1656</v>
      </c>
      <c r="G15" s="39"/>
      <c r="O15" s="7" t="s">
        <v>19254</v>
      </c>
      <c r="P15" s="129">
        <v>6557.0</v>
      </c>
    </row>
    <row r="16">
      <c r="A16" s="101" t="s">
        <v>19255</v>
      </c>
      <c r="B16" s="101">
        <v>189.0</v>
      </c>
      <c r="C16" s="683">
        <v>0.1</v>
      </c>
      <c r="D16" s="179">
        <v>0.8</v>
      </c>
      <c r="E16" s="179">
        <v>0.8</v>
      </c>
      <c r="F16" s="348" t="s">
        <v>1656</v>
      </c>
      <c r="G16" s="39"/>
      <c r="O16" s="7" t="s">
        <v>19255</v>
      </c>
      <c r="P16" s="66">
        <v>189.0</v>
      </c>
    </row>
    <row r="17">
      <c r="A17" s="101" t="s">
        <v>19256</v>
      </c>
      <c r="B17" s="101">
        <v>189.0</v>
      </c>
      <c r="C17" s="683">
        <v>0.1</v>
      </c>
      <c r="D17" s="179">
        <v>0.8</v>
      </c>
      <c r="E17" s="179">
        <v>0.8</v>
      </c>
      <c r="F17" s="348" t="s">
        <v>1656</v>
      </c>
      <c r="G17" s="39"/>
      <c r="O17" s="7" t="s">
        <v>19256</v>
      </c>
      <c r="P17" s="66">
        <v>189.0</v>
      </c>
    </row>
    <row r="18">
      <c r="A18" s="101" t="s">
        <v>19257</v>
      </c>
      <c r="B18" s="25">
        <v>7747.0</v>
      </c>
      <c r="C18" s="683">
        <v>0.1</v>
      </c>
      <c r="D18" s="179">
        <v>0.75</v>
      </c>
      <c r="E18" s="179">
        <v>0.75</v>
      </c>
      <c r="F18" s="348" t="s">
        <v>1656</v>
      </c>
      <c r="G18" s="39"/>
      <c r="O18" s="208" t="s">
        <v>19257</v>
      </c>
      <c r="P18" s="109">
        <v>6272.0</v>
      </c>
      <c r="Q18" s="36"/>
    </row>
    <row r="19">
      <c r="A19" s="101" t="s">
        <v>19258</v>
      </c>
      <c r="B19" s="57">
        <v>14516.0</v>
      </c>
      <c r="C19" s="683">
        <v>0.1</v>
      </c>
      <c r="D19" s="179">
        <v>0.75</v>
      </c>
      <c r="E19" s="179">
        <v>0.75</v>
      </c>
      <c r="F19" s="348" t="s">
        <v>1656</v>
      </c>
      <c r="G19" s="39"/>
      <c r="O19" s="208" t="s">
        <v>19258</v>
      </c>
      <c r="P19" s="205">
        <v>6998.0</v>
      </c>
      <c r="Q19" s="36"/>
    </row>
    <row r="20">
      <c r="A20" s="101" t="s">
        <v>19259</v>
      </c>
      <c r="B20" s="57">
        <v>499.0</v>
      </c>
      <c r="C20" s="683">
        <v>0.1</v>
      </c>
      <c r="D20" s="179">
        <v>0.75</v>
      </c>
      <c r="E20" s="179">
        <v>0.75</v>
      </c>
      <c r="F20" s="348" t="s">
        <v>1656</v>
      </c>
      <c r="G20" s="39"/>
      <c r="O20" s="208" t="s">
        <v>19259</v>
      </c>
      <c r="P20" s="205">
        <v>1360.0</v>
      </c>
      <c r="Q20" s="36"/>
    </row>
    <row r="21">
      <c r="A21" s="101" t="s">
        <v>19260</v>
      </c>
      <c r="B21" s="57">
        <v>3607.0</v>
      </c>
      <c r="C21" s="683">
        <v>0.1</v>
      </c>
      <c r="D21" s="179">
        <v>0.8</v>
      </c>
      <c r="E21" s="179">
        <v>0.8</v>
      </c>
      <c r="F21" s="348" t="s">
        <v>1656</v>
      </c>
      <c r="G21" s="39"/>
      <c r="O21" s="208" t="s">
        <v>19260</v>
      </c>
      <c r="P21" s="205">
        <v>6772.0</v>
      </c>
      <c r="Q21" s="36"/>
    </row>
    <row r="22">
      <c r="A22" s="101" t="s">
        <v>19261</v>
      </c>
      <c r="B22" s="57">
        <v>3607.0</v>
      </c>
      <c r="C22" s="683">
        <v>0.1</v>
      </c>
      <c r="D22" s="179">
        <v>0.8</v>
      </c>
      <c r="E22" s="179">
        <v>0.8</v>
      </c>
      <c r="F22" s="348" t="s">
        <v>1656</v>
      </c>
      <c r="G22" s="39"/>
      <c r="O22" s="208" t="s">
        <v>19261</v>
      </c>
      <c r="P22" s="205">
        <v>3142.0</v>
      </c>
      <c r="Q22" s="36"/>
    </row>
    <row r="23">
      <c r="A23" s="101" t="s">
        <v>19262</v>
      </c>
      <c r="B23" s="57">
        <v>3607.0</v>
      </c>
      <c r="C23" s="683">
        <v>0.1</v>
      </c>
      <c r="D23" s="179">
        <v>0.8</v>
      </c>
      <c r="E23" s="179">
        <v>0.8</v>
      </c>
      <c r="F23" s="348" t="s">
        <v>1656</v>
      </c>
      <c r="G23" s="39"/>
      <c r="O23" s="208" t="s">
        <v>19262</v>
      </c>
      <c r="P23" s="205">
        <v>6772.0</v>
      </c>
      <c r="Q23" s="36"/>
    </row>
    <row r="24">
      <c r="A24" s="101" t="s">
        <v>19263</v>
      </c>
      <c r="B24" s="57">
        <v>889.0</v>
      </c>
      <c r="C24" s="683">
        <v>0.1</v>
      </c>
      <c r="D24" s="179">
        <v>0.75</v>
      </c>
      <c r="E24" s="179">
        <v>0.75</v>
      </c>
      <c r="F24" s="348" t="s">
        <v>1656</v>
      </c>
      <c r="G24" s="39"/>
      <c r="O24" s="208" t="s">
        <v>19263</v>
      </c>
      <c r="P24" s="205">
        <v>6736.0</v>
      </c>
      <c r="Q24" s="36"/>
    </row>
    <row r="25">
      <c r="A25" s="101" t="s">
        <v>19264</v>
      </c>
      <c r="B25" s="16">
        <v>14732.0</v>
      </c>
      <c r="C25" s="683">
        <v>0.1</v>
      </c>
      <c r="D25" s="179">
        <v>0.75</v>
      </c>
      <c r="E25" s="179">
        <v>0.75</v>
      </c>
      <c r="F25" s="348" t="s">
        <v>1656</v>
      </c>
      <c r="G25" s="39"/>
      <c r="O25" s="208" t="s">
        <v>19264</v>
      </c>
      <c r="P25" s="205">
        <v>3378.0</v>
      </c>
      <c r="Q25" s="36"/>
    </row>
    <row r="26">
      <c r="A26" s="101" t="s">
        <v>19265</v>
      </c>
      <c r="B26" s="25">
        <v>467.0</v>
      </c>
      <c r="C26" s="683">
        <v>0.1</v>
      </c>
      <c r="D26" s="179">
        <v>0.75</v>
      </c>
      <c r="E26" s="179">
        <v>0.75</v>
      </c>
      <c r="F26" s="348" t="s">
        <v>1656</v>
      </c>
      <c r="G26" s="39"/>
      <c r="O26" s="208" t="s">
        <v>19265</v>
      </c>
      <c r="P26" s="11">
        <v>467.0</v>
      </c>
      <c r="Q26" s="205">
        <v>6732.0</v>
      </c>
    </row>
    <row r="27">
      <c r="A27" s="101" t="s">
        <v>19266</v>
      </c>
      <c r="B27" s="57">
        <v>6668.0</v>
      </c>
      <c r="C27" s="683">
        <v>0.1</v>
      </c>
      <c r="D27" s="179">
        <v>0.75</v>
      </c>
      <c r="E27" s="179">
        <v>0.75</v>
      </c>
      <c r="F27" s="348" t="s">
        <v>1656</v>
      </c>
      <c r="G27" s="39"/>
      <c r="O27" s="208" t="s">
        <v>19266</v>
      </c>
      <c r="P27" s="205">
        <v>6732.0</v>
      </c>
      <c r="Q27" s="36"/>
    </row>
    <row r="28">
      <c r="A28" s="101" t="s">
        <v>15148</v>
      </c>
      <c r="B28" s="57"/>
      <c r="C28" s="683">
        <v>0.1</v>
      </c>
      <c r="D28" s="179">
        <v>0.75</v>
      </c>
      <c r="E28" s="179">
        <v>0.75</v>
      </c>
      <c r="F28" s="348" t="s">
        <v>1656</v>
      </c>
      <c r="G28" s="39"/>
      <c r="O28" s="208" t="s">
        <v>15148</v>
      </c>
      <c r="P28" s="205">
        <v>6732.0</v>
      </c>
      <c r="Q28" s="36"/>
    </row>
    <row r="29">
      <c r="A29" s="101" t="s">
        <v>15153</v>
      </c>
      <c r="B29" s="57"/>
      <c r="C29" s="683">
        <v>0.1</v>
      </c>
      <c r="D29" s="179">
        <v>0.75</v>
      </c>
      <c r="E29" s="179">
        <v>0.75</v>
      </c>
      <c r="F29" s="348" t="s">
        <v>1656</v>
      </c>
      <c r="G29" s="39"/>
      <c r="O29" s="208" t="s">
        <v>15153</v>
      </c>
      <c r="P29" s="205">
        <v>6732.0</v>
      </c>
      <c r="Q29" s="36"/>
    </row>
    <row r="30">
      <c r="A30" s="101" t="s">
        <v>15159</v>
      </c>
      <c r="B30" s="25"/>
      <c r="C30" s="683">
        <v>0.1</v>
      </c>
      <c r="D30" s="179">
        <v>0.75</v>
      </c>
      <c r="E30" s="179">
        <v>0.75</v>
      </c>
      <c r="F30" s="348" t="s">
        <v>1656</v>
      </c>
      <c r="G30" s="39"/>
      <c r="O30" s="208" t="s">
        <v>15159</v>
      </c>
      <c r="P30" s="109">
        <v>7051.0</v>
      </c>
      <c r="Q30" s="36"/>
    </row>
    <row r="31">
      <c r="A31" s="101" t="s">
        <v>19267</v>
      </c>
      <c r="B31" s="57">
        <v>986.0</v>
      </c>
      <c r="C31" s="683">
        <v>0.1</v>
      </c>
      <c r="D31" s="179">
        <v>0.75</v>
      </c>
      <c r="E31" s="179">
        <v>0.75</v>
      </c>
      <c r="F31" s="348" t="s">
        <v>1656</v>
      </c>
      <c r="G31" s="39"/>
      <c r="O31" s="208" t="s">
        <v>19267</v>
      </c>
      <c r="P31" s="205">
        <v>986.0</v>
      </c>
      <c r="Q31" s="36"/>
    </row>
    <row r="32">
      <c r="A32" s="101" t="s">
        <v>15161</v>
      </c>
      <c r="B32" s="57"/>
      <c r="C32" s="683">
        <v>0.1</v>
      </c>
      <c r="D32" s="179">
        <v>0.75</v>
      </c>
      <c r="E32" s="179">
        <v>0.75</v>
      </c>
      <c r="F32" s="348" t="s">
        <v>1656</v>
      </c>
      <c r="G32" s="39"/>
      <c r="O32" s="208" t="s">
        <v>15161</v>
      </c>
      <c r="P32" s="205">
        <v>986.0</v>
      </c>
      <c r="Q32" s="36"/>
    </row>
    <row r="33">
      <c r="A33" s="101" t="s">
        <v>19268</v>
      </c>
      <c r="B33" s="57">
        <v>6668.0</v>
      </c>
      <c r="C33" s="683">
        <v>0.1</v>
      </c>
      <c r="D33" s="179">
        <v>0.75</v>
      </c>
      <c r="E33" s="179">
        <v>0.75</v>
      </c>
      <c r="F33" s="348" t="s">
        <v>1656</v>
      </c>
      <c r="G33" s="39"/>
      <c r="O33" s="208" t="s">
        <v>19268</v>
      </c>
      <c r="P33" s="205">
        <v>986.0</v>
      </c>
      <c r="Q33" s="36"/>
    </row>
    <row r="34">
      <c r="A34" s="101" t="s">
        <v>19269</v>
      </c>
      <c r="B34" s="57">
        <v>6887.0</v>
      </c>
      <c r="C34" s="683">
        <v>0.1</v>
      </c>
      <c r="D34" s="179">
        <v>0.75</v>
      </c>
      <c r="E34" s="179">
        <v>0.75</v>
      </c>
      <c r="F34" s="348" t="s">
        <v>1656</v>
      </c>
      <c r="G34" s="39"/>
      <c r="O34" s="208" t="s">
        <v>19269</v>
      </c>
      <c r="P34" s="205">
        <v>986.0</v>
      </c>
      <c r="Q34" s="36"/>
    </row>
    <row r="35">
      <c r="A35" s="101" t="s">
        <v>19270</v>
      </c>
      <c r="B35" s="57">
        <v>2205.0</v>
      </c>
      <c r="C35" s="683">
        <v>0.1</v>
      </c>
      <c r="D35" s="179">
        <v>0.75</v>
      </c>
      <c r="E35" s="179">
        <v>0.75</v>
      </c>
      <c r="F35" s="348" t="s">
        <v>1656</v>
      </c>
      <c r="G35" s="39"/>
      <c r="O35" s="208" t="s">
        <v>19270</v>
      </c>
      <c r="P35" s="205">
        <v>986.0</v>
      </c>
      <c r="Q35" s="36"/>
    </row>
    <row r="36">
      <c r="A36" s="101" t="s">
        <v>19271</v>
      </c>
      <c r="B36" s="57">
        <v>986.0</v>
      </c>
      <c r="C36" s="683">
        <v>0.1</v>
      </c>
      <c r="D36" s="179">
        <v>0.75</v>
      </c>
      <c r="E36" s="179">
        <v>0.75</v>
      </c>
      <c r="F36" s="348" t="s">
        <v>1656</v>
      </c>
      <c r="G36" s="39"/>
      <c r="O36" s="7" t="s">
        <v>19271</v>
      </c>
      <c r="P36" s="129">
        <v>986.0</v>
      </c>
    </row>
    <row r="37">
      <c r="A37" s="101" t="s">
        <v>19272</v>
      </c>
      <c r="B37" s="57">
        <v>14659.0</v>
      </c>
      <c r="C37" s="683">
        <v>0.1</v>
      </c>
      <c r="D37" s="179">
        <v>0.75</v>
      </c>
      <c r="E37" s="179">
        <v>0.75</v>
      </c>
      <c r="F37" s="348" t="s">
        <v>1656</v>
      </c>
      <c r="G37" s="39"/>
      <c r="O37" s="208" t="s">
        <v>19272</v>
      </c>
      <c r="P37" s="205">
        <v>986.0</v>
      </c>
      <c r="Q37" s="36"/>
    </row>
    <row r="38">
      <c r="A38" s="101" t="s">
        <v>19273</v>
      </c>
      <c r="B38" s="57"/>
      <c r="C38" s="683">
        <v>0.1</v>
      </c>
      <c r="D38" s="179">
        <v>0.75</v>
      </c>
      <c r="E38" s="179">
        <v>0.75</v>
      </c>
      <c r="F38" s="348" t="s">
        <v>1656</v>
      </c>
      <c r="G38" s="39"/>
      <c r="O38" s="208" t="s">
        <v>19273</v>
      </c>
      <c r="P38" s="205">
        <v>986.0</v>
      </c>
      <c r="Q38" s="36"/>
    </row>
    <row r="39">
      <c r="A39" s="101" t="s">
        <v>19274</v>
      </c>
      <c r="B39" s="57">
        <v>14580.0</v>
      </c>
      <c r="C39" s="683">
        <v>0.1</v>
      </c>
      <c r="D39" s="179">
        <v>0.75</v>
      </c>
      <c r="E39" s="179">
        <v>0.75</v>
      </c>
      <c r="F39" s="348" t="s">
        <v>1656</v>
      </c>
      <c r="G39" s="39"/>
      <c r="O39" s="208" t="s">
        <v>19274</v>
      </c>
      <c r="P39" s="205">
        <v>986.0</v>
      </c>
      <c r="Q39" s="36"/>
    </row>
    <row r="40">
      <c r="A40" s="101" t="s">
        <v>19275</v>
      </c>
      <c r="B40" s="57"/>
      <c r="C40" s="683">
        <v>0.1</v>
      </c>
      <c r="D40" s="179">
        <v>0.75</v>
      </c>
      <c r="E40" s="179">
        <v>0.75</v>
      </c>
      <c r="F40" s="348" t="s">
        <v>1656</v>
      </c>
      <c r="G40" s="39"/>
      <c r="O40" s="208" t="s">
        <v>19275</v>
      </c>
      <c r="P40" s="205">
        <v>986.0</v>
      </c>
      <c r="Q40" s="36"/>
    </row>
    <row r="41">
      <c r="A41" s="101" t="s">
        <v>19276</v>
      </c>
      <c r="B41" s="57">
        <v>7229.0</v>
      </c>
      <c r="C41" s="683">
        <v>0.1</v>
      </c>
      <c r="D41" s="179">
        <v>0.75</v>
      </c>
      <c r="E41" s="179">
        <v>0.75</v>
      </c>
      <c r="F41" s="348" t="s">
        <v>1656</v>
      </c>
      <c r="G41" s="39"/>
      <c r="O41" s="7" t="s">
        <v>19276</v>
      </c>
      <c r="P41" s="129">
        <v>986.0</v>
      </c>
    </row>
    <row r="42">
      <c r="A42" s="101" t="s">
        <v>19277</v>
      </c>
      <c r="B42" s="57"/>
      <c r="C42" s="683">
        <v>0.1</v>
      </c>
      <c r="D42" s="179">
        <v>0.75</v>
      </c>
      <c r="E42" s="179">
        <v>0.75</v>
      </c>
      <c r="F42" s="348" t="s">
        <v>1656</v>
      </c>
      <c r="G42" s="39"/>
      <c r="O42" s="208" t="s">
        <v>19277</v>
      </c>
      <c r="P42" s="205">
        <v>986.0</v>
      </c>
      <c r="Q42" s="36"/>
    </row>
    <row r="43">
      <c r="A43" s="101" t="s">
        <v>19278</v>
      </c>
      <c r="B43" s="57"/>
      <c r="C43" s="683">
        <v>0.1</v>
      </c>
      <c r="D43" s="179">
        <v>0.75</v>
      </c>
      <c r="E43" s="179">
        <v>0.75</v>
      </c>
      <c r="F43" s="348" t="s">
        <v>1656</v>
      </c>
      <c r="G43" s="39"/>
      <c r="O43" s="208" t="s">
        <v>19278</v>
      </c>
      <c r="P43" s="205">
        <v>986.0</v>
      </c>
      <c r="Q43" s="36"/>
    </row>
    <row r="44">
      <c r="A44" s="101" t="s">
        <v>19279</v>
      </c>
      <c r="B44" s="57"/>
      <c r="C44" s="683">
        <v>0.1</v>
      </c>
      <c r="D44" s="179">
        <v>0.75</v>
      </c>
      <c r="E44" s="179">
        <v>0.75</v>
      </c>
      <c r="F44" s="348" t="s">
        <v>1656</v>
      </c>
      <c r="G44" s="39"/>
      <c r="O44" s="208" t="s">
        <v>19279</v>
      </c>
      <c r="P44" s="205">
        <v>986.0</v>
      </c>
      <c r="Q44" s="36"/>
    </row>
    <row r="45">
      <c r="A45" s="101" t="s">
        <v>19280</v>
      </c>
      <c r="B45" s="57">
        <v>7157.0</v>
      </c>
      <c r="C45" s="683">
        <v>0.1</v>
      </c>
      <c r="D45" s="179">
        <v>0.75</v>
      </c>
      <c r="E45" s="179">
        <v>0.75</v>
      </c>
      <c r="F45" s="348" t="s">
        <v>1656</v>
      </c>
      <c r="G45" s="39"/>
      <c r="O45" s="208" t="s">
        <v>19280</v>
      </c>
      <c r="P45" s="205">
        <v>986.0</v>
      </c>
      <c r="Q45" s="36"/>
    </row>
    <row r="46">
      <c r="A46" s="101" t="s">
        <v>19281</v>
      </c>
      <c r="B46" s="57">
        <v>6132.0</v>
      </c>
      <c r="C46" s="683">
        <v>0.1</v>
      </c>
      <c r="D46" s="179">
        <v>0.75</v>
      </c>
      <c r="E46" s="179">
        <v>0.75</v>
      </c>
      <c r="F46" s="348" t="s">
        <v>1656</v>
      </c>
      <c r="G46" s="39"/>
      <c r="O46" s="208" t="s">
        <v>19281</v>
      </c>
      <c r="P46" s="205">
        <v>986.0</v>
      </c>
      <c r="Q46" s="36"/>
    </row>
    <row r="47">
      <c r="A47" s="101" t="s">
        <v>19282</v>
      </c>
      <c r="B47" s="57"/>
      <c r="C47" s="683">
        <v>0.1</v>
      </c>
      <c r="D47" s="179">
        <v>0.75</v>
      </c>
      <c r="E47" s="179">
        <v>0.75</v>
      </c>
      <c r="F47" s="348" t="s">
        <v>1656</v>
      </c>
      <c r="G47" s="39"/>
      <c r="O47" s="208" t="s">
        <v>19282</v>
      </c>
      <c r="P47" s="205">
        <v>6909.0</v>
      </c>
      <c r="Q47" s="36"/>
    </row>
    <row r="48">
      <c r="A48" s="101" t="s">
        <v>19283</v>
      </c>
      <c r="B48" s="57"/>
      <c r="C48" s="683">
        <v>0.1</v>
      </c>
      <c r="D48" s="179">
        <v>0.75</v>
      </c>
      <c r="E48" s="179">
        <v>0.75</v>
      </c>
      <c r="F48" s="348" t="s">
        <v>1656</v>
      </c>
      <c r="O48" s="208" t="s">
        <v>19283</v>
      </c>
      <c r="P48" s="205">
        <v>6950.0</v>
      </c>
      <c r="Q48" s="36"/>
    </row>
    <row r="49">
      <c r="A49" s="101" t="s">
        <v>19284</v>
      </c>
      <c r="B49" s="57"/>
      <c r="C49" s="683">
        <v>0.1</v>
      </c>
      <c r="D49" s="179">
        <v>0.75</v>
      </c>
      <c r="E49" s="179">
        <v>0.75</v>
      </c>
      <c r="F49" s="348" t="s">
        <v>1656</v>
      </c>
      <c r="O49" s="208" t="s">
        <v>19284</v>
      </c>
      <c r="P49" s="205">
        <v>7055.0</v>
      </c>
      <c r="Q49" s="36"/>
    </row>
    <row r="50">
      <c r="A50" s="101" t="s">
        <v>19285</v>
      </c>
      <c r="B50" s="57"/>
      <c r="C50" s="683">
        <v>0.1</v>
      </c>
      <c r="D50" s="179">
        <v>0.75</v>
      </c>
      <c r="E50" s="179">
        <v>0.75</v>
      </c>
      <c r="F50" s="348" t="s">
        <v>1656</v>
      </c>
      <c r="O50" s="208" t="s">
        <v>19285</v>
      </c>
      <c r="P50" s="205">
        <v>136.0</v>
      </c>
      <c r="Q50" s="36"/>
    </row>
    <row r="51">
      <c r="A51" s="101" t="s">
        <v>19286</v>
      </c>
      <c r="B51" s="57">
        <v>14505.0</v>
      </c>
      <c r="C51" s="683">
        <v>0.1</v>
      </c>
      <c r="D51" s="179">
        <v>0.75</v>
      </c>
      <c r="E51" s="179">
        <v>0.75</v>
      </c>
      <c r="F51" s="348" t="s">
        <v>1656</v>
      </c>
      <c r="O51" s="208" t="s">
        <v>19286</v>
      </c>
      <c r="P51" s="205">
        <v>6671.0</v>
      </c>
      <c r="Q51" s="36"/>
    </row>
    <row r="52">
      <c r="A52" s="101" t="s">
        <v>19287</v>
      </c>
      <c r="B52" s="57"/>
      <c r="C52" s="683">
        <v>0.1</v>
      </c>
      <c r="D52" s="179">
        <v>0.75</v>
      </c>
      <c r="E52" s="179">
        <v>0.75</v>
      </c>
      <c r="F52" s="348" t="s">
        <v>1656</v>
      </c>
      <c r="O52" s="208" t="s">
        <v>19287</v>
      </c>
      <c r="P52" s="205">
        <v>6958.0</v>
      </c>
      <c r="Q52" s="36"/>
    </row>
    <row r="53">
      <c r="A53" s="101" t="s">
        <v>19288</v>
      </c>
      <c r="B53" s="250">
        <v>7023.0</v>
      </c>
      <c r="C53" s="683">
        <v>0.1</v>
      </c>
      <c r="D53" s="179">
        <v>0.75</v>
      </c>
      <c r="E53" s="179">
        <v>0.75</v>
      </c>
      <c r="F53" s="348" t="s">
        <v>1656</v>
      </c>
      <c r="O53" s="7" t="s">
        <v>19288</v>
      </c>
      <c r="P53" s="164">
        <v>7023.0</v>
      </c>
    </row>
    <row r="54">
      <c r="A54" s="101" t="s">
        <v>19289</v>
      </c>
      <c r="B54" s="57">
        <v>6924.0</v>
      </c>
      <c r="C54" s="683">
        <v>0.1</v>
      </c>
      <c r="D54" s="179">
        <v>0.75</v>
      </c>
      <c r="E54" s="179">
        <v>0.75</v>
      </c>
      <c r="F54" s="348" t="s">
        <v>1656</v>
      </c>
      <c r="O54" s="7" t="s">
        <v>19289</v>
      </c>
      <c r="P54" s="129">
        <v>6924.0</v>
      </c>
    </row>
    <row r="55">
      <c r="A55" s="101" t="s">
        <v>19290</v>
      </c>
      <c r="B55" s="57"/>
      <c r="C55" s="683">
        <v>0.1</v>
      </c>
      <c r="D55" s="179">
        <v>0.75</v>
      </c>
      <c r="E55" s="179">
        <v>0.75</v>
      </c>
      <c r="F55" s="348" t="s">
        <v>1656</v>
      </c>
      <c r="O55" s="208" t="s">
        <v>19290</v>
      </c>
      <c r="P55" s="205">
        <v>7040.0</v>
      </c>
      <c r="Q55" s="36"/>
    </row>
    <row r="56">
      <c r="A56" s="101" t="s">
        <v>19291</v>
      </c>
      <c r="B56" s="57">
        <v>663.0</v>
      </c>
      <c r="C56" s="683">
        <v>0.1</v>
      </c>
      <c r="D56" s="179">
        <v>0.75</v>
      </c>
      <c r="E56" s="179">
        <v>0.75</v>
      </c>
      <c r="F56" s="348" t="s">
        <v>1656</v>
      </c>
      <c r="O56" s="208" t="s">
        <v>19291</v>
      </c>
      <c r="P56" s="205">
        <v>663.0</v>
      </c>
      <c r="Q56" s="36"/>
    </row>
    <row r="57">
      <c r="A57" s="101" t="s">
        <v>19292</v>
      </c>
      <c r="B57" s="57">
        <v>663.0</v>
      </c>
      <c r="C57" s="683">
        <v>0.1</v>
      </c>
      <c r="D57" s="179">
        <v>0.75</v>
      </c>
      <c r="E57" s="179">
        <v>0.75</v>
      </c>
      <c r="F57" s="348" t="s">
        <v>1656</v>
      </c>
      <c r="O57" s="7" t="s">
        <v>19292</v>
      </c>
      <c r="P57" s="129">
        <v>663.0</v>
      </c>
    </row>
    <row r="58">
      <c r="A58" s="101" t="s">
        <v>15167</v>
      </c>
      <c r="B58" s="57">
        <v>14535.0</v>
      </c>
      <c r="C58" s="683">
        <v>0.1</v>
      </c>
      <c r="D58" s="179">
        <v>0.75</v>
      </c>
      <c r="E58" s="179">
        <v>0.75</v>
      </c>
      <c r="F58" s="348" t="s">
        <v>1656</v>
      </c>
      <c r="O58" s="7" t="s">
        <v>15167</v>
      </c>
      <c r="P58" s="129">
        <v>6893.0</v>
      </c>
    </row>
    <row r="59">
      <c r="A59" s="101" t="s">
        <v>15168</v>
      </c>
      <c r="B59" s="57"/>
      <c r="C59" s="683">
        <v>0.1</v>
      </c>
      <c r="D59" s="179">
        <v>0.75</v>
      </c>
      <c r="E59" s="179">
        <v>0.75</v>
      </c>
      <c r="F59" s="348" t="s">
        <v>1656</v>
      </c>
      <c r="O59" s="208" t="s">
        <v>15168</v>
      </c>
      <c r="P59" s="205">
        <v>6887.0</v>
      </c>
      <c r="Q59" s="36"/>
    </row>
    <row r="60">
      <c r="A60" s="101" t="s">
        <v>19293</v>
      </c>
      <c r="B60" s="57">
        <v>7033.0</v>
      </c>
      <c r="C60" s="683">
        <v>0.1</v>
      </c>
      <c r="D60" s="179">
        <v>0.75</v>
      </c>
      <c r="E60" s="179">
        <v>0.75</v>
      </c>
      <c r="F60" s="348" t="s">
        <v>1656</v>
      </c>
      <c r="O60" s="7" t="s">
        <v>19293</v>
      </c>
      <c r="P60" s="129">
        <v>7033.0</v>
      </c>
    </row>
    <row r="61">
      <c r="A61" s="101" t="s">
        <v>19294</v>
      </c>
      <c r="B61" s="57">
        <v>6675.0</v>
      </c>
      <c r="C61" s="683">
        <v>0.1</v>
      </c>
      <c r="D61" s="179">
        <v>0.8</v>
      </c>
      <c r="E61" s="179">
        <v>0.8</v>
      </c>
      <c r="F61" s="348" t="s">
        <v>1656</v>
      </c>
      <c r="O61" s="7" t="s">
        <v>19294</v>
      </c>
      <c r="P61" s="129">
        <v>6675.0</v>
      </c>
    </row>
    <row r="62">
      <c r="A62" s="101" t="s">
        <v>19295</v>
      </c>
      <c r="B62" s="57">
        <v>6947.0</v>
      </c>
      <c r="C62" s="683">
        <v>0.1</v>
      </c>
      <c r="D62" s="179">
        <v>0.75</v>
      </c>
      <c r="E62" s="179">
        <v>0.75</v>
      </c>
      <c r="F62" s="348" t="s">
        <v>1656</v>
      </c>
      <c r="O62" s="7" t="s">
        <v>19295</v>
      </c>
      <c r="P62" s="129">
        <v>6947.0</v>
      </c>
    </row>
    <row r="63">
      <c r="A63" s="101" t="s">
        <v>19296</v>
      </c>
      <c r="B63" s="57"/>
      <c r="C63" s="683">
        <v>0.1</v>
      </c>
      <c r="D63" s="179">
        <v>0.75</v>
      </c>
      <c r="E63" s="179">
        <v>0.75</v>
      </c>
      <c r="F63" s="348" t="s">
        <v>1656</v>
      </c>
      <c r="O63" s="208" t="s">
        <v>19296</v>
      </c>
      <c r="P63" s="205">
        <v>6978.0</v>
      </c>
      <c r="Q63" s="36"/>
    </row>
    <row r="64">
      <c r="A64" s="101" t="s">
        <v>19297</v>
      </c>
      <c r="B64" s="57"/>
      <c r="C64" s="683">
        <v>0.1</v>
      </c>
      <c r="D64" s="179">
        <v>0.75</v>
      </c>
      <c r="E64" s="179">
        <v>0.75</v>
      </c>
      <c r="F64" s="348" t="s">
        <v>1656</v>
      </c>
      <c r="O64" s="208" t="s">
        <v>19297</v>
      </c>
      <c r="P64" s="205">
        <v>6988.0</v>
      </c>
      <c r="Q64" s="36"/>
    </row>
    <row r="65">
      <c r="A65" s="101" t="s">
        <v>15169</v>
      </c>
      <c r="B65" s="252"/>
      <c r="C65" s="683">
        <v>0.1</v>
      </c>
      <c r="D65" s="179">
        <v>0.75</v>
      </c>
      <c r="E65" s="179">
        <v>0.75</v>
      </c>
      <c r="F65" s="348" t="s">
        <v>1656</v>
      </c>
      <c r="O65" s="208" t="s">
        <v>15169</v>
      </c>
      <c r="P65" s="591">
        <v>7100.0</v>
      </c>
      <c r="Q65" s="36"/>
    </row>
    <row r="66">
      <c r="A66" s="101" t="s">
        <v>19298</v>
      </c>
      <c r="B66" s="57">
        <v>3307.0</v>
      </c>
      <c r="C66" s="683">
        <v>0.1</v>
      </c>
      <c r="D66" s="179">
        <v>0.75</v>
      </c>
      <c r="E66" s="179">
        <v>0.75</v>
      </c>
      <c r="F66" s="348" t="s">
        <v>1656</v>
      </c>
      <c r="O66" s="208" t="s">
        <v>19298</v>
      </c>
      <c r="P66" s="205">
        <v>3307.0</v>
      </c>
      <c r="Q66" s="36"/>
    </row>
    <row r="67">
      <c r="A67" s="101" t="s">
        <v>19299</v>
      </c>
      <c r="B67" s="57">
        <v>5458.0</v>
      </c>
      <c r="C67" s="683">
        <v>0.1</v>
      </c>
      <c r="D67" s="179">
        <v>0.75</v>
      </c>
      <c r="E67" s="179">
        <v>0.75</v>
      </c>
      <c r="F67" s="348" t="s">
        <v>1656</v>
      </c>
      <c r="O67" s="7" t="s">
        <v>19299</v>
      </c>
      <c r="P67" s="129">
        <v>5458.0</v>
      </c>
    </row>
    <row r="68">
      <c r="A68" s="101" t="s">
        <v>19300</v>
      </c>
      <c r="B68" s="25"/>
      <c r="C68" s="683">
        <v>0.1</v>
      </c>
      <c r="D68" s="179">
        <v>0.75</v>
      </c>
      <c r="E68" s="179">
        <v>0.75</v>
      </c>
      <c r="F68" s="348" t="s">
        <v>1656</v>
      </c>
      <c r="O68" s="208" t="s">
        <v>19300</v>
      </c>
      <c r="P68" s="35">
        <v>7129.0</v>
      </c>
      <c r="Q68" s="36"/>
    </row>
    <row r="69">
      <c r="A69" s="101" t="s">
        <v>19301</v>
      </c>
      <c r="B69" s="57"/>
      <c r="C69" s="683">
        <v>0.1</v>
      </c>
      <c r="D69" s="179">
        <v>0.75</v>
      </c>
      <c r="E69" s="179">
        <v>0.75</v>
      </c>
      <c r="F69" s="348" t="s">
        <v>1656</v>
      </c>
      <c r="O69" s="208" t="s">
        <v>19301</v>
      </c>
      <c r="P69" s="205">
        <v>6669.0</v>
      </c>
      <c r="Q69" s="36"/>
    </row>
    <row r="70">
      <c r="A70" s="101" t="s">
        <v>19302</v>
      </c>
      <c r="B70" s="25"/>
      <c r="C70" s="683">
        <v>0.1</v>
      </c>
      <c r="D70" s="179">
        <v>0.75</v>
      </c>
      <c r="E70" s="179">
        <v>0.75</v>
      </c>
      <c r="F70" s="348" t="s">
        <v>1656</v>
      </c>
      <c r="O70" s="208" t="s">
        <v>19302</v>
      </c>
      <c r="P70" s="109">
        <v>6936.0</v>
      </c>
      <c r="Q70" s="36"/>
    </row>
    <row r="71">
      <c r="A71" s="101" t="s">
        <v>19303</v>
      </c>
      <c r="B71" s="16">
        <v>14465.0</v>
      </c>
      <c r="C71" s="683">
        <v>0.1</v>
      </c>
      <c r="D71" s="179">
        <v>0.9</v>
      </c>
      <c r="E71" s="179">
        <v>0.9</v>
      </c>
      <c r="F71" s="348" t="s">
        <v>1656</v>
      </c>
      <c r="O71" s="208" t="s">
        <v>19303</v>
      </c>
      <c r="P71" s="205">
        <v>986.0</v>
      </c>
      <c r="Q71" s="36"/>
    </row>
    <row r="72">
      <c r="A72" s="101" t="s">
        <v>19304</v>
      </c>
      <c r="B72" s="57"/>
      <c r="C72" s="683">
        <v>0.1</v>
      </c>
      <c r="D72" s="179">
        <v>0.75</v>
      </c>
      <c r="E72" s="179">
        <v>0.75</v>
      </c>
      <c r="F72" s="348" t="s">
        <v>1656</v>
      </c>
      <c r="O72" s="208" t="s">
        <v>19304</v>
      </c>
      <c r="P72" s="205">
        <v>7158.0</v>
      </c>
      <c r="Q72" s="36"/>
    </row>
    <row r="73">
      <c r="A73" s="101" t="s">
        <v>15170</v>
      </c>
      <c r="B73" s="57"/>
      <c r="C73" s="683">
        <v>0.1</v>
      </c>
      <c r="D73" s="179">
        <v>0.75</v>
      </c>
      <c r="E73" s="179">
        <v>0.75</v>
      </c>
      <c r="F73" s="348" t="s">
        <v>1656</v>
      </c>
      <c r="O73" s="208" t="s">
        <v>15170</v>
      </c>
      <c r="P73" s="205">
        <v>7070.0</v>
      </c>
      <c r="Q73" s="36"/>
    </row>
    <row r="74">
      <c r="A74" s="101" t="s">
        <v>15171</v>
      </c>
      <c r="B74" s="112">
        <v>14646.0</v>
      </c>
      <c r="C74" s="683">
        <v>0.1</v>
      </c>
      <c r="D74" s="179">
        <v>0.75</v>
      </c>
      <c r="E74" s="179">
        <v>0.75</v>
      </c>
      <c r="F74" s="348" t="s">
        <v>1656</v>
      </c>
      <c r="O74" s="208" t="s">
        <v>15171</v>
      </c>
      <c r="P74" s="205">
        <v>6903.0</v>
      </c>
      <c r="Q74" s="36"/>
    </row>
    <row r="75">
      <c r="A75" s="101" t="s">
        <v>19305</v>
      </c>
      <c r="B75" s="57"/>
      <c r="C75" s="683">
        <v>0.1</v>
      </c>
      <c r="D75" s="179">
        <v>0.75</v>
      </c>
      <c r="E75" s="179">
        <v>0.75</v>
      </c>
      <c r="F75" s="348" t="s">
        <v>1656</v>
      </c>
      <c r="O75" s="208" t="s">
        <v>19305</v>
      </c>
      <c r="P75" s="205">
        <v>6965.0</v>
      </c>
      <c r="Q75" s="36"/>
    </row>
    <row r="76">
      <c r="A76" s="101" t="s">
        <v>19306</v>
      </c>
      <c r="B76" s="57">
        <v>14525.0</v>
      </c>
      <c r="C76" s="683">
        <v>0.1</v>
      </c>
      <c r="D76" s="179">
        <v>0.75</v>
      </c>
      <c r="E76" s="179">
        <v>0.75</v>
      </c>
      <c r="F76" s="348" t="s">
        <v>1656</v>
      </c>
      <c r="O76" s="208" t="s">
        <v>19306</v>
      </c>
      <c r="P76" s="205">
        <v>136.0</v>
      </c>
      <c r="Q76" s="36"/>
    </row>
    <row r="77">
      <c r="A77" s="101" t="s">
        <v>15172</v>
      </c>
      <c r="B77" s="57"/>
      <c r="C77" s="683">
        <v>0.1</v>
      </c>
      <c r="D77" s="179">
        <v>0.75</v>
      </c>
      <c r="E77" s="179">
        <v>0.75</v>
      </c>
      <c r="F77" s="348" t="s">
        <v>1656</v>
      </c>
      <c r="O77" s="208" t="s">
        <v>15172</v>
      </c>
      <c r="P77" s="205">
        <v>6530.0</v>
      </c>
      <c r="Q77" s="36"/>
    </row>
    <row r="78">
      <c r="A78" s="101" t="s">
        <v>19307</v>
      </c>
      <c r="B78" s="57">
        <v>12553.0</v>
      </c>
      <c r="C78" s="683">
        <v>0.1</v>
      </c>
      <c r="D78" s="179">
        <v>0.75</v>
      </c>
      <c r="E78" s="179">
        <v>0.75</v>
      </c>
      <c r="F78" s="348" t="s">
        <v>1656</v>
      </c>
      <c r="O78" s="208" t="s">
        <v>19307</v>
      </c>
      <c r="P78" s="205">
        <v>5458.0</v>
      </c>
      <c r="Q78" s="36"/>
    </row>
    <row r="79">
      <c r="A79" s="101" t="s">
        <v>15173</v>
      </c>
      <c r="B79" s="57"/>
      <c r="C79" s="683">
        <v>0.1</v>
      </c>
      <c r="D79" s="179">
        <v>0.75</v>
      </c>
      <c r="E79" s="179">
        <v>0.75</v>
      </c>
      <c r="F79" s="348" t="s">
        <v>1656</v>
      </c>
      <c r="O79" s="208" t="s">
        <v>15173</v>
      </c>
      <c r="P79" s="205">
        <v>6530.0</v>
      </c>
      <c r="Q79" s="36"/>
    </row>
    <row r="80">
      <c r="A80" s="101" t="s">
        <v>19308</v>
      </c>
      <c r="B80" s="57"/>
      <c r="C80" s="683">
        <v>0.1</v>
      </c>
      <c r="D80" s="179">
        <v>0.75</v>
      </c>
      <c r="E80" s="179">
        <v>0.75</v>
      </c>
      <c r="F80" s="348" t="s">
        <v>1656</v>
      </c>
      <c r="O80" s="208" t="s">
        <v>19308</v>
      </c>
      <c r="P80" s="205">
        <v>6530.0</v>
      </c>
      <c r="Q80" s="36"/>
    </row>
    <row r="81">
      <c r="A81" s="101" t="s">
        <v>19309</v>
      </c>
      <c r="B81" s="57">
        <v>7142.0</v>
      </c>
      <c r="C81" s="683">
        <v>0.1</v>
      </c>
      <c r="D81" s="179">
        <v>0.75</v>
      </c>
      <c r="E81" s="179">
        <v>0.75</v>
      </c>
      <c r="F81" s="348" t="s">
        <v>1656</v>
      </c>
      <c r="O81" s="208" t="s">
        <v>19309</v>
      </c>
      <c r="P81" s="205">
        <v>6998.0</v>
      </c>
      <c r="Q81" s="36"/>
    </row>
    <row r="82">
      <c r="A82" s="101" t="s">
        <v>15174</v>
      </c>
      <c r="B82" s="57"/>
      <c r="C82" s="683">
        <v>0.1</v>
      </c>
      <c r="D82" s="179">
        <v>0.75</v>
      </c>
      <c r="E82" s="179">
        <v>0.75</v>
      </c>
      <c r="F82" s="348" t="s">
        <v>1656</v>
      </c>
      <c r="O82" s="208" t="s">
        <v>15174</v>
      </c>
      <c r="P82" s="205">
        <v>7747.0</v>
      </c>
      <c r="Q82" s="36"/>
    </row>
    <row r="83">
      <c r="A83" s="101" t="s">
        <v>19310</v>
      </c>
      <c r="B83" s="25"/>
      <c r="C83" s="683">
        <v>0.1</v>
      </c>
      <c r="D83" s="179">
        <v>0.75</v>
      </c>
      <c r="E83" s="179">
        <v>0.75</v>
      </c>
      <c r="F83" s="348" t="s">
        <v>1656</v>
      </c>
      <c r="O83" s="208" t="s">
        <v>19310</v>
      </c>
      <c r="P83" s="35">
        <v>14337.0</v>
      </c>
      <c r="Q83" s="205">
        <v>6727.0</v>
      </c>
    </row>
    <row r="84">
      <c r="A84" s="101" t="s">
        <v>19311</v>
      </c>
      <c r="B84" s="37">
        <v>6722.0</v>
      </c>
      <c r="C84" s="683">
        <v>0.1</v>
      </c>
      <c r="D84" s="179">
        <v>0.75</v>
      </c>
      <c r="E84" s="179">
        <v>0.75</v>
      </c>
      <c r="F84" s="348" t="s">
        <v>1656</v>
      </c>
      <c r="O84" s="208" t="s">
        <v>19311</v>
      </c>
      <c r="P84" s="205">
        <v>6727.0</v>
      </c>
      <c r="Q84" s="36"/>
    </row>
    <row r="85">
      <c r="A85" s="101" t="s">
        <v>19312</v>
      </c>
      <c r="B85" s="57"/>
      <c r="C85" s="683">
        <v>0.1</v>
      </c>
      <c r="D85" s="179">
        <v>0.75</v>
      </c>
      <c r="E85" s="179">
        <v>0.75</v>
      </c>
      <c r="F85" s="348" t="s">
        <v>1656</v>
      </c>
      <c r="O85" s="208" t="s">
        <v>19312</v>
      </c>
      <c r="P85" s="205">
        <v>6727.0</v>
      </c>
      <c r="Q85" s="36"/>
    </row>
    <row r="86">
      <c r="A86" s="101" t="s">
        <v>19313</v>
      </c>
      <c r="B86" s="57">
        <v>6772.0</v>
      </c>
      <c r="C86" s="683">
        <v>0.1</v>
      </c>
      <c r="D86" s="179">
        <v>0.75</v>
      </c>
      <c r="E86" s="179">
        <v>0.75</v>
      </c>
      <c r="F86" s="348" t="s">
        <v>1656</v>
      </c>
      <c r="O86" s="208" t="s">
        <v>19313</v>
      </c>
      <c r="P86" s="205">
        <v>6727.0</v>
      </c>
      <c r="Q86" s="36"/>
    </row>
    <row r="87">
      <c r="A87" s="101" t="s">
        <v>19314</v>
      </c>
      <c r="B87" s="57"/>
      <c r="C87" s="683">
        <v>0.1</v>
      </c>
      <c r="D87" s="179">
        <v>0.75</v>
      </c>
      <c r="E87" s="179">
        <v>0.75</v>
      </c>
      <c r="F87" s="348" t="s">
        <v>1656</v>
      </c>
      <c r="O87" s="208" t="s">
        <v>19314</v>
      </c>
      <c r="P87" s="205">
        <v>6727.0</v>
      </c>
      <c r="Q87" s="36"/>
    </row>
    <row r="88">
      <c r="A88" s="101" t="s">
        <v>19315</v>
      </c>
      <c r="B88" s="57"/>
      <c r="C88" s="683">
        <v>0.1</v>
      </c>
      <c r="D88" s="179">
        <v>0.75</v>
      </c>
      <c r="E88" s="179">
        <v>0.75</v>
      </c>
      <c r="F88" s="348" t="s">
        <v>1656</v>
      </c>
      <c r="O88" s="208" t="s">
        <v>19315</v>
      </c>
      <c r="P88" s="205">
        <v>10141.0</v>
      </c>
      <c r="Q88" s="36"/>
    </row>
    <row r="89">
      <c r="A89" s="101" t="s">
        <v>19316</v>
      </c>
      <c r="B89" s="57">
        <v>14638.0</v>
      </c>
      <c r="C89" s="683">
        <v>0.1</v>
      </c>
      <c r="D89" s="179">
        <v>0.75</v>
      </c>
      <c r="E89" s="179">
        <v>0.75</v>
      </c>
      <c r="F89" s="348" t="s">
        <v>1656</v>
      </c>
      <c r="O89" s="208" t="s">
        <v>19316</v>
      </c>
      <c r="P89" s="205">
        <v>7010.0</v>
      </c>
      <c r="Q89" s="36"/>
    </row>
    <row r="90">
      <c r="A90" s="101" t="s">
        <v>19317</v>
      </c>
      <c r="B90" s="57">
        <v>283.0</v>
      </c>
      <c r="C90" s="683">
        <v>0.1</v>
      </c>
      <c r="D90" s="179">
        <v>0.75</v>
      </c>
      <c r="E90" s="179">
        <v>0.75</v>
      </c>
      <c r="F90" s="348" t="s">
        <v>1656</v>
      </c>
      <c r="O90" s="208" t="s">
        <v>19317</v>
      </c>
      <c r="P90" s="205">
        <v>6893.0</v>
      </c>
      <c r="Q90" s="36"/>
    </row>
    <row r="91">
      <c r="A91" s="101" t="s">
        <v>19318</v>
      </c>
      <c r="B91" s="57"/>
      <c r="C91" s="683">
        <v>0.1</v>
      </c>
      <c r="D91" s="179">
        <v>0.75</v>
      </c>
      <c r="E91" s="179">
        <v>0.75</v>
      </c>
      <c r="F91" s="348" t="s">
        <v>1656</v>
      </c>
      <c r="O91" s="208" t="s">
        <v>19318</v>
      </c>
      <c r="P91" s="205">
        <v>1360.0</v>
      </c>
      <c r="Q91" s="36"/>
    </row>
    <row r="92">
      <c r="A92" s="101" t="s">
        <v>19319</v>
      </c>
      <c r="B92" s="57"/>
      <c r="C92" s="683">
        <v>0.1</v>
      </c>
      <c r="D92" s="179">
        <v>0.75</v>
      </c>
      <c r="E92" s="179">
        <v>0.75</v>
      </c>
      <c r="F92" s="348" t="s">
        <v>1656</v>
      </c>
      <c r="O92" s="208" t="s">
        <v>19319</v>
      </c>
      <c r="P92" s="205">
        <v>7022.0</v>
      </c>
      <c r="Q92" s="36"/>
    </row>
    <row r="93">
      <c r="A93" s="101" t="s">
        <v>19320</v>
      </c>
      <c r="B93" s="57"/>
      <c r="C93" s="683">
        <v>0.1</v>
      </c>
      <c r="D93" s="179">
        <v>0.75</v>
      </c>
      <c r="E93" s="179">
        <v>0.75</v>
      </c>
      <c r="F93" s="348" t="s">
        <v>1656</v>
      </c>
      <c r="O93" s="208" t="s">
        <v>19320</v>
      </c>
      <c r="P93" s="205">
        <v>7022.0</v>
      </c>
      <c r="Q93" s="36"/>
    </row>
    <row r="94">
      <c r="A94" s="101" t="s">
        <v>19321</v>
      </c>
      <c r="B94" s="57"/>
      <c r="C94" s="683">
        <v>0.1</v>
      </c>
      <c r="D94" s="179">
        <v>0.75</v>
      </c>
      <c r="E94" s="179">
        <v>0.75</v>
      </c>
      <c r="F94" s="348" t="s">
        <v>1656</v>
      </c>
      <c r="O94" s="208" t="s">
        <v>19321</v>
      </c>
      <c r="P94" s="205">
        <v>7022.0</v>
      </c>
      <c r="Q94" s="36"/>
    </row>
    <row r="95">
      <c r="A95" s="101" t="s">
        <v>15175</v>
      </c>
      <c r="B95" s="57"/>
      <c r="C95" s="683">
        <v>0.1</v>
      </c>
      <c r="D95" s="179">
        <v>0.75</v>
      </c>
      <c r="E95" s="179">
        <v>0.75</v>
      </c>
      <c r="F95" s="348" t="s">
        <v>1656</v>
      </c>
      <c r="O95" s="208" t="s">
        <v>15175</v>
      </c>
      <c r="P95" s="205">
        <v>7022.0</v>
      </c>
      <c r="Q95" s="36"/>
    </row>
    <row r="96">
      <c r="A96" s="101" t="s">
        <v>19322</v>
      </c>
      <c r="B96" s="57">
        <v>6936.0</v>
      </c>
      <c r="C96" s="683">
        <v>0.1</v>
      </c>
      <c r="D96" s="179">
        <v>0.75</v>
      </c>
      <c r="E96" s="179">
        <v>0.75</v>
      </c>
      <c r="F96" s="348" t="s">
        <v>1656</v>
      </c>
      <c r="O96" s="208" t="s">
        <v>19322</v>
      </c>
      <c r="P96" s="205">
        <v>7022.0</v>
      </c>
      <c r="Q96" s="36"/>
    </row>
    <row r="97">
      <c r="A97" s="101" t="s">
        <v>19323</v>
      </c>
      <c r="B97" s="57"/>
      <c r="C97" s="683">
        <v>0.1</v>
      </c>
      <c r="D97" s="179">
        <v>0.75</v>
      </c>
      <c r="E97" s="179">
        <v>0.75</v>
      </c>
      <c r="F97" s="348" t="s">
        <v>1656</v>
      </c>
      <c r="O97" s="208" t="s">
        <v>19323</v>
      </c>
      <c r="P97" s="205">
        <v>7022.0</v>
      </c>
      <c r="Q97" s="36"/>
    </row>
    <row r="98">
      <c r="A98" s="101" t="s">
        <v>19324</v>
      </c>
      <c r="B98" s="11">
        <v>14764.0</v>
      </c>
      <c r="C98" s="683">
        <v>0.1</v>
      </c>
      <c r="D98" s="179">
        <v>0.75</v>
      </c>
      <c r="E98" s="179">
        <v>0.75</v>
      </c>
      <c r="F98" s="348" t="s">
        <v>1656</v>
      </c>
      <c r="O98" s="208" t="s">
        <v>19324</v>
      </c>
      <c r="P98" s="205">
        <v>9701.0</v>
      </c>
      <c r="Q98" s="36"/>
    </row>
    <row r="99">
      <c r="A99" s="101" t="s">
        <v>19325</v>
      </c>
      <c r="B99" s="57"/>
      <c r="C99" s="683">
        <v>0.1</v>
      </c>
      <c r="D99" s="179">
        <v>0.75</v>
      </c>
      <c r="E99" s="179">
        <v>0.75</v>
      </c>
      <c r="F99" s="348" t="s">
        <v>1656</v>
      </c>
      <c r="O99" s="208" t="s">
        <v>19325</v>
      </c>
      <c r="P99" s="205">
        <v>6780.0</v>
      </c>
      <c r="Q99" s="36"/>
    </row>
    <row r="100">
      <c r="A100" s="101" t="s">
        <v>19326</v>
      </c>
      <c r="B100" s="25">
        <v>7031.0</v>
      </c>
      <c r="C100" s="683">
        <v>0.1</v>
      </c>
      <c r="D100" s="179">
        <v>0.75</v>
      </c>
      <c r="E100" s="179">
        <v>0.75</v>
      </c>
      <c r="F100" s="348" t="s">
        <v>1656</v>
      </c>
      <c r="O100" s="208" t="s">
        <v>19326</v>
      </c>
      <c r="P100" s="109">
        <v>6906.0</v>
      </c>
      <c r="Q100" s="36"/>
    </row>
    <row r="101">
      <c r="A101" s="101" t="s">
        <v>19327</v>
      </c>
      <c r="B101" s="57">
        <v>7031.0</v>
      </c>
      <c r="C101" s="683">
        <v>0.1</v>
      </c>
      <c r="D101" s="179">
        <v>0.75</v>
      </c>
      <c r="E101" s="179">
        <v>0.75</v>
      </c>
      <c r="F101" s="348" t="s">
        <v>1656</v>
      </c>
      <c r="O101" s="208" t="s">
        <v>19327</v>
      </c>
      <c r="P101" s="205">
        <v>7132.0</v>
      </c>
      <c r="Q101" s="36"/>
    </row>
    <row r="102">
      <c r="A102" s="101" t="s">
        <v>19328</v>
      </c>
      <c r="B102" s="57"/>
      <c r="C102" s="683">
        <v>0.1</v>
      </c>
      <c r="D102" s="179">
        <v>0.75</v>
      </c>
      <c r="E102" s="179">
        <v>0.75</v>
      </c>
      <c r="F102" s="348" t="s">
        <v>1656</v>
      </c>
      <c r="O102" s="208" t="s">
        <v>19328</v>
      </c>
      <c r="P102" s="205">
        <v>7098.0</v>
      </c>
      <c r="Q102" s="36"/>
    </row>
    <row r="103">
      <c r="A103" s="101" t="s">
        <v>15127</v>
      </c>
      <c r="B103" s="57"/>
      <c r="C103" s="683">
        <v>0.1</v>
      </c>
      <c r="D103" s="179">
        <v>0.75</v>
      </c>
      <c r="E103" s="179">
        <v>0.75</v>
      </c>
      <c r="F103" s="348" t="s">
        <v>1656</v>
      </c>
      <c r="O103" s="208" t="s">
        <v>15127</v>
      </c>
      <c r="P103" s="205">
        <v>7098.0</v>
      </c>
      <c r="Q103" s="36"/>
    </row>
    <row r="104">
      <c r="A104" s="101" t="s">
        <v>19329</v>
      </c>
      <c r="B104" s="57"/>
      <c r="C104" s="683">
        <v>0.1</v>
      </c>
      <c r="D104" s="179">
        <v>0.75</v>
      </c>
      <c r="E104" s="179">
        <v>0.75</v>
      </c>
      <c r="F104" s="348" t="s">
        <v>1656</v>
      </c>
      <c r="O104" s="208" t="s">
        <v>19329</v>
      </c>
      <c r="P104" s="205">
        <v>3689.0</v>
      </c>
      <c r="Q104" s="36"/>
    </row>
    <row r="105">
      <c r="A105" s="101" t="s">
        <v>19330</v>
      </c>
      <c r="B105" s="57">
        <v>10856.0</v>
      </c>
      <c r="C105" s="683">
        <v>0.1</v>
      </c>
      <c r="D105" s="179">
        <v>0.75</v>
      </c>
      <c r="E105" s="179">
        <v>0.75</v>
      </c>
      <c r="F105" s="348" t="s">
        <v>1656</v>
      </c>
      <c r="O105" s="7" t="s">
        <v>19330</v>
      </c>
      <c r="P105" s="129">
        <v>10856.0</v>
      </c>
    </row>
    <row r="106">
      <c r="A106" s="101" t="s">
        <v>19331</v>
      </c>
      <c r="B106" s="57"/>
      <c r="C106" s="683">
        <v>0.1</v>
      </c>
      <c r="D106" s="179">
        <v>0.75</v>
      </c>
      <c r="E106" s="179">
        <v>0.75</v>
      </c>
      <c r="F106" s="348" t="s">
        <v>1656</v>
      </c>
      <c r="O106" s="208" t="s">
        <v>19331</v>
      </c>
      <c r="P106" s="205">
        <v>7183.0</v>
      </c>
      <c r="Q106" s="36"/>
    </row>
    <row r="107">
      <c r="A107" s="101" t="s">
        <v>19332</v>
      </c>
      <c r="B107" s="57"/>
      <c r="C107" s="683">
        <v>0.1</v>
      </c>
      <c r="D107" s="179">
        <v>0.75</v>
      </c>
      <c r="E107" s="179">
        <v>0.75</v>
      </c>
      <c r="F107" s="348" t="s">
        <v>1656</v>
      </c>
      <c r="O107" s="208" t="s">
        <v>19332</v>
      </c>
      <c r="P107" s="205">
        <v>7186.0</v>
      </c>
      <c r="Q107" s="36"/>
    </row>
    <row r="108">
      <c r="A108" s="101" t="s">
        <v>19333</v>
      </c>
      <c r="B108" s="57"/>
      <c r="C108" s="683">
        <v>0.1</v>
      </c>
      <c r="D108" s="179">
        <v>0.75</v>
      </c>
      <c r="E108" s="179">
        <v>0.75</v>
      </c>
      <c r="F108" s="348" t="s">
        <v>1656</v>
      </c>
      <c r="O108" s="208" t="s">
        <v>19333</v>
      </c>
      <c r="P108" s="205">
        <v>11916.0</v>
      </c>
      <c r="Q108" s="36"/>
    </row>
    <row r="109">
      <c r="A109" s="101" t="s">
        <v>19334</v>
      </c>
      <c r="B109" s="25"/>
      <c r="C109" s="683">
        <v>0.1</v>
      </c>
      <c r="D109" s="179">
        <v>0.75</v>
      </c>
      <c r="E109" s="179">
        <v>0.75</v>
      </c>
      <c r="F109" s="348" t="s">
        <v>1656</v>
      </c>
      <c r="O109" s="208" t="s">
        <v>19334</v>
      </c>
      <c r="P109" s="35">
        <v>11708.0</v>
      </c>
      <c r="Q109" s="36"/>
    </row>
    <row r="110">
      <c r="A110" s="101" t="s">
        <v>19335</v>
      </c>
      <c r="B110" s="42">
        <v>12553.0</v>
      </c>
      <c r="C110" s="683">
        <v>0.1</v>
      </c>
      <c r="D110" s="179">
        <v>0.75</v>
      </c>
      <c r="E110" s="179">
        <v>0.75</v>
      </c>
      <c r="F110" s="348" t="s">
        <v>1656</v>
      </c>
      <c r="O110" s="208" t="s">
        <v>19335</v>
      </c>
      <c r="P110" s="43">
        <v>12553.0</v>
      </c>
      <c r="Q110" s="36"/>
    </row>
    <row r="111">
      <c r="A111" s="101" t="s">
        <v>15128</v>
      </c>
      <c r="B111" s="57">
        <v>6875.0</v>
      </c>
      <c r="C111" s="683">
        <v>0.1</v>
      </c>
      <c r="D111" s="179">
        <v>0.75</v>
      </c>
      <c r="E111" s="179">
        <v>0.75</v>
      </c>
      <c r="F111" s="348" t="s">
        <v>1656</v>
      </c>
      <c r="O111" s="7" t="s">
        <v>15128</v>
      </c>
      <c r="P111" s="129">
        <v>6875.0</v>
      </c>
    </row>
    <row r="112">
      <c r="A112" s="101" t="s">
        <v>19336</v>
      </c>
      <c r="B112" s="57"/>
      <c r="C112" s="683">
        <v>0.1</v>
      </c>
      <c r="D112" s="179">
        <v>0.75</v>
      </c>
      <c r="E112" s="179">
        <v>0.75</v>
      </c>
      <c r="F112" s="348" t="s">
        <v>1656</v>
      </c>
      <c r="O112" s="208" t="s">
        <v>19336</v>
      </c>
      <c r="P112" s="205">
        <v>7414.0</v>
      </c>
      <c r="Q112" s="36"/>
    </row>
    <row r="113">
      <c r="A113" s="101" t="s">
        <v>19337</v>
      </c>
      <c r="B113" s="57"/>
      <c r="C113" s="683">
        <v>0.1</v>
      </c>
      <c r="D113" s="179">
        <v>0.75</v>
      </c>
      <c r="E113" s="179">
        <v>0.75</v>
      </c>
      <c r="F113" s="348" t="s">
        <v>1656</v>
      </c>
      <c r="O113" s="208" t="s">
        <v>19337</v>
      </c>
      <c r="P113" s="205">
        <v>6669.0</v>
      </c>
      <c r="Q113" s="36"/>
    </row>
    <row r="114">
      <c r="A114" s="101" t="s">
        <v>19338</v>
      </c>
      <c r="B114" s="57"/>
      <c r="C114" s="683">
        <v>0.1</v>
      </c>
      <c r="D114" s="179">
        <v>0.75</v>
      </c>
      <c r="E114" s="179">
        <v>0.75</v>
      </c>
      <c r="F114" s="348" t="s">
        <v>1656</v>
      </c>
      <c r="O114" s="208" t="s">
        <v>19338</v>
      </c>
      <c r="P114" s="205">
        <v>6669.0</v>
      </c>
      <c r="Q114" s="36"/>
    </row>
    <row r="115">
      <c r="A115" s="101" t="s">
        <v>19339</v>
      </c>
      <c r="B115" s="57"/>
      <c r="C115" s="683">
        <v>0.1</v>
      </c>
      <c r="D115" s="179">
        <v>0.75</v>
      </c>
      <c r="E115" s="179">
        <v>0.75</v>
      </c>
      <c r="F115" s="348" t="s">
        <v>1656</v>
      </c>
      <c r="O115" s="208" t="s">
        <v>19339</v>
      </c>
      <c r="P115" s="205">
        <v>6767.0</v>
      </c>
      <c r="Q115" s="36"/>
    </row>
    <row r="116">
      <c r="A116" s="101" t="s">
        <v>19340</v>
      </c>
      <c r="B116" s="57">
        <v>6669.0</v>
      </c>
      <c r="C116" s="683">
        <v>0.1</v>
      </c>
      <c r="D116" s="179">
        <v>0.75</v>
      </c>
      <c r="E116" s="179">
        <v>0.75</v>
      </c>
      <c r="F116" s="348" t="s">
        <v>1656</v>
      </c>
      <c r="O116" s="208" t="s">
        <v>19340</v>
      </c>
      <c r="P116" s="205">
        <v>6669.0</v>
      </c>
      <c r="Q116" s="36"/>
    </row>
    <row r="117">
      <c r="A117" s="101" t="s">
        <v>15134</v>
      </c>
      <c r="B117" s="57"/>
      <c r="C117" s="683">
        <v>0.1</v>
      </c>
      <c r="D117" s="179">
        <v>0.75</v>
      </c>
      <c r="E117" s="179">
        <v>0.75</v>
      </c>
      <c r="F117" s="348" t="s">
        <v>1656</v>
      </c>
      <c r="O117" s="208" t="s">
        <v>15134</v>
      </c>
      <c r="P117" s="205">
        <v>11104.0</v>
      </c>
      <c r="Q117" s="36"/>
    </row>
    <row r="118">
      <c r="A118" s="101" t="s">
        <v>19341</v>
      </c>
      <c r="B118" s="57"/>
      <c r="C118" s="683">
        <v>0.1</v>
      </c>
      <c r="D118" s="179">
        <v>0.75</v>
      </c>
      <c r="E118" s="179">
        <v>0.75</v>
      </c>
      <c r="F118" s="348" t="s">
        <v>1656</v>
      </c>
      <c r="O118" s="208" t="s">
        <v>19341</v>
      </c>
      <c r="P118" s="205">
        <v>7157.0</v>
      </c>
      <c r="Q118" s="36"/>
    </row>
    <row r="119">
      <c r="A119" s="101" t="s">
        <v>19342</v>
      </c>
      <c r="B119" s="57"/>
      <c r="C119" s="683">
        <v>0.1</v>
      </c>
      <c r="D119" s="179">
        <v>0.75</v>
      </c>
      <c r="E119" s="179">
        <v>0.75</v>
      </c>
      <c r="F119" s="348" t="s">
        <v>1656</v>
      </c>
      <c r="O119" s="208" t="s">
        <v>19342</v>
      </c>
      <c r="P119" s="205">
        <v>14033.0</v>
      </c>
      <c r="Q119" s="36"/>
    </row>
    <row r="120">
      <c r="A120" s="101" t="s">
        <v>15135</v>
      </c>
      <c r="B120" s="57"/>
      <c r="C120" s="683">
        <v>0.1</v>
      </c>
      <c r="D120" s="179">
        <v>0.75</v>
      </c>
      <c r="E120" s="179">
        <v>0.75</v>
      </c>
      <c r="F120" s="348" t="s">
        <v>1656</v>
      </c>
      <c r="O120" s="208" t="s">
        <v>15135</v>
      </c>
      <c r="P120" s="205">
        <v>6928.0</v>
      </c>
      <c r="Q120" s="36"/>
    </row>
    <row r="121">
      <c r="A121" s="101" t="s">
        <v>19343</v>
      </c>
      <c r="B121" s="252"/>
      <c r="C121" s="683">
        <v>0.1</v>
      </c>
      <c r="D121" s="179">
        <v>0.75</v>
      </c>
      <c r="E121" s="179">
        <v>0.75</v>
      </c>
      <c r="F121" s="348" t="s">
        <v>1656</v>
      </c>
      <c r="O121" s="208" t="s">
        <v>19343</v>
      </c>
      <c r="P121" s="591">
        <v>6802.0</v>
      </c>
      <c r="Q121" s="36"/>
    </row>
    <row r="122">
      <c r="A122" s="101" t="s">
        <v>19344</v>
      </c>
      <c r="B122" s="252"/>
      <c r="C122" s="683">
        <v>0.1</v>
      </c>
      <c r="D122" s="179">
        <v>0.75</v>
      </c>
      <c r="E122" s="179">
        <v>0.75</v>
      </c>
      <c r="F122" s="348" t="s">
        <v>1656</v>
      </c>
      <c r="O122" s="208" t="s">
        <v>19344</v>
      </c>
      <c r="P122" s="591">
        <v>6697.0</v>
      </c>
      <c r="Q122" s="36"/>
    </row>
    <row r="123">
      <c r="A123" s="101" t="s">
        <v>19345</v>
      </c>
      <c r="B123" s="252">
        <v>6697.0</v>
      </c>
      <c r="C123" s="683">
        <v>0.1</v>
      </c>
      <c r="D123" s="179">
        <v>0.75</v>
      </c>
      <c r="E123" s="179">
        <v>0.75</v>
      </c>
      <c r="F123" s="348" t="s">
        <v>1656</v>
      </c>
      <c r="O123" s="208" t="s">
        <v>19345</v>
      </c>
      <c r="P123" s="591">
        <v>6697.0</v>
      </c>
      <c r="Q123" s="36"/>
    </row>
    <row r="124">
      <c r="A124" s="101" t="s">
        <v>19346</v>
      </c>
      <c r="B124" s="57"/>
      <c r="C124" s="683">
        <v>0.1</v>
      </c>
      <c r="D124" s="179">
        <v>0.75</v>
      </c>
      <c r="E124" s="179">
        <v>0.75</v>
      </c>
      <c r="F124" s="348" t="s">
        <v>1656</v>
      </c>
      <c r="O124" s="208" t="s">
        <v>19346</v>
      </c>
      <c r="P124" s="205">
        <v>6774.0</v>
      </c>
      <c r="Q124" s="36"/>
    </row>
    <row r="125">
      <c r="A125" s="101" t="s">
        <v>19347</v>
      </c>
      <c r="B125" s="25"/>
      <c r="C125" s="683">
        <v>0.1</v>
      </c>
      <c r="D125" s="179">
        <v>0.75</v>
      </c>
      <c r="E125" s="179">
        <v>0.75</v>
      </c>
      <c r="F125" s="348" t="s">
        <v>1656</v>
      </c>
      <c r="O125" s="208" t="s">
        <v>19347</v>
      </c>
      <c r="P125" s="35">
        <v>7123.0</v>
      </c>
      <c r="Q125" s="36"/>
    </row>
    <row r="126">
      <c r="A126" s="101" t="s">
        <v>19348</v>
      </c>
      <c r="B126" s="25"/>
      <c r="C126" s="683">
        <v>0.1</v>
      </c>
      <c r="D126" s="179">
        <v>0.75</v>
      </c>
      <c r="E126" s="179">
        <v>0.75</v>
      </c>
      <c r="F126" s="348" t="s">
        <v>1656</v>
      </c>
      <c r="O126" s="208" t="s">
        <v>19348</v>
      </c>
      <c r="P126" s="35">
        <v>7123.0</v>
      </c>
      <c r="Q126" s="36"/>
    </row>
    <row r="127">
      <c r="A127" s="101" t="s">
        <v>19349</v>
      </c>
      <c r="B127" s="57"/>
      <c r="C127" s="683">
        <v>0.1</v>
      </c>
      <c r="D127" s="179">
        <v>0.75</v>
      </c>
      <c r="E127" s="179">
        <v>0.75</v>
      </c>
      <c r="F127" s="348" t="s">
        <v>1656</v>
      </c>
      <c r="O127" s="208" t="s">
        <v>19349</v>
      </c>
      <c r="P127" s="205">
        <v>7492.0</v>
      </c>
      <c r="Q127" s="36"/>
    </row>
    <row r="128">
      <c r="A128" s="101" t="s">
        <v>19350</v>
      </c>
      <c r="B128" s="57"/>
      <c r="C128" s="683">
        <v>0.1</v>
      </c>
      <c r="D128" s="179">
        <v>0.75</v>
      </c>
      <c r="E128" s="179">
        <v>0.75</v>
      </c>
      <c r="F128" s="348" t="s">
        <v>1656</v>
      </c>
      <c r="O128" s="208" t="s">
        <v>19350</v>
      </c>
      <c r="P128" s="205">
        <v>7492.0</v>
      </c>
      <c r="Q128" s="36"/>
    </row>
    <row r="129">
      <c r="A129" s="101" t="s">
        <v>19351</v>
      </c>
      <c r="B129" s="57"/>
      <c r="C129" s="683">
        <v>0.1</v>
      </c>
      <c r="D129" s="179">
        <v>0.75</v>
      </c>
      <c r="E129" s="179">
        <v>0.75</v>
      </c>
      <c r="F129" s="348" t="s">
        <v>1656</v>
      </c>
      <c r="O129" s="208" t="s">
        <v>19351</v>
      </c>
      <c r="P129" s="205">
        <v>7492.0</v>
      </c>
      <c r="Q129" s="36"/>
    </row>
    <row r="130">
      <c r="A130" s="101" t="s">
        <v>19352</v>
      </c>
      <c r="B130" s="57"/>
      <c r="C130" s="683">
        <v>0.1</v>
      </c>
      <c r="D130" s="179">
        <v>0.75</v>
      </c>
      <c r="E130" s="179">
        <v>0.75</v>
      </c>
      <c r="F130" s="348" t="s">
        <v>1656</v>
      </c>
      <c r="O130" s="208" t="s">
        <v>19352</v>
      </c>
      <c r="P130" s="205">
        <v>7492.0</v>
      </c>
      <c r="Q130" s="36"/>
    </row>
    <row r="131">
      <c r="A131" s="101" t="s">
        <v>19353</v>
      </c>
      <c r="B131" s="57"/>
      <c r="C131" s="683">
        <v>0.1</v>
      </c>
      <c r="D131" s="179">
        <v>0.75</v>
      </c>
      <c r="E131" s="179">
        <v>0.75</v>
      </c>
      <c r="F131" s="348" t="s">
        <v>1656</v>
      </c>
      <c r="O131" s="208" t="s">
        <v>19353</v>
      </c>
      <c r="P131" s="205">
        <v>7492.0</v>
      </c>
      <c r="Q131" s="36"/>
    </row>
    <row r="132">
      <c r="A132" s="101" t="s">
        <v>19354</v>
      </c>
      <c r="B132" s="57"/>
      <c r="C132" s="683">
        <v>0.1</v>
      </c>
      <c r="D132" s="179">
        <v>0.75</v>
      </c>
      <c r="E132" s="179">
        <v>0.75</v>
      </c>
      <c r="F132" s="348" t="s">
        <v>1656</v>
      </c>
      <c r="O132" s="208" t="s">
        <v>19354</v>
      </c>
      <c r="P132" s="205">
        <v>7492.0</v>
      </c>
      <c r="Q132" s="36"/>
    </row>
    <row r="133">
      <c r="A133" s="101" t="s">
        <v>19355</v>
      </c>
      <c r="B133" s="57">
        <v>7492.0</v>
      </c>
      <c r="C133" s="683">
        <v>0.1</v>
      </c>
      <c r="D133" s="179">
        <v>0.8</v>
      </c>
      <c r="E133" s="179">
        <v>0.8</v>
      </c>
      <c r="F133" s="348" t="s">
        <v>1656</v>
      </c>
      <c r="O133" s="7" t="s">
        <v>19355</v>
      </c>
      <c r="P133" s="129">
        <v>7492.0</v>
      </c>
    </row>
    <row r="134">
      <c r="A134" s="101" t="s">
        <v>19356</v>
      </c>
      <c r="B134" s="57"/>
      <c r="C134" s="683">
        <v>0.1</v>
      </c>
      <c r="D134" s="179">
        <v>0.75</v>
      </c>
      <c r="E134" s="179">
        <v>0.75</v>
      </c>
      <c r="F134" s="348" t="s">
        <v>1656</v>
      </c>
      <c r="O134" s="208" t="s">
        <v>19356</v>
      </c>
      <c r="P134" s="205">
        <v>3607.0</v>
      </c>
      <c r="Q134" s="36"/>
    </row>
    <row r="135">
      <c r="A135" s="101" t="s">
        <v>19357</v>
      </c>
      <c r="B135" s="57">
        <v>3607.0</v>
      </c>
      <c r="C135" s="683">
        <v>0.1</v>
      </c>
      <c r="D135" s="179">
        <v>0.8</v>
      </c>
      <c r="E135" s="179">
        <v>0.8</v>
      </c>
      <c r="F135" s="348" t="s">
        <v>1656</v>
      </c>
      <c r="O135" s="7" t="s">
        <v>19357</v>
      </c>
      <c r="P135" s="129">
        <v>3607.0</v>
      </c>
    </row>
    <row r="136">
      <c r="A136" s="101" t="s">
        <v>19358</v>
      </c>
      <c r="B136" s="57">
        <v>3607.0</v>
      </c>
      <c r="C136" s="683">
        <v>0.1</v>
      </c>
      <c r="D136" s="179">
        <v>0.8</v>
      </c>
      <c r="E136" s="179">
        <v>0.8</v>
      </c>
      <c r="F136" s="348" t="s">
        <v>1656</v>
      </c>
      <c r="O136" s="7" t="s">
        <v>19358</v>
      </c>
      <c r="P136" s="129">
        <v>3607.0</v>
      </c>
    </row>
    <row r="137">
      <c r="A137" s="101" t="s">
        <v>19359</v>
      </c>
      <c r="B137" s="57">
        <v>3607.0</v>
      </c>
      <c r="C137" s="683">
        <v>0.1</v>
      </c>
      <c r="D137" s="179">
        <v>0.8</v>
      </c>
      <c r="E137" s="179">
        <v>0.8</v>
      </c>
      <c r="F137" s="348" t="s">
        <v>1656</v>
      </c>
      <c r="O137" s="7" t="s">
        <v>19359</v>
      </c>
      <c r="P137" s="129">
        <v>3607.0</v>
      </c>
    </row>
    <row r="138">
      <c r="A138" s="101" t="s">
        <v>19360</v>
      </c>
      <c r="B138" s="57">
        <v>3607.0</v>
      </c>
      <c r="C138" s="683">
        <v>0.1</v>
      </c>
      <c r="D138" s="179">
        <v>0.8</v>
      </c>
      <c r="E138" s="179">
        <v>0.8</v>
      </c>
      <c r="F138" s="348" t="s">
        <v>1656</v>
      </c>
      <c r="O138" s="7" t="s">
        <v>19360</v>
      </c>
      <c r="P138" s="129">
        <v>3607.0</v>
      </c>
    </row>
    <row r="139">
      <c r="A139" s="101" t="s">
        <v>19361</v>
      </c>
      <c r="B139" s="57">
        <v>3607.0</v>
      </c>
      <c r="C139" s="683">
        <v>0.1</v>
      </c>
      <c r="D139" s="179">
        <v>0.8</v>
      </c>
      <c r="E139" s="179">
        <v>0.8</v>
      </c>
      <c r="F139" s="348" t="s">
        <v>1656</v>
      </c>
      <c r="O139" s="7" t="s">
        <v>19361</v>
      </c>
      <c r="P139" s="129">
        <v>3607.0</v>
      </c>
    </row>
    <row r="140">
      <c r="A140" s="101" t="s">
        <v>19362</v>
      </c>
      <c r="B140" s="57">
        <v>3607.0</v>
      </c>
      <c r="C140" s="683">
        <v>0.1</v>
      </c>
      <c r="D140" s="179">
        <v>0.8</v>
      </c>
      <c r="E140" s="179">
        <v>0.8</v>
      </c>
      <c r="F140" s="348" t="s">
        <v>1656</v>
      </c>
      <c r="O140" s="7" t="s">
        <v>19362</v>
      </c>
      <c r="P140" s="129">
        <v>3607.0</v>
      </c>
    </row>
    <row r="141">
      <c r="A141" s="101" t="s">
        <v>19363</v>
      </c>
      <c r="B141" s="57">
        <v>3607.0</v>
      </c>
      <c r="C141" s="683">
        <v>0.1</v>
      </c>
      <c r="D141" s="179">
        <v>0.8</v>
      </c>
      <c r="E141" s="179">
        <v>0.8</v>
      </c>
      <c r="F141" s="348" t="s">
        <v>1656</v>
      </c>
      <c r="O141" s="7" t="s">
        <v>19363</v>
      </c>
      <c r="P141" s="129">
        <v>3607.0</v>
      </c>
    </row>
    <row r="142">
      <c r="A142" s="101" t="s">
        <v>19364</v>
      </c>
      <c r="B142" s="57">
        <v>3607.0</v>
      </c>
      <c r="C142" s="683">
        <v>0.1</v>
      </c>
      <c r="D142" s="179">
        <v>0.8</v>
      </c>
      <c r="E142" s="179">
        <v>0.8</v>
      </c>
      <c r="F142" s="348" t="s">
        <v>1656</v>
      </c>
      <c r="O142" s="7" t="s">
        <v>19364</v>
      </c>
      <c r="P142" s="129">
        <v>3607.0</v>
      </c>
    </row>
    <row r="143">
      <c r="A143" s="101" t="s">
        <v>19365</v>
      </c>
      <c r="B143" s="57">
        <v>7415.0</v>
      </c>
      <c r="C143" s="683">
        <v>0.1</v>
      </c>
      <c r="D143" s="179">
        <v>0.75</v>
      </c>
      <c r="E143" s="179">
        <v>0.75</v>
      </c>
      <c r="F143" s="348" t="s">
        <v>1656</v>
      </c>
      <c r="O143" s="7" t="s">
        <v>19365</v>
      </c>
      <c r="P143" s="129">
        <v>7415.0</v>
      </c>
    </row>
    <row r="144">
      <c r="A144" s="101" t="s">
        <v>19366</v>
      </c>
      <c r="B144" s="57"/>
      <c r="C144" s="683">
        <v>0.1</v>
      </c>
      <c r="D144" s="179">
        <v>0.75</v>
      </c>
      <c r="E144" s="179">
        <v>0.75</v>
      </c>
      <c r="F144" s="348" t="s">
        <v>1656</v>
      </c>
      <c r="O144" s="208" t="s">
        <v>19366</v>
      </c>
      <c r="P144" s="205">
        <v>14025.0</v>
      </c>
      <c r="Q144" s="36"/>
    </row>
    <row r="145">
      <c r="A145" s="101" t="s">
        <v>19367</v>
      </c>
      <c r="B145" s="57"/>
      <c r="C145" s="683">
        <v>0.1</v>
      </c>
      <c r="D145" s="179">
        <v>0.75</v>
      </c>
      <c r="E145" s="179">
        <v>0.75</v>
      </c>
      <c r="F145" s="348" t="s">
        <v>1656</v>
      </c>
      <c r="O145" s="208" t="s">
        <v>19367</v>
      </c>
      <c r="P145" s="205">
        <v>12941.0</v>
      </c>
      <c r="Q145" s="36"/>
    </row>
    <row r="146">
      <c r="A146" s="101" t="s">
        <v>19368</v>
      </c>
      <c r="B146" s="57">
        <v>12941.0</v>
      </c>
      <c r="C146" s="683">
        <v>0.1</v>
      </c>
      <c r="D146" s="179">
        <v>0.8</v>
      </c>
      <c r="E146" s="179">
        <v>0.8</v>
      </c>
      <c r="F146" s="348" t="s">
        <v>1656</v>
      </c>
      <c r="O146" s="7" t="s">
        <v>19368</v>
      </c>
      <c r="P146" s="129">
        <v>12941.0</v>
      </c>
    </row>
    <row r="147">
      <c r="A147" s="101" t="s">
        <v>19369</v>
      </c>
      <c r="B147" s="57"/>
      <c r="C147" s="683">
        <v>0.1</v>
      </c>
      <c r="D147" s="179">
        <v>0.75</v>
      </c>
      <c r="E147" s="179">
        <v>0.75</v>
      </c>
      <c r="F147" s="348" t="s">
        <v>1656</v>
      </c>
      <c r="O147" s="208" t="s">
        <v>19369</v>
      </c>
      <c r="P147" s="205">
        <v>12609.0</v>
      </c>
      <c r="Q147" s="36"/>
    </row>
    <row r="148">
      <c r="A148" s="101" t="s">
        <v>19370</v>
      </c>
      <c r="B148" s="25"/>
      <c r="C148" s="683">
        <v>0.1</v>
      </c>
      <c r="D148" s="179">
        <v>0.75</v>
      </c>
      <c r="E148" s="179">
        <v>0.75</v>
      </c>
      <c r="F148" s="348" t="s">
        <v>1656</v>
      </c>
      <c r="O148" s="208" t="s">
        <v>19370</v>
      </c>
      <c r="P148" s="11">
        <v>3607.0</v>
      </c>
      <c r="Q148" s="205">
        <v>7073.0</v>
      </c>
    </row>
    <row r="149">
      <c r="A149" s="101" t="s">
        <v>19371</v>
      </c>
      <c r="B149" s="57">
        <v>12932.0</v>
      </c>
      <c r="C149" s="683">
        <v>0.1</v>
      </c>
      <c r="D149" s="179">
        <v>0.75</v>
      </c>
      <c r="E149" s="179">
        <v>0.75</v>
      </c>
      <c r="F149" s="348" t="s">
        <v>1656</v>
      </c>
      <c r="O149" s="208" t="s">
        <v>19371</v>
      </c>
      <c r="P149" s="205">
        <v>12932.0</v>
      </c>
      <c r="Q149" s="36"/>
    </row>
    <row r="150">
      <c r="A150" s="101" t="s">
        <v>19372</v>
      </c>
      <c r="B150" s="57"/>
      <c r="C150" s="683">
        <v>0.1</v>
      </c>
      <c r="D150" s="179">
        <v>0.75</v>
      </c>
      <c r="E150" s="179">
        <v>0.75</v>
      </c>
      <c r="F150" s="348" t="s">
        <v>1656</v>
      </c>
      <c r="O150" s="208" t="s">
        <v>19372</v>
      </c>
      <c r="P150" s="205">
        <v>12941.0</v>
      </c>
      <c r="Q150" s="36"/>
    </row>
    <row r="151">
      <c r="A151" s="101" t="s">
        <v>19373</v>
      </c>
      <c r="B151" s="57"/>
      <c r="C151" s="683">
        <v>0.1</v>
      </c>
      <c r="D151" s="179">
        <v>0.75</v>
      </c>
      <c r="E151" s="179">
        <v>0.75</v>
      </c>
      <c r="F151" s="348" t="s">
        <v>1656</v>
      </c>
      <c r="O151" s="208" t="s">
        <v>19373</v>
      </c>
      <c r="P151" s="205">
        <v>12941.0</v>
      </c>
      <c r="Q151" s="36"/>
    </row>
    <row r="152">
      <c r="A152" s="101" t="s">
        <v>15136</v>
      </c>
      <c r="B152" s="57"/>
      <c r="C152" s="683">
        <v>0.1</v>
      </c>
      <c r="D152" s="179">
        <v>0.75</v>
      </c>
      <c r="E152" s="179">
        <v>0.75</v>
      </c>
      <c r="F152" s="348" t="s">
        <v>1656</v>
      </c>
      <c r="O152" s="208" t="s">
        <v>15136</v>
      </c>
      <c r="P152" s="205">
        <v>12941.0</v>
      </c>
      <c r="Q152" s="36"/>
    </row>
    <row r="153">
      <c r="A153" s="101" t="s">
        <v>19374</v>
      </c>
      <c r="B153" s="25"/>
      <c r="C153" s="683">
        <v>0.1</v>
      </c>
      <c r="D153" s="179">
        <v>0.75</v>
      </c>
      <c r="E153" s="179">
        <v>0.75</v>
      </c>
      <c r="F153" s="348" t="s">
        <v>1656</v>
      </c>
      <c r="O153" s="208" t="s">
        <v>19374</v>
      </c>
      <c r="P153" s="35">
        <v>13829.0</v>
      </c>
      <c r="Q153" s="36"/>
    </row>
    <row r="154">
      <c r="A154" s="101" t="s">
        <v>19375</v>
      </c>
      <c r="B154" s="57"/>
      <c r="C154" s="683">
        <v>0.1</v>
      </c>
      <c r="D154" s="179">
        <v>0.75</v>
      </c>
      <c r="E154" s="179">
        <v>0.75</v>
      </c>
      <c r="F154" s="348" t="s">
        <v>1656</v>
      </c>
      <c r="O154" s="208" t="s">
        <v>19375</v>
      </c>
      <c r="P154" s="205">
        <v>6728.0</v>
      </c>
      <c r="Q154" s="36"/>
    </row>
    <row r="155">
      <c r="A155" s="101" t="s">
        <v>19376</v>
      </c>
      <c r="B155" s="57">
        <v>3607.0</v>
      </c>
      <c r="C155" s="683">
        <v>0.1</v>
      </c>
      <c r="D155" s="179">
        <v>0.8</v>
      </c>
      <c r="E155" s="179">
        <v>0.8</v>
      </c>
      <c r="F155" s="348" t="s">
        <v>1656</v>
      </c>
      <c r="O155" s="208" t="s">
        <v>19376</v>
      </c>
      <c r="P155" s="205">
        <v>3607.0</v>
      </c>
      <c r="Q155" s="36"/>
    </row>
    <row r="156">
      <c r="A156" s="101" t="s">
        <v>15137</v>
      </c>
      <c r="B156" s="57"/>
      <c r="C156" s="683">
        <v>0.1</v>
      </c>
      <c r="D156" s="179">
        <v>0.75</v>
      </c>
      <c r="E156" s="179">
        <v>0.75</v>
      </c>
      <c r="F156" s="348" t="s">
        <v>1656</v>
      </c>
      <c r="O156" s="208" t="s">
        <v>15137</v>
      </c>
      <c r="P156" s="205">
        <v>3607.0</v>
      </c>
      <c r="Q156" s="36"/>
    </row>
    <row r="157">
      <c r="A157" s="101" t="s">
        <v>19377</v>
      </c>
      <c r="B157" s="57">
        <v>3607.0</v>
      </c>
      <c r="C157" s="683">
        <v>0.1</v>
      </c>
      <c r="D157" s="179">
        <v>0.8</v>
      </c>
      <c r="E157" s="179">
        <v>0.8</v>
      </c>
      <c r="F157" s="348" t="s">
        <v>1656</v>
      </c>
      <c r="O157" s="208" t="s">
        <v>19377</v>
      </c>
      <c r="P157" s="205">
        <v>3607.0</v>
      </c>
      <c r="Q157" s="36"/>
    </row>
    <row r="158">
      <c r="A158" s="101" t="s">
        <v>19378</v>
      </c>
      <c r="B158" s="57"/>
      <c r="C158" s="683">
        <v>0.1</v>
      </c>
      <c r="D158" s="179">
        <v>0.75</v>
      </c>
      <c r="E158" s="179">
        <v>0.75</v>
      </c>
      <c r="F158" s="348" t="s">
        <v>1656</v>
      </c>
      <c r="O158" s="208" t="s">
        <v>19378</v>
      </c>
      <c r="P158" s="205">
        <v>14055.0</v>
      </c>
      <c r="Q158" s="36"/>
    </row>
    <row r="159">
      <c r="A159" s="101" t="s">
        <v>19379</v>
      </c>
      <c r="B159" s="57"/>
      <c r="C159" s="683">
        <v>0.1</v>
      </c>
      <c r="D159" s="179">
        <v>0.75</v>
      </c>
      <c r="E159" s="179">
        <v>0.75</v>
      </c>
      <c r="F159" s="348" t="s">
        <v>1656</v>
      </c>
      <c r="O159" s="208" t="s">
        <v>19379</v>
      </c>
      <c r="P159" s="205">
        <v>14030.0</v>
      </c>
      <c r="Q159" s="36"/>
    </row>
    <row r="160">
      <c r="A160" s="101" t="s">
        <v>15138</v>
      </c>
      <c r="B160" s="57"/>
      <c r="C160" s="683">
        <v>0.1</v>
      </c>
      <c r="D160" s="179">
        <v>0.75</v>
      </c>
      <c r="E160" s="179">
        <v>0.75</v>
      </c>
      <c r="F160" s="348" t="s">
        <v>1656</v>
      </c>
      <c r="O160" s="208" t="s">
        <v>15138</v>
      </c>
      <c r="P160" s="205">
        <v>13951.0</v>
      </c>
      <c r="Q160" s="36"/>
    </row>
    <row r="161">
      <c r="A161" s="101" t="s">
        <v>19380</v>
      </c>
      <c r="B161" s="57">
        <v>3607.0</v>
      </c>
      <c r="C161" s="683">
        <v>0.1</v>
      </c>
      <c r="D161" s="179">
        <v>0.8</v>
      </c>
      <c r="E161" s="179">
        <v>0.8</v>
      </c>
      <c r="F161" s="348" t="s">
        <v>1656</v>
      </c>
      <c r="O161" s="7" t="s">
        <v>19380</v>
      </c>
      <c r="P161" s="129">
        <v>3607.0</v>
      </c>
    </row>
    <row r="162">
      <c r="A162" s="101" t="s">
        <v>15139</v>
      </c>
      <c r="B162" s="57">
        <v>3607.0</v>
      </c>
      <c r="C162" s="683">
        <v>0.1</v>
      </c>
      <c r="D162" s="179">
        <v>0.8</v>
      </c>
      <c r="E162" s="179">
        <v>0.8</v>
      </c>
      <c r="F162" s="348" t="s">
        <v>1656</v>
      </c>
      <c r="O162" s="7" t="s">
        <v>15139</v>
      </c>
      <c r="P162" s="129">
        <v>3607.0</v>
      </c>
    </row>
    <row r="163">
      <c r="A163" s="101" t="s">
        <v>19381</v>
      </c>
      <c r="B163" s="57"/>
      <c r="C163" s="683">
        <v>0.1</v>
      </c>
      <c r="D163" s="179">
        <v>0.75</v>
      </c>
      <c r="E163" s="179">
        <v>0.75</v>
      </c>
      <c r="F163" s="348" t="s">
        <v>1656</v>
      </c>
      <c r="O163" s="208" t="s">
        <v>19381</v>
      </c>
      <c r="P163" s="205">
        <v>7229.0</v>
      </c>
      <c r="Q163" s="36"/>
    </row>
    <row r="164">
      <c r="A164" s="101" t="s">
        <v>19382</v>
      </c>
      <c r="B164" s="57"/>
      <c r="C164" s="683">
        <v>0.1</v>
      </c>
      <c r="D164" s="179">
        <v>0.75</v>
      </c>
      <c r="E164" s="179">
        <v>0.75</v>
      </c>
      <c r="F164" s="348" t="s">
        <v>1656</v>
      </c>
      <c r="O164" s="7" t="s">
        <v>19382</v>
      </c>
      <c r="P164" s="129">
        <v>6785.0</v>
      </c>
    </row>
    <row r="165">
      <c r="A165" s="101" t="s">
        <v>19383</v>
      </c>
      <c r="B165" s="25"/>
      <c r="C165" s="683">
        <v>0.1</v>
      </c>
      <c r="D165" s="179">
        <v>0.75</v>
      </c>
      <c r="E165" s="179">
        <v>0.75</v>
      </c>
      <c r="F165" s="348" t="s">
        <v>1656</v>
      </c>
      <c r="O165" s="208" t="s">
        <v>19383</v>
      </c>
      <c r="P165" s="35">
        <v>6940.0</v>
      </c>
      <c r="Q165" s="36"/>
    </row>
    <row r="166">
      <c r="A166" s="101" t="s">
        <v>19384</v>
      </c>
      <c r="B166" s="57"/>
      <c r="C166" s="683">
        <v>0.1</v>
      </c>
      <c r="D166" s="179">
        <v>0.75</v>
      </c>
      <c r="E166" s="179">
        <v>0.75</v>
      </c>
      <c r="F166" s="348" t="s">
        <v>1656</v>
      </c>
      <c r="O166" s="208" t="s">
        <v>19384</v>
      </c>
      <c r="P166" s="205">
        <v>7492.0</v>
      </c>
      <c r="Q166" s="36"/>
    </row>
    <row r="167">
      <c r="A167" s="101" t="s">
        <v>19385</v>
      </c>
      <c r="B167" s="57"/>
      <c r="C167" s="683">
        <v>0.1</v>
      </c>
      <c r="D167" s="179">
        <v>0.75</v>
      </c>
      <c r="E167" s="179">
        <v>0.75</v>
      </c>
      <c r="F167" s="348" t="s">
        <v>1656</v>
      </c>
      <c r="O167" s="208" t="s">
        <v>19385</v>
      </c>
      <c r="P167" s="205">
        <v>7492.0</v>
      </c>
      <c r="Q167" s="36"/>
    </row>
    <row r="168">
      <c r="A168" s="101" t="s">
        <v>19386</v>
      </c>
      <c r="B168" s="57"/>
      <c r="C168" s="683">
        <v>0.1</v>
      </c>
      <c r="D168" s="179">
        <v>0.75</v>
      </c>
      <c r="E168" s="179">
        <v>0.75</v>
      </c>
      <c r="F168" s="348" t="s">
        <v>1656</v>
      </c>
      <c r="O168" s="208" t="s">
        <v>19386</v>
      </c>
      <c r="P168" s="205">
        <v>7492.0</v>
      </c>
      <c r="Q168" s="36"/>
    </row>
    <row r="169">
      <c r="A169" s="101" t="s">
        <v>19387</v>
      </c>
      <c r="B169" s="57"/>
      <c r="C169" s="683">
        <v>0.1</v>
      </c>
      <c r="D169" s="179">
        <v>0.75</v>
      </c>
      <c r="E169" s="179">
        <v>0.75</v>
      </c>
      <c r="F169" s="348" t="s">
        <v>1656</v>
      </c>
      <c r="O169" s="208" t="s">
        <v>19387</v>
      </c>
      <c r="P169" s="205">
        <v>7492.0</v>
      </c>
      <c r="Q169" s="36"/>
    </row>
    <row r="170">
      <c r="A170" s="101" t="s">
        <v>19388</v>
      </c>
      <c r="B170" s="57"/>
      <c r="C170" s="683">
        <v>0.1</v>
      </c>
      <c r="D170" s="179">
        <v>0.75</v>
      </c>
      <c r="E170" s="179">
        <v>0.75</v>
      </c>
      <c r="F170" s="348" t="s">
        <v>1656</v>
      </c>
      <c r="O170" s="208" t="s">
        <v>19388</v>
      </c>
      <c r="P170" s="205">
        <v>7492.0</v>
      </c>
      <c r="Q170" s="36"/>
    </row>
    <row r="171">
      <c r="A171" s="101" t="s">
        <v>15140</v>
      </c>
      <c r="B171" s="57"/>
      <c r="C171" s="683">
        <v>0.1</v>
      </c>
      <c r="D171" s="179">
        <v>0.75</v>
      </c>
      <c r="E171" s="179">
        <v>0.75</v>
      </c>
      <c r="F171" s="348" t="s">
        <v>1656</v>
      </c>
      <c r="O171" s="208" t="s">
        <v>15140</v>
      </c>
      <c r="P171" s="205">
        <v>7492.0</v>
      </c>
      <c r="Q171" s="36"/>
    </row>
    <row r="172">
      <c r="A172" s="101" t="s">
        <v>19389</v>
      </c>
      <c r="B172" s="57"/>
      <c r="C172" s="683">
        <v>0.1</v>
      </c>
      <c r="D172" s="179">
        <v>0.75</v>
      </c>
      <c r="E172" s="179">
        <v>0.75</v>
      </c>
      <c r="F172" s="348" t="s">
        <v>1656</v>
      </c>
      <c r="O172" s="208" t="s">
        <v>19389</v>
      </c>
      <c r="P172" s="205">
        <v>7492.0</v>
      </c>
      <c r="Q172" s="36"/>
    </row>
    <row r="173">
      <c r="A173" s="101" t="s">
        <v>19390</v>
      </c>
      <c r="B173" s="57"/>
      <c r="C173" s="683">
        <v>0.1</v>
      </c>
      <c r="D173" s="179">
        <v>0.75</v>
      </c>
      <c r="E173" s="179">
        <v>0.75</v>
      </c>
      <c r="F173" s="348" t="s">
        <v>1656</v>
      </c>
      <c r="O173" s="208" t="s">
        <v>19390</v>
      </c>
      <c r="P173" s="205">
        <v>7492.0</v>
      </c>
      <c r="Q173" s="36"/>
    </row>
    <row r="174">
      <c r="A174" s="101" t="s">
        <v>19391</v>
      </c>
      <c r="B174" s="57"/>
      <c r="C174" s="683">
        <v>0.1</v>
      </c>
      <c r="D174" s="179">
        <v>0.75</v>
      </c>
      <c r="E174" s="179">
        <v>0.75</v>
      </c>
      <c r="F174" s="348" t="s">
        <v>1656</v>
      </c>
      <c r="O174" s="208" t="s">
        <v>19391</v>
      </c>
      <c r="P174" s="205">
        <v>7492.0</v>
      </c>
      <c r="Q174" s="36"/>
    </row>
    <row r="175">
      <c r="A175" s="101" t="s">
        <v>19392</v>
      </c>
      <c r="B175" s="57"/>
      <c r="C175" s="683">
        <v>0.1</v>
      </c>
      <c r="D175" s="179">
        <v>0.75</v>
      </c>
      <c r="E175" s="179">
        <v>0.75</v>
      </c>
      <c r="F175" s="348" t="s">
        <v>1656</v>
      </c>
      <c r="O175" s="208" t="s">
        <v>19392</v>
      </c>
      <c r="P175" s="205">
        <v>7492.0</v>
      </c>
      <c r="Q175" s="36"/>
    </row>
    <row r="176">
      <c r="A176" s="101" t="s">
        <v>19393</v>
      </c>
      <c r="B176" s="25"/>
      <c r="C176" s="683">
        <v>0.1</v>
      </c>
      <c r="D176" s="179">
        <v>0.75</v>
      </c>
      <c r="E176" s="179">
        <v>0.75</v>
      </c>
      <c r="F176" s="348" t="s">
        <v>1656</v>
      </c>
      <c r="O176" s="208" t="s">
        <v>19393</v>
      </c>
      <c r="P176" s="35">
        <v>6940.0</v>
      </c>
      <c r="Q176" s="36"/>
    </row>
    <row r="177">
      <c r="A177" s="101" t="s">
        <v>19394</v>
      </c>
      <c r="B177" s="57"/>
      <c r="C177" s="683">
        <v>0.1</v>
      </c>
      <c r="D177" s="179">
        <v>0.75</v>
      </c>
      <c r="E177" s="179">
        <v>0.75</v>
      </c>
      <c r="F177" s="348" t="s">
        <v>1656</v>
      </c>
      <c r="O177" s="208" t="s">
        <v>19394</v>
      </c>
      <c r="P177" s="205">
        <v>13858.0</v>
      </c>
      <c r="Q177" s="36"/>
    </row>
    <row r="178">
      <c r="A178" s="101" t="s">
        <v>19395</v>
      </c>
      <c r="B178" s="57"/>
      <c r="C178" s="683">
        <v>0.1</v>
      </c>
      <c r="D178" s="179">
        <v>0.75</v>
      </c>
      <c r="E178" s="179">
        <v>0.75</v>
      </c>
      <c r="F178" s="348" t="s">
        <v>1656</v>
      </c>
      <c r="O178" s="208" t="s">
        <v>19395</v>
      </c>
      <c r="P178" s="205">
        <v>7229.0</v>
      </c>
      <c r="Q178" s="36"/>
    </row>
    <row r="179">
      <c r="A179" s="101" t="s">
        <v>19396</v>
      </c>
      <c r="B179" s="57"/>
      <c r="C179" s="683">
        <v>0.1</v>
      </c>
      <c r="D179" s="179">
        <v>0.75</v>
      </c>
      <c r="E179" s="179">
        <v>0.75</v>
      </c>
      <c r="F179" s="348" t="s">
        <v>1656</v>
      </c>
      <c r="O179" s="208" t="s">
        <v>19396</v>
      </c>
      <c r="P179" s="205">
        <v>14065.0</v>
      </c>
      <c r="Q179" s="36"/>
    </row>
    <row r="180">
      <c r="A180" s="101" t="s">
        <v>19397</v>
      </c>
      <c r="B180" s="57"/>
      <c r="C180" s="683">
        <v>0.1</v>
      </c>
      <c r="D180" s="179">
        <v>0.75</v>
      </c>
      <c r="E180" s="179">
        <v>0.75</v>
      </c>
      <c r="F180" s="348" t="s">
        <v>1656</v>
      </c>
      <c r="O180" s="208" t="s">
        <v>19397</v>
      </c>
      <c r="P180" s="205">
        <v>3607.0</v>
      </c>
      <c r="Q180" s="36"/>
    </row>
    <row r="181">
      <c r="A181" s="101" t="s">
        <v>19398</v>
      </c>
      <c r="B181" s="57"/>
      <c r="C181" s="683">
        <v>0.1</v>
      </c>
      <c r="D181" s="179">
        <v>0.75</v>
      </c>
      <c r="E181" s="179">
        <v>0.75</v>
      </c>
      <c r="F181" s="348" t="s">
        <v>1656</v>
      </c>
      <c r="O181" s="208" t="s">
        <v>19398</v>
      </c>
      <c r="P181" s="205">
        <v>3607.0</v>
      </c>
      <c r="Q181" s="36"/>
    </row>
    <row r="182">
      <c r="A182" s="101" t="s">
        <v>19399</v>
      </c>
      <c r="B182" s="136">
        <v>5125.0</v>
      </c>
      <c r="C182" s="683">
        <v>0.1</v>
      </c>
      <c r="D182" s="179">
        <v>0.75</v>
      </c>
      <c r="E182" s="179">
        <v>0.75</v>
      </c>
      <c r="F182" s="348" t="s">
        <v>1656</v>
      </c>
      <c r="O182" s="208" t="s">
        <v>19399</v>
      </c>
      <c r="P182" s="685">
        <v>5125.0</v>
      </c>
      <c r="Q182" s="36"/>
    </row>
    <row r="183">
      <c r="A183" s="101" t="s">
        <v>19400</v>
      </c>
      <c r="B183" s="25">
        <v>3607.0</v>
      </c>
      <c r="C183" s="683">
        <v>0.1</v>
      </c>
      <c r="D183" s="179">
        <v>0.8</v>
      </c>
      <c r="E183" s="179">
        <v>0.8</v>
      </c>
      <c r="F183" s="348" t="s">
        <v>1656</v>
      </c>
      <c r="O183" s="7" t="s">
        <v>19400</v>
      </c>
      <c r="P183" s="11">
        <v>3607.0</v>
      </c>
    </row>
    <row r="184">
      <c r="A184" s="101" t="s">
        <v>19401</v>
      </c>
      <c r="B184" s="25">
        <v>3607.0</v>
      </c>
      <c r="C184" s="683">
        <v>0.1</v>
      </c>
      <c r="D184" s="179">
        <v>0.8</v>
      </c>
      <c r="E184" s="179">
        <v>0.8</v>
      </c>
      <c r="F184" s="348" t="s">
        <v>1656</v>
      </c>
      <c r="O184" s="7" t="s">
        <v>19401</v>
      </c>
      <c r="P184" s="11">
        <v>3607.0</v>
      </c>
    </row>
    <row r="185">
      <c r="A185" s="101" t="s">
        <v>19402</v>
      </c>
      <c r="B185" s="25"/>
      <c r="C185" s="683">
        <v>0.1</v>
      </c>
      <c r="D185" s="179">
        <v>0.75</v>
      </c>
      <c r="E185" s="179">
        <v>0.75</v>
      </c>
      <c r="F185" s="348" t="s">
        <v>1656</v>
      </c>
      <c r="O185" s="208" t="s">
        <v>19402</v>
      </c>
      <c r="P185" s="35">
        <v>3607.0</v>
      </c>
      <c r="Q185" s="36"/>
    </row>
    <row r="186">
      <c r="A186" s="101" t="s">
        <v>19403</v>
      </c>
      <c r="B186" s="16">
        <v>5365.0</v>
      </c>
      <c r="C186" s="683">
        <v>0.1</v>
      </c>
      <c r="D186" s="179">
        <v>0.75</v>
      </c>
      <c r="E186" s="179">
        <v>0.75</v>
      </c>
      <c r="F186" s="348" t="s">
        <v>1656</v>
      </c>
      <c r="O186" s="208" t="s">
        <v>19403</v>
      </c>
      <c r="P186" s="205">
        <v>2095.0</v>
      </c>
      <c r="Q186" s="36"/>
    </row>
    <row r="187">
      <c r="A187" s="101" t="s">
        <v>19404</v>
      </c>
      <c r="B187" s="57">
        <v>14575.0</v>
      </c>
      <c r="C187" s="683">
        <v>0.1</v>
      </c>
      <c r="D187" s="74">
        <v>0.85</v>
      </c>
      <c r="E187" s="74">
        <v>0.85</v>
      </c>
      <c r="F187" s="348" t="s">
        <v>1656</v>
      </c>
      <c r="O187" s="208" t="s">
        <v>19404</v>
      </c>
      <c r="P187" s="205">
        <v>6143.0</v>
      </c>
      <c r="Q187" s="36"/>
    </row>
    <row r="188">
      <c r="A188" s="101" t="s">
        <v>15141</v>
      </c>
      <c r="B188" s="57">
        <v>14025.0</v>
      </c>
      <c r="C188" s="683">
        <v>0.1</v>
      </c>
      <c r="D188" s="179">
        <v>0.75</v>
      </c>
      <c r="E188" s="179">
        <v>0.75</v>
      </c>
      <c r="F188" s="348" t="s">
        <v>1656</v>
      </c>
      <c r="O188" s="208" t="s">
        <v>15141</v>
      </c>
      <c r="P188" s="205">
        <v>6143.0</v>
      </c>
      <c r="Q188" s="36"/>
    </row>
    <row r="189">
      <c r="A189" s="686" t="s">
        <v>19405</v>
      </c>
      <c r="B189" s="136">
        <v>7415.0</v>
      </c>
      <c r="C189" s="683">
        <v>0.1</v>
      </c>
      <c r="D189" s="179">
        <v>0.75</v>
      </c>
      <c r="E189" s="179">
        <v>0.75</v>
      </c>
      <c r="F189" s="348" t="s">
        <v>1656</v>
      </c>
      <c r="O189" s="687" t="s">
        <v>19405</v>
      </c>
      <c r="P189" s="109">
        <v>7415.0</v>
      </c>
      <c r="Q189" s="36"/>
    </row>
    <row r="190">
      <c r="A190" s="202" t="s">
        <v>19406</v>
      </c>
      <c r="B190" s="51">
        <v>13988.0</v>
      </c>
      <c r="C190" s="683">
        <v>0.1</v>
      </c>
      <c r="D190" s="179">
        <v>0.75</v>
      </c>
      <c r="E190" s="179">
        <v>0.75</v>
      </c>
      <c r="F190" s="348" t="s">
        <v>1656</v>
      </c>
      <c r="G190" s="25" t="s">
        <v>10980</v>
      </c>
    </row>
    <row r="191">
      <c r="A191" s="202" t="s">
        <v>19407</v>
      </c>
      <c r="B191" s="188">
        <v>12277.0</v>
      </c>
      <c r="C191" s="683">
        <v>0.1</v>
      </c>
      <c r="D191" s="179">
        <v>0.75</v>
      </c>
      <c r="E191" s="179">
        <v>0.75</v>
      </c>
      <c r="F191" s="348" t="s">
        <v>1656</v>
      </c>
      <c r="G191" s="25" t="s">
        <v>10980</v>
      </c>
    </row>
    <row r="192">
      <c r="A192" s="202" t="s">
        <v>19408</v>
      </c>
      <c r="B192" s="202"/>
      <c r="C192" s="683">
        <v>0.1</v>
      </c>
      <c r="D192" s="179">
        <v>0.75</v>
      </c>
      <c r="E192" s="179">
        <v>0.75</v>
      </c>
      <c r="F192" s="348" t="s">
        <v>1656</v>
      </c>
      <c r="G192" s="25" t="s">
        <v>10980</v>
      </c>
    </row>
    <row r="193">
      <c r="A193" s="202" t="s">
        <v>19409</v>
      </c>
      <c r="B193" s="51">
        <v>14031.0</v>
      </c>
      <c r="C193" s="683">
        <v>0.1</v>
      </c>
      <c r="D193" s="179">
        <v>0.75</v>
      </c>
      <c r="E193" s="179">
        <v>0.75</v>
      </c>
      <c r="F193" s="348" t="s">
        <v>1656</v>
      </c>
      <c r="G193" s="25" t="s">
        <v>10980</v>
      </c>
    </row>
    <row r="194">
      <c r="A194" s="202" t="s">
        <v>15129</v>
      </c>
      <c r="B194" s="202"/>
      <c r="C194" s="683">
        <v>0.1</v>
      </c>
      <c r="D194" s="179">
        <v>0.75</v>
      </c>
      <c r="E194" s="179">
        <v>0.75</v>
      </c>
      <c r="F194" s="348" t="s">
        <v>1656</v>
      </c>
      <c r="G194" s="25" t="s">
        <v>10980</v>
      </c>
    </row>
    <row r="195">
      <c r="A195" s="202" t="s">
        <v>19410</v>
      </c>
      <c r="B195" s="202"/>
      <c r="C195" s="683">
        <v>0.1</v>
      </c>
      <c r="D195" s="179">
        <v>0.75</v>
      </c>
      <c r="E195" s="179">
        <v>0.75</v>
      </c>
      <c r="F195" s="348" t="s">
        <v>1656</v>
      </c>
      <c r="G195" s="25" t="s">
        <v>10980</v>
      </c>
    </row>
    <row r="196">
      <c r="A196" s="202" t="s">
        <v>15130</v>
      </c>
      <c r="B196" s="72">
        <v>12163.0</v>
      </c>
      <c r="C196" s="683">
        <v>0.1</v>
      </c>
      <c r="D196" s="179">
        <v>0.75</v>
      </c>
      <c r="E196" s="179">
        <v>0.75</v>
      </c>
      <c r="F196" s="348" t="s">
        <v>1656</v>
      </c>
      <c r="G196" s="25" t="s">
        <v>10980</v>
      </c>
    </row>
    <row r="197">
      <c r="A197" s="202" t="s">
        <v>19411</v>
      </c>
      <c r="B197" s="419">
        <v>14185.0</v>
      </c>
      <c r="C197" s="683">
        <v>0.1</v>
      </c>
      <c r="D197" s="179">
        <v>0.75</v>
      </c>
      <c r="E197" s="179">
        <v>0.75</v>
      </c>
      <c r="F197" s="348" t="s">
        <v>1656</v>
      </c>
      <c r="G197" s="25" t="s">
        <v>10980</v>
      </c>
    </row>
    <row r="198">
      <c r="A198" s="202" t="s">
        <v>19412</v>
      </c>
      <c r="B198" s="112">
        <v>13867.0</v>
      </c>
      <c r="C198" s="683">
        <v>0.1</v>
      </c>
      <c r="D198" s="179">
        <v>0.75</v>
      </c>
      <c r="E198" s="179">
        <v>0.75</v>
      </c>
      <c r="F198" s="348" t="s">
        <v>1656</v>
      </c>
      <c r="G198" s="25" t="s">
        <v>10980</v>
      </c>
    </row>
    <row r="199">
      <c r="A199" s="202" t="s">
        <v>15131</v>
      </c>
      <c r="B199" s="72">
        <v>8623.0</v>
      </c>
      <c r="C199" s="683">
        <v>0.1</v>
      </c>
      <c r="D199" s="179">
        <v>0.8</v>
      </c>
      <c r="E199" s="179">
        <v>0.8</v>
      </c>
      <c r="F199" s="348" t="s">
        <v>1656</v>
      </c>
      <c r="G199" s="25" t="s">
        <v>10980</v>
      </c>
    </row>
    <row r="200">
      <c r="A200" s="202" t="s">
        <v>15132</v>
      </c>
      <c r="B200" s="188">
        <v>9768.0</v>
      </c>
      <c r="C200" s="683">
        <v>0.1</v>
      </c>
      <c r="D200" s="179">
        <v>0.75</v>
      </c>
      <c r="E200" s="179">
        <v>0.75</v>
      </c>
      <c r="F200" s="348" t="s">
        <v>1656</v>
      </c>
      <c r="G200" s="25" t="s">
        <v>10980</v>
      </c>
    </row>
    <row r="201">
      <c r="A201" s="202" t="s">
        <v>15133</v>
      </c>
      <c r="B201" s="186">
        <v>8096.0</v>
      </c>
      <c r="C201" s="683">
        <v>0.1</v>
      </c>
      <c r="D201" s="179">
        <v>0.75</v>
      </c>
      <c r="E201" s="179">
        <v>0.75</v>
      </c>
      <c r="F201" s="348" t="s">
        <v>1656</v>
      </c>
      <c r="G201" s="25" t="s">
        <v>10980</v>
      </c>
    </row>
    <row r="202">
      <c r="A202" s="202" t="s">
        <v>19413</v>
      </c>
      <c r="B202" s="202"/>
      <c r="C202" s="683">
        <v>0.1</v>
      </c>
      <c r="D202" s="179">
        <v>0.75</v>
      </c>
      <c r="E202" s="179">
        <v>0.75</v>
      </c>
      <c r="F202" s="348" t="s">
        <v>1656</v>
      </c>
      <c r="G202" s="25" t="s">
        <v>10980</v>
      </c>
    </row>
    <row r="203">
      <c r="A203" s="202" t="s">
        <v>1726</v>
      </c>
      <c r="B203" s="112">
        <v>14624.0</v>
      </c>
      <c r="C203" s="683">
        <v>0.1</v>
      </c>
      <c r="D203" s="179">
        <v>0.75</v>
      </c>
      <c r="E203" s="179">
        <v>0.75</v>
      </c>
      <c r="F203" s="348" t="s">
        <v>1656</v>
      </c>
      <c r="G203" s="25" t="s">
        <v>10980</v>
      </c>
    </row>
    <row r="204">
      <c r="A204" s="25" t="s">
        <v>4160</v>
      </c>
      <c r="B204" s="25">
        <v>14594.0</v>
      </c>
      <c r="C204" s="683">
        <v>0.1</v>
      </c>
      <c r="D204" s="179">
        <v>0.75</v>
      </c>
      <c r="E204" s="179">
        <v>0.75</v>
      </c>
      <c r="F204" s="348" t="s">
        <v>1656</v>
      </c>
    </row>
    <row r="205">
      <c r="A205" s="25" t="s">
        <v>220</v>
      </c>
      <c r="B205" s="25">
        <v>14663.0</v>
      </c>
      <c r="C205" s="683">
        <v>0.1</v>
      </c>
      <c r="D205" s="179">
        <v>0.75</v>
      </c>
      <c r="E205" s="179">
        <v>0.75</v>
      </c>
      <c r="F205" s="348" t="s">
        <v>1656</v>
      </c>
    </row>
    <row r="206">
      <c r="A206" s="25" t="s">
        <v>43</v>
      </c>
      <c r="B206" s="25">
        <v>14727.0</v>
      </c>
      <c r="C206" s="683">
        <v>0.1</v>
      </c>
      <c r="D206" s="179">
        <v>0.75</v>
      </c>
      <c r="E206" s="179">
        <v>0.75</v>
      </c>
      <c r="F206" s="348" t="s">
        <v>1656</v>
      </c>
    </row>
    <row r="207">
      <c r="A207" s="175" t="s">
        <v>1729</v>
      </c>
      <c r="B207" s="25">
        <v>14727.0</v>
      </c>
      <c r="C207" s="683">
        <v>0.1</v>
      </c>
      <c r="D207" s="179">
        <v>0.75</v>
      </c>
      <c r="E207" s="179">
        <v>0.75</v>
      </c>
      <c r="F207" s="348" t="s">
        <v>1656</v>
      </c>
    </row>
    <row r="208">
      <c r="A208" s="175" t="s">
        <v>1730</v>
      </c>
      <c r="B208" s="25">
        <v>14727.0</v>
      </c>
      <c r="C208" s="683">
        <v>0.1</v>
      </c>
      <c r="D208" s="179">
        <v>0.75</v>
      </c>
      <c r="E208" s="179">
        <v>0.75</v>
      </c>
      <c r="F208" s="348" t="s">
        <v>1656</v>
      </c>
    </row>
    <row r="209">
      <c r="A209" s="231"/>
      <c r="B209" s="231"/>
      <c r="C209" s="78"/>
    </row>
    <row r="210">
      <c r="A210" s="231"/>
      <c r="B210" s="231"/>
      <c r="C210" s="78"/>
    </row>
    <row r="211">
      <c r="A211" s="231"/>
      <c r="B211" s="231"/>
      <c r="C211" s="78"/>
    </row>
    <row r="212">
      <c r="A212" s="231"/>
      <c r="B212" s="231"/>
      <c r="C212" s="78"/>
    </row>
    <row r="213">
      <c r="A213" s="231"/>
      <c r="B213" s="231"/>
      <c r="C213" s="78"/>
    </row>
    <row r="214">
      <c r="A214" s="231"/>
      <c r="B214" s="231"/>
      <c r="C214" s="78"/>
    </row>
    <row r="215">
      <c r="A215" s="231"/>
      <c r="B215" s="231"/>
      <c r="C215" s="78"/>
    </row>
    <row r="216">
      <c r="A216" s="231"/>
      <c r="B216" s="231"/>
      <c r="C216" s="78"/>
    </row>
    <row r="217">
      <c r="A217" s="231"/>
      <c r="B217" s="231"/>
      <c r="C217" s="78"/>
    </row>
    <row r="218">
      <c r="A218" s="231"/>
      <c r="B218" s="231"/>
      <c r="C218" s="78"/>
    </row>
    <row r="219">
      <c r="A219" s="231"/>
      <c r="B219" s="231"/>
      <c r="C219" s="78"/>
    </row>
    <row r="220">
      <c r="A220" s="231"/>
      <c r="B220" s="231"/>
      <c r="C220" s="78"/>
    </row>
    <row r="221">
      <c r="A221" s="231"/>
      <c r="B221" s="231"/>
      <c r="C221" s="78"/>
    </row>
    <row r="222">
      <c r="A222" s="231"/>
      <c r="B222" s="231"/>
      <c r="C222" s="78"/>
    </row>
    <row r="223">
      <c r="A223" s="231"/>
      <c r="B223" s="231"/>
      <c r="C223" s="78"/>
    </row>
    <row r="224">
      <c r="A224" s="231"/>
      <c r="B224" s="231"/>
      <c r="C224" s="78"/>
    </row>
    <row r="225">
      <c r="A225" s="231"/>
      <c r="B225" s="231"/>
      <c r="C225" s="78"/>
    </row>
    <row r="226">
      <c r="A226" s="231"/>
      <c r="B226" s="231"/>
      <c r="C226" s="78"/>
    </row>
    <row r="227">
      <c r="A227" s="231"/>
      <c r="B227" s="231"/>
      <c r="C227" s="78"/>
    </row>
    <row r="228">
      <c r="A228" s="231"/>
      <c r="B228" s="231"/>
      <c r="C228" s="78"/>
    </row>
    <row r="229">
      <c r="A229" s="231"/>
      <c r="B229" s="231"/>
      <c r="C229" s="78"/>
    </row>
    <row r="230">
      <c r="A230" s="231"/>
      <c r="B230" s="231"/>
      <c r="C230" s="78"/>
    </row>
    <row r="231">
      <c r="A231" s="231"/>
      <c r="B231" s="231"/>
      <c r="C231" s="78"/>
    </row>
    <row r="232">
      <c r="A232" s="231"/>
      <c r="B232" s="231"/>
      <c r="C232" s="78"/>
    </row>
    <row r="233">
      <c r="A233" s="231"/>
      <c r="B233" s="231"/>
      <c r="C233" s="78"/>
    </row>
    <row r="234">
      <c r="A234" s="231"/>
      <c r="B234" s="231"/>
      <c r="C234" s="78"/>
    </row>
    <row r="235">
      <c r="A235" s="231"/>
      <c r="B235" s="231"/>
      <c r="C235" s="78"/>
    </row>
    <row r="236">
      <c r="A236" s="231"/>
      <c r="B236" s="231"/>
      <c r="C236" s="78"/>
    </row>
    <row r="237">
      <c r="A237" s="231"/>
      <c r="B237" s="231"/>
      <c r="C237" s="78"/>
    </row>
    <row r="238">
      <c r="A238" s="231"/>
      <c r="B238" s="231"/>
      <c r="C238" s="78"/>
    </row>
    <row r="239">
      <c r="A239" s="231"/>
      <c r="B239" s="231"/>
      <c r="C239" s="78"/>
    </row>
    <row r="240">
      <c r="A240" s="231"/>
      <c r="B240" s="231"/>
      <c r="C240" s="78"/>
    </row>
    <row r="241">
      <c r="A241" s="231"/>
      <c r="B241" s="231"/>
      <c r="C241" s="78"/>
    </row>
    <row r="242">
      <c r="A242" s="231"/>
      <c r="B242" s="231"/>
      <c r="C242" s="78"/>
    </row>
    <row r="243">
      <c r="A243" s="231"/>
      <c r="B243" s="231"/>
      <c r="C243" s="78"/>
    </row>
    <row r="244">
      <c r="A244" s="231"/>
      <c r="B244" s="231"/>
      <c r="C244" s="78"/>
    </row>
    <row r="245">
      <c r="A245" s="231"/>
      <c r="B245" s="231"/>
      <c r="C245" s="78"/>
    </row>
    <row r="246">
      <c r="A246" s="231"/>
      <c r="B246" s="231"/>
      <c r="C246" s="78"/>
    </row>
    <row r="247">
      <c r="A247" s="231"/>
      <c r="B247" s="231"/>
      <c r="C247" s="78"/>
    </row>
    <row r="248">
      <c r="A248" s="231"/>
      <c r="B248" s="231"/>
      <c r="C248" s="78"/>
    </row>
    <row r="249">
      <c r="A249" s="231"/>
      <c r="B249" s="231"/>
      <c r="C249" s="78"/>
    </row>
    <row r="250">
      <c r="A250" s="231"/>
      <c r="B250" s="231"/>
      <c r="C250" s="78"/>
    </row>
    <row r="251">
      <c r="A251" s="231"/>
      <c r="B251" s="231"/>
      <c r="C251" s="78"/>
    </row>
    <row r="252">
      <c r="A252" s="231"/>
      <c r="B252" s="231"/>
      <c r="C252" s="78"/>
    </row>
    <row r="253">
      <c r="A253" s="231"/>
      <c r="B253" s="231"/>
      <c r="C253" s="78"/>
    </row>
    <row r="254">
      <c r="A254" s="231"/>
      <c r="B254" s="231"/>
      <c r="C254" s="78"/>
    </row>
    <row r="255">
      <c r="A255" s="231"/>
      <c r="B255" s="231"/>
      <c r="C255" s="78"/>
    </row>
    <row r="256">
      <c r="A256" s="231"/>
      <c r="B256" s="231"/>
      <c r="C256" s="78"/>
    </row>
    <row r="257">
      <c r="A257" s="231"/>
      <c r="B257" s="231"/>
      <c r="C257" s="78"/>
    </row>
    <row r="258">
      <c r="A258" s="231"/>
      <c r="B258" s="231"/>
      <c r="C258" s="78"/>
    </row>
    <row r="259">
      <c r="A259" s="231"/>
      <c r="B259" s="231"/>
      <c r="C259" s="78"/>
    </row>
    <row r="260">
      <c r="A260" s="231"/>
      <c r="B260" s="231"/>
      <c r="C260" s="78"/>
    </row>
    <row r="261">
      <c r="A261" s="231"/>
      <c r="B261" s="231"/>
      <c r="C261" s="78"/>
    </row>
    <row r="262">
      <c r="A262" s="231"/>
      <c r="B262" s="231"/>
      <c r="C262" s="78"/>
    </row>
    <row r="263">
      <c r="A263" s="231"/>
      <c r="B263" s="231"/>
      <c r="C263" s="78"/>
    </row>
    <row r="264">
      <c r="A264" s="231"/>
      <c r="B264" s="231"/>
      <c r="C264" s="78"/>
    </row>
    <row r="265">
      <c r="A265" s="231"/>
      <c r="B265" s="231"/>
      <c r="C265" s="78"/>
    </row>
    <row r="266">
      <c r="A266" s="231"/>
      <c r="B266" s="231"/>
      <c r="C266" s="78"/>
    </row>
    <row r="267">
      <c r="A267" s="231"/>
      <c r="B267" s="231"/>
      <c r="C267" s="78"/>
    </row>
    <row r="268">
      <c r="A268" s="231"/>
      <c r="B268" s="231"/>
      <c r="C268" s="78"/>
    </row>
    <row r="269">
      <c r="A269" s="231"/>
      <c r="B269" s="231"/>
      <c r="C269" s="78"/>
    </row>
    <row r="270">
      <c r="A270" s="231"/>
      <c r="B270" s="231"/>
      <c r="C270" s="78"/>
    </row>
    <row r="271">
      <c r="A271" s="231"/>
      <c r="B271" s="231"/>
      <c r="C271" s="78"/>
    </row>
    <row r="272">
      <c r="A272" s="231"/>
      <c r="B272" s="231"/>
      <c r="C272" s="78"/>
    </row>
    <row r="273">
      <c r="A273" s="231"/>
      <c r="B273" s="231"/>
      <c r="C273" s="78"/>
    </row>
    <row r="274">
      <c r="A274" s="231"/>
      <c r="B274" s="231"/>
      <c r="C274" s="78"/>
    </row>
    <row r="275">
      <c r="A275" s="231"/>
      <c r="B275" s="231"/>
      <c r="C275" s="78"/>
    </row>
    <row r="276">
      <c r="A276" s="231"/>
      <c r="B276" s="231"/>
      <c r="C276" s="78"/>
    </row>
    <row r="277">
      <c r="A277" s="231"/>
      <c r="B277" s="231"/>
      <c r="C277" s="78"/>
    </row>
    <row r="278">
      <c r="A278" s="231"/>
      <c r="B278" s="231"/>
      <c r="C278" s="78"/>
    </row>
    <row r="279">
      <c r="A279" s="231"/>
      <c r="B279" s="231"/>
      <c r="C279" s="78"/>
    </row>
    <row r="280">
      <c r="A280" s="231"/>
      <c r="B280" s="231"/>
      <c r="C280" s="78"/>
    </row>
    <row r="281">
      <c r="A281" s="231"/>
      <c r="B281" s="231"/>
      <c r="C281" s="78"/>
    </row>
    <row r="282">
      <c r="A282" s="231"/>
      <c r="B282" s="231"/>
      <c r="C282" s="78"/>
    </row>
    <row r="283">
      <c r="A283" s="231"/>
      <c r="B283" s="231"/>
      <c r="C283" s="78"/>
    </row>
    <row r="284">
      <c r="A284" s="231"/>
      <c r="B284" s="231"/>
      <c r="C284" s="78"/>
    </row>
    <row r="285">
      <c r="A285" s="231"/>
      <c r="B285" s="231"/>
      <c r="C285" s="78"/>
    </row>
    <row r="286">
      <c r="A286" s="231"/>
      <c r="B286" s="231"/>
      <c r="C286" s="78"/>
    </row>
    <row r="287">
      <c r="A287" s="231"/>
      <c r="B287" s="231"/>
      <c r="C287" s="78"/>
    </row>
    <row r="288">
      <c r="A288" s="231"/>
      <c r="B288" s="231"/>
      <c r="C288" s="78"/>
    </row>
    <row r="289">
      <c r="A289" s="231"/>
      <c r="B289" s="231"/>
      <c r="C289" s="78"/>
    </row>
    <row r="290">
      <c r="A290" s="231"/>
      <c r="B290" s="231"/>
      <c r="C290" s="78"/>
    </row>
    <row r="291">
      <c r="A291" s="231"/>
      <c r="B291" s="231"/>
      <c r="C291" s="78"/>
    </row>
    <row r="292">
      <c r="A292" s="231"/>
      <c r="B292" s="231"/>
      <c r="C292" s="78"/>
    </row>
    <row r="293">
      <c r="A293" s="231"/>
      <c r="B293" s="231"/>
      <c r="C293" s="78"/>
    </row>
    <row r="294">
      <c r="A294" s="231"/>
      <c r="B294" s="231"/>
      <c r="C294" s="78"/>
    </row>
    <row r="295">
      <c r="A295" s="231"/>
      <c r="B295" s="231"/>
      <c r="C295" s="78"/>
    </row>
    <row r="296">
      <c r="A296" s="231"/>
      <c r="B296" s="231"/>
      <c r="C296" s="78"/>
    </row>
    <row r="297">
      <c r="A297" s="231"/>
      <c r="B297" s="231"/>
      <c r="C297" s="78"/>
    </row>
    <row r="298">
      <c r="A298" s="231"/>
      <c r="B298" s="231"/>
      <c r="C298" s="78"/>
    </row>
    <row r="299">
      <c r="A299" s="231"/>
      <c r="B299" s="231"/>
      <c r="C299" s="78"/>
    </row>
    <row r="300">
      <c r="A300" s="231"/>
      <c r="B300" s="231"/>
      <c r="C300" s="78"/>
    </row>
    <row r="301">
      <c r="A301" s="231"/>
      <c r="B301" s="231"/>
      <c r="C301" s="78"/>
    </row>
    <row r="302">
      <c r="A302" s="231"/>
      <c r="B302" s="231"/>
      <c r="C302" s="78"/>
    </row>
    <row r="303">
      <c r="A303" s="231"/>
      <c r="B303" s="231"/>
      <c r="C303" s="78"/>
    </row>
    <row r="304">
      <c r="A304" s="231"/>
      <c r="B304" s="231"/>
      <c r="C304" s="78"/>
    </row>
    <row r="305">
      <c r="A305" s="231"/>
      <c r="B305" s="231"/>
      <c r="C305" s="78"/>
    </row>
    <row r="306">
      <c r="A306" s="231"/>
      <c r="B306" s="231"/>
      <c r="C306" s="78"/>
    </row>
    <row r="307">
      <c r="A307" s="231"/>
      <c r="B307" s="231"/>
      <c r="C307" s="78"/>
    </row>
    <row r="308">
      <c r="A308" s="231"/>
      <c r="B308" s="231"/>
      <c r="C308" s="78"/>
    </row>
    <row r="309">
      <c r="A309" s="231"/>
      <c r="B309" s="231"/>
      <c r="C309" s="78"/>
    </row>
    <row r="310">
      <c r="A310" s="231"/>
      <c r="B310" s="231"/>
      <c r="C310" s="78"/>
    </row>
    <row r="311">
      <c r="A311" s="231"/>
      <c r="B311" s="231"/>
      <c r="C311" s="78"/>
    </row>
    <row r="312">
      <c r="A312" s="231"/>
      <c r="B312" s="231"/>
      <c r="C312" s="78"/>
    </row>
    <row r="313">
      <c r="A313" s="231"/>
      <c r="B313" s="231"/>
      <c r="C313" s="78"/>
    </row>
    <row r="314">
      <c r="A314" s="231"/>
      <c r="B314" s="231"/>
      <c r="C314" s="78"/>
    </row>
    <row r="315">
      <c r="A315" s="231"/>
      <c r="B315" s="231"/>
      <c r="C315" s="78"/>
    </row>
    <row r="316">
      <c r="A316" s="231"/>
      <c r="B316" s="231"/>
      <c r="C316" s="78"/>
    </row>
    <row r="317">
      <c r="A317" s="231"/>
      <c r="B317" s="231"/>
      <c r="C317" s="78"/>
    </row>
    <row r="318">
      <c r="A318" s="231"/>
      <c r="B318" s="231"/>
      <c r="C318" s="78"/>
    </row>
    <row r="319">
      <c r="A319" s="231"/>
      <c r="B319" s="231"/>
      <c r="C319" s="78"/>
    </row>
    <row r="320">
      <c r="A320" s="231"/>
      <c r="B320" s="231"/>
      <c r="C320" s="78"/>
    </row>
    <row r="321">
      <c r="A321" s="231"/>
      <c r="B321" s="231"/>
      <c r="C321" s="78"/>
    </row>
    <row r="322">
      <c r="A322" s="231"/>
      <c r="B322" s="231"/>
      <c r="C322" s="78"/>
    </row>
    <row r="323">
      <c r="A323" s="231"/>
      <c r="B323" s="231"/>
      <c r="C323" s="78"/>
    </row>
    <row r="324">
      <c r="A324" s="231"/>
      <c r="B324" s="231"/>
      <c r="C324" s="78"/>
    </row>
    <row r="325">
      <c r="A325" s="231"/>
      <c r="B325" s="231"/>
      <c r="C325" s="78"/>
    </row>
    <row r="326">
      <c r="A326" s="231"/>
      <c r="B326" s="231"/>
      <c r="C326" s="78"/>
    </row>
    <row r="327">
      <c r="A327" s="231"/>
      <c r="B327" s="231"/>
      <c r="C327" s="78"/>
    </row>
    <row r="328">
      <c r="A328" s="231"/>
      <c r="B328" s="231"/>
      <c r="C328" s="78"/>
    </row>
    <row r="329">
      <c r="A329" s="231"/>
      <c r="B329" s="231"/>
      <c r="C329" s="78"/>
    </row>
    <row r="330">
      <c r="A330" s="231"/>
      <c r="B330" s="231"/>
      <c r="C330" s="78"/>
    </row>
    <row r="331">
      <c r="A331" s="231"/>
      <c r="B331" s="231"/>
      <c r="C331" s="78"/>
    </row>
    <row r="332">
      <c r="A332" s="231"/>
      <c r="B332" s="231"/>
      <c r="C332" s="78"/>
    </row>
    <row r="333">
      <c r="A333" s="231"/>
      <c r="B333" s="231"/>
      <c r="C333" s="78"/>
    </row>
    <row r="334">
      <c r="A334" s="231"/>
      <c r="B334" s="231"/>
      <c r="C334" s="78"/>
    </row>
    <row r="335">
      <c r="A335" s="231"/>
      <c r="B335" s="231"/>
      <c r="C335" s="78"/>
    </row>
    <row r="336">
      <c r="A336" s="231"/>
      <c r="B336" s="231"/>
      <c r="C336" s="78"/>
    </row>
    <row r="337">
      <c r="A337" s="231"/>
      <c r="B337" s="231"/>
      <c r="C337" s="78"/>
    </row>
    <row r="338">
      <c r="A338" s="231"/>
      <c r="B338" s="231"/>
      <c r="C338" s="78"/>
    </row>
    <row r="339">
      <c r="A339" s="231"/>
      <c r="B339" s="231"/>
      <c r="C339" s="78"/>
    </row>
    <row r="340">
      <c r="A340" s="231"/>
      <c r="B340" s="231"/>
      <c r="C340" s="78"/>
    </row>
    <row r="341">
      <c r="A341" s="231"/>
      <c r="B341" s="231"/>
      <c r="C341" s="78"/>
    </row>
    <row r="342">
      <c r="A342" s="231"/>
      <c r="B342" s="231"/>
      <c r="C342" s="78"/>
    </row>
    <row r="343">
      <c r="A343" s="231"/>
      <c r="B343" s="231"/>
      <c r="C343" s="78"/>
    </row>
    <row r="344">
      <c r="A344" s="231"/>
      <c r="B344" s="231"/>
      <c r="C344" s="78"/>
    </row>
    <row r="345">
      <c r="A345" s="231"/>
      <c r="B345" s="231"/>
      <c r="C345" s="78"/>
    </row>
    <row r="346">
      <c r="A346" s="231"/>
      <c r="B346" s="231"/>
      <c r="C346" s="78"/>
    </row>
    <row r="347">
      <c r="A347" s="231"/>
      <c r="B347" s="231"/>
      <c r="C347" s="78"/>
    </row>
    <row r="348">
      <c r="A348" s="231"/>
      <c r="B348" s="231"/>
      <c r="C348" s="78"/>
    </row>
    <row r="349">
      <c r="A349" s="231"/>
      <c r="B349" s="231"/>
      <c r="C349" s="78"/>
    </row>
    <row r="350">
      <c r="A350" s="231"/>
      <c r="B350" s="231"/>
      <c r="C350" s="78"/>
    </row>
    <row r="351">
      <c r="A351" s="231"/>
      <c r="B351" s="231"/>
      <c r="C351" s="78"/>
    </row>
    <row r="352">
      <c r="A352" s="231"/>
      <c r="B352" s="231"/>
      <c r="C352" s="78"/>
    </row>
    <row r="353">
      <c r="A353" s="231"/>
      <c r="B353" s="231"/>
      <c r="C353" s="78"/>
    </row>
    <row r="354">
      <c r="A354" s="231"/>
      <c r="B354" s="231"/>
      <c r="C354" s="78"/>
    </row>
    <row r="355">
      <c r="A355" s="231"/>
      <c r="B355" s="231"/>
      <c r="C355" s="78"/>
    </row>
    <row r="356">
      <c r="A356" s="231"/>
      <c r="B356" s="231"/>
      <c r="C356" s="78"/>
    </row>
    <row r="357">
      <c r="A357" s="231"/>
      <c r="B357" s="231"/>
      <c r="C357" s="78"/>
    </row>
    <row r="358">
      <c r="A358" s="231"/>
      <c r="B358" s="231"/>
      <c r="C358" s="78"/>
    </row>
    <row r="359">
      <c r="A359" s="231"/>
      <c r="B359" s="231"/>
      <c r="C359" s="78"/>
    </row>
    <row r="360">
      <c r="A360" s="231"/>
      <c r="B360" s="231"/>
      <c r="C360" s="78"/>
    </row>
    <row r="361">
      <c r="A361" s="231"/>
      <c r="B361" s="231"/>
      <c r="C361" s="78"/>
    </row>
    <row r="362">
      <c r="A362" s="231"/>
      <c r="B362" s="231"/>
      <c r="C362" s="78"/>
    </row>
    <row r="363">
      <c r="A363" s="231"/>
      <c r="B363" s="231"/>
      <c r="C363" s="78"/>
    </row>
    <row r="364">
      <c r="A364" s="231"/>
      <c r="B364" s="231"/>
      <c r="C364" s="78"/>
    </row>
    <row r="365">
      <c r="A365" s="231"/>
      <c r="B365" s="231"/>
      <c r="C365" s="78"/>
    </row>
    <row r="366">
      <c r="A366" s="231"/>
      <c r="B366" s="231"/>
      <c r="C366" s="78"/>
    </row>
    <row r="367">
      <c r="A367" s="231"/>
      <c r="B367" s="231"/>
      <c r="C367" s="78"/>
    </row>
    <row r="368">
      <c r="A368" s="231"/>
      <c r="B368" s="231"/>
      <c r="C368" s="78"/>
    </row>
    <row r="369">
      <c r="A369" s="231"/>
      <c r="B369" s="231"/>
      <c r="C369" s="78"/>
    </row>
    <row r="370">
      <c r="A370" s="231"/>
      <c r="B370" s="231"/>
      <c r="C370" s="78"/>
    </row>
    <row r="371">
      <c r="A371" s="231"/>
      <c r="B371" s="231"/>
      <c r="C371" s="78"/>
    </row>
    <row r="372">
      <c r="A372" s="231"/>
      <c r="B372" s="231"/>
      <c r="C372" s="78"/>
    </row>
    <row r="373">
      <c r="A373" s="231"/>
      <c r="B373" s="231"/>
      <c r="C373" s="78"/>
    </row>
    <row r="374">
      <c r="A374" s="231"/>
      <c r="B374" s="231"/>
      <c r="C374" s="78"/>
    </row>
    <row r="375">
      <c r="A375" s="231"/>
      <c r="B375" s="231"/>
      <c r="C375" s="78"/>
    </row>
    <row r="376">
      <c r="A376" s="231"/>
      <c r="B376" s="231"/>
      <c r="C376" s="78"/>
    </row>
    <row r="377">
      <c r="A377" s="231"/>
      <c r="B377" s="231"/>
      <c r="C377" s="78"/>
    </row>
    <row r="378">
      <c r="A378" s="231"/>
      <c r="B378" s="231"/>
      <c r="C378" s="78"/>
    </row>
    <row r="379">
      <c r="A379" s="231"/>
      <c r="B379" s="231"/>
      <c r="C379" s="78"/>
    </row>
    <row r="380">
      <c r="A380" s="231"/>
      <c r="B380" s="231"/>
      <c r="C380" s="78"/>
    </row>
    <row r="381">
      <c r="A381" s="231"/>
      <c r="B381" s="231"/>
      <c r="C381" s="78"/>
    </row>
    <row r="382">
      <c r="A382" s="231"/>
      <c r="B382" s="231"/>
      <c r="C382" s="78"/>
    </row>
    <row r="383">
      <c r="A383" s="231"/>
      <c r="B383" s="231"/>
      <c r="C383" s="78"/>
    </row>
    <row r="384">
      <c r="A384" s="231"/>
      <c r="B384" s="231"/>
      <c r="C384" s="78"/>
    </row>
    <row r="385">
      <c r="A385" s="231"/>
      <c r="B385" s="231"/>
      <c r="C385" s="78"/>
    </row>
    <row r="386">
      <c r="A386" s="231"/>
      <c r="B386" s="231"/>
      <c r="C386" s="78"/>
    </row>
    <row r="387">
      <c r="A387" s="231"/>
      <c r="B387" s="231"/>
      <c r="C387" s="78"/>
    </row>
    <row r="388">
      <c r="A388" s="231"/>
      <c r="B388" s="231"/>
      <c r="C388" s="78"/>
    </row>
    <row r="389">
      <c r="A389" s="231"/>
      <c r="B389" s="231"/>
      <c r="C389" s="78"/>
    </row>
    <row r="390">
      <c r="A390" s="231"/>
      <c r="B390" s="231"/>
      <c r="C390" s="78"/>
    </row>
    <row r="391">
      <c r="A391" s="231"/>
      <c r="B391" s="231"/>
      <c r="C391" s="78"/>
    </row>
    <row r="392">
      <c r="A392" s="231"/>
      <c r="B392" s="231"/>
      <c r="C392" s="78"/>
    </row>
    <row r="393">
      <c r="A393" s="231"/>
      <c r="B393" s="231"/>
      <c r="C393" s="78"/>
    </row>
    <row r="394">
      <c r="A394" s="231"/>
      <c r="B394" s="231"/>
      <c r="C394" s="78"/>
    </row>
    <row r="395">
      <c r="A395" s="231"/>
      <c r="B395" s="231"/>
      <c r="C395" s="78"/>
    </row>
    <row r="396">
      <c r="A396" s="231"/>
      <c r="B396" s="231"/>
      <c r="C396" s="78"/>
    </row>
    <row r="397">
      <c r="A397" s="231"/>
      <c r="B397" s="231"/>
      <c r="C397" s="78"/>
    </row>
    <row r="398">
      <c r="A398" s="231"/>
      <c r="B398" s="231"/>
      <c r="C398" s="78"/>
    </row>
    <row r="399">
      <c r="A399" s="231"/>
      <c r="B399" s="231"/>
      <c r="C399" s="78"/>
    </row>
    <row r="400">
      <c r="A400" s="231"/>
      <c r="B400" s="231"/>
      <c r="C400" s="78"/>
    </row>
    <row r="401">
      <c r="A401" s="231"/>
      <c r="B401" s="231"/>
      <c r="C401" s="78"/>
    </row>
    <row r="402">
      <c r="A402" s="231"/>
      <c r="B402" s="231"/>
      <c r="C402" s="78"/>
    </row>
    <row r="403">
      <c r="A403" s="231"/>
      <c r="B403" s="231"/>
      <c r="C403" s="78"/>
    </row>
    <row r="404">
      <c r="A404" s="231"/>
      <c r="B404" s="231"/>
      <c r="C404" s="78"/>
    </row>
    <row r="405">
      <c r="A405" s="231"/>
      <c r="B405" s="231"/>
      <c r="C405" s="78"/>
    </row>
    <row r="406">
      <c r="A406" s="231"/>
      <c r="B406" s="231"/>
      <c r="C406" s="78"/>
    </row>
    <row r="407">
      <c r="A407" s="231"/>
      <c r="B407" s="231"/>
      <c r="C407" s="78"/>
    </row>
    <row r="408">
      <c r="A408" s="231"/>
      <c r="B408" s="231"/>
      <c r="C408" s="78"/>
    </row>
    <row r="409">
      <c r="A409" s="231"/>
      <c r="B409" s="231"/>
      <c r="C409" s="78"/>
    </row>
    <row r="410">
      <c r="A410" s="231"/>
      <c r="B410" s="231"/>
      <c r="C410" s="78"/>
    </row>
    <row r="411">
      <c r="A411" s="231"/>
      <c r="B411" s="231"/>
      <c r="C411" s="78"/>
    </row>
    <row r="412">
      <c r="A412" s="231"/>
      <c r="B412" s="231"/>
      <c r="C412" s="78"/>
    </row>
    <row r="413">
      <c r="A413" s="231"/>
      <c r="B413" s="231"/>
      <c r="C413" s="78"/>
    </row>
    <row r="414">
      <c r="A414" s="231"/>
      <c r="B414" s="231"/>
      <c r="C414" s="78"/>
    </row>
    <row r="415">
      <c r="A415" s="231"/>
      <c r="B415" s="231"/>
      <c r="C415" s="78"/>
    </row>
    <row r="416">
      <c r="A416" s="231"/>
      <c r="B416" s="231"/>
      <c r="C416" s="78"/>
    </row>
    <row r="417">
      <c r="A417" s="231"/>
      <c r="B417" s="231"/>
      <c r="C417" s="78"/>
    </row>
    <row r="418">
      <c r="A418" s="231"/>
      <c r="B418" s="231"/>
      <c r="C418" s="78"/>
    </row>
    <row r="419">
      <c r="A419" s="231"/>
      <c r="B419" s="231"/>
      <c r="C419" s="78"/>
    </row>
    <row r="420">
      <c r="A420" s="231"/>
      <c r="B420" s="231"/>
      <c r="C420" s="78"/>
    </row>
    <row r="421">
      <c r="A421" s="231"/>
      <c r="B421" s="231"/>
      <c r="C421" s="78"/>
    </row>
    <row r="422">
      <c r="A422" s="231"/>
      <c r="B422" s="231"/>
      <c r="C422" s="78"/>
    </row>
    <row r="423">
      <c r="A423" s="231"/>
      <c r="B423" s="231"/>
      <c r="C423" s="78"/>
    </row>
    <row r="424">
      <c r="A424" s="231"/>
      <c r="B424" s="231"/>
      <c r="C424" s="78"/>
    </row>
    <row r="425">
      <c r="A425" s="231"/>
      <c r="B425" s="231"/>
      <c r="C425" s="78"/>
    </row>
    <row r="426">
      <c r="A426" s="231"/>
      <c r="B426" s="231"/>
      <c r="C426" s="78"/>
    </row>
    <row r="427">
      <c r="A427" s="231"/>
      <c r="B427" s="231"/>
      <c r="C427" s="78"/>
    </row>
    <row r="428">
      <c r="A428" s="231"/>
      <c r="B428" s="231"/>
      <c r="C428" s="78"/>
    </row>
    <row r="429">
      <c r="A429" s="231"/>
      <c r="B429" s="231"/>
      <c r="C429" s="78"/>
    </row>
    <row r="430">
      <c r="A430" s="231"/>
      <c r="B430" s="231"/>
      <c r="C430" s="78"/>
    </row>
    <row r="431">
      <c r="A431" s="231"/>
      <c r="B431" s="231"/>
      <c r="C431" s="78"/>
    </row>
    <row r="432">
      <c r="A432" s="231"/>
      <c r="B432" s="231"/>
      <c r="C432" s="78"/>
    </row>
    <row r="433">
      <c r="A433" s="231"/>
      <c r="B433" s="231"/>
      <c r="C433" s="78"/>
    </row>
    <row r="434">
      <c r="A434" s="231"/>
      <c r="B434" s="231"/>
      <c r="C434" s="78"/>
    </row>
    <row r="435">
      <c r="A435" s="231"/>
      <c r="B435" s="231"/>
      <c r="C435" s="78"/>
    </row>
    <row r="436">
      <c r="A436" s="231"/>
      <c r="B436" s="231"/>
      <c r="C436" s="78"/>
    </row>
    <row r="437">
      <c r="A437" s="231"/>
      <c r="B437" s="231"/>
      <c r="C437" s="78"/>
    </row>
    <row r="438">
      <c r="A438" s="231"/>
      <c r="B438" s="231"/>
      <c r="C438" s="78"/>
    </row>
    <row r="439">
      <c r="A439" s="231"/>
      <c r="B439" s="231"/>
      <c r="C439" s="78"/>
    </row>
    <row r="440">
      <c r="A440" s="231"/>
      <c r="B440" s="231"/>
      <c r="C440" s="78"/>
    </row>
    <row r="441">
      <c r="A441" s="231"/>
      <c r="B441" s="231"/>
      <c r="C441" s="78"/>
    </row>
    <row r="442">
      <c r="A442" s="231"/>
      <c r="B442" s="231"/>
      <c r="C442" s="78"/>
    </row>
    <row r="443">
      <c r="A443" s="231"/>
      <c r="B443" s="231"/>
      <c r="C443" s="78"/>
    </row>
    <row r="444">
      <c r="A444" s="231"/>
      <c r="B444" s="231"/>
      <c r="C444" s="78"/>
    </row>
    <row r="445">
      <c r="A445" s="231"/>
      <c r="B445" s="231"/>
      <c r="C445" s="78"/>
    </row>
    <row r="446">
      <c r="A446" s="231"/>
      <c r="B446" s="231"/>
      <c r="C446" s="78"/>
    </row>
    <row r="447">
      <c r="A447" s="231"/>
      <c r="B447" s="231"/>
      <c r="C447" s="78"/>
    </row>
    <row r="448">
      <c r="A448" s="231"/>
      <c r="B448" s="231"/>
      <c r="C448" s="78"/>
    </row>
    <row r="449">
      <c r="A449" s="231"/>
      <c r="B449" s="231"/>
      <c r="C449" s="78"/>
    </row>
    <row r="450">
      <c r="A450" s="231"/>
      <c r="B450" s="231"/>
      <c r="C450" s="78"/>
    </row>
    <row r="451">
      <c r="A451" s="231"/>
      <c r="B451" s="231"/>
      <c r="C451" s="78"/>
    </row>
    <row r="452">
      <c r="A452" s="231"/>
      <c r="B452" s="231"/>
      <c r="C452" s="78"/>
    </row>
    <row r="453">
      <c r="A453" s="231"/>
      <c r="B453" s="231"/>
      <c r="C453" s="78"/>
    </row>
    <row r="454">
      <c r="A454" s="231"/>
      <c r="B454" s="231"/>
      <c r="C454" s="78"/>
    </row>
    <row r="455">
      <c r="A455" s="231"/>
      <c r="B455" s="231"/>
      <c r="C455" s="78"/>
    </row>
    <row r="456">
      <c r="A456" s="231"/>
      <c r="B456" s="231"/>
      <c r="C456" s="78"/>
    </row>
    <row r="457">
      <c r="A457" s="231"/>
      <c r="B457" s="231"/>
      <c r="C457" s="78"/>
    </row>
    <row r="458">
      <c r="A458" s="231"/>
      <c r="B458" s="231"/>
      <c r="C458" s="78"/>
    </row>
    <row r="459">
      <c r="A459" s="231"/>
      <c r="B459" s="231"/>
      <c r="C459" s="78"/>
    </row>
    <row r="460">
      <c r="A460" s="231"/>
      <c r="B460" s="231"/>
      <c r="C460" s="78"/>
    </row>
    <row r="461">
      <c r="A461" s="231"/>
      <c r="B461" s="231"/>
      <c r="C461" s="78"/>
    </row>
    <row r="462">
      <c r="A462" s="231"/>
      <c r="B462" s="231"/>
      <c r="C462" s="78"/>
    </row>
    <row r="463">
      <c r="A463" s="231"/>
      <c r="B463" s="231"/>
      <c r="C463" s="78"/>
    </row>
    <row r="464">
      <c r="A464" s="231"/>
      <c r="B464" s="231"/>
      <c r="C464" s="78"/>
    </row>
    <row r="465">
      <c r="A465" s="231"/>
      <c r="B465" s="231"/>
      <c r="C465" s="78"/>
    </row>
    <row r="466">
      <c r="A466" s="231"/>
      <c r="B466" s="231"/>
      <c r="C466" s="78"/>
    </row>
    <row r="467">
      <c r="A467" s="231"/>
      <c r="B467" s="231"/>
      <c r="C467" s="78"/>
    </row>
    <row r="468">
      <c r="A468" s="231"/>
      <c r="B468" s="231"/>
      <c r="C468" s="78"/>
    </row>
    <row r="469">
      <c r="A469" s="231"/>
      <c r="B469" s="231"/>
      <c r="C469" s="78"/>
    </row>
    <row r="470">
      <c r="A470" s="231"/>
      <c r="B470" s="231"/>
      <c r="C470" s="78"/>
    </row>
    <row r="471">
      <c r="A471" s="231"/>
      <c r="B471" s="231"/>
      <c r="C471" s="78"/>
    </row>
    <row r="472">
      <c r="A472" s="231"/>
      <c r="B472" s="231"/>
      <c r="C472" s="78"/>
    </row>
    <row r="473">
      <c r="A473" s="231"/>
      <c r="B473" s="231"/>
      <c r="C473" s="78"/>
    </row>
    <row r="474">
      <c r="A474" s="231"/>
      <c r="B474" s="231"/>
      <c r="C474" s="78"/>
    </row>
    <row r="475">
      <c r="A475" s="231"/>
      <c r="B475" s="231"/>
      <c r="C475" s="78"/>
    </row>
    <row r="476">
      <c r="A476" s="231"/>
      <c r="B476" s="231"/>
      <c r="C476" s="78"/>
    </row>
    <row r="477">
      <c r="A477" s="231"/>
      <c r="B477" s="231"/>
      <c r="C477" s="78"/>
    </row>
    <row r="478">
      <c r="A478" s="231"/>
      <c r="B478" s="231"/>
      <c r="C478" s="78"/>
    </row>
    <row r="479">
      <c r="A479" s="231"/>
      <c r="B479" s="231"/>
      <c r="C479" s="78"/>
    </row>
    <row r="480">
      <c r="A480" s="231"/>
      <c r="B480" s="231"/>
      <c r="C480" s="78"/>
    </row>
    <row r="481">
      <c r="A481" s="231"/>
      <c r="B481" s="231"/>
      <c r="C481" s="78"/>
    </row>
    <row r="482">
      <c r="A482" s="231"/>
      <c r="B482" s="231"/>
      <c r="C482" s="78"/>
    </row>
    <row r="483">
      <c r="A483" s="231"/>
      <c r="B483" s="231"/>
      <c r="C483" s="78"/>
    </row>
    <row r="484">
      <c r="A484" s="231"/>
      <c r="B484" s="231"/>
      <c r="C484" s="78"/>
    </row>
    <row r="485">
      <c r="A485" s="231"/>
      <c r="B485" s="231"/>
      <c r="C485" s="78"/>
    </row>
    <row r="486">
      <c r="A486" s="231"/>
      <c r="B486" s="231"/>
      <c r="C486" s="78"/>
    </row>
    <row r="487">
      <c r="A487" s="231"/>
      <c r="B487" s="231"/>
      <c r="C487" s="78"/>
    </row>
    <row r="488">
      <c r="A488" s="231"/>
      <c r="B488" s="231"/>
      <c r="C488" s="78"/>
    </row>
    <row r="489">
      <c r="A489" s="231"/>
      <c r="B489" s="231"/>
      <c r="C489" s="78"/>
    </row>
    <row r="490">
      <c r="A490" s="231"/>
      <c r="B490" s="231"/>
      <c r="C490" s="78"/>
    </row>
    <row r="491">
      <c r="A491" s="231"/>
      <c r="B491" s="231"/>
      <c r="C491" s="78"/>
    </row>
    <row r="492">
      <c r="A492" s="231"/>
      <c r="B492" s="231"/>
      <c r="C492" s="78"/>
    </row>
    <row r="493">
      <c r="A493" s="231"/>
      <c r="B493" s="231"/>
      <c r="C493" s="78"/>
    </row>
    <row r="494">
      <c r="A494" s="231"/>
      <c r="B494" s="231"/>
      <c r="C494" s="78"/>
    </row>
    <row r="495">
      <c r="A495" s="231"/>
      <c r="B495" s="231"/>
      <c r="C495" s="78"/>
    </row>
    <row r="496">
      <c r="A496" s="231"/>
      <c r="B496" s="231"/>
      <c r="C496" s="78"/>
    </row>
    <row r="497">
      <c r="A497" s="231"/>
      <c r="B497" s="231"/>
      <c r="C497" s="78"/>
    </row>
    <row r="498">
      <c r="A498" s="231"/>
      <c r="B498" s="231"/>
      <c r="C498" s="78"/>
    </row>
    <row r="499">
      <c r="A499" s="231"/>
      <c r="B499" s="231"/>
      <c r="C499" s="78"/>
    </row>
    <row r="500">
      <c r="A500" s="231"/>
      <c r="B500" s="231"/>
      <c r="C500" s="78"/>
    </row>
    <row r="501">
      <c r="A501" s="231"/>
      <c r="B501" s="231"/>
      <c r="C501" s="78"/>
    </row>
    <row r="502">
      <c r="A502" s="231"/>
      <c r="B502" s="231"/>
      <c r="C502" s="78"/>
    </row>
    <row r="503">
      <c r="A503" s="231"/>
      <c r="B503" s="231"/>
      <c r="C503" s="78"/>
    </row>
    <row r="504">
      <c r="A504" s="231"/>
      <c r="B504" s="231"/>
      <c r="C504" s="78"/>
    </row>
    <row r="505">
      <c r="A505" s="231"/>
      <c r="B505" s="231"/>
      <c r="C505" s="78"/>
    </row>
    <row r="506">
      <c r="A506" s="231"/>
      <c r="B506" s="231"/>
      <c r="C506" s="78"/>
    </row>
    <row r="507">
      <c r="A507" s="231"/>
      <c r="B507" s="231"/>
      <c r="C507" s="78"/>
    </row>
    <row r="508">
      <c r="A508" s="231"/>
      <c r="B508" s="231"/>
      <c r="C508" s="78"/>
    </row>
    <row r="509">
      <c r="A509" s="231"/>
      <c r="B509" s="231"/>
      <c r="C509" s="78"/>
    </row>
    <row r="510">
      <c r="A510" s="231"/>
      <c r="B510" s="231"/>
      <c r="C510" s="78"/>
    </row>
    <row r="511">
      <c r="A511" s="231"/>
      <c r="B511" s="231"/>
      <c r="C511" s="78"/>
    </row>
    <row r="512">
      <c r="A512" s="231"/>
      <c r="B512" s="231"/>
      <c r="C512" s="78"/>
    </row>
    <row r="513">
      <c r="A513" s="231"/>
      <c r="B513" s="231"/>
      <c r="C513" s="78"/>
    </row>
    <row r="514">
      <c r="A514" s="231"/>
      <c r="B514" s="231"/>
      <c r="C514" s="78"/>
    </row>
    <row r="515">
      <c r="A515" s="231"/>
      <c r="B515" s="231"/>
      <c r="C515" s="78"/>
    </row>
    <row r="516">
      <c r="A516" s="231"/>
      <c r="B516" s="231"/>
      <c r="C516" s="78"/>
    </row>
    <row r="517">
      <c r="A517" s="231"/>
      <c r="B517" s="231"/>
      <c r="C517" s="78"/>
    </row>
    <row r="518">
      <c r="A518" s="231"/>
      <c r="B518" s="231"/>
      <c r="C518" s="78"/>
    </row>
    <row r="519">
      <c r="A519" s="231"/>
      <c r="B519" s="231"/>
      <c r="C519" s="78"/>
    </row>
    <row r="520">
      <c r="A520" s="231"/>
      <c r="B520" s="231"/>
      <c r="C520" s="78"/>
    </row>
    <row r="521">
      <c r="A521" s="231"/>
      <c r="B521" s="231"/>
      <c r="C521" s="78"/>
    </row>
    <row r="522">
      <c r="A522" s="231"/>
      <c r="B522" s="231"/>
      <c r="C522" s="78"/>
    </row>
    <row r="523">
      <c r="A523" s="231"/>
      <c r="B523" s="231"/>
      <c r="C523" s="78"/>
    </row>
    <row r="524">
      <c r="A524" s="231"/>
      <c r="B524" s="231"/>
      <c r="C524" s="78"/>
    </row>
    <row r="525">
      <c r="A525" s="231"/>
      <c r="B525" s="231"/>
      <c r="C525" s="78"/>
    </row>
    <row r="526">
      <c r="A526" s="231"/>
      <c r="B526" s="231"/>
      <c r="C526" s="78"/>
    </row>
    <row r="527">
      <c r="A527" s="231"/>
      <c r="B527" s="231"/>
      <c r="C527" s="78"/>
    </row>
    <row r="528">
      <c r="A528" s="231"/>
      <c r="B528" s="231"/>
      <c r="C528" s="78"/>
    </row>
    <row r="529">
      <c r="A529" s="231"/>
      <c r="B529" s="231"/>
      <c r="C529" s="78"/>
    </row>
    <row r="530">
      <c r="A530" s="231"/>
      <c r="B530" s="231"/>
      <c r="C530" s="78"/>
    </row>
    <row r="531">
      <c r="A531" s="231"/>
      <c r="B531" s="231"/>
      <c r="C531" s="78"/>
    </row>
    <row r="532">
      <c r="A532" s="231"/>
      <c r="B532" s="231"/>
      <c r="C532" s="78"/>
    </row>
    <row r="533">
      <c r="A533" s="231"/>
      <c r="B533" s="231"/>
      <c r="C533" s="78"/>
    </row>
    <row r="534">
      <c r="A534" s="231"/>
      <c r="B534" s="231"/>
      <c r="C534" s="78"/>
    </row>
    <row r="535">
      <c r="A535" s="231"/>
      <c r="B535" s="231"/>
      <c r="C535" s="78"/>
    </row>
    <row r="536">
      <c r="A536" s="231"/>
      <c r="B536" s="231"/>
      <c r="C536" s="78"/>
    </row>
    <row r="537">
      <c r="A537" s="231"/>
      <c r="B537" s="231"/>
      <c r="C537" s="78"/>
    </row>
    <row r="538">
      <c r="A538" s="231"/>
      <c r="B538" s="231"/>
      <c r="C538" s="78"/>
    </row>
    <row r="539">
      <c r="A539" s="231"/>
      <c r="B539" s="231"/>
      <c r="C539" s="78"/>
    </row>
    <row r="540">
      <c r="A540" s="231"/>
      <c r="B540" s="231"/>
      <c r="C540" s="78"/>
    </row>
    <row r="541">
      <c r="A541" s="231"/>
      <c r="B541" s="231"/>
      <c r="C541" s="78"/>
    </row>
    <row r="542">
      <c r="A542" s="231"/>
      <c r="B542" s="231"/>
      <c r="C542" s="78"/>
    </row>
    <row r="543">
      <c r="A543" s="231"/>
      <c r="B543" s="231"/>
      <c r="C543" s="78"/>
    </row>
    <row r="544">
      <c r="A544" s="231"/>
      <c r="B544" s="231"/>
      <c r="C544" s="78"/>
    </row>
    <row r="545">
      <c r="A545" s="231"/>
      <c r="B545" s="231"/>
      <c r="C545" s="78"/>
    </row>
    <row r="546">
      <c r="A546" s="231"/>
      <c r="B546" s="231"/>
      <c r="C546" s="78"/>
    </row>
    <row r="547">
      <c r="A547" s="231"/>
      <c r="B547" s="231"/>
      <c r="C547" s="78"/>
    </row>
    <row r="548">
      <c r="A548" s="231"/>
      <c r="B548" s="231"/>
      <c r="C548" s="78"/>
    </row>
    <row r="549">
      <c r="A549" s="231"/>
      <c r="B549" s="231"/>
      <c r="C549" s="78"/>
    </row>
    <row r="550">
      <c r="A550" s="231"/>
      <c r="B550" s="231"/>
      <c r="C550" s="78"/>
    </row>
    <row r="551">
      <c r="A551" s="231"/>
      <c r="B551" s="231"/>
      <c r="C551" s="78"/>
    </row>
    <row r="552">
      <c r="A552" s="231"/>
      <c r="B552" s="231"/>
      <c r="C552" s="78"/>
    </row>
    <row r="553">
      <c r="A553" s="231"/>
      <c r="B553" s="231"/>
      <c r="C553" s="78"/>
    </row>
    <row r="554">
      <c r="A554" s="231"/>
      <c r="B554" s="231"/>
      <c r="C554" s="78"/>
    </row>
    <row r="555">
      <c r="A555" s="231"/>
      <c r="B555" s="231"/>
      <c r="C555" s="78"/>
    </row>
    <row r="556">
      <c r="A556" s="231"/>
      <c r="B556" s="231"/>
      <c r="C556" s="78"/>
    </row>
    <row r="557">
      <c r="A557" s="231"/>
      <c r="B557" s="231"/>
      <c r="C557" s="78"/>
    </row>
    <row r="558">
      <c r="A558" s="231"/>
      <c r="B558" s="231"/>
      <c r="C558" s="78"/>
    </row>
    <row r="559">
      <c r="A559" s="231"/>
      <c r="B559" s="231"/>
      <c r="C559" s="78"/>
    </row>
    <row r="560">
      <c r="A560" s="231"/>
      <c r="B560" s="231"/>
      <c r="C560" s="78"/>
    </row>
    <row r="561">
      <c r="A561" s="231"/>
      <c r="B561" s="231"/>
      <c r="C561" s="78"/>
    </row>
    <row r="562">
      <c r="A562" s="231"/>
      <c r="B562" s="231"/>
      <c r="C562" s="78"/>
    </row>
    <row r="563">
      <c r="A563" s="231"/>
      <c r="B563" s="231"/>
      <c r="C563" s="78"/>
    </row>
    <row r="564">
      <c r="A564" s="231"/>
      <c r="B564" s="231"/>
      <c r="C564" s="78"/>
    </row>
    <row r="565">
      <c r="A565" s="231"/>
      <c r="B565" s="231"/>
      <c r="C565" s="78"/>
    </row>
    <row r="566">
      <c r="A566" s="231"/>
      <c r="B566" s="231"/>
      <c r="C566" s="78"/>
    </row>
    <row r="567">
      <c r="A567" s="231"/>
      <c r="B567" s="231"/>
      <c r="C567" s="78"/>
    </row>
    <row r="568">
      <c r="A568" s="231"/>
      <c r="B568" s="231"/>
      <c r="C568" s="78"/>
    </row>
    <row r="569">
      <c r="A569" s="231"/>
      <c r="B569" s="231"/>
      <c r="C569" s="78"/>
    </row>
    <row r="570">
      <c r="A570" s="231"/>
      <c r="B570" s="231"/>
      <c r="C570" s="78"/>
    </row>
    <row r="571">
      <c r="A571" s="231"/>
      <c r="B571" s="231"/>
      <c r="C571" s="78"/>
    </row>
    <row r="572">
      <c r="A572" s="231"/>
      <c r="B572" s="231"/>
      <c r="C572" s="78"/>
    </row>
    <row r="573">
      <c r="A573" s="231"/>
      <c r="B573" s="231"/>
      <c r="C573" s="78"/>
    </row>
    <row r="574">
      <c r="A574" s="231"/>
      <c r="B574" s="231"/>
      <c r="C574" s="78"/>
    </row>
    <row r="575">
      <c r="A575" s="231"/>
      <c r="B575" s="231"/>
      <c r="C575" s="78"/>
    </row>
    <row r="576">
      <c r="A576" s="231"/>
      <c r="B576" s="231"/>
      <c r="C576" s="78"/>
    </row>
    <row r="577">
      <c r="A577" s="231"/>
      <c r="B577" s="231"/>
      <c r="C577" s="78"/>
    </row>
    <row r="578">
      <c r="A578" s="231"/>
      <c r="B578" s="231"/>
      <c r="C578" s="78"/>
    </row>
    <row r="579">
      <c r="A579" s="231"/>
      <c r="B579" s="231"/>
      <c r="C579" s="78"/>
    </row>
    <row r="580">
      <c r="A580" s="231"/>
      <c r="B580" s="231"/>
      <c r="C580" s="78"/>
    </row>
    <row r="581">
      <c r="A581" s="231"/>
      <c r="B581" s="231"/>
      <c r="C581" s="78"/>
    </row>
    <row r="582">
      <c r="A582" s="231"/>
      <c r="B582" s="231"/>
      <c r="C582" s="78"/>
    </row>
    <row r="583">
      <c r="A583" s="231"/>
      <c r="B583" s="231"/>
      <c r="C583" s="78"/>
    </row>
    <row r="584">
      <c r="A584" s="231"/>
      <c r="B584" s="231"/>
      <c r="C584" s="78"/>
    </row>
    <row r="585">
      <c r="A585" s="231"/>
      <c r="B585" s="231"/>
      <c r="C585" s="78"/>
    </row>
    <row r="586">
      <c r="A586" s="231"/>
      <c r="B586" s="231"/>
      <c r="C586" s="78"/>
    </row>
    <row r="587">
      <c r="A587" s="231"/>
      <c r="B587" s="231"/>
      <c r="C587" s="78"/>
    </row>
    <row r="588">
      <c r="A588" s="231"/>
      <c r="B588" s="231"/>
      <c r="C588" s="78"/>
    </row>
    <row r="589">
      <c r="A589" s="231"/>
      <c r="B589" s="231"/>
      <c r="C589" s="78"/>
    </row>
    <row r="590">
      <c r="A590" s="231"/>
      <c r="B590" s="231"/>
      <c r="C590" s="78"/>
    </row>
    <row r="591">
      <c r="A591" s="231"/>
      <c r="B591" s="231"/>
      <c r="C591" s="78"/>
    </row>
    <row r="592">
      <c r="A592" s="231"/>
      <c r="B592" s="231"/>
      <c r="C592" s="78"/>
    </row>
    <row r="593">
      <c r="A593" s="231"/>
      <c r="B593" s="231"/>
      <c r="C593" s="78"/>
    </row>
    <row r="594">
      <c r="A594" s="231"/>
      <c r="B594" s="231"/>
      <c r="C594" s="78"/>
    </row>
    <row r="595">
      <c r="A595" s="231"/>
      <c r="B595" s="231"/>
      <c r="C595" s="78"/>
    </row>
    <row r="596">
      <c r="A596" s="231"/>
      <c r="B596" s="231"/>
      <c r="C596" s="78"/>
    </row>
    <row r="597">
      <c r="A597" s="231"/>
      <c r="B597" s="231"/>
      <c r="C597" s="78"/>
    </row>
    <row r="598">
      <c r="A598" s="231"/>
      <c r="B598" s="231"/>
      <c r="C598" s="78"/>
    </row>
    <row r="599">
      <c r="A599" s="231"/>
      <c r="B599" s="231"/>
      <c r="C599" s="78"/>
    </row>
    <row r="600">
      <c r="A600" s="231"/>
      <c r="B600" s="231"/>
      <c r="C600" s="78"/>
    </row>
    <row r="601">
      <c r="A601" s="231"/>
      <c r="B601" s="231"/>
      <c r="C601" s="78"/>
    </row>
    <row r="602">
      <c r="A602" s="231"/>
      <c r="B602" s="231"/>
      <c r="C602" s="78"/>
    </row>
    <row r="603">
      <c r="A603" s="231"/>
      <c r="B603" s="231"/>
      <c r="C603" s="78"/>
    </row>
    <row r="604">
      <c r="A604" s="231"/>
      <c r="B604" s="231"/>
      <c r="C604" s="78"/>
    </row>
    <row r="605">
      <c r="A605" s="231"/>
      <c r="B605" s="231"/>
      <c r="C605" s="78"/>
    </row>
    <row r="606">
      <c r="A606" s="231"/>
      <c r="B606" s="231"/>
      <c r="C606" s="78"/>
    </row>
    <row r="607">
      <c r="A607" s="231"/>
      <c r="B607" s="231"/>
      <c r="C607" s="78"/>
    </row>
    <row r="608">
      <c r="A608" s="231"/>
      <c r="B608" s="231"/>
      <c r="C608" s="78"/>
    </row>
    <row r="609">
      <c r="A609" s="231"/>
      <c r="B609" s="231"/>
      <c r="C609" s="78"/>
    </row>
    <row r="610">
      <c r="A610" s="231"/>
      <c r="B610" s="231"/>
      <c r="C610" s="78"/>
    </row>
    <row r="611">
      <c r="A611" s="231"/>
      <c r="B611" s="231"/>
      <c r="C611" s="78"/>
    </row>
    <row r="612">
      <c r="A612" s="231"/>
      <c r="B612" s="231"/>
      <c r="C612" s="78"/>
    </row>
    <row r="613">
      <c r="A613" s="231"/>
      <c r="B613" s="231"/>
      <c r="C613" s="78"/>
    </row>
    <row r="614">
      <c r="A614" s="231"/>
      <c r="B614" s="231"/>
      <c r="C614" s="78"/>
    </row>
    <row r="615">
      <c r="A615" s="231"/>
      <c r="B615" s="231"/>
      <c r="C615" s="78"/>
    </row>
    <row r="616">
      <c r="A616" s="231"/>
      <c r="B616" s="231"/>
      <c r="C616" s="78"/>
    </row>
    <row r="617">
      <c r="A617" s="231"/>
      <c r="B617" s="231"/>
      <c r="C617" s="78"/>
    </row>
    <row r="618">
      <c r="A618" s="231"/>
      <c r="B618" s="231"/>
      <c r="C618" s="78"/>
    </row>
    <row r="619">
      <c r="A619" s="231"/>
      <c r="B619" s="231"/>
      <c r="C619" s="78"/>
    </row>
    <row r="620">
      <c r="A620" s="231"/>
      <c r="B620" s="231"/>
      <c r="C620" s="78"/>
    </row>
    <row r="621">
      <c r="A621" s="231"/>
      <c r="B621" s="231"/>
      <c r="C621" s="78"/>
    </row>
    <row r="622">
      <c r="A622" s="231"/>
      <c r="B622" s="231"/>
      <c r="C622" s="78"/>
    </row>
    <row r="623">
      <c r="A623" s="231"/>
      <c r="B623" s="231"/>
      <c r="C623" s="78"/>
    </row>
    <row r="624">
      <c r="A624" s="231"/>
      <c r="B624" s="231"/>
      <c r="C624" s="78"/>
    </row>
    <row r="625">
      <c r="A625" s="231"/>
      <c r="B625" s="231"/>
      <c r="C625" s="78"/>
    </row>
    <row r="626">
      <c r="A626" s="231"/>
      <c r="B626" s="231"/>
      <c r="C626" s="78"/>
    </row>
    <row r="627">
      <c r="A627" s="231"/>
      <c r="B627" s="231"/>
      <c r="C627" s="78"/>
    </row>
    <row r="628">
      <c r="A628" s="231"/>
      <c r="B628" s="231"/>
      <c r="C628" s="78"/>
    </row>
    <row r="629">
      <c r="A629" s="231"/>
      <c r="B629" s="231"/>
      <c r="C629" s="78"/>
    </row>
    <row r="630">
      <c r="A630" s="231"/>
      <c r="B630" s="231"/>
      <c r="C630" s="78"/>
    </row>
    <row r="631">
      <c r="A631" s="231"/>
      <c r="B631" s="231"/>
      <c r="C631" s="78"/>
    </row>
    <row r="632">
      <c r="A632" s="231"/>
      <c r="B632" s="231"/>
      <c r="C632" s="78"/>
    </row>
    <row r="633">
      <c r="A633" s="231"/>
      <c r="B633" s="231"/>
      <c r="C633" s="78"/>
    </row>
    <row r="634">
      <c r="A634" s="231"/>
      <c r="B634" s="231"/>
      <c r="C634" s="78"/>
    </row>
    <row r="635">
      <c r="A635" s="231"/>
      <c r="B635" s="231"/>
      <c r="C635" s="78"/>
    </row>
    <row r="636">
      <c r="A636" s="231"/>
      <c r="B636" s="231"/>
      <c r="C636" s="78"/>
    </row>
    <row r="637">
      <c r="A637" s="231"/>
      <c r="B637" s="231"/>
      <c r="C637" s="78"/>
    </row>
    <row r="638">
      <c r="A638" s="231"/>
      <c r="B638" s="231"/>
      <c r="C638" s="78"/>
    </row>
    <row r="639">
      <c r="A639" s="231"/>
      <c r="B639" s="231"/>
      <c r="C639" s="78"/>
    </row>
    <row r="640">
      <c r="A640" s="231"/>
      <c r="B640" s="231"/>
      <c r="C640" s="78"/>
    </row>
    <row r="641">
      <c r="A641" s="231"/>
      <c r="B641" s="231"/>
      <c r="C641" s="78"/>
    </row>
    <row r="642">
      <c r="A642" s="231"/>
      <c r="B642" s="231"/>
      <c r="C642" s="78"/>
    </row>
    <row r="643">
      <c r="A643" s="231"/>
      <c r="B643" s="231"/>
      <c r="C643" s="78"/>
    </row>
    <row r="644">
      <c r="A644" s="231"/>
      <c r="B644" s="231"/>
      <c r="C644" s="78"/>
    </row>
    <row r="645">
      <c r="A645" s="231"/>
      <c r="B645" s="231"/>
      <c r="C645" s="78"/>
    </row>
    <row r="646">
      <c r="A646" s="231"/>
      <c r="B646" s="231"/>
      <c r="C646" s="78"/>
    </row>
    <row r="647">
      <c r="A647" s="231"/>
      <c r="B647" s="231"/>
      <c r="C647" s="78"/>
    </row>
    <row r="648">
      <c r="A648" s="231"/>
      <c r="B648" s="231"/>
      <c r="C648" s="78"/>
    </row>
    <row r="649">
      <c r="A649" s="231"/>
      <c r="B649" s="231"/>
      <c r="C649" s="78"/>
    </row>
    <row r="650">
      <c r="A650" s="231"/>
      <c r="B650" s="231"/>
      <c r="C650" s="78"/>
    </row>
    <row r="651">
      <c r="A651" s="231"/>
      <c r="B651" s="231"/>
      <c r="C651" s="78"/>
    </row>
    <row r="652">
      <c r="A652" s="231"/>
      <c r="B652" s="231"/>
      <c r="C652" s="78"/>
    </row>
    <row r="653">
      <c r="A653" s="231"/>
      <c r="B653" s="231"/>
      <c r="C653" s="78"/>
    </row>
    <row r="654">
      <c r="A654" s="231"/>
      <c r="B654" s="231"/>
      <c r="C654" s="78"/>
    </row>
    <row r="655">
      <c r="A655" s="231"/>
      <c r="B655" s="231"/>
      <c r="C655" s="78"/>
    </row>
    <row r="656">
      <c r="A656" s="231"/>
      <c r="B656" s="231"/>
      <c r="C656" s="78"/>
    </row>
    <row r="657">
      <c r="A657" s="231"/>
      <c r="B657" s="231"/>
      <c r="C657" s="78"/>
    </row>
    <row r="658">
      <c r="A658" s="231"/>
      <c r="B658" s="231"/>
      <c r="C658" s="78"/>
    </row>
    <row r="659">
      <c r="A659" s="231"/>
      <c r="B659" s="231"/>
      <c r="C659" s="78"/>
    </row>
    <row r="660">
      <c r="A660" s="231"/>
      <c r="B660" s="231"/>
      <c r="C660" s="78"/>
    </row>
    <row r="661">
      <c r="A661" s="231"/>
      <c r="B661" s="231"/>
      <c r="C661" s="78"/>
    </row>
    <row r="662">
      <c r="A662" s="231"/>
      <c r="B662" s="231"/>
      <c r="C662" s="78"/>
    </row>
    <row r="663">
      <c r="A663" s="231"/>
      <c r="B663" s="231"/>
      <c r="C663" s="78"/>
    </row>
    <row r="664">
      <c r="A664" s="231"/>
      <c r="B664" s="231"/>
      <c r="C664" s="78"/>
    </row>
    <row r="665">
      <c r="A665" s="231"/>
      <c r="B665" s="231"/>
      <c r="C665" s="78"/>
    </row>
    <row r="666">
      <c r="A666" s="231"/>
      <c r="B666" s="231"/>
      <c r="C666" s="78"/>
    </row>
    <row r="667">
      <c r="A667" s="231"/>
      <c r="B667" s="231"/>
      <c r="C667" s="78"/>
    </row>
    <row r="668">
      <c r="A668" s="231"/>
      <c r="B668" s="231"/>
      <c r="C668" s="78"/>
    </row>
    <row r="669">
      <c r="A669" s="231"/>
      <c r="B669" s="231"/>
      <c r="C669" s="78"/>
    </row>
    <row r="670">
      <c r="A670" s="231"/>
      <c r="B670" s="231"/>
      <c r="C670" s="78"/>
    </row>
    <row r="671">
      <c r="A671" s="231"/>
      <c r="B671" s="231"/>
      <c r="C671" s="78"/>
    </row>
    <row r="672">
      <c r="A672" s="231"/>
      <c r="B672" s="231"/>
      <c r="C672" s="78"/>
    </row>
    <row r="673">
      <c r="A673" s="231"/>
      <c r="B673" s="231"/>
      <c r="C673" s="78"/>
    </row>
    <row r="674">
      <c r="A674" s="231"/>
      <c r="B674" s="231"/>
      <c r="C674" s="78"/>
    </row>
    <row r="675">
      <c r="A675" s="231"/>
      <c r="B675" s="231"/>
      <c r="C675" s="78"/>
    </row>
    <row r="676">
      <c r="A676" s="231"/>
      <c r="B676" s="231"/>
      <c r="C676" s="78"/>
    </row>
    <row r="677">
      <c r="A677" s="231"/>
      <c r="B677" s="231"/>
      <c r="C677" s="78"/>
    </row>
    <row r="678">
      <c r="A678" s="231"/>
      <c r="B678" s="231"/>
      <c r="C678" s="78"/>
    </row>
    <row r="679">
      <c r="A679" s="231"/>
      <c r="B679" s="231"/>
      <c r="C679" s="78"/>
    </row>
    <row r="680">
      <c r="A680" s="231"/>
      <c r="B680" s="231"/>
      <c r="C680" s="78"/>
    </row>
    <row r="681">
      <c r="A681" s="231"/>
      <c r="B681" s="231"/>
      <c r="C681" s="78"/>
    </row>
    <row r="682">
      <c r="A682" s="231"/>
      <c r="B682" s="231"/>
      <c r="C682" s="78"/>
    </row>
    <row r="683">
      <c r="A683" s="231"/>
      <c r="B683" s="231"/>
      <c r="C683" s="78"/>
    </row>
    <row r="684">
      <c r="A684" s="231"/>
      <c r="B684" s="231"/>
      <c r="C684" s="78"/>
    </row>
    <row r="685">
      <c r="A685" s="231"/>
      <c r="B685" s="231"/>
      <c r="C685" s="78"/>
    </row>
    <row r="686">
      <c r="A686" s="231"/>
      <c r="B686" s="231"/>
      <c r="C686" s="78"/>
    </row>
    <row r="687">
      <c r="A687" s="231"/>
      <c r="B687" s="231"/>
      <c r="C687" s="78"/>
    </row>
    <row r="688">
      <c r="A688" s="231"/>
      <c r="B688" s="231"/>
      <c r="C688" s="78"/>
    </row>
    <row r="689">
      <c r="A689" s="231"/>
      <c r="B689" s="231"/>
      <c r="C689" s="78"/>
    </row>
    <row r="690">
      <c r="A690" s="231"/>
      <c r="B690" s="231"/>
      <c r="C690" s="78"/>
    </row>
    <row r="691">
      <c r="A691" s="231"/>
      <c r="B691" s="231"/>
      <c r="C691" s="78"/>
    </row>
    <row r="692">
      <c r="A692" s="231"/>
      <c r="B692" s="231"/>
      <c r="C692" s="78"/>
    </row>
    <row r="693">
      <c r="A693" s="231"/>
      <c r="B693" s="231"/>
      <c r="C693" s="78"/>
    </row>
    <row r="694">
      <c r="A694" s="231"/>
      <c r="B694" s="231"/>
      <c r="C694" s="78"/>
    </row>
    <row r="695">
      <c r="A695" s="231"/>
      <c r="B695" s="231"/>
      <c r="C695" s="78"/>
    </row>
    <row r="696">
      <c r="A696" s="231"/>
      <c r="B696" s="231"/>
      <c r="C696" s="78"/>
    </row>
    <row r="697">
      <c r="A697" s="231"/>
      <c r="B697" s="231"/>
      <c r="C697" s="78"/>
    </row>
    <row r="698">
      <c r="A698" s="231"/>
      <c r="B698" s="231"/>
      <c r="C698" s="78"/>
    </row>
    <row r="699">
      <c r="A699" s="231"/>
      <c r="B699" s="231"/>
      <c r="C699" s="78"/>
    </row>
    <row r="700">
      <c r="A700" s="231"/>
      <c r="B700" s="231"/>
      <c r="C700" s="78"/>
    </row>
    <row r="701">
      <c r="A701" s="231"/>
      <c r="B701" s="231"/>
      <c r="C701" s="78"/>
    </row>
    <row r="702">
      <c r="A702" s="231"/>
      <c r="B702" s="231"/>
      <c r="C702" s="78"/>
    </row>
    <row r="703">
      <c r="A703" s="231"/>
      <c r="B703" s="231"/>
      <c r="C703" s="78"/>
    </row>
    <row r="704">
      <c r="A704" s="231"/>
      <c r="B704" s="231"/>
      <c r="C704" s="78"/>
    </row>
    <row r="705">
      <c r="A705" s="231"/>
      <c r="B705" s="231"/>
      <c r="C705" s="78"/>
    </row>
    <row r="706">
      <c r="A706" s="231"/>
      <c r="B706" s="231"/>
      <c r="C706" s="78"/>
    </row>
    <row r="707">
      <c r="A707" s="231"/>
      <c r="B707" s="231"/>
      <c r="C707" s="78"/>
    </row>
    <row r="708">
      <c r="A708" s="231"/>
      <c r="B708" s="231"/>
      <c r="C708" s="78"/>
    </row>
    <row r="709">
      <c r="A709" s="231"/>
      <c r="B709" s="231"/>
      <c r="C709" s="78"/>
    </row>
    <row r="710">
      <c r="A710" s="231"/>
      <c r="B710" s="231"/>
      <c r="C710" s="78"/>
    </row>
    <row r="711">
      <c r="A711" s="231"/>
      <c r="B711" s="231"/>
      <c r="C711" s="78"/>
    </row>
    <row r="712">
      <c r="A712" s="231"/>
      <c r="B712" s="231"/>
      <c r="C712" s="78"/>
    </row>
    <row r="713">
      <c r="A713" s="231"/>
      <c r="B713" s="231"/>
      <c r="C713" s="78"/>
    </row>
    <row r="714">
      <c r="A714" s="231"/>
      <c r="B714" s="231"/>
      <c r="C714" s="78"/>
    </row>
    <row r="715">
      <c r="A715" s="231"/>
      <c r="B715" s="231"/>
      <c r="C715" s="78"/>
    </row>
    <row r="716">
      <c r="A716" s="231"/>
      <c r="B716" s="231"/>
      <c r="C716" s="78"/>
    </row>
    <row r="717">
      <c r="A717" s="231"/>
      <c r="B717" s="231"/>
      <c r="C717" s="78"/>
    </row>
    <row r="718">
      <c r="A718" s="231"/>
      <c r="B718" s="231"/>
      <c r="C718" s="78"/>
    </row>
    <row r="719">
      <c r="A719" s="231"/>
      <c r="B719" s="231"/>
      <c r="C719" s="78"/>
    </row>
    <row r="720">
      <c r="A720" s="231"/>
      <c r="B720" s="231"/>
      <c r="C720" s="78"/>
    </row>
    <row r="721">
      <c r="A721" s="231"/>
      <c r="B721" s="231"/>
      <c r="C721" s="78"/>
    </row>
    <row r="722">
      <c r="A722" s="231"/>
      <c r="B722" s="231"/>
      <c r="C722" s="78"/>
    </row>
    <row r="723">
      <c r="A723" s="231"/>
      <c r="B723" s="231"/>
      <c r="C723" s="78"/>
    </row>
    <row r="724">
      <c r="A724" s="231"/>
      <c r="B724" s="231"/>
      <c r="C724" s="78"/>
    </row>
    <row r="725">
      <c r="A725" s="231"/>
      <c r="B725" s="231"/>
      <c r="C725" s="78"/>
    </row>
    <row r="726">
      <c r="A726" s="231"/>
      <c r="B726" s="231"/>
      <c r="C726" s="78"/>
    </row>
    <row r="727">
      <c r="A727" s="231"/>
      <c r="B727" s="231"/>
      <c r="C727" s="78"/>
    </row>
    <row r="728">
      <c r="A728" s="231"/>
      <c r="B728" s="231"/>
      <c r="C728" s="78"/>
    </row>
    <row r="729">
      <c r="A729" s="231"/>
      <c r="B729" s="231"/>
      <c r="C729" s="78"/>
    </row>
    <row r="730">
      <c r="A730" s="231"/>
      <c r="B730" s="231"/>
      <c r="C730" s="78"/>
    </row>
    <row r="731">
      <c r="A731" s="231"/>
      <c r="B731" s="231"/>
      <c r="C731" s="78"/>
    </row>
    <row r="732">
      <c r="A732" s="231"/>
      <c r="B732" s="231"/>
      <c r="C732" s="78"/>
    </row>
    <row r="733">
      <c r="A733" s="231"/>
      <c r="B733" s="231"/>
      <c r="C733" s="78"/>
    </row>
    <row r="734">
      <c r="A734" s="231"/>
      <c r="B734" s="231"/>
      <c r="C734" s="78"/>
    </row>
    <row r="735">
      <c r="A735" s="231"/>
      <c r="B735" s="231"/>
      <c r="C735" s="78"/>
    </row>
    <row r="736">
      <c r="A736" s="231"/>
      <c r="B736" s="231"/>
      <c r="C736" s="78"/>
    </row>
    <row r="737">
      <c r="A737" s="231"/>
      <c r="B737" s="231"/>
      <c r="C737" s="78"/>
    </row>
    <row r="738">
      <c r="A738" s="231"/>
      <c r="B738" s="231"/>
      <c r="C738" s="78"/>
    </row>
    <row r="739">
      <c r="A739" s="231"/>
      <c r="B739" s="231"/>
      <c r="C739" s="78"/>
    </row>
    <row r="740">
      <c r="A740" s="231"/>
      <c r="B740" s="231"/>
      <c r="C740" s="78"/>
    </row>
    <row r="741">
      <c r="A741" s="231"/>
      <c r="B741" s="231"/>
      <c r="C741" s="78"/>
    </row>
    <row r="742">
      <c r="A742" s="231"/>
      <c r="B742" s="231"/>
      <c r="C742" s="78"/>
    </row>
    <row r="743">
      <c r="A743" s="231"/>
      <c r="B743" s="231"/>
      <c r="C743" s="78"/>
    </row>
    <row r="744">
      <c r="A744" s="231"/>
      <c r="B744" s="231"/>
      <c r="C744" s="78"/>
    </row>
    <row r="745">
      <c r="A745" s="231"/>
      <c r="B745" s="231"/>
      <c r="C745" s="78"/>
    </row>
    <row r="746">
      <c r="A746" s="231"/>
      <c r="B746" s="231"/>
      <c r="C746" s="78"/>
    </row>
    <row r="747">
      <c r="A747" s="231"/>
      <c r="B747" s="231"/>
      <c r="C747" s="78"/>
    </row>
    <row r="748">
      <c r="A748" s="231"/>
      <c r="B748" s="231"/>
      <c r="C748" s="78"/>
    </row>
    <row r="749">
      <c r="A749" s="231"/>
      <c r="B749" s="231"/>
      <c r="C749" s="78"/>
    </row>
    <row r="750">
      <c r="A750" s="231"/>
      <c r="B750" s="231"/>
      <c r="C750" s="78"/>
    </row>
    <row r="751">
      <c r="A751" s="231"/>
      <c r="B751" s="231"/>
      <c r="C751" s="78"/>
    </row>
    <row r="752">
      <c r="A752" s="231"/>
      <c r="B752" s="231"/>
      <c r="C752" s="78"/>
    </row>
    <row r="753">
      <c r="A753" s="231"/>
      <c r="B753" s="231"/>
      <c r="C753" s="78"/>
    </row>
    <row r="754">
      <c r="A754" s="231"/>
      <c r="B754" s="231"/>
      <c r="C754" s="78"/>
    </row>
    <row r="755">
      <c r="A755" s="231"/>
      <c r="B755" s="231"/>
      <c r="C755" s="78"/>
    </row>
    <row r="756">
      <c r="A756" s="231"/>
      <c r="B756" s="231"/>
      <c r="C756" s="78"/>
    </row>
    <row r="757">
      <c r="A757" s="231"/>
      <c r="B757" s="231"/>
      <c r="C757" s="78"/>
    </row>
    <row r="758">
      <c r="A758" s="231"/>
      <c r="B758" s="231"/>
      <c r="C758" s="78"/>
    </row>
    <row r="759">
      <c r="A759" s="231"/>
      <c r="B759" s="231"/>
      <c r="C759" s="78"/>
    </row>
    <row r="760">
      <c r="A760" s="231"/>
      <c r="B760" s="231"/>
      <c r="C760" s="78"/>
    </row>
    <row r="761">
      <c r="A761" s="231"/>
      <c r="B761" s="231"/>
      <c r="C761" s="78"/>
    </row>
    <row r="762">
      <c r="A762" s="231"/>
      <c r="B762" s="231"/>
      <c r="C762" s="78"/>
    </row>
    <row r="763">
      <c r="A763" s="231"/>
      <c r="B763" s="231"/>
      <c r="C763" s="78"/>
    </row>
    <row r="764">
      <c r="A764" s="231"/>
      <c r="B764" s="231"/>
      <c r="C764" s="78"/>
    </row>
    <row r="765">
      <c r="A765" s="231"/>
      <c r="B765" s="231"/>
      <c r="C765" s="78"/>
    </row>
    <row r="766">
      <c r="A766" s="231"/>
      <c r="B766" s="231"/>
      <c r="C766" s="78"/>
    </row>
    <row r="767">
      <c r="A767" s="231"/>
      <c r="B767" s="231"/>
      <c r="C767" s="78"/>
    </row>
    <row r="768">
      <c r="A768" s="231"/>
      <c r="B768" s="231"/>
      <c r="C768" s="78"/>
    </row>
    <row r="769">
      <c r="A769" s="231"/>
      <c r="B769" s="231"/>
      <c r="C769" s="78"/>
    </row>
    <row r="770">
      <c r="A770" s="231"/>
      <c r="B770" s="231"/>
      <c r="C770" s="78"/>
    </row>
    <row r="771">
      <c r="A771" s="231"/>
      <c r="B771" s="231"/>
      <c r="C771" s="78"/>
    </row>
    <row r="772">
      <c r="A772" s="231"/>
      <c r="B772" s="231"/>
      <c r="C772" s="78"/>
    </row>
    <row r="773">
      <c r="A773" s="231"/>
      <c r="B773" s="231"/>
      <c r="C773" s="78"/>
    </row>
    <row r="774">
      <c r="A774" s="231"/>
      <c r="B774" s="231"/>
      <c r="C774" s="78"/>
    </row>
    <row r="775">
      <c r="A775" s="231"/>
      <c r="B775" s="231"/>
      <c r="C775" s="78"/>
    </row>
    <row r="776">
      <c r="A776" s="231"/>
      <c r="B776" s="231"/>
      <c r="C776" s="78"/>
    </row>
    <row r="777">
      <c r="A777" s="231"/>
      <c r="B777" s="231"/>
      <c r="C777" s="78"/>
    </row>
    <row r="778">
      <c r="A778" s="231"/>
      <c r="B778" s="231"/>
      <c r="C778" s="78"/>
    </row>
    <row r="779">
      <c r="A779" s="231"/>
      <c r="B779" s="231"/>
      <c r="C779" s="78"/>
    </row>
    <row r="780">
      <c r="A780" s="231"/>
      <c r="B780" s="231"/>
      <c r="C780" s="78"/>
    </row>
    <row r="781">
      <c r="A781" s="231"/>
      <c r="B781" s="231"/>
      <c r="C781" s="78"/>
    </row>
    <row r="782">
      <c r="A782" s="231"/>
      <c r="B782" s="231"/>
      <c r="C782" s="78"/>
    </row>
    <row r="783">
      <c r="A783" s="231"/>
      <c r="B783" s="231"/>
      <c r="C783" s="78"/>
    </row>
    <row r="784">
      <c r="A784" s="231"/>
      <c r="B784" s="231"/>
      <c r="C784" s="78"/>
    </row>
    <row r="785">
      <c r="A785" s="231"/>
      <c r="B785" s="231"/>
      <c r="C785" s="78"/>
    </row>
    <row r="786">
      <c r="A786" s="231"/>
      <c r="B786" s="231"/>
      <c r="C786" s="78"/>
    </row>
    <row r="787">
      <c r="A787" s="231"/>
      <c r="B787" s="231"/>
      <c r="C787" s="78"/>
    </row>
    <row r="788">
      <c r="A788" s="231"/>
      <c r="B788" s="231"/>
      <c r="C788" s="78"/>
    </row>
    <row r="789">
      <c r="A789" s="231"/>
      <c r="B789" s="231"/>
      <c r="C789" s="78"/>
    </row>
    <row r="790">
      <c r="A790" s="231"/>
      <c r="B790" s="231"/>
      <c r="C790" s="78"/>
    </row>
    <row r="791">
      <c r="A791" s="231"/>
      <c r="B791" s="231"/>
      <c r="C791" s="78"/>
    </row>
    <row r="792">
      <c r="A792" s="231"/>
      <c r="B792" s="231"/>
      <c r="C792" s="78"/>
    </row>
    <row r="793">
      <c r="A793" s="231"/>
      <c r="B793" s="231"/>
      <c r="C793" s="78"/>
    </row>
    <row r="794">
      <c r="A794" s="231"/>
      <c r="B794" s="231"/>
      <c r="C794" s="78"/>
    </row>
    <row r="795">
      <c r="A795" s="231"/>
      <c r="B795" s="231"/>
      <c r="C795" s="78"/>
    </row>
    <row r="796">
      <c r="A796" s="231"/>
      <c r="B796" s="231"/>
      <c r="C796" s="78"/>
    </row>
    <row r="797">
      <c r="A797" s="231"/>
      <c r="B797" s="231"/>
      <c r="C797" s="78"/>
    </row>
    <row r="798">
      <c r="A798" s="231"/>
      <c r="B798" s="231"/>
      <c r="C798" s="78"/>
    </row>
    <row r="799">
      <c r="A799" s="231"/>
      <c r="B799" s="231"/>
      <c r="C799" s="78"/>
    </row>
    <row r="800">
      <c r="A800" s="231"/>
      <c r="B800" s="231"/>
      <c r="C800" s="78"/>
    </row>
    <row r="801">
      <c r="A801" s="231"/>
      <c r="B801" s="231"/>
      <c r="C801" s="78"/>
    </row>
    <row r="802">
      <c r="A802" s="231"/>
      <c r="B802" s="231"/>
      <c r="C802" s="78"/>
    </row>
    <row r="803">
      <c r="A803" s="231"/>
      <c r="B803" s="231"/>
      <c r="C803" s="78"/>
    </row>
    <row r="804">
      <c r="A804" s="231"/>
      <c r="B804" s="231"/>
      <c r="C804" s="78"/>
    </row>
    <row r="805">
      <c r="A805" s="231"/>
      <c r="B805" s="231"/>
      <c r="C805" s="78"/>
    </row>
    <row r="806">
      <c r="A806" s="231"/>
      <c r="B806" s="231"/>
      <c r="C806" s="78"/>
    </row>
    <row r="807">
      <c r="A807" s="231"/>
      <c r="B807" s="231"/>
      <c r="C807" s="78"/>
    </row>
    <row r="808">
      <c r="A808" s="231"/>
      <c r="B808" s="231"/>
      <c r="C808" s="78"/>
    </row>
    <row r="809">
      <c r="A809" s="231"/>
      <c r="B809" s="231"/>
      <c r="C809" s="78"/>
    </row>
    <row r="810">
      <c r="A810" s="231"/>
      <c r="B810" s="231"/>
      <c r="C810" s="78"/>
    </row>
    <row r="811">
      <c r="A811" s="231"/>
      <c r="B811" s="231"/>
      <c r="C811" s="78"/>
    </row>
    <row r="812">
      <c r="A812" s="231"/>
      <c r="B812" s="231"/>
      <c r="C812" s="78"/>
    </row>
    <row r="813">
      <c r="A813" s="231"/>
      <c r="B813" s="231"/>
      <c r="C813" s="78"/>
    </row>
    <row r="814">
      <c r="A814" s="231"/>
      <c r="B814" s="231"/>
      <c r="C814" s="78"/>
    </row>
    <row r="815">
      <c r="A815" s="231"/>
      <c r="B815" s="231"/>
      <c r="C815" s="78"/>
    </row>
    <row r="816">
      <c r="A816" s="231"/>
      <c r="B816" s="231"/>
      <c r="C816" s="78"/>
    </row>
    <row r="817">
      <c r="A817" s="231"/>
      <c r="B817" s="231"/>
      <c r="C817" s="78"/>
    </row>
    <row r="818">
      <c r="A818" s="231"/>
      <c r="B818" s="231"/>
      <c r="C818" s="78"/>
    </row>
    <row r="819">
      <c r="A819" s="231"/>
      <c r="B819" s="231"/>
      <c r="C819" s="78"/>
    </row>
    <row r="820">
      <c r="A820" s="231"/>
      <c r="B820" s="231"/>
      <c r="C820" s="78"/>
    </row>
    <row r="821">
      <c r="A821" s="231"/>
      <c r="B821" s="231"/>
      <c r="C821" s="78"/>
    </row>
    <row r="822">
      <c r="A822" s="231"/>
      <c r="B822" s="231"/>
      <c r="C822" s="78"/>
    </row>
    <row r="823">
      <c r="A823" s="231"/>
      <c r="B823" s="231"/>
      <c r="C823" s="78"/>
    </row>
    <row r="824">
      <c r="A824" s="231"/>
      <c r="B824" s="231"/>
      <c r="C824" s="78"/>
    </row>
    <row r="825">
      <c r="A825" s="231"/>
      <c r="B825" s="231"/>
      <c r="C825" s="78"/>
    </row>
    <row r="826">
      <c r="A826" s="231"/>
      <c r="B826" s="231"/>
      <c r="C826" s="78"/>
    </row>
    <row r="827">
      <c r="A827" s="231"/>
      <c r="B827" s="231"/>
      <c r="C827" s="78"/>
    </row>
    <row r="828">
      <c r="A828" s="231"/>
      <c r="B828" s="231"/>
      <c r="C828" s="78"/>
    </row>
    <row r="829">
      <c r="A829" s="231"/>
      <c r="B829" s="231"/>
      <c r="C829" s="78"/>
    </row>
    <row r="830">
      <c r="A830" s="231"/>
      <c r="B830" s="231"/>
      <c r="C830" s="78"/>
    </row>
    <row r="831">
      <c r="A831" s="231"/>
      <c r="B831" s="231"/>
      <c r="C831" s="78"/>
    </row>
    <row r="832">
      <c r="A832" s="231"/>
      <c r="B832" s="231"/>
      <c r="C832" s="78"/>
    </row>
    <row r="833">
      <c r="A833" s="231"/>
      <c r="B833" s="231"/>
      <c r="C833" s="78"/>
    </row>
    <row r="834">
      <c r="A834" s="231"/>
      <c r="B834" s="231"/>
      <c r="C834" s="78"/>
    </row>
    <row r="835">
      <c r="A835" s="231"/>
      <c r="B835" s="231"/>
      <c r="C835" s="78"/>
    </row>
    <row r="836">
      <c r="A836" s="231"/>
      <c r="B836" s="231"/>
      <c r="C836" s="78"/>
    </row>
    <row r="837">
      <c r="A837" s="231"/>
      <c r="B837" s="231"/>
      <c r="C837" s="78"/>
    </row>
    <row r="838">
      <c r="A838" s="231"/>
      <c r="B838" s="231"/>
      <c r="C838" s="78"/>
    </row>
    <row r="839">
      <c r="A839" s="231"/>
      <c r="B839" s="231"/>
      <c r="C839" s="78"/>
    </row>
    <row r="840">
      <c r="A840" s="231"/>
      <c r="B840" s="231"/>
      <c r="C840" s="78"/>
    </row>
    <row r="841">
      <c r="A841" s="231"/>
      <c r="B841" s="231"/>
      <c r="C841" s="78"/>
    </row>
    <row r="842">
      <c r="A842" s="231"/>
      <c r="B842" s="231"/>
      <c r="C842" s="78"/>
    </row>
    <row r="843">
      <c r="A843" s="231"/>
      <c r="B843" s="231"/>
      <c r="C843" s="78"/>
    </row>
    <row r="844">
      <c r="A844" s="231"/>
      <c r="B844" s="231"/>
      <c r="C844" s="78"/>
    </row>
    <row r="845">
      <c r="A845" s="231"/>
      <c r="B845" s="231"/>
      <c r="C845" s="78"/>
    </row>
    <row r="846">
      <c r="A846" s="231"/>
      <c r="B846" s="231"/>
      <c r="C846" s="78"/>
    </row>
    <row r="847">
      <c r="A847" s="231"/>
      <c r="B847" s="231"/>
      <c r="C847" s="78"/>
    </row>
    <row r="848">
      <c r="A848" s="231"/>
      <c r="B848" s="231"/>
      <c r="C848" s="78"/>
    </row>
    <row r="849">
      <c r="A849" s="231"/>
      <c r="B849" s="231"/>
      <c r="C849" s="78"/>
    </row>
    <row r="850">
      <c r="A850" s="231"/>
      <c r="B850" s="231"/>
      <c r="C850" s="78"/>
    </row>
    <row r="851">
      <c r="A851" s="231"/>
      <c r="B851" s="231"/>
      <c r="C851" s="78"/>
    </row>
    <row r="852">
      <c r="A852" s="231"/>
      <c r="B852" s="231"/>
      <c r="C852" s="78"/>
    </row>
    <row r="853">
      <c r="A853" s="231"/>
      <c r="B853" s="231"/>
      <c r="C853" s="78"/>
    </row>
    <row r="854">
      <c r="A854" s="231"/>
      <c r="B854" s="231"/>
      <c r="C854" s="78"/>
    </row>
    <row r="855">
      <c r="A855" s="231"/>
      <c r="B855" s="231"/>
      <c r="C855" s="78"/>
    </row>
    <row r="856">
      <c r="A856" s="231"/>
      <c r="B856" s="231"/>
      <c r="C856" s="78"/>
    </row>
    <row r="857">
      <c r="A857" s="231"/>
      <c r="B857" s="231"/>
      <c r="C857" s="78"/>
    </row>
    <row r="858">
      <c r="A858" s="231"/>
      <c r="B858" s="231"/>
      <c r="C858" s="78"/>
    </row>
    <row r="859">
      <c r="A859" s="231"/>
      <c r="B859" s="231"/>
      <c r="C859" s="78"/>
    </row>
    <row r="860">
      <c r="A860" s="231"/>
      <c r="B860" s="231"/>
      <c r="C860" s="78"/>
    </row>
    <row r="861">
      <c r="A861" s="231"/>
      <c r="B861" s="231"/>
      <c r="C861" s="78"/>
    </row>
    <row r="862">
      <c r="A862" s="231"/>
      <c r="B862" s="231"/>
      <c r="C862" s="78"/>
    </row>
    <row r="863">
      <c r="A863" s="231"/>
      <c r="B863" s="231"/>
      <c r="C863" s="78"/>
    </row>
    <row r="864">
      <c r="A864" s="231"/>
      <c r="B864" s="231"/>
      <c r="C864" s="78"/>
    </row>
    <row r="865">
      <c r="A865" s="231"/>
      <c r="B865" s="231"/>
      <c r="C865" s="78"/>
    </row>
    <row r="866">
      <c r="A866" s="231"/>
      <c r="B866" s="231"/>
      <c r="C866" s="78"/>
    </row>
    <row r="867">
      <c r="A867" s="231"/>
      <c r="B867" s="231"/>
      <c r="C867" s="78"/>
    </row>
    <row r="868">
      <c r="A868" s="231"/>
      <c r="B868" s="231"/>
      <c r="C868" s="78"/>
    </row>
    <row r="869">
      <c r="A869" s="231"/>
      <c r="B869" s="231"/>
      <c r="C869" s="78"/>
    </row>
    <row r="870">
      <c r="A870" s="231"/>
      <c r="B870" s="231"/>
      <c r="C870" s="78"/>
    </row>
    <row r="871">
      <c r="A871" s="231"/>
      <c r="B871" s="231"/>
      <c r="C871" s="78"/>
    </row>
    <row r="872">
      <c r="A872" s="231"/>
      <c r="B872" s="231"/>
      <c r="C872" s="78"/>
    </row>
    <row r="873">
      <c r="A873" s="231"/>
      <c r="B873" s="231"/>
      <c r="C873" s="78"/>
    </row>
    <row r="874">
      <c r="A874" s="231"/>
      <c r="B874" s="231"/>
      <c r="C874" s="78"/>
    </row>
    <row r="875">
      <c r="A875" s="231"/>
      <c r="B875" s="231"/>
      <c r="C875" s="78"/>
    </row>
    <row r="876">
      <c r="A876" s="231"/>
      <c r="B876" s="231"/>
      <c r="C876" s="78"/>
    </row>
    <row r="877">
      <c r="A877" s="231"/>
      <c r="B877" s="231"/>
      <c r="C877" s="78"/>
    </row>
    <row r="878">
      <c r="A878" s="231"/>
      <c r="B878" s="231"/>
      <c r="C878" s="78"/>
    </row>
    <row r="879">
      <c r="A879" s="231"/>
      <c r="B879" s="231"/>
      <c r="C879" s="78"/>
    </row>
    <row r="880">
      <c r="A880" s="231"/>
      <c r="B880" s="231"/>
      <c r="C880" s="78"/>
    </row>
    <row r="881">
      <c r="A881" s="231"/>
      <c r="B881" s="231"/>
      <c r="C881" s="78"/>
    </row>
    <row r="882">
      <c r="A882" s="231"/>
      <c r="B882" s="231"/>
      <c r="C882" s="78"/>
    </row>
    <row r="883">
      <c r="A883" s="231"/>
      <c r="B883" s="231"/>
      <c r="C883" s="78"/>
    </row>
    <row r="884">
      <c r="A884" s="231"/>
      <c r="B884" s="231"/>
      <c r="C884" s="78"/>
    </row>
    <row r="885">
      <c r="A885" s="231"/>
      <c r="B885" s="231"/>
      <c r="C885" s="78"/>
    </row>
    <row r="886">
      <c r="A886" s="231"/>
      <c r="B886" s="231"/>
      <c r="C886" s="78"/>
    </row>
    <row r="887">
      <c r="A887" s="231"/>
      <c r="B887" s="231"/>
      <c r="C887" s="78"/>
    </row>
    <row r="888">
      <c r="A888" s="231"/>
      <c r="B888" s="231"/>
      <c r="C888" s="78"/>
    </row>
    <row r="889">
      <c r="A889" s="231"/>
      <c r="B889" s="231"/>
      <c r="C889" s="78"/>
    </row>
    <row r="890">
      <c r="A890" s="231"/>
      <c r="B890" s="231"/>
      <c r="C890" s="78"/>
    </row>
    <row r="891">
      <c r="A891" s="231"/>
      <c r="B891" s="231"/>
      <c r="C891" s="78"/>
    </row>
    <row r="892">
      <c r="A892" s="231"/>
      <c r="B892" s="231"/>
      <c r="C892" s="78"/>
    </row>
    <row r="893">
      <c r="A893" s="231"/>
      <c r="B893" s="231"/>
      <c r="C893" s="78"/>
    </row>
    <row r="894">
      <c r="A894" s="231"/>
      <c r="B894" s="231"/>
      <c r="C894" s="78"/>
    </row>
    <row r="895">
      <c r="A895" s="231"/>
      <c r="B895" s="231"/>
      <c r="C895" s="78"/>
    </row>
    <row r="896">
      <c r="A896" s="231"/>
      <c r="B896" s="231"/>
      <c r="C896" s="78"/>
    </row>
    <row r="897">
      <c r="A897" s="231"/>
      <c r="B897" s="231"/>
      <c r="C897" s="78"/>
    </row>
    <row r="898">
      <c r="A898" s="231"/>
      <c r="B898" s="231"/>
      <c r="C898" s="78"/>
    </row>
    <row r="899">
      <c r="A899" s="231"/>
      <c r="B899" s="231"/>
      <c r="C899" s="78"/>
    </row>
    <row r="900">
      <c r="A900" s="231"/>
      <c r="B900" s="231"/>
      <c r="C900" s="78"/>
    </row>
    <row r="901">
      <c r="A901" s="231"/>
      <c r="B901" s="231"/>
      <c r="C901" s="78"/>
    </row>
    <row r="902">
      <c r="A902" s="231"/>
      <c r="B902" s="231"/>
      <c r="C902" s="78"/>
    </row>
    <row r="903">
      <c r="A903" s="231"/>
      <c r="B903" s="231"/>
      <c r="C903" s="78"/>
    </row>
    <row r="904">
      <c r="A904" s="231"/>
      <c r="B904" s="231"/>
      <c r="C904" s="78"/>
    </row>
    <row r="905">
      <c r="A905" s="231"/>
      <c r="B905" s="231"/>
      <c r="C905" s="78"/>
    </row>
    <row r="906">
      <c r="A906" s="231"/>
      <c r="B906" s="231"/>
      <c r="C906" s="78"/>
    </row>
    <row r="907">
      <c r="A907" s="231"/>
      <c r="B907" s="231"/>
      <c r="C907" s="78"/>
    </row>
    <row r="908">
      <c r="A908" s="231"/>
      <c r="B908" s="231"/>
      <c r="C908" s="78"/>
    </row>
    <row r="909">
      <c r="A909" s="231"/>
      <c r="B909" s="231"/>
      <c r="C909" s="78"/>
    </row>
    <row r="910">
      <c r="A910" s="231"/>
      <c r="B910" s="231"/>
      <c r="C910" s="78"/>
    </row>
    <row r="911">
      <c r="A911" s="231"/>
      <c r="B911" s="231"/>
      <c r="C911" s="78"/>
    </row>
    <row r="912">
      <c r="A912" s="231"/>
      <c r="B912" s="231"/>
      <c r="C912" s="78"/>
    </row>
    <row r="913">
      <c r="A913" s="231"/>
      <c r="B913" s="231"/>
      <c r="C913" s="78"/>
    </row>
    <row r="914">
      <c r="A914" s="231"/>
      <c r="B914" s="231"/>
      <c r="C914" s="78"/>
    </row>
    <row r="915">
      <c r="A915" s="231"/>
      <c r="B915" s="231"/>
      <c r="C915" s="78"/>
    </row>
    <row r="916">
      <c r="A916" s="231"/>
      <c r="B916" s="231"/>
      <c r="C916" s="78"/>
    </row>
    <row r="917">
      <c r="A917" s="231"/>
      <c r="B917" s="231"/>
      <c r="C917" s="78"/>
    </row>
    <row r="918">
      <c r="A918" s="231"/>
      <c r="B918" s="231"/>
      <c r="C918" s="78"/>
    </row>
    <row r="919">
      <c r="A919" s="231"/>
      <c r="B919" s="231"/>
      <c r="C919" s="78"/>
    </row>
    <row r="920">
      <c r="A920" s="231"/>
      <c r="B920" s="231"/>
      <c r="C920" s="78"/>
    </row>
    <row r="921">
      <c r="A921" s="231"/>
      <c r="B921" s="231"/>
      <c r="C921" s="78"/>
    </row>
    <row r="922">
      <c r="A922" s="231"/>
      <c r="B922" s="231"/>
      <c r="C922" s="78"/>
    </row>
    <row r="923">
      <c r="A923" s="231"/>
      <c r="B923" s="231"/>
      <c r="C923" s="78"/>
    </row>
    <row r="924">
      <c r="A924" s="231"/>
      <c r="B924" s="231"/>
      <c r="C924" s="78"/>
    </row>
    <row r="925">
      <c r="A925" s="231"/>
      <c r="B925" s="231"/>
      <c r="C925" s="78"/>
    </row>
    <row r="926">
      <c r="A926" s="231"/>
      <c r="B926" s="231"/>
      <c r="C926" s="78"/>
    </row>
    <row r="927">
      <c r="A927" s="231"/>
      <c r="B927" s="231"/>
      <c r="C927" s="78"/>
    </row>
    <row r="928">
      <c r="A928" s="231"/>
      <c r="B928" s="231"/>
      <c r="C928" s="78"/>
    </row>
    <row r="929">
      <c r="A929" s="231"/>
      <c r="B929" s="231"/>
      <c r="C929" s="78"/>
    </row>
    <row r="930">
      <c r="A930" s="231"/>
      <c r="B930" s="231"/>
      <c r="C930" s="78"/>
    </row>
    <row r="931">
      <c r="A931" s="231"/>
      <c r="B931" s="231"/>
      <c r="C931" s="78"/>
    </row>
    <row r="932">
      <c r="A932" s="231"/>
      <c r="B932" s="231"/>
      <c r="C932" s="78"/>
    </row>
    <row r="933">
      <c r="A933" s="231"/>
      <c r="B933" s="231"/>
      <c r="C933" s="78"/>
    </row>
    <row r="934">
      <c r="A934" s="231"/>
      <c r="B934" s="231"/>
      <c r="C934" s="78"/>
    </row>
    <row r="935">
      <c r="A935" s="231"/>
      <c r="B935" s="231"/>
      <c r="C935" s="78"/>
    </row>
    <row r="936">
      <c r="A936" s="231"/>
      <c r="B936" s="231"/>
      <c r="C936" s="78"/>
    </row>
    <row r="937">
      <c r="A937" s="231"/>
      <c r="B937" s="231"/>
      <c r="C937" s="78"/>
    </row>
    <row r="938">
      <c r="A938" s="231"/>
      <c r="B938" s="231"/>
      <c r="C938" s="78"/>
    </row>
    <row r="939">
      <c r="A939" s="231"/>
      <c r="B939" s="231"/>
      <c r="C939" s="78"/>
    </row>
    <row r="940">
      <c r="A940" s="231"/>
      <c r="B940" s="231"/>
      <c r="C940" s="78"/>
    </row>
    <row r="941">
      <c r="A941" s="231"/>
      <c r="B941" s="231"/>
      <c r="C941" s="78"/>
    </row>
    <row r="942">
      <c r="A942" s="231"/>
      <c r="B942" s="231"/>
      <c r="C942" s="78"/>
    </row>
    <row r="943">
      <c r="A943" s="231"/>
      <c r="B943" s="231"/>
      <c r="C943" s="78"/>
    </row>
    <row r="944">
      <c r="A944" s="231"/>
      <c r="B944" s="231"/>
      <c r="C944" s="78"/>
    </row>
    <row r="945">
      <c r="A945" s="231"/>
      <c r="B945" s="231"/>
      <c r="C945" s="78"/>
    </row>
    <row r="946">
      <c r="A946" s="231"/>
      <c r="B946" s="231"/>
      <c r="C946" s="78"/>
    </row>
    <row r="947">
      <c r="A947" s="231"/>
      <c r="B947" s="231"/>
      <c r="C947" s="78"/>
    </row>
    <row r="948">
      <c r="A948" s="231"/>
      <c r="B948" s="231"/>
      <c r="C948" s="78"/>
    </row>
    <row r="949">
      <c r="A949" s="231"/>
      <c r="B949" s="231"/>
      <c r="C949" s="78"/>
    </row>
    <row r="950">
      <c r="A950" s="231"/>
      <c r="B950" s="231"/>
      <c r="C950" s="78"/>
    </row>
    <row r="951">
      <c r="A951" s="231"/>
      <c r="B951" s="231"/>
      <c r="C951" s="78"/>
    </row>
    <row r="952">
      <c r="A952" s="231"/>
      <c r="B952" s="231"/>
      <c r="C952" s="78"/>
    </row>
    <row r="953">
      <c r="A953" s="231"/>
      <c r="B953" s="231"/>
      <c r="C953" s="78"/>
    </row>
    <row r="954">
      <c r="A954" s="231"/>
      <c r="B954" s="231"/>
      <c r="C954" s="78"/>
    </row>
    <row r="955">
      <c r="A955" s="231"/>
      <c r="B955" s="231"/>
      <c r="C955" s="78"/>
    </row>
    <row r="956">
      <c r="A956" s="231"/>
      <c r="B956" s="231"/>
      <c r="C956" s="78"/>
    </row>
    <row r="957">
      <c r="A957" s="231"/>
      <c r="B957" s="231"/>
      <c r="C957" s="78"/>
    </row>
    <row r="958">
      <c r="A958" s="231"/>
      <c r="B958" s="231"/>
      <c r="C958" s="78"/>
    </row>
    <row r="959">
      <c r="A959" s="231"/>
      <c r="B959" s="231"/>
      <c r="C959" s="78"/>
    </row>
    <row r="960">
      <c r="A960" s="231"/>
      <c r="B960" s="231"/>
      <c r="C960" s="78"/>
    </row>
    <row r="961">
      <c r="A961" s="231"/>
      <c r="B961" s="231"/>
      <c r="C961" s="78"/>
    </row>
    <row r="962">
      <c r="A962" s="231"/>
      <c r="B962" s="231"/>
      <c r="C962" s="78"/>
    </row>
    <row r="963">
      <c r="A963" s="231"/>
      <c r="B963" s="231"/>
      <c r="C963" s="78"/>
    </row>
    <row r="964">
      <c r="A964" s="231"/>
      <c r="B964" s="231"/>
      <c r="C964" s="78"/>
    </row>
    <row r="965">
      <c r="A965" s="231"/>
      <c r="B965" s="231"/>
      <c r="C965" s="78"/>
    </row>
    <row r="966">
      <c r="A966" s="231"/>
      <c r="B966" s="231"/>
      <c r="C966" s="78"/>
    </row>
    <row r="967">
      <c r="A967" s="231"/>
      <c r="B967" s="231"/>
      <c r="C967" s="78"/>
    </row>
    <row r="968">
      <c r="A968" s="231"/>
      <c r="B968" s="231"/>
      <c r="C968" s="78"/>
    </row>
    <row r="969">
      <c r="A969" s="231"/>
      <c r="B969" s="231"/>
      <c r="C969" s="78"/>
    </row>
    <row r="970">
      <c r="A970" s="231"/>
      <c r="B970" s="231"/>
      <c r="C970" s="78"/>
    </row>
    <row r="971">
      <c r="A971" s="231"/>
      <c r="B971" s="231"/>
      <c r="C971" s="78"/>
    </row>
    <row r="972">
      <c r="A972" s="231"/>
      <c r="B972" s="231"/>
      <c r="C972" s="78"/>
    </row>
    <row r="973">
      <c r="A973" s="231"/>
      <c r="B973" s="231"/>
      <c r="C973" s="78"/>
    </row>
    <row r="974">
      <c r="A974" s="231"/>
      <c r="B974" s="231"/>
      <c r="C974" s="78"/>
    </row>
    <row r="975">
      <c r="A975" s="231"/>
      <c r="B975" s="231"/>
      <c r="C975" s="78"/>
    </row>
    <row r="976">
      <c r="A976" s="231"/>
      <c r="B976" s="231"/>
      <c r="C976" s="78"/>
    </row>
    <row r="977">
      <c r="A977" s="231"/>
      <c r="B977" s="231"/>
      <c r="C977" s="78"/>
    </row>
    <row r="978">
      <c r="A978" s="231"/>
      <c r="B978" s="231"/>
      <c r="C978" s="78"/>
    </row>
    <row r="979">
      <c r="A979" s="231"/>
      <c r="B979" s="231"/>
      <c r="C979" s="78"/>
    </row>
    <row r="980">
      <c r="A980" s="231"/>
      <c r="B980" s="231"/>
      <c r="C980" s="78"/>
    </row>
    <row r="981">
      <c r="A981" s="231"/>
      <c r="B981" s="231"/>
      <c r="C981" s="78"/>
    </row>
    <row r="982">
      <c r="A982" s="231"/>
      <c r="B982" s="231"/>
      <c r="C982" s="78"/>
    </row>
    <row r="983">
      <c r="A983" s="231"/>
      <c r="B983" s="231"/>
      <c r="C983" s="78"/>
    </row>
    <row r="984">
      <c r="A984" s="231"/>
      <c r="B984" s="231"/>
      <c r="C984" s="78"/>
    </row>
    <row r="985">
      <c r="A985" s="231"/>
      <c r="B985" s="231"/>
      <c r="C985" s="78"/>
    </row>
    <row r="986">
      <c r="A986" s="231"/>
      <c r="B986" s="231"/>
      <c r="C986" s="78"/>
    </row>
    <row r="987">
      <c r="A987" s="231"/>
      <c r="B987" s="231"/>
      <c r="C987" s="78"/>
    </row>
  </sheetData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62.75"/>
    <col customWidth="1" min="5" max="5" width="27.88"/>
    <col hidden="1" min="8" max="22" width="12.63"/>
  </cols>
  <sheetData>
    <row r="1">
      <c r="A1" s="358" t="s">
        <v>44</v>
      </c>
      <c r="B1" s="12" t="s">
        <v>1</v>
      </c>
      <c r="C1" s="57" t="s">
        <v>294</v>
      </c>
      <c r="D1" s="55" t="s">
        <v>248</v>
      </c>
      <c r="E1" s="348" t="s">
        <v>249</v>
      </c>
      <c r="F1" s="349" t="s">
        <v>250</v>
      </c>
      <c r="H1" s="11" t="s">
        <v>1</v>
      </c>
      <c r="I1" s="11" t="s">
        <v>19414</v>
      </c>
      <c r="M1" s="11" t="s">
        <v>1738</v>
      </c>
      <c r="N1" s="11">
        <v>189.0</v>
      </c>
      <c r="O1" s="11">
        <v>2712.0</v>
      </c>
      <c r="R1" s="11" t="s">
        <v>1654</v>
      </c>
      <c r="S1" s="11" t="s">
        <v>1</v>
      </c>
      <c r="T1" s="11"/>
      <c r="U1" s="11" t="s">
        <v>252</v>
      </c>
      <c r="V1" s="11" t="str">
        <f>"Empty codes:"&amp; COUNTBLANK(S2:S91)</f>
        <v>Empty codes:0</v>
      </c>
    </row>
    <row r="2">
      <c r="A2" s="254" t="s">
        <v>19415</v>
      </c>
      <c r="B2" s="25">
        <v>14298.0</v>
      </c>
      <c r="C2" s="25" t="s">
        <v>19416</v>
      </c>
      <c r="D2" s="179">
        <v>0.8</v>
      </c>
      <c r="E2" s="179">
        <v>0.8</v>
      </c>
      <c r="F2" s="134" t="s">
        <v>1656</v>
      </c>
      <c r="H2" s="11">
        <v>2345.0</v>
      </c>
      <c r="I2" s="74">
        <v>0.14</v>
      </c>
      <c r="M2" s="11" t="s">
        <v>1736</v>
      </c>
      <c r="N2" s="11">
        <v>6133.0</v>
      </c>
      <c r="O2" s="11">
        <v>897.0</v>
      </c>
      <c r="R2" s="125" t="s">
        <v>19415</v>
      </c>
      <c r="S2" s="11">
        <v>14298.0</v>
      </c>
      <c r="T2" s="688">
        <v>7031.0</v>
      </c>
      <c r="U2" s="18">
        <v>1.0</v>
      </c>
    </row>
    <row r="3">
      <c r="A3" s="254" t="s">
        <v>19417</v>
      </c>
      <c r="B3" s="78">
        <v>5125.0</v>
      </c>
      <c r="C3" s="25" t="s">
        <v>19416</v>
      </c>
      <c r="D3" s="514">
        <v>0.8</v>
      </c>
      <c r="E3" s="514">
        <v>0.8</v>
      </c>
      <c r="F3" s="134" t="s">
        <v>1656</v>
      </c>
      <c r="H3" s="11">
        <v>6557.0</v>
      </c>
      <c r="I3" s="74">
        <v>0.13</v>
      </c>
      <c r="M3" s="11" t="s">
        <v>1739</v>
      </c>
      <c r="N3" s="11">
        <v>189.0</v>
      </c>
      <c r="R3" s="127" t="s">
        <v>19417</v>
      </c>
      <c r="S3" s="35">
        <v>5125.0</v>
      </c>
      <c r="T3" s="36"/>
      <c r="U3" s="36" t="e">
        <v>#N/A</v>
      </c>
      <c r="V3" s="21"/>
    </row>
    <row r="4">
      <c r="A4" s="254" t="s">
        <v>19418</v>
      </c>
      <c r="B4" s="25">
        <v>8486.0</v>
      </c>
      <c r="C4" s="25" t="s">
        <v>19416</v>
      </c>
      <c r="D4" s="514">
        <v>0.8</v>
      </c>
      <c r="E4" s="514">
        <v>0.8</v>
      </c>
      <c r="F4" s="134" t="s">
        <v>1656</v>
      </c>
      <c r="H4" s="11">
        <v>189.0</v>
      </c>
      <c r="I4" s="74">
        <v>0.13</v>
      </c>
      <c r="M4" s="11" t="s">
        <v>1740</v>
      </c>
      <c r="N4" s="11">
        <v>6750.0</v>
      </c>
      <c r="O4" s="11">
        <v>2095.0</v>
      </c>
      <c r="R4" s="127" t="s">
        <v>19418</v>
      </c>
      <c r="S4" s="35">
        <v>7046.0</v>
      </c>
      <c r="T4" s="36"/>
      <c r="U4" s="36" t="e">
        <v>#N/A</v>
      </c>
      <c r="V4" s="21"/>
    </row>
    <row r="5">
      <c r="A5" s="254" t="s">
        <v>19419</v>
      </c>
      <c r="B5" s="25">
        <v>14516.0</v>
      </c>
      <c r="C5" s="25" t="s">
        <v>19416</v>
      </c>
      <c r="D5" s="514">
        <v>0.8</v>
      </c>
      <c r="E5" s="514">
        <v>0.8</v>
      </c>
      <c r="F5" s="134" t="s">
        <v>1656</v>
      </c>
      <c r="M5" s="11" t="s">
        <v>1741</v>
      </c>
      <c r="N5" s="11">
        <v>3616.0</v>
      </c>
      <c r="O5" s="11">
        <v>6132.0</v>
      </c>
      <c r="R5" s="127" t="s">
        <v>19419</v>
      </c>
      <c r="S5" s="35">
        <v>136.0</v>
      </c>
      <c r="T5" s="36"/>
      <c r="U5" s="36" t="e">
        <v>#N/A</v>
      </c>
      <c r="V5" s="201"/>
    </row>
    <row r="6">
      <c r="A6" s="254" t="s">
        <v>19420</v>
      </c>
      <c r="B6" s="25">
        <v>6706.0</v>
      </c>
      <c r="C6" s="25" t="s">
        <v>19416</v>
      </c>
      <c r="D6" s="514">
        <v>0.8</v>
      </c>
      <c r="E6" s="514">
        <v>0.8</v>
      </c>
      <c r="F6" s="134" t="s">
        <v>1656</v>
      </c>
      <c r="M6" s="11" t="s">
        <v>1742</v>
      </c>
      <c r="N6" s="11">
        <v>6132.0</v>
      </c>
      <c r="O6" s="11">
        <v>2712.0</v>
      </c>
      <c r="R6" s="127" t="s">
        <v>19420</v>
      </c>
      <c r="S6" s="35">
        <v>6998.0</v>
      </c>
      <c r="T6" s="36"/>
      <c r="U6" s="36" t="e">
        <v>#N/A</v>
      </c>
      <c r="V6" s="201"/>
    </row>
    <row r="7">
      <c r="A7" s="254" t="s">
        <v>19421</v>
      </c>
      <c r="B7" s="250">
        <v>6668.0</v>
      </c>
      <c r="C7" s="25" t="s">
        <v>19416</v>
      </c>
      <c r="D7" s="514">
        <v>0.8</v>
      </c>
      <c r="E7" s="514">
        <v>0.8</v>
      </c>
      <c r="F7" s="134" t="s">
        <v>1656</v>
      </c>
      <c r="M7" s="11" t="s">
        <v>1745</v>
      </c>
      <c r="N7" s="11">
        <v>5421.0</v>
      </c>
      <c r="R7" s="127" t="s">
        <v>19421</v>
      </c>
      <c r="S7" s="251">
        <v>7023.0</v>
      </c>
      <c r="T7" s="36"/>
      <c r="U7" s="36" t="e">
        <v>#N/A</v>
      </c>
      <c r="V7" s="201"/>
    </row>
    <row r="8">
      <c r="A8" s="254" t="s">
        <v>19422</v>
      </c>
      <c r="B8" s="25">
        <v>6668.0</v>
      </c>
      <c r="C8" s="25" t="s">
        <v>19416</v>
      </c>
      <c r="D8" s="514">
        <v>0.8</v>
      </c>
      <c r="E8" s="514">
        <v>0.8</v>
      </c>
      <c r="F8" s="134" t="s">
        <v>1656</v>
      </c>
      <c r="M8" s="11" t="s">
        <v>1747</v>
      </c>
      <c r="N8" s="11">
        <v>189.0</v>
      </c>
      <c r="O8" s="11">
        <v>2712.0</v>
      </c>
      <c r="R8" s="127" t="s">
        <v>19422</v>
      </c>
      <c r="S8" s="35">
        <v>6671.0</v>
      </c>
      <c r="T8" s="36"/>
      <c r="U8" s="36" t="e">
        <v>#N/A</v>
      </c>
      <c r="V8" s="201"/>
    </row>
    <row r="9">
      <c r="A9" s="254" t="s">
        <v>19423</v>
      </c>
      <c r="B9" s="25">
        <v>14594.0</v>
      </c>
      <c r="C9" s="25" t="s">
        <v>19416</v>
      </c>
      <c r="D9" s="514">
        <v>0.8</v>
      </c>
      <c r="E9" s="514">
        <v>0.8</v>
      </c>
      <c r="F9" s="134" t="s">
        <v>1656</v>
      </c>
      <c r="M9" s="11" t="s">
        <v>1749</v>
      </c>
      <c r="N9" s="11">
        <v>2095.0</v>
      </c>
      <c r="O9" s="11">
        <v>2712.0</v>
      </c>
      <c r="R9" s="127" t="s">
        <v>19423</v>
      </c>
      <c r="S9" s="35">
        <v>6772.0</v>
      </c>
      <c r="T9" s="36"/>
      <c r="U9" s="36" t="e">
        <v>#N/A</v>
      </c>
      <c r="V9" s="201"/>
    </row>
    <row r="10">
      <c r="A10" s="254" t="s">
        <v>19424</v>
      </c>
      <c r="B10" s="25">
        <v>6706.0</v>
      </c>
      <c r="C10" s="25" t="s">
        <v>19416</v>
      </c>
      <c r="D10" s="514">
        <v>0.8</v>
      </c>
      <c r="E10" s="514">
        <v>0.8</v>
      </c>
      <c r="F10" s="134" t="s">
        <v>1656</v>
      </c>
      <c r="M10" s="11" t="s">
        <v>1743</v>
      </c>
      <c r="N10" s="11">
        <v>663.0</v>
      </c>
      <c r="R10" s="127" t="s">
        <v>19424</v>
      </c>
      <c r="S10" s="35">
        <v>6729.0</v>
      </c>
      <c r="T10" s="36"/>
      <c r="U10" s="36" t="e">
        <v>#N/A</v>
      </c>
      <c r="V10" s="201"/>
    </row>
    <row r="11">
      <c r="A11" s="254" t="s">
        <v>19425</v>
      </c>
      <c r="B11" s="25">
        <v>7747.0</v>
      </c>
      <c r="C11" s="25" t="s">
        <v>19416</v>
      </c>
      <c r="D11" s="514">
        <v>0.8</v>
      </c>
      <c r="E11" s="514">
        <v>0.8</v>
      </c>
      <c r="F11" s="134" t="s">
        <v>1656</v>
      </c>
      <c r="M11" s="11" t="s">
        <v>19426</v>
      </c>
      <c r="N11" s="11">
        <v>6557.0</v>
      </c>
      <c r="O11" s="11">
        <v>5458.0</v>
      </c>
      <c r="R11" s="127" t="s">
        <v>19425</v>
      </c>
      <c r="S11" s="35">
        <v>136.0</v>
      </c>
      <c r="T11" s="36"/>
      <c r="U11" s="36" t="e">
        <v>#N/A</v>
      </c>
      <c r="V11" s="201"/>
    </row>
    <row r="12">
      <c r="A12" s="254" t="s">
        <v>19427</v>
      </c>
      <c r="B12" s="25">
        <v>7010.0</v>
      </c>
      <c r="C12" s="25" t="s">
        <v>19416</v>
      </c>
      <c r="D12" s="514">
        <v>0.8</v>
      </c>
      <c r="E12" s="514">
        <v>0.8</v>
      </c>
      <c r="F12" s="134" t="s">
        <v>1656</v>
      </c>
      <c r="M12" s="11" t="s">
        <v>19428</v>
      </c>
      <c r="N12" s="11">
        <v>6697.0</v>
      </c>
      <c r="R12" s="125" t="s">
        <v>19427</v>
      </c>
      <c r="S12" s="11">
        <v>7010.0</v>
      </c>
      <c r="U12" s="18">
        <v>1.0</v>
      </c>
      <c r="V12" s="21"/>
    </row>
    <row r="13">
      <c r="A13" s="254" t="s">
        <v>19429</v>
      </c>
      <c r="B13" s="25">
        <v>6669.0</v>
      </c>
      <c r="C13" s="25" t="s">
        <v>19416</v>
      </c>
      <c r="D13" s="514">
        <v>0.8</v>
      </c>
      <c r="E13" s="514">
        <v>0.8</v>
      </c>
      <c r="F13" s="134" t="s">
        <v>1656</v>
      </c>
      <c r="M13" s="11" t="s">
        <v>19430</v>
      </c>
      <c r="N13" s="11">
        <v>6557.0</v>
      </c>
      <c r="O13" s="11">
        <v>6463.0</v>
      </c>
      <c r="R13" s="125" t="s">
        <v>19429</v>
      </c>
      <c r="S13" s="11">
        <v>12941.0</v>
      </c>
      <c r="U13" s="18">
        <v>1.0</v>
      </c>
      <c r="V13" s="21"/>
    </row>
    <row r="14">
      <c r="A14" s="254" t="s">
        <v>19431</v>
      </c>
      <c r="B14" s="25">
        <v>6669.0</v>
      </c>
      <c r="C14" s="25" t="s">
        <v>19416</v>
      </c>
      <c r="D14" s="514">
        <v>0.8</v>
      </c>
      <c r="E14" s="514">
        <v>0.8</v>
      </c>
      <c r="F14" s="134" t="s">
        <v>1656</v>
      </c>
      <c r="M14" s="11" t="s">
        <v>19432</v>
      </c>
      <c r="N14" s="11">
        <v>6557.0</v>
      </c>
      <c r="O14" s="11">
        <v>6463.0</v>
      </c>
      <c r="R14" s="127" t="s">
        <v>19431</v>
      </c>
      <c r="S14" s="35">
        <v>12941.0</v>
      </c>
      <c r="T14" s="36"/>
      <c r="U14" s="36" t="e">
        <v>#N/A</v>
      </c>
      <c r="V14" s="21"/>
    </row>
    <row r="15">
      <c r="A15" s="254" t="s">
        <v>19433</v>
      </c>
      <c r="B15" s="25">
        <v>12941.0</v>
      </c>
      <c r="C15" s="25" t="s">
        <v>19416</v>
      </c>
      <c r="D15" s="105">
        <v>0.85</v>
      </c>
      <c r="E15" s="105">
        <v>0.85</v>
      </c>
      <c r="F15" s="134" t="s">
        <v>1656</v>
      </c>
      <c r="M15" s="11" t="s">
        <v>19434</v>
      </c>
      <c r="N15" s="11">
        <v>3378.0</v>
      </c>
      <c r="R15" s="125" t="s">
        <v>19433</v>
      </c>
      <c r="S15" s="11">
        <v>12941.0</v>
      </c>
      <c r="U15" s="18">
        <v>1.0</v>
      </c>
    </row>
    <row r="16">
      <c r="A16" s="254" t="s">
        <v>19435</v>
      </c>
      <c r="B16" s="25">
        <v>12941.0</v>
      </c>
      <c r="C16" s="25" t="s">
        <v>19416</v>
      </c>
      <c r="D16" s="105">
        <v>0.85</v>
      </c>
      <c r="E16" s="105">
        <v>0.85</v>
      </c>
      <c r="F16" s="134" t="s">
        <v>1656</v>
      </c>
      <c r="M16" s="11" t="s">
        <v>19436</v>
      </c>
      <c r="N16" s="11">
        <v>6710.0</v>
      </c>
      <c r="R16" s="125" t="s">
        <v>19435</v>
      </c>
      <c r="S16" s="11">
        <v>12941.0</v>
      </c>
      <c r="U16" s="18">
        <v>1.0</v>
      </c>
    </row>
    <row r="17">
      <c r="A17" s="254" t="s">
        <v>19437</v>
      </c>
      <c r="B17" s="25">
        <v>12941.0</v>
      </c>
      <c r="C17" s="25" t="s">
        <v>19416</v>
      </c>
      <c r="D17" s="105">
        <v>0.85</v>
      </c>
      <c r="E17" s="105">
        <v>0.85</v>
      </c>
      <c r="F17" s="134" t="s">
        <v>1656</v>
      </c>
      <c r="M17" s="11" t="s">
        <v>19438</v>
      </c>
      <c r="N17" s="11">
        <v>6557.0</v>
      </c>
      <c r="O17" s="11">
        <v>6675.0</v>
      </c>
      <c r="R17" s="125" t="s">
        <v>19437</v>
      </c>
      <c r="S17" s="11">
        <v>12941.0</v>
      </c>
      <c r="U17" s="18">
        <v>1.0</v>
      </c>
    </row>
    <row r="18">
      <c r="A18" s="254" t="s">
        <v>19439</v>
      </c>
      <c r="B18" s="25">
        <v>12941.0</v>
      </c>
      <c r="C18" s="25" t="s">
        <v>19416</v>
      </c>
      <c r="D18" s="105">
        <v>0.85</v>
      </c>
      <c r="E18" s="105">
        <v>0.85</v>
      </c>
      <c r="F18" s="134" t="s">
        <v>1656</v>
      </c>
      <c r="M18" s="11" t="s">
        <v>19440</v>
      </c>
      <c r="N18" s="11">
        <v>189.0</v>
      </c>
      <c r="R18" s="125" t="s">
        <v>19439</v>
      </c>
      <c r="S18" s="11">
        <v>12941.0</v>
      </c>
      <c r="U18" s="18">
        <v>1.0</v>
      </c>
    </row>
    <row r="19">
      <c r="A19" s="254" t="s">
        <v>19441</v>
      </c>
      <c r="B19" s="25">
        <v>14659.0</v>
      </c>
      <c r="C19" s="25" t="s">
        <v>19416</v>
      </c>
      <c r="D19" s="514">
        <v>0.8</v>
      </c>
      <c r="E19" s="514">
        <v>0.8</v>
      </c>
      <c r="F19" s="134" t="s">
        <v>1656</v>
      </c>
      <c r="M19" s="11" t="s">
        <v>19442</v>
      </c>
      <c r="N19" s="11">
        <v>189.0</v>
      </c>
      <c r="R19" s="127" t="s">
        <v>19441</v>
      </c>
      <c r="S19" s="35">
        <v>12941.0</v>
      </c>
      <c r="T19" s="36"/>
      <c r="U19" s="36" t="e">
        <v>#N/A</v>
      </c>
    </row>
    <row r="20">
      <c r="A20" s="254" t="s">
        <v>19443</v>
      </c>
      <c r="B20" s="25">
        <v>14770.0</v>
      </c>
      <c r="C20" s="25" t="s">
        <v>19416</v>
      </c>
      <c r="D20" s="514">
        <v>0.8</v>
      </c>
      <c r="E20" s="514">
        <v>0.8</v>
      </c>
      <c r="F20" s="134" t="s">
        <v>1656</v>
      </c>
      <c r="M20" s="11" t="s">
        <v>19444</v>
      </c>
      <c r="N20" s="11">
        <v>6722.0</v>
      </c>
      <c r="R20" s="127" t="s">
        <v>19443</v>
      </c>
      <c r="S20" s="35">
        <v>12941.0</v>
      </c>
      <c r="T20" s="36"/>
      <c r="U20" s="36" t="e">
        <v>#N/A</v>
      </c>
    </row>
    <row r="21">
      <c r="A21" s="254" t="s">
        <v>19445</v>
      </c>
      <c r="B21" s="37">
        <v>14480.0</v>
      </c>
      <c r="C21" s="25" t="s">
        <v>19416</v>
      </c>
      <c r="D21" s="514">
        <v>0.8</v>
      </c>
      <c r="E21" s="514">
        <v>0.8</v>
      </c>
      <c r="F21" s="134" t="s">
        <v>1656</v>
      </c>
      <c r="M21" s="11" t="s">
        <v>1744</v>
      </c>
      <c r="N21" s="11">
        <v>6732.0</v>
      </c>
      <c r="R21" s="127" t="s">
        <v>19445</v>
      </c>
      <c r="S21" s="35">
        <v>7003.0</v>
      </c>
      <c r="T21" s="36"/>
      <c r="U21" s="36" t="e">
        <v>#N/A</v>
      </c>
    </row>
    <row r="22">
      <c r="A22" s="254" t="s">
        <v>19446</v>
      </c>
      <c r="B22" s="25"/>
      <c r="C22" s="25" t="s">
        <v>19416</v>
      </c>
      <c r="D22" s="514">
        <v>0.8</v>
      </c>
      <c r="E22" s="514">
        <v>0.8</v>
      </c>
      <c r="F22" s="134" t="s">
        <v>1656</v>
      </c>
      <c r="M22" s="11" t="s">
        <v>1746</v>
      </c>
      <c r="N22" s="11">
        <v>5125.0</v>
      </c>
      <c r="R22" s="127" t="s">
        <v>19446</v>
      </c>
      <c r="S22" s="109">
        <v>7186.0</v>
      </c>
      <c r="T22" s="36"/>
      <c r="U22" s="36" t="e">
        <v>#N/A</v>
      </c>
    </row>
    <row r="23">
      <c r="A23" s="254" t="s">
        <v>19447</v>
      </c>
      <c r="B23" s="25">
        <v>6132.0</v>
      </c>
      <c r="C23" s="25" t="s">
        <v>19416</v>
      </c>
      <c r="D23" s="514">
        <v>0.8</v>
      </c>
      <c r="E23" s="514">
        <v>0.8</v>
      </c>
      <c r="F23" s="134" t="s">
        <v>1656</v>
      </c>
      <c r="M23" s="11" t="s">
        <v>1748</v>
      </c>
      <c r="N23" s="11">
        <v>6785.0</v>
      </c>
      <c r="R23" s="127" t="s">
        <v>19447</v>
      </c>
      <c r="S23" s="35">
        <v>315.0</v>
      </c>
      <c r="T23" s="36"/>
      <c r="U23" s="36" t="e">
        <v>#N/A</v>
      </c>
    </row>
    <row r="24">
      <c r="A24" s="254" t="s">
        <v>19448</v>
      </c>
      <c r="B24" s="25">
        <v>14663.0</v>
      </c>
      <c r="C24" s="25" t="s">
        <v>19416</v>
      </c>
      <c r="D24" s="514">
        <v>0.8</v>
      </c>
      <c r="E24" s="514">
        <v>0.8</v>
      </c>
      <c r="F24" s="134" t="s">
        <v>1656</v>
      </c>
      <c r="M24" s="11" t="s">
        <v>1750</v>
      </c>
      <c r="N24" s="11">
        <v>2345.0</v>
      </c>
      <c r="R24" s="127" t="s">
        <v>19448</v>
      </c>
      <c r="S24" s="35">
        <v>6109.0</v>
      </c>
      <c r="T24" s="36"/>
      <c r="U24" s="36" t="e">
        <v>#N/A</v>
      </c>
    </row>
    <row r="25">
      <c r="A25" s="254" t="s">
        <v>19449</v>
      </c>
      <c r="B25" s="25">
        <v>3404.0</v>
      </c>
      <c r="C25" s="25" t="s">
        <v>19416</v>
      </c>
      <c r="D25" s="514">
        <v>0.8</v>
      </c>
      <c r="E25" s="514">
        <v>0.8</v>
      </c>
      <c r="F25" s="134" t="s">
        <v>1656</v>
      </c>
      <c r="M25" s="11" t="s">
        <v>1751</v>
      </c>
      <c r="N25" s="11">
        <v>2345.0</v>
      </c>
      <c r="R25" s="127" t="s">
        <v>19449</v>
      </c>
      <c r="S25" s="35">
        <v>6780.0</v>
      </c>
      <c r="T25" s="36"/>
      <c r="U25" s="36" t="e">
        <v>#N/A</v>
      </c>
    </row>
    <row r="26">
      <c r="A26" s="254" t="s">
        <v>19450</v>
      </c>
      <c r="B26" s="25">
        <v>3307.0</v>
      </c>
      <c r="C26" s="25" t="s">
        <v>19416</v>
      </c>
      <c r="D26" s="514">
        <v>0.8</v>
      </c>
      <c r="E26" s="514">
        <v>0.8</v>
      </c>
      <c r="F26" s="134" t="s">
        <v>1656</v>
      </c>
      <c r="M26" s="11" t="s">
        <v>1752</v>
      </c>
      <c r="N26" s="11">
        <v>2345.0</v>
      </c>
      <c r="R26" s="127" t="s">
        <v>19450</v>
      </c>
      <c r="S26" s="35">
        <v>3307.0</v>
      </c>
      <c r="T26" s="36"/>
      <c r="U26" s="36" t="e">
        <v>#N/A</v>
      </c>
    </row>
    <row r="27">
      <c r="A27" s="254" t="s">
        <v>19451</v>
      </c>
      <c r="B27" s="25"/>
      <c r="C27" s="25" t="s">
        <v>19416</v>
      </c>
      <c r="D27" s="514">
        <v>0.8</v>
      </c>
      <c r="E27" s="514">
        <v>0.8</v>
      </c>
      <c r="F27" s="134" t="s">
        <v>1656</v>
      </c>
      <c r="M27" s="11" t="s">
        <v>1758</v>
      </c>
      <c r="N27" s="11">
        <v>6772.0</v>
      </c>
      <c r="R27" s="127" t="s">
        <v>19451</v>
      </c>
      <c r="S27" s="35">
        <v>7168.0</v>
      </c>
      <c r="T27" s="36"/>
      <c r="U27" s="36" t="e">
        <v>#N/A</v>
      </c>
    </row>
    <row r="28">
      <c r="A28" s="254" t="s">
        <v>19452</v>
      </c>
      <c r="B28" s="25">
        <v>13867.0</v>
      </c>
      <c r="C28" s="25" t="s">
        <v>19416</v>
      </c>
      <c r="D28" s="514">
        <v>0.8</v>
      </c>
      <c r="E28" s="514">
        <v>0.8</v>
      </c>
      <c r="F28" s="134" t="s">
        <v>1656</v>
      </c>
      <c r="M28" s="11" t="s">
        <v>1753</v>
      </c>
      <c r="N28" s="11">
        <v>6779.0</v>
      </c>
      <c r="R28" s="127" t="s">
        <v>19452</v>
      </c>
      <c r="S28" s="35">
        <v>7168.0</v>
      </c>
      <c r="T28" s="36"/>
      <c r="U28" s="36" t="e">
        <v>#N/A</v>
      </c>
    </row>
    <row r="29">
      <c r="A29" s="254" t="s">
        <v>19453</v>
      </c>
      <c r="B29" s="25"/>
      <c r="C29" s="25" t="s">
        <v>19416</v>
      </c>
      <c r="D29" s="514">
        <v>0.8</v>
      </c>
      <c r="E29" s="514">
        <v>0.8</v>
      </c>
      <c r="F29" s="134" t="s">
        <v>1656</v>
      </c>
      <c r="M29" s="11" t="s">
        <v>1754</v>
      </c>
      <c r="N29" s="11">
        <v>6732.0</v>
      </c>
      <c r="R29" s="127" t="s">
        <v>19453</v>
      </c>
      <c r="S29" s="35">
        <v>986.0</v>
      </c>
      <c r="T29" s="36"/>
      <c r="U29" s="36" t="e">
        <v>#N/A</v>
      </c>
    </row>
    <row r="30">
      <c r="A30" s="254" t="s">
        <v>19454</v>
      </c>
      <c r="B30" s="25"/>
      <c r="C30" s="25" t="s">
        <v>19416</v>
      </c>
      <c r="D30" s="514">
        <v>0.8</v>
      </c>
      <c r="E30" s="514">
        <v>0.8</v>
      </c>
      <c r="F30" s="134" t="s">
        <v>1656</v>
      </c>
      <c r="M30" s="11" t="s">
        <v>1755</v>
      </c>
      <c r="N30" s="11">
        <v>6732.0</v>
      </c>
      <c r="R30" s="127" t="s">
        <v>19454</v>
      </c>
      <c r="S30" s="35">
        <v>986.0</v>
      </c>
      <c r="T30" s="36"/>
      <c r="U30" s="36" t="e">
        <v>#N/A</v>
      </c>
    </row>
    <row r="31">
      <c r="A31" s="254" t="s">
        <v>19455</v>
      </c>
      <c r="B31" s="25">
        <v>6772.0</v>
      </c>
      <c r="C31" s="25" t="s">
        <v>19416</v>
      </c>
      <c r="D31" s="514">
        <v>0.8</v>
      </c>
      <c r="E31" s="514">
        <v>0.8</v>
      </c>
      <c r="F31" s="134" t="s">
        <v>1656</v>
      </c>
      <c r="M31" s="11" t="s">
        <v>1756</v>
      </c>
      <c r="N31" s="11">
        <v>6732.0</v>
      </c>
      <c r="R31" s="127" t="s">
        <v>19455</v>
      </c>
      <c r="S31" s="35">
        <v>986.0</v>
      </c>
      <c r="T31" s="36"/>
      <c r="U31" s="36" t="e">
        <v>#N/A</v>
      </c>
    </row>
    <row r="32">
      <c r="A32" s="254" t="s">
        <v>19456</v>
      </c>
      <c r="B32" s="25"/>
      <c r="C32" s="25" t="s">
        <v>19416</v>
      </c>
      <c r="D32" s="514">
        <v>0.8</v>
      </c>
      <c r="E32" s="514">
        <v>0.8</v>
      </c>
      <c r="F32" s="134" t="s">
        <v>1656</v>
      </c>
      <c r="M32" s="11" t="s">
        <v>1757</v>
      </c>
      <c r="N32" s="11">
        <v>663.0</v>
      </c>
      <c r="R32" s="127" t="s">
        <v>19456</v>
      </c>
      <c r="S32" s="35">
        <v>6675.0</v>
      </c>
      <c r="T32" s="36"/>
      <c r="U32" s="36" t="e">
        <v>#N/A</v>
      </c>
    </row>
    <row r="33">
      <c r="A33" s="254" t="s">
        <v>19457</v>
      </c>
      <c r="B33" s="25"/>
      <c r="C33" s="25" t="s">
        <v>19416</v>
      </c>
      <c r="D33" s="514">
        <v>0.8</v>
      </c>
      <c r="E33" s="514">
        <v>0.8</v>
      </c>
      <c r="F33" s="134" t="s">
        <v>1656</v>
      </c>
      <c r="M33" s="11" t="s">
        <v>1759</v>
      </c>
      <c r="N33" s="11">
        <v>2345.0</v>
      </c>
      <c r="R33" s="127" t="s">
        <v>19457</v>
      </c>
      <c r="S33" s="35">
        <v>6675.0</v>
      </c>
      <c r="T33" s="36"/>
      <c r="U33" s="36" t="e">
        <v>#N/A</v>
      </c>
    </row>
    <row r="34">
      <c r="A34" s="254" t="s">
        <v>19458</v>
      </c>
      <c r="B34" s="25">
        <v>14575.0</v>
      </c>
      <c r="C34" s="25" t="s">
        <v>19416</v>
      </c>
      <c r="D34" s="105">
        <v>0.85</v>
      </c>
      <c r="E34" s="105">
        <v>0.85</v>
      </c>
      <c r="F34" s="134" t="s">
        <v>1656</v>
      </c>
      <c r="M34" s="11" t="s">
        <v>1760</v>
      </c>
      <c r="N34" s="11">
        <v>2345.0</v>
      </c>
      <c r="R34" s="127" t="s">
        <v>19458</v>
      </c>
      <c r="S34" s="35">
        <v>6675.0</v>
      </c>
      <c r="T34" s="36"/>
      <c r="U34" s="36" t="e">
        <v>#N/A</v>
      </c>
    </row>
    <row r="35">
      <c r="A35" s="254" t="s">
        <v>19459</v>
      </c>
      <c r="B35" s="25"/>
      <c r="C35" s="25" t="s">
        <v>19416</v>
      </c>
      <c r="D35" s="514">
        <v>0.8</v>
      </c>
      <c r="E35" s="514">
        <v>0.8</v>
      </c>
      <c r="F35" s="134" t="s">
        <v>1656</v>
      </c>
      <c r="M35" s="11" t="s">
        <v>1761</v>
      </c>
      <c r="N35" s="11">
        <v>663.0</v>
      </c>
      <c r="R35" s="127" t="s">
        <v>19459</v>
      </c>
      <c r="S35" s="35">
        <v>6675.0</v>
      </c>
      <c r="T35" s="36"/>
      <c r="U35" s="36" t="e">
        <v>#N/A</v>
      </c>
    </row>
    <row r="36">
      <c r="A36" s="254" t="s">
        <v>19460</v>
      </c>
      <c r="B36" s="25">
        <v>6675.0</v>
      </c>
      <c r="C36" s="25" t="s">
        <v>19416</v>
      </c>
      <c r="D36" s="105">
        <v>0.85</v>
      </c>
      <c r="E36" s="105">
        <v>0.85</v>
      </c>
      <c r="F36" s="134" t="s">
        <v>1656</v>
      </c>
      <c r="M36" s="11" t="s">
        <v>1762</v>
      </c>
      <c r="N36" s="11">
        <v>2345.0</v>
      </c>
      <c r="R36" s="127" t="s">
        <v>19460</v>
      </c>
      <c r="S36" s="35">
        <v>6675.0</v>
      </c>
      <c r="T36" s="36"/>
      <c r="U36" s="36" t="e">
        <v>#N/A</v>
      </c>
    </row>
    <row r="37">
      <c r="A37" s="254" t="s">
        <v>19461</v>
      </c>
      <c r="B37" s="25">
        <v>6829.0</v>
      </c>
      <c r="C37" s="25" t="s">
        <v>19416</v>
      </c>
      <c r="D37" s="514">
        <v>0.8</v>
      </c>
      <c r="E37" s="514">
        <v>0.8</v>
      </c>
      <c r="F37" s="134" t="s">
        <v>1656</v>
      </c>
      <c r="M37" s="11" t="s">
        <v>1763</v>
      </c>
      <c r="N37" s="11">
        <v>6675.0</v>
      </c>
      <c r="O37" s="11">
        <v>6107.0</v>
      </c>
      <c r="R37" s="127" t="s">
        <v>19461</v>
      </c>
      <c r="S37" s="35">
        <v>6829.0</v>
      </c>
      <c r="T37" s="36"/>
      <c r="U37" s="36" t="e">
        <v>#N/A</v>
      </c>
    </row>
    <row r="38">
      <c r="A38" s="254" t="s">
        <v>19462</v>
      </c>
      <c r="B38" s="25"/>
      <c r="C38" s="25" t="s">
        <v>19416</v>
      </c>
      <c r="D38" s="514">
        <v>0.8</v>
      </c>
      <c r="E38" s="514">
        <v>0.8</v>
      </c>
      <c r="F38" s="134" t="s">
        <v>1656</v>
      </c>
      <c r="M38" s="11" t="s">
        <v>1764</v>
      </c>
      <c r="N38" s="11">
        <v>6675.0</v>
      </c>
      <c r="O38" s="11">
        <v>6107.0</v>
      </c>
      <c r="R38" s="127" t="s">
        <v>19462</v>
      </c>
      <c r="S38" s="35">
        <v>7246.0</v>
      </c>
      <c r="T38" s="36"/>
      <c r="U38" s="36" t="e">
        <v>#N/A</v>
      </c>
    </row>
    <row r="39">
      <c r="A39" s="254" t="s">
        <v>19463</v>
      </c>
      <c r="B39" s="25"/>
      <c r="C39" s="25" t="s">
        <v>19416</v>
      </c>
      <c r="D39" s="514">
        <v>0.8</v>
      </c>
      <c r="E39" s="514">
        <v>0.8</v>
      </c>
      <c r="F39" s="134" t="s">
        <v>1656</v>
      </c>
      <c r="M39" s="11" t="s">
        <v>1765</v>
      </c>
      <c r="N39" s="11">
        <v>986.0</v>
      </c>
      <c r="O39" s="11">
        <v>6777.0</v>
      </c>
      <c r="R39" s="127" t="s">
        <v>19463</v>
      </c>
      <c r="S39" s="35">
        <v>14337.0</v>
      </c>
      <c r="T39" s="35">
        <v>136.0</v>
      </c>
      <c r="U39" s="36" t="e">
        <v>#N/A</v>
      </c>
    </row>
    <row r="40">
      <c r="A40" s="254" t="s">
        <v>19464</v>
      </c>
      <c r="B40" s="25"/>
      <c r="C40" s="25" t="s">
        <v>19416</v>
      </c>
      <c r="D40" s="514">
        <v>0.8</v>
      </c>
      <c r="E40" s="514">
        <v>0.8</v>
      </c>
      <c r="F40" s="134" t="s">
        <v>1656</v>
      </c>
      <c r="M40" s="11" t="s">
        <v>1766</v>
      </c>
      <c r="N40" s="11">
        <v>6779.0</v>
      </c>
      <c r="R40" s="127" t="s">
        <v>19464</v>
      </c>
      <c r="S40" s="35">
        <v>7158.0</v>
      </c>
      <c r="T40" s="36"/>
      <c r="U40" s="36" t="e">
        <v>#N/A</v>
      </c>
    </row>
    <row r="41">
      <c r="A41" s="254" t="s">
        <v>19465</v>
      </c>
      <c r="B41" s="25"/>
      <c r="C41" s="25" t="s">
        <v>19416</v>
      </c>
      <c r="D41" s="514">
        <v>0.8</v>
      </c>
      <c r="E41" s="514">
        <v>0.8</v>
      </c>
      <c r="F41" s="134" t="s">
        <v>1656</v>
      </c>
      <c r="R41" s="125" t="s">
        <v>19465</v>
      </c>
      <c r="S41" s="11">
        <v>7033.0</v>
      </c>
      <c r="U41" s="18">
        <v>1.0</v>
      </c>
    </row>
    <row r="42">
      <c r="A42" s="254" t="s">
        <v>19466</v>
      </c>
      <c r="B42" s="25"/>
      <c r="C42" s="25" t="s">
        <v>19416</v>
      </c>
      <c r="D42" s="514">
        <v>0.8</v>
      </c>
      <c r="E42" s="514">
        <v>0.8</v>
      </c>
      <c r="F42" s="134" t="s">
        <v>1656</v>
      </c>
      <c r="R42" s="127" t="s">
        <v>19466</v>
      </c>
      <c r="S42" s="35">
        <v>6726.0</v>
      </c>
      <c r="T42" s="36"/>
      <c r="U42" s="36" t="e">
        <v>#N/A</v>
      </c>
    </row>
    <row r="43">
      <c r="A43" s="254" t="s">
        <v>19467</v>
      </c>
      <c r="B43" s="25"/>
      <c r="C43" s="25" t="s">
        <v>19416</v>
      </c>
      <c r="D43" s="514">
        <v>0.8</v>
      </c>
      <c r="E43" s="514">
        <v>0.8</v>
      </c>
      <c r="F43" s="134" t="s">
        <v>1656</v>
      </c>
      <c r="R43" s="127" t="s">
        <v>19467</v>
      </c>
      <c r="S43" s="35">
        <v>6726.0</v>
      </c>
      <c r="T43" s="36"/>
      <c r="U43" s="36" t="e">
        <v>#N/A</v>
      </c>
    </row>
    <row r="44">
      <c r="A44" s="254" t="s">
        <v>19468</v>
      </c>
      <c r="B44" s="25"/>
      <c r="C44" s="25" t="s">
        <v>19416</v>
      </c>
      <c r="D44" s="514">
        <v>0.8</v>
      </c>
      <c r="E44" s="514">
        <v>0.8</v>
      </c>
      <c r="F44" s="134" t="s">
        <v>1656</v>
      </c>
      <c r="R44" s="127" t="s">
        <v>19468</v>
      </c>
      <c r="S44" s="35">
        <v>9307.0</v>
      </c>
      <c r="T44" s="36"/>
      <c r="U44" s="36" t="e">
        <v>#N/A</v>
      </c>
    </row>
    <row r="45">
      <c r="A45" s="254" t="s">
        <v>19469</v>
      </c>
      <c r="B45" s="25">
        <v>6706.0</v>
      </c>
      <c r="C45" s="25" t="s">
        <v>19416</v>
      </c>
      <c r="D45" s="514">
        <v>0.8</v>
      </c>
      <c r="E45" s="514">
        <v>0.8</v>
      </c>
      <c r="F45" s="134" t="s">
        <v>1656</v>
      </c>
      <c r="R45" s="127" t="s">
        <v>19469</v>
      </c>
      <c r="S45" s="35">
        <v>7055.0</v>
      </c>
      <c r="T45" s="36"/>
      <c r="U45" s="36" t="e">
        <v>#N/A</v>
      </c>
    </row>
    <row r="46">
      <c r="A46" s="254" t="s">
        <v>19470</v>
      </c>
      <c r="B46" s="25">
        <v>6706.0</v>
      </c>
      <c r="C46" s="25" t="s">
        <v>19416</v>
      </c>
      <c r="D46" s="514">
        <v>0.8</v>
      </c>
      <c r="E46" s="514">
        <v>0.8</v>
      </c>
      <c r="F46" s="134" t="s">
        <v>1656</v>
      </c>
      <c r="R46" s="127" t="s">
        <v>19470</v>
      </c>
      <c r="S46" s="35">
        <v>7040.0</v>
      </c>
      <c r="T46" s="36"/>
      <c r="U46" s="36" t="e">
        <v>#N/A</v>
      </c>
    </row>
    <row r="47">
      <c r="A47" s="254" t="s">
        <v>19471</v>
      </c>
      <c r="B47" s="25">
        <v>6706.0</v>
      </c>
      <c r="C47" s="25" t="s">
        <v>19416</v>
      </c>
      <c r="D47" s="514">
        <v>0.8</v>
      </c>
      <c r="E47" s="514">
        <v>0.8</v>
      </c>
      <c r="F47" s="134" t="s">
        <v>1656</v>
      </c>
      <c r="R47" s="127" t="s">
        <v>19471</v>
      </c>
      <c r="S47" s="35">
        <v>7100.0</v>
      </c>
      <c r="T47" s="36"/>
      <c r="U47" s="36" t="e">
        <v>#N/A</v>
      </c>
    </row>
    <row r="48">
      <c r="A48" s="254" t="s">
        <v>19472</v>
      </c>
      <c r="B48" s="25"/>
      <c r="C48" s="25" t="s">
        <v>19416</v>
      </c>
      <c r="D48" s="514">
        <v>0.8</v>
      </c>
      <c r="E48" s="514">
        <v>0.8</v>
      </c>
      <c r="F48" s="134" t="s">
        <v>1656</v>
      </c>
      <c r="R48" s="127" t="s">
        <v>19472</v>
      </c>
      <c r="S48" s="35">
        <v>10141.0</v>
      </c>
      <c r="T48" s="36"/>
      <c r="U48" s="36" t="e">
        <v>#N/A</v>
      </c>
    </row>
    <row r="49">
      <c r="A49" s="254" t="s">
        <v>19473</v>
      </c>
      <c r="B49" s="25"/>
      <c r="C49" s="25" t="s">
        <v>19416</v>
      </c>
      <c r="D49" s="514">
        <v>0.8</v>
      </c>
      <c r="E49" s="514">
        <v>0.8</v>
      </c>
      <c r="F49" s="134" t="s">
        <v>1656</v>
      </c>
      <c r="R49" s="127" t="s">
        <v>19473</v>
      </c>
      <c r="S49" s="35">
        <v>7113.0</v>
      </c>
      <c r="T49" s="36"/>
      <c r="U49" s="36" t="e">
        <v>#N/A</v>
      </c>
    </row>
    <row r="50">
      <c r="A50" s="254" t="s">
        <v>19474</v>
      </c>
      <c r="B50" s="25"/>
      <c r="C50" s="25" t="s">
        <v>19416</v>
      </c>
      <c r="D50" s="514">
        <v>0.8</v>
      </c>
      <c r="E50" s="514">
        <v>0.8</v>
      </c>
      <c r="F50" s="134" t="s">
        <v>1656</v>
      </c>
      <c r="R50" s="127" t="s">
        <v>19474</v>
      </c>
      <c r="S50" s="35">
        <v>6893.0</v>
      </c>
      <c r="T50" s="36"/>
      <c r="U50" s="36" t="e">
        <v>#N/A</v>
      </c>
    </row>
    <row r="51">
      <c r="A51" s="254" t="s">
        <v>19475</v>
      </c>
      <c r="B51" s="25"/>
      <c r="C51" s="25" t="s">
        <v>19416</v>
      </c>
      <c r="D51" s="514">
        <v>0.8</v>
      </c>
      <c r="E51" s="514">
        <v>0.8</v>
      </c>
      <c r="F51" s="134" t="s">
        <v>1656</v>
      </c>
      <c r="R51" s="127" t="s">
        <v>19475</v>
      </c>
      <c r="S51" s="35">
        <v>7055.0</v>
      </c>
      <c r="T51" s="36"/>
      <c r="U51" s="36" t="e">
        <v>#N/A</v>
      </c>
    </row>
    <row r="52">
      <c r="A52" s="254" t="s">
        <v>19476</v>
      </c>
      <c r="B52" s="252"/>
      <c r="C52" s="25" t="s">
        <v>19416</v>
      </c>
      <c r="D52" s="514">
        <v>0.8</v>
      </c>
      <c r="E52" s="514">
        <v>0.8</v>
      </c>
      <c r="F52" s="134" t="s">
        <v>1656</v>
      </c>
      <c r="R52" s="127" t="s">
        <v>19476</v>
      </c>
      <c r="S52" s="124">
        <v>6697.0</v>
      </c>
      <c r="T52" s="36"/>
      <c r="U52" s="36" t="e">
        <v>#N/A</v>
      </c>
    </row>
    <row r="53">
      <c r="A53" s="254" t="s">
        <v>19477</v>
      </c>
      <c r="B53" s="252"/>
      <c r="C53" s="25" t="s">
        <v>19416</v>
      </c>
      <c r="D53" s="514">
        <v>0.8</v>
      </c>
      <c r="E53" s="514">
        <v>0.8</v>
      </c>
      <c r="F53" s="134" t="s">
        <v>1656</v>
      </c>
      <c r="R53" s="127" t="s">
        <v>19477</v>
      </c>
      <c r="S53" s="124">
        <v>6697.0</v>
      </c>
      <c r="T53" s="36"/>
      <c r="U53" s="36" t="e">
        <v>#N/A</v>
      </c>
    </row>
    <row r="54">
      <c r="A54" s="254" t="s">
        <v>19478</v>
      </c>
      <c r="B54" s="25">
        <v>14529.0</v>
      </c>
      <c r="C54" s="25" t="s">
        <v>19416</v>
      </c>
      <c r="D54" s="514">
        <v>0.8</v>
      </c>
      <c r="E54" s="514">
        <v>0.8</v>
      </c>
      <c r="F54" s="134" t="s">
        <v>1656</v>
      </c>
      <c r="R54" s="127" t="s">
        <v>19478</v>
      </c>
      <c r="S54" s="35">
        <v>7083.0</v>
      </c>
      <c r="T54" s="36"/>
      <c r="U54" s="36" t="e">
        <v>#N/A</v>
      </c>
    </row>
    <row r="55">
      <c r="A55" s="254" t="s">
        <v>19479</v>
      </c>
      <c r="B55" s="25"/>
      <c r="C55" s="25" t="s">
        <v>19416</v>
      </c>
      <c r="D55" s="514">
        <v>0.8</v>
      </c>
      <c r="E55" s="514">
        <v>0.8</v>
      </c>
      <c r="F55" s="134" t="s">
        <v>1656</v>
      </c>
      <c r="R55" s="127" t="s">
        <v>19479</v>
      </c>
      <c r="S55" s="35">
        <v>2345.0</v>
      </c>
      <c r="T55" s="36"/>
      <c r="U55" s="36" t="e">
        <v>#N/A</v>
      </c>
    </row>
    <row r="56">
      <c r="A56" s="254" t="s">
        <v>19480</v>
      </c>
      <c r="B56" s="25"/>
      <c r="C56" s="25" t="s">
        <v>19416</v>
      </c>
      <c r="D56" s="514">
        <v>0.8</v>
      </c>
      <c r="E56" s="514">
        <v>0.8</v>
      </c>
      <c r="F56" s="134" t="s">
        <v>1656</v>
      </c>
      <c r="R56" s="127" t="s">
        <v>19480</v>
      </c>
      <c r="S56" s="35">
        <v>2345.0</v>
      </c>
      <c r="T56" s="36"/>
      <c r="U56" s="36" t="e">
        <v>#N/A</v>
      </c>
    </row>
    <row r="57">
      <c r="A57" s="254" t="s">
        <v>19481</v>
      </c>
      <c r="B57" s="16">
        <v>14465.0</v>
      </c>
      <c r="C57" s="25" t="s">
        <v>19416</v>
      </c>
      <c r="D57" s="74">
        <v>0.9</v>
      </c>
      <c r="E57" s="74">
        <v>0.9</v>
      </c>
      <c r="F57" s="134" t="s">
        <v>1656</v>
      </c>
      <c r="R57" s="127" t="s">
        <v>19481</v>
      </c>
      <c r="S57" s="35">
        <v>2345.0</v>
      </c>
      <c r="T57" s="36"/>
      <c r="U57" s="36" t="e">
        <v>#N/A</v>
      </c>
    </row>
    <row r="58">
      <c r="A58" s="254" t="s">
        <v>19482</v>
      </c>
      <c r="B58" s="25"/>
      <c r="C58" s="25" t="s">
        <v>19416</v>
      </c>
      <c r="D58" s="514">
        <v>0.8</v>
      </c>
      <c r="E58" s="514">
        <v>0.8</v>
      </c>
      <c r="F58" s="134" t="s">
        <v>1656</v>
      </c>
      <c r="R58" s="127" t="s">
        <v>19482</v>
      </c>
      <c r="S58" s="35">
        <v>2345.0</v>
      </c>
      <c r="T58" s="36"/>
      <c r="U58" s="36" t="e">
        <v>#N/A</v>
      </c>
    </row>
    <row r="59">
      <c r="A59" s="254" t="s">
        <v>19483</v>
      </c>
      <c r="B59" s="25"/>
      <c r="C59" s="25" t="s">
        <v>19416</v>
      </c>
      <c r="D59" s="514">
        <v>0.8</v>
      </c>
      <c r="E59" s="514">
        <v>0.8</v>
      </c>
      <c r="F59" s="134" t="s">
        <v>1656</v>
      </c>
      <c r="R59" s="127" t="s">
        <v>19483</v>
      </c>
      <c r="S59" s="35">
        <v>2345.0</v>
      </c>
      <c r="T59" s="36"/>
      <c r="U59" s="36" t="e">
        <v>#N/A</v>
      </c>
    </row>
    <row r="60">
      <c r="A60" s="254" t="s">
        <v>19484</v>
      </c>
      <c r="B60" s="25"/>
      <c r="C60" s="25" t="s">
        <v>19416</v>
      </c>
      <c r="D60" s="514">
        <v>0.8</v>
      </c>
      <c r="E60" s="514">
        <v>0.8</v>
      </c>
      <c r="F60" s="134" t="s">
        <v>1656</v>
      </c>
      <c r="R60" s="127" t="s">
        <v>19484</v>
      </c>
      <c r="S60" s="35">
        <v>2345.0</v>
      </c>
      <c r="T60" s="36"/>
      <c r="U60" s="36" t="e">
        <v>#N/A</v>
      </c>
    </row>
    <row r="61">
      <c r="A61" s="254" t="s">
        <v>19485</v>
      </c>
      <c r="B61" s="25"/>
      <c r="C61" s="25" t="s">
        <v>19416</v>
      </c>
      <c r="D61" s="514">
        <v>0.8</v>
      </c>
      <c r="E61" s="514">
        <v>0.8</v>
      </c>
      <c r="F61" s="134" t="s">
        <v>1656</v>
      </c>
      <c r="R61" s="127" t="s">
        <v>19485</v>
      </c>
      <c r="S61" s="35">
        <v>2345.0</v>
      </c>
      <c r="T61" s="36"/>
      <c r="U61" s="36" t="e">
        <v>#N/A</v>
      </c>
    </row>
    <row r="62">
      <c r="A62" s="254" t="s">
        <v>19486</v>
      </c>
      <c r="B62" s="25"/>
      <c r="C62" s="25" t="s">
        <v>19416</v>
      </c>
      <c r="D62" s="514">
        <v>0.8</v>
      </c>
      <c r="E62" s="514">
        <v>0.8</v>
      </c>
      <c r="F62" s="134" t="s">
        <v>1656</v>
      </c>
      <c r="R62" s="127" t="s">
        <v>19486</v>
      </c>
      <c r="S62" s="35">
        <v>2345.0</v>
      </c>
      <c r="T62" s="36"/>
      <c r="U62" s="36" t="e">
        <v>#N/A</v>
      </c>
    </row>
    <row r="63">
      <c r="A63" s="254" t="s">
        <v>19487</v>
      </c>
      <c r="B63" s="25"/>
      <c r="C63" s="25" t="s">
        <v>19416</v>
      </c>
      <c r="D63" s="514">
        <v>0.8</v>
      </c>
      <c r="E63" s="514">
        <v>0.8</v>
      </c>
      <c r="F63" s="134" t="s">
        <v>1656</v>
      </c>
      <c r="R63" s="127" t="s">
        <v>19487</v>
      </c>
      <c r="S63" s="35">
        <v>6924.0</v>
      </c>
      <c r="T63" s="35">
        <v>2345.0</v>
      </c>
      <c r="U63" s="36" t="e">
        <v>#N/A</v>
      </c>
    </row>
    <row r="64">
      <c r="A64" s="254" t="s">
        <v>19488</v>
      </c>
      <c r="B64" s="25"/>
      <c r="C64" s="25" t="s">
        <v>19416</v>
      </c>
      <c r="D64" s="514">
        <v>0.8</v>
      </c>
      <c r="E64" s="514">
        <v>0.8</v>
      </c>
      <c r="F64" s="134" t="s">
        <v>1656</v>
      </c>
      <c r="R64" s="127" t="s">
        <v>19488</v>
      </c>
      <c r="S64" s="35">
        <v>2345.0</v>
      </c>
      <c r="T64" s="36"/>
      <c r="U64" s="36" t="e">
        <v>#N/A</v>
      </c>
    </row>
    <row r="65">
      <c r="A65" s="254" t="s">
        <v>19489</v>
      </c>
      <c r="B65" s="25"/>
      <c r="C65" s="25" t="s">
        <v>19416</v>
      </c>
      <c r="D65" s="514">
        <v>0.8</v>
      </c>
      <c r="E65" s="514">
        <v>0.8</v>
      </c>
      <c r="F65" s="134" t="s">
        <v>1656</v>
      </c>
      <c r="R65" s="127" t="s">
        <v>19489</v>
      </c>
      <c r="S65" s="35">
        <v>7129.0</v>
      </c>
      <c r="T65" s="36"/>
      <c r="U65" s="36" t="e">
        <v>#N/A</v>
      </c>
    </row>
    <row r="66">
      <c r="A66" s="254" t="s">
        <v>19490</v>
      </c>
      <c r="B66" s="25"/>
      <c r="C66" s="25" t="s">
        <v>19416</v>
      </c>
      <c r="D66" s="514">
        <v>0.8</v>
      </c>
      <c r="E66" s="514">
        <v>0.8</v>
      </c>
      <c r="F66" s="134" t="s">
        <v>1656</v>
      </c>
      <c r="R66" s="127" t="s">
        <v>19490</v>
      </c>
      <c r="S66" s="35">
        <v>14065.0</v>
      </c>
      <c r="T66" s="36"/>
      <c r="U66" s="36" t="e">
        <v>#N/A</v>
      </c>
    </row>
    <row r="67">
      <c r="A67" s="254" t="s">
        <v>19491</v>
      </c>
      <c r="B67" s="25"/>
      <c r="C67" s="25" t="s">
        <v>19416</v>
      </c>
      <c r="D67" s="514">
        <v>0.8</v>
      </c>
      <c r="E67" s="514">
        <v>0.8</v>
      </c>
      <c r="F67" s="134" t="s">
        <v>1656</v>
      </c>
      <c r="R67" s="127" t="s">
        <v>19491</v>
      </c>
      <c r="S67" s="35">
        <v>7105.0</v>
      </c>
      <c r="T67" s="36"/>
      <c r="U67" s="36" t="e">
        <v>#N/A</v>
      </c>
    </row>
    <row r="68">
      <c r="A68" s="254" t="s">
        <v>19492</v>
      </c>
      <c r="B68" s="25"/>
      <c r="C68" s="25" t="s">
        <v>19416</v>
      </c>
      <c r="D68" s="514">
        <v>0.8</v>
      </c>
      <c r="E68" s="514">
        <v>0.8</v>
      </c>
      <c r="F68" s="134" t="s">
        <v>1656</v>
      </c>
      <c r="R68" s="127" t="s">
        <v>19492</v>
      </c>
      <c r="S68" s="35">
        <v>3689.0</v>
      </c>
      <c r="T68" s="36"/>
      <c r="U68" s="36" t="e">
        <v>#N/A</v>
      </c>
    </row>
    <row r="69">
      <c r="A69" s="254" t="s">
        <v>19493</v>
      </c>
      <c r="B69" s="25"/>
      <c r="C69" s="25" t="s">
        <v>19416</v>
      </c>
      <c r="D69" s="514">
        <v>0.8</v>
      </c>
      <c r="E69" s="514">
        <v>0.8</v>
      </c>
      <c r="F69" s="134" t="s">
        <v>1656</v>
      </c>
      <c r="R69" s="127" t="s">
        <v>19493</v>
      </c>
      <c r="S69" s="35">
        <v>7104.0</v>
      </c>
      <c r="T69" s="36"/>
      <c r="U69" s="36" t="e">
        <v>#N/A</v>
      </c>
    </row>
    <row r="70">
      <c r="A70" s="254" t="s">
        <v>19494</v>
      </c>
      <c r="B70" s="25"/>
      <c r="C70" s="25" t="s">
        <v>19416</v>
      </c>
      <c r="D70" s="514">
        <v>0.8</v>
      </c>
      <c r="E70" s="514">
        <v>0.8</v>
      </c>
      <c r="F70" s="134" t="s">
        <v>1656</v>
      </c>
      <c r="R70" s="127" t="s">
        <v>19494</v>
      </c>
      <c r="S70" s="35">
        <v>8199.0</v>
      </c>
      <c r="T70" s="36"/>
      <c r="U70" s="36" t="e">
        <v>#N/A</v>
      </c>
    </row>
    <row r="71">
      <c r="A71" s="254" t="s">
        <v>19495</v>
      </c>
      <c r="B71" s="25"/>
      <c r="C71" s="25" t="s">
        <v>19416</v>
      </c>
      <c r="D71" s="514">
        <v>0.8</v>
      </c>
      <c r="E71" s="514">
        <v>0.8</v>
      </c>
      <c r="F71" s="134" t="s">
        <v>1656</v>
      </c>
      <c r="R71" s="127" t="s">
        <v>19495</v>
      </c>
      <c r="S71" s="35">
        <v>7132.0</v>
      </c>
      <c r="T71" s="36"/>
      <c r="U71" s="36" t="e">
        <v>#N/A</v>
      </c>
    </row>
    <row r="72">
      <c r="A72" s="254" t="s">
        <v>19496</v>
      </c>
      <c r="B72" s="25"/>
      <c r="C72" s="25" t="s">
        <v>19416</v>
      </c>
      <c r="D72" s="514">
        <v>0.8</v>
      </c>
      <c r="E72" s="514">
        <v>0.8</v>
      </c>
      <c r="F72" s="134" t="s">
        <v>1656</v>
      </c>
      <c r="R72" s="127" t="s">
        <v>19496</v>
      </c>
      <c r="S72" s="35">
        <v>6891.0</v>
      </c>
      <c r="T72" s="36"/>
      <c r="U72" s="36" t="e">
        <v>#N/A</v>
      </c>
    </row>
    <row r="73">
      <c r="A73" s="254" t="s">
        <v>19497</v>
      </c>
      <c r="B73" s="25"/>
      <c r="C73" s="25" t="s">
        <v>19416</v>
      </c>
      <c r="D73" s="514">
        <v>0.8</v>
      </c>
      <c r="E73" s="514">
        <v>0.8</v>
      </c>
      <c r="F73" s="134" t="s">
        <v>1656</v>
      </c>
      <c r="R73" s="127" t="s">
        <v>19497</v>
      </c>
      <c r="S73" s="35">
        <v>6669.0</v>
      </c>
      <c r="T73" s="36"/>
      <c r="U73" s="36" t="e">
        <v>#N/A</v>
      </c>
    </row>
    <row r="74">
      <c r="A74" s="254" t="s">
        <v>19498</v>
      </c>
      <c r="B74" s="25"/>
      <c r="C74" s="25" t="s">
        <v>19416</v>
      </c>
      <c r="D74" s="514">
        <v>0.8</v>
      </c>
      <c r="E74" s="514">
        <v>0.8</v>
      </c>
      <c r="F74" s="134" t="s">
        <v>1656</v>
      </c>
      <c r="R74" s="127" t="s">
        <v>19498</v>
      </c>
      <c r="S74" s="35">
        <v>6669.0</v>
      </c>
      <c r="T74" s="36"/>
      <c r="U74" s="36" t="e">
        <v>#N/A</v>
      </c>
    </row>
    <row r="75">
      <c r="A75" s="254" t="s">
        <v>19499</v>
      </c>
      <c r="B75" s="25"/>
      <c r="C75" s="25" t="s">
        <v>19416</v>
      </c>
      <c r="D75" s="514">
        <v>0.8</v>
      </c>
      <c r="E75" s="514">
        <v>0.8</v>
      </c>
      <c r="F75" s="134" t="s">
        <v>1656</v>
      </c>
      <c r="R75" s="127" t="s">
        <v>19499</v>
      </c>
      <c r="S75" s="35">
        <v>6669.0</v>
      </c>
      <c r="T75" s="36"/>
      <c r="U75" s="36" t="e">
        <v>#N/A</v>
      </c>
    </row>
    <row r="76">
      <c r="A76" s="254" t="s">
        <v>19500</v>
      </c>
      <c r="B76" s="25"/>
      <c r="C76" s="25" t="s">
        <v>19416</v>
      </c>
      <c r="D76" s="514">
        <v>0.8</v>
      </c>
      <c r="E76" s="514">
        <v>0.8</v>
      </c>
      <c r="F76" s="134" t="s">
        <v>1656</v>
      </c>
      <c r="R76" s="127" t="s">
        <v>19500</v>
      </c>
      <c r="S76" s="35">
        <v>7157.0</v>
      </c>
      <c r="T76" s="36"/>
      <c r="U76" s="36" t="e">
        <v>#N/A</v>
      </c>
    </row>
    <row r="77">
      <c r="A77" s="254" t="s">
        <v>19501</v>
      </c>
      <c r="B77" s="25"/>
      <c r="C77" s="25" t="s">
        <v>19416</v>
      </c>
      <c r="D77" s="514">
        <v>0.8</v>
      </c>
      <c r="E77" s="514">
        <v>0.8</v>
      </c>
      <c r="F77" s="134" t="s">
        <v>1656</v>
      </c>
      <c r="R77" s="127" t="s">
        <v>19501</v>
      </c>
      <c r="S77" s="35">
        <v>6936.0</v>
      </c>
      <c r="T77" s="36"/>
      <c r="U77" s="36" t="e">
        <v>#N/A</v>
      </c>
    </row>
    <row r="78">
      <c r="A78" s="254" t="s">
        <v>19502</v>
      </c>
      <c r="B78" s="25"/>
      <c r="C78" s="25" t="s">
        <v>19416</v>
      </c>
      <c r="D78" s="514">
        <v>0.8</v>
      </c>
      <c r="E78" s="514">
        <v>0.8</v>
      </c>
      <c r="F78" s="134" t="s">
        <v>1656</v>
      </c>
      <c r="R78" s="127" t="s">
        <v>19502</v>
      </c>
      <c r="S78" s="35">
        <v>7132.0</v>
      </c>
      <c r="T78" s="36"/>
      <c r="U78" s="36" t="e">
        <v>#N/A</v>
      </c>
    </row>
    <row r="79">
      <c r="A79" s="254" t="s">
        <v>19503</v>
      </c>
      <c r="B79" s="25"/>
      <c r="C79" s="25" t="s">
        <v>19416</v>
      </c>
      <c r="D79" s="514">
        <v>0.8</v>
      </c>
      <c r="E79" s="514">
        <v>0.8</v>
      </c>
      <c r="F79" s="134" t="s">
        <v>1656</v>
      </c>
      <c r="R79" s="127" t="s">
        <v>19503</v>
      </c>
      <c r="S79" s="35">
        <v>819.0</v>
      </c>
      <c r="T79" s="36"/>
      <c r="U79" s="36" t="e">
        <v>#N/A</v>
      </c>
    </row>
    <row r="80">
      <c r="A80" s="254" t="s">
        <v>19504</v>
      </c>
      <c r="B80" s="25"/>
      <c r="C80" s="25" t="s">
        <v>19416</v>
      </c>
      <c r="D80" s="514">
        <v>0.8</v>
      </c>
      <c r="E80" s="514">
        <v>0.8</v>
      </c>
      <c r="F80" s="134" t="s">
        <v>1656</v>
      </c>
      <c r="R80" s="127" t="s">
        <v>19504</v>
      </c>
      <c r="S80" s="35">
        <v>2345.0</v>
      </c>
      <c r="T80" s="36"/>
      <c r="U80" s="36" t="e">
        <v>#N/A</v>
      </c>
    </row>
    <row r="81">
      <c r="A81" s="254" t="s">
        <v>19505</v>
      </c>
      <c r="B81" s="25"/>
      <c r="C81" s="25" t="s">
        <v>19416</v>
      </c>
      <c r="D81" s="514">
        <v>0.8</v>
      </c>
      <c r="E81" s="514">
        <v>0.8</v>
      </c>
      <c r="F81" s="134" t="s">
        <v>1656</v>
      </c>
      <c r="R81" s="127" t="s">
        <v>19505</v>
      </c>
      <c r="S81" s="35">
        <v>2345.0</v>
      </c>
      <c r="T81" s="36"/>
      <c r="U81" s="36" t="e">
        <v>#N/A</v>
      </c>
    </row>
    <row r="82">
      <c r="A82" s="254" t="s">
        <v>19506</v>
      </c>
      <c r="B82" s="25">
        <v>986.0</v>
      </c>
      <c r="C82" s="25" t="s">
        <v>19416</v>
      </c>
      <c r="D82" s="105">
        <v>0.85</v>
      </c>
      <c r="E82" s="105">
        <v>0.85</v>
      </c>
      <c r="F82" s="134" t="s">
        <v>1656</v>
      </c>
      <c r="R82" s="127" t="s">
        <v>19506</v>
      </c>
      <c r="S82" s="35">
        <v>2345.0</v>
      </c>
      <c r="T82" s="36"/>
      <c r="U82" s="36" t="e">
        <v>#N/A</v>
      </c>
    </row>
    <row r="83">
      <c r="A83" s="254" t="s">
        <v>19507</v>
      </c>
      <c r="B83" s="25"/>
      <c r="C83" s="25" t="s">
        <v>19416</v>
      </c>
      <c r="D83" s="514">
        <v>0.8</v>
      </c>
      <c r="E83" s="514">
        <v>0.8</v>
      </c>
      <c r="F83" s="134" t="s">
        <v>1656</v>
      </c>
      <c r="R83" s="127" t="s">
        <v>19507</v>
      </c>
      <c r="S83" s="35">
        <v>2345.0</v>
      </c>
      <c r="T83" s="36"/>
      <c r="U83" s="36" t="e">
        <v>#N/A</v>
      </c>
    </row>
    <row r="84">
      <c r="A84" s="254" t="s">
        <v>19508</v>
      </c>
      <c r="B84" s="25"/>
      <c r="C84" s="25" t="s">
        <v>19416</v>
      </c>
      <c r="D84" s="514">
        <v>0.8</v>
      </c>
      <c r="E84" s="514">
        <v>0.8</v>
      </c>
      <c r="F84" s="134" t="s">
        <v>1656</v>
      </c>
      <c r="R84" s="127" t="s">
        <v>19508</v>
      </c>
      <c r="S84" s="35">
        <v>10856.0</v>
      </c>
      <c r="T84" s="36"/>
      <c r="U84" s="36" t="e">
        <v>#N/A</v>
      </c>
    </row>
    <row r="85">
      <c r="A85" s="254" t="s">
        <v>19509</v>
      </c>
      <c r="B85" s="25"/>
      <c r="C85" s="25" t="s">
        <v>19416</v>
      </c>
      <c r="D85" s="514">
        <v>0.8</v>
      </c>
      <c r="E85" s="514">
        <v>0.8</v>
      </c>
      <c r="F85" s="134" t="s">
        <v>1656</v>
      </c>
      <c r="R85" s="127" t="s">
        <v>19509</v>
      </c>
      <c r="S85" s="35">
        <v>9363.0</v>
      </c>
      <c r="T85" s="36"/>
      <c r="U85" s="36" t="e">
        <v>#N/A</v>
      </c>
    </row>
    <row r="86">
      <c r="A86" s="254" t="s">
        <v>19510</v>
      </c>
      <c r="B86" s="25"/>
      <c r="C86" s="25" t="s">
        <v>19416</v>
      </c>
      <c r="D86" s="514">
        <v>0.8</v>
      </c>
      <c r="E86" s="514">
        <v>0.8</v>
      </c>
      <c r="F86" s="134" t="s">
        <v>1656</v>
      </c>
      <c r="R86" s="127" t="s">
        <v>19510</v>
      </c>
      <c r="S86" s="35">
        <v>9363.0</v>
      </c>
      <c r="T86" s="36"/>
      <c r="U86" s="36" t="e">
        <v>#N/A</v>
      </c>
    </row>
    <row r="87">
      <c r="A87" s="254" t="s">
        <v>19511</v>
      </c>
      <c r="B87" s="25">
        <v>986.0</v>
      </c>
      <c r="C87" s="25" t="s">
        <v>19416</v>
      </c>
      <c r="D87" s="105">
        <v>0.85</v>
      </c>
      <c r="E87" s="105">
        <v>0.85</v>
      </c>
      <c r="F87" s="134" t="s">
        <v>1656</v>
      </c>
      <c r="R87" s="127" t="s">
        <v>19511</v>
      </c>
      <c r="S87" s="35">
        <v>7073.0</v>
      </c>
      <c r="T87" s="36"/>
      <c r="U87" s="36" t="e">
        <v>#N/A</v>
      </c>
    </row>
    <row r="88">
      <c r="A88" s="254" t="s">
        <v>19512</v>
      </c>
      <c r="B88" s="25"/>
      <c r="C88" s="25" t="s">
        <v>19416</v>
      </c>
      <c r="D88" s="514">
        <v>0.8</v>
      </c>
      <c r="E88" s="514">
        <v>0.8</v>
      </c>
      <c r="F88" s="134" t="s">
        <v>1656</v>
      </c>
      <c r="R88" s="127" t="s">
        <v>19512</v>
      </c>
      <c r="S88" s="35">
        <v>7183.0</v>
      </c>
      <c r="T88" s="36"/>
      <c r="U88" s="36" t="e">
        <v>#N/A</v>
      </c>
    </row>
    <row r="89">
      <c r="A89" s="254" t="s">
        <v>19513</v>
      </c>
      <c r="B89" s="25"/>
      <c r="C89" s="25" t="s">
        <v>19416</v>
      </c>
      <c r="D89" s="514">
        <v>0.8</v>
      </c>
      <c r="E89" s="514">
        <v>0.8</v>
      </c>
      <c r="F89" s="134" t="s">
        <v>1656</v>
      </c>
      <c r="R89" s="127" t="s">
        <v>19513</v>
      </c>
      <c r="S89" s="35">
        <v>7186.0</v>
      </c>
      <c r="T89" s="36"/>
      <c r="U89" s="36" t="e">
        <v>#N/A</v>
      </c>
    </row>
    <row r="90">
      <c r="A90" s="254" t="s">
        <v>19514</v>
      </c>
      <c r="B90" s="42">
        <v>12553.0</v>
      </c>
      <c r="C90" s="25" t="s">
        <v>19416</v>
      </c>
      <c r="D90" s="514">
        <v>0.8</v>
      </c>
      <c r="E90" s="514">
        <v>0.8</v>
      </c>
      <c r="F90" s="134" t="s">
        <v>1656</v>
      </c>
      <c r="R90" s="127" t="s">
        <v>19514</v>
      </c>
      <c r="S90" s="43">
        <v>12553.0</v>
      </c>
      <c r="T90" s="36"/>
      <c r="U90" s="36" t="e">
        <v>#N/A</v>
      </c>
    </row>
    <row r="91">
      <c r="A91" s="254" t="s">
        <v>19515</v>
      </c>
      <c r="B91" s="25">
        <v>986.0</v>
      </c>
      <c r="C91" s="25" t="s">
        <v>19416</v>
      </c>
      <c r="D91" s="105">
        <v>0.85</v>
      </c>
      <c r="E91" s="105">
        <v>0.85</v>
      </c>
      <c r="F91" s="134" t="s">
        <v>1656</v>
      </c>
      <c r="R91" s="127" t="s">
        <v>19515</v>
      </c>
      <c r="S91" s="35">
        <v>6133.0</v>
      </c>
      <c r="T91" s="36"/>
      <c r="U91" s="36" t="e">
        <v>#N/A</v>
      </c>
    </row>
    <row r="92">
      <c r="A92" s="254" t="s">
        <v>17925</v>
      </c>
      <c r="B92" s="25">
        <v>7010.0</v>
      </c>
      <c r="C92" s="25" t="s">
        <v>19416</v>
      </c>
      <c r="D92" s="514">
        <v>0.8</v>
      </c>
      <c r="E92" s="514">
        <v>0.8</v>
      </c>
      <c r="F92" s="134" t="s">
        <v>1656</v>
      </c>
      <c r="R92" s="127" t="s">
        <v>17925</v>
      </c>
      <c r="S92" s="35">
        <v>7010.0</v>
      </c>
      <c r="T92" s="36"/>
      <c r="U92" s="36" t="e">
        <v>#N/A</v>
      </c>
    </row>
    <row r="93">
      <c r="A93" s="25" t="s">
        <v>17926</v>
      </c>
      <c r="B93" s="25">
        <v>7010.0</v>
      </c>
      <c r="C93" s="25" t="s">
        <v>19416</v>
      </c>
      <c r="D93" s="514">
        <v>0.8</v>
      </c>
      <c r="E93" s="514">
        <v>0.8</v>
      </c>
      <c r="F93" s="134" t="s">
        <v>1656</v>
      </c>
      <c r="R93" s="35" t="s">
        <v>17926</v>
      </c>
      <c r="S93" s="35">
        <v>7010.0</v>
      </c>
      <c r="T93" s="36"/>
      <c r="U93" s="36" t="e">
        <v>#N/A</v>
      </c>
    </row>
    <row r="94">
      <c r="A94" s="25" t="s">
        <v>17927</v>
      </c>
      <c r="B94" s="78"/>
      <c r="C94" s="25" t="s">
        <v>19416</v>
      </c>
      <c r="D94" s="514">
        <v>0.8</v>
      </c>
      <c r="E94" s="514">
        <v>0.8</v>
      </c>
      <c r="F94" s="134" t="s">
        <v>1656</v>
      </c>
      <c r="R94" s="35" t="s">
        <v>17927</v>
      </c>
      <c r="S94" s="36"/>
      <c r="T94" s="36"/>
      <c r="U94" s="36" t="e">
        <v>#N/A</v>
      </c>
    </row>
    <row r="95">
      <c r="A95" s="25" t="s">
        <v>17984</v>
      </c>
      <c r="B95" s="25">
        <v>8486.0</v>
      </c>
      <c r="C95" s="25" t="s">
        <v>19416</v>
      </c>
      <c r="D95" s="514">
        <v>0.8</v>
      </c>
      <c r="E95" s="514">
        <v>0.8</v>
      </c>
      <c r="F95" s="134" t="s">
        <v>1656</v>
      </c>
    </row>
    <row r="96">
      <c r="A96" s="25" t="s">
        <v>39</v>
      </c>
      <c r="B96" s="25">
        <v>6722.0</v>
      </c>
      <c r="C96" s="25" t="s">
        <v>19416</v>
      </c>
      <c r="D96" s="514">
        <v>0.8</v>
      </c>
      <c r="E96" s="514">
        <v>0.8</v>
      </c>
      <c r="F96" s="134" t="s">
        <v>1656</v>
      </c>
    </row>
    <row r="97">
      <c r="A97" s="25" t="s">
        <v>17985</v>
      </c>
      <c r="B97" s="25">
        <v>189.0</v>
      </c>
      <c r="C97" s="25" t="s">
        <v>19416</v>
      </c>
      <c r="D97" s="105">
        <v>0.85</v>
      </c>
      <c r="E97" s="105">
        <v>0.85</v>
      </c>
      <c r="F97" s="134" t="s">
        <v>1656</v>
      </c>
    </row>
    <row r="98">
      <c r="A98" s="689" t="s">
        <v>19516</v>
      </c>
      <c r="B98" s="188">
        <v>9768.0</v>
      </c>
      <c r="C98" s="25" t="s">
        <v>19416</v>
      </c>
      <c r="D98" s="514">
        <v>0.8</v>
      </c>
      <c r="E98" s="514">
        <v>0.8</v>
      </c>
      <c r="F98" s="134" t="s">
        <v>1656</v>
      </c>
      <c r="G98" s="25" t="s">
        <v>10980</v>
      </c>
    </row>
    <row r="99">
      <c r="A99" s="689" t="s">
        <v>19517</v>
      </c>
      <c r="B99" s="202">
        <v>8163.0</v>
      </c>
      <c r="C99" s="25" t="s">
        <v>19416</v>
      </c>
      <c r="D99" s="514">
        <v>0.8</v>
      </c>
      <c r="E99" s="514">
        <v>0.8</v>
      </c>
      <c r="F99" s="134" t="s">
        <v>1656</v>
      </c>
      <c r="G99" s="25" t="s">
        <v>10980</v>
      </c>
    </row>
    <row r="100">
      <c r="A100" s="689" t="s">
        <v>19518</v>
      </c>
      <c r="B100" s="188">
        <v>12277.0</v>
      </c>
      <c r="C100" s="25" t="s">
        <v>19416</v>
      </c>
      <c r="D100" s="514">
        <v>0.8</v>
      </c>
      <c r="E100" s="514">
        <v>0.8</v>
      </c>
      <c r="F100" s="134" t="s">
        <v>1656</v>
      </c>
      <c r="G100" s="25" t="s">
        <v>10980</v>
      </c>
    </row>
    <row r="101">
      <c r="A101" s="689" t="s">
        <v>19519</v>
      </c>
      <c r="B101" s="188">
        <v>10368.0</v>
      </c>
      <c r="C101" s="25" t="s">
        <v>19416</v>
      </c>
      <c r="D101" s="514">
        <v>0.8</v>
      </c>
      <c r="E101" s="514">
        <v>0.8</v>
      </c>
      <c r="F101" s="134" t="s">
        <v>1656</v>
      </c>
      <c r="G101" s="25" t="s">
        <v>10980</v>
      </c>
    </row>
    <row r="102">
      <c r="A102" s="689" t="s">
        <v>19520</v>
      </c>
      <c r="B102" s="72">
        <v>11271.0</v>
      </c>
      <c r="C102" s="25" t="s">
        <v>19416</v>
      </c>
      <c r="D102" s="514">
        <v>0.8</v>
      </c>
      <c r="E102" s="514">
        <v>0.8</v>
      </c>
      <c r="F102" s="134" t="s">
        <v>1656</v>
      </c>
      <c r="G102" s="25" t="s">
        <v>10980</v>
      </c>
    </row>
    <row r="103">
      <c r="A103" s="689" t="s">
        <v>19521</v>
      </c>
      <c r="B103" s="188">
        <v>10861.0</v>
      </c>
      <c r="C103" s="25" t="s">
        <v>19416</v>
      </c>
      <c r="D103" s="514">
        <v>0.8</v>
      </c>
      <c r="E103" s="514">
        <v>0.8</v>
      </c>
      <c r="F103" s="134" t="s">
        <v>1656</v>
      </c>
      <c r="G103" s="25" t="s">
        <v>10980</v>
      </c>
    </row>
    <row r="104">
      <c r="A104" s="689" t="s">
        <v>19522</v>
      </c>
      <c r="B104" s="51">
        <v>13988.0</v>
      </c>
      <c r="C104" s="25" t="s">
        <v>19416</v>
      </c>
      <c r="D104" s="514">
        <v>0.8</v>
      </c>
      <c r="E104" s="514">
        <v>0.8</v>
      </c>
      <c r="F104" s="134" t="s">
        <v>1656</v>
      </c>
      <c r="G104" s="25" t="s">
        <v>10980</v>
      </c>
    </row>
    <row r="105">
      <c r="A105" s="689" t="s">
        <v>19523</v>
      </c>
      <c r="B105" s="72">
        <v>8623.0</v>
      </c>
      <c r="C105" s="25" t="s">
        <v>19416</v>
      </c>
      <c r="D105" s="105">
        <v>0.85</v>
      </c>
      <c r="E105" s="105">
        <v>0.85</v>
      </c>
      <c r="F105" s="134" t="s">
        <v>1656</v>
      </c>
      <c r="G105" s="25" t="s">
        <v>10980</v>
      </c>
    </row>
    <row r="106">
      <c r="A106" s="689" t="s">
        <v>19524</v>
      </c>
      <c r="B106" s="51">
        <v>14031.0</v>
      </c>
      <c r="C106" s="25" t="s">
        <v>19416</v>
      </c>
      <c r="D106" s="514">
        <v>0.8</v>
      </c>
      <c r="E106" s="514">
        <v>0.8</v>
      </c>
      <c r="F106" s="134" t="s">
        <v>1656</v>
      </c>
      <c r="G106" s="25" t="s">
        <v>10980</v>
      </c>
    </row>
    <row r="107">
      <c r="A107" s="231"/>
      <c r="B107" s="231"/>
      <c r="C107" s="231"/>
      <c r="F107" s="10"/>
    </row>
    <row r="108">
      <c r="A108" s="231"/>
      <c r="B108" s="231"/>
      <c r="C108" s="231"/>
      <c r="F108" s="10"/>
    </row>
    <row r="109">
      <c r="A109" s="231"/>
      <c r="B109" s="231"/>
      <c r="C109" s="231"/>
      <c r="F109" s="10"/>
    </row>
    <row r="110">
      <c r="A110" s="231"/>
      <c r="B110" s="231"/>
      <c r="C110" s="231"/>
      <c r="F110" s="10"/>
    </row>
    <row r="111">
      <c r="A111" s="231"/>
      <c r="B111" s="231"/>
      <c r="C111" s="231"/>
      <c r="F111" s="10"/>
    </row>
    <row r="112">
      <c r="A112" s="231"/>
      <c r="B112" s="231"/>
      <c r="C112" s="231"/>
      <c r="F112" s="10"/>
    </row>
    <row r="113">
      <c r="A113" s="231"/>
      <c r="B113" s="231"/>
      <c r="C113" s="231"/>
      <c r="F113" s="10"/>
    </row>
    <row r="114">
      <c r="A114" s="231"/>
      <c r="B114" s="231"/>
      <c r="C114" s="231"/>
      <c r="F114" s="10"/>
    </row>
    <row r="115">
      <c r="A115" s="231"/>
      <c r="B115" s="231"/>
      <c r="C115" s="231"/>
      <c r="F115" s="10"/>
    </row>
    <row r="116">
      <c r="A116" s="231"/>
      <c r="B116" s="231"/>
      <c r="C116" s="231"/>
      <c r="F116" s="10"/>
    </row>
    <row r="117">
      <c r="A117" s="231"/>
      <c r="B117" s="231"/>
      <c r="C117" s="231"/>
      <c r="F117" s="10"/>
    </row>
    <row r="118">
      <c r="A118" s="231"/>
      <c r="B118" s="231"/>
      <c r="C118" s="231"/>
      <c r="F118" s="10"/>
    </row>
    <row r="119">
      <c r="A119" s="231"/>
      <c r="B119" s="231"/>
      <c r="C119" s="231"/>
      <c r="F119" s="10"/>
    </row>
    <row r="120">
      <c r="A120" s="231"/>
      <c r="B120" s="231"/>
      <c r="C120" s="231"/>
      <c r="F120" s="10"/>
    </row>
    <row r="121">
      <c r="A121" s="231"/>
      <c r="B121" s="231"/>
      <c r="C121" s="231"/>
      <c r="F121" s="10"/>
    </row>
    <row r="122">
      <c r="A122" s="231"/>
      <c r="B122" s="231"/>
      <c r="C122" s="231"/>
      <c r="F122" s="10"/>
    </row>
    <row r="123">
      <c r="A123" s="231"/>
      <c r="B123" s="231"/>
      <c r="C123" s="231"/>
      <c r="F123" s="10"/>
    </row>
    <row r="124">
      <c r="A124" s="231"/>
      <c r="B124" s="231"/>
      <c r="C124" s="231"/>
      <c r="F124" s="10"/>
    </row>
    <row r="125">
      <c r="A125" s="231"/>
      <c r="B125" s="231"/>
      <c r="C125" s="231"/>
      <c r="F125" s="10"/>
    </row>
    <row r="126">
      <c r="A126" s="231"/>
      <c r="B126" s="231"/>
      <c r="C126" s="231"/>
      <c r="F126" s="10"/>
    </row>
    <row r="127">
      <c r="A127" s="231"/>
      <c r="B127" s="231"/>
      <c r="C127" s="231"/>
      <c r="F127" s="10"/>
    </row>
    <row r="128">
      <c r="A128" s="231"/>
      <c r="B128" s="231"/>
      <c r="C128" s="231"/>
      <c r="F128" s="10"/>
    </row>
    <row r="129">
      <c r="A129" s="231"/>
      <c r="B129" s="231"/>
      <c r="C129" s="231"/>
      <c r="F129" s="10"/>
    </row>
    <row r="130">
      <c r="A130" s="231"/>
      <c r="B130" s="231"/>
      <c r="C130" s="231"/>
      <c r="F130" s="10"/>
    </row>
    <row r="131">
      <c r="A131" s="231"/>
      <c r="B131" s="231"/>
      <c r="C131" s="231"/>
      <c r="F131" s="10"/>
    </row>
    <row r="132">
      <c r="A132" s="231"/>
      <c r="B132" s="231"/>
      <c r="C132" s="231"/>
      <c r="F132" s="10"/>
    </row>
    <row r="133">
      <c r="A133" s="254"/>
      <c r="B133" s="231"/>
      <c r="C133" s="231"/>
      <c r="F133" s="10"/>
      <c r="R133" s="125"/>
    </row>
    <row r="134">
      <c r="A134" s="254"/>
      <c r="B134" s="231"/>
      <c r="C134" s="231"/>
      <c r="F134" s="10"/>
      <c r="R134" s="125"/>
    </row>
    <row r="135">
      <c r="A135" s="254"/>
      <c r="B135" s="231"/>
      <c r="C135" s="231"/>
      <c r="F135" s="10"/>
      <c r="R135" s="125"/>
    </row>
    <row r="136">
      <c r="A136" s="254"/>
      <c r="B136" s="231"/>
      <c r="C136" s="231"/>
      <c r="F136" s="10"/>
      <c r="R136" s="125"/>
    </row>
    <row r="137">
      <c r="A137" s="254"/>
      <c r="B137" s="231"/>
      <c r="C137" s="231"/>
      <c r="F137" s="10"/>
      <c r="R137" s="125"/>
    </row>
    <row r="138">
      <c r="A138" s="254"/>
      <c r="B138" s="231"/>
      <c r="C138" s="231"/>
      <c r="F138" s="10"/>
      <c r="R138" s="125"/>
    </row>
    <row r="139">
      <c r="A139" s="254"/>
      <c r="B139" s="231"/>
      <c r="C139" s="231"/>
      <c r="F139" s="10"/>
      <c r="R139" s="125"/>
    </row>
    <row r="140">
      <c r="A140" s="254"/>
      <c r="B140" s="231"/>
      <c r="C140" s="231"/>
      <c r="F140" s="10"/>
      <c r="R140" s="125"/>
    </row>
    <row r="141">
      <c r="A141" s="254"/>
      <c r="B141" s="231"/>
      <c r="C141" s="231"/>
      <c r="F141" s="10"/>
      <c r="R141" s="125"/>
    </row>
    <row r="142">
      <c r="A142" s="254"/>
      <c r="B142" s="231"/>
      <c r="C142" s="231"/>
      <c r="F142" s="10"/>
      <c r="R142" s="125"/>
    </row>
    <row r="143">
      <c r="A143" s="254"/>
      <c r="B143" s="231"/>
      <c r="C143" s="231"/>
      <c r="F143" s="10"/>
      <c r="R143" s="125"/>
    </row>
    <row r="144">
      <c r="A144" s="254"/>
      <c r="B144" s="231"/>
      <c r="C144" s="231"/>
      <c r="F144" s="10"/>
      <c r="R144" s="125"/>
    </row>
    <row r="145">
      <c r="A145" s="254"/>
      <c r="B145" s="231"/>
      <c r="C145" s="231"/>
      <c r="F145" s="10"/>
      <c r="R145" s="125"/>
    </row>
    <row r="146">
      <c r="A146" s="254"/>
      <c r="B146" s="231"/>
      <c r="C146" s="231"/>
      <c r="F146" s="10"/>
      <c r="R146" s="125"/>
    </row>
    <row r="147">
      <c r="A147" s="254"/>
      <c r="B147" s="231"/>
      <c r="C147" s="231"/>
      <c r="F147" s="10"/>
      <c r="R147" s="125"/>
    </row>
    <row r="148">
      <c r="A148" s="254"/>
      <c r="B148" s="231"/>
      <c r="C148" s="231"/>
      <c r="F148" s="10"/>
      <c r="R148" s="125"/>
    </row>
    <row r="149">
      <c r="A149" s="254"/>
      <c r="B149" s="231"/>
      <c r="C149" s="231"/>
      <c r="F149" s="10"/>
      <c r="R149" s="125"/>
    </row>
    <row r="150">
      <c r="A150" s="254"/>
      <c r="B150" s="231"/>
      <c r="C150" s="231"/>
      <c r="F150" s="10"/>
      <c r="R150" s="125"/>
    </row>
    <row r="151">
      <c r="A151" s="254"/>
      <c r="B151" s="231"/>
      <c r="C151" s="231"/>
      <c r="F151" s="10"/>
      <c r="R151" s="125"/>
    </row>
    <row r="152">
      <c r="A152" s="254"/>
      <c r="B152" s="231"/>
      <c r="C152" s="231"/>
      <c r="F152" s="10"/>
      <c r="R152" s="125"/>
    </row>
    <row r="153">
      <c r="A153" s="254"/>
      <c r="B153" s="231"/>
      <c r="C153" s="231"/>
      <c r="F153" s="10"/>
      <c r="R153" s="125"/>
    </row>
    <row r="154">
      <c r="A154" s="254"/>
      <c r="B154" s="231"/>
      <c r="C154" s="231"/>
      <c r="F154" s="10"/>
      <c r="R154" s="125"/>
    </row>
    <row r="155">
      <c r="A155" s="254"/>
      <c r="B155" s="231"/>
      <c r="C155" s="231"/>
      <c r="F155" s="10"/>
      <c r="R155" s="125"/>
    </row>
    <row r="156">
      <c r="A156" s="254"/>
      <c r="B156" s="231"/>
      <c r="C156" s="231"/>
      <c r="F156" s="10"/>
      <c r="R156" s="125"/>
    </row>
    <row r="157">
      <c r="A157" s="254"/>
      <c r="B157" s="231"/>
      <c r="C157" s="231"/>
      <c r="F157" s="10"/>
      <c r="R157" s="125"/>
    </row>
    <row r="158">
      <c r="A158" s="254"/>
      <c r="B158" s="231"/>
      <c r="C158" s="231"/>
      <c r="F158" s="10"/>
      <c r="R158" s="125"/>
    </row>
    <row r="159">
      <c r="A159" s="254"/>
      <c r="B159" s="231"/>
      <c r="C159" s="231"/>
      <c r="F159" s="10"/>
      <c r="R159" s="125"/>
    </row>
    <row r="160">
      <c r="A160" s="254"/>
      <c r="B160" s="231"/>
      <c r="C160" s="231"/>
      <c r="F160" s="10"/>
      <c r="R160" s="125"/>
    </row>
    <row r="161">
      <c r="A161" s="254"/>
      <c r="B161" s="231"/>
      <c r="C161" s="231"/>
      <c r="F161" s="10"/>
      <c r="R161" s="125"/>
    </row>
    <row r="162">
      <c r="A162" s="254"/>
      <c r="B162" s="231"/>
      <c r="C162" s="231"/>
      <c r="F162" s="10"/>
      <c r="R162" s="125"/>
    </row>
    <row r="163">
      <c r="A163" s="254"/>
      <c r="B163" s="231"/>
      <c r="C163" s="231"/>
      <c r="F163" s="10"/>
      <c r="R163" s="125"/>
    </row>
    <row r="164">
      <c r="A164" s="254"/>
      <c r="B164" s="231"/>
      <c r="C164" s="231"/>
      <c r="F164" s="10"/>
      <c r="R164" s="125"/>
    </row>
    <row r="165">
      <c r="A165" s="254"/>
      <c r="B165" s="231"/>
      <c r="C165" s="231"/>
      <c r="F165" s="10"/>
      <c r="R165" s="125"/>
    </row>
    <row r="166">
      <c r="A166" s="254"/>
      <c r="B166" s="231"/>
      <c r="C166" s="231"/>
      <c r="F166" s="10"/>
      <c r="R166" s="125"/>
    </row>
    <row r="167">
      <c r="A167" s="254"/>
      <c r="B167" s="231"/>
      <c r="C167" s="231"/>
      <c r="F167" s="10"/>
      <c r="R167" s="125"/>
    </row>
    <row r="168">
      <c r="A168" s="231"/>
      <c r="B168" s="231"/>
      <c r="C168" s="231"/>
      <c r="F168" s="10"/>
    </row>
    <row r="169">
      <c r="A169" s="231"/>
      <c r="B169" s="231"/>
      <c r="C169" s="231"/>
      <c r="F169" s="10"/>
    </row>
    <row r="170">
      <c r="A170" s="231"/>
      <c r="B170" s="231"/>
      <c r="C170" s="231"/>
      <c r="F170" s="10"/>
    </row>
    <row r="171">
      <c r="A171" s="231"/>
      <c r="B171" s="231"/>
      <c r="C171" s="231"/>
      <c r="F171" s="10"/>
    </row>
    <row r="172">
      <c r="A172" s="231"/>
      <c r="B172" s="231"/>
      <c r="C172" s="231"/>
      <c r="F172" s="10"/>
    </row>
    <row r="173">
      <c r="A173" s="231"/>
      <c r="B173" s="231"/>
      <c r="C173" s="231"/>
      <c r="F173" s="10"/>
    </row>
    <row r="174">
      <c r="A174" s="231"/>
      <c r="B174" s="231"/>
      <c r="C174" s="231"/>
      <c r="F174" s="10"/>
    </row>
    <row r="175">
      <c r="A175" s="231"/>
      <c r="B175" s="231"/>
      <c r="C175" s="231"/>
      <c r="F175" s="10"/>
    </row>
    <row r="176">
      <c r="A176" s="231"/>
      <c r="B176" s="231"/>
      <c r="C176" s="231"/>
      <c r="F176" s="10"/>
    </row>
    <row r="177">
      <c r="A177" s="231"/>
      <c r="B177" s="231"/>
      <c r="C177" s="231"/>
      <c r="F177" s="10"/>
    </row>
    <row r="178">
      <c r="A178" s="231"/>
      <c r="B178" s="231"/>
      <c r="C178" s="231"/>
      <c r="F178" s="10"/>
    </row>
    <row r="179">
      <c r="A179" s="231"/>
      <c r="B179" s="231"/>
      <c r="C179" s="231"/>
      <c r="F179" s="10"/>
    </row>
    <row r="180">
      <c r="A180" s="231"/>
      <c r="B180" s="231"/>
      <c r="C180" s="231"/>
      <c r="F180" s="10"/>
    </row>
    <row r="181">
      <c r="A181" s="231"/>
      <c r="B181" s="231"/>
      <c r="C181" s="231"/>
      <c r="F181" s="10"/>
    </row>
    <row r="182">
      <c r="A182" s="231"/>
      <c r="B182" s="231"/>
      <c r="C182" s="231"/>
      <c r="F182" s="10"/>
    </row>
    <row r="183">
      <c r="A183" s="231"/>
      <c r="B183" s="231"/>
      <c r="C183" s="231"/>
      <c r="F183" s="10"/>
    </row>
    <row r="184">
      <c r="A184" s="231"/>
      <c r="B184" s="231"/>
      <c r="C184" s="231"/>
      <c r="F184" s="10"/>
    </row>
    <row r="185">
      <c r="A185" s="231"/>
      <c r="B185" s="231"/>
      <c r="C185" s="231"/>
      <c r="F185" s="10"/>
    </row>
    <row r="186">
      <c r="A186" s="231"/>
      <c r="B186" s="231"/>
      <c r="C186" s="231"/>
      <c r="F186" s="10"/>
    </row>
    <row r="187">
      <c r="A187" s="231"/>
      <c r="B187" s="231"/>
      <c r="C187" s="231"/>
      <c r="F187" s="10"/>
    </row>
    <row r="188">
      <c r="A188" s="231"/>
      <c r="B188" s="231"/>
      <c r="C188" s="231"/>
      <c r="F188" s="10"/>
    </row>
    <row r="189">
      <c r="A189" s="231"/>
      <c r="B189" s="231"/>
      <c r="C189" s="231"/>
      <c r="F189" s="10"/>
    </row>
    <row r="190">
      <c r="A190" s="231"/>
      <c r="B190" s="231"/>
      <c r="C190" s="231"/>
      <c r="F190" s="10"/>
    </row>
    <row r="191">
      <c r="A191" s="231"/>
      <c r="B191" s="231"/>
      <c r="C191" s="231"/>
      <c r="F191" s="10"/>
    </row>
    <row r="192">
      <c r="A192" s="231"/>
      <c r="B192" s="231"/>
      <c r="C192" s="231"/>
      <c r="F192" s="10"/>
    </row>
    <row r="193">
      <c r="A193" s="231"/>
      <c r="B193" s="231"/>
      <c r="C193" s="231"/>
      <c r="F193" s="10"/>
    </row>
    <row r="194">
      <c r="A194" s="231"/>
      <c r="B194" s="231"/>
      <c r="C194" s="231"/>
      <c r="F194" s="10"/>
    </row>
    <row r="195">
      <c r="A195" s="231"/>
      <c r="B195" s="231"/>
      <c r="C195" s="231"/>
      <c r="F195" s="10"/>
    </row>
    <row r="196">
      <c r="A196" s="231"/>
      <c r="B196" s="231"/>
      <c r="C196" s="231"/>
      <c r="F196" s="10"/>
    </row>
    <row r="197">
      <c r="A197" s="231"/>
      <c r="B197" s="231"/>
      <c r="C197" s="231"/>
      <c r="F197" s="10"/>
    </row>
    <row r="198">
      <c r="A198" s="231"/>
      <c r="B198" s="231"/>
      <c r="C198" s="231"/>
      <c r="F198" s="10"/>
    </row>
    <row r="199">
      <c r="A199" s="231"/>
      <c r="B199" s="231"/>
      <c r="C199" s="231"/>
      <c r="F199" s="10"/>
    </row>
    <row r="200">
      <c r="A200" s="231"/>
      <c r="B200" s="231"/>
      <c r="C200" s="231"/>
      <c r="F200" s="10"/>
    </row>
    <row r="201">
      <c r="A201" s="231"/>
      <c r="B201" s="231"/>
      <c r="C201" s="231"/>
      <c r="F201" s="10"/>
    </row>
    <row r="202">
      <c r="A202" s="231"/>
      <c r="B202" s="231"/>
      <c r="C202" s="231"/>
      <c r="F202" s="10"/>
    </row>
    <row r="203">
      <c r="A203" s="231"/>
      <c r="B203" s="231"/>
      <c r="C203" s="231"/>
      <c r="F203" s="10"/>
    </row>
    <row r="204">
      <c r="A204" s="231"/>
      <c r="B204" s="231"/>
      <c r="C204" s="231"/>
      <c r="F204" s="10"/>
    </row>
    <row r="205">
      <c r="A205" s="231"/>
      <c r="B205" s="231"/>
      <c r="C205" s="231"/>
      <c r="F205" s="10"/>
    </row>
    <row r="206">
      <c r="A206" s="231"/>
      <c r="B206" s="231"/>
      <c r="C206" s="231"/>
      <c r="F206" s="10"/>
    </row>
    <row r="207">
      <c r="A207" s="231"/>
      <c r="B207" s="231"/>
      <c r="C207" s="231"/>
      <c r="F207" s="10"/>
    </row>
    <row r="208">
      <c r="A208" s="231"/>
      <c r="B208" s="231"/>
      <c r="C208" s="231"/>
      <c r="F208" s="10"/>
    </row>
    <row r="209">
      <c r="A209" s="231"/>
      <c r="B209" s="231"/>
      <c r="C209" s="231"/>
      <c r="F209" s="10"/>
    </row>
    <row r="210">
      <c r="A210" s="231"/>
      <c r="B210" s="231"/>
      <c r="C210" s="231"/>
      <c r="F210" s="10"/>
    </row>
    <row r="211">
      <c r="A211" s="231"/>
      <c r="B211" s="231"/>
      <c r="C211" s="231"/>
      <c r="F211" s="10"/>
    </row>
    <row r="212">
      <c r="A212" s="231"/>
      <c r="B212" s="231"/>
      <c r="C212" s="231"/>
      <c r="F212" s="10"/>
    </row>
    <row r="213">
      <c r="A213" s="231"/>
      <c r="B213" s="231"/>
      <c r="C213" s="231"/>
      <c r="F213" s="10"/>
    </row>
    <row r="214">
      <c r="A214" s="231"/>
      <c r="B214" s="231"/>
      <c r="C214" s="231"/>
      <c r="F214" s="10"/>
    </row>
    <row r="215">
      <c r="A215" s="231"/>
      <c r="B215" s="231"/>
      <c r="C215" s="231"/>
      <c r="F215" s="10"/>
    </row>
    <row r="216">
      <c r="A216" s="231"/>
      <c r="B216" s="231"/>
      <c r="C216" s="231"/>
      <c r="F216" s="10"/>
    </row>
    <row r="217">
      <c r="A217" s="231"/>
      <c r="B217" s="231"/>
      <c r="C217" s="231"/>
      <c r="F217" s="10"/>
    </row>
    <row r="218">
      <c r="A218" s="231"/>
      <c r="B218" s="231"/>
      <c r="C218" s="231"/>
      <c r="F218" s="10"/>
    </row>
    <row r="219">
      <c r="A219" s="231"/>
      <c r="B219" s="231"/>
      <c r="C219" s="231"/>
      <c r="F219" s="10"/>
    </row>
    <row r="220">
      <c r="A220" s="231"/>
      <c r="B220" s="231"/>
      <c r="C220" s="231"/>
      <c r="F220" s="10"/>
    </row>
    <row r="221">
      <c r="A221" s="231"/>
      <c r="B221" s="231"/>
      <c r="C221" s="231"/>
      <c r="F221" s="10"/>
    </row>
    <row r="222">
      <c r="A222" s="231"/>
      <c r="B222" s="231"/>
      <c r="C222" s="231"/>
      <c r="F222" s="10"/>
    </row>
    <row r="223">
      <c r="A223" s="231"/>
      <c r="B223" s="231"/>
      <c r="C223" s="231"/>
      <c r="F223" s="10"/>
    </row>
    <row r="224">
      <c r="A224" s="231"/>
      <c r="B224" s="231"/>
      <c r="C224" s="231"/>
      <c r="F224" s="10"/>
    </row>
    <row r="225">
      <c r="A225" s="231"/>
      <c r="B225" s="231"/>
      <c r="C225" s="231"/>
      <c r="F225" s="10"/>
    </row>
    <row r="226">
      <c r="A226" s="231"/>
      <c r="B226" s="231"/>
      <c r="C226" s="231"/>
      <c r="F226" s="10"/>
    </row>
    <row r="227">
      <c r="A227" s="231"/>
      <c r="B227" s="231"/>
      <c r="C227" s="231"/>
      <c r="F227" s="10"/>
    </row>
    <row r="228">
      <c r="A228" s="231"/>
      <c r="B228" s="231"/>
      <c r="C228" s="231"/>
      <c r="F228" s="10"/>
    </row>
    <row r="229">
      <c r="A229" s="231"/>
      <c r="B229" s="231"/>
      <c r="C229" s="231"/>
      <c r="F229" s="10"/>
    </row>
    <row r="230">
      <c r="A230" s="231"/>
      <c r="B230" s="231"/>
      <c r="C230" s="231"/>
      <c r="F230" s="10"/>
    </row>
    <row r="231">
      <c r="A231" s="231"/>
      <c r="B231" s="231"/>
      <c r="C231" s="231"/>
      <c r="F231" s="10"/>
    </row>
    <row r="232">
      <c r="A232" s="231"/>
      <c r="B232" s="231"/>
      <c r="C232" s="231"/>
      <c r="F232" s="10"/>
    </row>
    <row r="233">
      <c r="A233" s="231"/>
      <c r="B233" s="231"/>
      <c r="C233" s="231"/>
      <c r="F233" s="10"/>
    </row>
    <row r="234">
      <c r="A234" s="231"/>
      <c r="B234" s="231"/>
      <c r="C234" s="231"/>
      <c r="F234" s="10"/>
    </row>
    <row r="235">
      <c r="A235" s="231"/>
      <c r="B235" s="231"/>
      <c r="C235" s="231"/>
      <c r="F235" s="10"/>
    </row>
    <row r="236">
      <c r="A236" s="231"/>
      <c r="B236" s="231"/>
      <c r="C236" s="231"/>
      <c r="F236" s="10"/>
    </row>
    <row r="237">
      <c r="A237" s="231"/>
      <c r="B237" s="231"/>
      <c r="C237" s="231"/>
      <c r="F237" s="10"/>
    </row>
    <row r="238">
      <c r="A238" s="231"/>
      <c r="B238" s="231"/>
      <c r="C238" s="231"/>
      <c r="F238" s="10"/>
    </row>
    <row r="239">
      <c r="A239" s="231"/>
      <c r="B239" s="231"/>
      <c r="C239" s="231"/>
      <c r="F239" s="10"/>
    </row>
    <row r="240">
      <c r="A240" s="231"/>
      <c r="B240" s="231"/>
      <c r="C240" s="231"/>
      <c r="F240" s="10"/>
    </row>
    <row r="241">
      <c r="A241" s="231"/>
      <c r="B241" s="231"/>
      <c r="C241" s="231"/>
      <c r="F241" s="10"/>
    </row>
    <row r="242">
      <c r="A242" s="231"/>
      <c r="B242" s="231"/>
      <c r="C242" s="231"/>
      <c r="F242" s="10"/>
    </row>
    <row r="243">
      <c r="A243" s="231"/>
      <c r="B243" s="231"/>
      <c r="C243" s="231"/>
      <c r="F243" s="10"/>
    </row>
    <row r="244">
      <c r="A244" s="231"/>
      <c r="B244" s="231"/>
      <c r="C244" s="231"/>
      <c r="F244" s="10"/>
    </row>
    <row r="245">
      <c r="A245" s="231"/>
      <c r="B245" s="231"/>
      <c r="C245" s="231"/>
      <c r="F245" s="10"/>
    </row>
    <row r="246">
      <c r="A246" s="231"/>
      <c r="B246" s="231"/>
      <c r="C246" s="231"/>
      <c r="F246" s="10"/>
    </row>
    <row r="247">
      <c r="A247" s="231"/>
      <c r="B247" s="231"/>
      <c r="C247" s="231"/>
      <c r="F247" s="10"/>
    </row>
    <row r="248">
      <c r="A248" s="231"/>
      <c r="B248" s="231"/>
      <c r="C248" s="231"/>
      <c r="F248" s="10"/>
    </row>
    <row r="249">
      <c r="A249" s="231"/>
      <c r="B249" s="231"/>
      <c r="C249" s="231"/>
      <c r="F249" s="10"/>
    </row>
    <row r="250">
      <c r="A250" s="231"/>
      <c r="B250" s="231"/>
      <c r="C250" s="231"/>
      <c r="F250" s="10"/>
    </row>
    <row r="251">
      <c r="A251" s="231"/>
      <c r="B251" s="231"/>
      <c r="C251" s="231"/>
      <c r="F251" s="10"/>
    </row>
    <row r="252">
      <c r="A252" s="231"/>
      <c r="B252" s="231"/>
      <c r="C252" s="231"/>
      <c r="F252" s="10"/>
    </row>
    <row r="253">
      <c r="A253" s="231"/>
      <c r="B253" s="231"/>
      <c r="C253" s="231"/>
      <c r="F253" s="10"/>
    </row>
    <row r="254">
      <c r="A254" s="231"/>
      <c r="B254" s="231"/>
      <c r="C254" s="231"/>
      <c r="F254" s="10"/>
    </row>
    <row r="255">
      <c r="A255" s="231"/>
      <c r="B255" s="231"/>
      <c r="C255" s="231"/>
      <c r="F255" s="10"/>
    </row>
    <row r="256">
      <c r="A256" s="231"/>
      <c r="B256" s="231"/>
      <c r="C256" s="231"/>
      <c r="F256" s="10"/>
    </row>
    <row r="257">
      <c r="A257" s="231"/>
      <c r="B257" s="231"/>
      <c r="C257" s="231"/>
      <c r="F257" s="10"/>
    </row>
    <row r="258">
      <c r="A258" s="231"/>
      <c r="B258" s="231"/>
      <c r="C258" s="231"/>
      <c r="F258" s="10"/>
    </row>
    <row r="259">
      <c r="A259" s="231"/>
      <c r="B259" s="231"/>
      <c r="C259" s="231"/>
      <c r="F259" s="10"/>
    </row>
    <row r="260">
      <c r="A260" s="231"/>
      <c r="B260" s="231"/>
      <c r="C260" s="231"/>
      <c r="F260" s="10"/>
    </row>
    <row r="261">
      <c r="A261" s="231"/>
      <c r="B261" s="231"/>
      <c r="C261" s="231"/>
      <c r="F261" s="10"/>
    </row>
    <row r="262">
      <c r="A262" s="231"/>
      <c r="B262" s="231"/>
      <c r="C262" s="231"/>
      <c r="F262" s="10"/>
    </row>
    <row r="263">
      <c r="A263" s="231"/>
      <c r="B263" s="231"/>
      <c r="C263" s="231"/>
      <c r="F263" s="10"/>
    </row>
    <row r="264">
      <c r="A264" s="231"/>
      <c r="B264" s="231"/>
      <c r="C264" s="231"/>
      <c r="F264" s="10"/>
    </row>
    <row r="265">
      <c r="A265" s="231"/>
      <c r="B265" s="231"/>
      <c r="C265" s="231"/>
      <c r="F265" s="10"/>
    </row>
    <row r="266">
      <c r="A266" s="231"/>
      <c r="B266" s="231"/>
      <c r="C266" s="231"/>
      <c r="F266" s="10"/>
    </row>
    <row r="267">
      <c r="A267" s="231"/>
      <c r="B267" s="231"/>
      <c r="C267" s="231"/>
      <c r="F267" s="10"/>
    </row>
    <row r="268">
      <c r="A268" s="231"/>
      <c r="B268" s="231"/>
      <c r="C268" s="231"/>
      <c r="F268" s="10"/>
    </row>
    <row r="269">
      <c r="A269" s="231"/>
      <c r="B269" s="231"/>
      <c r="C269" s="231"/>
      <c r="F269" s="10"/>
    </row>
    <row r="270">
      <c r="A270" s="231"/>
      <c r="B270" s="231"/>
      <c r="C270" s="231"/>
      <c r="F270" s="10"/>
    </row>
    <row r="271">
      <c r="A271" s="231"/>
      <c r="B271" s="231"/>
      <c r="C271" s="231"/>
      <c r="F271" s="10"/>
    </row>
    <row r="272">
      <c r="A272" s="231"/>
      <c r="B272" s="231"/>
      <c r="C272" s="231"/>
      <c r="F272" s="10"/>
    </row>
    <row r="273">
      <c r="A273" s="231"/>
      <c r="B273" s="231"/>
      <c r="C273" s="231"/>
      <c r="F273" s="10"/>
    </row>
    <row r="274">
      <c r="A274" s="231"/>
      <c r="B274" s="231"/>
      <c r="C274" s="231"/>
      <c r="F274" s="10"/>
    </row>
    <row r="275">
      <c r="A275" s="231"/>
      <c r="B275" s="231"/>
      <c r="C275" s="231"/>
      <c r="F275" s="10"/>
    </row>
    <row r="276">
      <c r="A276" s="231"/>
      <c r="B276" s="231"/>
      <c r="C276" s="231"/>
      <c r="F276" s="10"/>
    </row>
    <row r="277">
      <c r="A277" s="231"/>
      <c r="B277" s="231"/>
      <c r="C277" s="231"/>
      <c r="F277" s="10"/>
    </row>
    <row r="278">
      <c r="A278" s="231"/>
      <c r="B278" s="231"/>
      <c r="C278" s="231"/>
      <c r="F278" s="10"/>
    </row>
    <row r="279">
      <c r="A279" s="231"/>
      <c r="B279" s="231"/>
      <c r="C279" s="231"/>
      <c r="F279" s="10"/>
    </row>
    <row r="280">
      <c r="A280" s="231"/>
      <c r="B280" s="231"/>
      <c r="C280" s="231"/>
      <c r="F280" s="10"/>
    </row>
    <row r="281">
      <c r="A281" s="231"/>
      <c r="B281" s="231"/>
      <c r="C281" s="231"/>
      <c r="F281" s="10"/>
    </row>
    <row r="282">
      <c r="A282" s="231"/>
      <c r="B282" s="231"/>
      <c r="C282" s="231"/>
      <c r="F282" s="10"/>
    </row>
    <row r="283">
      <c r="A283" s="231"/>
      <c r="B283" s="231"/>
      <c r="C283" s="231"/>
      <c r="F283" s="10"/>
    </row>
    <row r="284">
      <c r="A284" s="231"/>
      <c r="B284" s="231"/>
      <c r="C284" s="231"/>
      <c r="F284" s="10"/>
    </row>
    <row r="285">
      <c r="A285" s="231"/>
      <c r="B285" s="231"/>
      <c r="C285" s="231"/>
      <c r="F285" s="10"/>
    </row>
    <row r="286">
      <c r="A286" s="231"/>
      <c r="B286" s="231"/>
      <c r="C286" s="231"/>
      <c r="F286" s="10"/>
    </row>
    <row r="287">
      <c r="A287" s="231"/>
      <c r="B287" s="231"/>
      <c r="C287" s="231"/>
      <c r="F287" s="10"/>
    </row>
    <row r="288">
      <c r="A288" s="231"/>
      <c r="B288" s="231"/>
      <c r="C288" s="231"/>
      <c r="F288" s="10"/>
    </row>
    <row r="289">
      <c r="A289" s="231"/>
      <c r="B289" s="231"/>
      <c r="C289" s="231"/>
      <c r="F289" s="10"/>
    </row>
    <row r="290">
      <c r="A290" s="231"/>
      <c r="B290" s="231"/>
      <c r="C290" s="231"/>
      <c r="F290" s="10"/>
    </row>
    <row r="291">
      <c r="A291" s="231"/>
      <c r="B291" s="231"/>
      <c r="C291" s="231"/>
      <c r="F291" s="10"/>
    </row>
    <row r="292">
      <c r="A292" s="231"/>
      <c r="B292" s="231"/>
      <c r="C292" s="231"/>
      <c r="F292" s="10"/>
    </row>
    <row r="293">
      <c r="A293" s="231"/>
      <c r="B293" s="231"/>
      <c r="C293" s="231"/>
      <c r="F293" s="10"/>
    </row>
    <row r="294">
      <c r="A294" s="231"/>
      <c r="B294" s="231"/>
      <c r="C294" s="231"/>
      <c r="F294" s="10"/>
    </row>
    <row r="295">
      <c r="A295" s="231"/>
      <c r="B295" s="231"/>
      <c r="C295" s="231"/>
      <c r="F295" s="10"/>
    </row>
    <row r="296">
      <c r="A296" s="231"/>
      <c r="B296" s="231"/>
      <c r="C296" s="231"/>
      <c r="F296" s="10"/>
    </row>
    <row r="297">
      <c r="A297" s="231"/>
      <c r="B297" s="231"/>
      <c r="C297" s="231"/>
      <c r="F297" s="10"/>
    </row>
    <row r="298">
      <c r="A298" s="231"/>
      <c r="B298" s="231"/>
      <c r="C298" s="231"/>
      <c r="F298" s="10"/>
    </row>
    <row r="299">
      <c r="A299" s="231"/>
      <c r="B299" s="231"/>
      <c r="C299" s="231"/>
      <c r="F299" s="10"/>
    </row>
    <row r="300">
      <c r="A300" s="231"/>
      <c r="B300" s="231"/>
      <c r="C300" s="231"/>
      <c r="F300" s="10"/>
    </row>
    <row r="301">
      <c r="A301" s="231"/>
      <c r="B301" s="231"/>
      <c r="C301" s="231"/>
      <c r="F301" s="10"/>
    </row>
    <row r="302">
      <c r="A302" s="231"/>
      <c r="B302" s="231"/>
      <c r="C302" s="231"/>
      <c r="F302" s="10"/>
    </row>
    <row r="303">
      <c r="A303" s="231"/>
      <c r="B303" s="231"/>
      <c r="C303" s="231"/>
      <c r="F303" s="10"/>
    </row>
    <row r="304">
      <c r="A304" s="231"/>
      <c r="B304" s="231"/>
      <c r="C304" s="231"/>
      <c r="F304" s="10"/>
    </row>
    <row r="305">
      <c r="A305" s="231"/>
      <c r="B305" s="231"/>
      <c r="C305" s="231"/>
      <c r="F305" s="10"/>
    </row>
    <row r="306">
      <c r="A306" s="231"/>
      <c r="B306" s="231"/>
      <c r="C306" s="231"/>
      <c r="F306" s="10"/>
    </row>
    <row r="307">
      <c r="A307" s="231"/>
      <c r="B307" s="231"/>
      <c r="C307" s="231"/>
      <c r="F307" s="10"/>
    </row>
    <row r="308">
      <c r="A308" s="231"/>
      <c r="B308" s="231"/>
      <c r="C308" s="231"/>
      <c r="F308" s="10"/>
    </row>
    <row r="309">
      <c r="A309" s="231"/>
      <c r="B309" s="231"/>
      <c r="C309" s="231"/>
      <c r="F309" s="10"/>
    </row>
    <row r="310">
      <c r="A310" s="231"/>
      <c r="B310" s="231"/>
      <c r="C310" s="231"/>
      <c r="F310" s="10"/>
    </row>
    <row r="311">
      <c r="A311" s="231"/>
      <c r="B311" s="231"/>
      <c r="C311" s="231"/>
      <c r="F311" s="10"/>
    </row>
    <row r="312">
      <c r="A312" s="231"/>
      <c r="B312" s="231"/>
      <c r="C312" s="231"/>
      <c r="F312" s="10"/>
    </row>
    <row r="313">
      <c r="A313" s="231"/>
      <c r="B313" s="231"/>
      <c r="C313" s="231"/>
      <c r="F313" s="10"/>
    </row>
    <row r="314">
      <c r="A314" s="231"/>
      <c r="B314" s="231"/>
      <c r="C314" s="231"/>
      <c r="F314" s="10"/>
    </row>
    <row r="315">
      <c r="A315" s="231"/>
      <c r="B315" s="231"/>
      <c r="C315" s="231"/>
      <c r="F315" s="10"/>
    </row>
    <row r="316">
      <c r="A316" s="231"/>
      <c r="B316" s="231"/>
      <c r="C316" s="231"/>
      <c r="F316" s="10"/>
    </row>
    <row r="317">
      <c r="A317" s="231"/>
      <c r="B317" s="231"/>
      <c r="C317" s="231"/>
      <c r="F317" s="10"/>
    </row>
    <row r="318">
      <c r="A318" s="231"/>
      <c r="B318" s="231"/>
      <c r="C318" s="231"/>
      <c r="F318" s="10"/>
    </row>
    <row r="319">
      <c r="A319" s="231"/>
      <c r="B319" s="231"/>
      <c r="C319" s="231"/>
      <c r="F319" s="10"/>
    </row>
    <row r="320">
      <c r="A320" s="231"/>
      <c r="B320" s="231"/>
      <c r="C320" s="231"/>
      <c r="F320" s="10"/>
    </row>
    <row r="321">
      <c r="A321" s="231"/>
      <c r="B321" s="231"/>
      <c r="C321" s="231"/>
      <c r="F321" s="10"/>
    </row>
    <row r="322">
      <c r="A322" s="231"/>
      <c r="B322" s="231"/>
      <c r="C322" s="231"/>
      <c r="F322" s="10"/>
    </row>
    <row r="323">
      <c r="A323" s="231"/>
      <c r="B323" s="231"/>
      <c r="C323" s="231"/>
      <c r="F323" s="10"/>
    </row>
    <row r="324">
      <c r="A324" s="231"/>
      <c r="B324" s="231"/>
      <c r="C324" s="231"/>
      <c r="F324" s="10"/>
    </row>
    <row r="325">
      <c r="A325" s="231"/>
      <c r="B325" s="231"/>
      <c r="C325" s="231"/>
      <c r="F325" s="10"/>
    </row>
    <row r="326">
      <c r="A326" s="231"/>
      <c r="B326" s="231"/>
      <c r="C326" s="231"/>
      <c r="F326" s="10"/>
    </row>
    <row r="327">
      <c r="A327" s="231"/>
      <c r="B327" s="231"/>
      <c r="C327" s="231"/>
      <c r="F327" s="10"/>
    </row>
    <row r="328">
      <c r="A328" s="231"/>
      <c r="B328" s="231"/>
      <c r="C328" s="231"/>
      <c r="F328" s="10"/>
    </row>
    <row r="329">
      <c r="A329" s="231"/>
      <c r="B329" s="231"/>
      <c r="C329" s="231"/>
      <c r="F329" s="10"/>
    </row>
    <row r="330">
      <c r="A330" s="231"/>
      <c r="B330" s="231"/>
      <c r="C330" s="231"/>
      <c r="F330" s="10"/>
    </row>
    <row r="331">
      <c r="A331" s="231"/>
      <c r="B331" s="231"/>
      <c r="C331" s="231"/>
      <c r="F331" s="10"/>
    </row>
    <row r="332">
      <c r="A332" s="231"/>
      <c r="B332" s="231"/>
      <c r="C332" s="231"/>
      <c r="F332" s="10"/>
    </row>
    <row r="333">
      <c r="A333" s="231"/>
      <c r="B333" s="231"/>
      <c r="C333" s="231"/>
      <c r="F333" s="10"/>
    </row>
    <row r="334">
      <c r="A334" s="231"/>
      <c r="B334" s="231"/>
      <c r="C334" s="231"/>
      <c r="F334" s="10"/>
    </row>
    <row r="335">
      <c r="A335" s="231"/>
      <c r="B335" s="231"/>
      <c r="C335" s="231"/>
      <c r="F335" s="10"/>
    </row>
    <row r="336">
      <c r="A336" s="231"/>
      <c r="B336" s="231"/>
      <c r="C336" s="231"/>
      <c r="F336" s="10"/>
    </row>
    <row r="337">
      <c r="A337" s="231"/>
      <c r="B337" s="231"/>
      <c r="C337" s="231"/>
      <c r="F337" s="10"/>
    </row>
    <row r="338">
      <c r="A338" s="231"/>
      <c r="B338" s="231"/>
      <c r="C338" s="231"/>
      <c r="F338" s="10"/>
    </row>
    <row r="339">
      <c r="A339" s="231"/>
      <c r="B339" s="231"/>
      <c r="C339" s="231"/>
      <c r="F339" s="10"/>
    </row>
    <row r="340">
      <c r="A340" s="231"/>
      <c r="B340" s="231"/>
      <c r="C340" s="231"/>
      <c r="F340" s="10"/>
    </row>
    <row r="341">
      <c r="A341" s="231"/>
      <c r="B341" s="231"/>
      <c r="C341" s="231"/>
      <c r="F341" s="10"/>
    </row>
    <row r="342">
      <c r="A342" s="231"/>
      <c r="B342" s="231"/>
      <c r="C342" s="231"/>
      <c r="F342" s="10"/>
    </row>
    <row r="343">
      <c r="A343" s="231"/>
      <c r="B343" s="231"/>
      <c r="C343" s="231"/>
      <c r="F343" s="10"/>
    </row>
    <row r="344">
      <c r="A344" s="231"/>
      <c r="B344" s="231"/>
      <c r="C344" s="231"/>
      <c r="F344" s="10"/>
    </row>
    <row r="345">
      <c r="A345" s="231"/>
      <c r="B345" s="231"/>
      <c r="C345" s="231"/>
      <c r="F345" s="10"/>
    </row>
    <row r="346">
      <c r="A346" s="231"/>
      <c r="B346" s="231"/>
      <c r="C346" s="231"/>
      <c r="F346" s="10"/>
    </row>
    <row r="347">
      <c r="A347" s="231"/>
      <c r="B347" s="231"/>
      <c r="C347" s="231"/>
      <c r="F347" s="10"/>
    </row>
    <row r="348">
      <c r="A348" s="231"/>
      <c r="B348" s="231"/>
      <c r="C348" s="231"/>
      <c r="F348" s="10"/>
    </row>
    <row r="349">
      <c r="A349" s="231"/>
      <c r="B349" s="231"/>
      <c r="C349" s="231"/>
      <c r="F349" s="10"/>
    </row>
    <row r="350">
      <c r="A350" s="231"/>
      <c r="B350" s="231"/>
      <c r="C350" s="231"/>
      <c r="F350" s="10"/>
    </row>
    <row r="351">
      <c r="A351" s="231"/>
      <c r="B351" s="231"/>
      <c r="C351" s="231"/>
      <c r="F351" s="10"/>
    </row>
    <row r="352">
      <c r="A352" s="231"/>
      <c r="B352" s="231"/>
      <c r="C352" s="231"/>
      <c r="F352" s="10"/>
    </row>
    <row r="353">
      <c r="A353" s="231"/>
      <c r="B353" s="231"/>
      <c r="C353" s="231"/>
      <c r="F353" s="10"/>
    </row>
    <row r="354">
      <c r="A354" s="231"/>
      <c r="B354" s="231"/>
      <c r="C354" s="231"/>
      <c r="F354" s="10"/>
    </row>
    <row r="355">
      <c r="A355" s="231"/>
      <c r="B355" s="231"/>
      <c r="C355" s="231"/>
      <c r="F355" s="10"/>
    </row>
    <row r="356">
      <c r="A356" s="231"/>
      <c r="B356" s="231"/>
      <c r="C356" s="231"/>
      <c r="F356" s="10"/>
    </row>
    <row r="357">
      <c r="A357" s="231"/>
      <c r="B357" s="231"/>
      <c r="C357" s="231"/>
      <c r="F357" s="10"/>
    </row>
    <row r="358">
      <c r="A358" s="231"/>
      <c r="B358" s="231"/>
      <c r="C358" s="231"/>
      <c r="F358" s="10"/>
    </row>
    <row r="359">
      <c r="A359" s="231"/>
      <c r="B359" s="231"/>
      <c r="C359" s="231"/>
      <c r="F359" s="10"/>
    </row>
    <row r="360">
      <c r="A360" s="231"/>
      <c r="B360" s="231"/>
      <c r="C360" s="231"/>
      <c r="F360" s="10"/>
    </row>
    <row r="361">
      <c r="A361" s="231"/>
      <c r="B361" s="231"/>
      <c r="C361" s="231"/>
      <c r="F361" s="10"/>
    </row>
    <row r="362">
      <c r="A362" s="231"/>
      <c r="B362" s="231"/>
      <c r="C362" s="231"/>
      <c r="F362" s="10"/>
    </row>
    <row r="363">
      <c r="A363" s="231"/>
      <c r="B363" s="231"/>
      <c r="C363" s="231"/>
      <c r="F363" s="10"/>
    </row>
    <row r="364">
      <c r="A364" s="231"/>
      <c r="B364" s="231"/>
      <c r="C364" s="231"/>
      <c r="F364" s="10"/>
    </row>
    <row r="365">
      <c r="A365" s="231"/>
      <c r="B365" s="231"/>
      <c r="C365" s="231"/>
      <c r="F365" s="10"/>
    </row>
    <row r="366">
      <c r="A366" s="231"/>
      <c r="B366" s="231"/>
      <c r="C366" s="231"/>
      <c r="F366" s="10"/>
    </row>
    <row r="367">
      <c r="A367" s="231"/>
      <c r="B367" s="231"/>
      <c r="C367" s="231"/>
      <c r="F367" s="10"/>
    </row>
    <row r="368">
      <c r="A368" s="231"/>
      <c r="B368" s="231"/>
      <c r="C368" s="231"/>
      <c r="F368" s="10"/>
    </row>
    <row r="369">
      <c r="A369" s="231"/>
      <c r="B369" s="231"/>
      <c r="C369" s="231"/>
      <c r="F369" s="10"/>
    </row>
    <row r="370">
      <c r="A370" s="231"/>
      <c r="B370" s="231"/>
      <c r="C370" s="231"/>
      <c r="F370" s="10"/>
    </row>
    <row r="371">
      <c r="A371" s="231"/>
      <c r="B371" s="231"/>
      <c r="C371" s="231"/>
      <c r="F371" s="10"/>
    </row>
    <row r="372">
      <c r="A372" s="231"/>
      <c r="B372" s="231"/>
      <c r="C372" s="231"/>
      <c r="F372" s="10"/>
    </row>
    <row r="373">
      <c r="A373" s="231"/>
      <c r="B373" s="231"/>
      <c r="C373" s="231"/>
      <c r="F373" s="10"/>
    </row>
    <row r="374">
      <c r="A374" s="231"/>
      <c r="B374" s="231"/>
      <c r="C374" s="231"/>
      <c r="F374" s="10"/>
    </row>
    <row r="375">
      <c r="A375" s="231"/>
      <c r="B375" s="231"/>
      <c r="C375" s="231"/>
      <c r="F375" s="10"/>
    </row>
    <row r="376">
      <c r="A376" s="231"/>
      <c r="B376" s="231"/>
      <c r="C376" s="231"/>
      <c r="F376" s="10"/>
    </row>
    <row r="377">
      <c r="A377" s="231"/>
      <c r="B377" s="231"/>
      <c r="C377" s="231"/>
      <c r="F377" s="10"/>
    </row>
    <row r="378">
      <c r="A378" s="231"/>
      <c r="B378" s="231"/>
      <c r="C378" s="231"/>
      <c r="F378" s="10"/>
    </row>
    <row r="379">
      <c r="A379" s="231"/>
      <c r="B379" s="231"/>
      <c r="C379" s="231"/>
      <c r="F379" s="10"/>
    </row>
    <row r="380">
      <c r="A380" s="231"/>
      <c r="B380" s="231"/>
      <c r="C380" s="231"/>
      <c r="F380" s="10"/>
    </row>
    <row r="381">
      <c r="A381" s="231"/>
      <c r="B381" s="231"/>
      <c r="C381" s="231"/>
      <c r="F381" s="10"/>
    </row>
    <row r="382">
      <c r="A382" s="231"/>
      <c r="B382" s="231"/>
      <c r="C382" s="231"/>
      <c r="F382" s="10"/>
    </row>
    <row r="383">
      <c r="A383" s="231"/>
      <c r="B383" s="231"/>
      <c r="C383" s="231"/>
      <c r="F383" s="10"/>
    </row>
    <row r="384">
      <c r="A384" s="231"/>
      <c r="B384" s="231"/>
      <c r="C384" s="231"/>
      <c r="F384" s="10"/>
    </row>
    <row r="385">
      <c r="A385" s="231"/>
      <c r="B385" s="231"/>
      <c r="C385" s="231"/>
      <c r="F385" s="10"/>
    </row>
    <row r="386">
      <c r="A386" s="231"/>
      <c r="B386" s="231"/>
      <c r="C386" s="231"/>
      <c r="F386" s="10"/>
    </row>
    <row r="387">
      <c r="A387" s="231"/>
      <c r="B387" s="231"/>
      <c r="C387" s="231"/>
      <c r="F387" s="10"/>
    </row>
    <row r="388">
      <c r="A388" s="231"/>
      <c r="B388" s="231"/>
      <c r="C388" s="231"/>
      <c r="F388" s="10"/>
    </row>
    <row r="389">
      <c r="A389" s="231"/>
      <c r="B389" s="231"/>
      <c r="C389" s="231"/>
      <c r="F389" s="10"/>
    </row>
    <row r="390">
      <c r="A390" s="231"/>
      <c r="B390" s="231"/>
      <c r="C390" s="231"/>
      <c r="F390" s="10"/>
    </row>
    <row r="391">
      <c r="A391" s="231"/>
      <c r="B391" s="231"/>
      <c r="C391" s="231"/>
      <c r="F391" s="10"/>
    </row>
    <row r="392">
      <c r="A392" s="231"/>
      <c r="B392" s="231"/>
      <c r="C392" s="231"/>
      <c r="F392" s="10"/>
    </row>
    <row r="393">
      <c r="A393" s="231"/>
      <c r="B393" s="231"/>
      <c r="C393" s="231"/>
      <c r="F393" s="10"/>
    </row>
    <row r="394">
      <c r="A394" s="231"/>
      <c r="B394" s="231"/>
      <c r="C394" s="231"/>
      <c r="F394" s="10"/>
    </row>
    <row r="395">
      <c r="A395" s="231"/>
      <c r="B395" s="231"/>
      <c r="C395" s="231"/>
      <c r="F395" s="10"/>
    </row>
    <row r="396">
      <c r="A396" s="231"/>
      <c r="B396" s="231"/>
      <c r="C396" s="231"/>
      <c r="F396" s="10"/>
    </row>
    <row r="397">
      <c r="A397" s="231"/>
      <c r="B397" s="231"/>
      <c r="C397" s="231"/>
      <c r="F397" s="10"/>
    </row>
    <row r="398">
      <c r="A398" s="231"/>
      <c r="B398" s="231"/>
      <c r="C398" s="231"/>
      <c r="F398" s="10"/>
    </row>
    <row r="399">
      <c r="A399" s="231"/>
      <c r="B399" s="231"/>
      <c r="C399" s="231"/>
      <c r="F399" s="10"/>
    </row>
    <row r="400">
      <c r="A400" s="231"/>
      <c r="B400" s="231"/>
      <c r="C400" s="231"/>
      <c r="F400" s="10"/>
    </row>
    <row r="401">
      <c r="A401" s="231"/>
      <c r="B401" s="231"/>
      <c r="C401" s="231"/>
      <c r="F401" s="10"/>
    </row>
    <row r="402">
      <c r="A402" s="231"/>
      <c r="B402" s="231"/>
      <c r="C402" s="231"/>
      <c r="F402" s="10"/>
    </row>
    <row r="403">
      <c r="A403" s="231"/>
      <c r="B403" s="231"/>
      <c r="C403" s="231"/>
      <c r="F403" s="10"/>
    </row>
    <row r="404">
      <c r="A404" s="231"/>
      <c r="B404" s="231"/>
      <c r="C404" s="231"/>
      <c r="F404" s="10"/>
    </row>
    <row r="405">
      <c r="A405" s="231"/>
      <c r="B405" s="231"/>
      <c r="C405" s="231"/>
      <c r="F405" s="10"/>
    </row>
    <row r="406">
      <c r="A406" s="231"/>
      <c r="B406" s="231"/>
      <c r="C406" s="231"/>
      <c r="F406" s="10"/>
    </row>
    <row r="407">
      <c r="A407" s="231"/>
      <c r="B407" s="231"/>
      <c r="C407" s="231"/>
      <c r="F407" s="10"/>
    </row>
    <row r="408">
      <c r="A408" s="231"/>
      <c r="B408" s="231"/>
      <c r="C408" s="231"/>
      <c r="F408" s="10"/>
    </row>
    <row r="409">
      <c r="A409" s="231"/>
      <c r="B409" s="231"/>
      <c r="C409" s="231"/>
      <c r="F409" s="10"/>
    </row>
    <row r="410">
      <c r="A410" s="231"/>
      <c r="B410" s="231"/>
      <c r="C410" s="231"/>
      <c r="F410" s="10"/>
    </row>
    <row r="411">
      <c r="A411" s="231"/>
      <c r="B411" s="231"/>
      <c r="C411" s="231"/>
      <c r="F411" s="10"/>
    </row>
    <row r="412">
      <c r="A412" s="231"/>
      <c r="B412" s="231"/>
      <c r="C412" s="231"/>
      <c r="F412" s="10"/>
    </row>
    <row r="413">
      <c r="A413" s="231"/>
      <c r="B413" s="231"/>
      <c r="C413" s="231"/>
      <c r="F413" s="10"/>
    </row>
    <row r="414">
      <c r="A414" s="231"/>
      <c r="B414" s="231"/>
      <c r="C414" s="231"/>
      <c r="F414" s="10"/>
    </row>
    <row r="415">
      <c r="A415" s="231"/>
      <c r="B415" s="231"/>
      <c r="C415" s="231"/>
      <c r="F415" s="10"/>
    </row>
    <row r="416">
      <c r="A416" s="231"/>
      <c r="B416" s="231"/>
      <c r="C416" s="231"/>
      <c r="F416" s="10"/>
    </row>
    <row r="417">
      <c r="A417" s="231"/>
      <c r="B417" s="231"/>
      <c r="C417" s="231"/>
      <c r="F417" s="10"/>
    </row>
    <row r="418">
      <c r="A418" s="231"/>
      <c r="B418" s="231"/>
      <c r="C418" s="231"/>
      <c r="F418" s="10"/>
    </row>
    <row r="419">
      <c r="A419" s="231"/>
      <c r="B419" s="231"/>
      <c r="C419" s="231"/>
      <c r="F419" s="10"/>
    </row>
    <row r="420">
      <c r="A420" s="231"/>
      <c r="B420" s="231"/>
      <c r="C420" s="231"/>
      <c r="F420" s="10"/>
    </row>
    <row r="421">
      <c r="A421" s="231"/>
      <c r="B421" s="231"/>
      <c r="C421" s="231"/>
      <c r="F421" s="10"/>
    </row>
    <row r="422">
      <c r="A422" s="231"/>
      <c r="B422" s="231"/>
      <c r="C422" s="231"/>
      <c r="F422" s="10"/>
    </row>
    <row r="423">
      <c r="A423" s="231"/>
      <c r="B423" s="231"/>
      <c r="C423" s="231"/>
      <c r="F423" s="10"/>
    </row>
    <row r="424">
      <c r="A424" s="231"/>
      <c r="B424" s="231"/>
      <c r="C424" s="231"/>
      <c r="F424" s="10"/>
    </row>
    <row r="425">
      <c r="A425" s="231"/>
      <c r="B425" s="231"/>
      <c r="C425" s="231"/>
      <c r="F425" s="10"/>
    </row>
    <row r="426">
      <c r="A426" s="231"/>
      <c r="B426" s="231"/>
      <c r="C426" s="231"/>
      <c r="F426" s="10"/>
    </row>
    <row r="427">
      <c r="A427" s="231"/>
      <c r="B427" s="231"/>
      <c r="C427" s="231"/>
      <c r="F427" s="10"/>
    </row>
    <row r="428">
      <c r="A428" s="231"/>
      <c r="B428" s="231"/>
      <c r="C428" s="231"/>
      <c r="F428" s="10"/>
    </row>
    <row r="429">
      <c r="A429" s="231"/>
      <c r="B429" s="231"/>
      <c r="C429" s="231"/>
      <c r="F429" s="10"/>
    </row>
    <row r="430">
      <c r="A430" s="231"/>
      <c r="B430" s="231"/>
      <c r="C430" s="231"/>
      <c r="F430" s="10"/>
    </row>
    <row r="431">
      <c r="A431" s="231"/>
      <c r="B431" s="231"/>
      <c r="C431" s="231"/>
      <c r="F431" s="10"/>
    </row>
    <row r="432">
      <c r="A432" s="231"/>
      <c r="B432" s="231"/>
      <c r="C432" s="231"/>
      <c r="F432" s="10"/>
    </row>
    <row r="433">
      <c r="A433" s="231"/>
      <c r="B433" s="231"/>
      <c r="C433" s="231"/>
      <c r="F433" s="10"/>
    </row>
    <row r="434">
      <c r="A434" s="231"/>
      <c r="B434" s="231"/>
      <c r="C434" s="231"/>
      <c r="F434" s="10"/>
    </row>
    <row r="435">
      <c r="A435" s="231"/>
      <c r="B435" s="231"/>
      <c r="C435" s="231"/>
      <c r="F435" s="10"/>
    </row>
    <row r="436">
      <c r="A436" s="231"/>
      <c r="B436" s="231"/>
      <c r="C436" s="231"/>
      <c r="F436" s="10"/>
    </row>
    <row r="437">
      <c r="A437" s="231"/>
      <c r="B437" s="231"/>
      <c r="C437" s="231"/>
      <c r="F437" s="10"/>
    </row>
    <row r="438">
      <c r="A438" s="231"/>
      <c r="B438" s="231"/>
      <c r="C438" s="231"/>
      <c r="F438" s="10"/>
    </row>
    <row r="439">
      <c r="A439" s="231"/>
      <c r="B439" s="231"/>
      <c r="C439" s="231"/>
      <c r="F439" s="10"/>
    </row>
    <row r="440">
      <c r="A440" s="231"/>
      <c r="B440" s="231"/>
      <c r="C440" s="231"/>
      <c r="F440" s="10"/>
    </row>
    <row r="441">
      <c r="A441" s="231"/>
      <c r="B441" s="231"/>
      <c r="C441" s="231"/>
      <c r="F441" s="10"/>
    </row>
    <row r="442">
      <c r="A442" s="231"/>
      <c r="B442" s="231"/>
      <c r="C442" s="231"/>
      <c r="F442" s="10"/>
    </row>
    <row r="443">
      <c r="A443" s="231"/>
      <c r="B443" s="231"/>
      <c r="C443" s="231"/>
      <c r="F443" s="10"/>
    </row>
    <row r="444">
      <c r="A444" s="231"/>
      <c r="B444" s="231"/>
      <c r="C444" s="231"/>
      <c r="F444" s="10"/>
    </row>
    <row r="445">
      <c r="A445" s="231"/>
      <c r="B445" s="231"/>
      <c r="C445" s="231"/>
      <c r="F445" s="10"/>
    </row>
    <row r="446">
      <c r="A446" s="231"/>
      <c r="B446" s="231"/>
      <c r="C446" s="231"/>
      <c r="F446" s="10"/>
    </row>
    <row r="447">
      <c r="A447" s="231"/>
      <c r="B447" s="231"/>
      <c r="C447" s="231"/>
      <c r="F447" s="10"/>
    </row>
    <row r="448">
      <c r="A448" s="231"/>
      <c r="B448" s="231"/>
      <c r="C448" s="231"/>
      <c r="F448" s="10"/>
    </row>
    <row r="449">
      <c r="A449" s="231"/>
      <c r="B449" s="231"/>
      <c r="C449" s="231"/>
      <c r="F449" s="10"/>
    </row>
    <row r="450">
      <c r="A450" s="231"/>
      <c r="B450" s="231"/>
      <c r="C450" s="231"/>
      <c r="F450" s="10"/>
    </row>
    <row r="451">
      <c r="A451" s="231"/>
      <c r="B451" s="231"/>
      <c r="C451" s="231"/>
      <c r="F451" s="10"/>
    </row>
    <row r="452">
      <c r="A452" s="231"/>
      <c r="B452" s="231"/>
      <c r="C452" s="231"/>
      <c r="F452" s="10"/>
    </row>
    <row r="453">
      <c r="A453" s="231"/>
      <c r="B453" s="231"/>
      <c r="C453" s="231"/>
      <c r="F453" s="10"/>
    </row>
    <row r="454">
      <c r="A454" s="231"/>
      <c r="B454" s="231"/>
      <c r="C454" s="231"/>
      <c r="F454" s="10"/>
    </row>
    <row r="455">
      <c r="A455" s="231"/>
      <c r="B455" s="231"/>
      <c r="C455" s="231"/>
      <c r="F455" s="10"/>
    </row>
    <row r="456">
      <c r="A456" s="231"/>
      <c r="B456" s="231"/>
      <c r="C456" s="231"/>
      <c r="F456" s="10"/>
    </row>
    <row r="457">
      <c r="A457" s="231"/>
      <c r="B457" s="231"/>
      <c r="C457" s="231"/>
      <c r="F457" s="10"/>
    </row>
    <row r="458">
      <c r="A458" s="231"/>
      <c r="B458" s="231"/>
      <c r="C458" s="231"/>
      <c r="F458" s="10"/>
    </row>
    <row r="459">
      <c r="A459" s="231"/>
      <c r="B459" s="231"/>
      <c r="C459" s="231"/>
      <c r="F459" s="10"/>
    </row>
    <row r="460">
      <c r="A460" s="231"/>
      <c r="B460" s="231"/>
      <c r="C460" s="231"/>
      <c r="F460" s="10"/>
    </row>
    <row r="461">
      <c r="A461" s="231"/>
      <c r="B461" s="231"/>
      <c r="C461" s="231"/>
      <c r="F461" s="10"/>
    </row>
    <row r="462">
      <c r="A462" s="231"/>
      <c r="B462" s="231"/>
      <c r="C462" s="231"/>
      <c r="F462" s="10"/>
    </row>
    <row r="463">
      <c r="A463" s="231"/>
      <c r="B463" s="231"/>
      <c r="C463" s="231"/>
      <c r="F463" s="10"/>
    </row>
    <row r="464">
      <c r="A464" s="231"/>
      <c r="B464" s="231"/>
      <c r="C464" s="231"/>
      <c r="F464" s="10"/>
    </row>
    <row r="465">
      <c r="A465" s="231"/>
      <c r="B465" s="231"/>
      <c r="C465" s="231"/>
      <c r="F465" s="10"/>
    </row>
    <row r="466">
      <c r="A466" s="231"/>
      <c r="B466" s="231"/>
      <c r="C466" s="231"/>
      <c r="F466" s="10"/>
    </row>
    <row r="467">
      <c r="A467" s="231"/>
      <c r="B467" s="231"/>
      <c r="C467" s="231"/>
      <c r="F467" s="10"/>
    </row>
    <row r="468">
      <c r="A468" s="231"/>
      <c r="B468" s="231"/>
      <c r="C468" s="231"/>
      <c r="F468" s="10"/>
    </row>
    <row r="469">
      <c r="A469" s="231"/>
      <c r="B469" s="231"/>
      <c r="C469" s="231"/>
      <c r="F469" s="10"/>
    </row>
    <row r="470">
      <c r="A470" s="231"/>
      <c r="B470" s="231"/>
      <c r="C470" s="231"/>
      <c r="F470" s="10"/>
    </row>
    <row r="471">
      <c r="A471" s="231"/>
      <c r="B471" s="231"/>
      <c r="C471" s="231"/>
      <c r="F471" s="10"/>
    </row>
    <row r="472">
      <c r="A472" s="231"/>
      <c r="B472" s="231"/>
      <c r="C472" s="231"/>
      <c r="F472" s="10"/>
    </row>
    <row r="473">
      <c r="A473" s="231"/>
      <c r="B473" s="231"/>
      <c r="C473" s="231"/>
      <c r="F473" s="10"/>
    </row>
    <row r="474">
      <c r="A474" s="231"/>
      <c r="B474" s="231"/>
      <c r="C474" s="231"/>
      <c r="F474" s="10"/>
    </row>
    <row r="475">
      <c r="A475" s="231"/>
      <c r="B475" s="231"/>
      <c r="C475" s="231"/>
      <c r="F475" s="10"/>
    </row>
    <row r="476">
      <c r="A476" s="231"/>
      <c r="B476" s="231"/>
      <c r="C476" s="231"/>
      <c r="F476" s="10"/>
    </row>
    <row r="477">
      <c r="A477" s="231"/>
      <c r="B477" s="231"/>
      <c r="C477" s="231"/>
      <c r="F477" s="10"/>
    </row>
    <row r="478">
      <c r="A478" s="231"/>
      <c r="B478" s="231"/>
      <c r="C478" s="231"/>
      <c r="F478" s="10"/>
    </row>
    <row r="479">
      <c r="A479" s="231"/>
      <c r="B479" s="231"/>
      <c r="C479" s="231"/>
      <c r="F479" s="10"/>
    </row>
    <row r="480">
      <c r="A480" s="231"/>
      <c r="B480" s="231"/>
      <c r="C480" s="231"/>
      <c r="F480" s="10"/>
    </row>
    <row r="481">
      <c r="A481" s="231"/>
      <c r="B481" s="231"/>
      <c r="C481" s="231"/>
      <c r="F481" s="10"/>
    </row>
    <row r="482">
      <c r="A482" s="231"/>
      <c r="B482" s="231"/>
      <c r="C482" s="231"/>
      <c r="F482" s="10"/>
    </row>
    <row r="483">
      <c r="A483" s="231"/>
      <c r="B483" s="231"/>
      <c r="C483" s="231"/>
      <c r="F483" s="10"/>
    </row>
    <row r="484">
      <c r="A484" s="231"/>
      <c r="B484" s="231"/>
      <c r="C484" s="231"/>
      <c r="F484" s="10"/>
    </row>
    <row r="485">
      <c r="A485" s="231"/>
      <c r="B485" s="231"/>
      <c r="C485" s="231"/>
      <c r="F485" s="10"/>
    </row>
    <row r="486">
      <c r="A486" s="231"/>
      <c r="B486" s="231"/>
      <c r="C486" s="231"/>
      <c r="F486" s="10"/>
    </row>
    <row r="487">
      <c r="A487" s="231"/>
      <c r="B487" s="231"/>
      <c r="C487" s="231"/>
      <c r="F487" s="10"/>
    </row>
    <row r="488">
      <c r="A488" s="231"/>
      <c r="B488" s="231"/>
      <c r="C488" s="231"/>
      <c r="F488" s="10"/>
    </row>
    <row r="489">
      <c r="A489" s="231"/>
      <c r="B489" s="231"/>
      <c r="C489" s="231"/>
      <c r="F489" s="10"/>
    </row>
    <row r="490">
      <c r="A490" s="231"/>
      <c r="B490" s="231"/>
      <c r="C490" s="231"/>
      <c r="F490" s="10"/>
    </row>
    <row r="491">
      <c r="A491" s="231"/>
      <c r="B491" s="231"/>
      <c r="C491" s="231"/>
      <c r="F491" s="10"/>
    </row>
    <row r="492">
      <c r="A492" s="231"/>
      <c r="B492" s="231"/>
      <c r="C492" s="231"/>
      <c r="F492" s="10"/>
    </row>
    <row r="493">
      <c r="A493" s="231"/>
      <c r="B493" s="231"/>
      <c r="C493" s="231"/>
      <c r="F493" s="10"/>
    </row>
    <row r="494">
      <c r="A494" s="231"/>
      <c r="B494" s="231"/>
      <c r="C494" s="231"/>
      <c r="F494" s="10"/>
    </row>
    <row r="495">
      <c r="A495" s="231"/>
      <c r="B495" s="231"/>
      <c r="C495" s="231"/>
      <c r="F495" s="10"/>
    </row>
    <row r="496">
      <c r="A496" s="231"/>
      <c r="B496" s="231"/>
      <c r="C496" s="231"/>
      <c r="F496" s="10"/>
    </row>
    <row r="497">
      <c r="A497" s="231"/>
      <c r="B497" s="231"/>
      <c r="C497" s="231"/>
      <c r="F497" s="10"/>
    </row>
    <row r="498">
      <c r="A498" s="231"/>
      <c r="B498" s="231"/>
      <c r="C498" s="231"/>
      <c r="F498" s="10"/>
    </row>
    <row r="499">
      <c r="A499" s="231"/>
      <c r="B499" s="231"/>
      <c r="C499" s="231"/>
      <c r="F499" s="10"/>
    </row>
    <row r="500">
      <c r="A500" s="231"/>
      <c r="B500" s="231"/>
      <c r="C500" s="231"/>
      <c r="F500" s="10"/>
    </row>
    <row r="501">
      <c r="A501" s="231"/>
      <c r="B501" s="231"/>
      <c r="C501" s="231"/>
      <c r="F501" s="10"/>
    </row>
    <row r="502">
      <c r="A502" s="231"/>
      <c r="B502" s="231"/>
      <c r="C502" s="231"/>
      <c r="F502" s="10"/>
    </row>
    <row r="503">
      <c r="A503" s="231"/>
      <c r="B503" s="231"/>
      <c r="C503" s="231"/>
      <c r="F503" s="10"/>
    </row>
    <row r="504">
      <c r="A504" s="231"/>
      <c r="B504" s="231"/>
      <c r="C504" s="231"/>
      <c r="F504" s="10"/>
    </row>
    <row r="505">
      <c r="A505" s="231"/>
      <c r="B505" s="231"/>
      <c r="C505" s="231"/>
      <c r="F505" s="10"/>
    </row>
    <row r="506">
      <c r="A506" s="231"/>
      <c r="B506" s="231"/>
      <c r="C506" s="231"/>
      <c r="F506" s="10"/>
    </row>
    <row r="507">
      <c r="A507" s="231"/>
      <c r="B507" s="231"/>
      <c r="C507" s="231"/>
      <c r="F507" s="10"/>
    </row>
    <row r="508">
      <c r="A508" s="231"/>
      <c r="B508" s="231"/>
      <c r="C508" s="231"/>
      <c r="F508" s="10"/>
    </row>
    <row r="509">
      <c r="A509" s="231"/>
      <c r="B509" s="231"/>
      <c r="C509" s="231"/>
      <c r="F509" s="10"/>
    </row>
    <row r="510">
      <c r="A510" s="231"/>
      <c r="B510" s="231"/>
      <c r="C510" s="231"/>
      <c r="F510" s="10"/>
    </row>
    <row r="511">
      <c r="A511" s="231"/>
      <c r="B511" s="231"/>
      <c r="C511" s="231"/>
      <c r="F511" s="10"/>
    </row>
    <row r="512">
      <c r="A512" s="231"/>
      <c r="B512" s="231"/>
      <c r="C512" s="231"/>
      <c r="F512" s="10"/>
    </row>
    <row r="513">
      <c r="A513" s="231"/>
      <c r="B513" s="231"/>
      <c r="C513" s="231"/>
      <c r="F513" s="10"/>
    </row>
    <row r="514">
      <c r="A514" s="231"/>
      <c r="B514" s="231"/>
      <c r="C514" s="231"/>
      <c r="F514" s="10"/>
    </row>
    <row r="515">
      <c r="A515" s="231"/>
      <c r="B515" s="231"/>
      <c r="C515" s="231"/>
      <c r="F515" s="10"/>
    </row>
    <row r="516">
      <c r="A516" s="231"/>
      <c r="B516" s="231"/>
      <c r="C516" s="231"/>
      <c r="F516" s="10"/>
    </row>
    <row r="517">
      <c r="A517" s="231"/>
      <c r="B517" s="231"/>
      <c r="C517" s="231"/>
      <c r="F517" s="10"/>
    </row>
    <row r="518">
      <c r="A518" s="231"/>
      <c r="B518" s="231"/>
      <c r="C518" s="231"/>
      <c r="F518" s="10"/>
    </row>
    <row r="519">
      <c r="A519" s="231"/>
      <c r="B519" s="231"/>
      <c r="C519" s="231"/>
      <c r="F519" s="10"/>
    </row>
    <row r="520">
      <c r="A520" s="231"/>
      <c r="B520" s="231"/>
      <c r="C520" s="231"/>
      <c r="F520" s="10"/>
    </row>
    <row r="521">
      <c r="A521" s="231"/>
      <c r="B521" s="231"/>
      <c r="C521" s="231"/>
      <c r="F521" s="10"/>
    </row>
    <row r="522">
      <c r="A522" s="231"/>
      <c r="B522" s="231"/>
      <c r="C522" s="231"/>
      <c r="F522" s="10"/>
    </row>
    <row r="523">
      <c r="A523" s="231"/>
      <c r="B523" s="231"/>
      <c r="C523" s="231"/>
      <c r="F523" s="10"/>
    </row>
    <row r="524">
      <c r="A524" s="231"/>
      <c r="B524" s="231"/>
      <c r="C524" s="231"/>
      <c r="F524" s="10"/>
    </row>
    <row r="525">
      <c r="A525" s="231"/>
      <c r="B525" s="231"/>
      <c r="C525" s="231"/>
      <c r="F525" s="10"/>
    </row>
    <row r="526">
      <c r="A526" s="231"/>
      <c r="B526" s="231"/>
      <c r="C526" s="231"/>
      <c r="F526" s="10"/>
    </row>
    <row r="527">
      <c r="A527" s="231"/>
      <c r="B527" s="231"/>
      <c r="C527" s="231"/>
      <c r="F527" s="10"/>
    </row>
    <row r="528">
      <c r="A528" s="231"/>
      <c r="B528" s="231"/>
      <c r="C528" s="231"/>
      <c r="F528" s="10"/>
    </row>
    <row r="529">
      <c r="A529" s="231"/>
      <c r="B529" s="231"/>
      <c r="C529" s="231"/>
      <c r="F529" s="10"/>
    </row>
    <row r="530">
      <c r="A530" s="231"/>
      <c r="B530" s="231"/>
      <c r="C530" s="231"/>
      <c r="F530" s="10"/>
    </row>
    <row r="531">
      <c r="A531" s="231"/>
      <c r="B531" s="231"/>
      <c r="C531" s="231"/>
      <c r="F531" s="10"/>
    </row>
    <row r="532">
      <c r="A532" s="231"/>
      <c r="B532" s="231"/>
      <c r="C532" s="231"/>
      <c r="F532" s="10"/>
    </row>
    <row r="533">
      <c r="A533" s="231"/>
      <c r="B533" s="231"/>
      <c r="C533" s="231"/>
      <c r="F533" s="10"/>
    </row>
    <row r="534">
      <c r="A534" s="231"/>
      <c r="B534" s="231"/>
      <c r="C534" s="231"/>
      <c r="F534" s="10"/>
    </row>
    <row r="535">
      <c r="A535" s="231"/>
      <c r="B535" s="231"/>
      <c r="C535" s="231"/>
      <c r="F535" s="10"/>
    </row>
    <row r="536">
      <c r="A536" s="231"/>
      <c r="B536" s="231"/>
      <c r="C536" s="231"/>
      <c r="F536" s="10"/>
    </row>
    <row r="537">
      <c r="A537" s="231"/>
      <c r="B537" s="231"/>
      <c r="C537" s="231"/>
      <c r="F537" s="10"/>
    </row>
    <row r="538">
      <c r="A538" s="231"/>
      <c r="B538" s="231"/>
      <c r="C538" s="231"/>
      <c r="F538" s="10"/>
    </row>
    <row r="539">
      <c r="A539" s="231"/>
      <c r="B539" s="231"/>
      <c r="C539" s="231"/>
      <c r="F539" s="10"/>
    </row>
    <row r="540">
      <c r="A540" s="231"/>
      <c r="B540" s="231"/>
      <c r="C540" s="231"/>
      <c r="F540" s="10"/>
    </row>
    <row r="541">
      <c r="A541" s="231"/>
      <c r="B541" s="231"/>
      <c r="C541" s="231"/>
      <c r="F541" s="10"/>
    </row>
    <row r="542">
      <c r="A542" s="231"/>
      <c r="B542" s="231"/>
      <c r="C542" s="231"/>
      <c r="F542" s="10"/>
    </row>
    <row r="543">
      <c r="A543" s="231"/>
      <c r="B543" s="231"/>
      <c r="C543" s="231"/>
      <c r="F543" s="10"/>
    </row>
    <row r="544">
      <c r="A544" s="231"/>
      <c r="B544" s="231"/>
      <c r="C544" s="231"/>
      <c r="F544" s="10"/>
    </row>
    <row r="545">
      <c r="A545" s="231"/>
      <c r="B545" s="231"/>
      <c r="C545" s="231"/>
      <c r="F545" s="10"/>
    </row>
    <row r="546">
      <c r="A546" s="231"/>
      <c r="B546" s="231"/>
      <c r="C546" s="231"/>
      <c r="F546" s="10"/>
    </row>
    <row r="547">
      <c r="A547" s="231"/>
      <c r="B547" s="231"/>
      <c r="C547" s="231"/>
      <c r="F547" s="10"/>
    </row>
    <row r="548">
      <c r="A548" s="231"/>
      <c r="B548" s="231"/>
      <c r="C548" s="231"/>
      <c r="F548" s="10"/>
    </row>
    <row r="549">
      <c r="A549" s="231"/>
      <c r="B549" s="231"/>
      <c r="C549" s="231"/>
      <c r="F549" s="10"/>
    </row>
    <row r="550">
      <c r="A550" s="231"/>
      <c r="B550" s="231"/>
      <c r="C550" s="231"/>
      <c r="F550" s="10"/>
    </row>
    <row r="551">
      <c r="A551" s="231"/>
      <c r="B551" s="231"/>
      <c r="C551" s="231"/>
      <c r="F551" s="10"/>
    </row>
    <row r="552">
      <c r="A552" s="231"/>
      <c r="B552" s="231"/>
      <c r="C552" s="231"/>
      <c r="F552" s="10"/>
    </row>
    <row r="553">
      <c r="A553" s="231"/>
      <c r="B553" s="231"/>
      <c r="C553" s="231"/>
      <c r="F553" s="10"/>
    </row>
    <row r="554">
      <c r="A554" s="231"/>
      <c r="B554" s="231"/>
      <c r="C554" s="231"/>
      <c r="F554" s="10"/>
    </row>
    <row r="555">
      <c r="A555" s="231"/>
      <c r="B555" s="231"/>
      <c r="C555" s="231"/>
      <c r="F555" s="10"/>
    </row>
    <row r="556">
      <c r="A556" s="231"/>
      <c r="B556" s="231"/>
      <c r="C556" s="231"/>
      <c r="F556" s="10"/>
    </row>
    <row r="557">
      <c r="A557" s="231"/>
      <c r="B557" s="231"/>
      <c r="C557" s="231"/>
      <c r="F557" s="10"/>
    </row>
    <row r="558">
      <c r="A558" s="231"/>
      <c r="B558" s="231"/>
      <c r="C558" s="231"/>
      <c r="F558" s="10"/>
    </row>
    <row r="559">
      <c r="A559" s="231"/>
      <c r="B559" s="231"/>
      <c r="C559" s="231"/>
      <c r="F559" s="10"/>
    </row>
    <row r="560">
      <c r="A560" s="231"/>
      <c r="B560" s="231"/>
      <c r="C560" s="231"/>
      <c r="F560" s="10"/>
    </row>
    <row r="561">
      <c r="A561" s="231"/>
      <c r="B561" s="231"/>
      <c r="C561" s="231"/>
      <c r="F561" s="10"/>
    </row>
    <row r="562">
      <c r="A562" s="231"/>
      <c r="B562" s="231"/>
      <c r="C562" s="231"/>
      <c r="F562" s="10"/>
    </row>
    <row r="563">
      <c r="A563" s="231"/>
      <c r="B563" s="231"/>
      <c r="C563" s="231"/>
      <c r="F563" s="10"/>
    </row>
    <row r="564">
      <c r="A564" s="231"/>
      <c r="B564" s="231"/>
      <c r="C564" s="231"/>
      <c r="F564" s="10"/>
    </row>
    <row r="565">
      <c r="A565" s="231"/>
      <c r="B565" s="231"/>
      <c r="C565" s="231"/>
      <c r="F565" s="10"/>
    </row>
    <row r="566">
      <c r="A566" s="231"/>
      <c r="B566" s="231"/>
      <c r="C566" s="231"/>
      <c r="F566" s="10"/>
    </row>
    <row r="567">
      <c r="A567" s="231"/>
      <c r="B567" s="231"/>
      <c r="C567" s="231"/>
      <c r="F567" s="10"/>
    </row>
    <row r="568">
      <c r="A568" s="231"/>
      <c r="B568" s="231"/>
      <c r="C568" s="231"/>
      <c r="F568" s="10"/>
    </row>
    <row r="569">
      <c r="A569" s="231"/>
      <c r="B569" s="231"/>
      <c r="C569" s="231"/>
      <c r="F569" s="10"/>
    </row>
    <row r="570">
      <c r="A570" s="231"/>
      <c r="B570" s="231"/>
      <c r="C570" s="231"/>
      <c r="F570" s="10"/>
    </row>
    <row r="571">
      <c r="A571" s="231"/>
      <c r="B571" s="231"/>
      <c r="C571" s="231"/>
      <c r="F571" s="10"/>
    </row>
    <row r="572">
      <c r="A572" s="231"/>
      <c r="B572" s="231"/>
      <c r="C572" s="231"/>
      <c r="F572" s="10"/>
    </row>
    <row r="573">
      <c r="A573" s="231"/>
      <c r="B573" s="231"/>
      <c r="C573" s="231"/>
      <c r="F573" s="10"/>
    </row>
    <row r="574">
      <c r="A574" s="231"/>
      <c r="B574" s="231"/>
      <c r="C574" s="231"/>
      <c r="F574" s="10"/>
    </row>
    <row r="575">
      <c r="A575" s="231"/>
      <c r="B575" s="231"/>
      <c r="C575" s="231"/>
      <c r="F575" s="10"/>
    </row>
    <row r="576">
      <c r="A576" s="231"/>
      <c r="B576" s="231"/>
      <c r="C576" s="231"/>
      <c r="F576" s="10"/>
    </row>
    <row r="577">
      <c r="A577" s="231"/>
      <c r="B577" s="231"/>
      <c r="C577" s="231"/>
      <c r="F577" s="10"/>
    </row>
    <row r="578">
      <c r="A578" s="231"/>
      <c r="B578" s="231"/>
      <c r="C578" s="231"/>
      <c r="F578" s="10"/>
    </row>
    <row r="579">
      <c r="A579" s="231"/>
      <c r="B579" s="231"/>
      <c r="C579" s="231"/>
      <c r="F579" s="10"/>
    </row>
    <row r="580">
      <c r="A580" s="231"/>
      <c r="B580" s="231"/>
      <c r="C580" s="231"/>
      <c r="F580" s="10"/>
    </row>
    <row r="581">
      <c r="A581" s="231"/>
      <c r="B581" s="231"/>
      <c r="C581" s="231"/>
      <c r="F581" s="10"/>
    </row>
    <row r="582">
      <c r="A582" s="231"/>
      <c r="B582" s="231"/>
      <c r="C582" s="231"/>
      <c r="F582" s="10"/>
    </row>
    <row r="583">
      <c r="A583" s="231"/>
      <c r="B583" s="231"/>
      <c r="C583" s="231"/>
      <c r="F583" s="10"/>
    </row>
    <row r="584">
      <c r="A584" s="231"/>
      <c r="B584" s="231"/>
      <c r="C584" s="231"/>
      <c r="F584" s="10"/>
    </row>
    <row r="585">
      <c r="A585" s="231"/>
      <c r="B585" s="231"/>
      <c r="C585" s="231"/>
      <c r="F585" s="10"/>
    </row>
    <row r="586">
      <c r="A586" s="231"/>
      <c r="B586" s="231"/>
      <c r="C586" s="231"/>
      <c r="F586" s="10"/>
    </row>
    <row r="587">
      <c r="A587" s="231"/>
      <c r="B587" s="231"/>
      <c r="C587" s="231"/>
      <c r="F587" s="10"/>
    </row>
    <row r="588">
      <c r="A588" s="231"/>
      <c r="B588" s="231"/>
      <c r="C588" s="231"/>
      <c r="F588" s="10"/>
    </row>
    <row r="589">
      <c r="A589" s="231"/>
      <c r="B589" s="231"/>
      <c r="C589" s="231"/>
      <c r="F589" s="10"/>
    </row>
    <row r="590">
      <c r="A590" s="231"/>
      <c r="B590" s="231"/>
      <c r="C590" s="231"/>
      <c r="F590" s="10"/>
    </row>
    <row r="591">
      <c r="A591" s="231"/>
      <c r="B591" s="231"/>
      <c r="C591" s="231"/>
      <c r="F591" s="10"/>
    </row>
    <row r="592">
      <c r="A592" s="231"/>
      <c r="B592" s="231"/>
      <c r="C592" s="231"/>
      <c r="F592" s="10"/>
    </row>
    <row r="593">
      <c r="A593" s="231"/>
      <c r="B593" s="231"/>
      <c r="C593" s="231"/>
      <c r="F593" s="10"/>
    </row>
    <row r="594">
      <c r="A594" s="231"/>
      <c r="B594" s="231"/>
      <c r="C594" s="231"/>
      <c r="F594" s="10"/>
    </row>
    <row r="595">
      <c r="A595" s="231"/>
      <c r="B595" s="231"/>
      <c r="C595" s="231"/>
      <c r="F595" s="10"/>
    </row>
    <row r="596">
      <c r="A596" s="231"/>
      <c r="B596" s="231"/>
      <c r="C596" s="231"/>
      <c r="F596" s="10"/>
    </row>
    <row r="597">
      <c r="A597" s="231"/>
      <c r="B597" s="231"/>
      <c r="C597" s="231"/>
      <c r="F597" s="10"/>
    </row>
    <row r="598">
      <c r="A598" s="231"/>
      <c r="B598" s="231"/>
      <c r="C598" s="231"/>
      <c r="F598" s="10"/>
    </row>
    <row r="599">
      <c r="A599" s="231"/>
      <c r="B599" s="231"/>
      <c r="C599" s="231"/>
      <c r="F599" s="10"/>
    </row>
    <row r="600">
      <c r="A600" s="231"/>
      <c r="B600" s="231"/>
      <c r="C600" s="231"/>
      <c r="F600" s="10"/>
    </row>
    <row r="601">
      <c r="A601" s="231"/>
      <c r="B601" s="231"/>
      <c r="C601" s="231"/>
      <c r="F601" s="10"/>
    </row>
    <row r="602">
      <c r="A602" s="231"/>
      <c r="B602" s="231"/>
      <c r="C602" s="231"/>
      <c r="F602" s="10"/>
    </row>
    <row r="603">
      <c r="A603" s="231"/>
      <c r="B603" s="231"/>
      <c r="C603" s="231"/>
      <c r="F603" s="10"/>
    </row>
    <row r="604">
      <c r="A604" s="231"/>
      <c r="B604" s="231"/>
      <c r="C604" s="231"/>
      <c r="F604" s="10"/>
    </row>
    <row r="605">
      <c r="A605" s="231"/>
      <c r="B605" s="231"/>
      <c r="C605" s="231"/>
      <c r="F605" s="10"/>
    </row>
    <row r="606">
      <c r="A606" s="231"/>
      <c r="B606" s="231"/>
      <c r="C606" s="231"/>
      <c r="F606" s="10"/>
    </row>
    <row r="607">
      <c r="A607" s="231"/>
      <c r="B607" s="231"/>
      <c r="C607" s="231"/>
      <c r="F607" s="10"/>
    </row>
    <row r="608">
      <c r="A608" s="231"/>
      <c r="B608" s="231"/>
      <c r="C608" s="231"/>
      <c r="F608" s="10"/>
    </row>
    <row r="609">
      <c r="A609" s="231"/>
      <c r="B609" s="231"/>
      <c r="C609" s="231"/>
      <c r="F609" s="10"/>
    </row>
    <row r="610">
      <c r="A610" s="231"/>
      <c r="B610" s="231"/>
      <c r="C610" s="231"/>
      <c r="F610" s="10"/>
    </row>
    <row r="611">
      <c r="A611" s="231"/>
      <c r="B611" s="231"/>
      <c r="C611" s="231"/>
      <c r="F611" s="10"/>
    </row>
    <row r="612">
      <c r="A612" s="231"/>
      <c r="B612" s="231"/>
      <c r="C612" s="231"/>
      <c r="F612" s="10"/>
    </row>
    <row r="613">
      <c r="A613" s="231"/>
      <c r="B613" s="231"/>
      <c r="C613" s="231"/>
      <c r="F613" s="10"/>
    </row>
    <row r="614">
      <c r="A614" s="231"/>
      <c r="B614" s="231"/>
      <c r="C614" s="231"/>
      <c r="F614" s="10"/>
    </row>
    <row r="615">
      <c r="A615" s="231"/>
      <c r="B615" s="231"/>
      <c r="C615" s="231"/>
      <c r="F615" s="10"/>
    </row>
    <row r="616">
      <c r="A616" s="231"/>
      <c r="B616" s="231"/>
      <c r="C616" s="231"/>
      <c r="F616" s="10"/>
    </row>
    <row r="617">
      <c r="A617" s="231"/>
      <c r="B617" s="231"/>
      <c r="C617" s="231"/>
      <c r="F617" s="10"/>
    </row>
    <row r="618">
      <c r="A618" s="231"/>
      <c r="B618" s="231"/>
      <c r="C618" s="231"/>
      <c r="F618" s="10"/>
    </row>
    <row r="619">
      <c r="A619" s="231"/>
      <c r="B619" s="231"/>
      <c r="C619" s="231"/>
      <c r="F619" s="10"/>
    </row>
    <row r="620">
      <c r="A620" s="231"/>
      <c r="B620" s="231"/>
      <c r="C620" s="231"/>
      <c r="F620" s="10"/>
    </row>
    <row r="621">
      <c r="A621" s="231"/>
      <c r="B621" s="231"/>
      <c r="C621" s="231"/>
      <c r="F621" s="10"/>
    </row>
    <row r="622">
      <c r="A622" s="231"/>
      <c r="B622" s="231"/>
      <c r="C622" s="231"/>
      <c r="F622" s="10"/>
    </row>
    <row r="623">
      <c r="A623" s="231"/>
      <c r="B623" s="231"/>
      <c r="C623" s="231"/>
      <c r="F623" s="10"/>
    </row>
    <row r="624">
      <c r="A624" s="231"/>
      <c r="B624" s="231"/>
      <c r="C624" s="231"/>
      <c r="F624" s="10"/>
    </row>
    <row r="625">
      <c r="A625" s="231"/>
      <c r="B625" s="231"/>
      <c r="C625" s="231"/>
      <c r="F625" s="10"/>
    </row>
    <row r="626">
      <c r="A626" s="231"/>
      <c r="B626" s="231"/>
      <c r="C626" s="231"/>
      <c r="F626" s="10"/>
    </row>
    <row r="627">
      <c r="A627" s="231"/>
      <c r="B627" s="231"/>
      <c r="C627" s="231"/>
      <c r="F627" s="10"/>
    </row>
    <row r="628">
      <c r="A628" s="231"/>
      <c r="B628" s="231"/>
      <c r="C628" s="231"/>
      <c r="F628" s="10"/>
    </row>
    <row r="629">
      <c r="A629" s="231"/>
      <c r="B629" s="231"/>
      <c r="C629" s="231"/>
      <c r="F629" s="10"/>
    </row>
    <row r="630">
      <c r="A630" s="231"/>
      <c r="B630" s="231"/>
      <c r="C630" s="231"/>
      <c r="F630" s="10"/>
    </row>
    <row r="631">
      <c r="A631" s="231"/>
      <c r="B631" s="231"/>
      <c r="C631" s="231"/>
      <c r="F631" s="10"/>
    </row>
    <row r="632">
      <c r="A632" s="231"/>
      <c r="B632" s="231"/>
      <c r="C632" s="231"/>
      <c r="F632" s="10"/>
    </row>
    <row r="633">
      <c r="A633" s="231"/>
      <c r="B633" s="231"/>
      <c r="C633" s="231"/>
      <c r="F633" s="10"/>
    </row>
    <row r="634">
      <c r="A634" s="231"/>
      <c r="B634" s="231"/>
      <c r="C634" s="231"/>
      <c r="F634" s="10"/>
    </row>
    <row r="635">
      <c r="A635" s="231"/>
      <c r="B635" s="231"/>
      <c r="C635" s="231"/>
      <c r="F635" s="10"/>
    </row>
    <row r="636">
      <c r="A636" s="231"/>
      <c r="B636" s="231"/>
      <c r="C636" s="231"/>
      <c r="F636" s="10"/>
    </row>
    <row r="637">
      <c r="A637" s="231"/>
      <c r="B637" s="231"/>
      <c r="C637" s="231"/>
      <c r="F637" s="10"/>
    </row>
    <row r="638">
      <c r="A638" s="231"/>
      <c r="B638" s="231"/>
      <c r="C638" s="231"/>
      <c r="F638" s="10"/>
    </row>
    <row r="639">
      <c r="A639" s="231"/>
      <c r="B639" s="231"/>
      <c r="C639" s="231"/>
      <c r="F639" s="10"/>
    </row>
    <row r="640">
      <c r="A640" s="231"/>
      <c r="B640" s="231"/>
      <c r="C640" s="231"/>
      <c r="F640" s="10"/>
    </row>
    <row r="641">
      <c r="A641" s="231"/>
      <c r="B641" s="231"/>
      <c r="C641" s="231"/>
      <c r="F641" s="10"/>
    </row>
    <row r="642">
      <c r="A642" s="231"/>
      <c r="B642" s="231"/>
      <c r="C642" s="231"/>
      <c r="F642" s="10"/>
    </row>
    <row r="643">
      <c r="A643" s="231"/>
      <c r="B643" s="231"/>
      <c r="C643" s="231"/>
      <c r="F643" s="10"/>
    </row>
    <row r="644">
      <c r="A644" s="231"/>
      <c r="B644" s="231"/>
      <c r="C644" s="231"/>
      <c r="F644" s="10"/>
    </row>
    <row r="645">
      <c r="A645" s="231"/>
      <c r="B645" s="231"/>
      <c r="C645" s="231"/>
      <c r="F645" s="10"/>
    </row>
    <row r="646">
      <c r="A646" s="231"/>
      <c r="B646" s="231"/>
      <c r="C646" s="231"/>
      <c r="F646" s="10"/>
    </row>
    <row r="647">
      <c r="A647" s="231"/>
      <c r="B647" s="231"/>
      <c r="C647" s="231"/>
      <c r="F647" s="10"/>
    </row>
    <row r="648">
      <c r="A648" s="231"/>
      <c r="B648" s="231"/>
      <c r="C648" s="231"/>
      <c r="F648" s="10"/>
    </row>
    <row r="649">
      <c r="A649" s="231"/>
      <c r="B649" s="231"/>
      <c r="C649" s="231"/>
      <c r="F649" s="10"/>
    </row>
    <row r="650">
      <c r="A650" s="231"/>
      <c r="B650" s="231"/>
      <c r="C650" s="231"/>
      <c r="F650" s="10"/>
    </row>
    <row r="651">
      <c r="A651" s="231"/>
      <c r="B651" s="231"/>
      <c r="C651" s="231"/>
      <c r="F651" s="10"/>
    </row>
    <row r="652">
      <c r="A652" s="231"/>
      <c r="B652" s="231"/>
      <c r="C652" s="231"/>
      <c r="F652" s="10"/>
    </row>
    <row r="653">
      <c r="A653" s="231"/>
      <c r="B653" s="231"/>
      <c r="C653" s="231"/>
      <c r="F653" s="10"/>
    </row>
    <row r="654">
      <c r="A654" s="231"/>
      <c r="B654" s="231"/>
      <c r="C654" s="231"/>
      <c r="F654" s="10"/>
    </row>
    <row r="655">
      <c r="A655" s="231"/>
      <c r="B655" s="231"/>
      <c r="C655" s="231"/>
      <c r="F655" s="10"/>
    </row>
    <row r="656">
      <c r="A656" s="231"/>
      <c r="B656" s="231"/>
      <c r="C656" s="231"/>
      <c r="F656" s="10"/>
    </row>
    <row r="657">
      <c r="A657" s="231"/>
      <c r="B657" s="231"/>
      <c r="C657" s="231"/>
      <c r="F657" s="10"/>
    </row>
    <row r="658">
      <c r="A658" s="231"/>
      <c r="B658" s="231"/>
      <c r="C658" s="231"/>
      <c r="F658" s="10"/>
    </row>
    <row r="659">
      <c r="A659" s="231"/>
      <c r="B659" s="231"/>
      <c r="C659" s="231"/>
      <c r="F659" s="10"/>
    </row>
    <row r="660">
      <c r="A660" s="231"/>
      <c r="B660" s="231"/>
      <c r="C660" s="231"/>
      <c r="F660" s="10"/>
    </row>
    <row r="661">
      <c r="A661" s="231"/>
      <c r="B661" s="231"/>
      <c r="C661" s="231"/>
      <c r="F661" s="10"/>
    </row>
    <row r="662">
      <c r="A662" s="231"/>
      <c r="B662" s="231"/>
      <c r="C662" s="231"/>
      <c r="F662" s="10"/>
    </row>
    <row r="663">
      <c r="A663" s="231"/>
      <c r="B663" s="231"/>
      <c r="C663" s="231"/>
      <c r="F663" s="10"/>
    </row>
    <row r="664">
      <c r="A664" s="231"/>
      <c r="B664" s="231"/>
      <c r="C664" s="231"/>
      <c r="F664" s="10"/>
    </row>
    <row r="665">
      <c r="A665" s="231"/>
      <c r="B665" s="231"/>
      <c r="C665" s="231"/>
      <c r="F665" s="10"/>
    </row>
    <row r="666">
      <c r="A666" s="231"/>
      <c r="B666" s="231"/>
      <c r="C666" s="231"/>
      <c r="F666" s="10"/>
    </row>
    <row r="667">
      <c r="A667" s="231"/>
      <c r="B667" s="231"/>
      <c r="C667" s="231"/>
      <c r="F667" s="10"/>
    </row>
    <row r="668">
      <c r="A668" s="231"/>
      <c r="B668" s="231"/>
      <c r="C668" s="231"/>
      <c r="F668" s="10"/>
    </row>
    <row r="669">
      <c r="A669" s="231"/>
      <c r="B669" s="231"/>
      <c r="C669" s="231"/>
      <c r="F669" s="10"/>
    </row>
    <row r="670">
      <c r="A670" s="231"/>
      <c r="B670" s="231"/>
      <c r="C670" s="231"/>
      <c r="F670" s="10"/>
    </row>
    <row r="671">
      <c r="A671" s="231"/>
      <c r="B671" s="231"/>
      <c r="C671" s="231"/>
      <c r="F671" s="10"/>
    </row>
    <row r="672">
      <c r="A672" s="231"/>
      <c r="B672" s="231"/>
      <c r="C672" s="231"/>
      <c r="F672" s="10"/>
    </row>
    <row r="673">
      <c r="A673" s="231"/>
      <c r="B673" s="231"/>
      <c r="C673" s="231"/>
      <c r="F673" s="10"/>
    </row>
    <row r="674">
      <c r="A674" s="231"/>
      <c r="B674" s="231"/>
      <c r="C674" s="231"/>
      <c r="F674" s="10"/>
    </row>
    <row r="675">
      <c r="A675" s="231"/>
      <c r="B675" s="231"/>
      <c r="C675" s="231"/>
      <c r="F675" s="10"/>
    </row>
    <row r="676">
      <c r="A676" s="231"/>
      <c r="B676" s="231"/>
      <c r="C676" s="231"/>
      <c r="F676" s="10"/>
    </row>
    <row r="677">
      <c r="A677" s="231"/>
      <c r="B677" s="231"/>
      <c r="C677" s="231"/>
      <c r="F677" s="10"/>
    </row>
    <row r="678">
      <c r="A678" s="231"/>
      <c r="B678" s="231"/>
      <c r="C678" s="231"/>
      <c r="F678" s="10"/>
    </row>
    <row r="679">
      <c r="A679" s="231"/>
      <c r="B679" s="231"/>
      <c r="C679" s="231"/>
      <c r="F679" s="10"/>
    </row>
    <row r="680">
      <c r="A680" s="231"/>
      <c r="B680" s="231"/>
      <c r="C680" s="231"/>
      <c r="F680" s="10"/>
    </row>
    <row r="681">
      <c r="A681" s="231"/>
      <c r="B681" s="231"/>
      <c r="C681" s="231"/>
      <c r="F681" s="10"/>
    </row>
    <row r="682">
      <c r="A682" s="231"/>
      <c r="B682" s="231"/>
      <c r="C682" s="231"/>
      <c r="F682" s="10"/>
    </row>
    <row r="683">
      <c r="A683" s="231"/>
      <c r="B683" s="231"/>
      <c r="C683" s="231"/>
      <c r="F683" s="10"/>
    </row>
    <row r="684">
      <c r="A684" s="231"/>
      <c r="B684" s="231"/>
      <c r="C684" s="231"/>
      <c r="F684" s="10"/>
    </row>
    <row r="685">
      <c r="A685" s="231"/>
      <c r="B685" s="231"/>
      <c r="C685" s="231"/>
      <c r="F685" s="10"/>
    </row>
    <row r="686">
      <c r="A686" s="231"/>
      <c r="B686" s="231"/>
      <c r="C686" s="231"/>
      <c r="F686" s="10"/>
    </row>
    <row r="687">
      <c r="A687" s="231"/>
      <c r="B687" s="231"/>
      <c r="C687" s="231"/>
      <c r="F687" s="10"/>
    </row>
    <row r="688">
      <c r="A688" s="231"/>
      <c r="B688" s="231"/>
      <c r="C688" s="231"/>
      <c r="F688" s="10"/>
    </row>
    <row r="689">
      <c r="A689" s="231"/>
      <c r="B689" s="231"/>
      <c r="C689" s="231"/>
      <c r="F689" s="10"/>
    </row>
    <row r="690">
      <c r="A690" s="231"/>
      <c r="B690" s="231"/>
      <c r="C690" s="231"/>
      <c r="F690" s="10"/>
    </row>
    <row r="691">
      <c r="A691" s="231"/>
      <c r="B691" s="231"/>
      <c r="C691" s="231"/>
      <c r="F691" s="10"/>
    </row>
    <row r="692">
      <c r="A692" s="231"/>
      <c r="B692" s="231"/>
      <c r="C692" s="231"/>
      <c r="F692" s="10"/>
    </row>
    <row r="693">
      <c r="A693" s="231"/>
      <c r="B693" s="231"/>
      <c r="C693" s="231"/>
      <c r="F693" s="10"/>
    </row>
    <row r="694">
      <c r="A694" s="231"/>
      <c r="B694" s="231"/>
      <c r="C694" s="231"/>
      <c r="F694" s="10"/>
    </row>
    <row r="695">
      <c r="A695" s="231"/>
      <c r="B695" s="231"/>
      <c r="C695" s="231"/>
      <c r="F695" s="10"/>
    </row>
    <row r="696">
      <c r="A696" s="231"/>
      <c r="B696" s="231"/>
      <c r="C696" s="231"/>
      <c r="F696" s="10"/>
    </row>
    <row r="697">
      <c r="A697" s="231"/>
      <c r="B697" s="231"/>
      <c r="C697" s="231"/>
      <c r="F697" s="10"/>
    </row>
    <row r="698">
      <c r="A698" s="231"/>
      <c r="B698" s="231"/>
      <c r="C698" s="231"/>
      <c r="F698" s="10"/>
    </row>
    <row r="699">
      <c r="A699" s="231"/>
      <c r="B699" s="231"/>
      <c r="C699" s="231"/>
      <c r="F699" s="10"/>
    </row>
    <row r="700">
      <c r="A700" s="231"/>
      <c r="B700" s="231"/>
      <c r="C700" s="231"/>
      <c r="F700" s="10"/>
    </row>
    <row r="701">
      <c r="A701" s="231"/>
      <c r="B701" s="231"/>
      <c r="C701" s="231"/>
      <c r="F701" s="10"/>
    </row>
    <row r="702">
      <c r="A702" s="231"/>
      <c r="B702" s="231"/>
      <c r="C702" s="231"/>
      <c r="F702" s="10"/>
    </row>
    <row r="703">
      <c r="A703" s="231"/>
      <c r="B703" s="231"/>
      <c r="C703" s="231"/>
      <c r="F703" s="10"/>
    </row>
    <row r="704">
      <c r="A704" s="231"/>
      <c r="B704" s="231"/>
      <c r="C704" s="231"/>
      <c r="F704" s="10"/>
    </row>
    <row r="705">
      <c r="A705" s="231"/>
      <c r="B705" s="231"/>
      <c r="C705" s="231"/>
      <c r="F705" s="10"/>
    </row>
    <row r="706">
      <c r="A706" s="231"/>
      <c r="B706" s="231"/>
      <c r="C706" s="231"/>
      <c r="F706" s="10"/>
    </row>
    <row r="707">
      <c r="A707" s="231"/>
      <c r="B707" s="231"/>
      <c r="C707" s="231"/>
      <c r="F707" s="10"/>
    </row>
    <row r="708">
      <c r="A708" s="231"/>
      <c r="B708" s="231"/>
      <c r="C708" s="231"/>
      <c r="F708" s="10"/>
    </row>
    <row r="709">
      <c r="A709" s="231"/>
      <c r="B709" s="231"/>
      <c r="C709" s="231"/>
      <c r="F709" s="10"/>
    </row>
    <row r="710">
      <c r="A710" s="231"/>
      <c r="B710" s="231"/>
      <c r="C710" s="231"/>
      <c r="F710" s="10"/>
    </row>
    <row r="711">
      <c r="A711" s="231"/>
      <c r="B711" s="231"/>
      <c r="C711" s="231"/>
      <c r="F711" s="10"/>
    </row>
    <row r="712">
      <c r="A712" s="231"/>
      <c r="B712" s="231"/>
      <c r="C712" s="231"/>
      <c r="F712" s="10"/>
    </row>
    <row r="713">
      <c r="A713" s="231"/>
      <c r="B713" s="231"/>
      <c r="C713" s="231"/>
      <c r="F713" s="10"/>
    </row>
    <row r="714">
      <c r="A714" s="231"/>
      <c r="B714" s="231"/>
      <c r="C714" s="231"/>
      <c r="F714" s="10"/>
    </row>
    <row r="715">
      <c r="A715" s="231"/>
      <c r="B715" s="231"/>
      <c r="C715" s="231"/>
      <c r="F715" s="10"/>
    </row>
    <row r="716">
      <c r="A716" s="231"/>
      <c r="B716" s="231"/>
      <c r="C716" s="231"/>
      <c r="F716" s="10"/>
    </row>
    <row r="717">
      <c r="A717" s="231"/>
      <c r="B717" s="231"/>
      <c r="C717" s="231"/>
      <c r="F717" s="10"/>
    </row>
    <row r="718">
      <c r="A718" s="231"/>
      <c r="B718" s="231"/>
      <c r="C718" s="231"/>
      <c r="F718" s="10"/>
    </row>
    <row r="719">
      <c r="A719" s="231"/>
      <c r="B719" s="231"/>
      <c r="C719" s="231"/>
      <c r="F719" s="10"/>
    </row>
    <row r="720">
      <c r="A720" s="231"/>
      <c r="B720" s="231"/>
      <c r="C720" s="231"/>
      <c r="F720" s="10"/>
    </row>
    <row r="721">
      <c r="A721" s="231"/>
      <c r="B721" s="231"/>
      <c r="C721" s="231"/>
      <c r="F721" s="10"/>
    </row>
    <row r="722">
      <c r="A722" s="231"/>
      <c r="B722" s="231"/>
      <c r="C722" s="231"/>
      <c r="F722" s="10"/>
    </row>
    <row r="723">
      <c r="A723" s="231"/>
      <c r="B723" s="231"/>
      <c r="C723" s="231"/>
      <c r="F723" s="10"/>
    </row>
    <row r="724">
      <c r="A724" s="231"/>
      <c r="B724" s="231"/>
      <c r="C724" s="231"/>
      <c r="F724" s="10"/>
    </row>
    <row r="725">
      <c r="A725" s="231"/>
      <c r="B725" s="231"/>
      <c r="C725" s="231"/>
      <c r="F725" s="10"/>
    </row>
    <row r="726">
      <c r="A726" s="231"/>
      <c r="B726" s="231"/>
      <c r="C726" s="231"/>
      <c r="F726" s="10"/>
    </row>
    <row r="727">
      <c r="A727" s="231"/>
      <c r="B727" s="231"/>
      <c r="C727" s="231"/>
      <c r="F727" s="10"/>
    </row>
    <row r="728">
      <c r="A728" s="231"/>
      <c r="B728" s="231"/>
      <c r="C728" s="231"/>
      <c r="F728" s="10"/>
    </row>
    <row r="729">
      <c r="A729" s="231"/>
      <c r="B729" s="231"/>
      <c r="C729" s="231"/>
      <c r="F729" s="10"/>
    </row>
    <row r="730">
      <c r="A730" s="231"/>
      <c r="B730" s="231"/>
      <c r="C730" s="231"/>
      <c r="F730" s="10"/>
    </row>
    <row r="731">
      <c r="A731" s="231"/>
      <c r="B731" s="231"/>
      <c r="C731" s="231"/>
      <c r="F731" s="10"/>
    </row>
    <row r="732">
      <c r="A732" s="231"/>
      <c r="B732" s="231"/>
      <c r="C732" s="231"/>
      <c r="F732" s="10"/>
    </row>
    <row r="733">
      <c r="A733" s="231"/>
      <c r="B733" s="231"/>
      <c r="C733" s="231"/>
      <c r="F733" s="10"/>
    </row>
    <row r="734">
      <c r="A734" s="231"/>
      <c r="B734" s="231"/>
      <c r="C734" s="231"/>
      <c r="F734" s="10"/>
    </row>
    <row r="735">
      <c r="A735" s="231"/>
      <c r="B735" s="231"/>
      <c r="C735" s="231"/>
      <c r="F735" s="10"/>
    </row>
    <row r="736">
      <c r="A736" s="231"/>
      <c r="B736" s="231"/>
      <c r="C736" s="231"/>
      <c r="F736" s="10"/>
    </row>
    <row r="737">
      <c r="A737" s="231"/>
      <c r="B737" s="231"/>
      <c r="C737" s="231"/>
      <c r="F737" s="10"/>
    </row>
    <row r="738">
      <c r="A738" s="231"/>
      <c r="B738" s="231"/>
      <c r="C738" s="231"/>
      <c r="F738" s="10"/>
    </row>
    <row r="739">
      <c r="A739" s="231"/>
      <c r="B739" s="231"/>
      <c r="C739" s="231"/>
      <c r="F739" s="10"/>
    </row>
    <row r="740">
      <c r="A740" s="231"/>
      <c r="B740" s="231"/>
      <c r="C740" s="231"/>
      <c r="F740" s="10"/>
    </row>
    <row r="741">
      <c r="A741" s="231"/>
      <c r="B741" s="231"/>
      <c r="C741" s="231"/>
      <c r="F741" s="10"/>
    </row>
    <row r="742">
      <c r="A742" s="231"/>
      <c r="B742" s="231"/>
      <c r="C742" s="231"/>
      <c r="F742" s="10"/>
    </row>
    <row r="743">
      <c r="A743" s="231"/>
      <c r="B743" s="231"/>
      <c r="C743" s="231"/>
      <c r="F743" s="10"/>
    </row>
    <row r="744">
      <c r="A744" s="231"/>
      <c r="B744" s="231"/>
      <c r="C744" s="231"/>
      <c r="F744" s="10"/>
    </row>
    <row r="745">
      <c r="A745" s="231"/>
      <c r="B745" s="231"/>
      <c r="C745" s="231"/>
      <c r="F745" s="10"/>
    </row>
    <row r="746">
      <c r="A746" s="231"/>
      <c r="B746" s="231"/>
      <c r="C746" s="231"/>
      <c r="F746" s="10"/>
    </row>
    <row r="747">
      <c r="A747" s="231"/>
      <c r="B747" s="231"/>
      <c r="C747" s="231"/>
      <c r="F747" s="10"/>
    </row>
    <row r="748">
      <c r="A748" s="231"/>
      <c r="B748" s="231"/>
      <c r="C748" s="231"/>
      <c r="F748" s="10"/>
    </row>
    <row r="749">
      <c r="A749" s="231"/>
      <c r="B749" s="231"/>
      <c r="C749" s="231"/>
      <c r="F749" s="10"/>
    </row>
    <row r="750">
      <c r="A750" s="231"/>
      <c r="B750" s="231"/>
      <c r="C750" s="231"/>
      <c r="F750" s="10"/>
    </row>
    <row r="751">
      <c r="A751" s="231"/>
      <c r="B751" s="231"/>
      <c r="C751" s="231"/>
      <c r="F751" s="10"/>
    </row>
    <row r="752">
      <c r="A752" s="231"/>
      <c r="B752" s="231"/>
      <c r="C752" s="231"/>
      <c r="F752" s="10"/>
    </row>
    <row r="753">
      <c r="A753" s="231"/>
      <c r="B753" s="231"/>
      <c r="C753" s="231"/>
      <c r="F753" s="10"/>
    </row>
    <row r="754">
      <c r="A754" s="231"/>
      <c r="B754" s="231"/>
      <c r="C754" s="231"/>
      <c r="F754" s="10"/>
    </row>
    <row r="755">
      <c r="A755" s="231"/>
      <c r="B755" s="231"/>
      <c r="C755" s="231"/>
      <c r="F755" s="10"/>
    </row>
    <row r="756">
      <c r="A756" s="231"/>
      <c r="B756" s="231"/>
      <c r="C756" s="231"/>
      <c r="F756" s="10"/>
    </row>
    <row r="757">
      <c r="A757" s="231"/>
      <c r="B757" s="231"/>
      <c r="C757" s="231"/>
      <c r="F757" s="10"/>
    </row>
    <row r="758">
      <c r="A758" s="231"/>
      <c r="B758" s="231"/>
      <c r="C758" s="231"/>
      <c r="F758" s="10"/>
    </row>
    <row r="759">
      <c r="A759" s="231"/>
      <c r="B759" s="231"/>
      <c r="C759" s="231"/>
      <c r="F759" s="10"/>
    </row>
    <row r="760">
      <c r="A760" s="231"/>
      <c r="B760" s="231"/>
      <c r="C760" s="231"/>
      <c r="F760" s="10"/>
    </row>
    <row r="761">
      <c r="A761" s="231"/>
      <c r="B761" s="231"/>
      <c r="C761" s="231"/>
      <c r="F761" s="10"/>
    </row>
    <row r="762">
      <c r="A762" s="231"/>
      <c r="B762" s="231"/>
      <c r="C762" s="231"/>
      <c r="F762" s="10"/>
    </row>
    <row r="763">
      <c r="A763" s="231"/>
      <c r="B763" s="231"/>
      <c r="C763" s="231"/>
      <c r="F763" s="10"/>
    </row>
    <row r="764">
      <c r="A764" s="231"/>
      <c r="B764" s="231"/>
      <c r="C764" s="231"/>
      <c r="F764" s="10"/>
    </row>
    <row r="765">
      <c r="A765" s="231"/>
      <c r="B765" s="231"/>
      <c r="C765" s="231"/>
      <c r="F765" s="10"/>
    </row>
    <row r="766">
      <c r="A766" s="231"/>
      <c r="B766" s="231"/>
      <c r="C766" s="231"/>
      <c r="F766" s="10"/>
    </row>
    <row r="767">
      <c r="A767" s="231"/>
      <c r="B767" s="231"/>
      <c r="C767" s="231"/>
      <c r="F767" s="10"/>
    </row>
    <row r="768">
      <c r="A768" s="231"/>
      <c r="B768" s="231"/>
      <c r="C768" s="231"/>
      <c r="F768" s="10"/>
    </row>
    <row r="769">
      <c r="A769" s="231"/>
      <c r="B769" s="231"/>
      <c r="C769" s="231"/>
      <c r="F769" s="10"/>
    </row>
    <row r="770">
      <c r="A770" s="231"/>
      <c r="B770" s="231"/>
      <c r="C770" s="231"/>
      <c r="F770" s="10"/>
    </row>
    <row r="771">
      <c r="A771" s="231"/>
      <c r="B771" s="231"/>
      <c r="C771" s="231"/>
      <c r="F771" s="10"/>
    </row>
    <row r="772">
      <c r="A772" s="231"/>
      <c r="B772" s="231"/>
      <c r="C772" s="231"/>
      <c r="F772" s="10"/>
    </row>
    <row r="773">
      <c r="A773" s="231"/>
      <c r="B773" s="231"/>
      <c r="C773" s="231"/>
      <c r="F773" s="10"/>
    </row>
    <row r="774">
      <c r="A774" s="231"/>
      <c r="B774" s="231"/>
      <c r="C774" s="231"/>
      <c r="F774" s="10"/>
    </row>
    <row r="775">
      <c r="A775" s="231"/>
      <c r="B775" s="231"/>
      <c r="C775" s="231"/>
      <c r="F775" s="10"/>
    </row>
    <row r="776">
      <c r="A776" s="231"/>
      <c r="B776" s="231"/>
      <c r="C776" s="231"/>
      <c r="F776" s="10"/>
    </row>
    <row r="777">
      <c r="A777" s="231"/>
      <c r="B777" s="231"/>
      <c r="C777" s="231"/>
      <c r="F777" s="10"/>
    </row>
    <row r="778">
      <c r="A778" s="231"/>
      <c r="B778" s="231"/>
      <c r="C778" s="231"/>
      <c r="F778" s="10"/>
    </row>
    <row r="779">
      <c r="A779" s="231"/>
      <c r="B779" s="231"/>
      <c r="C779" s="231"/>
      <c r="F779" s="10"/>
    </row>
    <row r="780">
      <c r="A780" s="231"/>
      <c r="B780" s="231"/>
      <c r="C780" s="231"/>
      <c r="F780" s="10"/>
    </row>
    <row r="781">
      <c r="A781" s="231"/>
      <c r="B781" s="231"/>
      <c r="C781" s="231"/>
      <c r="F781" s="10"/>
    </row>
    <row r="782">
      <c r="A782" s="231"/>
      <c r="B782" s="231"/>
      <c r="C782" s="231"/>
      <c r="F782" s="10"/>
    </row>
    <row r="783">
      <c r="A783" s="231"/>
      <c r="B783" s="231"/>
      <c r="C783" s="231"/>
      <c r="F783" s="10"/>
    </row>
    <row r="784">
      <c r="A784" s="231"/>
      <c r="B784" s="231"/>
      <c r="C784" s="231"/>
      <c r="F784" s="10"/>
    </row>
    <row r="785">
      <c r="A785" s="231"/>
      <c r="B785" s="231"/>
      <c r="C785" s="231"/>
      <c r="F785" s="10"/>
    </row>
    <row r="786">
      <c r="A786" s="231"/>
      <c r="B786" s="231"/>
      <c r="C786" s="231"/>
      <c r="F786" s="10"/>
    </row>
    <row r="787">
      <c r="A787" s="231"/>
      <c r="B787" s="231"/>
      <c r="C787" s="231"/>
      <c r="F787" s="10"/>
    </row>
    <row r="788">
      <c r="A788" s="231"/>
      <c r="B788" s="231"/>
      <c r="C788" s="231"/>
      <c r="F788" s="10"/>
    </row>
    <row r="789">
      <c r="A789" s="231"/>
      <c r="B789" s="231"/>
      <c r="C789" s="231"/>
      <c r="F789" s="10"/>
    </row>
    <row r="790">
      <c r="A790" s="231"/>
      <c r="B790" s="231"/>
      <c r="C790" s="231"/>
      <c r="F790" s="10"/>
    </row>
    <row r="791">
      <c r="A791" s="231"/>
      <c r="B791" s="231"/>
      <c r="C791" s="231"/>
      <c r="F791" s="10"/>
    </row>
    <row r="792">
      <c r="A792" s="231"/>
      <c r="B792" s="231"/>
      <c r="C792" s="231"/>
      <c r="F792" s="10"/>
    </row>
    <row r="793">
      <c r="A793" s="231"/>
      <c r="B793" s="231"/>
      <c r="C793" s="231"/>
      <c r="F793" s="10"/>
    </row>
    <row r="794">
      <c r="A794" s="231"/>
      <c r="B794" s="231"/>
      <c r="C794" s="231"/>
      <c r="F794" s="10"/>
    </row>
    <row r="795">
      <c r="A795" s="231"/>
      <c r="B795" s="231"/>
      <c r="C795" s="231"/>
      <c r="F795" s="10"/>
    </row>
    <row r="796">
      <c r="A796" s="231"/>
      <c r="B796" s="231"/>
      <c r="C796" s="231"/>
      <c r="F796" s="10"/>
    </row>
    <row r="797">
      <c r="A797" s="231"/>
      <c r="B797" s="231"/>
      <c r="C797" s="231"/>
      <c r="F797" s="10"/>
    </row>
    <row r="798">
      <c r="A798" s="231"/>
      <c r="B798" s="231"/>
      <c r="C798" s="231"/>
      <c r="F798" s="10"/>
    </row>
    <row r="799">
      <c r="A799" s="231"/>
      <c r="B799" s="231"/>
      <c r="C799" s="231"/>
      <c r="F799" s="10"/>
    </row>
    <row r="800">
      <c r="A800" s="231"/>
      <c r="B800" s="231"/>
      <c r="C800" s="231"/>
      <c r="F800" s="10"/>
    </row>
    <row r="801">
      <c r="A801" s="231"/>
      <c r="B801" s="231"/>
      <c r="C801" s="231"/>
      <c r="F801" s="10"/>
    </row>
    <row r="802">
      <c r="A802" s="231"/>
      <c r="B802" s="231"/>
      <c r="C802" s="231"/>
      <c r="F802" s="10"/>
    </row>
    <row r="803">
      <c r="A803" s="231"/>
      <c r="B803" s="231"/>
      <c r="C803" s="231"/>
      <c r="F803" s="10"/>
    </row>
    <row r="804">
      <c r="A804" s="231"/>
      <c r="B804" s="231"/>
      <c r="C804" s="231"/>
      <c r="F804" s="10"/>
    </row>
    <row r="805">
      <c r="A805" s="231"/>
      <c r="B805" s="231"/>
      <c r="C805" s="231"/>
      <c r="F805" s="10"/>
    </row>
    <row r="806">
      <c r="A806" s="231"/>
      <c r="B806" s="231"/>
      <c r="C806" s="231"/>
      <c r="F806" s="10"/>
    </row>
    <row r="807">
      <c r="A807" s="231"/>
      <c r="B807" s="231"/>
      <c r="C807" s="231"/>
      <c r="F807" s="10"/>
    </row>
    <row r="808">
      <c r="A808" s="231"/>
      <c r="B808" s="231"/>
      <c r="C808" s="231"/>
      <c r="F808" s="10"/>
    </row>
    <row r="809">
      <c r="A809" s="231"/>
      <c r="B809" s="231"/>
      <c r="C809" s="231"/>
      <c r="F809" s="10"/>
    </row>
    <row r="810">
      <c r="A810" s="231"/>
      <c r="B810" s="231"/>
      <c r="C810" s="231"/>
      <c r="F810" s="10"/>
    </row>
    <row r="811">
      <c r="A811" s="231"/>
      <c r="B811" s="231"/>
      <c r="C811" s="231"/>
      <c r="F811" s="10"/>
    </row>
    <row r="812">
      <c r="A812" s="231"/>
      <c r="B812" s="231"/>
      <c r="C812" s="231"/>
      <c r="F812" s="10"/>
    </row>
    <row r="813">
      <c r="A813" s="231"/>
      <c r="B813" s="231"/>
      <c r="C813" s="231"/>
      <c r="F813" s="10"/>
    </row>
    <row r="814">
      <c r="A814" s="231"/>
      <c r="B814" s="231"/>
      <c r="C814" s="231"/>
      <c r="F814" s="10"/>
    </row>
    <row r="815">
      <c r="A815" s="231"/>
      <c r="B815" s="231"/>
      <c r="C815" s="231"/>
      <c r="F815" s="10"/>
    </row>
    <row r="816">
      <c r="A816" s="231"/>
      <c r="B816" s="231"/>
      <c r="C816" s="231"/>
      <c r="F816" s="10"/>
    </row>
    <row r="817">
      <c r="A817" s="231"/>
      <c r="B817" s="231"/>
      <c r="C817" s="231"/>
      <c r="F817" s="10"/>
    </row>
    <row r="818">
      <c r="A818" s="231"/>
      <c r="B818" s="231"/>
      <c r="C818" s="231"/>
      <c r="F818" s="10"/>
    </row>
    <row r="819">
      <c r="A819" s="231"/>
      <c r="B819" s="231"/>
      <c r="C819" s="231"/>
      <c r="F819" s="10"/>
    </row>
    <row r="820">
      <c r="A820" s="231"/>
      <c r="B820" s="231"/>
      <c r="C820" s="231"/>
      <c r="F820" s="10"/>
    </row>
    <row r="821">
      <c r="A821" s="231"/>
      <c r="B821" s="231"/>
      <c r="C821" s="231"/>
      <c r="F821" s="10"/>
    </row>
    <row r="822">
      <c r="A822" s="231"/>
      <c r="B822" s="231"/>
      <c r="C822" s="231"/>
      <c r="F822" s="10"/>
    </row>
    <row r="823">
      <c r="A823" s="231"/>
      <c r="B823" s="231"/>
      <c r="C823" s="231"/>
      <c r="F823" s="10"/>
    </row>
    <row r="824">
      <c r="A824" s="231"/>
      <c r="B824" s="231"/>
      <c r="C824" s="231"/>
      <c r="F824" s="10"/>
    </row>
    <row r="825">
      <c r="A825" s="231"/>
      <c r="B825" s="231"/>
      <c r="C825" s="231"/>
      <c r="F825" s="10"/>
    </row>
    <row r="826">
      <c r="A826" s="231"/>
      <c r="B826" s="231"/>
      <c r="C826" s="231"/>
      <c r="F826" s="10"/>
    </row>
    <row r="827">
      <c r="A827" s="231"/>
      <c r="B827" s="231"/>
      <c r="C827" s="231"/>
      <c r="F827" s="10"/>
    </row>
    <row r="828">
      <c r="A828" s="231"/>
      <c r="B828" s="231"/>
      <c r="C828" s="231"/>
      <c r="F828" s="10"/>
    </row>
    <row r="829">
      <c r="A829" s="231"/>
      <c r="B829" s="231"/>
      <c r="C829" s="231"/>
      <c r="F829" s="10"/>
    </row>
    <row r="830">
      <c r="A830" s="231"/>
      <c r="B830" s="231"/>
      <c r="C830" s="231"/>
      <c r="F830" s="10"/>
    </row>
    <row r="831">
      <c r="A831" s="231"/>
      <c r="B831" s="231"/>
      <c r="C831" s="231"/>
      <c r="F831" s="10"/>
    </row>
    <row r="832">
      <c r="A832" s="231"/>
      <c r="B832" s="231"/>
      <c r="C832" s="231"/>
      <c r="F832" s="10"/>
    </row>
    <row r="833">
      <c r="A833" s="231"/>
      <c r="B833" s="231"/>
      <c r="C833" s="231"/>
      <c r="F833" s="10"/>
    </row>
    <row r="834">
      <c r="A834" s="231"/>
      <c r="B834" s="231"/>
      <c r="C834" s="231"/>
      <c r="F834" s="10"/>
    </row>
    <row r="835">
      <c r="A835" s="231"/>
      <c r="B835" s="231"/>
      <c r="C835" s="231"/>
      <c r="F835" s="10"/>
    </row>
    <row r="836">
      <c r="A836" s="231"/>
      <c r="B836" s="231"/>
      <c r="C836" s="231"/>
      <c r="F836" s="10"/>
    </row>
    <row r="837">
      <c r="A837" s="231"/>
      <c r="B837" s="231"/>
      <c r="C837" s="231"/>
      <c r="F837" s="10"/>
    </row>
    <row r="838">
      <c r="A838" s="231"/>
      <c r="B838" s="231"/>
      <c r="C838" s="231"/>
      <c r="F838" s="10"/>
    </row>
    <row r="839">
      <c r="A839" s="231"/>
      <c r="B839" s="231"/>
      <c r="C839" s="231"/>
      <c r="F839" s="10"/>
    </row>
    <row r="840">
      <c r="A840" s="231"/>
      <c r="B840" s="231"/>
      <c r="C840" s="231"/>
      <c r="F840" s="10"/>
    </row>
    <row r="841">
      <c r="A841" s="231"/>
      <c r="B841" s="231"/>
      <c r="C841" s="231"/>
      <c r="F841" s="10"/>
    </row>
    <row r="842">
      <c r="A842" s="231"/>
      <c r="B842" s="231"/>
      <c r="C842" s="231"/>
      <c r="F842" s="10"/>
    </row>
    <row r="843">
      <c r="A843" s="231"/>
      <c r="B843" s="231"/>
      <c r="C843" s="231"/>
      <c r="F843" s="10"/>
    </row>
    <row r="844">
      <c r="A844" s="231"/>
      <c r="B844" s="231"/>
      <c r="C844" s="231"/>
      <c r="F844" s="10"/>
    </row>
    <row r="845">
      <c r="A845" s="231"/>
      <c r="B845" s="231"/>
      <c r="C845" s="231"/>
      <c r="F845" s="10"/>
    </row>
    <row r="846">
      <c r="A846" s="231"/>
      <c r="B846" s="231"/>
      <c r="C846" s="231"/>
      <c r="F846" s="10"/>
    </row>
    <row r="847">
      <c r="A847" s="231"/>
      <c r="B847" s="231"/>
      <c r="C847" s="231"/>
      <c r="F847" s="10"/>
    </row>
    <row r="848">
      <c r="A848" s="231"/>
      <c r="B848" s="231"/>
      <c r="C848" s="231"/>
      <c r="F848" s="10"/>
    </row>
    <row r="849">
      <c r="A849" s="231"/>
      <c r="B849" s="231"/>
      <c r="C849" s="231"/>
      <c r="F849" s="10"/>
    </row>
    <row r="850">
      <c r="A850" s="231"/>
      <c r="B850" s="231"/>
      <c r="C850" s="231"/>
      <c r="F850" s="10"/>
    </row>
    <row r="851">
      <c r="A851" s="231"/>
      <c r="B851" s="231"/>
      <c r="C851" s="231"/>
      <c r="F851" s="10"/>
    </row>
    <row r="852">
      <c r="A852" s="231"/>
      <c r="B852" s="231"/>
      <c r="C852" s="231"/>
      <c r="F852" s="10"/>
    </row>
    <row r="853">
      <c r="A853" s="231"/>
      <c r="B853" s="231"/>
      <c r="C853" s="231"/>
      <c r="F853" s="10"/>
    </row>
    <row r="854">
      <c r="A854" s="231"/>
      <c r="B854" s="231"/>
      <c r="C854" s="231"/>
      <c r="F854" s="10"/>
    </row>
    <row r="855">
      <c r="A855" s="231"/>
      <c r="B855" s="231"/>
      <c r="C855" s="231"/>
      <c r="F855" s="10"/>
    </row>
    <row r="856">
      <c r="A856" s="231"/>
      <c r="B856" s="231"/>
      <c r="C856" s="231"/>
      <c r="F856" s="10"/>
    </row>
    <row r="857">
      <c r="A857" s="231"/>
      <c r="B857" s="231"/>
      <c r="C857" s="231"/>
      <c r="F857" s="10"/>
    </row>
    <row r="858">
      <c r="A858" s="231"/>
      <c r="B858" s="231"/>
      <c r="C858" s="231"/>
      <c r="F858" s="10"/>
    </row>
    <row r="859">
      <c r="A859" s="231"/>
      <c r="B859" s="231"/>
      <c r="C859" s="231"/>
      <c r="F859" s="10"/>
    </row>
    <row r="860">
      <c r="A860" s="231"/>
      <c r="B860" s="231"/>
      <c r="C860" s="231"/>
      <c r="F860" s="10"/>
    </row>
    <row r="861">
      <c r="A861" s="231"/>
      <c r="B861" s="231"/>
      <c r="C861" s="231"/>
      <c r="F861" s="10"/>
    </row>
    <row r="862">
      <c r="A862" s="231"/>
      <c r="B862" s="231"/>
      <c r="C862" s="231"/>
      <c r="F862" s="10"/>
    </row>
    <row r="863">
      <c r="A863" s="231"/>
      <c r="B863" s="231"/>
      <c r="C863" s="231"/>
      <c r="F863" s="10"/>
    </row>
    <row r="864">
      <c r="A864" s="231"/>
      <c r="B864" s="231"/>
      <c r="C864" s="231"/>
      <c r="F864" s="10"/>
    </row>
    <row r="865">
      <c r="A865" s="231"/>
      <c r="B865" s="231"/>
      <c r="C865" s="231"/>
      <c r="F865" s="10"/>
    </row>
    <row r="866">
      <c r="A866" s="231"/>
      <c r="B866" s="231"/>
      <c r="C866" s="231"/>
      <c r="F866" s="10"/>
    </row>
    <row r="867">
      <c r="A867" s="231"/>
      <c r="B867" s="231"/>
      <c r="C867" s="231"/>
      <c r="F867" s="10"/>
    </row>
    <row r="868">
      <c r="A868" s="231"/>
      <c r="B868" s="231"/>
      <c r="C868" s="231"/>
      <c r="F868" s="10"/>
    </row>
    <row r="869">
      <c r="A869" s="231"/>
      <c r="B869" s="231"/>
      <c r="C869" s="231"/>
      <c r="F869" s="10"/>
    </row>
    <row r="870">
      <c r="A870" s="231"/>
      <c r="B870" s="231"/>
      <c r="C870" s="231"/>
      <c r="F870" s="10"/>
    </row>
    <row r="871">
      <c r="A871" s="231"/>
      <c r="B871" s="231"/>
      <c r="C871" s="231"/>
      <c r="F871" s="10"/>
    </row>
    <row r="872">
      <c r="A872" s="231"/>
      <c r="B872" s="231"/>
      <c r="C872" s="231"/>
      <c r="F872" s="10"/>
    </row>
    <row r="873">
      <c r="A873" s="231"/>
      <c r="B873" s="231"/>
      <c r="C873" s="231"/>
      <c r="F873" s="10"/>
    </row>
    <row r="874">
      <c r="A874" s="231"/>
      <c r="B874" s="231"/>
      <c r="C874" s="231"/>
      <c r="F874" s="10"/>
    </row>
    <row r="875">
      <c r="A875" s="231"/>
      <c r="B875" s="231"/>
      <c r="C875" s="231"/>
      <c r="F875" s="10"/>
    </row>
    <row r="876">
      <c r="A876" s="231"/>
      <c r="B876" s="231"/>
      <c r="C876" s="231"/>
      <c r="F876" s="10"/>
    </row>
    <row r="877">
      <c r="A877" s="231"/>
      <c r="B877" s="231"/>
      <c r="C877" s="231"/>
      <c r="F877" s="10"/>
    </row>
    <row r="878">
      <c r="A878" s="231"/>
      <c r="B878" s="231"/>
      <c r="C878" s="231"/>
      <c r="F878" s="10"/>
    </row>
    <row r="879">
      <c r="A879" s="231"/>
      <c r="B879" s="231"/>
      <c r="C879" s="231"/>
      <c r="F879" s="10"/>
    </row>
    <row r="880">
      <c r="A880" s="231"/>
      <c r="B880" s="231"/>
      <c r="C880" s="231"/>
      <c r="F880" s="10"/>
    </row>
    <row r="881">
      <c r="A881" s="231"/>
      <c r="B881" s="231"/>
      <c r="C881" s="231"/>
      <c r="F881" s="10"/>
    </row>
    <row r="882">
      <c r="A882" s="231"/>
      <c r="B882" s="231"/>
      <c r="C882" s="231"/>
      <c r="F882" s="10"/>
    </row>
    <row r="883">
      <c r="A883" s="231"/>
      <c r="B883" s="231"/>
      <c r="C883" s="231"/>
      <c r="F883" s="10"/>
    </row>
    <row r="884">
      <c r="A884" s="231"/>
      <c r="B884" s="231"/>
      <c r="C884" s="231"/>
      <c r="F884" s="10"/>
    </row>
    <row r="885">
      <c r="A885" s="231"/>
      <c r="B885" s="231"/>
      <c r="C885" s="231"/>
      <c r="F885" s="10"/>
    </row>
    <row r="886">
      <c r="A886" s="231"/>
      <c r="B886" s="231"/>
      <c r="C886" s="231"/>
      <c r="F886" s="10"/>
    </row>
    <row r="887">
      <c r="A887" s="231"/>
      <c r="B887" s="231"/>
      <c r="C887" s="231"/>
      <c r="F887" s="10"/>
    </row>
    <row r="888">
      <c r="A888" s="231"/>
      <c r="B888" s="231"/>
      <c r="C888" s="231"/>
      <c r="F888" s="10"/>
    </row>
    <row r="889">
      <c r="A889" s="231"/>
      <c r="B889" s="231"/>
      <c r="C889" s="231"/>
      <c r="F889" s="10"/>
    </row>
    <row r="890">
      <c r="A890" s="231"/>
      <c r="B890" s="231"/>
      <c r="C890" s="231"/>
      <c r="F890" s="10"/>
    </row>
    <row r="891">
      <c r="A891" s="231"/>
      <c r="B891" s="231"/>
      <c r="C891" s="231"/>
      <c r="F891" s="10"/>
    </row>
    <row r="892">
      <c r="A892" s="231"/>
      <c r="B892" s="231"/>
      <c r="C892" s="231"/>
      <c r="F892" s="10"/>
    </row>
    <row r="893">
      <c r="A893" s="231"/>
      <c r="B893" s="231"/>
      <c r="C893" s="231"/>
      <c r="F893" s="10"/>
    </row>
    <row r="894">
      <c r="A894" s="231"/>
      <c r="B894" s="231"/>
      <c r="C894" s="231"/>
      <c r="F894" s="10"/>
    </row>
    <row r="895">
      <c r="A895" s="231"/>
      <c r="B895" s="231"/>
      <c r="C895" s="231"/>
      <c r="F895" s="10"/>
    </row>
    <row r="896">
      <c r="A896" s="231"/>
      <c r="B896" s="231"/>
      <c r="C896" s="231"/>
      <c r="F896" s="10"/>
    </row>
    <row r="897">
      <c r="A897" s="231"/>
      <c r="B897" s="231"/>
      <c r="C897" s="231"/>
      <c r="F897" s="10"/>
    </row>
    <row r="898">
      <c r="A898" s="231"/>
      <c r="B898" s="231"/>
      <c r="C898" s="231"/>
      <c r="F898" s="10"/>
    </row>
    <row r="899">
      <c r="A899" s="231"/>
      <c r="B899" s="231"/>
      <c r="C899" s="231"/>
      <c r="F899" s="10"/>
    </row>
    <row r="900">
      <c r="A900" s="231"/>
      <c r="B900" s="231"/>
      <c r="C900" s="231"/>
      <c r="F900" s="10"/>
    </row>
    <row r="901">
      <c r="A901" s="231"/>
      <c r="B901" s="231"/>
      <c r="C901" s="231"/>
      <c r="F901" s="10"/>
    </row>
    <row r="902">
      <c r="A902" s="231"/>
      <c r="B902" s="231"/>
      <c r="C902" s="231"/>
      <c r="F902" s="10"/>
    </row>
    <row r="903">
      <c r="A903" s="231"/>
      <c r="B903" s="231"/>
      <c r="C903" s="231"/>
      <c r="F903" s="10"/>
    </row>
    <row r="904">
      <c r="A904" s="231"/>
      <c r="B904" s="231"/>
      <c r="C904" s="231"/>
      <c r="F904" s="10"/>
    </row>
    <row r="905">
      <c r="A905" s="231"/>
      <c r="B905" s="231"/>
      <c r="C905" s="231"/>
      <c r="F905" s="10"/>
    </row>
    <row r="906">
      <c r="A906" s="231"/>
      <c r="B906" s="231"/>
      <c r="C906" s="231"/>
      <c r="F906" s="10"/>
    </row>
    <row r="907">
      <c r="A907" s="231"/>
      <c r="B907" s="231"/>
      <c r="C907" s="231"/>
      <c r="F907" s="10"/>
    </row>
    <row r="908">
      <c r="A908" s="231"/>
      <c r="B908" s="231"/>
      <c r="C908" s="231"/>
      <c r="F908" s="10"/>
    </row>
    <row r="909">
      <c r="A909" s="231"/>
      <c r="B909" s="231"/>
      <c r="C909" s="231"/>
      <c r="F909" s="10"/>
    </row>
    <row r="910">
      <c r="A910" s="231"/>
      <c r="B910" s="231"/>
      <c r="C910" s="231"/>
      <c r="F910" s="10"/>
    </row>
    <row r="911">
      <c r="A911" s="231"/>
      <c r="B911" s="231"/>
      <c r="C911" s="231"/>
      <c r="F911" s="10"/>
    </row>
    <row r="912">
      <c r="A912" s="231"/>
      <c r="B912" s="231"/>
      <c r="C912" s="231"/>
      <c r="F912" s="10"/>
    </row>
    <row r="913">
      <c r="A913" s="231"/>
      <c r="B913" s="231"/>
      <c r="C913" s="231"/>
      <c r="F913" s="10"/>
    </row>
    <row r="914">
      <c r="A914" s="231"/>
      <c r="B914" s="231"/>
      <c r="C914" s="231"/>
      <c r="F914" s="10"/>
    </row>
    <row r="915">
      <c r="A915" s="231"/>
      <c r="B915" s="231"/>
      <c r="C915" s="231"/>
      <c r="F915" s="10"/>
    </row>
    <row r="916">
      <c r="A916" s="231"/>
      <c r="B916" s="231"/>
      <c r="C916" s="231"/>
      <c r="F916" s="10"/>
    </row>
    <row r="917">
      <c r="A917" s="231"/>
      <c r="B917" s="231"/>
      <c r="C917" s="231"/>
      <c r="F917" s="10"/>
    </row>
    <row r="918">
      <c r="A918" s="231"/>
      <c r="B918" s="231"/>
      <c r="C918" s="231"/>
      <c r="F918" s="10"/>
    </row>
    <row r="919">
      <c r="A919" s="231"/>
      <c r="B919" s="231"/>
      <c r="C919" s="231"/>
      <c r="F919" s="10"/>
    </row>
    <row r="920">
      <c r="A920" s="231"/>
      <c r="B920" s="231"/>
      <c r="C920" s="231"/>
      <c r="F920" s="10"/>
    </row>
    <row r="921">
      <c r="A921" s="231"/>
      <c r="B921" s="231"/>
      <c r="C921" s="231"/>
      <c r="F921" s="10"/>
    </row>
    <row r="922">
      <c r="A922" s="231"/>
      <c r="B922" s="231"/>
      <c r="C922" s="231"/>
      <c r="F922" s="10"/>
    </row>
    <row r="923">
      <c r="A923" s="231"/>
      <c r="B923" s="231"/>
      <c r="C923" s="231"/>
      <c r="F923" s="10"/>
    </row>
    <row r="924">
      <c r="A924" s="231"/>
      <c r="B924" s="231"/>
      <c r="C924" s="231"/>
      <c r="F924" s="10"/>
    </row>
    <row r="925">
      <c r="A925" s="231"/>
      <c r="B925" s="231"/>
      <c r="C925" s="231"/>
      <c r="F925" s="10"/>
    </row>
    <row r="926">
      <c r="A926" s="231"/>
      <c r="B926" s="231"/>
      <c r="C926" s="231"/>
      <c r="F926" s="10"/>
    </row>
    <row r="927">
      <c r="A927" s="231"/>
      <c r="B927" s="231"/>
      <c r="C927" s="231"/>
      <c r="F927" s="10"/>
    </row>
    <row r="928">
      <c r="A928" s="231"/>
      <c r="B928" s="231"/>
      <c r="C928" s="231"/>
      <c r="F928" s="10"/>
    </row>
    <row r="929">
      <c r="A929" s="231"/>
      <c r="B929" s="231"/>
      <c r="C929" s="231"/>
      <c r="F929" s="10"/>
    </row>
    <row r="930">
      <c r="A930" s="231"/>
      <c r="B930" s="231"/>
      <c r="C930" s="231"/>
      <c r="F930" s="10"/>
    </row>
    <row r="931">
      <c r="A931" s="231"/>
      <c r="B931" s="231"/>
      <c r="C931" s="231"/>
      <c r="F931" s="10"/>
    </row>
    <row r="932">
      <c r="A932" s="231"/>
      <c r="B932" s="231"/>
      <c r="C932" s="231"/>
      <c r="F932" s="10"/>
    </row>
    <row r="933">
      <c r="A933" s="231"/>
      <c r="B933" s="231"/>
      <c r="C933" s="231"/>
      <c r="F933" s="10"/>
    </row>
    <row r="934">
      <c r="A934" s="231"/>
      <c r="B934" s="231"/>
      <c r="C934" s="231"/>
      <c r="F934" s="10"/>
    </row>
    <row r="935">
      <c r="A935" s="231"/>
      <c r="B935" s="231"/>
      <c r="C935" s="231"/>
      <c r="F935" s="10"/>
    </row>
    <row r="936">
      <c r="A936" s="231"/>
      <c r="B936" s="231"/>
      <c r="C936" s="231"/>
      <c r="F936" s="10"/>
    </row>
    <row r="937">
      <c r="A937" s="231"/>
      <c r="B937" s="231"/>
      <c r="C937" s="231"/>
      <c r="F937" s="10"/>
    </row>
    <row r="938">
      <c r="A938" s="231"/>
      <c r="B938" s="231"/>
      <c r="C938" s="231"/>
      <c r="F938" s="10"/>
    </row>
    <row r="939">
      <c r="A939" s="231"/>
      <c r="B939" s="231"/>
      <c r="C939" s="231"/>
      <c r="F939" s="10"/>
    </row>
    <row r="940">
      <c r="A940" s="231"/>
      <c r="B940" s="231"/>
      <c r="C940" s="231"/>
      <c r="F940" s="10"/>
    </row>
    <row r="941">
      <c r="A941" s="231"/>
      <c r="B941" s="231"/>
      <c r="C941" s="231"/>
      <c r="F941" s="10"/>
    </row>
    <row r="942">
      <c r="A942" s="231"/>
      <c r="B942" s="231"/>
      <c r="C942" s="231"/>
      <c r="F942" s="10"/>
    </row>
    <row r="943">
      <c r="A943" s="231"/>
      <c r="B943" s="231"/>
      <c r="C943" s="231"/>
      <c r="F943" s="10"/>
    </row>
    <row r="944">
      <c r="A944" s="231"/>
      <c r="B944" s="231"/>
      <c r="C944" s="231"/>
      <c r="F944" s="10"/>
    </row>
    <row r="945">
      <c r="A945" s="231"/>
      <c r="B945" s="231"/>
      <c r="C945" s="231"/>
      <c r="F945" s="10"/>
    </row>
    <row r="946">
      <c r="A946" s="231"/>
      <c r="B946" s="231"/>
      <c r="C946" s="231"/>
      <c r="F946" s="10"/>
    </row>
    <row r="947">
      <c r="A947" s="231"/>
      <c r="B947" s="231"/>
      <c r="C947" s="231"/>
      <c r="F947" s="10"/>
    </row>
    <row r="948">
      <c r="A948" s="231"/>
      <c r="B948" s="231"/>
      <c r="C948" s="231"/>
      <c r="F948" s="10"/>
    </row>
    <row r="949">
      <c r="A949" s="231"/>
      <c r="B949" s="231"/>
      <c r="C949" s="231"/>
      <c r="F949" s="10"/>
    </row>
    <row r="950">
      <c r="A950" s="231"/>
      <c r="B950" s="231"/>
      <c r="C950" s="231"/>
      <c r="F950" s="10"/>
    </row>
    <row r="951">
      <c r="A951" s="231"/>
      <c r="B951" s="231"/>
      <c r="C951" s="231"/>
      <c r="F951" s="10"/>
    </row>
    <row r="952">
      <c r="A952" s="231"/>
      <c r="B952" s="231"/>
      <c r="C952" s="231"/>
      <c r="F952" s="10"/>
    </row>
    <row r="953">
      <c r="A953" s="231"/>
      <c r="B953" s="231"/>
      <c r="C953" s="231"/>
      <c r="F953" s="10"/>
    </row>
    <row r="954">
      <c r="A954" s="231"/>
      <c r="B954" s="231"/>
      <c r="C954" s="231"/>
      <c r="F954" s="10"/>
    </row>
    <row r="955">
      <c r="A955" s="231"/>
      <c r="B955" s="231"/>
      <c r="C955" s="231"/>
      <c r="F955" s="10"/>
    </row>
    <row r="956">
      <c r="A956" s="231"/>
      <c r="B956" s="231"/>
      <c r="C956" s="231"/>
      <c r="F956" s="10"/>
    </row>
    <row r="957">
      <c r="A957" s="231"/>
      <c r="B957" s="231"/>
      <c r="C957" s="231"/>
      <c r="F957" s="10"/>
    </row>
    <row r="958">
      <c r="A958" s="231"/>
      <c r="B958" s="231"/>
      <c r="C958" s="231"/>
      <c r="F958" s="10"/>
    </row>
    <row r="959">
      <c r="A959" s="231"/>
      <c r="B959" s="231"/>
      <c r="C959" s="231"/>
      <c r="F959" s="10"/>
    </row>
    <row r="960">
      <c r="A960" s="231"/>
      <c r="B960" s="231"/>
      <c r="C960" s="231"/>
      <c r="F960" s="10"/>
    </row>
    <row r="961">
      <c r="A961" s="231"/>
      <c r="B961" s="231"/>
      <c r="C961" s="231"/>
      <c r="F961" s="10"/>
    </row>
    <row r="962">
      <c r="A962" s="231"/>
      <c r="B962" s="231"/>
      <c r="C962" s="231"/>
      <c r="F962" s="10"/>
    </row>
    <row r="963">
      <c r="A963" s="231"/>
      <c r="B963" s="231"/>
      <c r="C963" s="231"/>
      <c r="F963" s="10"/>
    </row>
    <row r="964">
      <c r="A964" s="231"/>
      <c r="B964" s="231"/>
      <c r="C964" s="231"/>
      <c r="F964" s="10"/>
    </row>
    <row r="965">
      <c r="A965" s="231"/>
      <c r="B965" s="231"/>
      <c r="C965" s="231"/>
      <c r="F965" s="10"/>
    </row>
    <row r="966">
      <c r="A966" s="231"/>
      <c r="B966" s="231"/>
      <c r="C966" s="231"/>
      <c r="F966" s="10"/>
    </row>
    <row r="967">
      <c r="A967" s="231"/>
      <c r="B967" s="231"/>
      <c r="C967" s="231"/>
      <c r="F967" s="10"/>
    </row>
    <row r="968">
      <c r="A968" s="231"/>
      <c r="B968" s="231"/>
      <c r="C968" s="231"/>
      <c r="F968" s="10"/>
    </row>
    <row r="969">
      <c r="A969" s="231"/>
      <c r="B969" s="231"/>
      <c r="C969" s="231"/>
      <c r="F969" s="10"/>
    </row>
    <row r="970">
      <c r="A970" s="231"/>
      <c r="B970" s="231"/>
      <c r="C970" s="231"/>
      <c r="F970" s="10"/>
    </row>
    <row r="971">
      <c r="A971" s="231"/>
      <c r="B971" s="231"/>
      <c r="C971" s="231"/>
      <c r="F971" s="10"/>
    </row>
    <row r="972">
      <c r="A972" s="231"/>
      <c r="B972" s="231"/>
      <c r="C972" s="231"/>
      <c r="F972" s="10"/>
    </row>
    <row r="973">
      <c r="A973" s="231"/>
      <c r="B973" s="231"/>
      <c r="C973" s="231"/>
      <c r="F973" s="10"/>
    </row>
    <row r="974">
      <c r="A974" s="231"/>
      <c r="B974" s="231"/>
      <c r="C974" s="231"/>
      <c r="F974" s="10"/>
    </row>
    <row r="975">
      <c r="A975" s="231"/>
      <c r="B975" s="231"/>
      <c r="C975" s="231"/>
      <c r="F975" s="10"/>
    </row>
    <row r="976">
      <c r="A976" s="231"/>
      <c r="B976" s="231"/>
      <c r="C976" s="231"/>
      <c r="F976" s="10"/>
    </row>
    <row r="977">
      <c r="A977" s="231"/>
      <c r="B977" s="231"/>
      <c r="C977" s="231"/>
      <c r="F977" s="10"/>
    </row>
    <row r="978">
      <c r="A978" s="231"/>
      <c r="B978" s="231"/>
      <c r="C978" s="231"/>
      <c r="F978" s="10"/>
    </row>
    <row r="979">
      <c r="A979" s="231"/>
      <c r="B979" s="231"/>
      <c r="C979" s="231"/>
      <c r="F979" s="10"/>
    </row>
    <row r="980">
      <c r="A980" s="231"/>
      <c r="B980" s="231"/>
      <c r="C980" s="231"/>
      <c r="F980" s="10"/>
    </row>
    <row r="981">
      <c r="A981" s="231"/>
      <c r="B981" s="231"/>
      <c r="C981" s="231"/>
      <c r="F981" s="10"/>
    </row>
    <row r="982">
      <c r="A982" s="231"/>
      <c r="B982" s="231"/>
      <c r="C982" s="231"/>
      <c r="F982" s="10"/>
    </row>
    <row r="983">
      <c r="A983" s="231"/>
      <c r="B983" s="231"/>
      <c r="C983" s="231"/>
      <c r="F983" s="10"/>
    </row>
    <row r="984">
      <c r="A984" s="231"/>
      <c r="B984" s="231"/>
      <c r="C984" s="231"/>
      <c r="F984" s="10"/>
    </row>
    <row r="985">
      <c r="A985" s="231"/>
      <c r="B985" s="231"/>
      <c r="C985" s="231"/>
      <c r="F985" s="10"/>
    </row>
    <row r="986">
      <c r="A986" s="231"/>
      <c r="B986" s="231"/>
      <c r="C986" s="231"/>
      <c r="F986" s="10"/>
    </row>
    <row r="987">
      <c r="A987" s="231"/>
      <c r="B987" s="231"/>
      <c r="C987" s="231"/>
      <c r="F987" s="10"/>
    </row>
    <row r="988">
      <c r="A988" s="231"/>
      <c r="B988" s="231"/>
      <c r="C988" s="231"/>
      <c r="F988" s="10"/>
    </row>
    <row r="989">
      <c r="A989" s="231"/>
      <c r="B989" s="231"/>
      <c r="C989" s="231"/>
      <c r="F989" s="10"/>
    </row>
    <row r="990">
      <c r="A990" s="231"/>
      <c r="B990" s="231"/>
      <c r="C990" s="231"/>
      <c r="F990" s="10"/>
    </row>
    <row r="991">
      <c r="A991" s="231"/>
      <c r="B991" s="231"/>
      <c r="C991" s="231"/>
      <c r="F991" s="10"/>
    </row>
  </sheetData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outlinePr summaryBelow="0" summaryRight="0"/>
  </sheetPr>
  <sheetViews>
    <sheetView workbookViewId="0"/>
  </sheetViews>
  <sheetFormatPr customHeight="1" defaultColWidth="12.63" defaultRowHeight="15.75"/>
  <sheetData>
    <row r="1">
      <c r="A1" s="184" t="s">
        <v>1654</v>
      </c>
      <c r="B1" s="184" t="s">
        <v>1</v>
      </c>
    </row>
    <row r="2">
      <c r="A2" s="11" t="s">
        <v>3547</v>
      </c>
      <c r="B2" s="11">
        <v>6671.0</v>
      </c>
    </row>
    <row r="3">
      <c r="A3" s="11" t="s">
        <v>3548</v>
      </c>
      <c r="B3" s="11">
        <v>12941.0</v>
      </c>
    </row>
    <row r="4">
      <c r="A4" s="11" t="s">
        <v>3549</v>
      </c>
      <c r="B4" s="11">
        <v>2345.0</v>
      </c>
    </row>
    <row r="5">
      <c r="A5" s="11" t="s">
        <v>3550</v>
      </c>
      <c r="B5" s="11">
        <v>6728.0</v>
      </c>
    </row>
    <row r="6">
      <c r="A6" s="11" t="s">
        <v>3551</v>
      </c>
      <c r="B6" s="11">
        <v>6675.0</v>
      </c>
    </row>
    <row r="7">
      <c r="A7" s="11" t="s">
        <v>3552</v>
      </c>
      <c r="B7" s="11">
        <v>12941.0</v>
      </c>
    </row>
    <row r="8">
      <c r="A8" s="11" t="s">
        <v>71</v>
      </c>
      <c r="B8" s="11">
        <v>12941.0</v>
      </c>
    </row>
    <row r="9">
      <c r="A9" s="11" t="s">
        <v>72</v>
      </c>
      <c r="B9" s="11">
        <v>12941.0</v>
      </c>
    </row>
    <row r="10">
      <c r="A10" s="11" t="s">
        <v>73</v>
      </c>
      <c r="B10" s="11">
        <v>12941.0</v>
      </c>
    </row>
    <row r="11">
      <c r="A11" s="11" t="s">
        <v>74</v>
      </c>
      <c r="B11" s="11">
        <v>12941.0</v>
      </c>
    </row>
    <row r="12">
      <c r="A12" s="11" t="s">
        <v>75</v>
      </c>
      <c r="B12" s="11">
        <v>315.0</v>
      </c>
    </row>
    <row r="13">
      <c r="A13" s="11" t="s">
        <v>76</v>
      </c>
      <c r="B13" s="11">
        <v>14065.0</v>
      </c>
    </row>
    <row r="14">
      <c r="A14" s="11" t="s">
        <v>77</v>
      </c>
      <c r="B14" s="11">
        <v>2345.0</v>
      </c>
    </row>
    <row r="15">
      <c r="A15" s="11" t="s">
        <v>78</v>
      </c>
      <c r="B15" s="11">
        <v>2345.0</v>
      </c>
    </row>
    <row r="16">
      <c r="A16" s="11" t="s">
        <v>79</v>
      </c>
      <c r="B16" s="11">
        <v>2345.0</v>
      </c>
    </row>
    <row r="17">
      <c r="A17" s="11" t="s">
        <v>80</v>
      </c>
      <c r="B17" s="11">
        <v>2345.0</v>
      </c>
    </row>
    <row r="18">
      <c r="A18" s="11" t="s">
        <v>81</v>
      </c>
      <c r="B18" s="16">
        <v>12553.0</v>
      </c>
    </row>
    <row r="19">
      <c r="A19" s="11" t="s">
        <v>82</v>
      </c>
      <c r="B19" s="11">
        <v>13951.0</v>
      </c>
    </row>
    <row r="20">
      <c r="A20" s="11" t="s">
        <v>83</v>
      </c>
      <c r="B20" s="11">
        <v>14337.0</v>
      </c>
    </row>
    <row r="21">
      <c r="A21" s="11" t="s">
        <v>84</v>
      </c>
      <c r="B21" s="11">
        <v>12609.0</v>
      </c>
    </row>
    <row r="22">
      <c r="A22" s="11" t="s">
        <v>85</v>
      </c>
      <c r="B22" s="11">
        <v>6772.0</v>
      </c>
    </row>
    <row r="23">
      <c r="A23" s="11" t="s">
        <v>86</v>
      </c>
      <c r="B23" s="11">
        <v>7033.0</v>
      </c>
    </row>
    <row r="24">
      <c r="A24" s="11" t="s">
        <v>87</v>
      </c>
      <c r="B24" s="11">
        <v>7010.0</v>
      </c>
    </row>
    <row r="25">
      <c r="A25" s="11" t="s">
        <v>88</v>
      </c>
      <c r="B25" s="11">
        <v>7157.0</v>
      </c>
    </row>
    <row r="26">
      <c r="A26" s="11" t="s">
        <v>89</v>
      </c>
      <c r="B26" s="11">
        <v>14480.0</v>
      </c>
    </row>
    <row r="27">
      <c r="A27" s="11" t="s">
        <v>90</v>
      </c>
      <c r="B27" s="11">
        <v>6729.0</v>
      </c>
    </row>
    <row r="28">
      <c r="A28" s="11" t="s">
        <v>91</v>
      </c>
      <c r="B28" s="11">
        <v>9746.0</v>
      </c>
    </row>
    <row r="29">
      <c r="A29" s="11" t="s">
        <v>92</v>
      </c>
      <c r="B29" s="11">
        <v>7747.0</v>
      </c>
    </row>
    <row r="30">
      <c r="A30" s="11" t="s">
        <v>93</v>
      </c>
      <c r="B30" s="11">
        <v>11708.0</v>
      </c>
    </row>
    <row r="31">
      <c r="A31" s="11" t="s">
        <v>94</v>
      </c>
      <c r="B31" s="11">
        <v>3307.0</v>
      </c>
    </row>
    <row r="32">
      <c r="A32" s="11" t="s">
        <v>95</v>
      </c>
      <c r="B32" s="11">
        <v>7031.0</v>
      </c>
    </row>
    <row r="33">
      <c r="A33" s="11" t="s">
        <v>96</v>
      </c>
      <c r="B33" s="195">
        <v>14646.0</v>
      </c>
    </row>
    <row r="34">
      <c r="A34" s="11" t="s">
        <v>97</v>
      </c>
    </row>
    <row r="35">
      <c r="A35" s="11" t="s">
        <v>98</v>
      </c>
      <c r="B35" s="690">
        <v>5365.0</v>
      </c>
    </row>
    <row r="36">
      <c r="A36" s="11" t="s">
        <v>99</v>
      </c>
      <c r="B36" s="11">
        <v>6557.0</v>
      </c>
    </row>
    <row r="37">
      <c r="A37" s="11" t="s">
        <v>100</v>
      </c>
    </row>
    <row r="38">
      <c r="A38" s="11" t="s">
        <v>101</v>
      </c>
    </row>
    <row r="39">
      <c r="A39" s="11" t="s">
        <v>102</v>
      </c>
    </row>
    <row r="40">
      <c r="A40" s="11" t="s">
        <v>103</v>
      </c>
      <c r="B40" s="11">
        <v>14580.0</v>
      </c>
    </row>
    <row r="41">
      <c r="A41" s="11" t="s">
        <v>104</v>
      </c>
    </row>
    <row r="42">
      <c r="A42" s="11" t="s">
        <v>105</v>
      </c>
      <c r="B42" s="11">
        <v>7023.0</v>
      </c>
    </row>
    <row r="43">
      <c r="A43" s="11" t="s">
        <v>3554</v>
      </c>
    </row>
    <row r="44">
      <c r="A44" s="11" t="s">
        <v>3555</v>
      </c>
    </row>
    <row r="45">
      <c r="A45" s="11" t="s">
        <v>3556</v>
      </c>
      <c r="B45" s="11">
        <v>6668.0</v>
      </c>
    </row>
    <row r="46">
      <c r="A46" s="11" t="s">
        <v>3557</v>
      </c>
      <c r="B46" s="11">
        <v>6668.0</v>
      </c>
    </row>
    <row r="47">
      <c r="A47" s="11" t="s">
        <v>3558</v>
      </c>
      <c r="B47" s="11">
        <v>6132.0</v>
      </c>
    </row>
    <row r="48">
      <c r="A48" s="11" t="s">
        <v>3559</v>
      </c>
    </row>
    <row r="49">
      <c r="A49" s="11" t="s">
        <v>3560</v>
      </c>
      <c r="B49" s="11">
        <v>13829.0</v>
      </c>
    </row>
    <row r="50">
      <c r="A50" s="11" t="s">
        <v>3561</v>
      </c>
    </row>
    <row r="51">
      <c r="A51" s="11" t="s">
        <v>3562</v>
      </c>
    </row>
    <row r="52">
      <c r="A52" s="11" t="s">
        <v>3563</v>
      </c>
      <c r="B52" s="11">
        <v>14516.0</v>
      </c>
    </row>
    <row r="53">
      <c r="A53" s="11" t="s">
        <v>3564</v>
      </c>
    </row>
    <row r="54">
      <c r="A54" s="11" t="s">
        <v>3565</v>
      </c>
    </row>
    <row r="55">
      <c r="A55" s="11" t="s">
        <v>3566</v>
      </c>
    </row>
    <row r="56">
      <c r="A56" s="11" t="s">
        <v>3567</v>
      </c>
    </row>
    <row r="57">
      <c r="A57" s="11" t="s">
        <v>3568</v>
      </c>
      <c r="B57" s="11">
        <v>14575.0</v>
      </c>
    </row>
    <row r="58">
      <c r="A58" s="11" t="s">
        <v>3569</v>
      </c>
      <c r="B58" s="11">
        <v>6875.0</v>
      </c>
    </row>
    <row r="59">
      <c r="A59" s="11" t="s">
        <v>3570</v>
      </c>
    </row>
    <row r="60">
      <c r="A60" s="11" t="s">
        <v>3571</v>
      </c>
    </row>
    <row r="61">
      <c r="A61" s="11" t="s">
        <v>3572</v>
      </c>
    </row>
    <row r="62">
      <c r="A62" s="11" t="s">
        <v>3573</v>
      </c>
      <c r="B62" s="11">
        <v>12932.0</v>
      </c>
    </row>
    <row r="63">
      <c r="A63" s="11" t="s">
        <v>3574</v>
      </c>
    </row>
    <row r="64">
      <c r="A64" s="11" t="s">
        <v>3575</v>
      </c>
    </row>
    <row r="65">
      <c r="A65" s="11" t="s">
        <v>3576</v>
      </c>
    </row>
    <row r="66">
      <c r="A66" s="11" t="s">
        <v>3577</v>
      </c>
    </row>
    <row r="67">
      <c r="A67" s="11" t="s">
        <v>3578</v>
      </c>
    </row>
    <row r="68">
      <c r="A68" s="11" t="s">
        <v>3579</v>
      </c>
    </row>
    <row r="69">
      <c r="A69" s="11" t="s">
        <v>3580</v>
      </c>
    </row>
    <row r="70">
      <c r="A70" s="11" t="s">
        <v>3581</v>
      </c>
    </row>
    <row r="71">
      <c r="A71" s="11" t="s">
        <v>3582</v>
      </c>
    </row>
    <row r="72">
      <c r="A72" s="11" t="s">
        <v>3583</v>
      </c>
    </row>
    <row r="73">
      <c r="A73" s="11" t="s">
        <v>3584</v>
      </c>
    </row>
    <row r="74">
      <c r="A74" s="11" t="s">
        <v>3585</v>
      </c>
    </row>
    <row r="75">
      <c r="A75" s="11" t="s">
        <v>3586</v>
      </c>
      <c r="B75" s="16">
        <v>14465.0</v>
      </c>
    </row>
    <row r="76">
      <c r="A76" s="11" t="s">
        <v>3587</v>
      </c>
    </row>
    <row r="77">
      <c r="A77" s="11" t="s">
        <v>3588</v>
      </c>
    </row>
    <row r="78">
      <c r="A78" s="11" t="s">
        <v>3589</v>
      </c>
    </row>
    <row r="79">
      <c r="A79" s="11" t="s">
        <v>3590</v>
      </c>
    </row>
    <row r="80">
      <c r="A80" s="11" t="s">
        <v>3591</v>
      </c>
      <c r="B80" s="11">
        <v>6722.0</v>
      </c>
    </row>
    <row r="81">
      <c r="A81" s="11" t="s">
        <v>3592</v>
      </c>
      <c r="B81" s="11">
        <v>11049.0</v>
      </c>
    </row>
    <row r="82">
      <c r="A82" s="11" t="s">
        <v>3593</v>
      </c>
      <c r="B82" s="11">
        <v>11049.0</v>
      </c>
    </row>
    <row r="83">
      <c r="A83" s="11" t="s">
        <v>3594</v>
      </c>
      <c r="B83" s="11">
        <v>11049.0</v>
      </c>
    </row>
    <row r="84">
      <c r="A84" s="11" t="s">
        <v>3595</v>
      </c>
      <c r="B84" s="11">
        <v>11049.0</v>
      </c>
    </row>
    <row r="85">
      <c r="A85" s="11" t="s">
        <v>3596</v>
      </c>
      <c r="B85" s="11">
        <v>11049.0</v>
      </c>
    </row>
    <row r="86">
      <c r="A86" s="11" t="s">
        <v>3597</v>
      </c>
      <c r="B86" s="11">
        <v>11049.0</v>
      </c>
    </row>
    <row r="87">
      <c r="A87" s="11" t="s">
        <v>3598</v>
      </c>
      <c r="B87" s="11">
        <v>11049.0</v>
      </c>
    </row>
    <row r="88">
      <c r="A88" s="11" t="s">
        <v>3599</v>
      </c>
      <c r="B88" s="11">
        <v>11049.0</v>
      </c>
    </row>
    <row r="89">
      <c r="A89" s="11" t="s">
        <v>3600</v>
      </c>
      <c r="B89" s="11">
        <v>11049.0</v>
      </c>
    </row>
    <row r="90">
      <c r="A90" s="11" t="s">
        <v>3601</v>
      </c>
      <c r="B90" s="11">
        <v>11049.0</v>
      </c>
    </row>
    <row r="91">
      <c r="A91" s="11" t="s">
        <v>3602</v>
      </c>
      <c r="B91" s="11">
        <v>11049.0</v>
      </c>
    </row>
    <row r="92">
      <c r="A92" s="11" t="s">
        <v>3603</v>
      </c>
      <c r="B92" s="11">
        <v>11049.0</v>
      </c>
    </row>
    <row r="93">
      <c r="A93" s="11" t="s">
        <v>14374</v>
      </c>
      <c r="B93" s="11">
        <v>8486.0</v>
      </c>
    </row>
    <row r="94">
      <c r="A94" s="11" t="s">
        <v>14375</v>
      </c>
      <c r="B94" s="11">
        <v>8486.0</v>
      </c>
    </row>
    <row r="95">
      <c r="A95" s="11" t="s">
        <v>3553</v>
      </c>
      <c r="B95" s="11"/>
      <c r="C95" s="11" t="s">
        <v>10980</v>
      </c>
    </row>
    <row r="96">
      <c r="A96" s="11" t="s">
        <v>3704</v>
      </c>
      <c r="B96" s="11"/>
      <c r="C96" s="11" t="s">
        <v>10980</v>
      </c>
    </row>
    <row r="97">
      <c r="A97" s="11" t="s">
        <v>3705</v>
      </c>
      <c r="B97" s="11">
        <v>12277.0</v>
      </c>
      <c r="C97" s="11" t="s">
        <v>10980</v>
      </c>
    </row>
    <row r="98">
      <c r="A98" s="11" t="s">
        <v>67</v>
      </c>
      <c r="B98" s="11">
        <v>7416.0</v>
      </c>
      <c r="C98" s="11" t="s">
        <v>10980</v>
      </c>
    </row>
    <row r="99">
      <c r="A99" s="11" t="s">
        <v>68</v>
      </c>
      <c r="B99" s="11"/>
      <c r="C99" s="11" t="s">
        <v>10980</v>
      </c>
    </row>
    <row r="100">
      <c r="A100" s="11" t="s">
        <v>69</v>
      </c>
      <c r="B100" s="11">
        <v>14031.0</v>
      </c>
      <c r="C100" s="11" t="s">
        <v>10980</v>
      </c>
    </row>
    <row r="101">
      <c r="A101" s="11" t="s">
        <v>70</v>
      </c>
      <c r="B101" s="11">
        <v>13988.0</v>
      </c>
      <c r="C101" s="11" t="s">
        <v>10980</v>
      </c>
    </row>
  </sheetData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20.5"/>
    <col customWidth="1" min="5" max="5" width="32.25"/>
    <col hidden="1" min="8" max="13" width="12.63"/>
  </cols>
  <sheetData>
    <row r="1">
      <c r="A1" s="358" t="s">
        <v>44</v>
      </c>
      <c r="B1" s="691" t="s">
        <v>1</v>
      </c>
      <c r="C1" s="57" t="s">
        <v>294</v>
      </c>
      <c r="D1" s="55" t="s">
        <v>248</v>
      </c>
      <c r="E1" s="348" t="s">
        <v>249</v>
      </c>
      <c r="F1" s="349" t="s">
        <v>250</v>
      </c>
      <c r="K1" s="184" t="s">
        <v>1654</v>
      </c>
      <c r="L1" s="184" t="s">
        <v>1</v>
      </c>
    </row>
    <row r="2">
      <c r="A2" s="692" t="s">
        <v>19525</v>
      </c>
      <c r="B2" s="134">
        <v>2345.0</v>
      </c>
      <c r="C2" s="693">
        <v>0.12</v>
      </c>
      <c r="D2" s="179">
        <v>0.9</v>
      </c>
      <c r="E2" s="179">
        <v>0.9</v>
      </c>
      <c r="F2" s="348" t="s">
        <v>1656</v>
      </c>
      <c r="K2" s="694" t="s">
        <v>19525</v>
      </c>
      <c r="L2" s="35">
        <v>2345.0</v>
      </c>
      <c r="M2" s="36"/>
    </row>
    <row r="3">
      <c r="A3" s="692" t="s">
        <v>12136</v>
      </c>
      <c r="B3" s="134">
        <v>6675.0</v>
      </c>
      <c r="C3" s="693">
        <v>0.12</v>
      </c>
      <c r="D3" s="695">
        <v>0.85</v>
      </c>
      <c r="E3" s="695">
        <v>0.85</v>
      </c>
      <c r="F3" s="348" t="s">
        <v>1656</v>
      </c>
      <c r="K3" s="694" t="s">
        <v>12136</v>
      </c>
      <c r="L3" s="35">
        <v>6675.0</v>
      </c>
      <c r="M3" s="36"/>
    </row>
    <row r="4">
      <c r="A4" s="692" t="s">
        <v>12095</v>
      </c>
      <c r="B4" s="134">
        <v>2345.0</v>
      </c>
      <c r="C4" s="693">
        <v>0.12</v>
      </c>
      <c r="D4" s="179">
        <v>0.9</v>
      </c>
      <c r="E4" s="179">
        <v>0.9</v>
      </c>
      <c r="F4" s="348" t="s">
        <v>1656</v>
      </c>
      <c r="K4" s="694" t="s">
        <v>12095</v>
      </c>
      <c r="L4" s="35">
        <v>2345.0</v>
      </c>
      <c r="M4" s="36"/>
    </row>
    <row r="5">
      <c r="A5" s="692" t="s">
        <v>19526</v>
      </c>
      <c r="B5" s="134">
        <v>7142.0</v>
      </c>
      <c r="C5" s="693">
        <v>0.12</v>
      </c>
      <c r="D5" s="179">
        <v>0.65</v>
      </c>
      <c r="E5" s="179">
        <v>0.65</v>
      </c>
      <c r="F5" s="348" t="s">
        <v>1656</v>
      </c>
      <c r="K5" s="216" t="s">
        <v>19526</v>
      </c>
      <c r="L5" s="11">
        <v>7142.0</v>
      </c>
    </row>
    <row r="6">
      <c r="A6" s="692" t="s">
        <v>19527</v>
      </c>
      <c r="B6" s="134">
        <v>189.0</v>
      </c>
      <c r="C6" s="693">
        <v>0.12</v>
      </c>
      <c r="D6" s="179">
        <v>0.65</v>
      </c>
      <c r="E6" s="179">
        <v>0.65</v>
      </c>
      <c r="F6" s="348" t="s">
        <v>1656</v>
      </c>
      <c r="K6" s="694" t="s">
        <v>19527</v>
      </c>
      <c r="L6" s="35">
        <v>189.0</v>
      </c>
      <c r="M6" s="36"/>
    </row>
    <row r="7">
      <c r="A7" s="692" t="s">
        <v>19528</v>
      </c>
      <c r="B7" s="134">
        <v>189.0</v>
      </c>
      <c r="C7" s="693">
        <v>0.12</v>
      </c>
      <c r="D7" s="179">
        <v>0.65</v>
      </c>
      <c r="E7" s="179">
        <v>0.65</v>
      </c>
      <c r="F7" s="348" t="s">
        <v>1656</v>
      </c>
      <c r="K7" s="694" t="s">
        <v>19528</v>
      </c>
      <c r="L7" s="35">
        <v>189.0</v>
      </c>
      <c r="M7" s="36"/>
    </row>
    <row r="8">
      <c r="A8" s="692" t="s">
        <v>19529</v>
      </c>
      <c r="B8" s="134">
        <v>6729.0</v>
      </c>
      <c r="C8" s="693">
        <v>0.12</v>
      </c>
      <c r="D8" s="179">
        <v>0.77</v>
      </c>
      <c r="E8" s="179">
        <v>0.77</v>
      </c>
      <c r="F8" s="348" t="s">
        <v>1656</v>
      </c>
      <c r="K8" s="694" t="s">
        <v>19529</v>
      </c>
      <c r="L8" s="35">
        <v>6729.0</v>
      </c>
      <c r="M8" s="35">
        <v>6706.0</v>
      </c>
    </row>
    <row r="9">
      <c r="A9" s="692" t="s">
        <v>19530</v>
      </c>
      <c r="B9" s="134">
        <v>6706.0</v>
      </c>
      <c r="C9" s="693">
        <v>0.12</v>
      </c>
      <c r="D9" s="179">
        <v>0.77</v>
      </c>
      <c r="E9" s="179">
        <v>0.77</v>
      </c>
      <c r="F9" s="348" t="s">
        <v>1656</v>
      </c>
      <c r="K9" s="694" t="s">
        <v>19530</v>
      </c>
      <c r="L9" s="35">
        <v>6706.0</v>
      </c>
      <c r="M9" s="36"/>
    </row>
    <row r="10">
      <c r="A10" s="692" t="s">
        <v>19531</v>
      </c>
      <c r="B10" s="134">
        <v>6675.0</v>
      </c>
      <c r="C10" s="693">
        <v>0.12</v>
      </c>
      <c r="D10" s="695">
        <v>0.85</v>
      </c>
      <c r="E10" s="695">
        <v>0.85</v>
      </c>
      <c r="F10" s="348" t="s">
        <v>1656</v>
      </c>
      <c r="K10" s="694" t="s">
        <v>19531</v>
      </c>
      <c r="L10" s="35">
        <v>6675.0</v>
      </c>
      <c r="M10" s="36"/>
    </row>
    <row r="11">
      <c r="A11" s="692" t="s">
        <v>19532</v>
      </c>
      <c r="B11" s="134">
        <v>6772.0</v>
      </c>
      <c r="C11" s="693">
        <v>0.12</v>
      </c>
      <c r="D11" s="179">
        <v>0.65</v>
      </c>
      <c r="E11" s="179">
        <v>0.65</v>
      </c>
      <c r="F11" s="348" t="s">
        <v>1656</v>
      </c>
      <c r="K11" s="694" t="s">
        <v>19532</v>
      </c>
      <c r="L11" s="35">
        <v>6772.0</v>
      </c>
      <c r="M11" s="36"/>
    </row>
    <row r="12">
      <c r="A12" s="692" t="s">
        <v>19533</v>
      </c>
      <c r="B12" s="134">
        <v>7033.0</v>
      </c>
      <c r="C12" s="693">
        <v>0.12</v>
      </c>
      <c r="D12" s="179">
        <v>0.65</v>
      </c>
      <c r="E12" s="179">
        <v>0.65</v>
      </c>
      <c r="F12" s="348" t="s">
        <v>1656</v>
      </c>
      <c r="K12" s="694" t="s">
        <v>19533</v>
      </c>
      <c r="L12" s="35">
        <v>7033.0</v>
      </c>
      <c r="M12" s="36"/>
    </row>
    <row r="13">
      <c r="A13" s="692" t="s">
        <v>19534</v>
      </c>
      <c r="B13" s="134">
        <v>6887.0</v>
      </c>
      <c r="C13" s="693">
        <v>0.12</v>
      </c>
      <c r="D13" s="179">
        <v>0.65</v>
      </c>
      <c r="E13" s="179">
        <v>0.65</v>
      </c>
      <c r="F13" s="348" t="s">
        <v>1656</v>
      </c>
      <c r="K13" s="694" t="s">
        <v>19534</v>
      </c>
      <c r="L13" s="35">
        <v>6887.0</v>
      </c>
      <c r="M13" s="36"/>
    </row>
    <row r="14">
      <c r="A14" s="692" t="s">
        <v>19535</v>
      </c>
      <c r="B14" s="134">
        <v>7031.0</v>
      </c>
      <c r="C14" s="693">
        <v>0.12</v>
      </c>
      <c r="D14" s="179">
        <v>0.65</v>
      </c>
      <c r="E14" s="179">
        <v>0.65</v>
      </c>
      <c r="F14" s="348" t="s">
        <v>1656</v>
      </c>
      <c r="K14" s="216" t="s">
        <v>19535</v>
      </c>
      <c r="L14" s="11">
        <v>7031.0</v>
      </c>
    </row>
    <row r="15">
      <c r="A15" s="692" t="s">
        <v>19536</v>
      </c>
      <c r="B15" s="134">
        <v>5125.0</v>
      </c>
      <c r="C15" s="693">
        <v>0.12</v>
      </c>
      <c r="D15" s="179">
        <v>0.65</v>
      </c>
      <c r="E15" s="179">
        <v>0.65</v>
      </c>
      <c r="F15" s="348" t="s">
        <v>1656</v>
      </c>
      <c r="K15" s="216" t="s">
        <v>19536</v>
      </c>
      <c r="L15" s="11">
        <v>5125.0</v>
      </c>
    </row>
    <row r="16">
      <c r="A16" s="692" t="s">
        <v>19537</v>
      </c>
      <c r="B16" s="134">
        <v>2345.0</v>
      </c>
      <c r="C16" s="693">
        <v>0.12</v>
      </c>
      <c r="D16" s="179">
        <v>0.9</v>
      </c>
      <c r="E16" s="179">
        <v>0.9</v>
      </c>
      <c r="F16" s="348" t="s">
        <v>1656</v>
      </c>
      <c r="K16" s="694" t="s">
        <v>19537</v>
      </c>
      <c r="L16" s="35">
        <v>2345.0</v>
      </c>
      <c r="M16" s="36"/>
    </row>
    <row r="17">
      <c r="A17" s="692" t="s">
        <v>19538</v>
      </c>
      <c r="B17" s="134">
        <v>9363.0</v>
      </c>
      <c r="C17" s="693">
        <v>0.12</v>
      </c>
      <c r="D17" s="179">
        <v>0.65</v>
      </c>
      <c r="E17" s="179">
        <v>0.65</v>
      </c>
      <c r="F17" s="348" t="s">
        <v>1656</v>
      </c>
      <c r="K17" s="694" t="s">
        <v>19538</v>
      </c>
      <c r="L17" s="35">
        <v>9363.0</v>
      </c>
      <c r="M17" s="36"/>
    </row>
    <row r="18">
      <c r="A18" s="692" t="s">
        <v>19539</v>
      </c>
      <c r="B18" s="134">
        <v>9363.0</v>
      </c>
      <c r="C18" s="693">
        <v>0.12</v>
      </c>
      <c r="D18" s="179">
        <v>0.65</v>
      </c>
      <c r="E18" s="179">
        <v>0.65</v>
      </c>
      <c r="F18" s="348" t="s">
        <v>1656</v>
      </c>
      <c r="K18" s="694" t="s">
        <v>19539</v>
      </c>
      <c r="L18" s="35">
        <v>9363.0</v>
      </c>
      <c r="M18" s="36"/>
    </row>
    <row r="19">
      <c r="A19" s="692" t="s">
        <v>19540</v>
      </c>
      <c r="B19" s="134">
        <v>2345.0</v>
      </c>
      <c r="C19" s="693">
        <v>0.12</v>
      </c>
      <c r="D19" s="179">
        <v>0.9</v>
      </c>
      <c r="E19" s="179">
        <v>0.9</v>
      </c>
      <c r="F19" s="348" t="s">
        <v>1656</v>
      </c>
      <c r="K19" s="694" t="s">
        <v>19540</v>
      </c>
      <c r="L19" s="35">
        <v>2345.0</v>
      </c>
      <c r="M19" s="36"/>
    </row>
    <row r="20">
      <c r="A20" s="692" t="s">
        <v>19541</v>
      </c>
      <c r="B20" s="134">
        <v>7283.0</v>
      </c>
      <c r="C20" s="693">
        <v>0.12</v>
      </c>
      <c r="D20" s="179">
        <v>0.65</v>
      </c>
      <c r="E20" s="179">
        <v>0.65</v>
      </c>
      <c r="F20" s="348" t="s">
        <v>1656</v>
      </c>
      <c r="K20" s="694" t="s">
        <v>19541</v>
      </c>
      <c r="L20" s="35">
        <v>7283.0</v>
      </c>
      <c r="M20" s="36"/>
    </row>
    <row r="21">
      <c r="A21" s="692" t="s">
        <v>19542</v>
      </c>
      <c r="B21" s="134">
        <v>5458.0</v>
      </c>
      <c r="C21" s="693">
        <v>0.12</v>
      </c>
      <c r="D21" s="179">
        <v>0.65</v>
      </c>
      <c r="E21" s="179">
        <v>0.65</v>
      </c>
      <c r="F21" s="348" t="s">
        <v>1656</v>
      </c>
      <c r="K21" s="216" t="s">
        <v>19542</v>
      </c>
      <c r="L21" s="11">
        <v>5458.0</v>
      </c>
    </row>
    <row r="22">
      <c r="A22" s="692" t="s">
        <v>19543</v>
      </c>
      <c r="B22" s="134">
        <v>6132.0</v>
      </c>
      <c r="C22" s="693">
        <v>0.12</v>
      </c>
      <c r="D22" s="179">
        <v>0.65</v>
      </c>
      <c r="E22" s="179">
        <v>0.65</v>
      </c>
      <c r="F22" s="348" t="s">
        <v>1656</v>
      </c>
      <c r="K22" s="216" t="s">
        <v>19543</v>
      </c>
      <c r="L22" s="11">
        <v>6132.0</v>
      </c>
    </row>
    <row r="23">
      <c r="A23" s="692" t="s">
        <v>19544</v>
      </c>
      <c r="B23" s="134">
        <v>7847.0</v>
      </c>
      <c r="C23" s="693">
        <v>0.12</v>
      </c>
      <c r="D23" s="179">
        <v>0.65</v>
      </c>
      <c r="E23" s="179">
        <v>0.65</v>
      </c>
      <c r="F23" s="348" t="s">
        <v>1656</v>
      </c>
      <c r="K23" s="216" t="s">
        <v>19544</v>
      </c>
      <c r="L23" s="11">
        <v>7847.0</v>
      </c>
    </row>
    <row r="24">
      <c r="A24" s="692" t="s">
        <v>19545</v>
      </c>
      <c r="B24" s="134">
        <v>6887.0</v>
      </c>
      <c r="C24" s="693">
        <v>0.12</v>
      </c>
      <c r="D24" s="179">
        <v>0.65</v>
      </c>
      <c r="E24" s="179">
        <v>0.65</v>
      </c>
      <c r="F24" s="348" t="s">
        <v>1656</v>
      </c>
      <c r="K24" s="694" t="s">
        <v>19545</v>
      </c>
      <c r="L24" s="35">
        <v>6887.0</v>
      </c>
      <c r="M24" s="36"/>
    </row>
    <row r="25">
      <c r="A25" s="692" t="s">
        <v>19546</v>
      </c>
      <c r="B25" s="134">
        <v>6887.0</v>
      </c>
      <c r="C25" s="693">
        <v>0.12</v>
      </c>
      <c r="D25" s="179">
        <v>0.65</v>
      </c>
      <c r="E25" s="179">
        <v>0.65</v>
      </c>
      <c r="F25" s="348" t="s">
        <v>1656</v>
      </c>
      <c r="K25" s="216" t="s">
        <v>19546</v>
      </c>
      <c r="L25" s="11">
        <v>6887.0</v>
      </c>
    </row>
    <row r="26">
      <c r="A26" s="692" t="s">
        <v>19547</v>
      </c>
      <c r="B26" s="134">
        <v>6936.0</v>
      </c>
      <c r="C26" s="693">
        <v>0.12</v>
      </c>
      <c r="D26" s="179">
        <v>0.65</v>
      </c>
      <c r="E26" s="179">
        <v>0.65</v>
      </c>
      <c r="F26" s="348" t="s">
        <v>1656</v>
      </c>
      <c r="K26" s="694" t="s">
        <v>19547</v>
      </c>
      <c r="L26" s="35">
        <v>6936.0</v>
      </c>
      <c r="M26" s="36"/>
    </row>
    <row r="27">
      <c r="A27" s="692" t="s">
        <v>19548</v>
      </c>
      <c r="B27" s="134">
        <v>6669.0</v>
      </c>
      <c r="C27" s="693">
        <v>0.12</v>
      </c>
      <c r="D27" s="179">
        <v>0.65</v>
      </c>
      <c r="E27" s="179">
        <v>0.65</v>
      </c>
      <c r="F27" s="348" t="s">
        <v>1656</v>
      </c>
      <c r="K27" s="694" t="s">
        <v>19548</v>
      </c>
      <c r="L27" s="35">
        <v>6669.0</v>
      </c>
      <c r="M27" s="36"/>
    </row>
    <row r="28">
      <c r="A28" s="692" t="s">
        <v>19549</v>
      </c>
      <c r="B28" s="134">
        <v>7023.0</v>
      </c>
      <c r="C28" s="693">
        <v>0.12</v>
      </c>
      <c r="D28" s="179">
        <v>0.65</v>
      </c>
      <c r="E28" s="179">
        <v>0.65</v>
      </c>
      <c r="F28" s="348" t="s">
        <v>1656</v>
      </c>
      <c r="K28" s="694" t="s">
        <v>19549</v>
      </c>
      <c r="L28" s="35">
        <v>7023.0</v>
      </c>
      <c r="M28" s="36"/>
    </row>
    <row r="29">
      <c r="A29" s="692" t="s">
        <v>19550</v>
      </c>
      <c r="B29" s="134">
        <v>6669.0</v>
      </c>
      <c r="C29" s="693">
        <v>0.12</v>
      </c>
      <c r="D29" s="179">
        <v>0.65</v>
      </c>
      <c r="E29" s="179">
        <v>0.65</v>
      </c>
      <c r="F29" s="348" t="s">
        <v>1656</v>
      </c>
      <c r="K29" s="694" t="s">
        <v>19550</v>
      </c>
      <c r="L29" s="35">
        <v>6669.0</v>
      </c>
      <c r="M29" s="36"/>
    </row>
    <row r="30">
      <c r="A30" s="692" t="s">
        <v>19551</v>
      </c>
      <c r="B30" s="134">
        <v>663.0</v>
      </c>
      <c r="C30" s="693">
        <v>0.12</v>
      </c>
      <c r="D30" s="179">
        <v>0.65</v>
      </c>
      <c r="E30" s="179">
        <v>0.65</v>
      </c>
      <c r="F30" s="348" t="s">
        <v>1656</v>
      </c>
      <c r="K30" s="694" t="s">
        <v>19551</v>
      </c>
      <c r="L30" s="35">
        <v>663.0</v>
      </c>
      <c r="M30" s="36"/>
    </row>
    <row r="31">
      <c r="A31" s="692" t="s">
        <v>19552</v>
      </c>
      <c r="B31" s="134">
        <v>7183.0</v>
      </c>
      <c r="C31" s="693">
        <v>0.12</v>
      </c>
      <c r="D31" s="179">
        <v>0.65</v>
      </c>
      <c r="E31" s="179">
        <v>0.65</v>
      </c>
      <c r="F31" s="348" t="s">
        <v>1656</v>
      </c>
      <c r="K31" s="694" t="s">
        <v>19552</v>
      </c>
      <c r="L31" s="35">
        <v>7183.0</v>
      </c>
      <c r="M31" s="36"/>
    </row>
    <row r="32">
      <c r="A32" s="692" t="s">
        <v>19553</v>
      </c>
      <c r="B32" s="134">
        <v>7186.0</v>
      </c>
      <c r="C32" s="693">
        <v>0.12</v>
      </c>
      <c r="D32" s="179">
        <v>0.65</v>
      </c>
      <c r="E32" s="179">
        <v>0.65</v>
      </c>
      <c r="F32" s="348" t="s">
        <v>1656</v>
      </c>
      <c r="K32" s="694" t="s">
        <v>19553</v>
      </c>
      <c r="L32" s="35">
        <v>7186.0</v>
      </c>
      <c r="M32" s="36"/>
    </row>
    <row r="33">
      <c r="A33" s="692" t="s">
        <v>19554</v>
      </c>
      <c r="B33" s="134">
        <v>6669.0</v>
      </c>
      <c r="C33" s="693">
        <v>0.12</v>
      </c>
      <c r="D33" s="179">
        <v>0.65</v>
      </c>
      <c r="E33" s="179">
        <v>0.65</v>
      </c>
      <c r="F33" s="348" t="s">
        <v>1656</v>
      </c>
      <c r="K33" s="694" t="s">
        <v>19554</v>
      </c>
      <c r="L33" s="35">
        <v>6669.0</v>
      </c>
      <c r="M33" s="36"/>
    </row>
    <row r="34">
      <c r="A34" s="692" t="s">
        <v>19555</v>
      </c>
      <c r="B34" s="134">
        <v>7055.0</v>
      </c>
      <c r="C34" s="693">
        <v>0.12</v>
      </c>
      <c r="D34" s="179">
        <v>0.65</v>
      </c>
      <c r="E34" s="179">
        <v>0.65</v>
      </c>
      <c r="F34" s="348" t="s">
        <v>1656</v>
      </c>
      <c r="K34" s="694" t="s">
        <v>19555</v>
      </c>
      <c r="L34" s="35">
        <v>7055.0</v>
      </c>
      <c r="M34" s="36"/>
    </row>
    <row r="35">
      <c r="A35" s="692" t="s">
        <v>19556</v>
      </c>
      <c r="B35" s="134">
        <v>7100.0</v>
      </c>
      <c r="C35" s="693">
        <v>0.12</v>
      </c>
      <c r="D35" s="179">
        <v>0.65</v>
      </c>
      <c r="E35" s="179">
        <v>0.65</v>
      </c>
      <c r="F35" s="348" t="s">
        <v>1656</v>
      </c>
      <c r="K35" s="216" t="s">
        <v>19556</v>
      </c>
      <c r="L35" s="11">
        <v>7100.0</v>
      </c>
    </row>
    <row r="36">
      <c r="A36" s="692" t="s">
        <v>19557</v>
      </c>
      <c r="B36" s="134">
        <v>1130.0</v>
      </c>
      <c r="C36" s="693">
        <v>0.12</v>
      </c>
      <c r="D36" s="179">
        <v>0.65</v>
      </c>
      <c r="E36" s="179">
        <v>0.65</v>
      </c>
      <c r="F36" s="348" t="s">
        <v>1656</v>
      </c>
      <c r="K36" s="694" t="s">
        <v>19557</v>
      </c>
      <c r="L36" s="35">
        <v>1130.0</v>
      </c>
      <c r="M36" s="36"/>
    </row>
    <row r="37">
      <c r="A37" s="692" t="s">
        <v>19558</v>
      </c>
      <c r="B37" s="134">
        <v>7492.0</v>
      </c>
      <c r="C37" s="693">
        <v>0.12</v>
      </c>
      <c r="D37" s="74">
        <v>0.7</v>
      </c>
      <c r="E37" s="74">
        <v>0.7</v>
      </c>
      <c r="F37" s="348" t="s">
        <v>1656</v>
      </c>
      <c r="K37" s="694" t="s">
        <v>19558</v>
      </c>
      <c r="L37" s="35">
        <v>7492.0</v>
      </c>
      <c r="M37" s="36"/>
    </row>
    <row r="38">
      <c r="A38" s="692" t="s">
        <v>19559</v>
      </c>
      <c r="B38" s="134">
        <v>7492.0</v>
      </c>
      <c r="C38" s="693">
        <v>0.12</v>
      </c>
      <c r="D38" s="74">
        <v>0.7</v>
      </c>
      <c r="E38" s="74">
        <v>0.7</v>
      </c>
      <c r="F38" s="348" t="s">
        <v>1656</v>
      </c>
      <c r="K38" s="694" t="s">
        <v>19559</v>
      </c>
      <c r="L38" s="35">
        <v>7492.0</v>
      </c>
      <c r="M38" s="36"/>
    </row>
    <row r="39">
      <c r="A39" s="692" t="s">
        <v>19560</v>
      </c>
      <c r="B39" s="134">
        <v>7492.0</v>
      </c>
      <c r="C39" s="693">
        <v>0.12</v>
      </c>
      <c r="D39" s="74">
        <v>0.7</v>
      </c>
      <c r="E39" s="74">
        <v>0.7</v>
      </c>
      <c r="F39" s="348" t="s">
        <v>1656</v>
      </c>
      <c r="K39" s="694" t="s">
        <v>19560</v>
      </c>
      <c r="L39" s="35">
        <v>7492.0</v>
      </c>
      <c r="M39" s="36"/>
    </row>
    <row r="40">
      <c r="A40" s="692" t="s">
        <v>19561</v>
      </c>
      <c r="B40" s="134">
        <v>7492.0</v>
      </c>
      <c r="C40" s="693">
        <v>0.12</v>
      </c>
      <c r="D40" s="74">
        <v>0.7</v>
      </c>
      <c r="E40" s="74">
        <v>0.7</v>
      </c>
      <c r="F40" s="348" t="s">
        <v>1656</v>
      </c>
      <c r="K40" s="694" t="s">
        <v>19561</v>
      </c>
      <c r="L40" s="35">
        <v>7492.0</v>
      </c>
      <c r="M40" s="36"/>
    </row>
    <row r="41">
      <c r="A41" s="692" t="s">
        <v>19562</v>
      </c>
      <c r="B41" s="134">
        <v>7492.0</v>
      </c>
      <c r="C41" s="693">
        <v>0.12</v>
      </c>
      <c r="D41" s="74">
        <v>0.7</v>
      </c>
      <c r="E41" s="74">
        <v>0.7</v>
      </c>
      <c r="F41" s="348" t="s">
        <v>1656</v>
      </c>
      <c r="K41" s="694" t="s">
        <v>19562</v>
      </c>
      <c r="L41" s="35">
        <v>7492.0</v>
      </c>
      <c r="M41" s="36"/>
    </row>
    <row r="42">
      <c r="A42" s="692" t="s">
        <v>19563</v>
      </c>
      <c r="B42" s="134">
        <v>7492.0</v>
      </c>
      <c r="C42" s="693">
        <v>0.12</v>
      </c>
      <c r="D42" s="74">
        <v>0.7</v>
      </c>
      <c r="E42" s="74">
        <v>0.7</v>
      </c>
      <c r="F42" s="348" t="s">
        <v>1656</v>
      </c>
      <c r="K42" s="694" t="s">
        <v>19563</v>
      </c>
      <c r="L42" s="35">
        <v>7492.0</v>
      </c>
      <c r="M42" s="36"/>
    </row>
    <row r="43">
      <c r="A43" s="692" t="s">
        <v>19564</v>
      </c>
      <c r="B43" s="134">
        <v>10141.0</v>
      </c>
      <c r="C43" s="693">
        <v>0.12</v>
      </c>
      <c r="D43" s="179">
        <v>0.65</v>
      </c>
      <c r="E43" s="179">
        <v>0.65</v>
      </c>
      <c r="F43" s="348" t="s">
        <v>1656</v>
      </c>
      <c r="K43" s="216" t="s">
        <v>19564</v>
      </c>
      <c r="L43" s="11">
        <v>10141.0</v>
      </c>
    </row>
    <row r="44">
      <c r="A44" s="692" t="s">
        <v>19565</v>
      </c>
      <c r="B44" s="134">
        <v>6893.0</v>
      </c>
      <c r="C44" s="693">
        <v>0.12</v>
      </c>
      <c r="D44" s="179">
        <v>0.65</v>
      </c>
      <c r="E44" s="179">
        <v>0.65</v>
      </c>
      <c r="F44" s="348" t="s">
        <v>1656</v>
      </c>
      <c r="K44" s="694" t="s">
        <v>19565</v>
      </c>
      <c r="L44" s="35">
        <v>6893.0</v>
      </c>
      <c r="M44" s="36"/>
    </row>
    <row r="45">
      <c r="A45" s="692" t="s">
        <v>19566</v>
      </c>
      <c r="B45" s="134">
        <v>10856.0</v>
      </c>
      <c r="C45" s="693">
        <v>0.12</v>
      </c>
      <c r="D45" s="179">
        <v>0.65</v>
      </c>
      <c r="E45" s="179">
        <v>0.65</v>
      </c>
      <c r="F45" s="348" t="s">
        <v>1656</v>
      </c>
      <c r="K45" s="216" t="s">
        <v>19566</v>
      </c>
      <c r="L45" s="11">
        <v>10856.0</v>
      </c>
    </row>
    <row r="46">
      <c r="A46" s="692" t="s">
        <v>19567</v>
      </c>
      <c r="B46" s="134">
        <v>6875.0</v>
      </c>
      <c r="C46" s="693">
        <v>0.12</v>
      </c>
      <c r="D46" s="179">
        <v>0.65</v>
      </c>
      <c r="E46" s="179">
        <v>0.65</v>
      </c>
      <c r="F46" s="348" t="s">
        <v>1656</v>
      </c>
      <c r="K46" s="694" t="s">
        <v>19567</v>
      </c>
      <c r="L46" s="35">
        <v>6875.0</v>
      </c>
      <c r="M46" s="36"/>
    </row>
    <row r="47">
      <c r="A47" s="692" t="s">
        <v>19568</v>
      </c>
      <c r="B47" s="134">
        <v>3307.0</v>
      </c>
      <c r="C47" s="693">
        <v>0.12</v>
      </c>
      <c r="D47" s="179">
        <v>0.65</v>
      </c>
      <c r="E47" s="179">
        <v>0.65</v>
      </c>
      <c r="F47" s="348" t="s">
        <v>1656</v>
      </c>
      <c r="K47" s="694" t="s">
        <v>19568</v>
      </c>
      <c r="L47" s="35">
        <v>3307.0</v>
      </c>
      <c r="M47" s="36"/>
    </row>
    <row r="48">
      <c r="A48" s="692" t="s">
        <v>19569</v>
      </c>
      <c r="B48" s="134">
        <v>11708.0</v>
      </c>
      <c r="C48" s="693">
        <v>0.12</v>
      </c>
      <c r="D48" s="179">
        <v>0.65</v>
      </c>
      <c r="E48" s="179">
        <v>0.65</v>
      </c>
      <c r="F48" s="348" t="s">
        <v>1656</v>
      </c>
      <c r="K48" s="694" t="s">
        <v>19569</v>
      </c>
      <c r="L48" s="35">
        <v>11708.0</v>
      </c>
      <c r="M48" s="36"/>
    </row>
    <row r="49">
      <c r="A49" s="692" t="s">
        <v>19570</v>
      </c>
      <c r="B49" s="134">
        <v>9746.0</v>
      </c>
      <c r="C49" s="693">
        <v>0.12</v>
      </c>
      <c r="D49" s="179">
        <v>0.65</v>
      </c>
      <c r="E49" s="179">
        <v>0.65</v>
      </c>
      <c r="F49" s="348" t="s">
        <v>1656</v>
      </c>
      <c r="K49" s="694" t="s">
        <v>19570</v>
      </c>
      <c r="L49" s="35">
        <v>9746.0</v>
      </c>
      <c r="M49" s="36"/>
    </row>
    <row r="50">
      <c r="A50" s="692" t="s">
        <v>19571</v>
      </c>
      <c r="B50" s="153">
        <v>12553.0</v>
      </c>
      <c r="C50" s="693">
        <v>0.12</v>
      </c>
      <c r="D50" s="179">
        <v>0.65</v>
      </c>
      <c r="E50" s="179">
        <v>0.65</v>
      </c>
      <c r="F50" s="348" t="s">
        <v>1656</v>
      </c>
      <c r="K50" s="694" t="s">
        <v>19571</v>
      </c>
      <c r="L50" s="43">
        <v>12553.0</v>
      </c>
      <c r="M50" s="36"/>
    </row>
    <row r="51">
      <c r="A51" s="692" t="s">
        <v>19572</v>
      </c>
      <c r="B51" s="134">
        <v>6671.0</v>
      </c>
      <c r="C51" s="693">
        <v>0.12</v>
      </c>
      <c r="D51" s="179">
        <v>0.65</v>
      </c>
      <c r="E51" s="179">
        <v>0.65</v>
      </c>
      <c r="F51" s="348" t="s">
        <v>1656</v>
      </c>
      <c r="K51" s="694" t="s">
        <v>19572</v>
      </c>
      <c r="L51" s="35">
        <v>6671.0</v>
      </c>
      <c r="M51" s="36"/>
    </row>
    <row r="52">
      <c r="A52" s="692" t="s">
        <v>19573</v>
      </c>
      <c r="B52" s="134">
        <v>6671.0</v>
      </c>
      <c r="C52" s="693">
        <v>0.12</v>
      </c>
      <c r="D52" s="179">
        <v>0.65</v>
      </c>
      <c r="E52" s="179">
        <v>0.65</v>
      </c>
      <c r="F52" s="348" t="s">
        <v>1656</v>
      </c>
      <c r="K52" s="694" t="s">
        <v>19573</v>
      </c>
      <c r="L52" s="35">
        <v>6671.0</v>
      </c>
      <c r="M52" s="36"/>
    </row>
    <row r="53">
      <c r="A53" s="692" t="s">
        <v>19574</v>
      </c>
      <c r="B53" s="134">
        <v>11916.0</v>
      </c>
      <c r="C53" s="693">
        <v>0.12</v>
      </c>
      <c r="D53" s="179">
        <v>0.65</v>
      </c>
      <c r="E53" s="179">
        <v>0.65</v>
      </c>
      <c r="F53" s="348" t="s">
        <v>1656</v>
      </c>
      <c r="K53" s="694" t="s">
        <v>19574</v>
      </c>
      <c r="L53" s="35">
        <v>11916.0</v>
      </c>
      <c r="M53" s="36"/>
    </row>
    <row r="54">
      <c r="A54" s="692" t="s">
        <v>19575</v>
      </c>
      <c r="B54" s="134">
        <v>11104.0</v>
      </c>
      <c r="C54" s="693">
        <v>0.12</v>
      </c>
      <c r="D54" s="179">
        <v>0.65</v>
      </c>
      <c r="E54" s="179">
        <v>0.65</v>
      </c>
      <c r="F54" s="348" t="s">
        <v>1656</v>
      </c>
      <c r="K54" s="694" t="s">
        <v>19575</v>
      </c>
      <c r="L54" s="35">
        <v>11104.0</v>
      </c>
      <c r="M54" s="36"/>
    </row>
    <row r="55">
      <c r="A55" s="692" t="s">
        <v>19576</v>
      </c>
      <c r="B55" s="134">
        <v>6903.0</v>
      </c>
      <c r="C55" s="693">
        <v>0.12</v>
      </c>
      <c r="D55" s="179">
        <v>0.65</v>
      </c>
      <c r="E55" s="179">
        <v>0.65</v>
      </c>
      <c r="F55" s="348" t="s">
        <v>1656</v>
      </c>
      <c r="K55" s="694" t="s">
        <v>19576</v>
      </c>
      <c r="L55" s="35">
        <v>6903.0</v>
      </c>
      <c r="M55" s="36"/>
    </row>
    <row r="56">
      <c r="A56" s="692" t="s">
        <v>19577</v>
      </c>
      <c r="B56" s="134">
        <v>7157.0</v>
      </c>
      <c r="C56" s="693">
        <v>0.12</v>
      </c>
      <c r="D56" s="179">
        <v>0.65</v>
      </c>
      <c r="E56" s="179">
        <v>0.65</v>
      </c>
      <c r="F56" s="348" t="s">
        <v>1656</v>
      </c>
      <c r="K56" s="216" t="s">
        <v>19577</v>
      </c>
      <c r="L56" s="11">
        <v>7157.0</v>
      </c>
    </row>
    <row r="57">
      <c r="A57" s="692" t="s">
        <v>19578</v>
      </c>
      <c r="B57" s="134">
        <v>7168.0</v>
      </c>
      <c r="C57" s="693">
        <v>0.12</v>
      </c>
      <c r="D57" s="179">
        <v>0.65</v>
      </c>
      <c r="E57" s="179">
        <v>0.65</v>
      </c>
      <c r="F57" s="348" t="s">
        <v>1656</v>
      </c>
      <c r="K57" s="694" t="s">
        <v>19578</v>
      </c>
      <c r="L57" s="35">
        <v>7168.0</v>
      </c>
      <c r="M57" s="36"/>
    </row>
    <row r="58">
      <c r="A58" s="692" t="s">
        <v>19579</v>
      </c>
      <c r="B58" s="134">
        <v>12941.0</v>
      </c>
      <c r="C58" s="693">
        <v>0.12</v>
      </c>
      <c r="D58" s="179">
        <v>0.65</v>
      </c>
      <c r="E58" s="179">
        <v>0.65</v>
      </c>
      <c r="F58" s="348" t="s">
        <v>1656</v>
      </c>
      <c r="K58" s="694" t="s">
        <v>19579</v>
      </c>
      <c r="L58" s="35">
        <v>12941.0</v>
      </c>
      <c r="M58" s="36"/>
    </row>
    <row r="59">
      <c r="A59" s="692" t="s">
        <v>19580</v>
      </c>
      <c r="B59" s="134">
        <v>12941.0</v>
      </c>
      <c r="C59" s="693">
        <v>0.12</v>
      </c>
      <c r="D59" s="179">
        <v>0.65</v>
      </c>
      <c r="E59" s="179">
        <v>0.65</v>
      </c>
      <c r="F59" s="348" t="s">
        <v>1656</v>
      </c>
      <c r="K59" s="694" t="s">
        <v>19580</v>
      </c>
      <c r="L59" s="35">
        <v>12941.0</v>
      </c>
      <c r="M59" s="36"/>
    </row>
    <row r="60">
      <c r="A60" s="692" t="s">
        <v>19581</v>
      </c>
      <c r="B60" s="134">
        <v>12941.0</v>
      </c>
      <c r="C60" s="693">
        <v>0.12</v>
      </c>
      <c r="D60" s="179">
        <v>0.65</v>
      </c>
      <c r="E60" s="179">
        <v>0.65</v>
      </c>
      <c r="F60" s="348" t="s">
        <v>1656</v>
      </c>
      <c r="K60" s="694" t="s">
        <v>19581</v>
      </c>
      <c r="L60" s="35">
        <v>12941.0</v>
      </c>
      <c r="M60" s="36"/>
    </row>
    <row r="61">
      <c r="A61" s="692" t="s">
        <v>19582</v>
      </c>
      <c r="B61" s="134">
        <v>7003.0</v>
      </c>
      <c r="C61" s="693">
        <v>0.12</v>
      </c>
      <c r="D61" s="179">
        <v>0.65</v>
      </c>
      <c r="E61" s="179">
        <v>0.65</v>
      </c>
      <c r="F61" s="348" t="s">
        <v>1656</v>
      </c>
      <c r="K61" s="694" t="s">
        <v>19582</v>
      </c>
      <c r="L61" s="35">
        <v>7003.0</v>
      </c>
      <c r="M61" s="36"/>
    </row>
    <row r="62">
      <c r="A62" s="692" t="s">
        <v>19583</v>
      </c>
      <c r="B62" s="134">
        <v>12932.0</v>
      </c>
      <c r="C62" s="693">
        <v>0.12</v>
      </c>
      <c r="D62" s="179">
        <v>0.65</v>
      </c>
      <c r="E62" s="179">
        <v>0.65</v>
      </c>
      <c r="F62" s="348" t="s">
        <v>1656</v>
      </c>
      <c r="K62" s="694" t="s">
        <v>19583</v>
      </c>
      <c r="L62" s="35">
        <v>12932.0</v>
      </c>
      <c r="M62" s="36"/>
    </row>
    <row r="63">
      <c r="A63" s="692" t="s">
        <v>19584</v>
      </c>
      <c r="B63" s="134">
        <v>6829.0</v>
      </c>
      <c r="C63" s="693">
        <v>0.12</v>
      </c>
      <c r="D63" s="179">
        <v>0.65</v>
      </c>
      <c r="E63" s="179">
        <v>0.65</v>
      </c>
      <c r="F63" s="348" t="s">
        <v>1656</v>
      </c>
      <c r="K63" s="694" t="s">
        <v>19584</v>
      </c>
      <c r="L63" s="35">
        <v>6829.0</v>
      </c>
      <c r="M63" s="36"/>
    </row>
    <row r="64">
      <c r="A64" s="692" t="s">
        <v>19585</v>
      </c>
      <c r="B64" s="134">
        <v>6829.0</v>
      </c>
      <c r="C64" s="693">
        <v>0.12</v>
      </c>
      <c r="D64" s="179">
        <v>0.65</v>
      </c>
      <c r="E64" s="179">
        <v>0.65</v>
      </c>
      <c r="F64" s="348" t="s">
        <v>1656</v>
      </c>
      <c r="K64" s="694" t="s">
        <v>19585</v>
      </c>
      <c r="L64" s="35">
        <v>6829.0</v>
      </c>
      <c r="M64" s="36"/>
    </row>
    <row r="65">
      <c r="A65" s="692" t="s">
        <v>19586</v>
      </c>
      <c r="B65" s="134">
        <v>14065.0</v>
      </c>
      <c r="C65" s="693">
        <v>0.12</v>
      </c>
      <c r="D65" s="179">
        <v>0.65</v>
      </c>
      <c r="E65" s="179">
        <v>0.65</v>
      </c>
      <c r="F65" s="348" t="s">
        <v>1656</v>
      </c>
      <c r="K65" s="694" t="s">
        <v>19586</v>
      </c>
      <c r="L65" s="35">
        <v>14065.0</v>
      </c>
      <c r="M65" s="36"/>
    </row>
    <row r="66">
      <c r="A66" s="692" t="s">
        <v>19587</v>
      </c>
      <c r="B66" s="134">
        <v>1.0</v>
      </c>
      <c r="C66" s="693">
        <v>0.12</v>
      </c>
      <c r="D66" s="179">
        <v>0.65</v>
      </c>
      <c r="E66" s="179">
        <v>0.65</v>
      </c>
      <c r="F66" s="348" t="s">
        <v>1656</v>
      </c>
      <c r="K66" s="694" t="s">
        <v>19587</v>
      </c>
      <c r="L66" s="35">
        <v>1.0</v>
      </c>
      <c r="M66" s="36"/>
    </row>
    <row r="67">
      <c r="A67" s="692" t="s">
        <v>19588</v>
      </c>
      <c r="B67" s="134">
        <v>12609.0</v>
      </c>
      <c r="C67" s="693">
        <v>0.12</v>
      </c>
      <c r="D67" s="179">
        <v>0.65</v>
      </c>
      <c r="E67" s="179">
        <v>0.65</v>
      </c>
      <c r="F67" s="348" t="s">
        <v>1656</v>
      </c>
      <c r="K67" s="694" t="s">
        <v>19588</v>
      </c>
      <c r="L67" s="35">
        <v>12609.0</v>
      </c>
      <c r="M67" s="36"/>
    </row>
    <row r="68">
      <c r="A68" s="692" t="s">
        <v>19589</v>
      </c>
      <c r="B68" s="134">
        <v>6706.0</v>
      </c>
      <c r="C68" s="693">
        <v>0.12</v>
      </c>
      <c r="D68" s="179">
        <v>0.77</v>
      </c>
      <c r="E68" s="179">
        <v>0.77</v>
      </c>
      <c r="F68" s="348" t="s">
        <v>1656</v>
      </c>
      <c r="K68" s="216" t="s">
        <v>19589</v>
      </c>
      <c r="L68" s="11">
        <v>6706.0</v>
      </c>
    </row>
    <row r="69">
      <c r="A69" s="692" t="s">
        <v>19590</v>
      </c>
      <c r="B69" s="134">
        <v>6706.0</v>
      </c>
      <c r="C69" s="693">
        <v>0.12</v>
      </c>
      <c r="D69" s="179">
        <v>0.77</v>
      </c>
      <c r="E69" s="179">
        <v>0.77</v>
      </c>
      <c r="F69" s="348" t="s">
        <v>1656</v>
      </c>
      <c r="K69" s="216" t="s">
        <v>19590</v>
      </c>
      <c r="L69" s="11">
        <v>6706.0</v>
      </c>
    </row>
    <row r="70">
      <c r="A70" s="692" t="s">
        <v>19591</v>
      </c>
      <c r="B70" s="134">
        <v>6557.0</v>
      </c>
      <c r="C70" s="693">
        <v>0.12</v>
      </c>
      <c r="D70" s="179">
        <v>0.77</v>
      </c>
      <c r="E70" s="179">
        <v>0.77</v>
      </c>
      <c r="F70" s="348" t="s">
        <v>1656</v>
      </c>
      <c r="K70" s="694" t="s">
        <v>19591</v>
      </c>
      <c r="L70" s="35">
        <v>6557.0</v>
      </c>
      <c r="M70" s="36"/>
    </row>
    <row r="71">
      <c r="A71" s="692" t="s">
        <v>19592</v>
      </c>
      <c r="B71" s="134">
        <v>12941.0</v>
      </c>
      <c r="C71" s="693">
        <v>0.12</v>
      </c>
      <c r="D71" s="179">
        <v>0.65</v>
      </c>
      <c r="E71" s="179">
        <v>0.65</v>
      </c>
      <c r="F71" s="348" t="s">
        <v>1656</v>
      </c>
      <c r="K71" s="694" t="s">
        <v>19592</v>
      </c>
      <c r="L71" s="35">
        <v>12941.0</v>
      </c>
      <c r="M71" s="36"/>
    </row>
    <row r="72">
      <c r="A72" s="692" t="s">
        <v>19593</v>
      </c>
      <c r="B72" s="134">
        <v>12941.0</v>
      </c>
      <c r="C72" s="693">
        <v>0.12</v>
      </c>
      <c r="D72" s="179">
        <v>0.65</v>
      </c>
      <c r="E72" s="179">
        <v>0.65</v>
      </c>
      <c r="F72" s="348" t="s">
        <v>1656</v>
      </c>
      <c r="K72" s="694" t="s">
        <v>19593</v>
      </c>
      <c r="L72" s="35">
        <v>12941.0</v>
      </c>
      <c r="M72" s="36"/>
    </row>
    <row r="73">
      <c r="A73" s="692" t="s">
        <v>19594</v>
      </c>
      <c r="B73" s="134">
        <v>12941.0</v>
      </c>
      <c r="C73" s="693">
        <v>0.12</v>
      </c>
      <c r="D73" s="179">
        <v>0.65</v>
      </c>
      <c r="E73" s="179">
        <v>0.65</v>
      </c>
      <c r="F73" s="348" t="s">
        <v>1656</v>
      </c>
      <c r="K73" s="694" t="s">
        <v>19594</v>
      </c>
      <c r="L73" s="35">
        <v>12941.0</v>
      </c>
      <c r="M73" s="36"/>
    </row>
    <row r="74">
      <c r="A74" s="692" t="s">
        <v>19595</v>
      </c>
      <c r="B74" s="134">
        <v>7010.0</v>
      </c>
      <c r="C74" s="693">
        <v>0.12</v>
      </c>
      <c r="D74" s="179">
        <v>0.65</v>
      </c>
      <c r="E74" s="179">
        <v>0.65</v>
      </c>
      <c r="F74" s="348" t="s">
        <v>1656</v>
      </c>
      <c r="K74" s="216" t="s">
        <v>19595</v>
      </c>
      <c r="L74" s="11">
        <v>7010.0</v>
      </c>
    </row>
    <row r="75">
      <c r="A75" s="692" t="s">
        <v>19596</v>
      </c>
      <c r="B75" s="134">
        <v>7083.0</v>
      </c>
      <c r="C75" s="693">
        <v>0.12</v>
      </c>
      <c r="D75" s="179">
        <v>0.65</v>
      </c>
      <c r="E75" s="179">
        <v>0.65</v>
      </c>
      <c r="F75" s="348" t="s">
        <v>1656</v>
      </c>
      <c r="K75" s="216" t="s">
        <v>19596</v>
      </c>
      <c r="L75" s="11">
        <v>7083.0</v>
      </c>
    </row>
    <row r="76">
      <c r="A76" s="692" t="s">
        <v>19597</v>
      </c>
      <c r="B76" s="134">
        <v>315.0</v>
      </c>
      <c r="C76" s="693">
        <v>0.12</v>
      </c>
      <c r="D76" s="179">
        <v>0.65</v>
      </c>
      <c r="E76" s="179">
        <v>0.65</v>
      </c>
      <c r="F76" s="348" t="s">
        <v>1656</v>
      </c>
      <c r="K76" s="694" t="s">
        <v>19597</v>
      </c>
      <c r="L76" s="35">
        <v>315.0</v>
      </c>
      <c r="M76" s="36"/>
    </row>
    <row r="77">
      <c r="A77" s="692" t="s">
        <v>19598</v>
      </c>
      <c r="B77" s="134">
        <v>2095.0</v>
      </c>
      <c r="C77" s="693">
        <v>0.12</v>
      </c>
      <c r="D77" s="179">
        <v>0.65</v>
      </c>
      <c r="E77" s="179">
        <v>0.65</v>
      </c>
      <c r="F77" s="348" t="s">
        <v>1656</v>
      </c>
      <c r="K77" s="694" t="s">
        <v>19598</v>
      </c>
      <c r="L77" s="35">
        <v>2095.0</v>
      </c>
      <c r="M77" s="36"/>
    </row>
    <row r="78">
      <c r="A78" s="692" t="s">
        <v>19599</v>
      </c>
      <c r="B78" s="134">
        <v>13951.0</v>
      </c>
      <c r="C78" s="693">
        <v>0.12</v>
      </c>
      <c r="D78" s="179">
        <v>0.65</v>
      </c>
      <c r="E78" s="179">
        <v>0.65</v>
      </c>
      <c r="F78" s="348" t="s">
        <v>1656</v>
      </c>
      <c r="K78" s="694" t="s">
        <v>19599</v>
      </c>
      <c r="L78" s="35">
        <v>13951.0</v>
      </c>
      <c r="M78" s="36"/>
    </row>
    <row r="79">
      <c r="A79" s="692" t="s">
        <v>19600</v>
      </c>
      <c r="B79" s="134">
        <v>14337.0</v>
      </c>
      <c r="C79" s="693">
        <v>0.12</v>
      </c>
      <c r="D79" s="179">
        <v>0.65</v>
      </c>
      <c r="E79" s="179">
        <v>0.65</v>
      </c>
      <c r="F79" s="348" t="s">
        <v>1656</v>
      </c>
      <c r="K79" s="694" t="s">
        <v>19600</v>
      </c>
      <c r="L79" s="35">
        <v>14337.0</v>
      </c>
      <c r="M79" s="36"/>
    </row>
    <row r="80">
      <c r="A80" s="692" t="s">
        <v>19601</v>
      </c>
      <c r="B80" s="16">
        <v>5365.0</v>
      </c>
      <c r="C80" s="693">
        <v>0.12</v>
      </c>
      <c r="D80" s="179">
        <v>0.65</v>
      </c>
      <c r="E80" s="179">
        <v>0.65</v>
      </c>
      <c r="F80" s="348" t="s">
        <v>1656</v>
      </c>
      <c r="K80" s="694" t="s">
        <v>19601</v>
      </c>
      <c r="L80" s="36"/>
      <c r="M80" s="36"/>
    </row>
    <row r="81">
      <c r="A81" s="692" t="s">
        <v>19602</v>
      </c>
      <c r="B81" s="134">
        <v>6802.0</v>
      </c>
      <c r="C81" s="693">
        <v>0.12</v>
      </c>
      <c r="D81" s="179">
        <v>0.65</v>
      </c>
      <c r="E81" s="179">
        <v>0.65</v>
      </c>
      <c r="F81" s="348" t="s">
        <v>1656</v>
      </c>
      <c r="K81" s="216" t="s">
        <v>19602</v>
      </c>
      <c r="L81" s="11">
        <v>6802.0</v>
      </c>
    </row>
    <row r="82">
      <c r="A82" s="692" t="s">
        <v>19603</v>
      </c>
      <c r="B82" s="134">
        <v>14030.0</v>
      </c>
      <c r="C82" s="693">
        <v>0.12</v>
      </c>
      <c r="D82" s="179">
        <v>0.65</v>
      </c>
      <c r="E82" s="179">
        <v>0.65</v>
      </c>
      <c r="F82" s="348" t="s">
        <v>1656</v>
      </c>
      <c r="K82" s="694" t="s">
        <v>19603</v>
      </c>
      <c r="L82" s="35">
        <v>14030.0</v>
      </c>
      <c r="M82" s="36"/>
    </row>
    <row r="83">
      <c r="A83" s="692" t="s">
        <v>19604</v>
      </c>
      <c r="B83" s="134">
        <v>13858.0</v>
      </c>
      <c r="C83" s="693">
        <v>0.12</v>
      </c>
      <c r="D83" s="179">
        <v>0.65</v>
      </c>
      <c r="E83" s="179">
        <v>0.65</v>
      </c>
      <c r="F83" s="348" t="s">
        <v>1656</v>
      </c>
      <c r="K83" s="694" t="s">
        <v>19604</v>
      </c>
      <c r="L83" s="35">
        <v>13858.0</v>
      </c>
      <c r="M83" s="36"/>
    </row>
    <row r="84">
      <c r="A84" s="692" t="s">
        <v>19605</v>
      </c>
      <c r="B84" s="134">
        <v>13829.0</v>
      </c>
      <c r="C84" s="693">
        <v>0.12</v>
      </c>
      <c r="D84" s="179">
        <v>0.65</v>
      </c>
      <c r="E84" s="179">
        <v>0.65</v>
      </c>
      <c r="F84" s="348" t="s">
        <v>1656</v>
      </c>
      <c r="K84" s="216" t="s">
        <v>19605</v>
      </c>
      <c r="L84" s="11">
        <v>13829.0</v>
      </c>
    </row>
    <row r="85">
      <c r="A85" s="692" t="s">
        <v>19606</v>
      </c>
      <c r="B85" s="134">
        <v>283.0</v>
      </c>
      <c r="C85" s="693">
        <v>0.12</v>
      </c>
      <c r="D85" s="179">
        <v>0.65</v>
      </c>
      <c r="E85" s="179">
        <v>0.65</v>
      </c>
      <c r="F85" s="348" t="s">
        <v>1656</v>
      </c>
      <c r="K85" s="216" t="s">
        <v>19606</v>
      </c>
      <c r="L85" s="11">
        <v>283.0</v>
      </c>
    </row>
    <row r="86">
      <c r="A86" s="692" t="s">
        <v>19607</v>
      </c>
      <c r="B86" s="134">
        <v>11601.0</v>
      </c>
      <c r="C86" s="693">
        <v>0.12</v>
      </c>
      <c r="D86" s="179">
        <v>0.65</v>
      </c>
      <c r="E86" s="179">
        <v>0.65</v>
      </c>
      <c r="F86" s="348" t="s">
        <v>1656</v>
      </c>
      <c r="K86" s="216" t="s">
        <v>19607</v>
      </c>
      <c r="L86" s="11">
        <v>11601.0</v>
      </c>
    </row>
    <row r="87">
      <c r="A87" s="134" t="s">
        <v>4034</v>
      </c>
      <c r="B87" s="134">
        <v>6143.0</v>
      </c>
      <c r="C87" s="693">
        <v>0.12</v>
      </c>
      <c r="D87" s="179">
        <v>0.65</v>
      </c>
      <c r="E87" s="179">
        <v>0.65</v>
      </c>
      <c r="F87" s="348" t="s">
        <v>1656</v>
      </c>
      <c r="K87" s="35" t="s">
        <v>4034</v>
      </c>
      <c r="L87" s="35">
        <v>6143.0</v>
      </c>
      <c r="M87" s="36"/>
    </row>
    <row r="88">
      <c r="A88" s="134" t="s">
        <v>4035</v>
      </c>
      <c r="B88" s="134">
        <v>6722.0</v>
      </c>
      <c r="C88" s="693">
        <v>0.12</v>
      </c>
      <c r="D88" s="179">
        <v>0.65</v>
      </c>
      <c r="E88" s="179">
        <v>0.65</v>
      </c>
      <c r="F88" s="348" t="s">
        <v>1656</v>
      </c>
      <c r="K88" s="35" t="s">
        <v>4035</v>
      </c>
      <c r="L88" s="36"/>
      <c r="M88" s="36"/>
    </row>
    <row r="89">
      <c r="A89" s="134" t="s">
        <v>4036</v>
      </c>
      <c r="B89" s="134">
        <v>14248.0</v>
      </c>
      <c r="C89" s="693">
        <v>0.12</v>
      </c>
      <c r="D89" s="179">
        <v>0.65</v>
      </c>
      <c r="E89" s="179">
        <v>0.65</v>
      </c>
      <c r="F89" s="348" t="s">
        <v>1656</v>
      </c>
      <c r="K89" s="35" t="s">
        <v>4036</v>
      </c>
      <c r="L89" s="35">
        <v>14248.0</v>
      </c>
      <c r="M89" s="36"/>
    </row>
    <row r="90">
      <c r="A90" s="134" t="s">
        <v>4037</v>
      </c>
      <c r="B90" s="134">
        <v>2345.0</v>
      </c>
      <c r="C90" s="693">
        <v>0.12</v>
      </c>
      <c r="D90" s="179">
        <v>0.9</v>
      </c>
      <c r="E90" s="179">
        <v>0.9</v>
      </c>
      <c r="F90" s="348" t="s">
        <v>1656</v>
      </c>
      <c r="K90" s="35" t="s">
        <v>4037</v>
      </c>
      <c r="L90" s="35">
        <v>2345.0</v>
      </c>
      <c r="M90" s="36"/>
    </row>
    <row r="91">
      <c r="A91" s="134" t="s">
        <v>4038</v>
      </c>
      <c r="B91" s="134">
        <v>2345.0</v>
      </c>
      <c r="C91" s="693">
        <v>0.12</v>
      </c>
      <c r="D91" s="179">
        <v>0.9</v>
      </c>
      <c r="E91" s="179">
        <v>0.9</v>
      </c>
      <c r="F91" s="348" t="s">
        <v>1656</v>
      </c>
      <c r="K91" s="35" t="s">
        <v>4038</v>
      </c>
      <c r="L91" s="35">
        <v>2345.0</v>
      </c>
      <c r="M91" s="36"/>
    </row>
    <row r="92">
      <c r="A92" s="134" t="s">
        <v>4039</v>
      </c>
      <c r="B92" s="134">
        <v>2345.0</v>
      </c>
      <c r="C92" s="693">
        <v>0.12</v>
      </c>
      <c r="D92" s="179">
        <v>0.9</v>
      </c>
      <c r="E92" s="179">
        <v>0.9</v>
      </c>
      <c r="F92" s="348" t="s">
        <v>1656</v>
      </c>
      <c r="K92" s="35" t="s">
        <v>4039</v>
      </c>
      <c r="L92" s="35">
        <v>2345.0</v>
      </c>
      <c r="M92" s="36"/>
    </row>
    <row r="93">
      <c r="A93" s="134" t="s">
        <v>4040</v>
      </c>
      <c r="B93" s="134">
        <v>7747.0</v>
      </c>
      <c r="C93" s="693">
        <v>0.12</v>
      </c>
      <c r="D93" s="179">
        <v>0.65</v>
      </c>
      <c r="E93" s="179">
        <v>0.65</v>
      </c>
      <c r="F93" s="348" t="s">
        <v>1656</v>
      </c>
      <c r="K93" s="35" t="s">
        <v>4040</v>
      </c>
      <c r="L93" s="36"/>
      <c r="M93" s="36"/>
    </row>
    <row r="94">
      <c r="A94" s="134" t="s">
        <v>4041</v>
      </c>
      <c r="B94" s="134">
        <v>14659.0</v>
      </c>
      <c r="C94" s="693">
        <v>0.12</v>
      </c>
      <c r="D94" s="179">
        <v>0.65</v>
      </c>
      <c r="E94" s="179">
        <v>0.65</v>
      </c>
      <c r="F94" s="348" t="s">
        <v>1656</v>
      </c>
      <c r="K94" s="35" t="s">
        <v>4041</v>
      </c>
      <c r="L94" s="36"/>
      <c r="M94" s="36"/>
    </row>
    <row r="95">
      <c r="A95" s="134" t="s">
        <v>4042</v>
      </c>
      <c r="B95" s="134">
        <v>14440.0</v>
      </c>
      <c r="C95" s="693">
        <v>0.12</v>
      </c>
      <c r="D95" s="179">
        <v>0.65</v>
      </c>
      <c r="E95" s="179">
        <v>0.65</v>
      </c>
      <c r="F95" s="348" t="s">
        <v>1656</v>
      </c>
      <c r="K95" s="35" t="s">
        <v>4042</v>
      </c>
      <c r="L95" s="35">
        <v>14440.0</v>
      </c>
      <c r="M95" s="36"/>
    </row>
    <row r="96">
      <c r="A96" s="134" t="s">
        <v>4043</v>
      </c>
      <c r="B96" s="155"/>
      <c r="C96" s="693">
        <v>0.12</v>
      </c>
      <c r="D96" s="179">
        <v>0.65</v>
      </c>
      <c r="E96" s="179">
        <v>0.65</v>
      </c>
      <c r="F96" s="348" t="s">
        <v>1656</v>
      </c>
      <c r="K96" s="35" t="s">
        <v>4043</v>
      </c>
      <c r="L96" s="36"/>
      <c r="M96" s="36"/>
    </row>
    <row r="97">
      <c r="A97" s="134" t="s">
        <v>4044</v>
      </c>
      <c r="B97" s="696">
        <v>7137.0</v>
      </c>
      <c r="C97" s="693">
        <v>0.12</v>
      </c>
      <c r="D97" s="179">
        <v>0.65</v>
      </c>
      <c r="E97" s="179">
        <v>0.65</v>
      </c>
      <c r="F97" s="348" t="s">
        <v>1656</v>
      </c>
      <c r="K97" s="35" t="s">
        <v>4044</v>
      </c>
      <c r="L97" s="697">
        <v>7137.0</v>
      </c>
      <c r="M97" s="36"/>
    </row>
    <row r="98">
      <c r="A98" s="134" t="s">
        <v>4045</v>
      </c>
      <c r="B98" s="112">
        <v>14646.0</v>
      </c>
      <c r="C98" s="693">
        <v>0.12</v>
      </c>
      <c r="D98" s="179">
        <v>0.65</v>
      </c>
      <c r="E98" s="179">
        <v>0.65</v>
      </c>
      <c r="F98" s="348" t="s">
        <v>1656</v>
      </c>
      <c r="K98" s="35" t="s">
        <v>4045</v>
      </c>
      <c r="L98" s="36"/>
      <c r="M98" s="36"/>
    </row>
    <row r="99">
      <c r="A99" s="134" t="s">
        <v>4046</v>
      </c>
      <c r="B99" s="134">
        <v>14580.0</v>
      </c>
      <c r="C99" s="693">
        <v>0.12</v>
      </c>
      <c r="D99" s="179">
        <v>0.65</v>
      </c>
      <c r="E99" s="179">
        <v>0.65</v>
      </c>
      <c r="F99" s="348" t="s">
        <v>1656</v>
      </c>
      <c r="K99" s="35" t="s">
        <v>4046</v>
      </c>
      <c r="L99" s="36"/>
      <c r="M99" s="36"/>
    </row>
    <row r="100">
      <c r="A100" s="134" t="s">
        <v>4047</v>
      </c>
      <c r="B100" s="155"/>
      <c r="C100" s="693">
        <v>0.12</v>
      </c>
      <c r="D100" s="179">
        <v>0.65</v>
      </c>
      <c r="E100" s="179">
        <v>0.65</v>
      </c>
      <c r="F100" s="348" t="s">
        <v>1656</v>
      </c>
      <c r="K100" s="35" t="s">
        <v>4047</v>
      </c>
      <c r="L100" s="36"/>
      <c r="M100" s="36"/>
    </row>
    <row r="101">
      <c r="A101" s="134" t="s">
        <v>4048</v>
      </c>
      <c r="B101" s="134">
        <v>6947.0</v>
      </c>
      <c r="C101" s="693">
        <v>0.12</v>
      </c>
      <c r="D101" s="179">
        <v>0.65</v>
      </c>
      <c r="E101" s="179">
        <v>0.65</v>
      </c>
      <c r="F101" s="348" t="s">
        <v>1656</v>
      </c>
      <c r="K101" s="35" t="s">
        <v>4048</v>
      </c>
      <c r="L101" s="35">
        <v>6947.0</v>
      </c>
      <c r="M101" s="36"/>
    </row>
    <row r="102">
      <c r="A102" s="134" t="s">
        <v>4049</v>
      </c>
      <c r="B102" s="134">
        <v>11049.0</v>
      </c>
      <c r="C102" s="693">
        <v>0.12</v>
      </c>
      <c r="D102" s="179">
        <v>0.65</v>
      </c>
      <c r="E102" s="179">
        <v>0.65</v>
      </c>
      <c r="F102" s="348" t="s">
        <v>1656</v>
      </c>
      <c r="K102" s="35" t="s">
        <v>4049</v>
      </c>
      <c r="L102" s="36"/>
      <c r="M102" s="36"/>
    </row>
    <row r="103">
      <c r="A103" s="134" t="s">
        <v>4050</v>
      </c>
      <c r="B103" s="134">
        <v>11049.0</v>
      </c>
      <c r="C103" s="693">
        <v>0.12</v>
      </c>
      <c r="D103" s="179">
        <v>0.65</v>
      </c>
      <c r="E103" s="179">
        <v>0.65</v>
      </c>
      <c r="F103" s="348" t="s">
        <v>1656</v>
      </c>
      <c r="K103" s="35" t="s">
        <v>4050</v>
      </c>
      <c r="L103" s="36"/>
      <c r="M103" s="36"/>
    </row>
    <row r="104">
      <c r="A104" s="134" t="s">
        <v>4051</v>
      </c>
      <c r="B104" s="134">
        <v>11049.0</v>
      </c>
      <c r="C104" s="693">
        <v>0.12</v>
      </c>
      <c r="D104" s="179">
        <v>0.65</v>
      </c>
      <c r="E104" s="179">
        <v>0.65</v>
      </c>
      <c r="F104" s="348" t="s">
        <v>1656</v>
      </c>
      <c r="K104" s="35" t="s">
        <v>4051</v>
      </c>
      <c r="L104" s="36"/>
      <c r="M104" s="36"/>
    </row>
    <row r="105">
      <c r="A105" s="134" t="s">
        <v>4052</v>
      </c>
      <c r="B105" s="134">
        <v>11049.0</v>
      </c>
      <c r="C105" s="693">
        <v>0.12</v>
      </c>
      <c r="D105" s="179">
        <v>0.65</v>
      </c>
      <c r="E105" s="179">
        <v>0.65</v>
      </c>
      <c r="F105" s="348" t="s">
        <v>1656</v>
      </c>
      <c r="K105" s="35" t="s">
        <v>4052</v>
      </c>
      <c r="L105" s="36"/>
      <c r="M105" s="36"/>
    </row>
    <row r="106">
      <c r="A106" s="134" t="s">
        <v>4053</v>
      </c>
      <c r="B106" s="134">
        <v>11049.0</v>
      </c>
      <c r="C106" s="693">
        <v>0.12</v>
      </c>
      <c r="D106" s="179">
        <v>0.65</v>
      </c>
      <c r="E106" s="179">
        <v>0.65</v>
      </c>
      <c r="F106" s="348" t="s">
        <v>1656</v>
      </c>
      <c r="K106" s="35" t="s">
        <v>4053</v>
      </c>
      <c r="L106" s="36"/>
      <c r="M106" s="36"/>
    </row>
    <row r="107">
      <c r="A107" s="134" t="s">
        <v>4054</v>
      </c>
      <c r="B107" s="134">
        <v>11049.0</v>
      </c>
      <c r="C107" s="693">
        <v>0.12</v>
      </c>
      <c r="D107" s="179">
        <v>0.65</v>
      </c>
      <c r="E107" s="179">
        <v>0.65</v>
      </c>
      <c r="F107" s="348" t="s">
        <v>1656</v>
      </c>
      <c r="K107" s="35" t="s">
        <v>4054</v>
      </c>
      <c r="L107" s="36"/>
      <c r="M107" s="36"/>
    </row>
    <row r="108">
      <c r="A108" s="134" t="s">
        <v>4055</v>
      </c>
      <c r="B108" s="134">
        <v>11049.0</v>
      </c>
      <c r="C108" s="693">
        <v>0.12</v>
      </c>
      <c r="D108" s="179">
        <v>0.65</v>
      </c>
      <c r="E108" s="179">
        <v>0.65</v>
      </c>
      <c r="F108" s="348" t="s">
        <v>1656</v>
      </c>
      <c r="K108" s="35" t="s">
        <v>4055</v>
      </c>
      <c r="L108" s="36"/>
      <c r="M108" s="36"/>
    </row>
    <row r="109">
      <c r="A109" s="134" t="s">
        <v>4056</v>
      </c>
      <c r="B109" s="134">
        <v>11049.0</v>
      </c>
      <c r="C109" s="693">
        <v>0.12</v>
      </c>
      <c r="D109" s="179">
        <v>0.65</v>
      </c>
      <c r="E109" s="179">
        <v>0.65</v>
      </c>
      <c r="F109" s="348" t="s">
        <v>1656</v>
      </c>
      <c r="K109" s="35" t="s">
        <v>4056</v>
      </c>
      <c r="L109" s="36"/>
      <c r="M109" s="36"/>
    </row>
    <row r="110">
      <c r="A110" s="134" t="s">
        <v>4057</v>
      </c>
      <c r="B110" s="134">
        <v>11049.0</v>
      </c>
      <c r="C110" s="693">
        <v>0.12</v>
      </c>
      <c r="D110" s="179">
        <v>0.65</v>
      </c>
      <c r="E110" s="179">
        <v>0.65</v>
      </c>
      <c r="F110" s="348" t="s">
        <v>1656</v>
      </c>
      <c r="K110" s="35" t="s">
        <v>4057</v>
      </c>
      <c r="L110" s="36"/>
      <c r="M110" s="36"/>
    </row>
    <row r="111">
      <c r="A111" s="134" t="s">
        <v>4058</v>
      </c>
      <c r="B111" s="134">
        <v>11049.0</v>
      </c>
      <c r="C111" s="693">
        <v>0.12</v>
      </c>
      <c r="D111" s="179">
        <v>0.65</v>
      </c>
      <c r="E111" s="179">
        <v>0.65</v>
      </c>
      <c r="F111" s="348" t="s">
        <v>1656</v>
      </c>
      <c r="K111" s="35" t="s">
        <v>4058</v>
      </c>
      <c r="L111" s="36"/>
      <c r="M111" s="36"/>
    </row>
    <row r="112">
      <c r="A112" s="134" t="s">
        <v>4059</v>
      </c>
      <c r="B112" s="134">
        <v>11049.0</v>
      </c>
      <c r="C112" s="693">
        <v>0.12</v>
      </c>
      <c r="D112" s="179">
        <v>0.65</v>
      </c>
      <c r="E112" s="179">
        <v>0.65</v>
      </c>
      <c r="F112" s="348" t="s">
        <v>1656</v>
      </c>
      <c r="K112" s="35" t="s">
        <v>4059</v>
      </c>
      <c r="L112" s="36"/>
      <c r="M112" s="36"/>
    </row>
    <row r="113">
      <c r="A113" s="134" t="s">
        <v>4060</v>
      </c>
      <c r="B113" s="134">
        <v>11049.0</v>
      </c>
      <c r="C113" s="693">
        <v>0.12</v>
      </c>
      <c r="D113" s="179">
        <v>0.65</v>
      </c>
      <c r="E113" s="179">
        <v>0.65</v>
      </c>
      <c r="F113" s="348" t="s">
        <v>1656</v>
      </c>
      <c r="K113" s="35" t="s">
        <v>4060</v>
      </c>
      <c r="L113" s="36"/>
      <c r="M113" s="36"/>
    </row>
    <row r="114">
      <c r="A114" s="134" t="s">
        <v>4061</v>
      </c>
      <c r="B114" s="134">
        <v>11049.0</v>
      </c>
      <c r="C114" s="693">
        <v>0.12</v>
      </c>
      <c r="D114" s="179">
        <v>0.65</v>
      </c>
      <c r="E114" s="179">
        <v>0.65</v>
      </c>
      <c r="F114" s="348" t="s">
        <v>1656</v>
      </c>
      <c r="K114" s="35" t="s">
        <v>4061</v>
      </c>
      <c r="L114" s="36"/>
      <c r="M114" s="36"/>
    </row>
    <row r="115">
      <c r="A115" s="134" t="s">
        <v>4062</v>
      </c>
      <c r="B115" s="134">
        <v>11049.0</v>
      </c>
      <c r="C115" s="693">
        <v>0.12</v>
      </c>
      <c r="D115" s="179">
        <v>0.65</v>
      </c>
      <c r="E115" s="179">
        <v>0.65</v>
      </c>
      <c r="F115" s="348" t="s">
        <v>1656</v>
      </c>
      <c r="K115" s="35" t="s">
        <v>4062</v>
      </c>
      <c r="L115" s="36"/>
      <c r="M115" s="36"/>
    </row>
    <row r="116">
      <c r="A116" s="134" t="s">
        <v>4063</v>
      </c>
      <c r="B116" s="134">
        <v>11049.0</v>
      </c>
      <c r="C116" s="693">
        <v>0.12</v>
      </c>
      <c r="D116" s="179">
        <v>0.65</v>
      </c>
      <c r="E116" s="179">
        <v>0.65</v>
      </c>
      <c r="F116" s="348" t="s">
        <v>1656</v>
      </c>
      <c r="K116" s="35" t="s">
        <v>4063</v>
      </c>
      <c r="L116" s="36"/>
      <c r="M116" s="36"/>
    </row>
    <row r="117">
      <c r="A117" s="134" t="s">
        <v>4064</v>
      </c>
      <c r="B117" s="134">
        <v>14516.0</v>
      </c>
      <c r="C117" s="693">
        <v>0.12</v>
      </c>
      <c r="D117" s="179">
        <v>0.65</v>
      </c>
      <c r="E117" s="179">
        <v>0.65</v>
      </c>
      <c r="F117" s="348" t="s">
        <v>1656</v>
      </c>
      <c r="K117" s="35" t="s">
        <v>4064</v>
      </c>
      <c r="L117" s="36"/>
      <c r="M117" s="36"/>
    </row>
    <row r="118">
      <c r="A118" s="134" t="s">
        <v>4065</v>
      </c>
      <c r="B118" s="155"/>
      <c r="C118" s="693">
        <v>0.12</v>
      </c>
      <c r="D118" s="179">
        <v>0.65</v>
      </c>
      <c r="E118" s="179">
        <v>0.65</v>
      </c>
      <c r="F118" s="348" t="s">
        <v>1656</v>
      </c>
      <c r="K118" s="35" t="s">
        <v>4065</v>
      </c>
      <c r="L118" s="36"/>
      <c r="M118" s="36"/>
    </row>
    <row r="119">
      <c r="A119" s="134" t="s">
        <v>4066</v>
      </c>
      <c r="B119" s="37">
        <v>14480.0</v>
      </c>
      <c r="C119" s="693">
        <v>0.12</v>
      </c>
      <c r="D119" s="179">
        <v>0.65</v>
      </c>
      <c r="E119" s="179">
        <v>0.65</v>
      </c>
      <c r="F119" s="348" t="s">
        <v>1656</v>
      </c>
      <c r="K119" s="35" t="s">
        <v>4066</v>
      </c>
      <c r="L119" s="36"/>
      <c r="M119" s="36"/>
    </row>
    <row r="120">
      <c r="A120" s="134" t="s">
        <v>4067</v>
      </c>
      <c r="B120" s="155"/>
      <c r="C120" s="693">
        <v>0.12</v>
      </c>
      <c r="D120" s="179">
        <v>0.65</v>
      </c>
      <c r="E120" s="179">
        <v>0.65</v>
      </c>
      <c r="F120" s="348" t="s">
        <v>1656</v>
      </c>
      <c r="K120" s="35" t="s">
        <v>4067</v>
      </c>
      <c r="L120" s="36"/>
      <c r="M120" s="36"/>
    </row>
    <row r="121">
      <c r="A121" s="134" t="s">
        <v>4076</v>
      </c>
      <c r="B121" s="155"/>
      <c r="C121" s="693">
        <v>0.12</v>
      </c>
      <c r="D121" s="179">
        <v>0.65</v>
      </c>
      <c r="E121" s="179">
        <v>0.65</v>
      </c>
      <c r="F121" s="348" t="s">
        <v>1656</v>
      </c>
      <c r="K121" s="35" t="s">
        <v>4076</v>
      </c>
      <c r="L121" s="36"/>
      <c r="M121" s="36"/>
    </row>
    <row r="122">
      <c r="A122" s="134" t="s">
        <v>4077</v>
      </c>
      <c r="B122" s="134">
        <v>14575.0</v>
      </c>
      <c r="C122" s="693">
        <v>0.12</v>
      </c>
      <c r="D122" s="695">
        <v>0.85</v>
      </c>
      <c r="E122" s="695">
        <v>0.85</v>
      </c>
      <c r="F122" s="348" t="s">
        <v>1656</v>
      </c>
      <c r="K122" s="35" t="s">
        <v>4077</v>
      </c>
      <c r="L122" s="36"/>
      <c r="M122" s="36"/>
    </row>
    <row r="123">
      <c r="A123" s="134" t="s">
        <v>4078</v>
      </c>
      <c r="B123" s="155"/>
      <c r="C123" s="693">
        <v>0.12</v>
      </c>
      <c r="D123" s="179">
        <v>0.65</v>
      </c>
      <c r="E123" s="179">
        <v>0.65</v>
      </c>
      <c r="F123" s="348" t="s">
        <v>1656</v>
      </c>
      <c r="K123" s="35" t="s">
        <v>4078</v>
      </c>
      <c r="L123" s="36"/>
      <c r="M123" s="36"/>
    </row>
    <row r="124">
      <c r="A124" s="134" t="s">
        <v>4079</v>
      </c>
      <c r="B124" s="155"/>
      <c r="C124" s="693">
        <v>0.12</v>
      </c>
      <c r="D124" s="179">
        <v>0.65</v>
      </c>
      <c r="E124" s="179">
        <v>0.65</v>
      </c>
      <c r="F124" s="348" t="s">
        <v>1656</v>
      </c>
      <c r="K124" s="35" t="s">
        <v>4079</v>
      </c>
      <c r="L124" s="36"/>
      <c r="M124" s="36"/>
    </row>
    <row r="125">
      <c r="A125" s="134" t="s">
        <v>4080</v>
      </c>
      <c r="B125" s="37">
        <v>14465.0</v>
      </c>
      <c r="C125" s="693">
        <v>0.12</v>
      </c>
      <c r="D125" s="179">
        <v>0.9</v>
      </c>
      <c r="E125" s="179">
        <v>0.9</v>
      </c>
      <c r="F125" s="348" t="s">
        <v>1656</v>
      </c>
      <c r="K125" s="35" t="s">
        <v>4080</v>
      </c>
      <c r="L125" s="36"/>
      <c r="M125" s="36"/>
    </row>
    <row r="126">
      <c r="A126" s="134" t="s">
        <v>4081</v>
      </c>
      <c r="B126" s="155"/>
      <c r="C126" s="693">
        <v>0.12</v>
      </c>
      <c r="D126" s="179">
        <v>0.65</v>
      </c>
      <c r="E126" s="179">
        <v>0.65</v>
      </c>
      <c r="F126" s="348" t="s">
        <v>1656</v>
      </c>
      <c r="K126" s="35" t="s">
        <v>4081</v>
      </c>
      <c r="L126" s="36"/>
      <c r="M126" s="36"/>
    </row>
    <row r="127">
      <c r="A127" s="134" t="s">
        <v>4082</v>
      </c>
      <c r="B127" s="155"/>
      <c r="C127" s="693">
        <v>0.12</v>
      </c>
      <c r="D127" s="179">
        <v>0.65</v>
      </c>
      <c r="E127" s="179">
        <v>0.65</v>
      </c>
      <c r="F127" s="348" t="s">
        <v>1656</v>
      </c>
      <c r="K127" s="35" t="s">
        <v>4082</v>
      </c>
      <c r="L127" s="36"/>
      <c r="M127" s="36"/>
    </row>
    <row r="128">
      <c r="A128" s="134" t="s">
        <v>4083</v>
      </c>
      <c r="B128" s="134">
        <v>14727.0</v>
      </c>
      <c r="C128" s="693">
        <v>0.12</v>
      </c>
      <c r="D128" s="179">
        <v>0.65</v>
      </c>
      <c r="E128" s="179">
        <v>0.65</v>
      </c>
      <c r="F128" s="348" t="s">
        <v>1656</v>
      </c>
      <c r="K128" s="35" t="s">
        <v>4083</v>
      </c>
      <c r="L128" s="36"/>
      <c r="M128" s="36"/>
    </row>
    <row r="129">
      <c r="A129" s="134" t="s">
        <v>4084</v>
      </c>
      <c r="B129" s="155"/>
      <c r="C129" s="693">
        <v>0.12</v>
      </c>
      <c r="D129" s="179">
        <v>0.65</v>
      </c>
      <c r="E129" s="179">
        <v>0.65</v>
      </c>
      <c r="F129" s="348" t="s">
        <v>1656</v>
      </c>
      <c r="K129" s="35" t="s">
        <v>4084</v>
      </c>
      <c r="L129" s="36"/>
      <c r="M129" s="36"/>
    </row>
    <row r="130">
      <c r="A130" s="134" t="s">
        <v>4085</v>
      </c>
      <c r="B130" s="155"/>
      <c r="C130" s="693">
        <v>0.12</v>
      </c>
      <c r="D130" s="179">
        <v>0.65</v>
      </c>
      <c r="E130" s="179">
        <v>0.65</v>
      </c>
      <c r="F130" s="348" t="s">
        <v>1656</v>
      </c>
      <c r="K130" s="35" t="s">
        <v>4085</v>
      </c>
      <c r="L130" s="36"/>
      <c r="M130" s="36"/>
    </row>
    <row r="131">
      <c r="A131" s="134" t="s">
        <v>4086</v>
      </c>
      <c r="B131" s="155"/>
      <c r="C131" s="693">
        <v>0.12</v>
      </c>
      <c r="D131" s="179">
        <v>0.65</v>
      </c>
      <c r="E131" s="179">
        <v>0.65</v>
      </c>
      <c r="F131" s="348" t="s">
        <v>1656</v>
      </c>
      <c r="K131" s="35" t="s">
        <v>4086</v>
      </c>
      <c r="L131" s="36"/>
      <c r="M131" s="36"/>
    </row>
    <row r="132">
      <c r="A132" s="134" t="s">
        <v>4087</v>
      </c>
      <c r="B132" s="155"/>
      <c r="C132" s="693">
        <v>0.12</v>
      </c>
      <c r="D132" s="179">
        <v>0.65</v>
      </c>
      <c r="E132" s="179">
        <v>0.65</v>
      </c>
      <c r="F132" s="348" t="s">
        <v>1656</v>
      </c>
      <c r="K132" s="35" t="s">
        <v>4087</v>
      </c>
      <c r="L132" s="36"/>
      <c r="M132" s="36"/>
    </row>
    <row r="133">
      <c r="A133" s="134" t="s">
        <v>4088</v>
      </c>
      <c r="B133" s="134">
        <v>14298.0</v>
      </c>
      <c r="C133" s="693">
        <v>0.12</v>
      </c>
      <c r="D133" s="179">
        <v>0.65</v>
      </c>
      <c r="E133" s="179">
        <v>0.65</v>
      </c>
      <c r="F133" s="348" t="s">
        <v>1656</v>
      </c>
      <c r="K133" s="35" t="s">
        <v>4088</v>
      </c>
      <c r="L133" s="36"/>
      <c r="M133" s="36"/>
    </row>
    <row r="134">
      <c r="A134" s="134" t="s">
        <v>4089</v>
      </c>
      <c r="B134" s="155"/>
      <c r="C134" s="693">
        <v>0.12</v>
      </c>
      <c r="D134" s="179">
        <v>0.65</v>
      </c>
      <c r="E134" s="179">
        <v>0.65</v>
      </c>
      <c r="F134" s="348" t="s">
        <v>1656</v>
      </c>
      <c r="K134" s="35" t="s">
        <v>4089</v>
      </c>
      <c r="L134" s="36"/>
      <c r="M134" s="36"/>
    </row>
    <row r="135">
      <c r="A135" s="134" t="s">
        <v>4090</v>
      </c>
      <c r="B135" s="155"/>
      <c r="C135" s="693">
        <v>0.12</v>
      </c>
      <c r="D135" s="179">
        <v>0.65</v>
      </c>
      <c r="E135" s="179">
        <v>0.65</v>
      </c>
      <c r="F135" s="348" t="s">
        <v>1656</v>
      </c>
      <c r="K135" s="35" t="s">
        <v>4090</v>
      </c>
      <c r="L135" s="36"/>
      <c r="M135" s="36"/>
    </row>
    <row r="136">
      <c r="A136" s="134" t="s">
        <v>4091</v>
      </c>
      <c r="B136" s="155"/>
      <c r="C136" s="693">
        <v>0.12</v>
      </c>
      <c r="D136" s="179">
        <v>0.65</v>
      </c>
      <c r="E136" s="179">
        <v>0.65</v>
      </c>
      <c r="F136" s="348" t="s">
        <v>1656</v>
      </c>
      <c r="K136" s="35" t="s">
        <v>4091</v>
      </c>
      <c r="L136" s="36"/>
      <c r="M136" s="36"/>
    </row>
    <row r="137">
      <c r="A137" s="134" t="s">
        <v>4092</v>
      </c>
      <c r="B137" s="155"/>
      <c r="C137" s="693">
        <v>0.12</v>
      </c>
      <c r="D137" s="179">
        <v>0.65</v>
      </c>
      <c r="E137" s="179">
        <v>0.65</v>
      </c>
      <c r="F137" s="348" t="s">
        <v>1656</v>
      </c>
      <c r="K137" s="35" t="s">
        <v>4092</v>
      </c>
      <c r="L137" s="36"/>
      <c r="M137" s="36"/>
    </row>
    <row r="138">
      <c r="A138" s="134" t="s">
        <v>4093</v>
      </c>
      <c r="B138" s="155"/>
      <c r="C138" s="693">
        <v>0.12</v>
      </c>
      <c r="D138" s="179">
        <v>0.65</v>
      </c>
      <c r="E138" s="179">
        <v>0.65</v>
      </c>
      <c r="F138" s="348" t="s">
        <v>1656</v>
      </c>
      <c r="K138" s="35" t="s">
        <v>4093</v>
      </c>
      <c r="L138" s="36"/>
      <c r="M138" s="36"/>
    </row>
    <row r="139">
      <c r="A139" s="134" t="s">
        <v>4094</v>
      </c>
      <c r="B139" s="155"/>
      <c r="C139" s="693">
        <v>0.12</v>
      </c>
      <c r="D139" s="179">
        <v>0.65</v>
      </c>
      <c r="E139" s="179">
        <v>0.65</v>
      </c>
      <c r="F139" s="348" t="s">
        <v>1656</v>
      </c>
      <c r="K139" s="35" t="s">
        <v>4094</v>
      </c>
      <c r="L139" s="36"/>
      <c r="M139" s="36"/>
    </row>
    <row r="140">
      <c r="A140" s="134" t="s">
        <v>4095</v>
      </c>
      <c r="B140" s="155"/>
      <c r="C140" s="693">
        <v>0.12</v>
      </c>
      <c r="D140" s="179">
        <v>0.65</v>
      </c>
      <c r="E140" s="179">
        <v>0.65</v>
      </c>
      <c r="F140" s="348" t="s">
        <v>1656</v>
      </c>
      <c r="K140" s="35" t="s">
        <v>4095</v>
      </c>
      <c r="L140" s="36"/>
      <c r="M140" s="36"/>
    </row>
    <row r="141">
      <c r="A141" s="134" t="s">
        <v>4096</v>
      </c>
      <c r="B141" s="155"/>
      <c r="C141" s="693">
        <v>0.12</v>
      </c>
      <c r="D141" s="179">
        <v>0.65</v>
      </c>
      <c r="E141" s="179">
        <v>0.65</v>
      </c>
      <c r="F141" s="348" t="s">
        <v>1656</v>
      </c>
      <c r="K141" s="35" t="s">
        <v>4096</v>
      </c>
      <c r="L141" s="36"/>
      <c r="M141" s="36"/>
    </row>
    <row r="142">
      <c r="A142" s="134" t="s">
        <v>4097</v>
      </c>
      <c r="B142" s="155"/>
      <c r="C142" s="693">
        <v>0.12</v>
      </c>
      <c r="D142" s="179">
        <v>0.65</v>
      </c>
      <c r="E142" s="179">
        <v>0.65</v>
      </c>
      <c r="F142" s="348" t="s">
        <v>1656</v>
      </c>
      <c r="K142" s="35" t="s">
        <v>4097</v>
      </c>
      <c r="L142" s="36"/>
      <c r="M142" s="36"/>
    </row>
    <row r="143">
      <c r="A143" s="134" t="s">
        <v>4098</v>
      </c>
      <c r="B143" s="155"/>
      <c r="C143" s="693">
        <v>0.12</v>
      </c>
      <c r="D143" s="179">
        <v>0.65</v>
      </c>
      <c r="E143" s="179">
        <v>0.65</v>
      </c>
      <c r="F143" s="348" t="s">
        <v>1656</v>
      </c>
      <c r="K143" s="35" t="s">
        <v>4098</v>
      </c>
      <c r="L143" s="36"/>
      <c r="M143" s="36"/>
    </row>
    <row r="144">
      <c r="A144" s="134" t="s">
        <v>4099</v>
      </c>
      <c r="B144" s="155"/>
      <c r="C144" s="693">
        <v>0.12</v>
      </c>
      <c r="D144" s="179">
        <v>0.65</v>
      </c>
      <c r="E144" s="179">
        <v>0.65</v>
      </c>
      <c r="F144" s="348" t="s">
        <v>1656</v>
      </c>
      <c r="K144" s="35" t="s">
        <v>4099</v>
      </c>
      <c r="L144" s="36"/>
      <c r="M144" s="36"/>
    </row>
    <row r="145">
      <c r="A145" s="134" t="s">
        <v>4100</v>
      </c>
      <c r="B145" s="155"/>
      <c r="C145" s="693">
        <v>0.12</v>
      </c>
      <c r="D145" s="179">
        <v>0.65</v>
      </c>
      <c r="E145" s="179">
        <v>0.65</v>
      </c>
      <c r="F145" s="348" t="s">
        <v>1656</v>
      </c>
      <c r="K145" s="35" t="s">
        <v>4100</v>
      </c>
      <c r="L145" s="36"/>
      <c r="M145" s="36"/>
    </row>
    <row r="146">
      <c r="A146" s="134" t="s">
        <v>4101</v>
      </c>
      <c r="B146" s="155"/>
      <c r="C146" s="693">
        <v>0.12</v>
      </c>
      <c r="D146" s="179">
        <v>0.65</v>
      </c>
      <c r="E146" s="179">
        <v>0.65</v>
      </c>
      <c r="F146" s="348" t="s">
        <v>1656</v>
      </c>
      <c r="K146" s="35" t="s">
        <v>4101</v>
      </c>
      <c r="L146" s="36"/>
      <c r="M146" s="36"/>
    </row>
    <row r="147">
      <c r="A147" s="134" t="s">
        <v>4102</v>
      </c>
      <c r="B147" s="155"/>
      <c r="C147" s="693">
        <v>0.12</v>
      </c>
      <c r="D147" s="179">
        <v>0.65</v>
      </c>
      <c r="E147" s="179">
        <v>0.65</v>
      </c>
      <c r="F147" s="348" t="s">
        <v>1656</v>
      </c>
      <c r="K147" s="35" t="s">
        <v>4102</v>
      </c>
      <c r="L147" s="36"/>
      <c r="M147" s="36"/>
    </row>
    <row r="148">
      <c r="A148" s="134" t="s">
        <v>4103</v>
      </c>
      <c r="B148" s="155"/>
      <c r="C148" s="693">
        <v>0.12</v>
      </c>
      <c r="D148" s="179">
        <v>0.65</v>
      </c>
      <c r="E148" s="179">
        <v>0.65</v>
      </c>
      <c r="F148" s="348" t="s">
        <v>1656</v>
      </c>
      <c r="K148" s="35" t="s">
        <v>4103</v>
      </c>
      <c r="L148" s="36"/>
      <c r="M148" s="36"/>
    </row>
    <row r="149">
      <c r="A149" s="134" t="s">
        <v>4104</v>
      </c>
      <c r="B149" s="155"/>
      <c r="C149" s="693">
        <v>0.12</v>
      </c>
      <c r="D149" s="179">
        <v>0.65</v>
      </c>
      <c r="E149" s="179">
        <v>0.65</v>
      </c>
      <c r="F149" s="348" t="s">
        <v>1656</v>
      </c>
      <c r="K149" s="35" t="s">
        <v>4104</v>
      </c>
      <c r="L149" s="36"/>
      <c r="M149" s="36"/>
    </row>
    <row r="150">
      <c r="A150" s="134" t="s">
        <v>4105</v>
      </c>
      <c r="B150" s="155"/>
      <c r="C150" s="693">
        <v>0.12</v>
      </c>
      <c r="D150" s="179">
        <v>0.65</v>
      </c>
      <c r="E150" s="179">
        <v>0.65</v>
      </c>
      <c r="F150" s="348" t="s">
        <v>1656</v>
      </c>
      <c r="K150" s="35" t="s">
        <v>4105</v>
      </c>
      <c r="L150" s="36"/>
      <c r="M150" s="36"/>
    </row>
    <row r="151">
      <c r="A151" s="134" t="s">
        <v>4106</v>
      </c>
      <c r="B151" s="155"/>
      <c r="C151" s="693">
        <v>0.12</v>
      </c>
      <c r="D151" s="179">
        <v>0.65</v>
      </c>
      <c r="E151" s="179">
        <v>0.65</v>
      </c>
      <c r="F151" s="348" t="s">
        <v>1656</v>
      </c>
      <c r="K151" s="35" t="s">
        <v>4106</v>
      </c>
      <c r="L151" s="36"/>
      <c r="M151" s="36"/>
    </row>
    <row r="152">
      <c r="A152" s="134" t="s">
        <v>4107</v>
      </c>
      <c r="B152" s="155"/>
      <c r="C152" s="693">
        <v>0.12</v>
      </c>
      <c r="D152" s="179">
        <v>0.65</v>
      </c>
      <c r="E152" s="179">
        <v>0.65</v>
      </c>
      <c r="F152" s="348" t="s">
        <v>1656</v>
      </c>
      <c r="K152" s="35" t="s">
        <v>4107</v>
      </c>
      <c r="L152" s="36"/>
      <c r="M152" s="36"/>
    </row>
    <row r="153">
      <c r="A153" s="134" t="s">
        <v>4108</v>
      </c>
      <c r="B153" s="155"/>
      <c r="C153" s="693">
        <v>0.12</v>
      </c>
      <c r="D153" s="179">
        <v>0.65</v>
      </c>
      <c r="E153" s="179">
        <v>0.65</v>
      </c>
      <c r="F153" s="348" t="s">
        <v>1656</v>
      </c>
      <c r="K153" s="35" t="s">
        <v>4108</v>
      </c>
      <c r="L153" s="36"/>
      <c r="M153" s="36"/>
    </row>
    <row r="154">
      <c r="A154" s="134" t="s">
        <v>4109</v>
      </c>
      <c r="B154" s="155"/>
      <c r="C154" s="693">
        <v>0.12</v>
      </c>
      <c r="D154" s="179">
        <v>0.65</v>
      </c>
      <c r="E154" s="179">
        <v>0.65</v>
      </c>
      <c r="F154" s="348" t="s">
        <v>1656</v>
      </c>
      <c r="K154" s="35" t="s">
        <v>4109</v>
      </c>
      <c r="L154" s="36"/>
      <c r="M154" s="36"/>
    </row>
    <row r="155">
      <c r="A155" s="134" t="s">
        <v>4110</v>
      </c>
      <c r="B155" s="155"/>
      <c r="C155" s="693">
        <v>0.12</v>
      </c>
      <c r="D155" s="179">
        <v>0.65</v>
      </c>
      <c r="E155" s="179">
        <v>0.65</v>
      </c>
      <c r="F155" s="348" t="s">
        <v>1656</v>
      </c>
      <c r="K155" s="35" t="s">
        <v>4110</v>
      </c>
      <c r="L155" s="36"/>
      <c r="M155" s="36"/>
    </row>
    <row r="156">
      <c r="A156" s="134" t="s">
        <v>4111</v>
      </c>
      <c r="B156" s="155"/>
      <c r="C156" s="693">
        <v>0.12</v>
      </c>
      <c r="D156" s="179">
        <v>0.65</v>
      </c>
      <c r="E156" s="179">
        <v>0.65</v>
      </c>
      <c r="F156" s="348" t="s">
        <v>1656</v>
      </c>
      <c r="K156" s="35" t="s">
        <v>4111</v>
      </c>
      <c r="L156" s="36"/>
      <c r="M156" s="36"/>
    </row>
    <row r="157">
      <c r="A157" s="134" t="s">
        <v>4112</v>
      </c>
      <c r="B157" s="155"/>
      <c r="C157" s="693">
        <v>0.12</v>
      </c>
      <c r="D157" s="179">
        <v>0.65</v>
      </c>
      <c r="E157" s="179">
        <v>0.65</v>
      </c>
      <c r="F157" s="348" t="s">
        <v>1656</v>
      </c>
      <c r="K157" s="35" t="s">
        <v>4112</v>
      </c>
      <c r="L157" s="36"/>
      <c r="M157" s="36"/>
    </row>
    <row r="158">
      <c r="A158" s="134" t="s">
        <v>4113</v>
      </c>
      <c r="B158" s="155"/>
      <c r="C158" s="693">
        <v>0.12</v>
      </c>
      <c r="D158" s="179">
        <v>0.65</v>
      </c>
      <c r="E158" s="179">
        <v>0.65</v>
      </c>
      <c r="F158" s="348" t="s">
        <v>1656</v>
      </c>
      <c r="K158" s="35" t="s">
        <v>4113</v>
      </c>
      <c r="L158" s="36"/>
      <c r="M158" s="36"/>
    </row>
    <row r="159">
      <c r="A159" s="134" t="s">
        <v>4114</v>
      </c>
      <c r="B159" s="155"/>
      <c r="C159" s="693">
        <v>0.12</v>
      </c>
      <c r="D159" s="179">
        <v>0.65</v>
      </c>
      <c r="E159" s="179">
        <v>0.65</v>
      </c>
      <c r="F159" s="348" t="s">
        <v>1656</v>
      </c>
      <c r="K159" s="35" t="s">
        <v>4114</v>
      </c>
      <c r="L159" s="36"/>
      <c r="M159" s="36"/>
    </row>
    <row r="160">
      <c r="A160" s="134" t="s">
        <v>4115</v>
      </c>
      <c r="B160" s="155"/>
      <c r="C160" s="693">
        <v>0.12</v>
      </c>
      <c r="D160" s="179">
        <v>0.65</v>
      </c>
      <c r="E160" s="179">
        <v>0.65</v>
      </c>
      <c r="F160" s="348" t="s">
        <v>1656</v>
      </c>
      <c r="K160" s="35" t="s">
        <v>4115</v>
      </c>
      <c r="L160" s="36"/>
      <c r="M160" s="36"/>
    </row>
    <row r="161">
      <c r="A161" s="134" t="s">
        <v>4116</v>
      </c>
      <c r="B161" s="155"/>
      <c r="C161" s="693">
        <v>0.12</v>
      </c>
      <c r="D161" s="179">
        <v>0.65</v>
      </c>
      <c r="E161" s="179">
        <v>0.65</v>
      </c>
      <c r="F161" s="348" t="s">
        <v>1656</v>
      </c>
      <c r="K161" s="35" t="s">
        <v>4116</v>
      </c>
      <c r="L161" s="36"/>
      <c r="M161" s="36"/>
    </row>
    <row r="162">
      <c r="A162" s="134" t="s">
        <v>4117</v>
      </c>
      <c r="B162" s="155"/>
      <c r="C162" s="693">
        <v>0.12</v>
      </c>
      <c r="D162" s="179">
        <v>0.65</v>
      </c>
      <c r="E162" s="179">
        <v>0.65</v>
      </c>
      <c r="F162" s="348" t="s">
        <v>1656</v>
      </c>
      <c r="K162" s="35" t="s">
        <v>4117</v>
      </c>
      <c r="L162" s="36"/>
      <c r="M162" s="36"/>
    </row>
    <row r="163">
      <c r="A163" s="134" t="s">
        <v>4118</v>
      </c>
      <c r="B163" s="155"/>
      <c r="C163" s="693">
        <v>0.12</v>
      </c>
      <c r="D163" s="179">
        <v>0.65</v>
      </c>
      <c r="E163" s="179">
        <v>0.65</v>
      </c>
      <c r="F163" s="348" t="s">
        <v>1656</v>
      </c>
      <c r="K163" s="35" t="s">
        <v>4118</v>
      </c>
      <c r="L163" s="36"/>
      <c r="M163" s="36"/>
    </row>
    <row r="164">
      <c r="A164" s="134" t="s">
        <v>4119</v>
      </c>
      <c r="B164" s="155"/>
      <c r="C164" s="693">
        <v>0.12</v>
      </c>
      <c r="D164" s="179">
        <v>0.65</v>
      </c>
      <c r="E164" s="179">
        <v>0.65</v>
      </c>
      <c r="F164" s="348" t="s">
        <v>1656</v>
      </c>
      <c r="K164" s="35" t="s">
        <v>4119</v>
      </c>
      <c r="L164" s="36"/>
      <c r="M164" s="36"/>
    </row>
    <row r="165">
      <c r="A165" s="134" t="s">
        <v>4120</v>
      </c>
      <c r="B165" s="155"/>
      <c r="C165" s="693">
        <v>0.12</v>
      </c>
      <c r="D165" s="179">
        <v>0.65</v>
      </c>
      <c r="E165" s="179">
        <v>0.65</v>
      </c>
      <c r="F165" s="348" t="s">
        <v>1656</v>
      </c>
      <c r="K165" s="35" t="s">
        <v>4120</v>
      </c>
      <c r="L165" s="36"/>
      <c r="M165" s="36"/>
    </row>
    <row r="166">
      <c r="A166" s="134" t="s">
        <v>4121</v>
      </c>
      <c r="B166" s="155"/>
      <c r="C166" s="693">
        <v>0.12</v>
      </c>
      <c r="D166" s="179">
        <v>0.65</v>
      </c>
      <c r="E166" s="179">
        <v>0.65</v>
      </c>
      <c r="F166" s="348" t="s">
        <v>1656</v>
      </c>
      <c r="K166" s="35" t="s">
        <v>4121</v>
      </c>
      <c r="L166" s="36"/>
      <c r="M166" s="36"/>
    </row>
    <row r="167">
      <c r="A167" s="134" t="s">
        <v>4122</v>
      </c>
      <c r="B167" s="155"/>
      <c r="C167" s="693">
        <v>0.12</v>
      </c>
      <c r="D167" s="179">
        <v>0.65</v>
      </c>
      <c r="E167" s="179">
        <v>0.65</v>
      </c>
      <c r="F167" s="348" t="s">
        <v>1656</v>
      </c>
      <c r="K167" s="35" t="s">
        <v>4122</v>
      </c>
      <c r="L167" s="36"/>
      <c r="M167" s="36"/>
    </row>
    <row r="168">
      <c r="A168" s="134" t="s">
        <v>4123</v>
      </c>
      <c r="B168" s="155"/>
      <c r="C168" s="693">
        <v>0.12</v>
      </c>
      <c r="D168" s="179">
        <v>0.65</v>
      </c>
      <c r="E168" s="179">
        <v>0.65</v>
      </c>
      <c r="F168" s="348" t="s">
        <v>1656</v>
      </c>
      <c r="K168" s="35" t="s">
        <v>4123</v>
      </c>
      <c r="L168" s="36"/>
      <c r="M168" s="36"/>
    </row>
    <row r="169">
      <c r="A169" s="134" t="s">
        <v>4124</v>
      </c>
      <c r="B169" s="155"/>
      <c r="C169" s="693">
        <v>0.12</v>
      </c>
      <c r="D169" s="179">
        <v>0.65</v>
      </c>
      <c r="E169" s="179">
        <v>0.65</v>
      </c>
      <c r="F169" s="348" t="s">
        <v>1656</v>
      </c>
      <c r="K169" s="35" t="s">
        <v>4124</v>
      </c>
      <c r="L169" s="36"/>
      <c r="M169" s="36"/>
    </row>
    <row r="170">
      <c r="A170" s="134" t="s">
        <v>4125</v>
      </c>
      <c r="B170" s="155"/>
      <c r="C170" s="693">
        <v>0.12</v>
      </c>
      <c r="D170" s="179">
        <v>0.65</v>
      </c>
      <c r="E170" s="179">
        <v>0.65</v>
      </c>
      <c r="F170" s="348" t="s">
        <v>1656</v>
      </c>
      <c r="K170" s="35" t="s">
        <v>4125</v>
      </c>
      <c r="L170" s="36"/>
      <c r="M170" s="36"/>
    </row>
    <row r="171">
      <c r="A171" s="134" t="s">
        <v>4126</v>
      </c>
      <c r="B171" s="155"/>
      <c r="C171" s="693">
        <v>0.12</v>
      </c>
      <c r="D171" s="179">
        <v>0.65</v>
      </c>
      <c r="E171" s="179">
        <v>0.65</v>
      </c>
      <c r="F171" s="348" t="s">
        <v>1656</v>
      </c>
      <c r="K171" s="35" t="s">
        <v>4126</v>
      </c>
      <c r="L171" s="36"/>
      <c r="M171" s="36"/>
    </row>
    <row r="172">
      <c r="A172" s="134" t="s">
        <v>4127</v>
      </c>
      <c r="B172" s="155"/>
      <c r="C172" s="693">
        <v>0.12</v>
      </c>
      <c r="D172" s="179">
        <v>0.65</v>
      </c>
      <c r="E172" s="179">
        <v>0.65</v>
      </c>
      <c r="F172" s="348" t="s">
        <v>1656</v>
      </c>
      <c r="K172" s="35" t="s">
        <v>4127</v>
      </c>
      <c r="L172" s="36"/>
      <c r="M172" s="36"/>
    </row>
    <row r="173">
      <c r="A173" s="134" t="s">
        <v>4128</v>
      </c>
      <c r="B173" s="155"/>
      <c r="C173" s="693">
        <v>0.12</v>
      </c>
      <c r="D173" s="179">
        <v>0.65</v>
      </c>
      <c r="E173" s="179">
        <v>0.65</v>
      </c>
      <c r="F173" s="348" t="s">
        <v>1656</v>
      </c>
      <c r="K173" s="35" t="s">
        <v>4128</v>
      </c>
      <c r="L173" s="36"/>
      <c r="M173" s="36"/>
    </row>
    <row r="174">
      <c r="A174" s="134" t="s">
        <v>4129</v>
      </c>
      <c r="B174" s="155"/>
      <c r="C174" s="693">
        <v>0.12</v>
      </c>
      <c r="D174" s="179">
        <v>0.65</v>
      </c>
      <c r="E174" s="179">
        <v>0.65</v>
      </c>
      <c r="F174" s="348" t="s">
        <v>1656</v>
      </c>
      <c r="K174" s="35" t="s">
        <v>4129</v>
      </c>
      <c r="L174" s="36"/>
      <c r="M174" s="36"/>
    </row>
    <row r="175">
      <c r="A175" s="134" t="s">
        <v>4130</v>
      </c>
      <c r="B175" s="155"/>
      <c r="C175" s="693">
        <v>0.12</v>
      </c>
      <c r="D175" s="179">
        <v>0.65</v>
      </c>
      <c r="E175" s="179">
        <v>0.65</v>
      </c>
      <c r="F175" s="348" t="s">
        <v>1656</v>
      </c>
      <c r="K175" s="35" t="s">
        <v>4130</v>
      </c>
      <c r="L175" s="36"/>
      <c r="M175" s="36"/>
    </row>
    <row r="176">
      <c r="A176" s="134" t="s">
        <v>4131</v>
      </c>
      <c r="B176" s="155"/>
      <c r="C176" s="693">
        <v>0.12</v>
      </c>
      <c r="D176" s="179">
        <v>0.65</v>
      </c>
      <c r="E176" s="179">
        <v>0.65</v>
      </c>
      <c r="F176" s="348" t="s">
        <v>1656</v>
      </c>
      <c r="K176" s="35" t="s">
        <v>4131</v>
      </c>
      <c r="L176" s="36"/>
      <c r="M176" s="36"/>
    </row>
    <row r="177">
      <c r="A177" s="134" t="s">
        <v>4132</v>
      </c>
      <c r="B177" s="155"/>
      <c r="C177" s="693">
        <v>0.12</v>
      </c>
      <c r="D177" s="179">
        <v>0.65</v>
      </c>
      <c r="E177" s="179">
        <v>0.65</v>
      </c>
      <c r="F177" s="348" t="s">
        <v>1656</v>
      </c>
      <c r="K177" s="35" t="s">
        <v>4132</v>
      </c>
      <c r="L177" s="36"/>
      <c r="M177" s="36"/>
    </row>
    <row r="178">
      <c r="A178" s="51" t="s">
        <v>19608</v>
      </c>
      <c r="B178" s="186">
        <v>8274.0</v>
      </c>
      <c r="C178" s="693">
        <v>0.12</v>
      </c>
      <c r="D178" s="179">
        <v>0.77</v>
      </c>
      <c r="E178" s="179">
        <v>0.77</v>
      </c>
      <c r="F178" s="348" t="s">
        <v>1656</v>
      </c>
      <c r="G178" s="11" t="s">
        <v>10980</v>
      </c>
    </row>
    <row r="179">
      <c r="A179" s="51" t="s">
        <v>19609</v>
      </c>
      <c r="B179" s="187"/>
      <c r="C179" s="693">
        <v>0.12</v>
      </c>
      <c r="D179" s="179">
        <v>0.65</v>
      </c>
      <c r="E179" s="179">
        <v>0.65</v>
      </c>
      <c r="F179" s="348" t="s">
        <v>1656</v>
      </c>
      <c r="G179" s="11" t="s">
        <v>10980</v>
      </c>
    </row>
    <row r="180">
      <c r="A180" s="51" t="s">
        <v>19610</v>
      </c>
      <c r="B180" s="51">
        <v>9030.0</v>
      </c>
      <c r="C180" s="693">
        <v>0.12</v>
      </c>
      <c r="D180" s="179">
        <v>0.65</v>
      </c>
      <c r="E180" s="179">
        <v>0.65</v>
      </c>
      <c r="F180" s="348" t="s">
        <v>1656</v>
      </c>
      <c r="G180" s="11" t="s">
        <v>10980</v>
      </c>
    </row>
    <row r="181">
      <c r="A181" s="51" t="s">
        <v>19611</v>
      </c>
      <c r="B181" s="188">
        <v>10368.0</v>
      </c>
      <c r="C181" s="693">
        <v>0.12</v>
      </c>
      <c r="D181" s="179">
        <v>0.65</v>
      </c>
      <c r="E181" s="179">
        <v>0.65</v>
      </c>
      <c r="F181" s="348" t="s">
        <v>1656</v>
      </c>
      <c r="G181" s="11" t="s">
        <v>10980</v>
      </c>
    </row>
    <row r="182">
      <c r="A182" s="51" t="s">
        <v>19612</v>
      </c>
      <c r="B182" s="202"/>
      <c r="C182" s="693">
        <v>0.12</v>
      </c>
      <c r="D182" s="179">
        <v>0.65</v>
      </c>
      <c r="E182" s="179">
        <v>0.65</v>
      </c>
      <c r="F182" s="348" t="s">
        <v>1656</v>
      </c>
      <c r="G182" s="11" t="s">
        <v>10980</v>
      </c>
    </row>
    <row r="183">
      <c r="A183" s="51" t="s">
        <v>19613</v>
      </c>
      <c r="B183" s="188">
        <v>12277.0</v>
      </c>
      <c r="C183" s="693">
        <v>0.12</v>
      </c>
      <c r="D183" s="179">
        <v>0.65</v>
      </c>
      <c r="E183" s="179">
        <v>0.65</v>
      </c>
      <c r="F183" s="348" t="s">
        <v>1656</v>
      </c>
      <c r="G183" s="11" t="s">
        <v>10980</v>
      </c>
    </row>
    <row r="184">
      <c r="A184" s="51" t="s">
        <v>19614</v>
      </c>
      <c r="B184" s="186">
        <v>12268.0</v>
      </c>
      <c r="C184" s="693">
        <v>0.12</v>
      </c>
      <c r="D184" s="179">
        <v>0.65</v>
      </c>
      <c r="E184" s="179">
        <v>0.65</v>
      </c>
      <c r="F184" s="348" t="s">
        <v>1656</v>
      </c>
      <c r="G184" s="11" t="s">
        <v>10980</v>
      </c>
    </row>
    <row r="185">
      <c r="A185" s="51" t="s">
        <v>19615</v>
      </c>
      <c r="B185" s="72">
        <v>7416.0</v>
      </c>
      <c r="C185" s="693">
        <v>0.12</v>
      </c>
      <c r="D185" s="179">
        <v>0.65</v>
      </c>
      <c r="E185" s="179">
        <v>0.65</v>
      </c>
      <c r="F185" s="348" t="s">
        <v>1656</v>
      </c>
      <c r="G185" s="11" t="s">
        <v>10980</v>
      </c>
    </row>
    <row r="186">
      <c r="A186" s="51" t="s">
        <v>19616</v>
      </c>
      <c r="B186" s="202"/>
      <c r="C186" s="693">
        <v>0.12</v>
      </c>
      <c r="D186" s="179">
        <v>0.65</v>
      </c>
      <c r="E186" s="179">
        <v>0.65</v>
      </c>
      <c r="F186" s="348" t="s">
        <v>1656</v>
      </c>
      <c r="G186" s="11" t="s">
        <v>10980</v>
      </c>
    </row>
    <row r="187">
      <c r="A187" s="51" t="s">
        <v>19617</v>
      </c>
      <c r="B187" s="202"/>
      <c r="C187" s="693">
        <v>0.12</v>
      </c>
      <c r="D187" s="179">
        <v>0.65</v>
      </c>
      <c r="E187" s="179">
        <v>0.65</v>
      </c>
      <c r="F187" s="348" t="s">
        <v>1656</v>
      </c>
      <c r="G187" s="11" t="s">
        <v>10980</v>
      </c>
    </row>
    <row r="188">
      <c r="A188" s="51" t="s">
        <v>19618</v>
      </c>
      <c r="B188" s="202"/>
      <c r="C188" s="693">
        <v>0.12</v>
      </c>
      <c r="D188" s="179">
        <v>0.65</v>
      </c>
      <c r="E188" s="179">
        <v>0.65</v>
      </c>
      <c r="F188" s="348" t="s">
        <v>1656</v>
      </c>
      <c r="G188" s="11" t="s">
        <v>10980</v>
      </c>
    </row>
    <row r="189">
      <c r="A189" s="51" t="s">
        <v>19619</v>
      </c>
      <c r="B189" s="202"/>
      <c r="C189" s="693">
        <v>0.12</v>
      </c>
      <c r="D189" s="179">
        <v>0.65</v>
      </c>
      <c r="E189" s="179">
        <v>0.65</v>
      </c>
      <c r="F189" s="348" t="s">
        <v>1656</v>
      </c>
      <c r="G189" s="11" t="s">
        <v>10980</v>
      </c>
    </row>
    <row r="190">
      <c r="A190" s="51" t="s">
        <v>19620</v>
      </c>
      <c r="B190" s="202"/>
      <c r="C190" s="693">
        <v>0.12</v>
      </c>
      <c r="D190" s="179">
        <v>0.65</v>
      </c>
      <c r="E190" s="179">
        <v>0.65</v>
      </c>
      <c r="F190" s="348" t="s">
        <v>1656</v>
      </c>
      <c r="G190" s="11" t="s">
        <v>10980</v>
      </c>
    </row>
    <row r="191">
      <c r="A191" s="51" t="s">
        <v>19621</v>
      </c>
      <c r="B191" s="202"/>
      <c r="C191" s="693">
        <v>0.12</v>
      </c>
      <c r="D191" s="179">
        <v>0.65</v>
      </c>
      <c r="E191" s="179">
        <v>0.65</v>
      </c>
      <c r="F191" s="348" t="s">
        <v>1656</v>
      </c>
      <c r="G191" s="11" t="s">
        <v>10980</v>
      </c>
    </row>
    <row r="192">
      <c r="A192" s="191" t="s">
        <v>4146</v>
      </c>
      <c r="B192" s="188">
        <v>9814.0</v>
      </c>
      <c r="C192" s="693">
        <v>0.12</v>
      </c>
      <c r="D192" s="179">
        <v>0.65</v>
      </c>
      <c r="E192" s="179">
        <v>0.65</v>
      </c>
      <c r="F192" s="348" t="s">
        <v>1656</v>
      </c>
      <c r="G192" s="11" t="s">
        <v>10980</v>
      </c>
    </row>
    <row r="193">
      <c r="A193" s="698" t="s">
        <v>4147</v>
      </c>
      <c r="B193" s="186">
        <v>8254.0</v>
      </c>
      <c r="C193" s="693">
        <v>0.12</v>
      </c>
      <c r="D193" s="179">
        <v>0.65</v>
      </c>
      <c r="E193" s="179">
        <v>0.65</v>
      </c>
      <c r="F193" s="348" t="s">
        <v>1656</v>
      </c>
      <c r="G193" s="11" t="s">
        <v>10980</v>
      </c>
    </row>
    <row r="194">
      <c r="A194" s="698" t="s">
        <v>4148</v>
      </c>
      <c r="B194" s="191">
        <v>14086.0</v>
      </c>
      <c r="C194" s="693">
        <v>0.12</v>
      </c>
      <c r="D194" s="179">
        <v>0.65</v>
      </c>
      <c r="E194" s="179">
        <v>0.65</v>
      </c>
      <c r="F194" s="348" t="s">
        <v>1656</v>
      </c>
      <c r="G194" s="11" t="s">
        <v>10980</v>
      </c>
    </row>
    <row r="195">
      <c r="A195" s="698" t="s">
        <v>4149</v>
      </c>
      <c r="B195" s="72">
        <v>9596.0</v>
      </c>
      <c r="C195" s="693">
        <v>0.12</v>
      </c>
      <c r="D195" s="179">
        <v>0.65</v>
      </c>
      <c r="E195" s="179">
        <v>0.65</v>
      </c>
      <c r="F195" s="348" t="s">
        <v>1656</v>
      </c>
      <c r="G195" s="11" t="s">
        <v>10980</v>
      </c>
    </row>
    <row r="196">
      <c r="A196" s="698" t="s">
        <v>4150</v>
      </c>
      <c r="B196" s="72">
        <v>8252.0</v>
      </c>
      <c r="C196" s="693">
        <v>0.12</v>
      </c>
      <c r="D196" s="179">
        <v>0.65</v>
      </c>
      <c r="E196" s="179">
        <v>0.65</v>
      </c>
      <c r="F196" s="348" t="s">
        <v>1656</v>
      </c>
      <c r="G196" s="11" t="s">
        <v>10980</v>
      </c>
    </row>
    <row r="197">
      <c r="A197" s="698" t="s">
        <v>4151</v>
      </c>
      <c r="B197" s="186">
        <v>8271.0</v>
      </c>
      <c r="C197" s="693">
        <v>0.12</v>
      </c>
      <c r="D197" s="179">
        <v>0.65</v>
      </c>
      <c r="E197" s="179">
        <v>0.65</v>
      </c>
      <c r="F197" s="348" t="s">
        <v>1656</v>
      </c>
      <c r="G197" s="11" t="s">
        <v>10980</v>
      </c>
    </row>
    <row r="198">
      <c r="A198" s="698" t="s">
        <v>4152</v>
      </c>
      <c r="B198" s="72">
        <v>9602.0</v>
      </c>
      <c r="C198" s="693">
        <v>0.12</v>
      </c>
      <c r="D198" s="179">
        <v>0.65</v>
      </c>
      <c r="E198" s="179">
        <v>0.65</v>
      </c>
      <c r="F198" s="348" t="s">
        <v>1656</v>
      </c>
      <c r="G198" s="11" t="s">
        <v>10980</v>
      </c>
    </row>
    <row r="199">
      <c r="A199" s="698" t="s">
        <v>4153</v>
      </c>
      <c r="B199" s="72">
        <v>11768.0</v>
      </c>
      <c r="C199" s="693">
        <v>0.12</v>
      </c>
      <c r="D199" s="179">
        <v>0.65</v>
      </c>
      <c r="E199" s="179">
        <v>0.65</v>
      </c>
      <c r="F199" s="348" t="s">
        <v>1656</v>
      </c>
      <c r="G199" s="11" t="s">
        <v>10980</v>
      </c>
    </row>
    <row r="200">
      <c r="A200" s="698" t="s">
        <v>4154</v>
      </c>
      <c r="B200" s="188">
        <v>9664.0</v>
      </c>
      <c r="C200" s="693">
        <v>0.12</v>
      </c>
      <c r="D200" s="179">
        <v>0.65</v>
      </c>
      <c r="E200" s="179">
        <v>0.65</v>
      </c>
      <c r="F200" s="348" t="s">
        <v>1656</v>
      </c>
      <c r="G200" s="11" t="s">
        <v>10980</v>
      </c>
    </row>
    <row r="201">
      <c r="A201" s="698" t="s">
        <v>4155</v>
      </c>
      <c r="B201" s="72">
        <v>12163.0</v>
      </c>
      <c r="C201" s="693">
        <v>0.12</v>
      </c>
      <c r="D201" s="179">
        <v>0.65</v>
      </c>
      <c r="E201" s="179">
        <v>0.65</v>
      </c>
      <c r="F201" s="348" t="s">
        <v>1656</v>
      </c>
      <c r="G201" s="11" t="s">
        <v>10980</v>
      </c>
    </row>
    <row r="202">
      <c r="A202" s="698" t="s">
        <v>4156</v>
      </c>
      <c r="B202" s="188">
        <v>10861.0</v>
      </c>
      <c r="C202" s="693">
        <v>0.12</v>
      </c>
      <c r="D202" s="179">
        <v>0.65</v>
      </c>
      <c r="E202" s="179">
        <v>0.65</v>
      </c>
      <c r="F202" s="348" t="s">
        <v>1656</v>
      </c>
      <c r="G202" s="11" t="s">
        <v>10980</v>
      </c>
    </row>
    <row r="203">
      <c r="A203" s="698" t="s">
        <v>4157</v>
      </c>
      <c r="B203" s="186">
        <v>8255.0</v>
      </c>
      <c r="C203" s="693">
        <v>0.12</v>
      </c>
      <c r="D203" s="179">
        <v>0.65</v>
      </c>
      <c r="E203" s="179">
        <v>0.65</v>
      </c>
      <c r="F203" s="348" t="s">
        <v>1656</v>
      </c>
      <c r="G203" s="11" t="s">
        <v>10980</v>
      </c>
    </row>
    <row r="204">
      <c r="A204" s="698" t="s">
        <v>4158</v>
      </c>
      <c r="B204" s="188">
        <v>11105.0</v>
      </c>
      <c r="C204" s="693">
        <v>0.12</v>
      </c>
      <c r="D204" s="179">
        <v>0.65</v>
      </c>
      <c r="E204" s="179">
        <v>0.65</v>
      </c>
      <c r="F204" s="348" t="s">
        <v>1656</v>
      </c>
      <c r="G204" s="11" t="s">
        <v>10980</v>
      </c>
    </row>
    <row r="205">
      <c r="A205" s="698" t="s">
        <v>4159</v>
      </c>
      <c r="B205" s="188">
        <v>12259.0</v>
      </c>
      <c r="C205" s="693">
        <v>0.12</v>
      </c>
      <c r="D205" s="179">
        <v>0.65</v>
      </c>
      <c r="E205" s="179">
        <v>0.65</v>
      </c>
      <c r="F205" s="348" t="s">
        <v>1656</v>
      </c>
      <c r="G205" s="11" t="s">
        <v>10980</v>
      </c>
    </row>
    <row r="206">
      <c r="A206" s="698" t="s">
        <v>4068</v>
      </c>
      <c r="B206" s="202"/>
      <c r="C206" s="693">
        <v>0.12</v>
      </c>
      <c r="D206" s="179">
        <v>0.65</v>
      </c>
      <c r="E206" s="179">
        <v>0.65</v>
      </c>
      <c r="F206" s="348" t="s">
        <v>1656</v>
      </c>
      <c r="G206" s="11" t="s">
        <v>10980</v>
      </c>
    </row>
    <row r="207">
      <c r="A207" s="698" t="s">
        <v>4069</v>
      </c>
      <c r="B207" s="202"/>
      <c r="C207" s="693">
        <v>0.12</v>
      </c>
      <c r="D207" s="179">
        <v>0.65</v>
      </c>
      <c r="E207" s="179">
        <v>0.65</v>
      </c>
      <c r="F207" s="348" t="s">
        <v>1656</v>
      </c>
      <c r="G207" s="11" t="s">
        <v>10980</v>
      </c>
    </row>
    <row r="208">
      <c r="A208" s="698" t="s">
        <v>4070</v>
      </c>
      <c r="B208" s="202"/>
      <c r="C208" s="693">
        <v>0.12</v>
      </c>
      <c r="D208" s="179">
        <v>0.65</v>
      </c>
      <c r="E208" s="179">
        <v>0.65</v>
      </c>
      <c r="F208" s="348" t="s">
        <v>1656</v>
      </c>
      <c r="G208" s="11" t="s">
        <v>10980</v>
      </c>
    </row>
    <row r="209">
      <c r="A209" s="698" t="s">
        <v>4071</v>
      </c>
      <c r="B209" s="202"/>
      <c r="C209" s="693">
        <v>0.12</v>
      </c>
      <c r="D209" s="179">
        <v>0.65</v>
      </c>
      <c r="E209" s="179">
        <v>0.65</v>
      </c>
      <c r="F209" s="348" t="s">
        <v>1656</v>
      </c>
      <c r="G209" s="11" t="s">
        <v>10980</v>
      </c>
    </row>
    <row r="210">
      <c r="A210" s="698" t="s">
        <v>4072</v>
      </c>
      <c r="B210" s="202"/>
      <c r="C210" s="693">
        <v>0.12</v>
      </c>
      <c r="D210" s="179">
        <v>0.65</v>
      </c>
      <c r="E210" s="179">
        <v>0.65</v>
      </c>
      <c r="F210" s="348" t="s">
        <v>1656</v>
      </c>
      <c r="G210" s="11" t="s">
        <v>10980</v>
      </c>
    </row>
    <row r="211">
      <c r="A211" s="698" t="s">
        <v>4073</v>
      </c>
      <c r="B211" s="202"/>
      <c r="C211" s="693">
        <v>0.12</v>
      </c>
      <c r="D211" s="179">
        <v>0.65</v>
      </c>
      <c r="E211" s="179">
        <v>0.65</v>
      </c>
      <c r="F211" s="348" t="s">
        <v>1656</v>
      </c>
      <c r="G211" s="11" t="s">
        <v>10980</v>
      </c>
    </row>
    <row r="212">
      <c r="A212" s="698" t="s">
        <v>4074</v>
      </c>
      <c r="B212" s="202"/>
      <c r="C212" s="693">
        <v>0.12</v>
      </c>
      <c r="D212" s="179">
        <v>0.65</v>
      </c>
      <c r="E212" s="179">
        <v>0.65</v>
      </c>
      <c r="F212" s="348" t="s">
        <v>1656</v>
      </c>
      <c r="G212" s="11" t="s">
        <v>10980</v>
      </c>
    </row>
    <row r="213">
      <c r="A213" s="698" t="s">
        <v>4075</v>
      </c>
      <c r="B213" s="202"/>
      <c r="C213" s="693">
        <v>0.12</v>
      </c>
      <c r="D213" s="179">
        <v>0.65</v>
      </c>
      <c r="E213" s="179">
        <v>0.65</v>
      </c>
      <c r="F213" s="348" t="s">
        <v>1656</v>
      </c>
      <c r="G213" s="11" t="s">
        <v>10980</v>
      </c>
    </row>
    <row r="214">
      <c r="A214" s="134" t="s">
        <v>19622</v>
      </c>
      <c r="B214" s="134">
        <v>14594.0</v>
      </c>
      <c r="C214" s="693">
        <v>0.12</v>
      </c>
      <c r="D214" s="179">
        <v>0.65</v>
      </c>
      <c r="E214" s="179">
        <v>0.65</v>
      </c>
      <c r="F214" s="348" t="s">
        <v>1656</v>
      </c>
    </row>
    <row r="215">
      <c r="A215" s="134" t="s">
        <v>220</v>
      </c>
      <c r="B215" s="134">
        <v>14663.0</v>
      </c>
      <c r="C215" s="693">
        <v>0.12</v>
      </c>
      <c r="D215" s="179">
        <v>0.65</v>
      </c>
      <c r="E215" s="179">
        <v>0.65</v>
      </c>
      <c r="F215" s="348" t="s">
        <v>1656</v>
      </c>
    </row>
    <row r="216">
      <c r="A216" s="297" t="s">
        <v>1729</v>
      </c>
      <c r="B216" s="297">
        <v>14727.0</v>
      </c>
      <c r="C216" s="693">
        <v>0.12</v>
      </c>
      <c r="D216" s="179">
        <v>0.65</v>
      </c>
      <c r="E216" s="179">
        <v>0.65</v>
      </c>
      <c r="F216" s="348" t="s">
        <v>1656</v>
      </c>
    </row>
    <row r="217">
      <c r="A217" s="297" t="s">
        <v>1730</v>
      </c>
      <c r="B217" s="297">
        <v>14727.0</v>
      </c>
      <c r="C217" s="693">
        <v>0.12</v>
      </c>
      <c r="D217" s="179">
        <v>0.65</v>
      </c>
      <c r="E217" s="179">
        <v>0.65</v>
      </c>
      <c r="F217" s="348" t="s">
        <v>1656</v>
      </c>
    </row>
    <row r="218">
      <c r="A218" s="307"/>
      <c r="B218" s="307"/>
      <c r="C218" s="307"/>
    </row>
    <row r="219">
      <c r="A219" s="307"/>
      <c r="B219" s="307"/>
      <c r="C219" s="307"/>
    </row>
    <row r="220">
      <c r="A220" s="307"/>
      <c r="B220" s="307"/>
      <c r="C220" s="307"/>
    </row>
    <row r="221">
      <c r="A221" s="307"/>
      <c r="B221" s="307"/>
      <c r="C221" s="307"/>
    </row>
    <row r="222">
      <c r="A222" s="307"/>
      <c r="B222" s="307"/>
      <c r="C222" s="307"/>
    </row>
    <row r="223">
      <c r="A223" s="307"/>
      <c r="B223" s="307"/>
      <c r="C223" s="307"/>
    </row>
    <row r="224">
      <c r="A224" s="307"/>
      <c r="B224" s="307"/>
      <c r="C224" s="307"/>
    </row>
    <row r="225">
      <c r="A225" s="307"/>
      <c r="B225" s="307"/>
      <c r="C225" s="307"/>
    </row>
    <row r="226">
      <c r="A226" s="307"/>
      <c r="B226" s="307"/>
      <c r="C226" s="307"/>
    </row>
    <row r="227">
      <c r="A227" s="307"/>
      <c r="B227" s="307"/>
      <c r="C227" s="307"/>
    </row>
    <row r="228">
      <c r="A228" s="307"/>
      <c r="B228" s="307"/>
      <c r="C228" s="307"/>
    </row>
    <row r="229">
      <c r="A229" s="307"/>
      <c r="B229" s="307"/>
      <c r="C229" s="307"/>
    </row>
    <row r="230">
      <c r="A230" s="307"/>
      <c r="B230" s="307"/>
      <c r="C230" s="307"/>
    </row>
    <row r="231">
      <c r="A231" s="307"/>
      <c r="B231" s="307"/>
      <c r="C231" s="307"/>
    </row>
    <row r="232">
      <c r="A232" s="307"/>
      <c r="B232" s="307"/>
      <c r="C232" s="307"/>
    </row>
    <row r="233">
      <c r="A233" s="307"/>
      <c r="B233" s="307"/>
      <c r="C233" s="307"/>
    </row>
    <row r="234">
      <c r="A234" s="307"/>
      <c r="B234" s="307"/>
      <c r="C234" s="307"/>
    </row>
    <row r="235">
      <c r="A235" s="307"/>
      <c r="B235" s="307"/>
      <c r="C235" s="307"/>
    </row>
    <row r="236">
      <c r="A236" s="307"/>
      <c r="B236" s="307"/>
      <c r="C236" s="307"/>
    </row>
    <row r="237">
      <c r="A237" s="307"/>
      <c r="B237" s="307"/>
      <c r="C237" s="307"/>
    </row>
    <row r="238">
      <c r="A238" s="307"/>
      <c r="B238" s="307"/>
      <c r="C238" s="307"/>
    </row>
    <row r="239">
      <c r="A239" s="307"/>
      <c r="B239" s="307"/>
      <c r="C239" s="307"/>
    </row>
    <row r="240">
      <c r="A240" s="307"/>
      <c r="B240" s="307"/>
      <c r="C240" s="307"/>
    </row>
    <row r="241">
      <c r="A241" s="307"/>
      <c r="B241" s="307"/>
      <c r="C241" s="307"/>
    </row>
    <row r="242">
      <c r="A242" s="307"/>
      <c r="B242" s="307"/>
      <c r="C242" s="307"/>
    </row>
    <row r="243">
      <c r="A243" s="307"/>
      <c r="B243" s="307"/>
      <c r="C243" s="307"/>
    </row>
    <row r="244">
      <c r="A244" s="307"/>
      <c r="B244" s="307"/>
      <c r="C244" s="307"/>
    </row>
    <row r="245">
      <c r="A245" s="307"/>
      <c r="B245" s="307"/>
      <c r="C245" s="307"/>
    </row>
    <row r="246">
      <c r="A246" s="307"/>
      <c r="B246" s="307"/>
      <c r="C246" s="307"/>
    </row>
    <row r="247">
      <c r="A247" s="307"/>
      <c r="B247" s="307"/>
      <c r="C247" s="307"/>
    </row>
    <row r="248">
      <c r="A248" s="307"/>
      <c r="B248" s="307"/>
      <c r="C248" s="307"/>
    </row>
    <row r="249">
      <c r="A249" s="307"/>
      <c r="B249" s="307"/>
      <c r="C249" s="307"/>
    </row>
    <row r="250">
      <c r="A250" s="307"/>
      <c r="B250" s="307"/>
      <c r="C250" s="307"/>
    </row>
    <row r="251">
      <c r="A251" s="307"/>
      <c r="B251" s="307"/>
      <c r="C251" s="307"/>
    </row>
    <row r="252">
      <c r="A252" s="307"/>
      <c r="B252" s="307"/>
      <c r="C252" s="307"/>
    </row>
    <row r="253">
      <c r="A253" s="307"/>
      <c r="B253" s="307"/>
      <c r="C253" s="307"/>
    </row>
    <row r="254">
      <c r="A254" s="307"/>
      <c r="B254" s="307"/>
      <c r="C254" s="307"/>
    </row>
    <row r="255">
      <c r="A255" s="307"/>
      <c r="B255" s="307"/>
      <c r="C255" s="307"/>
    </row>
    <row r="256">
      <c r="A256" s="307"/>
      <c r="B256" s="307"/>
      <c r="C256" s="307"/>
    </row>
    <row r="257">
      <c r="A257" s="307"/>
      <c r="B257" s="307"/>
      <c r="C257" s="307"/>
    </row>
    <row r="258">
      <c r="A258" s="307"/>
      <c r="B258" s="307"/>
      <c r="C258" s="307"/>
    </row>
    <row r="259">
      <c r="A259" s="307"/>
      <c r="B259" s="307"/>
      <c r="C259" s="307"/>
    </row>
    <row r="260">
      <c r="A260" s="307"/>
      <c r="B260" s="307"/>
      <c r="C260" s="307"/>
    </row>
    <row r="261">
      <c r="A261" s="307"/>
      <c r="B261" s="307"/>
      <c r="C261" s="307"/>
    </row>
    <row r="262">
      <c r="A262" s="307"/>
      <c r="B262" s="307"/>
      <c r="C262" s="307"/>
    </row>
    <row r="263">
      <c r="A263" s="307"/>
      <c r="B263" s="307"/>
      <c r="C263" s="307"/>
    </row>
    <row r="264">
      <c r="A264" s="307"/>
      <c r="B264" s="307"/>
      <c r="C264" s="307"/>
    </row>
    <row r="265">
      <c r="A265" s="307"/>
      <c r="B265" s="307"/>
      <c r="C265" s="307"/>
    </row>
    <row r="266">
      <c r="A266" s="307"/>
      <c r="B266" s="307"/>
      <c r="C266" s="307"/>
    </row>
    <row r="267">
      <c r="A267" s="307"/>
      <c r="B267" s="307"/>
      <c r="C267" s="307"/>
    </row>
    <row r="268">
      <c r="A268" s="307"/>
      <c r="B268" s="307"/>
      <c r="C268" s="307"/>
    </row>
    <row r="269">
      <c r="A269" s="307"/>
      <c r="B269" s="307"/>
      <c r="C269" s="307"/>
    </row>
    <row r="270">
      <c r="A270" s="307"/>
      <c r="B270" s="307"/>
      <c r="C270" s="307"/>
    </row>
    <row r="271">
      <c r="A271" s="307"/>
      <c r="B271" s="307"/>
      <c r="C271" s="307"/>
    </row>
    <row r="272">
      <c r="A272" s="307"/>
      <c r="B272" s="307"/>
      <c r="C272" s="307"/>
    </row>
    <row r="273">
      <c r="A273" s="307"/>
      <c r="B273" s="307"/>
      <c r="C273" s="307"/>
    </row>
    <row r="274">
      <c r="A274" s="307"/>
      <c r="B274" s="307"/>
      <c r="C274" s="307"/>
    </row>
    <row r="275">
      <c r="A275" s="307"/>
      <c r="B275" s="307"/>
      <c r="C275" s="307"/>
    </row>
    <row r="276">
      <c r="A276" s="307"/>
      <c r="B276" s="307"/>
      <c r="C276" s="307"/>
    </row>
    <row r="277">
      <c r="A277" s="307"/>
      <c r="B277" s="307"/>
      <c r="C277" s="307"/>
    </row>
    <row r="278">
      <c r="A278" s="307"/>
      <c r="B278" s="307"/>
      <c r="C278" s="307"/>
    </row>
    <row r="279">
      <c r="A279" s="307"/>
      <c r="B279" s="307"/>
      <c r="C279" s="307"/>
    </row>
    <row r="280">
      <c r="A280" s="307"/>
      <c r="B280" s="307"/>
      <c r="C280" s="307"/>
    </row>
    <row r="281">
      <c r="A281" s="307"/>
      <c r="B281" s="307"/>
      <c r="C281" s="307"/>
    </row>
    <row r="282">
      <c r="A282" s="307"/>
      <c r="B282" s="307"/>
      <c r="C282" s="307"/>
    </row>
    <row r="283">
      <c r="A283" s="307"/>
      <c r="B283" s="307"/>
      <c r="C283" s="307"/>
    </row>
    <row r="284">
      <c r="A284" s="307"/>
      <c r="B284" s="307"/>
      <c r="C284" s="307"/>
    </row>
    <row r="285">
      <c r="A285" s="307"/>
      <c r="B285" s="307"/>
      <c r="C285" s="307"/>
    </row>
    <row r="286">
      <c r="A286" s="307"/>
      <c r="B286" s="307"/>
      <c r="C286" s="307"/>
    </row>
    <row r="287">
      <c r="A287" s="307"/>
      <c r="B287" s="307"/>
      <c r="C287" s="307"/>
    </row>
    <row r="288">
      <c r="A288" s="307"/>
      <c r="B288" s="307"/>
      <c r="C288" s="307"/>
    </row>
    <row r="289">
      <c r="A289" s="307"/>
      <c r="B289" s="307"/>
      <c r="C289" s="307"/>
    </row>
    <row r="290">
      <c r="A290" s="307"/>
      <c r="B290" s="307"/>
      <c r="C290" s="307"/>
    </row>
    <row r="291">
      <c r="A291" s="307"/>
      <c r="B291" s="307"/>
      <c r="C291" s="307"/>
    </row>
    <row r="292">
      <c r="A292" s="307"/>
      <c r="B292" s="307"/>
      <c r="C292" s="307"/>
    </row>
    <row r="293">
      <c r="A293" s="307"/>
      <c r="B293" s="307"/>
      <c r="C293" s="307"/>
    </row>
    <row r="294">
      <c r="A294" s="307"/>
      <c r="B294" s="307"/>
      <c r="C294" s="307"/>
    </row>
    <row r="295">
      <c r="A295" s="307"/>
      <c r="B295" s="307"/>
      <c r="C295" s="307"/>
    </row>
    <row r="296">
      <c r="A296" s="307"/>
      <c r="B296" s="307"/>
      <c r="C296" s="307"/>
    </row>
    <row r="297">
      <c r="A297" s="307"/>
      <c r="B297" s="307"/>
      <c r="C297" s="307"/>
    </row>
    <row r="298">
      <c r="A298" s="307"/>
      <c r="B298" s="307"/>
      <c r="C298" s="307"/>
    </row>
    <row r="299">
      <c r="A299" s="307"/>
      <c r="B299" s="307"/>
      <c r="C299" s="307"/>
    </row>
    <row r="300">
      <c r="A300" s="307"/>
      <c r="B300" s="307"/>
      <c r="C300" s="307"/>
    </row>
    <row r="301">
      <c r="A301" s="307"/>
      <c r="B301" s="307"/>
      <c r="C301" s="307"/>
    </row>
    <row r="302">
      <c r="A302" s="307"/>
      <c r="B302" s="307"/>
      <c r="C302" s="307"/>
    </row>
    <row r="303">
      <c r="A303" s="307"/>
      <c r="B303" s="307"/>
      <c r="C303" s="307"/>
    </row>
    <row r="304">
      <c r="A304" s="307"/>
      <c r="B304" s="307"/>
      <c r="C304" s="307"/>
    </row>
    <row r="305">
      <c r="A305" s="307"/>
      <c r="B305" s="307"/>
      <c r="C305" s="307"/>
    </row>
    <row r="306">
      <c r="A306" s="307"/>
      <c r="B306" s="307"/>
      <c r="C306" s="307"/>
    </row>
    <row r="307">
      <c r="A307" s="307"/>
      <c r="B307" s="307"/>
      <c r="C307" s="307"/>
    </row>
    <row r="308">
      <c r="A308" s="307"/>
      <c r="B308" s="307"/>
      <c r="C308" s="307"/>
    </row>
    <row r="309">
      <c r="A309" s="307"/>
      <c r="B309" s="307"/>
      <c r="C309" s="307"/>
    </row>
    <row r="310">
      <c r="A310" s="307"/>
      <c r="B310" s="307"/>
      <c r="C310" s="307"/>
    </row>
    <row r="311">
      <c r="A311" s="307"/>
      <c r="B311" s="307"/>
      <c r="C311" s="307"/>
    </row>
    <row r="312">
      <c r="A312" s="307"/>
      <c r="B312" s="307"/>
      <c r="C312" s="307"/>
    </row>
    <row r="313">
      <c r="A313" s="307"/>
      <c r="B313" s="307"/>
      <c r="C313" s="307"/>
    </row>
    <row r="314">
      <c r="A314" s="307"/>
      <c r="B314" s="307"/>
      <c r="C314" s="307"/>
    </row>
    <row r="315">
      <c r="A315" s="307"/>
      <c r="B315" s="307"/>
      <c r="C315" s="307"/>
    </row>
    <row r="316">
      <c r="A316" s="307"/>
      <c r="B316" s="307"/>
      <c r="C316" s="307"/>
    </row>
    <row r="317">
      <c r="A317" s="307"/>
      <c r="B317" s="307"/>
      <c r="C317" s="307"/>
    </row>
    <row r="318">
      <c r="A318" s="307"/>
      <c r="B318" s="307"/>
      <c r="C318" s="307"/>
    </row>
    <row r="319">
      <c r="A319" s="307"/>
      <c r="B319" s="307"/>
      <c r="C319" s="307"/>
    </row>
    <row r="320">
      <c r="A320" s="307"/>
      <c r="B320" s="307"/>
      <c r="C320" s="307"/>
    </row>
    <row r="321">
      <c r="A321" s="307"/>
      <c r="B321" s="307"/>
      <c r="C321" s="307"/>
    </row>
    <row r="322">
      <c r="A322" s="307"/>
      <c r="B322" s="307"/>
      <c r="C322" s="307"/>
    </row>
    <row r="323">
      <c r="A323" s="307"/>
      <c r="B323" s="307"/>
      <c r="C323" s="307"/>
    </row>
    <row r="324">
      <c r="A324" s="307"/>
      <c r="B324" s="307"/>
      <c r="C324" s="307"/>
    </row>
    <row r="325">
      <c r="A325" s="307"/>
      <c r="B325" s="307"/>
      <c r="C325" s="307"/>
    </row>
    <row r="326">
      <c r="A326" s="307"/>
      <c r="B326" s="307"/>
      <c r="C326" s="307"/>
    </row>
    <row r="327">
      <c r="A327" s="307"/>
      <c r="B327" s="307"/>
      <c r="C327" s="307"/>
    </row>
    <row r="328">
      <c r="A328" s="307"/>
      <c r="B328" s="307"/>
      <c r="C328" s="307"/>
    </row>
    <row r="329">
      <c r="A329" s="307"/>
      <c r="B329" s="307"/>
      <c r="C329" s="307"/>
    </row>
    <row r="330">
      <c r="A330" s="307"/>
      <c r="B330" s="307"/>
      <c r="C330" s="307"/>
    </row>
    <row r="331">
      <c r="A331" s="307"/>
      <c r="B331" s="307"/>
      <c r="C331" s="307"/>
    </row>
    <row r="332">
      <c r="A332" s="307"/>
      <c r="B332" s="307"/>
      <c r="C332" s="307"/>
    </row>
    <row r="333">
      <c r="A333" s="307"/>
      <c r="B333" s="307"/>
      <c r="C333" s="307"/>
    </row>
    <row r="334">
      <c r="A334" s="307"/>
      <c r="B334" s="307"/>
      <c r="C334" s="307"/>
    </row>
    <row r="335">
      <c r="A335" s="307"/>
      <c r="B335" s="307"/>
      <c r="C335" s="307"/>
    </row>
    <row r="336">
      <c r="A336" s="307"/>
      <c r="B336" s="307"/>
      <c r="C336" s="307"/>
    </row>
    <row r="337">
      <c r="A337" s="307"/>
      <c r="B337" s="307"/>
      <c r="C337" s="307"/>
    </row>
    <row r="338">
      <c r="A338" s="307"/>
      <c r="B338" s="307"/>
      <c r="C338" s="307"/>
    </row>
    <row r="339">
      <c r="A339" s="307"/>
      <c r="B339" s="307"/>
      <c r="C339" s="307"/>
    </row>
    <row r="340">
      <c r="A340" s="307"/>
      <c r="B340" s="307"/>
      <c r="C340" s="307"/>
    </row>
    <row r="341">
      <c r="A341" s="307"/>
      <c r="B341" s="307"/>
      <c r="C341" s="307"/>
    </row>
    <row r="342">
      <c r="A342" s="307"/>
      <c r="B342" s="307"/>
      <c r="C342" s="307"/>
    </row>
    <row r="343">
      <c r="A343" s="307"/>
      <c r="B343" s="307"/>
      <c r="C343" s="307"/>
    </row>
    <row r="344">
      <c r="A344" s="307"/>
      <c r="B344" s="307"/>
      <c r="C344" s="307"/>
    </row>
    <row r="345">
      <c r="A345" s="307"/>
      <c r="B345" s="307"/>
      <c r="C345" s="307"/>
    </row>
    <row r="346">
      <c r="A346" s="307"/>
      <c r="B346" s="307"/>
      <c r="C346" s="307"/>
    </row>
    <row r="347">
      <c r="A347" s="307"/>
      <c r="B347" s="307"/>
      <c r="C347" s="307"/>
    </row>
    <row r="348">
      <c r="A348" s="307"/>
      <c r="B348" s="307"/>
      <c r="C348" s="307"/>
    </row>
    <row r="349">
      <c r="A349" s="307"/>
      <c r="B349" s="307"/>
      <c r="C349" s="307"/>
    </row>
    <row r="350">
      <c r="A350" s="307"/>
      <c r="B350" s="307"/>
      <c r="C350" s="307"/>
    </row>
    <row r="351">
      <c r="A351" s="307"/>
      <c r="B351" s="307"/>
      <c r="C351" s="307"/>
    </row>
    <row r="352">
      <c r="A352" s="307"/>
      <c r="B352" s="307"/>
      <c r="C352" s="307"/>
    </row>
    <row r="353">
      <c r="A353" s="307"/>
      <c r="B353" s="307"/>
      <c r="C353" s="307"/>
    </row>
    <row r="354">
      <c r="A354" s="307"/>
      <c r="B354" s="307"/>
      <c r="C354" s="307"/>
    </row>
    <row r="355">
      <c r="A355" s="307"/>
      <c r="B355" s="307"/>
      <c r="C355" s="307"/>
    </row>
    <row r="356">
      <c r="A356" s="307"/>
      <c r="B356" s="307"/>
      <c r="C356" s="307"/>
    </row>
    <row r="357">
      <c r="A357" s="307"/>
      <c r="B357" s="307"/>
      <c r="C357" s="307"/>
    </row>
    <row r="358">
      <c r="A358" s="307"/>
      <c r="B358" s="307"/>
      <c r="C358" s="307"/>
    </row>
    <row r="359">
      <c r="A359" s="307"/>
      <c r="B359" s="307"/>
      <c r="C359" s="307"/>
    </row>
    <row r="360">
      <c r="A360" s="307"/>
      <c r="B360" s="307"/>
      <c r="C360" s="307"/>
    </row>
    <row r="361">
      <c r="A361" s="307"/>
      <c r="B361" s="307"/>
      <c r="C361" s="307"/>
    </row>
    <row r="362">
      <c r="A362" s="307"/>
      <c r="B362" s="307"/>
      <c r="C362" s="307"/>
    </row>
    <row r="363">
      <c r="A363" s="307"/>
      <c r="B363" s="307"/>
      <c r="C363" s="307"/>
    </row>
    <row r="364">
      <c r="A364" s="307"/>
      <c r="B364" s="307"/>
      <c r="C364" s="307"/>
    </row>
    <row r="365">
      <c r="A365" s="307"/>
      <c r="B365" s="307"/>
      <c r="C365" s="307"/>
    </row>
    <row r="366">
      <c r="A366" s="307"/>
      <c r="B366" s="307"/>
      <c r="C366" s="307"/>
    </row>
    <row r="367">
      <c r="A367" s="307"/>
      <c r="B367" s="307"/>
      <c r="C367" s="307"/>
    </row>
    <row r="368">
      <c r="A368" s="307"/>
      <c r="B368" s="307"/>
      <c r="C368" s="307"/>
    </row>
    <row r="369">
      <c r="A369" s="307"/>
      <c r="B369" s="307"/>
      <c r="C369" s="307"/>
    </row>
    <row r="370">
      <c r="A370" s="307"/>
      <c r="B370" s="307"/>
      <c r="C370" s="307"/>
    </row>
    <row r="371">
      <c r="A371" s="307"/>
      <c r="B371" s="307"/>
      <c r="C371" s="307"/>
    </row>
    <row r="372">
      <c r="A372" s="307"/>
      <c r="B372" s="307"/>
      <c r="C372" s="307"/>
    </row>
    <row r="373">
      <c r="A373" s="307"/>
      <c r="B373" s="307"/>
      <c r="C373" s="307"/>
    </row>
    <row r="374">
      <c r="A374" s="307"/>
      <c r="B374" s="307"/>
      <c r="C374" s="307"/>
    </row>
    <row r="375">
      <c r="A375" s="307"/>
      <c r="B375" s="307"/>
      <c r="C375" s="307"/>
    </row>
    <row r="376">
      <c r="A376" s="307"/>
      <c r="B376" s="307"/>
      <c r="C376" s="307"/>
    </row>
    <row r="377">
      <c r="A377" s="307"/>
      <c r="B377" s="307"/>
      <c r="C377" s="307"/>
    </row>
    <row r="378">
      <c r="A378" s="307"/>
      <c r="B378" s="307"/>
      <c r="C378" s="307"/>
    </row>
    <row r="379">
      <c r="A379" s="307"/>
      <c r="B379" s="307"/>
      <c r="C379" s="307"/>
    </row>
    <row r="380">
      <c r="A380" s="307"/>
      <c r="B380" s="307"/>
      <c r="C380" s="307"/>
    </row>
    <row r="381">
      <c r="A381" s="307"/>
      <c r="B381" s="307"/>
      <c r="C381" s="307"/>
    </row>
    <row r="382">
      <c r="A382" s="307"/>
      <c r="B382" s="307"/>
      <c r="C382" s="307"/>
    </row>
    <row r="383">
      <c r="A383" s="307"/>
      <c r="B383" s="307"/>
      <c r="C383" s="307"/>
    </row>
    <row r="384">
      <c r="A384" s="307"/>
      <c r="B384" s="307"/>
      <c r="C384" s="307"/>
    </row>
    <row r="385">
      <c r="A385" s="307"/>
      <c r="B385" s="307"/>
      <c r="C385" s="307"/>
    </row>
    <row r="386">
      <c r="A386" s="307"/>
      <c r="B386" s="307"/>
      <c r="C386" s="307"/>
    </row>
    <row r="387">
      <c r="A387" s="307"/>
      <c r="B387" s="307"/>
      <c r="C387" s="307"/>
    </row>
    <row r="388">
      <c r="A388" s="307"/>
      <c r="B388" s="307"/>
      <c r="C388" s="307"/>
    </row>
    <row r="389">
      <c r="A389" s="307"/>
      <c r="B389" s="307"/>
      <c r="C389" s="307"/>
    </row>
    <row r="390">
      <c r="A390" s="307"/>
      <c r="B390" s="307"/>
      <c r="C390" s="307"/>
    </row>
    <row r="391">
      <c r="A391" s="307"/>
      <c r="B391" s="307"/>
      <c r="C391" s="307"/>
    </row>
    <row r="392">
      <c r="A392" s="307"/>
      <c r="B392" s="307"/>
      <c r="C392" s="307"/>
    </row>
    <row r="393">
      <c r="A393" s="307"/>
      <c r="B393" s="307"/>
      <c r="C393" s="307"/>
    </row>
    <row r="394">
      <c r="A394" s="307"/>
      <c r="B394" s="307"/>
      <c r="C394" s="307"/>
    </row>
    <row r="395">
      <c r="A395" s="307"/>
      <c r="B395" s="307"/>
      <c r="C395" s="307"/>
    </row>
    <row r="396">
      <c r="A396" s="307"/>
      <c r="B396" s="307"/>
      <c r="C396" s="307"/>
    </row>
    <row r="397">
      <c r="A397" s="307"/>
      <c r="B397" s="307"/>
      <c r="C397" s="307"/>
    </row>
    <row r="398">
      <c r="A398" s="307"/>
      <c r="B398" s="307"/>
      <c r="C398" s="307"/>
    </row>
    <row r="399">
      <c r="A399" s="307"/>
      <c r="B399" s="307"/>
      <c r="C399" s="307"/>
    </row>
    <row r="400">
      <c r="A400" s="307"/>
      <c r="B400" s="307"/>
      <c r="C400" s="307"/>
    </row>
    <row r="401">
      <c r="A401" s="307"/>
      <c r="B401" s="307"/>
      <c r="C401" s="307"/>
    </row>
    <row r="402">
      <c r="A402" s="307"/>
      <c r="B402" s="307"/>
      <c r="C402" s="307"/>
    </row>
    <row r="403">
      <c r="A403" s="307"/>
      <c r="B403" s="307"/>
      <c r="C403" s="307"/>
    </row>
    <row r="404">
      <c r="A404" s="307"/>
      <c r="B404" s="307"/>
      <c r="C404" s="307"/>
    </row>
    <row r="405">
      <c r="A405" s="307"/>
      <c r="B405" s="307"/>
      <c r="C405" s="307"/>
    </row>
    <row r="406">
      <c r="A406" s="307"/>
      <c r="B406" s="307"/>
      <c r="C406" s="307"/>
    </row>
    <row r="407">
      <c r="A407" s="307"/>
      <c r="B407" s="307"/>
      <c r="C407" s="307"/>
    </row>
    <row r="408">
      <c r="A408" s="307"/>
      <c r="B408" s="307"/>
      <c r="C408" s="307"/>
    </row>
    <row r="409">
      <c r="A409" s="307"/>
      <c r="B409" s="307"/>
      <c r="C409" s="307"/>
    </row>
    <row r="410">
      <c r="A410" s="307"/>
      <c r="B410" s="307"/>
      <c r="C410" s="307"/>
    </row>
    <row r="411">
      <c r="A411" s="307"/>
      <c r="B411" s="307"/>
      <c r="C411" s="307"/>
    </row>
    <row r="412">
      <c r="A412" s="307"/>
      <c r="B412" s="307"/>
      <c r="C412" s="307"/>
    </row>
    <row r="413">
      <c r="A413" s="307"/>
      <c r="B413" s="307"/>
      <c r="C413" s="307"/>
    </row>
    <row r="414">
      <c r="A414" s="307"/>
      <c r="B414" s="307"/>
      <c r="C414" s="307"/>
    </row>
    <row r="415">
      <c r="A415" s="307"/>
      <c r="B415" s="307"/>
      <c r="C415" s="307"/>
    </row>
    <row r="416">
      <c r="A416" s="307"/>
      <c r="B416" s="307"/>
      <c r="C416" s="307"/>
    </row>
    <row r="417">
      <c r="A417" s="307"/>
      <c r="B417" s="307"/>
      <c r="C417" s="307"/>
    </row>
    <row r="418">
      <c r="A418" s="307"/>
      <c r="B418" s="307"/>
      <c r="C418" s="307"/>
    </row>
    <row r="419">
      <c r="A419" s="307"/>
      <c r="B419" s="307"/>
      <c r="C419" s="307"/>
    </row>
    <row r="420">
      <c r="A420" s="307"/>
      <c r="B420" s="307"/>
      <c r="C420" s="307"/>
    </row>
    <row r="421">
      <c r="A421" s="307"/>
      <c r="B421" s="307"/>
      <c r="C421" s="307"/>
    </row>
    <row r="422">
      <c r="A422" s="307"/>
      <c r="B422" s="307"/>
      <c r="C422" s="307"/>
    </row>
    <row r="423">
      <c r="A423" s="307"/>
      <c r="B423" s="307"/>
      <c r="C423" s="307"/>
    </row>
    <row r="424">
      <c r="A424" s="307"/>
      <c r="B424" s="307"/>
      <c r="C424" s="307"/>
    </row>
    <row r="425">
      <c r="A425" s="307"/>
      <c r="B425" s="307"/>
      <c r="C425" s="307"/>
    </row>
    <row r="426">
      <c r="A426" s="307"/>
      <c r="B426" s="307"/>
      <c r="C426" s="307"/>
    </row>
    <row r="427">
      <c r="A427" s="307"/>
      <c r="B427" s="307"/>
      <c r="C427" s="307"/>
    </row>
    <row r="428">
      <c r="A428" s="307"/>
      <c r="B428" s="307"/>
      <c r="C428" s="307"/>
    </row>
    <row r="429">
      <c r="A429" s="307"/>
      <c r="B429" s="307"/>
      <c r="C429" s="307"/>
    </row>
    <row r="430">
      <c r="A430" s="307"/>
      <c r="B430" s="307"/>
      <c r="C430" s="307"/>
    </row>
    <row r="431">
      <c r="A431" s="307"/>
      <c r="B431" s="307"/>
      <c r="C431" s="307"/>
    </row>
    <row r="432">
      <c r="A432" s="307"/>
      <c r="B432" s="307"/>
      <c r="C432" s="307"/>
    </row>
    <row r="433">
      <c r="A433" s="307"/>
      <c r="B433" s="307"/>
      <c r="C433" s="307"/>
    </row>
    <row r="434">
      <c r="A434" s="307"/>
      <c r="B434" s="307"/>
      <c r="C434" s="307"/>
    </row>
    <row r="435">
      <c r="A435" s="307"/>
      <c r="B435" s="307"/>
      <c r="C435" s="307"/>
    </row>
    <row r="436">
      <c r="A436" s="307"/>
      <c r="B436" s="307"/>
      <c r="C436" s="307"/>
    </row>
    <row r="437">
      <c r="A437" s="307"/>
      <c r="B437" s="307"/>
      <c r="C437" s="307"/>
    </row>
    <row r="438">
      <c r="A438" s="307"/>
      <c r="B438" s="307"/>
      <c r="C438" s="307"/>
    </row>
    <row r="439">
      <c r="A439" s="307"/>
      <c r="B439" s="307"/>
      <c r="C439" s="307"/>
    </row>
    <row r="440">
      <c r="A440" s="307"/>
      <c r="B440" s="307"/>
      <c r="C440" s="307"/>
    </row>
    <row r="441">
      <c r="A441" s="307"/>
      <c r="B441" s="307"/>
      <c r="C441" s="307"/>
    </row>
    <row r="442">
      <c r="A442" s="307"/>
      <c r="B442" s="307"/>
      <c r="C442" s="307"/>
    </row>
    <row r="443">
      <c r="A443" s="307"/>
      <c r="B443" s="307"/>
      <c r="C443" s="307"/>
    </row>
    <row r="444">
      <c r="A444" s="307"/>
      <c r="B444" s="307"/>
      <c r="C444" s="307"/>
    </row>
    <row r="445">
      <c r="A445" s="307"/>
      <c r="B445" s="307"/>
      <c r="C445" s="307"/>
    </row>
    <row r="446">
      <c r="A446" s="307"/>
      <c r="B446" s="307"/>
      <c r="C446" s="307"/>
    </row>
    <row r="447">
      <c r="A447" s="307"/>
      <c r="B447" s="307"/>
      <c r="C447" s="307"/>
    </row>
    <row r="448">
      <c r="A448" s="307"/>
      <c r="B448" s="307"/>
      <c r="C448" s="307"/>
    </row>
    <row r="449">
      <c r="A449" s="307"/>
      <c r="B449" s="307"/>
      <c r="C449" s="307"/>
    </row>
    <row r="450">
      <c r="A450" s="307"/>
      <c r="B450" s="307"/>
      <c r="C450" s="307"/>
    </row>
    <row r="451">
      <c r="A451" s="307"/>
      <c r="B451" s="307"/>
      <c r="C451" s="307"/>
    </row>
    <row r="452">
      <c r="A452" s="307"/>
      <c r="B452" s="307"/>
      <c r="C452" s="307"/>
    </row>
    <row r="453">
      <c r="A453" s="307"/>
      <c r="B453" s="307"/>
      <c r="C453" s="307"/>
    </row>
    <row r="454">
      <c r="A454" s="307"/>
      <c r="B454" s="307"/>
      <c r="C454" s="307"/>
    </row>
    <row r="455">
      <c r="A455" s="307"/>
      <c r="B455" s="307"/>
      <c r="C455" s="307"/>
    </row>
    <row r="456">
      <c r="A456" s="307"/>
      <c r="B456" s="307"/>
      <c r="C456" s="307"/>
    </row>
    <row r="457">
      <c r="A457" s="307"/>
      <c r="B457" s="307"/>
      <c r="C457" s="307"/>
    </row>
    <row r="458">
      <c r="A458" s="307"/>
      <c r="B458" s="307"/>
      <c r="C458" s="307"/>
    </row>
    <row r="459">
      <c r="A459" s="307"/>
      <c r="B459" s="307"/>
      <c r="C459" s="307"/>
    </row>
    <row r="460">
      <c r="A460" s="307"/>
      <c r="B460" s="307"/>
      <c r="C460" s="307"/>
    </row>
    <row r="461">
      <c r="A461" s="307"/>
      <c r="B461" s="307"/>
      <c r="C461" s="307"/>
    </row>
    <row r="462">
      <c r="A462" s="307"/>
      <c r="B462" s="307"/>
      <c r="C462" s="307"/>
    </row>
    <row r="463">
      <c r="A463" s="307"/>
      <c r="B463" s="307"/>
      <c r="C463" s="307"/>
    </row>
    <row r="464">
      <c r="A464" s="307"/>
      <c r="B464" s="307"/>
      <c r="C464" s="307"/>
    </row>
    <row r="465">
      <c r="A465" s="307"/>
      <c r="B465" s="307"/>
      <c r="C465" s="307"/>
    </row>
    <row r="466">
      <c r="A466" s="307"/>
      <c r="B466" s="307"/>
      <c r="C466" s="307"/>
    </row>
    <row r="467">
      <c r="A467" s="307"/>
      <c r="B467" s="307"/>
      <c r="C467" s="307"/>
    </row>
    <row r="468">
      <c r="A468" s="307"/>
      <c r="B468" s="307"/>
      <c r="C468" s="307"/>
    </row>
    <row r="469">
      <c r="A469" s="307"/>
      <c r="B469" s="307"/>
      <c r="C469" s="307"/>
    </row>
    <row r="470">
      <c r="A470" s="307"/>
      <c r="B470" s="307"/>
      <c r="C470" s="307"/>
    </row>
    <row r="471">
      <c r="A471" s="307"/>
      <c r="B471" s="307"/>
      <c r="C471" s="307"/>
    </row>
    <row r="472">
      <c r="A472" s="307"/>
      <c r="B472" s="307"/>
      <c r="C472" s="307"/>
    </row>
    <row r="473">
      <c r="A473" s="307"/>
      <c r="B473" s="307"/>
      <c r="C473" s="307"/>
    </row>
    <row r="474">
      <c r="A474" s="307"/>
      <c r="B474" s="307"/>
      <c r="C474" s="307"/>
    </row>
    <row r="475">
      <c r="A475" s="307"/>
      <c r="B475" s="307"/>
      <c r="C475" s="307"/>
    </row>
    <row r="476">
      <c r="A476" s="307"/>
      <c r="B476" s="307"/>
      <c r="C476" s="307"/>
    </row>
    <row r="477">
      <c r="A477" s="307"/>
      <c r="B477" s="307"/>
      <c r="C477" s="307"/>
    </row>
    <row r="478">
      <c r="A478" s="307"/>
      <c r="B478" s="307"/>
      <c r="C478" s="307"/>
    </row>
    <row r="479">
      <c r="A479" s="307"/>
      <c r="B479" s="307"/>
      <c r="C479" s="307"/>
    </row>
    <row r="480">
      <c r="A480" s="307"/>
      <c r="B480" s="307"/>
      <c r="C480" s="307"/>
    </row>
    <row r="481">
      <c r="A481" s="307"/>
      <c r="B481" s="307"/>
      <c r="C481" s="307"/>
    </row>
    <row r="482">
      <c r="A482" s="307"/>
      <c r="B482" s="307"/>
      <c r="C482" s="307"/>
    </row>
    <row r="483">
      <c r="A483" s="307"/>
      <c r="B483" s="307"/>
      <c r="C483" s="307"/>
    </row>
    <row r="484">
      <c r="A484" s="307"/>
      <c r="B484" s="307"/>
      <c r="C484" s="307"/>
    </row>
    <row r="485">
      <c r="A485" s="307"/>
      <c r="B485" s="307"/>
      <c r="C485" s="307"/>
    </row>
    <row r="486">
      <c r="A486" s="307"/>
      <c r="B486" s="307"/>
      <c r="C486" s="307"/>
    </row>
    <row r="487">
      <c r="A487" s="307"/>
      <c r="B487" s="307"/>
      <c r="C487" s="307"/>
    </row>
    <row r="488">
      <c r="A488" s="307"/>
      <c r="B488" s="307"/>
      <c r="C488" s="307"/>
    </row>
    <row r="489">
      <c r="A489" s="307"/>
      <c r="B489" s="307"/>
      <c r="C489" s="307"/>
    </row>
    <row r="490">
      <c r="A490" s="307"/>
      <c r="B490" s="307"/>
      <c r="C490" s="307"/>
    </row>
    <row r="491">
      <c r="A491" s="307"/>
      <c r="B491" s="307"/>
      <c r="C491" s="307"/>
    </row>
    <row r="492">
      <c r="A492" s="307"/>
      <c r="B492" s="307"/>
      <c r="C492" s="307"/>
    </row>
    <row r="493">
      <c r="A493" s="307"/>
      <c r="B493" s="307"/>
      <c r="C493" s="307"/>
    </row>
    <row r="494">
      <c r="A494" s="307"/>
      <c r="B494" s="307"/>
      <c r="C494" s="307"/>
    </row>
    <row r="495">
      <c r="A495" s="307"/>
      <c r="B495" s="307"/>
      <c r="C495" s="307"/>
    </row>
    <row r="496">
      <c r="A496" s="307"/>
      <c r="B496" s="307"/>
      <c r="C496" s="307"/>
    </row>
    <row r="497">
      <c r="A497" s="307"/>
      <c r="B497" s="307"/>
      <c r="C497" s="307"/>
    </row>
    <row r="498">
      <c r="A498" s="307"/>
      <c r="B498" s="307"/>
      <c r="C498" s="307"/>
    </row>
    <row r="499">
      <c r="A499" s="307"/>
      <c r="B499" s="307"/>
      <c r="C499" s="307"/>
    </row>
    <row r="500">
      <c r="A500" s="307"/>
      <c r="B500" s="307"/>
      <c r="C500" s="307"/>
    </row>
    <row r="501">
      <c r="A501" s="307"/>
      <c r="B501" s="307"/>
      <c r="C501" s="307"/>
    </row>
    <row r="502">
      <c r="A502" s="307"/>
      <c r="B502" s="307"/>
      <c r="C502" s="307"/>
    </row>
    <row r="503">
      <c r="A503" s="307"/>
      <c r="B503" s="307"/>
      <c r="C503" s="307"/>
    </row>
    <row r="504">
      <c r="A504" s="307"/>
      <c r="B504" s="307"/>
      <c r="C504" s="307"/>
    </row>
    <row r="505">
      <c r="A505" s="307"/>
      <c r="B505" s="307"/>
      <c r="C505" s="307"/>
    </row>
    <row r="506">
      <c r="A506" s="307"/>
      <c r="B506" s="307"/>
      <c r="C506" s="307"/>
    </row>
    <row r="507">
      <c r="A507" s="307"/>
      <c r="B507" s="307"/>
      <c r="C507" s="307"/>
    </row>
    <row r="508">
      <c r="A508" s="307"/>
      <c r="B508" s="307"/>
      <c r="C508" s="307"/>
    </row>
    <row r="509">
      <c r="A509" s="307"/>
      <c r="B509" s="307"/>
      <c r="C509" s="307"/>
    </row>
    <row r="510">
      <c r="A510" s="307"/>
      <c r="B510" s="307"/>
      <c r="C510" s="307"/>
    </row>
    <row r="511">
      <c r="A511" s="307"/>
      <c r="B511" s="307"/>
      <c r="C511" s="307"/>
    </row>
    <row r="512">
      <c r="A512" s="307"/>
      <c r="B512" s="307"/>
      <c r="C512" s="307"/>
    </row>
    <row r="513">
      <c r="A513" s="307"/>
      <c r="B513" s="307"/>
      <c r="C513" s="307"/>
    </row>
    <row r="514">
      <c r="A514" s="307"/>
      <c r="B514" s="307"/>
      <c r="C514" s="307"/>
    </row>
    <row r="515">
      <c r="A515" s="307"/>
      <c r="B515" s="307"/>
      <c r="C515" s="307"/>
    </row>
    <row r="516">
      <c r="A516" s="307"/>
      <c r="B516" s="307"/>
      <c r="C516" s="307"/>
    </row>
    <row r="517">
      <c r="A517" s="307"/>
      <c r="B517" s="307"/>
      <c r="C517" s="307"/>
    </row>
    <row r="518">
      <c r="A518" s="307"/>
      <c r="B518" s="307"/>
      <c r="C518" s="307"/>
    </row>
    <row r="519">
      <c r="A519" s="307"/>
      <c r="B519" s="307"/>
      <c r="C519" s="307"/>
    </row>
    <row r="520">
      <c r="A520" s="307"/>
      <c r="B520" s="307"/>
      <c r="C520" s="307"/>
    </row>
    <row r="521">
      <c r="A521" s="307"/>
      <c r="B521" s="307"/>
      <c r="C521" s="307"/>
    </row>
    <row r="522">
      <c r="A522" s="307"/>
      <c r="B522" s="307"/>
      <c r="C522" s="307"/>
    </row>
    <row r="523">
      <c r="A523" s="307"/>
      <c r="B523" s="307"/>
      <c r="C523" s="307"/>
    </row>
    <row r="524">
      <c r="A524" s="307"/>
      <c r="B524" s="307"/>
      <c r="C524" s="307"/>
    </row>
    <row r="525">
      <c r="A525" s="307"/>
      <c r="B525" s="307"/>
      <c r="C525" s="307"/>
    </row>
    <row r="526">
      <c r="A526" s="307"/>
      <c r="B526" s="307"/>
      <c r="C526" s="307"/>
    </row>
    <row r="527">
      <c r="A527" s="307"/>
      <c r="B527" s="307"/>
      <c r="C527" s="307"/>
    </row>
    <row r="528">
      <c r="A528" s="307"/>
      <c r="B528" s="307"/>
      <c r="C528" s="307"/>
    </row>
    <row r="529">
      <c r="A529" s="307"/>
      <c r="B529" s="307"/>
      <c r="C529" s="307"/>
    </row>
    <row r="530">
      <c r="A530" s="307"/>
      <c r="B530" s="307"/>
      <c r="C530" s="307"/>
    </row>
    <row r="531">
      <c r="A531" s="307"/>
      <c r="B531" s="307"/>
      <c r="C531" s="307"/>
    </row>
    <row r="532">
      <c r="A532" s="307"/>
      <c r="B532" s="307"/>
      <c r="C532" s="307"/>
    </row>
    <row r="533">
      <c r="A533" s="307"/>
      <c r="B533" s="307"/>
      <c r="C533" s="307"/>
    </row>
    <row r="534">
      <c r="A534" s="307"/>
      <c r="B534" s="307"/>
      <c r="C534" s="307"/>
    </row>
    <row r="535">
      <c r="A535" s="307"/>
      <c r="B535" s="307"/>
      <c r="C535" s="307"/>
    </row>
    <row r="536">
      <c r="A536" s="307"/>
      <c r="B536" s="307"/>
      <c r="C536" s="307"/>
    </row>
    <row r="537">
      <c r="A537" s="307"/>
      <c r="B537" s="307"/>
      <c r="C537" s="307"/>
    </row>
    <row r="538">
      <c r="A538" s="307"/>
      <c r="B538" s="307"/>
      <c r="C538" s="307"/>
    </row>
    <row r="539">
      <c r="A539" s="307"/>
      <c r="B539" s="307"/>
      <c r="C539" s="307"/>
    </row>
    <row r="540">
      <c r="A540" s="307"/>
      <c r="B540" s="307"/>
      <c r="C540" s="307"/>
    </row>
    <row r="541">
      <c r="A541" s="307"/>
      <c r="B541" s="307"/>
      <c r="C541" s="307"/>
    </row>
    <row r="542">
      <c r="A542" s="307"/>
      <c r="B542" s="307"/>
      <c r="C542" s="307"/>
    </row>
    <row r="543">
      <c r="A543" s="307"/>
      <c r="B543" s="307"/>
      <c r="C543" s="307"/>
    </row>
    <row r="544">
      <c r="A544" s="307"/>
      <c r="B544" s="307"/>
      <c r="C544" s="307"/>
    </row>
    <row r="545">
      <c r="A545" s="307"/>
      <c r="B545" s="307"/>
      <c r="C545" s="307"/>
    </row>
    <row r="546">
      <c r="A546" s="307"/>
      <c r="B546" s="307"/>
      <c r="C546" s="307"/>
    </row>
    <row r="547">
      <c r="A547" s="307"/>
      <c r="B547" s="307"/>
      <c r="C547" s="307"/>
    </row>
    <row r="548">
      <c r="A548" s="307"/>
      <c r="B548" s="307"/>
      <c r="C548" s="307"/>
    </row>
    <row r="549">
      <c r="A549" s="307"/>
      <c r="B549" s="307"/>
      <c r="C549" s="307"/>
    </row>
    <row r="550">
      <c r="A550" s="307"/>
      <c r="B550" s="307"/>
      <c r="C550" s="307"/>
    </row>
    <row r="551">
      <c r="A551" s="307"/>
      <c r="B551" s="307"/>
      <c r="C551" s="307"/>
    </row>
    <row r="552">
      <c r="A552" s="307"/>
      <c r="B552" s="307"/>
      <c r="C552" s="307"/>
    </row>
    <row r="553">
      <c r="A553" s="307"/>
      <c r="B553" s="307"/>
      <c r="C553" s="307"/>
    </row>
    <row r="554">
      <c r="A554" s="307"/>
      <c r="B554" s="307"/>
      <c r="C554" s="307"/>
    </row>
    <row r="555">
      <c r="A555" s="307"/>
      <c r="B555" s="307"/>
      <c r="C555" s="307"/>
    </row>
    <row r="556">
      <c r="A556" s="307"/>
      <c r="B556" s="307"/>
      <c r="C556" s="307"/>
    </row>
    <row r="557">
      <c r="A557" s="307"/>
      <c r="B557" s="307"/>
      <c r="C557" s="307"/>
    </row>
    <row r="558">
      <c r="A558" s="307"/>
      <c r="B558" s="307"/>
      <c r="C558" s="307"/>
    </row>
    <row r="559">
      <c r="A559" s="307"/>
      <c r="B559" s="307"/>
      <c r="C559" s="307"/>
    </row>
    <row r="560">
      <c r="A560" s="307"/>
      <c r="B560" s="307"/>
      <c r="C560" s="307"/>
    </row>
    <row r="561">
      <c r="A561" s="307"/>
      <c r="B561" s="307"/>
      <c r="C561" s="307"/>
    </row>
    <row r="562">
      <c r="A562" s="307"/>
      <c r="B562" s="307"/>
      <c r="C562" s="307"/>
    </row>
    <row r="563">
      <c r="A563" s="307"/>
      <c r="B563" s="307"/>
      <c r="C563" s="307"/>
    </row>
    <row r="564">
      <c r="A564" s="307"/>
      <c r="B564" s="307"/>
      <c r="C564" s="307"/>
    </row>
    <row r="565">
      <c r="A565" s="307"/>
      <c r="B565" s="307"/>
      <c r="C565" s="307"/>
    </row>
    <row r="566">
      <c r="A566" s="307"/>
      <c r="B566" s="307"/>
      <c r="C566" s="307"/>
    </row>
    <row r="567">
      <c r="A567" s="307"/>
      <c r="B567" s="307"/>
      <c r="C567" s="307"/>
    </row>
    <row r="568">
      <c r="A568" s="307"/>
      <c r="B568" s="307"/>
      <c r="C568" s="307"/>
    </row>
    <row r="569">
      <c r="A569" s="307"/>
      <c r="B569" s="307"/>
      <c r="C569" s="307"/>
    </row>
    <row r="570">
      <c r="A570" s="307"/>
      <c r="B570" s="307"/>
      <c r="C570" s="307"/>
    </row>
    <row r="571">
      <c r="A571" s="307"/>
      <c r="B571" s="307"/>
      <c r="C571" s="307"/>
    </row>
    <row r="572">
      <c r="A572" s="307"/>
      <c r="B572" s="307"/>
      <c r="C572" s="307"/>
    </row>
    <row r="573">
      <c r="A573" s="307"/>
      <c r="B573" s="307"/>
      <c r="C573" s="307"/>
    </row>
    <row r="574">
      <c r="A574" s="307"/>
      <c r="B574" s="307"/>
      <c r="C574" s="307"/>
    </row>
    <row r="575">
      <c r="A575" s="307"/>
      <c r="B575" s="307"/>
      <c r="C575" s="307"/>
    </row>
    <row r="576">
      <c r="A576" s="307"/>
      <c r="B576" s="307"/>
      <c r="C576" s="307"/>
    </row>
    <row r="577">
      <c r="A577" s="307"/>
      <c r="B577" s="307"/>
      <c r="C577" s="307"/>
    </row>
    <row r="578">
      <c r="A578" s="307"/>
      <c r="B578" s="307"/>
      <c r="C578" s="307"/>
    </row>
    <row r="579">
      <c r="A579" s="307"/>
      <c r="B579" s="307"/>
      <c r="C579" s="307"/>
    </row>
    <row r="580">
      <c r="A580" s="307"/>
      <c r="B580" s="307"/>
      <c r="C580" s="307"/>
    </row>
    <row r="581">
      <c r="A581" s="307"/>
      <c r="B581" s="307"/>
      <c r="C581" s="307"/>
    </row>
    <row r="582">
      <c r="A582" s="307"/>
      <c r="B582" s="307"/>
      <c r="C582" s="307"/>
    </row>
    <row r="583">
      <c r="A583" s="307"/>
      <c r="B583" s="307"/>
      <c r="C583" s="307"/>
    </row>
    <row r="584">
      <c r="A584" s="307"/>
      <c r="B584" s="307"/>
      <c r="C584" s="307"/>
    </row>
    <row r="585">
      <c r="A585" s="307"/>
      <c r="B585" s="307"/>
      <c r="C585" s="307"/>
    </row>
    <row r="586">
      <c r="A586" s="307"/>
      <c r="B586" s="307"/>
      <c r="C586" s="307"/>
    </row>
    <row r="587">
      <c r="A587" s="307"/>
      <c r="B587" s="307"/>
      <c r="C587" s="307"/>
    </row>
    <row r="588">
      <c r="A588" s="307"/>
      <c r="B588" s="307"/>
      <c r="C588" s="307"/>
    </row>
    <row r="589">
      <c r="A589" s="307"/>
      <c r="B589" s="307"/>
      <c r="C589" s="307"/>
    </row>
    <row r="590">
      <c r="A590" s="307"/>
      <c r="B590" s="307"/>
      <c r="C590" s="307"/>
    </row>
    <row r="591">
      <c r="A591" s="307"/>
      <c r="B591" s="307"/>
      <c r="C591" s="307"/>
    </row>
    <row r="592">
      <c r="A592" s="307"/>
      <c r="B592" s="307"/>
      <c r="C592" s="307"/>
    </row>
    <row r="593">
      <c r="A593" s="307"/>
      <c r="B593" s="307"/>
      <c r="C593" s="307"/>
    </row>
    <row r="594">
      <c r="A594" s="307"/>
      <c r="B594" s="307"/>
      <c r="C594" s="307"/>
    </row>
    <row r="595">
      <c r="A595" s="307"/>
      <c r="B595" s="307"/>
      <c r="C595" s="307"/>
    </row>
    <row r="596">
      <c r="A596" s="307"/>
      <c r="B596" s="307"/>
      <c r="C596" s="307"/>
    </row>
    <row r="597">
      <c r="A597" s="307"/>
      <c r="B597" s="307"/>
      <c r="C597" s="307"/>
    </row>
    <row r="598">
      <c r="A598" s="307"/>
      <c r="B598" s="307"/>
      <c r="C598" s="307"/>
    </row>
    <row r="599">
      <c r="A599" s="307"/>
      <c r="B599" s="307"/>
      <c r="C599" s="307"/>
    </row>
    <row r="600">
      <c r="A600" s="307"/>
      <c r="B600" s="307"/>
      <c r="C600" s="307"/>
    </row>
    <row r="601">
      <c r="A601" s="307"/>
      <c r="B601" s="307"/>
      <c r="C601" s="307"/>
    </row>
    <row r="602">
      <c r="A602" s="307"/>
      <c r="B602" s="307"/>
      <c r="C602" s="307"/>
    </row>
    <row r="603">
      <c r="A603" s="307"/>
      <c r="B603" s="307"/>
      <c r="C603" s="307"/>
    </row>
    <row r="604">
      <c r="A604" s="307"/>
      <c r="B604" s="307"/>
      <c r="C604" s="307"/>
    </row>
    <row r="605">
      <c r="A605" s="307"/>
      <c r="B605" s="307"/>
      <c r="C605" s="307"/>
    </row>
    <row r="606">
      <c r="A606" s="307"/>
      <c r="B606" s="307"/>
      <c r="C606" s="307"/>
    </row>
    <row r="607">
      <c r="A607" s="307"/>
      <c r="B607" s="307"/>
      <c r="C607" s="307"/>
    </row>
    <row r="608">
      <c r="A608" s="307"/>
      <c r="B608" s="307"/>
      <c r="C608" s="307"/>
    </row>
    <row r="609">
      <c r="A609" s="307"/>
      <c r="B609" s="307"/>
      <c r="C609" s="307"/>
    </row>
    <row r="610">
      <c r="A610" s="307"/>
      <c r="B610" s="307"/>
      <c r="C610" s="307"/>
    </row>
    <row r="611">
      <c r="A611" s="307"/>
      <c r="B611" s="307"/>
      <c r="C611" s="307"/>
    </row>
    <row r="612">
      <c r="A612" s="307"/>
      <c r="B612" s="307"/>
      <c r="C612" s="307"/>
    </row>
    <row r="613">
      <c r="A613" s="307"/>
      <c r="B613" s="307"/>
      <c r="C613" s="307"/>
    </row>
    <row r="614">
      <c r="A614" s="307"/>
      <c r="B614" s="307"/>
      <c r="C614" s="307"/>
    </row>
    <row r="615">
      <c r="A615" s="307"/>
      <c r="B615" s="307"/>
      <c r="C615" s="307"/>
    </row>
    <row r="616">
      <c r="A616" s="307"/>
      <c r="B616" s="307"/>
      <c r="C616" s="307"/>
    </row>
    <row r="617">
      <c r="A617" s="307"/>
      <c r="B617" s="307"/>
      <c r="C617" s="307"/>
    </row>
    <row r="618">
      <c r="A618" s="307"/>
      <c r="B618" s="307"/>
      <c r="C618" s="307"/>
    </row>
    <row r="619">
      <c r="A619" s="307"/>
      <c r="B619" s="307"/>
      <c r="C619" s="307"/>
    </row>
    <row r="620">
      <c r="A620" s="307"/>
      <c r="B620" s="307"/>
      <c r="C620" s="307"/>
    </row>
    <row r="621">
      <c r="A621" s="307"/>
      <c r="B621" s="307"/>
      <c r="C621" s="307"/>
    </row>
    <row r="622">
      <c r="A622" s="307"/>
      <c r="B622" s="307"/>
      <c r="C622" s="307"/>
    </row>
    <row r="623">
      <c r="A623" s="307"/>
      <c r="B623" s="307"/>
      <c r="C623" s="307"/>
    </row>
    <row r="624">
      <c r="A624" s="307"/>
      <c r="B624" s="307"/>
      <c r="C624" s="307"/>
    </row>
    <row r="625">
      <c r="A625" s="307"/>
      <c r="B625" s="307"/>
      <c r="C625" s="307"/>
    </row>
    <row r="626">
      <c r="A626" s="307"/>
      <c r="B626" s="307"/>
      <c r="C626" s="307"/>
    </row>
    <row r="627">
      <c r="A627" s="307"/>
      <c r="B627" s="307"/>
      <c r="C627" s="307"/>
    </row>
    <row r="628">
      <c r="A628" s="307"/>
      <c r="B628" s="307"/>
      <c r="C628" s="307"/>
    </row>
    <row r="629">
      <c r="A629" s="307"/>
      <c r="B629" s="307"/>
      <c r="C629" s="307"/>
    </row>
    <row r="630">
      <c r="A630" s="307"/>
      <c r="B630" s="307"/>
      <c r="C630" s="307"/>
    </row>
    <row r="631">
      <c r="A631" s="307"/>
      <c r="B631" s="307"/>
      <c r="C631" s="307"/>
    </row>
    <row r="632">
      <c r="A632" s="307"/>
      <c r="B632" s="307"/>
      <c r="C632" s="307"/>
    </row>
    <row r="633">
      <c r="A633" s="307"/>
      <c r="B633" s="307"/>
      <c r="C633" s="307"/>
    </row>
    <row r="634">
      <c r="A634" s="307"/>
      <c r="B634" s="307"/>
      <c r="C634" s="307"/>
    </row>
    <row r="635">
      <c r="A635" s="307"/>
      <c r="B635" s="307"/>
      <c r="C635" s="307"/>
    </row>
    <row r="636">
      <c r="A636" s="307"/>
      <c r="B636" s="307"/>
      <c r="C636" s="307"/>
    </row>
    <row r="637">
      <c r="A637" s="307"/>
      <c r="B637" s="307"/>
      <c r="C637" s="307"/>
    </row>
    <row r="638">
      <c r="A638" s="307"/>
      <c r="B638" s="307"/>
      <c r="C638" s="307"/>
    </row>
    <row r="639">
      <c r="A639" s="307"/>
      <c r="B639" s="307"/>
      <c r="C639" s="307"/>
    </row>
    <row r="640">
      <c r="A640" s="307"/>
      <c r="B640" s="307"/>
      <c r="C640" s="307"/>
    </row>
    <row r="641">
      <c r="A641" s="307"/>
      <c r="B641" s="307"/>
      <c r="C641" s="307"/>
    </row>
    <row r="642">
      <c r="A642" s="307"/>
      <c r="B642" s="307"/>
      <c r="C642" s="307"/>
    </row>
    <row r="643">
      <c r="A643" s="307"/>
      <c r="B643" s="307"/>
      <c r="C643" s="307"/>
    </row>
    <row r="644">
      <c r="A644" s="307"/>
      <c r="B644" s="307"/>
      <c r="C644" s="307"/>
    </row>
    <row r="645">
      <c r="A645" s="307"/>
      <c r="B645" s="307"/>
      <c r="C645" s="307"/>
    </row>
    <row r="646">
      <c r="A646" s="307"/>
      <c r="B646" s="307"/>
      <c r="C646" s="307"/>
    </row>
    <row r="647">
      <c r="A647" s="307"/>
      <c r="B647" s="307"/>
      <c r="C647" s="307"/>
    </row>
    <row r="648">
      <c r="A648" s="307"/>
      <c r="B648" s="307"/>
      <c r="C648" s="307"/>
    </row>
    <row r="649">
      <c r="A649" s="307"/>
      <c r="B649" s="307"/>
      <c r="C649" s="307"/>
    </row>
    <row r="650">
      <c r="A650" s="307"/>
      <c r="B650" s="307"/>
      <c r="C650" s="307"/>
    </row>
    <row r="651">
      <c r="A651" s="307"/>
      <c r="B651" s="307"/>
      <c r="C651" s="307"/>
    </row>
    <row r="652">
      <c r="A652" s="307"/>
      <c r="B652" s="307"/>
      <c r="C652" s="307"/>
    </row>
    <row r="653">
      <c r="A653" s="307"/>
      <c r="B653" s="307"/>
      <c r="C653" s="307"/>
    </row>
    <row r="654">
      <c r="A654" s="307"/>
      <c r="B654" s="307"/>
      <c r="C654" s="307"/>
    </row>
    <row r="655">
      <c r="A655" s="307"/>
      <c r="B655" s="307"/>
      <c r="C655" s="307"/>
    </row>
    <row r="656">
      <c r="A656" s="307"/>
      <c r="B656" s="307"/>
      <c r="C656" s="307"/>
    </row>
    <row r="657">
      <c r="A657" s="307"/>
      <c r="B657" s="307"/>
      <c r="C657" s="307"/>
    </row>
    <row r="658">
      <c r="A658" s="307"/>
      <c r="B658" s="307"/>
      <c r="C658" s="307"/>
    </row>
    <row r="659">
      <c r="A659" s="307"/>
      <c r="B659" s="307"/>
      <c r="C659" s="307"/>
    </row>
    <row r="660">
      <c r="A660" s="307"/>
      <c r="B660" s="307"/>
      <c r="C660" s="307"/>
    </row>
    <row r="661">
      <c r="A661" s="307"/>
      <c r="B661" s="307"/>
      <c r="C661" s="307"/>
    </row>
    <row r="662">
      <c r="A662" s="307"/>
      <c r="B662" s="307"/>
      <c r="C662" s="307"/>
    </row>
    <row r="663">
      <c r="A663" s="307"/>
      <c r="B663" s="307"/>
      <c r="C663" s="307"/>
    </row>
    <row r="664">
      <c r="A664" s="307"/>
      <c r="B664" s="307"/>
      <c r="C664" s="307"/>
    </row>
    <row r="665">
      <c r="A665" s="307"/>
      <c r="B665" s="307"/>
      <c r="C665" s="307"/>
    </row>
    <row r="666">
      <c r="A666" s="307"/>
      <c r="B666" s="307"/>
      <c r="C666" s="307"/>
    </row>
    <row r="667">
      <c r="A667" s="307"/>
      <c r="B667" s="307"/>
      <c r="C667" s="307"/>
    </row>
    <row r="668">
      <c r="A668" s="307"/>
      <c r="B668" s="307"/>
      <c r="C668" s="307"/>
    </row>
    <row r="669">
      <c r="A669" s="307"/>
      <c r="B669" s="307"/>
      <c r="C669" s="307"/>
    </row>
    <row r="670">
      <c r="A670" s="307"/>
      <c r="B670" s="307"/>
      <c r="C670" s="307"/>
    </row>
    <row r="671">
      <c r="A671" s="307"/>
      <c r="B671" s="307"/>
      <c r="C671" s="307"/>
    </row>
    <row r="672">
      <c r="A672" s="307"/>
      <c r="B672" s="307"/>
      <c r="C672" s="307"/>
    </row>
    <row r="673">
      <c r="A673" s="307"/>
      <c r="B673" s="307"/>
      <c r="C673" s="307"/>
    </row>
    <row r="674">
      <c r="A674" s="307"/>
      <c r="B674" s="307"/>
      <c r="C674" s="307"/>
    </row>
    <row r="675">
      <c r="A675" s="307"/>
      <c r="B675" s="307"/>
      <c r="C675" s="307"/>
    </row>
    <row r="676">
      <c r="A676" s="307"/>
      <c r="B676" s="307"/>
      <c r="C676" s="307"/>
    </row>
    <row r="677">
      <c r="A677" s="307"/>
      <c r="B677" s="307"/>
      <c r="C677" s="307"/>
    </row>
    <row r="678">
      <c r="A678" s="307"/>
      <c r="B678" s="307"/>
      <c r="C678" s="307"/>
    </row>
    <row r="679">
      <c r="A679" s="307"/>
      <c r="B679" s="307"/>
      <c r="C679" s="307"/>
    </row>
    <row r="680">
      <c r="A680" s="307"/>
      <c r="B680" s="307"/>
      <c r="C680" s="307"/>
    </row>
    <row r="681">
      <c r="A681" s="307"/>
      <c r="B681" s="307"/>
      <c r="C681" s="307"/>
    </row>
    <row r="682">
      <c r="A682" s="307"/>
      <c r="B682" s="307"/>
      <c r="C682" s="307"/>
    </row>
    <row r="683">
      <c r="A683" s="307"/>
      <c r="B683" s="307"/>
      <c r="C683" s="307"/>
    </row>
    <row r="684">
      <c r="A684" s="307"/>
      <c r="B684" s="307"/>
      <c r="C684" s="307"/>
    </row>
    <row r="685">
      <c r="A685" s="307"/>
      <c r="B685" s="307"/>
      <c r="C685" s="307"/>
    </row>
    <row r="686">
      <c r="A686" s="307"/>
      <c r="B686" s="307"/>
      <c r="C686" s="307"/>
    </row>
    <row r="687">
      <c r="A687" s="307"/>
      <c r="B687" s="307"/>
      <c r="C687" s="307"/>
    </row>
    <row r="688">
      <c r="A688" s="307"/>
      <c r="B688" s="307"/>
      <c r="C688" s="307"/>
    </row>
    <row r="689">
      <c r="A689" s="307"/>
      <c r="B689" s="307"/>
      <c r="C689" s="307"/>
    </row>
    <row r="690">
      <c r="A690" s="307"/>
      <c r="B690" s="307"/>
      <c r="C690" s="307"/>
    </row>
    <row r="691">
      <c r="A691" s="307"/>
      <c r="B691" s="307"/>
      <c r="C691" s="307"/>
    </row>
    <row r="692">
      <c r="A692" s="307"/>
      <c r="B692" s="307"/>
      <c r="C692" s="307"/>
    </row>
    <row r="693">
      <c r="A693" s="307"/>
      <c r="B693" s="307"/>
      <c r="C693" s="307"/>
    </row>
    <row r="694">
      <c r="A694" s="307"/>
      <c r="B694" s="307"/>
      <c r="C694" s="307"/>
    </row>
    <row r="695">
      <c r="A695" s="307"/>
      <c r="B695" s="307"/>
      <c r="C695" s="307"/>
    </row>
    <row r="696">
      <c r="A696" s="307"/>
      <c r="B696" s="307"/>
      <c r="C696" s="307"/>
    </row>
    <row r="697">
      <c r="A697" s="307"/>
      <c r="B697" s="307"/>
      <c r="C697" s="307"/>
    </row>
    <row r="698">
      <c r="A698" s="307"/>
      <c r="B698" s="307"/>
      <c r="C698" s="307"/>
    </row>
    <row r="699">
      <c r="A699" s="307"/>
      <c r="B699" s="307"/>
      <c r="C699" s="307"/>
    </row>
    <row r="700">
      <c r="A700" s="307"/>
      <c r="B700" s="307"/>
      <c r="C700" s="307"/>
    </row>
    <row r="701">
      <c r="A701" s="307"/>
      <c r="B701" s="307"/>
      <c r="C701" s="307"/>
    </row>
    <row r="702">
      <c r="A702" s="307"/>
      <c r="B702" s="307"/>
      <c r="C702" s="307"/>
    </row>
    <row r="703">
      <c r="A703" s="307"/>
      <c r="B703" s="307"/>
      <c r="C703" s="307"/>
    </row>
    <row r="704">
      <c r="A704" s="307"/>
      <c r="B704" s="307"/>
      <c r="C704" s="307"/>
    </row>
    <row r="705">
      <c r="A705" s="307"/>
      <c r="B705" s="307"/>
      <c r="C705" s="307"/>
    </row>
    <row r="706">
      <c r="A706" s="307"/>
      <c r="B706" s="307"/>
      <c r="C706" s="307"/>
    </row>
    <row r="707">
      <c r="A707" s="307"/>
      <c r="B707" s="307"/>
      <c r="C707" s="307"/>
    </row>
    <row r="708">
      <c r="A708" s="307"/>
      <c r="B708" s="307"/>
      <c r="C708" s="307"/>
    </row>
    <row r="709">
      <c r="A709" s="307"/>
      <c r="B709" s="307"/>
      <c r="C709" s="307"/>
    </row>
    <row r="710">
      <c r="A710" s="307"/>
      <c r="B710" s="307"/>
      <c r="C710" s="307"/>
    </row>
    <row r="711">
      <c r="A711" s="307"/>
      <c r="B711" s="307"/>
      <c r="C711" s="307"/>
    </row>
    <row r="712">
      <c r="A712" s="307"/>
      <c r="B712" s="307"/>
      <c r="C712" s="307"/>
    </row>
    <row r="713">
      <c r="A713" s="307"/>
      <c r="B713" s="307"/>
      <c r="C713" s="307"/>
    </row>
    <row r="714">
      <c r="A714" s="307"/>
      <c r="B714" s="307"/>
      <c r="C714" s="307"/>
    </row>
    <row r="715">
      <c r="A715" s="307"/>
      <c r="B715" s="307"/>
      <c r="C715" s="307"/>
    </row>
    <row r="716">
      <c r="A716" s="307"/>
      <c r="B716" s="307"/>
      <c r="C716" s="307"/>
    </row>
    <row r="717">
      <c r="A717" s="307"/>
      <c r="B717" s="307"/>
      <c r="C717" s="307"/>
    </row>
    <row r="718">
      <c r="A718" s="307"/>
      <c r="B718" s="307"/>
      <c r="C718" s="307"/>
    </row>
    <row r="719">
      <c r="A719" s="307"/>
      <c r="B719" s="307"/>
      <c r="C719" s="307"/>
    </row>
    <row r="720">
      <c r="A720" s="307"/>
      <c r="B720" s="307"/>
      <c r="C720" s="307"/>
    </row>
    <row r="721">
      <c r="A721" s="307"/>
      <c r="B721" s="307"/>
      <c r="C721" s="307"/>
    </row>
    <row r="722">
      <c r="A722" s="307"/>
      <c r="B722" s="307"/>
      <c r="C722" s="307"/>
    </row>
    <row r="723">
      <c r="A723" s="307"/>
      <c r="B723" s="307"/>
      <c r="C723" s="307"/>
    </row>
    <row r="724">
      <c r="A724" s="307"/>
      <c r="B724" s="307"/>
      <c r="C724" s="307"/>
    </row>
    <row r="725">
      <c r="A725" s="307"/>
      <c r="B725" s="307"/>
      <c r="C725" s="307"/>
    </row>
    <row r="726">
      <c r="A726" s="307"/>
      <c r="B726" s="307"/>
      <c r="C726" s="307"/>
    </row>
    <row r="727">
      <c r="A727" s="307"/>
      <c r="B727" s="307"/>
      <c r="C727" s="307"/>
    </row>
    <row r="728">
      <c r="A728" s="307"/>
      <c r="B728" s="307"/>
      <c r="C728" s="307"/>
    </row>
    <row r="729">
      <c r="A729" s="307"/>
      <c r="B729" s="307"/>
      <c r="C729" s="307"/>
    </row>
    <row r="730">
      <c r="A730" s="307"/>
      <c r="B730" s="307"/>
      <c r="C730" s="307"/>
    </row>
    <row r="731">
      <c r="A731" s="307"/>
      <c r="B731" s="307"/>
      <c r="C731" s="307"/>
    </row>
    <row r="732">
      <c r="A732" s="307"/>
      <c r="B732" s="307"/>
      <c r="C732" s="307"/>
    </row>
    <row r="733">
      <c r="A733" s="307"/>
      <c r="B733" s="307"/>
      <c r="C733" s="307"/>
    </row>
    <row r="734">
      <c r="A734" s="307"/>
      <c r="B734" s="307"/>
      <c r="C734" s="307"/>
    </row>
    <row r="735">
      <c r="A735" s="307"/>
      <c r="B735" s="307"/>
      <c r="C735" s="307"/>
    </row>
    <row r="736">
      <c r="A736" s="307"/>
      <c r="B736" s="307"/>
      <c r="C736" s="307"/>
    </row>
    <row r="737">
      <c r="A737" s="307"/>
      <c r="B737" s="307"/>
      <c r="C737" s="307"/>
    </row>
    <row r="738">
      <c r="A738" s="307"/>
      <c r="B738" s="307"/>
      <c r="C738" s="307"/>
    </row>
    <row r="739">
      <c r="A739" s="307"/>
      <c r="B739" s="307"/>
      <c r="C739" s="307"/>
    </row>
    <row r="740">
      <c r="A740" s="307"/>
      <c r="B740" s="307"/>
      <c r="C740" s="307"/>
    </row>
    <row r="741">
      <c r="A741" s="307"/>
      <c r="B741" s="307"/>
      <c r="C741" s="307"/>
    </row>
    <row r="742">
      <c r="A742" s="307"/>
      <c r="B742" s="307"/>
      <c r="C742" s="307"/>
    </row>
    <row r="743">
      <c r="A743" s="307"/>
      <c r="B743" s="307"/>
      <c r="C743" s="307"/>
    </row>
    <row r="744">
      <c r="A744" s="307"/>
      <c r="B744" s="307"/>
      <c r="C744" s="307"/>
    </row>
    <row r="745">
      <c r="A745" s="307"/>
      <c r="B745" s="307"/>
      <c r="C745" s="307"/>
    </row>
    <row r="746">
      <c r="A746" s="307"/>
      <c r="B746" s="307"/>
      <c r="C746" s="307"/>
    </row>
    <row r="747">
      <c r="A747" s="307"/>
      <c r="B747" s="307"/>
      <c r="C747" s="307"/>
    </row>
    <row r="748">
      <c r="A748" s="307"/>
      <c r="B748" s="307"/>
      <c r="C748" s="307"/>
    </row>
    <row r="749">
      <c r="A749" s="307"/>
      <c r="B749" s="307"/>
      <c r="C749" s="307"/>
    </row>
    <row r="750">
      <c r="A750" s="307"/>
      <c r="B750" s="307"/>
      <c r="C750" s="307"/>
    </row>
    <row r="751">
      <c r="A751" s="307"/>
      <c r="B751" s="307"/>
      <c r="C751" s="307"/>
    </row>
    <row r="752">
      <c r="A752" s="307"/>
      <c r="B752" s="307"/>
      <c r="C752" s="307"/>
    </row>
    <row r="753">
      <c r="A753" s="307"/>
      <c r="B753" s="307"/>
      <c r="C753" s="307"/>
    </row>
    <row r="754">
      <c r="A754" s="307"/>
      <c r="B754" s="307"/>
      <c r="C754" s="307"/>
    </row>
    <row r="755">
      <c r="A755" s="307"/>
      <c r="B755" s="307"/>
      <c r="C755" s="307"/>
    </row>
    <row r="756">
      <c r="A756" s="307"/>
      <c r="B756" s="307"/>
      <c r="C756" s="307"/>
    </row>
    <row r="757">
      <c r="A757" s="307"/>
      <c r="B757" s="307"/>
      <c r="C757" s="307"/>
    </row>
    <row r="758">
      <c r="A758" s="307"/>
      <c r="B758" s="307"/>
      <c r="C758" s="307"/>
    </row>
    <row r="759">
      <c r="A759" s="307"/>
      <c r="B759" s="307"/>
      <c r="C759" s="307"/>
    </row>
    <row r="760">
      <c r="A760" s="307"/>
      <c r="B760" s="307"/>
      <c r="C760" s="307"/>
    </row>
    <row r="761">
      <c r="A761" s="307"/>
      <c r="B761" s="307"/>
      <c r="C761" s="307"/>
    </row>
    <row r="762">
      <c r="A762" s="307"/>
      <c r="B762" s="307"/>
      <c r="C762" s="307"/>
    </row>
    <row r="763">
      <c r="A763" s="307"/>
      <c r="B763" s="307"/>
      <c r="C763" s="307"/>
    </row>
    <row r="764">
      <c r="A764" s="307"/>
      <c r="B764" s="307"/>
      <c r="C764" s="307"/>
    </row>
    <row r="765">
      <c r="A765" s="307"/>
      <c r="B765" s="307"/>
      <c r="C765" s="307"/>
    </row>
    <row r="766">
      <c r="A766" s="307"/>
      <c r="B766" s="307"/>
      <c r="C766" s="307"/>
    </row>
    <row r="767">
      <c r="A767" s="307"/>
      <c r="B767" s="307"/>
      <c r="C767" s="307"/>
    </row>
    <row r="768">
      <c r="A768" s="307"/>
      <c r="B768" s="307"/>
      <c r="C768" s="307"/>
    </row>
    <row r="769">
      <c r="A769" s="307"/>
      <c r="B769" s="307"/>
      <c r="C769" s="307"/>
    </row>
    <row r="770">
      <c r="A770" s="307"/>
      <c r="B770" s="307"/>
      <c r="C770" s="307"/>
    </row>
    <row r="771">
      <c r="A771" s="307"/>
      <c r="B771" s="307"/>
      <c r="C771" s="307"/>
    </row>
    <row r="772">
      <c r="A772" s="307"/>
      <c r="B772" s="307"/>
      <c r="C772" s="307"/>
    </row>
    <row r="773">
      <c r="A773" s="307"/>
      <c r="B773" s="307"/>
      <c r="C773" s="307"/>
    </row>
    <row r="774">
      <c r="A774" s="307"/>
      <c r="B774" s="307"/>
      <c r="C774" s="307"/>
    </row>
    <row r="775">
      <c r="A775" s="307"/>
      <c r="B775" s="307"/>
      <c r="C775" s="307"/>
    </row>
    <row r="776">
      <c r="A776" s="307"/>
      <c r="B776" s="307"/>
      <c r="C776" s="307"/>
    </row>
    <row r="777">
      <c r="A777" s="307"/>
      <c r="B777" s="307"/>
      <c r="C777" s="307"/>
    </row>
    <row r="778">
      <c r="A778" s="307"/>
      <c r="B778" s="307"/>
      <c r="C778" s="307"/>
    </row>
    <row r="779">
      <c r="A779" s="307"/>
      <c r="B779" s="307"/>
      <c r="C779" s="307"/>
    </row>
    <row r="780">
      <c r="A780" s="307"/>
      <c r="B780" s="307"/>
      <c r="C780" s="307"/>
    </row>
    <row r="781">
      <c r="A781" s="307"/>
      <c r="B781" s="307"/>
      <c r="C781" s="307"/>
    </row>
    <row r="782">
      <c r="A782" s="307"/>
      <c r="B782" s="307"/>
      <c r="C782" s="307"/>
    </row>
    <row r="783">
      <c r="A783" s="307"/>
      <c r="B783" s="307"/>
      <c r="C783" s="307"/>
    </row>
    <row r="784">
      <c r="A784" s="307"/>
      <c r="B784" s="307"/>
      <c r="C784" s="307"/>
    </row>
    <row r="785">
      <c r="A785" s="307"/>
      <c r="B785" s="307"/>
      <c r="C785" s="307"/>
    </row>
    <row r="786">
      <c r="A786" s="307"/>
      <c r="B786" s="307"/>
      <c r="C786" s="307"/>
    </row>
    <row r="787">
      <c r="A787" s="307"/>
      <c r="B787" s="307"/>
      <c r="C787" s="307"/>
    </row>
    <row r="788">
      <c r="A788" s="307"/>
      <c r="B788" s="307"/>
      <c r="C788" s="307"/>
    </row>
    <row r="789">
      <c r="A789" s="307"/>
      <c r="B789" s="307"/>
      <c r="C789" s="307"/>
    </row>
    <row r="790">
      <c r="A790" s="307"/>
      <c r="B790" s="307"/>
      <c r="C790" s="307"/>
    </row>
    <row r="791">
      <c r="A791" s="307"/>
      <c r="B791" s="307"/>
      <c r="C791" s="307"/>
    </row>
    <row r="792">
      <c r="A792" s="307"/>
      <c r="B792" s="307"/>
      <c r="C792" s="307"/>
    </row>
    <row r="793">
      <c r="A793" s="307"/>
      <c r="B793" s="307"/>
      <c r="C793" s="307"/>
    </row>
    <row r="794">
      <c r="A794" s="307"/>
      <c r="B794" s="307"/>
      <c r="C794" s="307"/>
    </row>
    <row r="795">
      <c r="A795" s="307"/>
      <c r="B795" s="307"/>
      <c r="C795" s="307"/>
    </row>
    <row r="796">
      <c r="A796" s="307"/>
      <c r="B796" s="307"/>
      <c r="C796" s="307"/>
    </row>
    <row r="797">
      <c r="A797" s="307"/>
      <c r="B797" s="307"/>
      <c r="C797" s="307"/>
    </row>
    <row r="798">
      <c r="A798" s="307"/>
      <c r="B798" s="307"/>
      <c r="C798" s="307"/>
    </row>
    <row r="799">
      <c r="A799" s="307"/>
      <c r="B799" s="307"/>
      <c r="C799" s="307"/>
    </row>
    <row r="800">
      <c r="A800" s="307"/>
      <c r="B800" s="307"/>
      <c r="C800" s="307"/>
    </row>
    <row r="801">
      <c r="A801" s="307"/>
      <c r="B801" s="307"/>
      <c r="C801" s="307"/>
    </row>
    <row r="802">
      <c r="A802" s="307"/>
      <c r="B802" s="307"/>
      <c r="C802" s="307"/>
    </row>
    <row r="803">
      <c r="A803" s="307"/>
      <c r="B803" s="307"/>
      <c r="C803" s="307"/>
    </row>
    <row r="804">
      <c r="A804" s="307"/>
      <c r="B804" s="307"/>
      <c r="C804" s="307"/>
    </row>
    <row r="805">
      <c r="A805" s="307"/>
      <c r="B805" s="307"/>
      <c r="C805" s="307"/>
    </row>
    <row r="806">
      <c r="A806" s="307"/>
      <c r="B806" s="307"/>
      <c r="C806" s="307"/>
    </row>
    <row r="807">
      <c r="A807" s="307"/>
      <c r="B807" s="307"/>
      <c r="C807" s="307"/>
    </row>
    <row r="808">
      <c r="A808" s="307"/>
      <c r="B808" s="307"/>
      <c r="C808" s="307"/>
    </row>
    <row r="809">
      <c r="A809" s="307"/>
      <c r="B809" s="307"/>
      <c r="C809" s="307"/>
    </row>
    <row r="810">
      <c r="A810" s="307"/>
      <c r="B810" s="307"/>
      <c r="C810" s="307"/>
    </row>
    <row r="811">
      <c r="A811" s="307"/>
      <c r="B811" s="307"/>
      <c r="C811" s="307"/>
    </row>
    <row r="812">
      <c r="A812" s="307"/>
      <c r="B812" s="307"/>
      <c r="C812" s="307"/>
    </row>
    <row r="813">
      <c r="A813" s="307"/>
      <c r="B813" s="307"/>
      <c r="C813" s="307"/>
    </row>
    <row r="814">
      <c r="A814" s="307"/>
      <c r="B814" s="307"/>
      <c r="C814" s="307"/>
    </row>
    <row r="815">
      <c r="A815" s="307"/>
      <c r="B815" s="307"/>
      <c r="C815" s="307"/>
    </row>
    <row r="816">
      <c r="A816" s="307"/>
      <c r="B816" s="307"/>
      <c r="C816" s="307"/>
    </row>
    <row r="817">
      <c r="A817" s="307"/>
      <c r="B817" s="307"/>
      <c r="C817" s="307"/>
    </row>
    <row r="818">
      <c r="A818" s="307"/>
      <c r="B818" s="307"/>
      <c r="C818" s="307"/>
    </row>
    <row r="819">
      <c r="A819" s="307"/>
      <c r="B819" s="307"/>
      <c r="C819" s="307"/>
    </row>
    <row r="820">
      <c r="A820" s="307"/>
      <c r="B820" s="307"/>
      <c r="C820" s="307"/>
    </row>
    <row r="821">
      <c r="A821" s="307"/>
      <c r="B821" s="307"/>
      <c r="C821" s="307"/>
    </row>
    <row r="822">
      <c r="A822" s="307"/>
      <c r="B822" s="307"/>
      <c r="C822" s="307"/>
    </row>
    <row r="823">
      <c r="A823" s="307"/>
      <c r="B823" s="307"/>
      <c r="C823" s="307"/>
    </row>
    <row r="824">
      <c r="A824" s="307"/>
      <c r="B824" s="307"/>
      <c r="C824" s="307"/>
    </row>
    <row r="825">
      <c r="A825" s="307"/>
      <c r="B825" s="307"/>
      <c r="C825" s="307"/>
    </row>
    <row r="826">
      <c r="A826" s="307"/>
      <c r="B826" s="307"/>
      <c r="C826" s="307"/>
    </row>
    <row r="827">
      <c r="A827" s="307"/>
      <c r="B827" s="307"/>
      <c r="C827" s="307"/>
    </row>
    <row r="828">
      <c r="A828" s="307"/>
      <c r="B828" s="307"/>
      <c r="C828" s="307"/>
    </row>
    <row r="829">
      <c r="A829" s="307"/>
      <c r="B829" s="307"/>
      <c r="C829" s="307"/>
    </row>
    <row r="830">
      <c r="A830" s="307"/>
      <c r="B830" s="307"/>
      <c r="C830" s="307"/>
    </row>
    <row r="831">
      <c r="A831" s="307"/>
      <c r="B831" s="307"/>
      <c r="C831" s="307"/>
    </row>
    <row r="832">
      <c r="A832" s="307"/>
      <c r="B832" s="307"/>
      <c r="C832" s="307"/>
    </row>
    <row r="833">
      <c r="A833" s="307"/>
      <c r="B833" s="307"/>
      <c r="C833" s="307"/>
    </row>
    <row r="834">
      <c r="A834" s="307"/>
      <c r="B834" s="307"/>
      <c r="C834" s="307"/>
    </row>
    <row r="835">
      <c r="A835" s="307"/>
      <c r="B835" s="307"/>
      <c r="C835" s="307"/>
    </row>
    <row r="836">
      <c r="A836" s="307"/>
      <c r="B836" s="307"/>
      <c r="C836" s="307"/>
    </row>
    <row r="837">
      <c r="A837" s="307"/>
      <c r="B837" s="307"/>
      <c r="C837" s="307"/>
    </row>
    <row r="838">
      <c r="A838" s="307"/>
      <c r="B838" s="307"/>
      <c r="C838" s="307"/>
    </row>
    <row r="839">
      <c r="A839" s="307"/>
      <c r="B839" s="307"/>
      <c r="C839" s="307"/>
    </row>
    <row r="840">
      <c r="A840" s="307"/>
      <c r="B840" s="307"/>
      <c r="C840" s="307"/>
    </row>
    <row r="841">
      <c r="A841" s="307"/>
      <c r="B841" s="307"/>
      <c r="C841" s="307"/>
    </row>
    <row r="842">
      <c r="A842" s="307"/>
      <c r="B842" s="307"/>
      <c r="C842" s="307"/>
    </row>
    <row r="843">
      <c r="A843" s="307"/>
      <c r="B843" s="307"/>
      <c r="C843" s="307"/>
    </row>
    <row r="844">
      <c r="A844" s="307"/>
      <c r="B844" s="307"/>
      <c r="C844" s="307"/>
    </row>
    <row r="845">
      <c r="A845" s="307"/>
      <c r="B845" s="307"/>
      <c r="C845" s="307"/>
    </row>
    <row r="846">
      <c r="A846" s="307"/>
      <c r="B846" s="307"/>
      <c r="C846" s="307"/>
    </row>
    <row r="847">
      <c r="A847" s="307"/>
      <c r="B847" s="307"/>
      <c r="C847" s="307"/>
    </row>
    <row r="848">
      <c r="A848" s="307"/>
      <c r="B848" s="307"/>
      <c r="C848" s="307"/>
    </row>
    <row r="849">
      <c r="A849" s="307"/>
      <c r="B849" s="307"/>
      <c r="C849" s="307"/>
    </row>
    <row r="850">
      <c r="A850" s="307"/>
      <c r="B850" s="307"/>
      <c r="C850" s="307"/>
    </row>
    <row r="851">
      <c r="A851" s="307"/>
      <c r="B851" s="307"/>
      <c r="C851" s="307"/>
    </row>
    <row r="852">
      <c r="A852" s="307"/>
      <c r="B852" s="307"/>
      <c r="C852" s="307"/>
    </row>
    <row r="853">
      <c r="A853" s="307"/>
      <c r="B853" s="307"/>
      <c r="C853" s="307"/>
    </row>
    <row r="854">
      <c r="A854" s="307"/>
      <c r="B854" s="307"/>
      <c r="C854" s="307"/>
    </row>
    <row r="855">
      <c r="A855" s="307"/>
      <c r="B855" s="307"/>
      <c r="C855" s="307"/>
    </row>
    <row r="856">
      <c r="A856" s="307"/>
      <c r="B856" s="307"/>
      <c r="C856" s="307"/>
    </row>
    <row r="857">
      <c r="A857" s="307"/>
      <c r="B857" s="307"/>
      <c r="C857" s="307"/>
    </row>
    <row r="858">
      <c r="A858" s="307"/>
      <c r="B858" s="307"/>
      <c r="C858" s="307"/>
    </row>
    <row r="859">
      <c r="A859" s="307"/>
      <c r="B859" s="307"/>
      <c r="C859" s="307"/>
    </row>
    <row r="860">
      <c r="A860" s="307"/>
      <c r="B860" s="307"/>
      <c r="C860" s="307"/>
    </row>
    <row r="861">
      <c r="A861" s="307"/>
      <c r="B861" s="307"/>
      <c r="C861" s="307"/>
    </row>
    <row r="862">
      <c r="A862" s="307"/>
      <c r="B862" s="307"/>
      <c r="C862" s="307"/>
    </row>
    <row r="863">
      <c r="A863" s="307"/>
      <c r="B863" s="307"/>
      <c r="C863" s="307"/>
    </row>
    <row r="864">
      <c r="A864" s="307"/>
      <c r="B864" s="307"/>
      <c r="C864" s="307"/>
    </row>
    <row r="865">
      <c r="A865" s="307"/>
      <c r="B865" s="307"/>
      <c r="C865" s="307"/>
    </row>
    <row r="866">
      <c r="A866" s="307"/>
      <c r="B866" s="307"/>
      <c r="C866" s="307"/>
    </row>
    <row r="867">
      <c r="A867" s="307"/>
      <c r="B867" s="307"/>
      <c r="C867" s="307"/>
    </row>
    <row r="868">
      <c r="A868" s="307"/>
      <c r="B868" s="307"/>
      <c r="C868" s="307"/>
    </row>
    <row r="869">
      <c r="A869" s="307"/>
      <c r="B869" s="307"/>
      <c r="C869" s="307"/>
    </row>
    <row r="870">
      <c r="A870" s="307"/>
      <c r="B870" s="307"/>
      <c r="C870" s="307"/>
    </row>
    <row r="871">
      <c r="A871" s="307"/>
      <c r="B871" s="307"/>
      <c r="C871" s="307"/>
    </row>
    <row r="872">
      <c r="A872" s="307"/>
      <c r="B872" s="307"/>
      <c r="C872" s="307"/>
    </row>
    <row r="873">
      <c r="A873" s="307"/>
      <c r="B873" s="307"/>
      <c r="C873" s="307"/>
    </row>
    <row r="874">
      <c r="A874" s="307"/>
      <c r="B874" s="307"/>
      <c r="C874" s="307"/>
    </row>
    <row r="875">
      <c r="A875" s="307"/>
      <c r="B875" s="307"/>
      <c r="C875" s="307"/>
    </row>
    <row r="876">
      <c r="A876" s="307"/>
      <c r="B876" s="307"/>
      <c r="C876" s="307"/>
    </row>
    <row r="877">
      <c r="A877" s="307"/>
      <c r="B877" s="307"/>
      <c r="C877" s="307"/>
    </row>
    <row r="878">
      <c r="A878" s="307"/>
      <c r="B878" s="307"/>
      <c r="C878" s="307"/>
    </row>
    <row r="879">
      <c r="A879" s="307"/>
      <c r="B879" s="307"/>
      <c r="C879" s="307"/>
    </row>
    <row r="880">
      <c r="A880" s="307"/>
      <c r="B880" s="307"/>
      <c r="C880" s="307"/>
    </row>
    <row r="881">
      <c r="A881" s="307"/>
      <c r="B881" s="307"/>
      <c r="C881" s="307"/>
    </row>
    <row r="882">
      <c r="A882" s="307"/>
      <c r="B882" s="307"/>
      <c r="C882" s="307"/>
    </row>
    <row r="883">
      <c r="A883" s="307"/>
      <c r="B883" s="307"/>
      <c r="C883" s="307"/>
    </row>
    <row r="884">
      <c r="A884" s="307"/>
      <c r="B884" s="307"/>
      <c r="C884" s="307"/>
    </row>
    <row r="885">
      <c r="A885" s="307"/>
      <c r="B885" s="307"/>
      <c r="C885" s="307"/>
    </row>
    <row r="886">
      <c r="A886" s="307"/>
      <c r="B886" s="307"/>
      <c r="C886" s="307"/>
    </row>
    <row r="887">
      <c r="A887" s="307"/>
      <c r="B887" s="307"/>
      <c r="C887" s="307"/>
    </row>
    <row r="888">
      <c r="A888" s="307"/>
      <c r="B888" s="307"/>
      <c r="C888" s="307"/>
    </row>
    <row r="889">
      <c r="A889" s="307"/>
      <c r="B889" s="307"/>
      <c r="C889" s="307"/>
    </row>
    <row r="890">
      <c r="A890" s="307"/>
      <c r="B890" s="307"/>
      <c r="C890" s="307"/>
    </row>
    <row r="891">
      <c r="A891" s="307"/>
      <c r="B891" s="307"/>
      <c r="C891" s="307"/>
    </row>
    <row r="892">
      <c r="A892" s="307"/>
      <c r="B892" s="307"/>
      <c r="C892" s="307"/>
    </row>
    <row r="893">
      <c r="A893" s="307"/>
      <c r="B893" s="307"/>
      <c r="C893" s="307"/>
    </row>
    <row r="894">
      <c r="A894" s="307"/>
      <c r="B894" s="307"/>
      <c r="C894" s="307"/>
    </row>
    <row r="895">
      <c r="A895" s="307"/>
      <c r="B895" s="307"/>
      <c r="C895" s="307"/>
    </row>
    <row r="896">
      <c r="A896" s="307"/>
      <c r="B896" s="307"/>
      <c r="C896" s="307"/>
    </row>
    <row r="897">
      <c r="A897" s="307"/>
      <c r="B897" s="307"/>
      <c r="C897" s="307"/>
    </row>
    <row r="898">
      <c r="A898" s="307"/>
      <c r="B898" s="307"/>
      <c r="C898" s="307"/>
    </row>
    <row r="899">
      <c r="A899" s="307"/>
      <c r="B899" s="307"/>
      <c r="C899" s="307"/>
    </row>
    <row r="900">
      <c r="A900" s="307"/>
      <c r="B900" s="307"/>
      <c r="C900" s="307"/>
    </row>
    <row r="901">
      <c r="A901" s="307"/>
      <c r="B901" s="307"/>
      <c r="C901" s="307"/>
    </row>
    <row r="902">
      <c r="A902" s="307"/>
      <c r="B902" s="307"/>
      <c r="C902" s="307"/>
    </row>
    <row r="903">
      <c r="A903" s="307"/>
      <c r="B903" s="307"/>
      <c r="C903" s="307"/>
    </row>
    <row r="904">
      <c r="A904" s="307"/>
      <c r="B904" s="307"/>
      <c r="C904" s="307"/>
    </row>
    <row r="905">
      <c r="A905" s="307"/>
      <c r="B905" s="307"/>
      <c r="C905" s="307"/>
    </row>
    <row r="906">
      <c r="A906" s="307"/>
      <c r="B906" s="307"/>
      <c r="C906" s="307"/>
    </row>
    <row r="907">
      <c r="A907" s="307"/>
      <c r="B907" s="307"/>
      <c r="C907" s="307"/>
    </row>
    <row r="908">
      <c r="A908" s="307"/>
      <c r="B908" s="307"/>
      <c r="C908" s="307"/>
    </row>
    <row r="909">
      <c r="A909" s="307"/>
      <c r="B909" s="307"/>
      <c r="C909" s="307"/>
    </row>
    <row r="910">
      <c r="A910" s="307"/>
      <c r="B910" s="307"/>
      <c r="C910" s="307"/>
    </row>
    <row r="911">
      <c r="A911" s="307"/>
      <c r="B911" s="307"/>
      <c r="C911" s="307"/>
    </row>
    <row r="912">
      <c r="A912" s="307"/>
      <c r="B912" s="307"/>
      <c r="C912" s="307"/>
    </row>
    <row r="913">
      <c r="A913" s="307"/>
      <c r="B913" s="307"/>
      <c r="C913" s="307"/>
    </row>
    <row r="914">
      <c r="A914" s="307"/>
      <c r="B914" s="307"/>
      <c r="C914" s="307"/>
    </row>
    <row r="915">
      <c r="A915" s="307"/>
      <c r="B915" s="307"/>
      <c r="C915" s="307"/>
    </row>
    <row r="916">
      <c r="A916" s="307"/>
      <c r="B916" s="307"/>
      <c r="C916" s="307"/>
    </row>
    <row r="917">
      <c r="A917" s="307"/>
      <c r="B917" s="307"/>
      <c r="C917" s="307"/>
    </row>
    <row r="918">
      <c r="A918" s="307"/>
      <c r="B918" s="307"/>
      <c r="C918" s="307"/>
    </row>
    <row r="919">
      <c r="A919" s="307"/>
      <c r="B919" s="307"/>
      <c r="C919" s="307"/>
    </row>
    <row r="920">
      <c r="A920" s="307"/>
      <c r="B920" s="307"/>
      <c r="C920" s="307"/>
    </row>
    <row r="921">
      <c r="A921" s="307"/>
      <c r="B921" s="307"/>
      <c r="C921" s="307"/>
    </row>
    <row r="922">
      <c r="A922" s="307"/>
      <c r="B922" s="307"/>
      <c r="C922" s="307"/>
    </row>
    <row r="923">
      <c r="A923" s="307"/>
      <c r="B923" s="307"/>
      <c r="C923" s="307"/>
    </row>
    <row r="924">
      <c r="A924" s="307"/>
      <c r="B924" s="307"/>
      <c r="C924" s="307"/>
    </row>
    <row r="925">
      <c r="A925" s="307"/>
      <c r="B925" s="307"/>
      <c r="C925" s="307"/>
    </row>
    <row r="926">
      <c r="A926" s="307"/>
      <c r="B926" s="307"/>
      <c r="C926" s="307"/>
    </row>
    <row r="927">
      <c r="A927" s="307"/>
      <c r="B927" s="307"/>
      <c r="C927" s="307"/>
    </row>
    <row r="928">
      <c r="A928" s="307"/>
      <c r="B928" s="307"/>
      <c r="C928" s="307"/>
    </row>
    <row r="929">
      <c r="A929" s="307"/>
      <c r="B929" s="307"/>
      <c r="C929" s="307"/>
    </row>
    <row r="930">
      <c r="A930" s="307"/>
      <c r="B930" s="307"/>
      <c r="C930" s="307"/>
    </row>
    <row r="931">
      <c r="A931" s="307"/>
      <c r="B931" s="307"/>
      <c r="C931" s="307"/>
    </row>
    <row r="932">
      <c r="A932" s="307"/>
      <c r="B932" s="307"/>
      <c r="C932" s="307"/>
    </row>
    <row r="933">
      <c r="A933" s="307"/>
      <c r="B933" s="307"/>
      <c r="C933" s="307"/>
    </row>
    <row r="934">
      <c r="A934" s="307"/>
      <c r="B934" s="307"/>
      <c r="C934" s="307"/>
    </row>
    <row r="935">
      <c r="A935" s="307"/>
      <c r="B935" s="307"/>
      <c r="C935" s="307"/>
    </row>
    <row r="936">
      <c r="A936" s="307"/>
      <c r="B936" s="307"/>
      <c r="C936" s="307"/>
    </row>
    <row r="937">
      <c r="A937" s="307"/>
      <c r="B937" s="307"/>
      <c r="C937" s="307"/>
    </row>
    <row r="938">
      <c r="A938" s="307"/>
      <c r="B938" s="307"/>
      <c r="C938" s="307"/>
    </row>
    <row r="939">
      <c r="A939" s="307"/>
      <c r="B939" s="307"/>
      <c r="C939" s="307"/>
    </row>
    <row r="940">
      <c r="A940" s="307"/>
      <c r="B940" s="307"/>
      <c r="C940" s="307"/>
    </row>
    <row r="941">
      <c r="A941" s="307"/>
      <c r="B941" s="307"/>
      <c r="C941" s="307"/>
    </row>
    <row r="942">
      <c r="A942" s="307"/>
      <c r="B942" s="307"/>
      <c r="C942" s="307"/>
    </row>
    <row r="943">
      <c r="A943" s="307"/>
      <c r="B943" s="307"/>
      <c r="C943" s="307"/>
    </row>
    <row r="944">
      <c r="A944" s="307"/>
      <c r="B944" s="307"/>
      <c r="C944" s="307"/>
    </row>
    <row r="945">
      <c r="A945" s="307"/>
      <c r="B945" s="307"/>
      <c r="C945" s="307"/>
    </row>
    <row r="946">
      <c r="A946" s="307"/>
      <c r="B946" s="307"/>
      <c r="C946" s="307"/>
    </row>
    <row r="947">
      <c r="A947" s="307"/>
      <c r="B947" s="307"/>
      <c r="C947" s="307"/>
    </row>
    <row r="948">
      <c r="A948" s="307"/>
      <c r="B948" s="307"/>
      <c r="C948" s="307"/>
    </row>
    <row r="949">
      <c r="A949" s="307"/>
      <c r="B949" s="307"/>
      <c r="C949" s="307"/>
    </row>
    <row r="950">
      <c r="A950" s="307"/>
      <c r="B950" s="307"/>
      <c r="C950" s="307"/>
    </row>
    <row r="951">
      <c r="A951" s="307"/>
      <c r="B951" s="307"/>
      <c r="C951" s="307"/>
    </row>
    <row r="952">
      <c r="A952" s="307"/>
      <c r="B952" s="307"/>
      <c r="C952" s="307"/>
    </row>
    <row r="953">
      <c r="A953" s="307"/>
      <c r="B953" s="307"/>
      <c r="C953" s="307"/>
    </row>
    <row r="954">
      <c r="A954" s="307"/>
      <c r="B954" s="307"/>
      <c r="C954" s="307"/>
    </row>
    <row r="955">
      <c r="A955" s="307"/>
      <c r="B955" s="307"/>
      <c r="C955" s="307"/>
    </row>
    <row r="956">
      <c r="A956" s="307"/>
      <c r="B956" s="307"/>
      <c r="C956" s="307"/>
    </row>
    <row r="957">
      <c r="A957" s="307"/>
      <c r="B957" s="307"/>
      <c r="C957" s="307"/>
    </row>
    <row r="958">
      <c r="A958" s="307"/>
      <c r="B958" s="307"/>
      <c r="C958" s="307"/>
    </row>
    <row r="959">
      <c r="A959" s="307"/>
      <c r="B959" s="307"/>
      <c r="C959" s="307"/>
    </row>
    <row r="960">
      <c r="A960" s="307"/>
      <c r="B960" s="307"/>
      <c r="C960" s="307"/>
    </row>
    <row r="961">
      <c r="A961" s="307"/>
      <c r="B961" s="307"/>
      <c r="C961" s="307"/>
    </row>
    <row r="962">
      <c r="A962" s="307"/>
      <c r="B962" s="307"/>
      <c r="C962" s="307"/>
    </row>
    <row r="963">
      <c r="A963" s="307"/>
      <c r="B963" s="307"/>
      <c r="C963" s="307"/>
    </row>
    <row r="964">
      <c r="A964" s="307"/>
      <c r="B964" s="307"/>
      <c r="C964" s="307"/>
    </row>
    <row r="965">
      <c r="A965" s="307"/>
      <c r="B965" s="307"/>
      <c r="C965" s="307"/>
    </row>
    <row r="966">
      <c r="A966" s="307"/>
      <c r="B966" s="307"/>
      <c r="C966" s="307"/>
    </row>
    <row r="967">
      <c r="A967" s="307"/>
      <c r="B967" s="307"/>
      <c r="C967" s="307"/>
    </row>
    <row r="968">
      <c r="A968" s="307"/>
      <c r="B968" s="307"/>
      <c r="C968" s="307"/>
    </row>
    <row r="969">
      <c r="A969" s="307"/>
      <c r="B969" s="307"/>
      <c r="C969" s="307"/>
    </row>
    <row r="970">
      <c r="A970" s="307"/>
      <c r="B970" s="307"/>
      <c r="C970" s="307"/>
    </row>
    <row r="971">
      <c r="A971" s="307"/>
      <c r="B971" s="307"/>
      <c r="C971" s="307"/>
    </row>
    <row r="972">
      <c r="A972" s="307"/>
      <c r="B972" s="307"/>
      <c r="C972" s="307"/>
    </row>
    <row r="973">
      <c r="A973" s="307"/>
      <c r="B973" s="307"/>
      <c r="C973" s="307"/>
    </row>
    <row r="974">
      <c r="A974" s="307"/>
      <c r="B974" s="307"/>
      <c r="C974" s="307"/>
    </row>
    <row r="975">
      <c r="A975" s="307"/>
      <c r="B975" s="307"/>
      <c r="C975" s="307"/>
    </row>
    <row r="976">
      <c r="A976" s="307"/>
      <c r="B976" s="307"/>
      <c r="C976" s="307"/>
    </row>
    <row r="977">
      <c r="A977" s="307"/>
      <c r="B977" s="307"/>
      <c r="C977" s="307"/>
    </row>
    <row r="978">
      <c r="A978" s="307"/>
      <c r="B978" s="307"/>
      <c r="C978" s="307"/>
    </row>
  </sheetData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45.38"/>
    <col customWidth="1" min="5" max="5" width="27.88"/>
    <col hidden="1" min="8" max="10" width="12.63"/>
    <col customWidth="1" hidden="1" min="11" max="11" width="21.88"/>
    <col hidden="1" min="12" max="14" width="12.63"/>
    <col customWidth="1" hidden="1" min="15" max="15" width="13.88"/>
    <col hidden="1" min="16" max="18" width="12.63"/>
  </cols>
  <sheetData>
    <row r="1">
      <c r="A1" s="358" t="s">
        <v>44</v>
      </c>
      <c r="B1" s="12" t="s">
        <v>1</v>
      </c>
      <c r="C1" s="57" t="s">
        <v>294</v>
      </c>
      <c r="D1" s="55" t="s">
        <v>248</v>
      </c>
      <c r="E1" s="348" t="s">
        <v>249</v>
      </c>
      <c r="F1" s="349" t="s">
        <v>250</v>
      </c>
      <c r="G1" s="699"/>
      <c r="O1" s="11" t="str">
        <f>"Empty codes:"&amp; COUNTBLANK(R2:R501)</f>
        <v>Empty codes:239</v>
      </c>
      <c r="Q1" s="700" t="s">
        <v>19623</v>
      </c>
      <c r="R1" s="9" t="s">
        <v>1</v>
      </c>
    </row>
    <row r="2">
      <c r="A2" s="176" t="s">
        <v>19624</v>
      </c>
      <c r="B2" s="25">
        <v>12609.0</v>
      </c>
      <c r="C2" s="25" t="s">
        <v>15405</v>
      </c>
      <c r="D2" s="683">
        <v>0.7</v>
      </c>
      <c r="E2" s="683">
        <v>0.7</v>
      </c>
      <c r="F2" s="348"/>
      <c r="G2" s="701"/>
      <c r="Q2" s="21" t="s">
        <v>19625</v>
      </c>
      <c r="R2" s="11">
        <v>283.0</v>
      </c>
    </row>
    <row r="3">
      <c r="A3" s="176" t="s">
        <v>19626</v>
      </c>
      <c r="B3" s="25">
        <v>6109.0</v>
      </c>
      <c r="C3" s="25" t="s">
        <v>15405</v>
      </c>
      <c r="D3" s="683">
        <v>0.7</v>
      </c>
      <c r="E3" s="683">
        <v>0.7</v>
      </c>
      <c r="F3" s="348"/>
      <c r="G3" s="701"/>
      <c r="Q3" s="21" t="s">
        <v>19627</v>
      </c>
      <c r="R3" s="11">
        <v>283.0</v>
      </c>
    </row>
    <row r="4">
      <c r="A4" s="702" t="s">
        <v>19628</v>
      </c>
      <c r="B4" s="175">
        <v>7010.0</v>
      </c>
      <c r="C4" s="25" t="s">
        <v>15405</v>
      </c>
      <c r="D4" s="683">
        <v>0.7</v>
      </c>
      <c r="E4" s="683">
        <v>0.7</v>
      </c>
      <c r="F4" s="55"/>
      <c r="G4" s="703"/>
      <c r="Q4" s="21" t="s">
        <v>19629</v>
      </c>
      <c r="R4" s="11">
        <v>283.0</v>
      </c>
    </row>
    <row r="5">
      <c r="A5" s="176" t="s">
        <v>19630</v>
      </c>
      <c r="B5" s="25">
        <v>11601.0</v>
      </c>
      <c r="C5" s="25" t="s">
        <v>15405</v>
      </c>
      <c r="D5" s="683">
        <v>0.7</v>
      </c>
      <c r="E5" s="683">
        <v>0.7</v>
      </c>
      <c r="F5" s="55"/>
      <c r="G5" s="703"/>
      <c r="Q5" s="21" t="s">
        <v>19631</v>
      </c>
      <c r="R5" s="11">
        <v>6726.0</v>
      </c>
    </row>
    <row r="6">
      <c r="A6" s="702" t="s">
        <v>19632</v>
      </c>
      <c r="B6" s="175">
        <v>12553.0</v>
      </c>
      <c r="C6" s="25" t="s">
        <v>15405</v>
      </c>
      <c r="D6" s="683">
        <v>0.7</v>
      </c>
      <c r="E6" s="683">
        <v>0.7</v>
      </c>
      <c r="F6" s="704"/>
      <c r="G6" s="141"/>
      <c r="Q6" s="21" t="s">
        <v>19633</v>
      </c>
      <c r="R6" s="11">
        <v>6726.0</v>
      </c>
    </row>
    <row r="7">
      <c r="A7" s="176" t="s">
        <v>19634</v>
      </c>
      <c r="B7" s="25">
        <v>13858.0</v>
      </c>
      <c r="C7" s="25" t="s">
        <v>15405</v>
      </c>
      <c r="D7" s="683">
        <v>0.7</v>
      </c>
      <c r="E7" s="683">
        <v>0.7</v>
      </c>
      <c r="F7" s="52"/>
      <c r="Q7" s="21" t="s">
        <v>19635</v>
      </c>
      <c r="R7" s="11">
        <v>6727.0</v>
      </c>
    </row>
    <row r="8">
      <c r="A8" s="176" t="s">
        <v>19636</v>
      </c>
      <c r="B8" s="25">
        <v>6802.0</v>
      </c>
      <c r="C8" s="25" t="s">
        <v>15405</v>
      </c>
      <c r="D8" s="683">
        <v>0.7</v>
      </c>
      <c r="E8" s="683">
        <v>0.7</v>
      </c>
      <c r="F8" s="10"/>
      <c r="Q8" s="21" t="s">
        <v>19637</v>
      </c>
      <c r="R8" s="11">
        <v>283.0</v>
      </c>
    </row>
    <row r="9">
      <c r="A9" s="702" t="s">
        <v>19638</v>
      </c>
      <c r="B9" s="175">
        <v>7747.0</v>
      </c>
      <c r="C9" s="25" t="s">
        <v>15405</v>
      </c>
      <c r="D9" s="683">
        <v>0.7</v>
      </c>
      <c r="E9" s="683">
        <v>0.7</v>
      </c>
      <c r="F9" s="10"/>
      <c r="Q9" s="21" t="s">
        <v>19639</v>
      </c>
      <c r="R9" s="11">
        <v>3616.0</v>
      </c>
    </row>
    <row r="10">
      <c r="A10" s="702" t="s">
        <v>19640</v>
      </c>
      <c r="B10" s="175">
        <v>3307.0</v>
      </c>
      <c r="C10" s="25" t="s">
        <v>15405</v>
      </c>
      <c r="D10" s="683">
        <v>0.7</v>
      </c>
      <c r="E10" s="683">
        <v>0.7</v>
      </c>
      <c r="F10" s="10"/>
      <c r="Q10" s="21" t="s">
        <v>19641</v>
      </c>
      <c r="R10" s="11">
        <v>6707.0</v>
      </c>
    </row>
    <row r="11">
      <c r="A11" s="176" t="s">
        <v>19642</v>
      </c>
      <c r="B11" s="25">
        <v>14337.0</v>
      </c>
      <c r="C11" s="25" t="s">
        <v>15405</v>
      </c>
      <c r="D11" s="683">
        <v>0.7</v>
      </c>
      <c r="E11" s="683">
        <v>0.7</v>
      </c>
      <c r="F11" s="10"/>
      <c r="Q11" s="21" t="s">
        <v>19643</v>
      </c>
      <c r="R11" s="11">
        <v>6658.0</v>
      </c>
    </row>
    <row r="12">
      <c r="A12" s="702" t="s">
        <v>19644</v>
      </c>
      <c r="B12" s="175">
        <v>14440.0</v>
      </c>
      <c r="C12" s="25" t="s">
        <v>15405</v>
      </c>
      <c r="D12" s="683">
        <v>0.7</v>
      </c>
      <c r="E12" s="683">
        <v>0.7</v>
      </c>
      <c r="F12" s="10"/>
      <c r="Q12" s="21" t="s">
        <v>19645</v>
      </c>
      <c r="R12" s="11">
        <v>663.0</v>
      </c>
    </row>
    <row r="13">
      <c r="A13" s="702" t="s">
        <v>3494</v>
      </c>
      <c r="B13" s="175">
        <v>14516.0</v>
      </c>
      <c r="C13" s="25" t="s">
        <v>15405</v>
      </c>
      <c r="D13" s="683">
        <v>0.7</v>
      </c>
      <c r="E13" s="683">
        <v>0.7</v>
      </c>
      <c r="F13" s="10"/>
      <c r="Q13" s="21" t="s">
        <v>19646</v>
      </c>
      <c r="R13" s="11">
        <v>663.0</v>
      </c>
    </row>
    <row r="14">
      <c r="A14" s="176" t="s">
        <v>19647</v>
      </c>
      <c r="B14" s="25">
        <v>10923.0</v>
      </c>
      <c r="C14" s="25" t="s">
        <v>15405</v>
      </c>
      <c r="D14" s="683">
        <v>0.7</v>
      </c>
      <c r="E14" s="683">
        <v>0.7</v>
      </c>
      <c r="F14" s="10"/>
      <c r="Q14" s="21" t="s">
        <v>19648</v>
      </c>
      <c r="R14" s="11">
        <v>663.0</v>
      </c>
    </row>
    <row r="15">
      <c r="A15" s="176" t="s">
        <v>19649</v>
      </c>
      <c r="B15" s="25">
        <v>6774.0</v>
      </c>
      <c r="C15" s="25" t="s">
        <v>15405</v>
      </c>
      <c r="D15" s="683">
        <v>0.7</v>
      </c>
      <c r="E15" s="683">
        <v>0.7</v>
      </c>
      <c r="F15" s="10"/>
      <c r="Q15" s="21" t="s">
        <v>19650</v>
      </c>
      <c r="R15" s="11">
        <v>663.0</v>
      </c>
    </row>
    <row r="16">
      <c r="A16" s="702" t="s">
        <v>19651</v>
      </c>
      <c r="B16" s="16">
        <v>14646.0</v>
      </c>
      <c r="C16" s="25" t="s">
        <v>15405</v>
      </c>
      <c r="D16" s="683">
        <v>0.7</v>
      </c>
      <c r="E16" s="683">
        <v>0.7</v>
      </c>
      <c r="F16" s="10"/>
      <c r="Q16" s="21" t="s">
        <v>19652</v>
      </c>
      <c r="R16" s="11">
        <v>6658.0</v>
      </c>
    </row>
    <row r="17">
      <c r="A17" s="702" t="s">
        <v>19653</v>
      </c>
      <c r="B17" s="11">
        <v>14480.0</v>
      </c>
      <c r="C17" s="25" t="s">
        <v>15405</v>
      </c>
      <c r="D17" s="683">
        <v>0.7</v>
      </c>
      <c r="E17" s="683">
        <v>0.7</v>
      </c>
      <c r="F17" s="10"/>
      <c r="Q17" s="21" t="s">
        <v>19654</v>
      </c>
      <c r="R17" s="11">
        <v>189.0</v>
      </c>
    </row>
    <row r="18">
      <c r="A18" s="176" t="s">
        <v>19655</v>
      </c>
      <c r="B18" s="25">
        <v>6875.0</v>
      </c>
      <c r="C18" s="25" t="s">
        <v>15405</v>
      </c>
      <c r="D18" s="683">
        <v>0.7</v>
      </c>
      <c r="E18" s="683">
        <v>0.7</v>
      </c>
      <c r="F18" s="10"/>
      <c r="Q18" s="21" t="s">
        <v>19656</v>
      </c>
      <c r="R18" s="11">
        <v>189.0</v>
      </c>
    </row>
    <row r="19">
      <c r="A19" s="702" t="s">
        <v>19657</v>
      </c>
      <c r="B19" s="175">
        <v>14594.0</v>
      </c>
      <c r="C19" s="25" t="s">
        <v>15405</v>
      </c>
      <c r="D19" s="683">
        <v>0.7</v>
      </c>
      <c r="E19" s="683">
        <v>0.7</v>
      </c>
      <c r="F19" s="10"/>
      <c r="Q19" s="21" t="s">
        <v>19658</v>
      </c>
      <c r="R19" s="11">
        <v>189.0</v>
      </c>
    </row>
    <row r="20">
      <c r="A20" s="176" t="s">
        <v>19659</v>
      </c>
      <c r="B20" s="25">
        <v>663.0</v>
      </c>
      <c r="C20" s="25" t="s">
        <v>15405</v>
      </c>
      <c r="D20" s="683">
        <v>0.7</v>
      </c>
      <c r="E20" s="683">
        <v>0.7</v>
      </c>
      <c r="F20" s="10"/>
      <c r="Q20" s="21" t="s">
        <v>19660</v>
      </c>
      <c r="R20" s="11">
        <v>189.0</v>
      </c>
    </row>
    <row r="21">
      <c r="A21" s="176" t="s">
        <v>19661</v>
      </c>
      <c r="B21" s="25">
        <v>12932.0</v>
      </c>
      <c r="C21" s="25" t="s">
        <v>15405</v>
      </c>
      <c r="D21" s="683">
        <v>0.7</v>
      </c>
      <c r="E21" s="683">
        <v>0.7</v>
      </c>
      <c r="F21" s="10"/>
      <c r="Q21" s="21" t="s">
        <v>19662</v>
      </c>
      <c r="R21" s="11">
        <v>669.0</v>
      </c>
    </row>
    <row r="22">
      <c r="A22" s="702" t="s">
        <v>19663</v>
      </c>
      <c r="B22" s="175">
        <v>6903.0</v>
      </c>
      <c r="C22" s="25" t="s">
        <v>15405</v>
      </c>
      <c r="D22" s="683">
        <v>0.7</v>
      </c>
      <c r="E22" s="683">
        <v>0.7</v>
      </c>
      <c r="F22" s="10"/>
      <c r="Q22" s="21" t="s">
        <v>19664</v>
      </c>
      <c r="R22" s="11">
        <v>669.0</v>
      </c>
    </row>
    <row r="23">
      <c r="A23" s="702" t="s">
        <v>19665</v>
      </c>
      <c r="B23" s="175">
        <v>14663.0</v>
      </c>
      <c r="C23" s="25" t="s">
        <v>15405</v>
      </c>
      <c r="D23" s="683">
        <v>0.7</v>
      </c>
      <c r="E23" s="683">
        <v>0.7</v>
      </c>
      <c r="F23" s="10"/>
      <c r="Q23" s="21" t="s">
        <v>19666</v>
      </c>
      <c r="R23" s="11">
        <v>1334.0</v>
      </c>
    </row>
    <row r="24">
      <c r="A24" s="702" t="s">
        <v>19667</v>
      </c>
      <c r="B24" s="175">
        <v>7157.0</v>
      </c>
      <c r="C24" s="25" t="s">
        <v>15405</v>
      </c>
      <c r="D24" s="683">
        <v>0.7</v>
      </c>
      <c r="E24" s="683">
        <v>0.7</v>
      </c>
      <c r="F24" s="10"/>
      <c r="Q24" s="21" t="s">
        <v>19668</v>
      </c>
      <c r="R24" s="11">
        <v>1334.0</v>
      </c>
    </row>
    <row r="25">
      <c r="A25" s="702" t="s">
        <v>19669</v>
      </c>
      <c r="B25" s="231"/>
      <c r="C25" s="25" t="s">
        <v>15405</v>
      </c>
      <c r="D25" s="683">
        <v>0.7</v>
      </c>
      <c r="E25" s="683">
        <v>0.7</v>
      </c>
      <c r="F25" s="10"/>
      <c r="Q25" s="21" t="s">
        <v>19670</v>
      </c>
      <c r="R25" s="11">
        <v>283.0</v>
      </c>
    </row>
    <row r="26">
      <c r="A26" s="702" t="s">
        <v>19671</v>
      </c>
      <c r="B26" s="175">
        <v>14025.0</v>
      </c>
      <c r="C26" s="25" t="s">
        <v>15405</v>
      </c>
      <c r="D26" s="683">
        <v>0.7</v>
      </c>
      <c r="E26" s="683">
        <v>0.7</v>
      </c>
      <c r="F26" s="10"/>
      <c r="Q26" s="21" t="s">
        <v>19672</v>
      </c>
      <c r="R26" s="11">
        <v>6675.0</v>
      </c>
    </row>
    <row r="27">
      <c r="A27" s="176" t="s">
        <v>19673</v>
      </c>
      <c r="B27" s="176">
        <v>6728.0</v>
      </c>
      <c r="C27" s="25" t="s">
        <v>15405</v>
      </c>
      <c r="D27" s="683">
        <v>0.7</v>
      </c>
      <c r="E27" s="683">
        <v>0.7</v>
      </c>
      <c r="F27" s="10"/>
      <c r="Q27" s="21" t="s">
        <v>19674</v>
      </c>
      <c r="R27" s="11">
        <v>6675.0</v>
      </c>
    </row>
    <row r="28">
      <c r="A28" s="702" t="s">
        <v>19675</v>
      </c>
      <c r="B28" s="231"/>
      <c r="C28" s="25" t="s">
        <v>15405</v>
      </c>
      <c r="D28" s="683">
        <v>0.7</v>
      </c>
      <c r="E28" s="683">
        <v>0.7</v>
      </c>
      <c r="F28" s="10"/>
      <c r="Q28" s="21" t="s">
        <v>19676</v>
      </c>
      <c r="R28" s="11">
        <v>283.0</v>
      </c>
    </row>
    <row r="29">
      <c r="A29" s="702" t="s">
        <v>16198</v>
      </c>
      <c r="B29" s="175">
        <v>14580.0</v>
      </c>
      <c r="C29" s="25" t="s">
        <v>15405</v>
      </c>
      <c r="D29" s="683">
        <v>0.7</v>
      </c>
      <c r="E29" s="683">
        <v>0.7</v>
      </c>
      <c r="F29" s="10"/>
      <c r="Q29" s="21" t="s">
        <v>19677</v>
      </c>
      <c r="R29" s="11">
        <v>283.0</v>
      </c>
    </row>
    <row r="30">
      <c r="A30" s="176" t="s">
        <v>19678</v>
      </c>
      <c r="B30" s="25">
        <v>6829.0</v>
      </c>
      <c r="C30" s="25" t="s">
        <v>15405</v>
      </c>
      <c r="D30" s="683">
        <v>0.7</v>
      </c>
      <c r="E30" s="683">
        <v>0.7</v>
      </c>
      <c r="F30" s="10"/>
      <c r="Q30" s="21" t="s">
        <v>19679</v>
      </c>
      <c r="R30" s="11">
        <v>283.0</v>
      </c>
    </row>
    <row r="31">
      <c r="A31" s="702" t="s">
        <v>19680</v>
      </c>
      <c r="B31" s="175">
        <v>14659.0</v>
      </c>
      <c r="C31" s="25" t="s">
        <v>15405</v>
      </c>
      <c r="D31" s="683">
        <v>0.7</v>
      </c>
      <c r="E31" s="683">
        <v>0.7</v>
      </c>
      <c r="F31" s="10"/>
      <c r="Q31" s="21" t="s">
        <v>19681</v>
      </c>
      <c r="R31" s="11">
        <v>283.0</v>
      </c>
    </row>
    <row r="32">
      <c r="A32" s="702" t="s">
        <v>19682</v>
      </c>
      <c r="B32" s="175">
        <v>6722.0</v>
      </c>
      <c r="C32" s="25" t="s">
        <v>15405</v>
      </c>
      <c r="D32" s="683">
        <v>0.7</v>
      </c>
      <c r="E32" s="683">
        <v>0.7</v>
      </c>
      <c r="F32" s="10"/>
      <c r="Q32" s="21" t="s">
        <v>19683</v>
      </c>
      <c r="R32" s="11">
        <v>283.0</v>
      </c>
    </row>
    <row r="33">
      <c r="A33" s="702" t="s">
        <v>19684</v>
      </c>
      <c r="B33" s="231"/>
      <c r="C33" s="25" t="s">
        <v>15405</v>
      </c>
      <c r="D33" s="683">
        <v>0.7</v>
      </c>
      <c r="E33" s="683">
        <v>0.7</v>
      </c>
      <c r="F33" s="10"/>
      <c r="Q33" s="21" t="s">
        <v>19685</v>
      </c>
      <c r="R33" s="11">
        <v>6669.0</v>
      </c>
    </row>
    <row r="34">
      <c r="A34" s="702" t="s">
        <v>19686</v>
      </c>
      <c r="B34" s="175">
        <v>6668.0</v>
      </c>
      <c r="C34" s="25" t="s">
        <v>15405</v>
      </c>
      <c r="D34" s="683">
        <v>0.7</v>
      </c>
      <c r="E34" s="683">
        <v>0.7</v>
      </c>
      <c r="F34" s="10"/>
      <c r="Q34" s="21" t="s">
        <v>19687</v>
      </c>
      <c r="R34" s="11">
        <v>6732.0</v>
      </c>
    </row>
    <row r="35">
      <c r="A35" s="176" t="s">
        <v>19688</v>
      </c>
      <c r="B35" s="25">
        <v>6924.0</v>
      </c>
      <c r="C35" s="25" t="s">
        <v>15405</v>
      </c>
      <c r="D35" s="683">
        <v>0.7</v>
      </c>
      <c r="E35" s="683">
        <v>0.7</v>
      </c>
      <c r="F35" s="10"/>
      <c r="Q35" s="21" t="s">
        <v>19689</v>
      </c>
      <c r="R35" s="11">
        <v>6772.0</v>
      </c>
    </row>
    <row r="36">
      <c r="A36" s="702" t="s">
        <v>19690</v>
      </c>
      <c r="B36" s="231"/>
      <c r="C36" s="25" t="s">
        <v>15405</v>
      </c>
      <c r="D36" s="683">
        <v>0.7</v>
      </c>
      <c r="E36" s="683">
        <v>0.7</v>
      </c>
      <c r="F36" s="10"/>
      <c r="Q36" s="21" t="s">
        <v>19691</v>
      </c>
      <c r="R36" s="11">
        <v>5421.0</v>
      </c>
    </row>
    <row r="37">
      <c r="A37" s="176" t="s">
        <v>19692</v>
      </c>
      <c r="B37" s="25">
        <v>6772.0</v>
      </c>
      <c r="C37" s="25" t="s">
        <v>15405</v>
      </c>
      <c r="D37" s="683">
        <v>0.7</v>
      </c>
      <c r="E37" s="683">
        <v>0.7</v>
      </c>
      <c r="F37" s="10"/>
      <c r="Q37" s="21" t="s">
        <v>19693</v>
      </c>
      <c r="R37" s="11">
        <v>5421.0</v>
      </c>
    </row>
    <row r="38">
      <c r="A38" s="702" t="s">
        <v>19694</v>
      </c>
      <c r="B38" s="231"/>
      <c r="C38" s="25" t="s">
        <v>15405</v>
      </c>
      <c r="D38" s="683">
        <v>0.7</v>
      </c>
      <c r="E38" s="683">
        <v>0.7</v>
      </c>
      <c r="F38" s="10"/>
      <c r="Q38" s="21" t="s">
        <v>19695</v>
      </c>
      <c r="R38" s="11">
        <v>5421.0</v>
      </c>
    </row>
    <row r="39">
      <c r="A39" s="702" t="s">
        <v>19696</v>
      </c>
      <c r="B39" s="175">
        <v>6668.0</v>
      </c>
      <c r="C39" s="25" t="s">
        <v>15405</v>
      </c>
      <c r="D39" s="683">
        <v>0.7</v>
      </c>
      <c r="E39" s="683">
        <v>0.7</v>
      </c>
      <c r="F39" s="10"/>
      <c r="Q39" s="21" t="s">
        <v>19697</v>
      </c>
      <c r="R39" s="11">
        <v>5421.0</v>
      </c>
    </row>
    <row r="40">
      <c r="A40" s="702" t="s">
        <v>19698</v>
      </c>
      <c r="B40" s="231"/>
      <c r="C40" s="25" t="s">
        <v>15405</v>
      </c>
      <c r="D40" s="683">
        <v>0.7</v>
      </c>
      <c r="E40" s="683">
        <v>0.7</v>
      </c>
      <c r="F40" s="10"/>
      <c r="Q40" s="21" t="s">
        <v>19699</v>
      </c>
      <c r="R40" s="11">
        <v>5421.0</v>
      </c>
    </row>
    <row r="41">
      <c r="A41" s="176" t="s">
        <v>19700</v>
      </c>
      <c r="B41" s="25">
        <v>6675.0</v>
      </c>
      <c r="C41" s="25" t="s">
        <v>15405</v>
      </c>
      <c r="D41" s="705">
        <v>0.85</v>
      </c>
      <c r="E41" s="705">
        <v>0.85</v>
      </c>
      <c r="F41" s="10"/>
      <c r="Q41" s="21" t="s">
        <v>19701</v>
      </c>
      <c r="R41" s="11">
        <v>5421.0</v>
      </c>
    </row>
    <row r="42">
      <c r="A42" s="702" t="s">
        <v>5348</v>
      </c>
      <c r="B42" s="175">
        <v>7142.0</v>
      </c>
      <c r="C42" s="25" t="s">
        <v>15405</v>
      </c>
      <c r="D42" s="683">
        <v>0.7</v>
      </c>
      <c r="E42" s="683">
        <v>0.7</v>
      </c>
      <c r="F42" s="10"/>
      <c r="Q42" s="21" t="s">
        <v>19702</v>
      </c>
      <c r="R42" s="11">
        <v>6732.0</v>
      </c>
    </row>
    <row r="43">
      <c r="A43" s="702" t="s">
        <v>19703</v>
      </c>
      <c r="B43" s="231"/>
      <c r="C43" s="25" t="s">
        <v>15405</v>
      </c>
      <c r="D43" s="683">
        <v>0.7</v>
      </c>
      <c r="E43" s="683">
        <v>0.7</v>
      </c>
      <c r="F43" s="10"/>
      <c r="Q43" s="21" t="s">
        <v>19704</v>
      </c>
      <c r="R43" s="11">
        <v>6732.0</v>
      </c>
    </row>
    <row r="44">
      <c r="A44" s="702" t="s">
        <v>19705</v>
      </c>
      <c r="B44" s="231"/>
      <c r="C44" s="25" t="s">
        <v>15405</v>
      </c>
      <c r="D44" s="683">
        <v>0.7</v>
      </c>
      <c r="E44" s="683">
        <v>0.7</v>
      </c>
      <c r="F44" s="10"/>
      <c r="Q44" s="21" t="s">
        <v>19706</v>
      </c>
      <c r="R44" s="11">
        <v>6732.0</v>
      </c>
    </row>
    <row r="45">
      <c r="A45" s="176" t="s">
        <v>19707</v>
      </c>
      <c r="B45" s="25">
        <v>7100.0</v>
      </c>
      <c r="C45" s="25" t="s">
        <v>15405</v>
      </c>
      <c r="D45" s="683">
        <v>0.7</v>
      </c>
      <c r="E45" s="683">
        <v>0.7</v>
      </c>
      <c r="F45" s="10"/>
      <c r="Q45" s="21" t="s">
        <v>19708</v>
      </c>
      <c r="R45" s="11">
        <v>6732.0</v>
      </c>
    </row>
    <row r="46">
      <c r="A46" s="702" t="s">
        <v>19709</v>
      </c>
      <c r="B46" s="175">
        <v>14507.0</v>
      </c>
      <c r="C46" s="25" t="s">
        <v>15405</v>
      </c>
      <c r="D46" s="683">
        <v>0.7</v>
      </c>
      <c r="E46" s="683">
        <v>0.7</v>
      </c>
      <c r="F46" s="10"/>
      <c r="Q46" s="21" t="s">
        <v>19710</v>
      </c>
      <c r="R46" s="11">
        <v>5125.0</v>
      </c>
    </row>
    <row r="47">
      <c r="A47" s="702" t="s">
        <v>10622</v>
      </c>
      <c r="B47" s="231"/>
      <c r="C47" s="25" t="s">
        <v>15405</v>
      </c>
      <c r="D47" s="683">
        <v>0.7</v>
      </c>
      <c r="E47" s="683">
        <v>0.7</v>
      </c>
      <c r="F47" s="10"/>
      <c r="Q47" s="21" t="s">
        <v>19711</v>
      </c>
      <c r="R47" s="11">
        <v>6669.0</v>
      </c>
    </row>
    <row r="48">
      <c r="A48" s="702" t="s">
        <v>19712</v>
      </c>
      <c r="B48" s="175">
        <v>6706.0</v>
      </c>
      <c r="C48" s="25" t="s">
        <v>15405</v>
      </c>
      <c r="D48" s="683">
        <v>0.7</v>
      </c>
      <c r="E48" s="683">
        <v>0.7</v>
      </c>
      <c r="F48" s="10"/>
      <c r="Q48" s="21" t="s">
        <v>19713</v>
      </c>
      <c r="R48" s="11">
        <v>986.0</v>
      </c>
    </row>
    <row r="49">
      <c r="A49" s="702" t="s">
        <v>19714</v>
      </c>
      <c r="B49" s="231"/>
      <c r="C49" s="25" t="s">
        <v>15405</v>
      </c>
      <c r="D49" s="683">
        <v>0.7</v>
      </c>
      <c r="E49" s="683">
        <v>0.7</v>
      </c>
      <c r="F49" s="10"/>
      <c r="Q49" s="21" t="s">
        <v>19715</v>
      </c>
      <c r="R49" s="11">
        <v>1334.0</v>
      </c>
    </row>
    <row r="50">
      <c r="A50" s="702" t="s">
        <v>19716</v>
      </c>
      <c r="B50" s="231"/>
      <c r="C50" s="25" t="s">
        <v>15405</v>
      </c>
      <c r="D50" s="683">
        <v>0.7</v>
      </c>
      <c r="E50" s="683">
        <v>0.7</v>
      </c>
      <c r="F50" s="10"/>
      <c r="Q50" s="21" t="s">
        <v>19717</v>
      </c>
      <c r="R50" s="11">
        <v>7010.0</v>
      </c>
    </row>
    <row r="51">
      <c r="A51" s="702" t="s">
        <v>19718</v>
      </c>
      <c r="B51" s="231"/>
      <c r="C51" s="25" t="s">
        <v>15405</v>
      </c>
      <c r="D51" s="683">
        <v>0.7</v>
      </c>
      <c r="E51" s="683">
        <v>0.7</v>
      </c>
      <c r="F51" s="10"/>
      <c r="Q51" s="21" t="s">
        <v>19719</v>
      </c>
      <c r="R51" s="11">
        <v>6669.0</v>
      </c>
    </row>
    <row r="52">
      <c r="A52" s="176" t="s">
        <v>19720</v>
      </c>
      <c r="B52" s="25">
        <v>5458.0</v>
      </c>
      <c r="C52" s="25" t="s">
        <v>15405</v>
      </c>
      <c r="D52" s="683">
        <v>0.7</v>
      </c>
      <c r="E52" s="683">
        <v>0.7</v>
      </c>
      <c r="F52" s="10"/>
      <c r="Q52" s="21" t="s">
        <v>19721</v>
      </c>
      <c r="R52" s="11">
        <v>7010.0</v>
      </c>
    </row>
    <row r="53">
      <c r="A53" s="702" t="s">
        <v>19722</v>
      </c>
      <c r="B53" s="175">
        <v>14575.0</v>
      </c>
      <c r="C53" s="25" t="s">
        <v>15405</v>
      </c>
      <c r="D53" s="705">
        <v>0.85</v>
      </c>
      <c r="E53" s="705">
        <v>0.85</v>
      </c>
      <c r="F53" s="10"/>
      <c r="Q53" s="21" t="s">
        <v>19723</v>
      </c>
      <c r="R53" s="11">
        <v>7747.0</v>
      </c>
    </row>
    <row r="54">
      <c r="A54" s="702" t="s">
        <v>16932</v>
      </c>
      <c r="B54" s="231"/>
      <c r="C54" s="25" t="s">
        <v>15405</v>
      </c>
      <c r="D54" s="683">
        <v>0.7</v>
      </c>
      <c r="E54" s="683">
        <v>0.7</v>
      </c>
      <c r="F54" s="10"/>
      <c r="Q54" s="21" t="s">
        <v>19724</v>
      </c>
      <c r="R54" s="11">
        <v>930.0</v>
      </c>
    </row>
    <row r="55">
      <c r="A55" s="702" t="s">
        <v>19725</v>
      </c>
      <c r="B55" s="231"/>
      <c r="C55" s="25" t="s">
        <v>15405</v>
      </c>
      <c r="D55" s="683">
        <v>0.7</v>
      </c>
      <c r="E55" s="683">
        <v>0.7</v>
      </c>
      <c r="F55" s="10"/>
      <c r="Q55" s="21" t="s">
        <v>19726</v>
      </c>
      <c r="R55" s="11">
        <v>5125.0</v>
      </c>
    </row>
    <row r="56">
      <c r="A56" s="176" t="s">
        <v>10764</v>
      </c>
      <c r="B56" s="25">
        <v>7033.0</v>
      </c>
      <c r="C56" s="25" t="s">
        <v>15405</v>
      </c>
      <c r="D56" s="683">
        <v>0.7</v>
      </c>
      <c r="E56" s="683">
        <v>0.7</v>
      </c>
      <c r="F56" s="10"/>
      <c r="Q56" s="21" t="s">
        <v>19727</v>
      </c>
      <c r="R56" s="11">
        <v>6107.0</v>
      </c>
    </row>
    <row r="57">
      <c r="A57" s="702" t="s">
        <v>19728</v>
      </c>
      <c r="B57" s="175">
        <v>2345.0</v>
      </c>
      <c r="C57" s="25" t="s">
        <v>15405</v>
      </c>
      <c r="D57" s="705">
        <v>0.9</v>
      </c>
      <c r="E57" s="705">
        <v>0.9</v>
      </c>
      <c r="F57" s="10"/>
      <c r="Q57" s="21" t="s">
        <v>19729</v>
      </c>
      <c r="R57" s="11">
        <v>6107.0</v>
      </c>
    </row>
    <row r="58">
      <c r="A58" s="702" t="s">
        <v>19730</v>
      </c>
      <c r="B58" s="175">
        <v>2345.0</v>
      </c>
      <c r="C58" s="25" t="s">
        <v>15405</v>
      </c>
      <c r="D58" s="705">
        <v>0.9</v>
      </c>
      <c r="E58" s="705">
        <v>0.9</v>
      </c>
      <c r="F58" s="10"/>
      <c r="Q58" s="21" t="s">
        <v>19731</v>
      </c>
      <c r="R58" s="11">
        <v>3231.0</v>
      </c>
    </row>
    <row r="59">
      <c r="A59" s="702" t="s">
        <v>19732</v>
      </c>
      <c r="B59" s="175">
        <v>2345.0</v>
      </c>
      <c r="C59" s="25" t="s">
        <v>15405</v>
      </c>
      <c r="D59" s="705">
        <v>0.9</v>
      </c>
      <c r="E59" s="705">
        <v>0.9</v>
      </c>
      <c r="F59" s="10"/>
      <c r="Q59" s="21" t="s">
        <v>19733</v>
      </c>
      <c r="R59" s="11">
        <v>4933.0</v>
      </c>
    </row>
    <row r="60">
      <c r="A60" s="176" t="s">
        <v>19734</v>
      </c>
      <c r="B60" s="25">
        <v>2345.0</v>
      </c>
      <c r="C60" s="25" t="s">
        <v>15405</v>
      </c>
      <c r="D60" s="705">
        <v>0.9</v>
      </c>
      <c r="E60" s="705">
        <v>0.9</v>
      </c>
      <c r="F60" s="10"/>
      <c r="Q60" s="21" t="s">
        <v>19735</v>
      </c>
      <c r="R60" s="11">
        <v>7033.0</v>
      </c>
    </row>
    <row r="61">
      <c r="A61" s="702" t="s">
        <v>19736</v>
      </c>
      <c r="B61" s="175">
        <v>2345.0</v>
      </c>
      <c r="C61" s="25" t="s">
        <v>15405</v>
      </c>
      <c r="D61" s="705">
        <v>0.9</v>
      </c>
      <c r="E61" s="705">
        <v>0.9</v>
      </c>
      <c r="F61" s="10"/>
      <c r="Q61" s="21" t="s">
        <v>19737</v>
      </c>
      <c r="R61" s="11">
        <v>6770.0</v>
      </c>
    </row>
    <row r="62">
      <c r="A62" s="702" t="s">
        <v>19738</v>
      </c>
      <c r="B62" s="175">
        <v>2345.0</v>
      </c>
      <c r="C62" s="25" t="s">
        <v>15405</v>
      </c>
      <c r="D62" s="705">
        <v>0.9</v>
      </c>
      <c r="E62" s="705">
        <v>0.9</v>
      </c>
      <c r="F62" s="10"/>
      <c r="Q62" s="21" t="s">
        <v>19739</v>
      </c>
      <c r="R62" s="11">
        <v>6770.0</v>
      </c>
    </row>
    <row r="63">
      <c r="A63" s="176" t="s">
        <v>19740</v>
      </c>
      <c r="B63" s="25">
        <v>6675.0</v>
      </c>
      <c r="C63" s="25" t="s">
        <v>15405</v>
      </c>
      <c r="D63" s="705">
        <v>0.85</v>
      </c>
      <c r="E63" s="705">
        <v>0.85</v>
      </c>
      <c r="F63" s="10"/>
      <c r="Q63" s="21" t="s">
        <v>19741</v>
      </c>
      <c r="R63" s="11">
        <v>2345.0</v>
      </c>
    </row>
    <row r="64">
      <c r="A64" s="702" t="s">
        <v>1277</v>
      </c>
      <c r="B64" s="231"/>
      <c r="C64" s="25" t="s">
        <v>15405</v>
      </c>
      <c r="D64" s="683">
        <v>0.7</v>
      </c>
      <c r="E64" s="683">
        <v>0.7</v>
      </c>
      <c r="F64" s="10"/>
      <c r="Q64" s="21" t="s">
        <v>19742</v>
      </c>
      <c r="R64" s="11">
        <v>6947.0</v>
      </c>
    </row>
    <row r="65">
      <c r="A65" s="176" t="s">
        <v>19743</v>
      </c>
      <c r="B65" s="25">
        <v>6675.0</v>
      </c>
      <c r="C65" s="25" t="s">
        <v>15405</v>
      </c>
      <c r="D65" s="705">
        <v>0.85</v>
      </c>
      <c r="E65" s="705">
        <v>0.85</v>
      </c>
      <c r="F65" s="10"/>
      <c r="Q65" s="21" t="s">
        <v>19744</v>
      </c>
      <c r="R65" s="11">
        <v>7031.0</v>
      </c>
    </row>
    <row r="66">
      <c r="A66" s="702" t="s">
        <v>19745</v>
      </c>
      <c r="B66" s="175">
        <v>11049.0</v>
      </c>
      <c r="C66" s="25" t="s">
        <v>15405</v>
      </c>
      <c r="D66" s="683">
        <v>0.7</v>
      </c>
      <c r="E66" s="683">
        <v>0.7</v>
      </c>
      <c r="F66" s="10"/>
      <c r="Q66" s="21" t="s">
        <v>19746</v>
      </c>
      <c r="R66" s="11">
        <v>1334.0</v>
      </c>
    </row>
    <row r="67">
      <c r="A67" s="702" t="s">
        <v>10884</v>
      </c>
      <c r="B67" s="175">
        <v>11049.0</v>
      </c>
      <c r="C67" s="25" t="s">
        <v>15405</v>
      </c>
      <c r="D67" s="683">
        <v>0.7</v>
      </c>
      <c r="E67" s="683">
        <v>0.7</v>
      </c>
      <c r="F67" s="10"/>
      <c r="Q67" s="21" t="s">
        <v>19747</v>
      </c>
      <c r="R67" s="11">
        <v>6924.0</v>
      </c>
    </row>
    <row r="68">
      <c r="A68" s="702" t="s">
        <v>19748</v>
      </c>
      <c r="B68" s="175">
        <v>11049.0</v>
      </c>
      <c r="C68" s="25" t="s">
        <v>15405</v>
      </c>
      <c r="D68" s="683">
        <v>0.7</v>
      </c>
      <c r="E68" s="683">
        <v>0.7</v>
      </c>
      <c r="F68" s="10"/>
      <c r="Q68" s="21" t="s">
        <v>19749</v>
      </c>
      <c r="R68" s="11">
        <v>10141.0</v>
      </c>
    </row>
    <row r="69">
      <c r="A69" s="702" t="s">
        <v>19750</v>
      </c>
      <c r="B69" s="175">
        <v>11049.0</v>
      </c>
      <c r="C69" s="25" t="s">
        <v>15405</v>
      </c>
      <c r="D69" s="683">
        <v>0.7</v>
      </c>
      <c r="E69" s="683">
        <v>0.7</v>
      </c>
      <c r="F69" s="10"/>
      <c r="Q69" s="21" t="s">
        <v>19751</v>
      </c>
      <c r="R69" s="11">
        <v>6924.0</v>
      </c>
    </row>
    <row r="70">
      <c r="A70" s="702" t="s">
        <v>19752</v>
      </c>
      <c r="B70" s="175">
        <v>11049.0</v>
      </c>
      <c r="C70" s="25" t="s">
        <v>15405</v>
      </c>
      <c r="D70" s="683">
        <v>0.7</v>
      </c>
      <c r="E70" s="683">
        <v>0.7</v>
      </c>
      <c r="F70" s="10"/>
      <c r="Q70" s="21" t="s">
        <v>19753</v>
      </c>
      <c r="R70" s="11">
        <v>7297.0</v>
      </c>
    </row>
    <row r="71">
      <c r="A71" s="702" t="s">
        <v>19754</v>
      </c>
      <c r="B71" s="175">
        <v>11049.0</v>
      </c>
      <c r="C71" s="25" t="s">
        <v>15405</v>
      </c>
      <c r="D71" s="683">
        <v>0.7</v>
      </c>
      <c r="E71" s="683">
        <v>0.7</v>
      </c>
      <c r="F71" s="10"/>
      <c r="Q71" s="21" t="s">
        <v>19755</v>
      </c>
      <c r="R71" s="11">
        <v>6629.0</v>
      </c>
    </row>
    <row r="72">
      <c r="A72" s="702" t="s">
        <v>19756</v>
      </c>
      <c r="B72" s="175">
        <v>11049.0</v>
      </c>
      <c r="C72" s="25" t="s">
        <v>15405</v>
      </c>
      <c r="D72" s="683">
        <v>0.7</v>
      </c>
      <c r="E72" s="683">
        <v>0.7</v>
      </c>
      <c r="F72" s="10"/>
      <c r="Q72" s="21" t="s">
        <v>19757</v>
      </c>
      <c r="R72" s="11">
        <v>6732.0</v>
      </c>
    </row>
    <row r="73">
      <c r="A73" s="702" t="s">
        <v>19758</v>
      </c>
      <c r="B73" s="175">
        <v>11049.0</v>
      </c>
      <c r="C73" s="25" t="s">
        <v>15405</v>
      </c>
      <c r="D73" s="683">
        <v>0.7</v>
      </c>
      <c r="E73" s="683">
        <v>0.7</v>
      </c>
      <c r="F73" s="10"/>
      <c r="Q73" s="21" t="s">
        <v>19759</v>
      </c>
      <c r="R73" s="11">
        <v>6106.0</v>
      </c>
    </row>
    <row r="74">
      <c r="A74" s="702" t="s">
        <v>19760</v>
      </c>
      <c r="B74" s="175">
        <v>11049.0</v>
      </c>
      <c r="C74" s="25" t="s">
        <v>15405</v>
      </c>
      <c r="D74" s="683">
        <v>0.7</v>
      </c>
      <c r="E74" s="683">
        <v>0.7</v>
      </c>
      <c r="F74" s="10"/>
      <c r="Q74" s="21" t="s">
        <v>19761</v>
      </c>
      <c r="R74" s="11">
        <v>3307.0</v>
      </c>
    </row>
    <row r="75">
      <c r="A75" s="702" t="s">
        <v>19762</v>
      </c>
      <c r="B75" s="175">
        <v>11049.0</v>
      </c>
      <c r="C75" s="25" t="s">
        <v>15405</v>
      </c>
      <c r="D75" s="683">
        <v>0.7</v>
      </c>
      <c r="E75" s="683">
        <v>0.7</v>
      </c>
      <c r="F75" s="10"/>
      <c r="Q75" s="21" t="s">
        <v>19763</v>
      </c>
      <c r="R75" s="11">
        <v>6671.0</v>
      </c>
    </row>
    <row r="76">
      <c r="A76" s="702" t="s">
        <v>19764</v>
      </c>
      <c r="B76" s="175">
        <v>11049.0</v>
      </c>
      <c r="C76" s="25" t="s">
        <v>15405</v>
      </c>
      <c r="D76" s="683">
        <v>0.7</v>
      </c>
      <c r="E76" s="683">
        <v>0.7</v>
      </c>
      <c r="F76" s="10"/>
      <c r="Q76" s="21" t="s">
        <v>19765</v>
      </c>
      <c r="R76" s="11">
        <v>6132.0</v>
      </c>
    </row>
    <row r="77">
      <c r="A77" s="702" t="s">
        <v>19766</v>
      </c>
      <c r="B77" s="175">
        <v>11049.0</v>
      </c>
      <c r="C77" s="25" t="s">
        <v>15405</v>
      </c>
      <c r="D77" s="683">
        <v>0.7</v>
      </c>
      <c r="E77" s="683">
        <v>0.7</v>
      </c>
      <c r="F77" s="10"/>
      <c r="Q77" s="21" t="s">
        <v>19767</v>
      </c>
      <c r="R77" s="11">
        <v>6998.0</v>
      </c>
    </row>
    <row r="78">
      <c r="A78" s="702" t="s">
        <v>19768</v>
      </c>
      <c r="B78" s="175">
        <v>11049.0</v>
      </c>
      <c r="C78" s="25" t="s">
        <v>15405</v>
      </c>
      <c r="D78" s="683">
        <v>0.7</v>
      </c>
      <c r="E78" s="683">
        <v>0.7</v>
      </c>
      <c r="F78" s="10"/>
      <c r="Q78" s="21" t="s">
        <v>19769</v>
      </c>
      <c r="R78" s="11">
        <v>6779.0</v>
      </c>
    </row>
    <row r="79">
      <c r="A79" s="702" t="s">
        <v>19770</v>
      </c>
      <c r="B79" s="175">
        <v>11049.0</v>
      </c>
      <c r="C79" s="25" t="s">
        <v>15405</v>
      </c>
      <c r="D79" s="683">
        <v>0.7</v>
      </c>
      <c r="E79" s="683">
        <v>0.7</v>
      </c>
      <c r="F79" s="10"/>
      <c r="Q79" s="21" t="s">
        <v>19771</v>
      </c>
      <c r="R79" s="11">
        <v>1360.0</v>
      </c>
    </row>
    <row r="80">
      <c r="A80" s="702" t="s">
        <v>19772</v>
      </c>
      <c r="B80" s="175">
        <v>11049.0</v>
      </c>
      <c r="C80" s="25" t="s">
        <v>15405</v>
      </c>
      <c r="D80" s="683">
        <v>0.7</v>
      </c>
      <c r="E80" s="683">
        <v>0.7</v>
      </c>
      <c r="F80" s="10"/>
      <c r="Q80" s="21" t="s">
        <v>19773</v>
      </c>
      <c r="R80" s="11">
        <v>6887.0</v>
      </c>
    </row>
    <row r="81">
      <c r="A81" s="702" t="s">
        <v>19774</v>
      </c>
      <c r="B81" s="175">
        <v>11049.0</v>
      </c>
      <c r="C81" s="25" t="s">
        <v>15405</v>
      </c>
      <c r="D81" s="683">
        <v>0.7</v>
      </c>
      <c r="E81" s="683">
        <v>0.7</v>
      </c>
      <c r="F81" s="10"/>
      <c r="Q81" s="21" t="s">
        <v>19775</v>
      </c>
      <c r="R81" s="122">
        <v>6802.0</v>
      </c>
    </row>
    <row r="82">
      <c r="A82" s="702" t="s">
        <v>19776</v>
      </c>
      <c r="B82" s="175">
        <v>11049.0</v>
      </c>
      <c r="C82" s="25" t="s">
        <v>15405</v>
      </c>
      <c r="D82" s="683">
        <v>0.7</v>
      </c>
      <c r="E82" s="683">
        <v>0.7</v>
      </c>
      <c r="F82" s="10"/>
      <c r="Q82" s="21" t="s">
        <v>19777</v>
      </c>
      <c r="R82" s="11">
        <v>6893.0</v>
      </c>
    </row>
    <row r="83">
      <c r="A83" s="176" t="s">
        <v>19778</v>
      </c>
      <c r="B83" s="25">
        <v>2345.0</v>
      </c>
      <c r="C83" s="25" t="s">
        <v>15405</v>
      </c>
      <c r="D83" s="705">
        <v>0.9</v>
      </c>
      <c r="E83" s="705">
        <v>0.9</v>
      </c>
      <c r="F83" s="10"/>
      <c r="Q83" s="21" t="s">
        <v>19779</v>
      </c>
      <c r="R83" s="195">
        <v>6909.0</v>
      </c>
    </row>
    <row r="84">
      <c r="A84" s="702" t="s">
        <v>19780</v>
      </c>
      <c r="B84" s="175">
        <v>11049.0</v>
      </c>
      <c r="C84" s="25" t="s">
        <v>15405</v>
      </c>
      <c r="D84" s="683">
        <v>0.7</v>
      </c>
      <c r="E84" s="683">
        <v>0.7</v>
      </c>
      <c r="F84" s="10"/>
      <c r="Q84" s="21" t="s">
        <v>19781</v>
      </c>
      <c r="R84" s="11">
        <v>2345.0</v>
      </c>
    </row>
    <row r="85">
      <c r="A85" s="702" t="s">
        <v>19782</v>
      </c>
      <c r="B85" s="175">
        <v>11049.0</v>
      </c>
      <c r="C85" s="25" t="s">
        <v>15405</v>
      </c>
      <c r="D85" s="683">
        <v>0.7</v>
      </c>
      <c r="E85" s="683">
        <v>0.7</v>
      </c>
      <c r="F85" s="10"/>
      <c r="Q85" s="21" t="s">
        <v>19783</v>
      </c>
      <c r="R85" s="11">
        <v>986.0</v>
      </c>
    </row>
    <row r="86">
      <c r="A86" s="702" t="s">
        <v>19784</v>
      </c>
      <c r="B86" s="175">
        <v>11049.0</v>
      </c>
      <c r="C86" s="25" t="s">
        <v>15405</v>
      </c>
      <c r="D86" s="683">
        <v>0.7</v>
      </c>
      <c r="E86" s="683">
        <v>0.7</v>
      </c>
      <c r="F86" s="10"/>
      <c r="Q86" s="21" t="s">
        <v>19785</v>
      </c>
      <c r="R86" s="11">
        <v>986.0</v>
      </c>
    </row>
    <row r="87">
      <c r="A87" s="702" t="s">
        <v>19786</v>
      </c>
      <c r="B87" s="175">
        <v>11049.0</v>
      </c>
      <c r="C87" s="25" t="s">
        <v>15405</v>
      </c>
      <c r="D87" s="683">
        <v>0.7</v>
      </c>
      <c r="E87" s="683">
        <v>0.7</v>
      </c>
      <c r="F87" s="10"/>
      <c r="Q87" s="21" t="s">
        <v>19787</v>
      </c>
      <c r="R87" s="11">
        <v>986.0</v>
      </c>
    </row>
    <row r="88">
      <c r="A88" s="176" t="s">
        <v>19788</v>
      </c>
      <c r="B88" s="25">
        <v>7031.0</v>
      </c>
      <c r="C88" s="25" t="s">
        <v>15405</v>
      </c>
      <c r="D88" s="683">
        <v>0.7</v>
      </c>
      <c r="E88" s="683">
        <v>0.7</v>
      </c>
      <c r="F88" s="10"/>
      <c r="Q88" s="21" t="s">
        <v>19789</v>
      </c>
      <c r="R88" s="11">
        <v>986.0</v>
      </c>
    </row>
    <row r="89">
      <c r="A89" s="702" t="s">
        <v>19790</v>
      </c>
      <c r="B89" s="231"/>
      <c r="C89" s="25" t="s">
        <v>15405</v>
      </c>
      <c r="D89" s="683">
        <v>0.7</v>
      </c>
      <c r="E89" s="683">
        <v>0.7</v>
      </c>
      <c r="F89" s="10"/>
      <c r="Q89" s="21" t="s">
        <v>19791</v>
      </c>
      <c r="R89" s="11">
        <v>986.0</v>
      </c>
    </row>
    <row r="90">
      <c r="A90" s="702" t="s">
        <v>15586</v>
      </c>
      <c r="B90" s="11">
        <v>14465.0</v>
      </c>
      <c r="C90" s="25" t="s">
        <v>15405</v>
      </c>
      <c r="D90" s="705">
        <v>0.9</v>
      </c>
      <c r="E90" s="705">
        <v>0.9</v>
      </c>
      <c r="F90" s="10"/>
      <c r="Q90" s="21" t="s">
        <v>19792</v>
      </c>
      <c r="R90" s="11">
        <v>986.0</v>
      </c>
    </row>
    <row r="91">
      <c r="A91" s="702" t="s">
        <v>19793</v>
      </c>
      <c r="B91" s="231"/>
      <c r="C91" s="25" t="s">
        <v>15405</v>
      </c>
      <c r="D91" s="683">
        <v>0.7</v>
      </c>
      <c r="E91" s="683">
        <v>0.7</v>
      </c>
      <c r="F91" s="10"/>
      <c r="Q91" s="21" t="s">
        <v>19794</v>
      </c>
      <c r="R91" s="11">
        <v>986.0</v>
      </c>
    </row>
    <row r="92">
      <c r="A92" s="702" t="s">
        <v>19795</v>
      </c>
      <c r="B92" s="231"/>
      <c r="C92" s="25" t="s">
        <v>15405</v>
      </c>
      <c r="D92" s="683">
        <v>0.7</v>
      </c>
      <c r="E92" s="683">
        <v>0.7</v>
      </c>
      <c r="F92" s="10"/>
      <c r="Q92" s="21" t="s">
        <v>19796</v>
      </c>
      <c r="R92" s="11">
        <v>986.0</v>
      </c>
    </row>
    <row r="93">
      <c r="A93" s="702" t="s">
        <v>19797</v>
      </c>
      <c r="B93" s="231"/>
      <c r="C93" s="25" t="s">
        <v>15405</v>
      </c>
      <c r="D93" s="683">
        <v>0.7</v>
      </c>
      <c r="E93" s="683">
        <v>0.7</v>
      </c>
      <c r="F93" s="10"/>
      <c r="Q93" s="21" t="s">
        <v>19798</v>
      </c>
      <c r="R93" s="11">
        <v>986.0</v>
      </c>
    </row>
    <row r="94">
      <c r="A94" s="702" t="s">
        <v>19799</v>
      </c>
      <c r="B94" s="231"/>
      <c r="C94" s="25" t="s">
        <v>15405</v>
      </c>
      <c r="D94" s="683">
        <v>0.7</v>
      </c>
      <c r="E94" s="683">
        <v>0.7</v>
      </c>
      <c r="F94" s="10"/>
      <c r="Q94" s="21" t="s">
        <v>19800</v>
      </c>
      <c r="R94" s="11">
        <v>986.0</v>
      </c>
    </row>
    <row r="95">
      <c r="A95" s="702" t="s">
        <v>19801</v>
      </c>
      <c r="B95" s="231"/>
      <c r="C95" s="25" t="s">
        <v>15405</v>
      </c>
      <c r="D95" s="683">
        <v>0.7</v>
      </c>
      <c r="E95" s="683">
        <v>0.7</v>
      </c>
      <c r="F95" s="10"/>
      <c r="Q95" s="21" t="s">
        <v>19802</v>
      </c>
      <c r="R95" s="11">
        <v>986.0</v>
      </c>
    </row>
    <row r="96">
      <c r="A96" s="702" t="s">
        <v>19803</v>
      </c>
      <c r="B96" s="231"/>
      <c r="C96" s="25" t="s">
        <v>15405</v>
      </c>
      <c r="D96" s="683">
        <v>0.7</v>
      </c>
      <c r="E96" s="683">
        <v>0.7</v>
      </c>
      <c r="F96" s="10"/>
      <c r="Q96" s="21" t="s">
        <v>19804</v>
      </c>
      <c r="R96" s="11">
        <v>986.0</v>
      </c>
    </row>
    <row r="97">
      <c r="A97" s="702" t="s">
        <v>19805</v>
      </c>
      <c r="B97" s="231"/>
      <c r="C97" s="25" t="s">
        <v>15405</v>
      </c>
      <c r="D97" s="683">
        <v>0.7</v>
      </c>
      <c r="E97" s="683">
        <v>0.7</v>
      </c>
      <c r="F97" s="10"/>
      <c r="Q97" s="21" t="s">
        <v>19806</v>
      </c>
      <c r="R97" s="11">
        <v>986.0</v>
      </c>
    </row>
    <row r="98">
      <c r="A98" s="702" t="s">
        <v>19807</v>
      </c>
      <c r="B98" s="231"/>
      <c r="C98" s="25" t="s">
        <v>15405</v>
      </c>
      <c r="D98" s="683">
        <v>0.7</v>
      </c>
      <c r="E98" s="683">
        <v>0.7</v>
      </c>
      <c r="F98" s="10"/>
      <c r="Q98" s="21" t="s">
        <v>19808</v>
      </c>
      <c r="R98" s="11">
        <v>986.0</v>
      </c>
    </row>
    <row r="99">
      <c r="A99" s="702" t="s">
        <v>19809</v>
      </c>
      <c r="B99" s="231"/>
      <c r="C99" s="25" t="s">
        <v>15405</v>
      </c>
      <c r="D99" s="683">
        <v>0.7</v>
      </c>
      <c r="E99" s="683">
        <v>0.7</v>
      </c>
      <c r="F99" s="10"/>
      <c r="Q99" s="21" t="s">
        <v>19810</v>
      </c>
      <c r="R99" s="11">
        <v>986.0</v>
      </c>
    </row>
    <row r="100">
      <c r="A100" s="702" t="s">
        <v>19811</v>
      </c>
      <c r="B100" s="231"/>
      <c r="C100" s="25" t="s">
        <v>15405</v>
      </c>
      <c r="D100" s="683">
        <v>0.7</v>
      </c>
      <c r="E100" s="683">
        <v>0.7</v>
      </c>
      <c r="F100" s="10"/>
      <c r="Q100" s="21" t="s">
        <v>19812</v>
      </c>
      <c r="R100" s="11">
        <v>986.0</v>
      </c>
    </row>
    <row r="101">
      <c r="A101" s="702" t="s">
        <v>19813</v>
      </c>
      <c r="B101" s="231"/>
      <c r="C101" s="25" t="s">
        <v>15405</v>
      </c>
      <c r="D101" s="683">
        <v>0.7</v>
      </c>
      <c r="E101" s="683">
        <v>0.7</v>
      </c>
      <c r="F101" s="10"/>
      <c r="Q101" s="21" t="s">
        <v>19814</v>
      </c>
      <c r="R101" s="11">
        <v>5458.0</v>
      </c>
    </row>
    <row r="102">
      <c r="A102" s="702" t="s">
        <v>19815</v>
      </c>
      <c r="B102" s="231"/>
      <c r="C102" s="25" t="s">
        <v>15405</v>
      </c>
      <c r="D102" s="683">
        <v>0.7</v>
      </c>
      <c r="E102" s="683">
        <v>0.7</v>
      </c>
      <c r="F102" s="10"/>
      <c r="Q102" s="21" t="s">
        <v>19816</v>
      </c>
      <c r="R102" s="11">
        <v>5125.0</v>
      </c>
    </row>
    <row r="103">
      <c r="A103" s="702" t="s">
        <v>19817</v>
      </c>
      <c r="B103" s="231"/>
      <c r="C103" s="25" t="s">
        <v>15405</v>
      </c>
      <c r="D103" s="683">
        <v>0.7</v>
      </c>
      <c r="E103" s="683">
        <v>0.7</v>
      </c>
      <c r="F103" s="10"/>
      <c r="Q103" s="21" t="s">
        <v>19818</v>
      </c>
      <c r="R103" s="11">
        <v>6530.0</v>
      </c>
    </row>
    <row r="104">
      <c r="A104" s="702" t="s">
        <v>19819</v>
      </c>
      <c r="B104" s="231"/>
      <c r="C104" s="25" t="s">
        <v>15405</v>
      </c>
      <c r="D104" s="683">
        <v>0.7</v>
      </c>
      <c r="E104" s="683">
        <v>0.7</v>
      </c>
      <c r="F104" s="10"/>
      <c r="Q104" s="21" t="s">
        <v>19820</v>
      </c>
      <c r="R104" s="11">
        <v>6676.0</v>
      </c>
    </row>
    <row r="105">
      <c r="A105" s="702" t="s">
        <v>19821</v>
      </c>
      <c r="B105" s="231"/>
      <c r="C105" s="25" t="s">
        <v>15405</v>
      </c>
      <c r="D105" s="683">
        <v>0.7</v>
      </c>
      <c r="E105" s="683">
        <v>0.7</v>
      </c>
      <c r="F105" s="10"/>
      <c r="Q105" s="21" t="s">
        <v>19822</v>
      </c>
      <c r="R105" s="11">
        <v>7055.0</v>
      </c>
    </row>
    <row r="106">
      <c r="A106" s="702" t="s">
        <v>19823</v>
      </c>
      <c r="B106" s="231"/>
      <c r="C106" s="25" t="s">
        <v>15405</v>
      </c>
      <c r="D106" s="683">
        <v>0.7</v>
      </c>
      <c r="E106" s="683">
        <v>0.7</v>
      </c>
      <c r="F106" s="10"/>
      <c r="Q106" s="21" t="s">
        <v>19824</v>
      </c>
      <c r="R106" s="11">
        <v>2345.0</v>
      </c>
    </row>
    <row r="107">
      <c r="A107" s="702" t="s">
        <v>19825</v>
      </c>
      <c r="B107" s="231"/>
      <c r="C107" s="25" t="s">
        <v>15405</v>
      </c>
      <c r="D107" s="683">
        <v>0.7</v>
      </c>
      <c r="E107" s="683">
        <v>0.7</v>
      </c>
      <c r="F107" s="10"/>
      <c r="Q107" s="21" t="s">
        <v>19826</v>
      </c>
      <c r="R107" s="11">
        <v>6629.0</v>
      </c>
    </row>
    <row r="108">
      <c r="A108" s="702" t="s">
        <v>19827</v>
      </c>
      <c r="B108" s="231"/>
      <c r="C108" s="25" t="s">
        <v>15405</v>
      </c>
      <c r="D108" s="683">
        <v>0.7</v>
      </c>
      <c r="E108" s="683">
        <v>0.7</v>
      </c>
      <c r="F108" s="10"/>
      <c r="Q108" s="21" t="s">
        <v>19828</v>
      </c>
      <c r="R108" s="11">
        <v>2345.0</v>
      </c>
    </row>
    <row r="109">
      <c r="A109" s="702" t="s">
        <v>19829</v>
      </c>
      <c r="B109" s="231"/>
      <c r="C109" s="25" t="s">
        <v>15405</v>
      </c>
      <c r="D109" s="683">
        <v>0.7</v>
      </c>
      <c r="E109" s="683">
        <v>0.7</v>
      </c>
      <c r="F109" s="10"/>
      <c r="Q109" s="21" t="s">
        <v>19830</v>
      </c>
      <c r="R109" s="11">
        <v>2345.0</v>
      </c>
    </row>
    <row r="110">
      <c r="A110" s="702" t="s">
        <v>19831</v>
      </c>
      <c r="B110" s="231"/>
      <c r="C110" s="25" t="s">
        <v>15405</v>
      </c>
      <c r="D110" s="683">
        <v>0.7</v>
      </c>
      <c r="E110" s="683">
        <v>0.7</v>
      </c>
      <c r="F110" s="10"/>
      <c r="Q110" s="21" t="s">
        <v>19832</v>
      </c>
      <c r="R110" s="11">
        <v>986.0</v>
      </c>
    </row>
    <row r="111">
      <c r="A111" s="702" t="s">
        <v>19833</v>
      </c>
      <c r="B111" s="231"/>
      <c r="C111" s="25" t="s">
        <v>15405</v>
      </c>
      <c r="D111" s="683">
        <v>0.7</v>
      </c>
      <c r="E111" s="683">
        <v>0.7</v>
      </c>
      <c r="F111" s="10"/>
      <c r="Q111" s="21" t="s">
        <v>19834</v>
      </c>
      <c r="R111" s="11">
        <v>986.0</v>
      </c>
    </row>
    <row r="112">
      <c r="A112" s="702" t="s">
        <v>19835</v>
      </c>
      <c r="B112" s="231"/>
      <c r="C112" s="25" t="s">
        <v>15405</v>
      </c>
      <c r="D112" s="683">
        <v>0.7</v>
      </c>
      <c r="E112" s="683">
        <v>0.7</v>
      </c>
      <c r="F112" s="10"/>
      <c r="Q112" s="21" t="s">
        <v>19836</v>
      </c>
      <c r="R112" s="11">
        <v>986.0</v>
      </c>
    </row>
    <row r="113">
      <c r="A113" s="702" t="s">
        <v>2754</v>
      </c>
      <c r="B113" s="231"/>
      <c r="C113" s="25" t="s">
        <v>15405</v>
      </c>
      <c r="D113" s="683">
        <v>0.7</v>
      </c>
      <c r="E113" s="683">
        <v>0.7</v>
      </c>
      <c r="F113" s="10"/>
      <c r="Q113" s="21" t="s">
        <v>19837</v>
      </c>
      <c r="R113" s="11">
        <v>986.0</v>
      </c>
    </row>
    <row r="114">
      <c r="A114" s="702" t="s">
        <v>19838</v>
      </c>
      <c r="B114" s="175">
        <v>14727.0</v>
      </c>
      <c r="C114" s="25" t="s">
        <v>15405</v>
      </c>
      <c r="D114" s="683">
        <v>0.7</v>
      </c>
      <c r="E114" s="683">
        <v>0.7</v>
      </c>
      <c r="F114" s="10"/>
      <c r="Q114" s="21" t="s">
        <v>19839</v>
      </c>
      <c r="R114" s="11">
        <v>2345.0</v>
      </c>
    </row>
    <row r="115">
      <c r="A115" s="702" t="s">
        <v>19840</v>
      </c>
      <c r="B115" s="231"/>
      <c r="C115" s="25" t="s">
        <v>15405</v>
      </c>
      <c r="D115" s="683">
        <v>0.7</v>
      </c>
      <c r="E115" s="683">
        <v>0.7</v>
      </c>
      <c r="F115" s="10"/>
      <c r="Q115" s="21" t="s">
        <v>19841</v>
      </c>
      <c r="R115" s="11">
        <v>2345.0</v>
      </c>
    </row>
    <row r="116">
      <c r="A116" s="702" t="s">
        <v>2518</v>
      </c>
      <c r="B116" s="231"/>
      <c r="C116" s="25" t="s">
        <v>15405</v>
      </c>
      <c r="D116" s="683">
        <v>0.7</v>
      </c>
      <c r="E116" s="683">
        <v>0.7</v>
      </c>
      <c r="F116" s="10"/>
      <c r="Q116" s="21" t="s">
        <v>19842</v>
      </c>
      <c r="R116" s="11">
        <v>2345.0</v>
      </c>
    </row>
    <row r="117">
      <c r="A117" s="702" t="s">
        <v>19843</v>
      </c>
      <c r="B117" s="231"/>
      <c r="C117" s="25" t="s">
        <v>15405</v>
      </c>
      <c r="D117" s="683">
        <v>0.7</v>
      </c>
      <c r="E117" s="683">
        <v>0.7</v>
      </c>
      <c r="F117" s="10"/>
      <c r="Q117" s="21" t="s">
        <v>19844</v>
      </c>
      <c r="R117" s="11">
        <v>2345.0</v>
      </c>
    </row>
    <row r="118">
      <c r="A118" s="702" t="s">
        <v>1038</v>
      </c>
      <c r="B118" s="231"/>
      <c r="C118" s="25" t="s">
        <v>15405</v>
      </c>
      <c r="D118" s="683">
        <v>0.7</v>
      </c>
      <c r="E118" s="683">
        <v>0.7</v>
      </c>
      <c r="F118" s="10"/>
      <c r="Q118" s="21" t="s">
        <v>19845</v>
      </c>
      <c r="R118" s="11">
        <v>2345.0</v>
      </c>
    </row>
    <row r="119">
      <c r="A119" s="702" t="s">
        <v>19846</v>
      </c>
      <c r="B119" s="231"/>
      <c r="C119" s="25" t="s">
        <v>15405</v>
      </c>
      <c r="D119" s="683">
        <v>0.7</v>
      </c>
      <c r="E119" s="683">
        <v>0.7</v>
      </c>
      <c r="F119" s="10"/>
      <c r="Q119" s="21" t="s">
        <v>19847</v>
      </c>
      <c r="R119" s="11">
        <v>2345.0</v>
      </c>
    </row>
    <row r="120">
      <c r="A120" s="702" t="s">
        <v>16721</v>
      </c>
      <c r="B120" s="231"/>
      <c r="C120" s="25" t="s">
        <v>15405</v>
      </c>
      <c r="D120" s="683">
        <v>0.7</v>
      </c>
      <c r="E120" s="683">
        <v>0.7</v>
      </c>
      <c r="F120" s="10"/>
      <c r="Q120" s="21" t="s">
        <v>19848</v>
      </c>
      <c r="R120" s="11">
        <v>136.0</v>
      </c>
    </row>
    <row r="121">
      <c r="A121" s="702" t="s">
        <v>19849</v>
      </c>
      <c r="B121" s="231"/>
      <c r="C121" s="25" t="s">
        <v>15405</v>
      </c>
      <c r="D121" s="683">
        <v>0.7</v>
      </c>
      <c r="E121" s="683">
        <v>0.7</v>
      </c>
      <c r="F121" s="10"/>
      <c r="Q121" s="21" t="s">
        <v>19850</v>
      </c>
      <c r="R121" s="11">
        <v>6998.0</v>
      </c>
    </row>
    <row r="122">
      <c r="A122" s="702" t="s">
        <v>19851</v>
      </c>
      <c r="B122" s="231"/>
      <c r="C122" s="25" t="s">
        <v>15405</v>
      </c>
      <c r="D122" s="683">
        <v>0.7</v>
      </c>
      <c r="E122" s="683">
        <v>0.7</v>
      </c>
      <c r="F122" s="10"/>
      <c r="Q122" s="21" t="s">
        <v>19852</v>
      </c>
      <c r="R122" s="11">
        <v>7129.0</v>
      </c>
    </row>
    <row r="123">
      <c r="A123" s="702" t="s">
        <v>19853</v>
      </c>
      <c r="B123" s="231"/>
      <c r="C123" s="25" t="s">
        <v>15405</v>
      </c>
      <c r="D123" s="683">
        <v>0.7</v>
      </c>
      <c r="E123" s="683">
        <v>0.7</v>
      </c>
      <c r="F123" s="10"/>
      <c r="Q123" s="21" t="s">
        <v>19854</v>
      </c>
      <c r="R123" s="11">
        <v>6530.0</v>
      </c>
    </row>
    <row r="124">
      <c r="A124" s="702" t="s">
        <v>19855</v>
      </c>
      <c r="B124" s="231"/>
      <c r="C124" s="25" t="s">
        <v>15405</v>
      </c>
      <c r="D124" s="683">
        <v>0.7</v>
      </c>
      <c r="E124" s="683">
        <v>0.7</v>
      </c>
      <c r="F124" s="10"/>
      <c r="Q124" s="21" t="s">
        <v>19856</v>
      </c>
      <c r="R124" s="11">
        <v>2345.0</v>
      </c>
    </row>
    <row r="125">
      <c r="A125" s="702" t="s">
        <v>19857</v>
      </c>
      <c r="B125" s="231"/>
      <c r="C125" s="25" t="s">
        <v>15405</v>
      </c>
      <c r="D125" s="683">
        <v>0.7</v>
      </c>
      <c r="E125" s="683">
        <v>0.7</v>
      </c>
      <c r="F125" s="10"/>
      <c r="Q125" s="21" t="s">
        <v>19858</v>
      </c>
      <c r="R125" s="11">
        <v>2345.0</v>
      </c>
    </row>
    <row r="126">
      <c r="A126" s="702" t="s">
        <v>2267</v>
      </c>
      <c r="B126" s="231"/>
      <c r="C126" s="25" t="s">
        <v>15405</v>
      </c>
      <c r="D126" s="683">
        <v>0.7</v>
      </c>
      <c r="E126" s="683">
        <v>0.7</v>
      </c>
      <c r="F126" s="10"/>
      <c r="Q126" s="21" t="s">
        <v>19859</v>
      </c>
      <c r="R126" s="11">
        <v>2345.0</v>
      </c>
    </row>
    <row r="127">
      <c r="A127" s="702" t="s">
        <v>19860</v>
      </c>
      <c r="B127" s="231"/>
      <c r="C127" s="25" t="s">
        <v>15405</v>
      </c>
      <c r="D127" s="683">
        <v>0.7</v>
      </c>
      <c r="E127" s="683">
        <v>0.7</v>
      </c>
      <c r="F127" s="10"/>
      <c r="Q127" s="21" t="s">
        <v>19861</v>
      </c>
      <c r="R127" s="11">
        <v>2345.0</v>
      </c>
    </row>
    <row r="128">
      <c r="A128" s="702" t="s">
        <v>19862</v>
      </c>
      <c r="B128" s="231"/>
      <c r="C128" s="25" t="s">
        <v>15405</v>
      </c>
      <c r="D128" s="683">
        <v>0.7</v>
      </c>
      <c r="E128" s="683">
        <v>0.7</v>
      </c>
      <c r="F128" s="10"/>
      <c r="Q128" s="21" t="s">
        <v>19863</v>
      </c>
      <c r="R128" s="11">
        <v>2345.0</v>
      </c>
    </row>
    <row r="129">
      <c r="A129" s="702" t="s">
        <v>19864</v>
      </c>
      <c r="B129" s="231"/>
      <c r="C129" s="25" t="s">
        <v>15405</v>
      </c>
      <c r="D129" s="683">
        <v>0.7</v>
      </c>
      <c r="E129" s="683">
        <v>0.7</v>
      </c>
      <c r="F129" s="10"/>
      <c r="Q129" s="21" t="s">
        <v>19865</v>
      </c>
      <c r="R129" s="11">
        <v>2345.0</v>
      </c>
    </row>
    <row r="130">
      <c r="A130" s="702" t="s">
        <v>19866</v>
      </c>
      <c r="B130" s="231"/>
      <c r="C130" s="25" t="s">
        <v>15405</v>
      </c>
      <c r="D130" s="683">
        <v>0.7</v>
      </c>
      <c r="E130" s="683">
        <v>0.7</v>
      </c>
      <c r="F130" s="10"/>
      <c r="Q130" s="21" t="s">
        <v>19867</v>
      </c>
      <c r="R130" s="37">
        <v>7123.0</v>
      </c>
    </row>
    <row r="131">
      <c r="A131" s="702" t="s">
        <v>19868</v>
      </c>
      <c r="B131" s="231"/>
      <c r="C131" s="25" t="s">
        <v>15405</v>
      </c>
      <c r="D131" s="683">
        <v>0.7</v>
      </c>
      <c r="E131" s="683">
        <v>0.7</v>
      </c>
      <c r="F131" s="10"/>
      <c r="Q131" s="21" t="s">
        <v>8404</v>
      </c>
      <c r="R131" s="11">
        <v>6133.0</v>
      </c>
    </row>
    <row r="132">
      <c r="A132" s="702" t="s">
        <v>19869</v>
      </c>
      <c r="B132" s="231"/>
      <c r="C132" s="25" t="s">
        <v>15405</v>
      </c>
      <c r="D132" s="683">
        <v>0.7</v>
      </c>
      <c r="E132" s="683">
        <v>0.7</v>
      </c>
      <c r="F132" s="10"/>
      <c r="Q132" s="21" t="s">
        <v>19870</v>
      </c>
      <c r="R132" s="11">
        <v>6133.0</v>
      </c>
    </row>
    <row r="133">
      <c r="A133" s="702" t="s">
        <v>19871</v>
      </c>
      <c r="B133" s="231"/>
      <c r="C133" s="25" t="s">
        <v>15405</v>
      </c>
      <c r="D133" s="683">
        <v>0.7</v>
      </c>
      <c r="E133" s="683">
        <v>0.7</v>
      </c>
      <c r="F133" s="10"/>
      <c r="Q133" s="21" t="s">
        <v>19872</v>
      </c>
      <c r="R133" s="11">
        <v>6530.0</v>
      </c>
    </row>
    <row r="134">
      <c r="A134" s="702" t="s">
        <v>19873</v>
      </c>
      <c r="B134" s="231"/>
      <c r="C134" s="25" t="s">
        <v>15405</v>
      </c>
      <c r="D134" s="683">
        <v>0.7</v>
      </c>
      <c r="E134" s="683">
        <v>0.7</v>
      </c>
      <c r="F134" s="10"/>
      <c r="Q134" s="21" t="s">
        <v>19874</v>
      </c>
      <c r="R134" s="122">
        <v>6778.0</v>
      </c>
    </row>
    <row r="135">
      <c r="A135" s="702" t="s">
        <v>2872</v>
      </c>
      <c r="B135" s="231"/>
      <c r="C135" s="25" t="s">
        <v>15405</v>
      </c>
      <c r="D135" s="683">
        <v>0.7</v>
      </c>
      <c r="E135" s="683">
        <v>0.7</v>
      </c>
      <c r="F135" s="10"/>
      <c r="Q135" s="21" t="s">
        <v>19875</v>
      </c>
      <c r="R135" s="11">
        <v>7123.0</v>
      </c>
    </row>
    <row r="136">
      <c r="A136" s="702" t="s">
        <v>19876</v>
      </c>
      <c r="B136" s="231"/>
      <c r="C136" s="25" t="s">
        <v>15405</v>
      </c>
      <c r="D136" s="683">
        <v>0.7</v>
      </c>
      <c r="E136" s="683">
        <v>0.7</v>
      </c>
      <c r="F136" s="10"/>
      <c r="Q136" s="21" t="s">
        <v>19877</v>
      </c>
      <c r="R136" s="21">
        <v>7040.0</v>
      </c>
    </row>
    <row r="137">
      <c r="A137" s="702" t="s">
        <v>19878</v>
      </c>
      <c r="B137" s="231"/>
      <c r="C137" s="25" t="s">
        <v>15405</v>
      </c>
      <c r="D137" s="683">
        <v>0.7</v>
      </c>
      <c r="E137" s="683">
        <v>0.7</v>
      </c>
      <c r="F137" s="10"/>
      <c r="Q137" s="21" t="s">
        <v>19879</v>
      </c>
      <c r="R137" s="11">
        <v>136.0</v>
      </c>
    </row>
    <row r="138">
      <c r="A138" s="702" t="s">
        <v>19880</v>
      </c>
      <c r="B138" s="231"/>
      <c r="C138" s="25" t="s">
        <v>15405</v>
      </c>
      <c r="D138" s="683">
        <v>0.7</v>
      </c>
      <c r="E138" s="683">
        <v>0.7</v>
      </c>
      <c r="F138" s="10"/>
      <c r="Q138" s="21" t="s">
        <v>19881</v>
      </c>
      <c r="R138" s="11">
        <v>2345.0</v>
      </c>
    </row>
    <row r="139">
      <c r="A139" s="702" t="s">
        <v>19882</v>
      </c>
      <c r="B139" s="231"/>
      <c r="C139" s="25" t="s">
        <v>15405</v>
      </c>
      <c r="D139" s="683">
        <v>0.7</v>
      </c>
      <c r="E139" s="683">
        <v>0.7</v>
      </c>
      <c r="F139" s="10"/>
      <c r="Q139" s="21" t="s">
        <v>19883</v>
      </c>
      <c r="R139" s="11">
        <v>2345.0</v>
      </c>
    </row>
    <row r="140">
      <c r="A140" s="702" t="s">
        <v>19884</v>
      </c>
      <c r="B140" s="231"/>
      <c r="C140" s="25" t="s">
        <v>15405</v>
      </c>
      <c r="D140" s="683">
        <v>0.7</v>
      </c>
      <c r="E140" s="683">
        <v>0.7</v>
      </c>
      <c r="F140" s="10"/>
      <c r="Q140" s="21" t="s">
        <v>19885</v>
      </c>
      <c r="R140" s="122">
        <v>6778.0</v>
      </c>
    </row>
    <row r="141">
      <c r="A141" s="702" t="s">
        <v>19886</v>
      </c>
      <c r="B141" s="231"/>
      <c r="C141" s="25" t="s">
        <v>15405</v>
      </c>
      <c r="D141" s="683">
        <v>0.7</v>
      </c>
      <c r="E141" s="683">
        <v>0.7</v>
      </c>
      <c r="F141" s="10"/>
      <c r="Q141" s="21" t="s">
        <v>19887</v>
      </c>
      <c r="R141" s="11">
        <v>2345.0</v>
      </c>
    </row>
    <row r="142">
      <c r="A142" s="702" t="s">
        <v>15946</v>
      </c>
      <c r="B142" s="231"/>
      <c r="C142" s="25" t="s">
        <v>15405</v>
      </c>
      <c r="D142" s="683">
        <v>0.7</v>
      </c>
      <c r="E142" s="683">
        <v>0.7</v>
      </c>
      <c r="F142" s="10"/>
      <c r="Q142" s="21" t="s">
        <v>19888</v>
      </c>
      <c r="R142" s="11">
        <v>2345.0</v>
      </c>
    </row>
    <row r="143">
      <c r="A143" s="702" t="s">
        <v>19889</v>
      </c>
      <c r="B143" s="231"/>
      <c r="C143" s="25" t="s">
        <v>15405</v>
      </c>
      <c r="D143" s="683">
        <v>0.7</v>
      </c>
      <c r="E143" s="683">
        <v>0.7</v>
      </c>
      <c r="F143" s="10"/>
      <c r="Q143" s="21" t="s">
        <v>19890</v>
      </c>
      <c r="R143" s="11">
        <v>2345.0</v>
      </c>
    </row>
    <row r="144">
      <c r="A144" s="702" t="s">
        <v>19891</v>
      </c>
      <c r="B144" s="231"/>
      <c r="C144" s="25" t="s">
        <v>15405</v>
      </c>
      <c r="D144" s="683">
        <v>0.7</v>
      </c>
      <c r="E144" s="683">
        <v>0.7</v>
      </c>
      <c r="F144" s="10"/>
      <c r="Q144" s="21" t="s">
        <v>19892</v>
      </c>
      <c r="R144" s="11">
        <v>6732.0</v>
      </c>
    </row>
    <row r="145">
      <c r="A145" s="702" t="s">
        <v>19893</v>
      </c>
      <c r="B145" s="231"/>
      <c r="C145" s="25" t="s">
        <v>15405</v>
      </c>
      <c r="D145" s="683">
        <v>0.7</v>
      </c>
      <c r="E145" s="683">
        <v>0.7</v>
      </c>
      <c r="F145" s="10"/>
      <c r="Q145" s="21" t="s">
        <v>19894</v>
      </c>
      <c r="R145" s="11">
        <v>6831.0</v>
      </c>
    </row>
    <row r="146">
      <c r="A146" s="702" t="s">
        <v>19895</v>
      </c>
      <c r="B146" s="231"/>
      <c r="C146" s="25" t="s">
        <v>15405</v>
      </c>
      <c r="D146" s="683">
        <v>0.7</v>
      </c>
      <c r="E146" s="683">
        <v>0.7</v>
      </c>
      <c r="F146" s="10"/>
      <c r="Q146" s="21" t="s">
        <v>19896</v>
      </c>
      <c r="R146" s="11">
        <v>1334.0</v>
      </c>
    </row>
    <row r="147">
      <c r="A147" s="702" t="s">
        <v>19897</v>
      </c>
      <c r="B147" s="231"/>
      <c r="C147" s="25" t="s">
        <v>15405</v>
      </c>
      <c r="D147" s="683">
        <v>0.7</v>
      </c>
      <c r="E147" s="683">
        <v>0.7</v>
      </c>
      <c r="F147" s="10"/>
      <c r="Q147" s="21" t="s">
        <v>19898</v>
      </c>
      <c r="R147" s="11">
        <v>7083.0</v>
      </c>
    </row>
    <row r="148">
      <c r="A148" s="702" t="s">
        <v>19899</v>
      </c>
      <c r="B148" s="231"/>
      <c r="C148" s="25" t="s">
        <v>15405</v>
      </c>
      <c r="D148" s="683">
        <v>0.7</v>
      </c>
      <c r="E148" s="683">
        <v>0.7</v>
      </c>
      <c r="F148" s="10"/>
      <c r="Q148" s="21" t="s">
        <v>19900</v>
      </c>
      <c r="R148" s="11">
        <v>4933.0</v>
      </c>
    </row>
    <row r="149">
      <c r="A149" s="702" t="s">
        <v>19901</v>
      </c>
      <c r="B149" s="231"/>
      <c r="C149" s="25" t="s">
        <v>15405</v>
      </c>
      <c r="D149" s="683">
        <v>0.7</v>
      </c>
      <c r="E149" s="683">
        <v>0.7</v>
      </c>
      <c r="F149" s="10"/>
      <c r="Q149" s="21" t="s">
        <v>19902</v>
      </c>
      <c r="R149" s="11">
        <v>4933.0</v>
      </c>
    </row>
    <row r="150">
      <c r="A150" s="702" t="s">
        <v>19903</v>
      </c>
      <c r="B150" s="231"/>
      <c r="C150" s="25" t="s">
        <v>15405</v>
      </c>
      <c r="D150" s="683">
        <v>0.7</v>
      </c>
      <c r="E150" s="683">
        <v>0.7</v>
      </c>
      <c r="F150" s="10"/>
      <c r="Q150" s="21" t="s">
        <v>19904</v>
      </c>
      <c r="R150" s="11">
        <v>4933.0</v>
      </c>
    </row>
    <row r="151">
      <c r="A151" s="702" t="s">
        <v>19905</v>
      </c>
      <c r="B151" s="231"/>
      <c r="C151" s="25" t="s">
        <v>15405</v>
      </c>
      <c r="D151" s="683">
        <v>0.7</v>
      </c>
      <c r="E151" s="683">
        <v>0.7</v>
      </c>
      <c r="F151" s="10"/>
      <c r="Q151" s="21" t="s">
        <v>19906</v>
      </c>
      <c r="R151" s="37">
        <v>7113.0</v>
      </c>
    </row>
    <row r="152">
      <c r="A152" s="702" t="s">
        <v>5915</v>
      </c>
      <c r="B152" s="231"/>
      <c r="C152" s="25" t="s">
        <v>15405</v>
      </c>
      <c r="D152" s="683">
        <v>0.7</v>
      </c>
      <c r="E152" s="683">
        <v>0.7</v>
      </c>
      <c r="F152" s="10"/>
      <c r="Q152" s="21" t="s">
        <v>19907</v>
      </c>
      <c r="R152" s="11">
        <v>6732.0</v>
      </c>
    </row>
    <row r="153">
      <c r="A153" s="176" t="s">
        <v>19908</v>
      </c>
      <c r="B153" s="25">
        <v>6928.0</v>
      </c>
      <c r="C153" s="25" t="s">
        <v>15405</v>
      </c>
      <c r="D153" s="683">
        <v>0.7</v>
      </c>
      <c r="E153" s="683">
        <v>0.7</v>
      </c>
      <c r="F153" s="10"/>
      <c r="Q153" s="21" t="s">
        <v>19909</v>
      </c>
      <c r="R153" s="11">
        <v>6831.0</v>
      </c>
    </row>
    <row r="154">
      <c r="A154" s="702" t="s">
        <v>19910</v>
      </c>
      <c r="B154" s="231"/>
      <c r="C154" s="25" t="s">
        <v>15405</v>
      </c>
      <c r="D154" s="683">
        <v>0.7</v>
      </c>
      <c r="E154" s="683">
        <v>0.7</v>
      </c>
      <c r="F154" s="10"/>
      <c r="Q154" s="21" t="s">
        <v>19911</v>
      </c>
      <c r="R154" s="11">
        <v>6732.0</v>
      </c>
    </row>
    <row r="155">
      <c r="A155" s="702" t="s">
        <v>19912</v>
      </c>
      <c r="B155" s="231"/>
      <c r="C155" s="25" t="s">
        <v>15405</v>
      </c>
      <c r="D155" s="683">
        <v>0.7</v>
      </c>
      <c r="E155" s="683">
        <v>0.7</v>
      </c>
      <c r="F155" s="10"/>
      <c r="Q155" s="21" t="s">
        <v>19913</v>
      </c>
      <c r="R155" s="11">
        <v>7132.0</v>
      </c>
    </row>
    <row r="156">
      <c r="A156" s="702" t="s">
        <v>19914</v>
      </c>
      <c r="B156" s="231"/>
      <c r="C156" s="25" t="s">
        <v>15405</v>
      </c>
      <c r="D156" s="683">
        <v>0.7</v>
      </c>
      <c r="E156" s="683">
        <v>0.7</v>
      </c>
      <c r="F156" s="10"/>
      <c r="Q156" s="21" t="s">
        <v>19915</v>
      </c>
      <c r="R156" s="11">
        <v>2345.0</v>
      </c>
    </row>
    <row r="157">
      <c r="A157" s="702" t="s">
        <v>19916</v>
      </c>
      <c r="B157" s="231"/>
      <c r="C157" s="25" t="s">
        <v>15405</v>
      </c>
      <c r="D157" s="683">
        <v>0.7</v>
      </c>
      <c r="E157" s="683">
        <v>0.7</v>
      </c>
      <c r="F157" s="10"/>
      <c r="Q157" s="21" t="s">
        <v>19917</v>
      </c>
      <c r="R157" s="122">
        <v>6697.0</v>
      </c>
    </row>
    <row r="158">
      <c r="A158" s="702" t="s">
        <v>19918</v>
      </c>
      <c r="B158" s="231"/>
      <c r="C158" s="25" t="s">
        <v>15405</v>
      </c>
      <c r="D158" s="683">
        <v>0.7</v>
      </c>
      <c r="E158" s="683">
        <v>0.7</v>
      </c>
      <c r="F158" s="10"/>
      <c r="Q158" s="21" t="s">
        <v>19919</v>
      </c>
      <c r="R158" s="11">
        <v>7124.0</v>
      </c>
    </row>
    <row r="159">
      <c r="A159" s="702" t="s">
        <v>19920</v>
      </c>
      <c r="B159" s="231"/>
      <c r="C159" s="25" t="s">
        <v>15405</v>
      </c>
      <c r="D159" s="683">
        <v>0.7</v>
      </c>
      <c r="E159" s="683">
        <v>0.7</v>
      </c>
      <c r="F159" s="10"/>
      <c r="Q159" s="21" t="s">
        <v>19921</v>
      </c>
      <c r="R159" s="11">
        <v>7070.0</v>
      </c>
    </row>
    <row r="160">
      <c r="A160" s="702" t="s">
        <v>19922</v>
      </c>
      <c r="B160" s="231"/>
      <c r="C160" s="25" t="s">
        <v>15405</v>
      </c>
      <c r="D160" s="683">
        <v>0.7</v>
      </c>
      <c r="E160" s="683">
        <v>0.7</v>
      </c>
      <c r="F160" s="10"/>
      <c r="Q160" s="21" t="s">
        <v>19923</v>
      </c>
      <c r="R160" s="11">
        <v>6732.0</v>
      </c>
    </row>
    <row r="161">
      <c r="A161" s="702" t="s">
        <v>19924</v>
      </c>
      <c r="B161" s="231"/>
      <c r="C161" s="25" t="s">
        <v>15405</v>
      </c>
      <c r="D161" s="683">
        <v>0.7</v>
      </c>
      <c r="E161" s="683">
        <v>0.7</v>
      </c>
      <c r="F161" s="10"/>
      <c r="Q161" s="21" t="s">
        <v>19925</v>
      </c>
      <c r="R161" s="11">
        <v>6928.0</v>
      </c>
    </row>
    <row r="162">
      <c r="A162" s="702" t="s">
        <v>19926</v>
      </c>
      <c r="B162" s="231"/>
      <c r="C162" s="25" t="s">
        <v>15405</v>
      </c>
      <c r="D162" s="683">
        <v>0.7</v>
      </c>
      <c r="E162" s="683">
        <v>0.7</v>
      </c>
      <c r="F162" s="10"/>
      <c r="Q162" s="21" t="s">
        <v>19927</v>
      </c>
      <c r="R162" s="11">
        <v>5458.0</v>
      </c>
    </row>
    <row r="163">
      <c r="A163" s="702" t="s">
        <v>19928</v>
      </c>
      <c r="B163" s="231"/>
      <c r="C163" s="25" t="s">
        <v>15405</v>
      </c>
      <c r="D163" s="683">
        <v>0.7</v>
      </c>
      <c r="E163" s="683">
        <v>0.7</v>
      </c>
      <c r="F163" s="10"/>
      <c r="Q163" s="21" t="s">
        <v>19929</v>
      </c>
      <c r="R163" s="21">
        <v>6780.0</v>
      </c>
    </row>
    <row r="164">
      <c r="A164" s="702" t="s">
        <v>19930</v>
      </c>
      <c r="B164" s="231"/>
      <c r="C164" s="25" t="s">
        <v>15405</v>
      </c>
      <c r="D164" s="683">
        <v>0.7</v>
      </c>
      <c r="E164" s="683">
        <v>0.7</v>
      </c>
      <c r="F164" s="10"/>
      <c r="Q164" s="21" t="s">
        <v>19931</v>
      </c>
      <c r="R164" s="11">
        <v>10856.0</v>
      </c>
    </row>
    <row r="165">
      <c r="A165" s="702" t="s">
        <v>19932</v>
      </c>
      <c r="B165" s="231"/>
      <c r="C165" s="25" t="s">
        <v>15405</v>
      </c>
      <c r="D165" s="683">
        <v>0.7</v>
      </c>
      <c r="E165" s="683">
        <v>0.7</v>
      </c>
      <c r="F165" s="10"/>
      <c r="Q165" s="21" t="s">
        <v>19933</v>
      </c>
      <c r="R165" s="11">
        <v>6557.0</v>
      </c>
    </row>
    <row r="166">
      <c r="A166" s="702" t="s">
        <v>19934</v>
      </c>
      <c r="B166" s="231"/>
      <c r="C166" s="25" t="s">
        <v>15405</v>
      </c>
      <c r="D166" s="683">
        <v>0.7</v>
      </c>
      <c r="E166" s="683">
        <v>0.7</v>
      </c>
      <c r="F166" s="10"/>
      <c r="Q166" s="21" t="s">
        <v>19935</v>
      </c>
      <c r="R166" s="11">
        <v>6557.0</v>
      </c>
    </row>
    <row r="167">
      <c r="A167" s="702" t="s">
        <v>19936</v>
      </c>
      <c r="B167" s="231"/>
      <c r="C167" s="25" t="s">
        <v>15405</v>
      </c>
      <c r="D167" s="683">
        <v>0.7</v>
      </c>
      <c r="E167" s="683">
        <v>0.7</v>
      </c>
      <c r="F167" s="10"/>
      <c r="Q167" s="21" t="s">
        <v>19937</v>
      </c>
      <c r="R167" s="11">
        <v>6557.0</v>
      </c>
    </row>
    <row r="168">
      <c r="A168" s="702" t="s">
        <v>19938</v>
      </c>
      <c r="B168" s="231"/>
      <c r="C168" s="25" t="s">
        <v>15405</v>
      </c>
      <c r="D168" s="683">
        <v>0.7</v>
      </c>
      <c r="E168" s="683">
        <v>0.7</v>
      </c>
      <c r="F168" s="10"/>
      <c r="Q168" s="21" t="s">
        <v>19939</v>
      </c>
      <c r="R168" s="11">
        <v>6557.0</v>
      </c>
    </row>
    <row r="169">
      <c r="A169" s="702" t="s">
        <v>19940</v>
      </c>
      <c r="B169" s="231"/>
      <c r="C169" s="25" t="s">
        <v>15405</v>
      </c>
      <c r="D169" s="683">
        <v>0.7</v>
      </c>
      <c r="E169" s="683">
        <v>0.7</v>
      </c>
      <c r="F169" s="10"/>
      <c r="Q169" s="21" t="s">
        <v>19941</v>
      </c>
      <c r="R169" s="11">
        <v>7098.0</v>
      </c>
    </row>
    <row r="170">
      <c r="A170" s="702" t="s">
        <v>19942</v>
      </c>
      <c r="B170" s="231"/>
      <c r="C170" s="25" t="s">
        <v>15405</v>
      </c>
      <c r="D170" s="683">
        <v>0.7</v>
      </c>
      <c r="E170" s="683">
        <v>0.7</v>
      </c>
      <c r="F170" s="10"/>
      <c r="Q170" s="21" t="s">
        <v>19943</v>
      </c>
      <c r="R170" s="11">
        <v>6557.0</v>
      </c>
    </row>
    <row r="171">
      <c r="A171" s="702" t="s">
        <v>19944</v>
      </c>
      <c r="B171" s="231"/>
      <c r="C171" s="25" t="s">
        <v>15405</v>
      </c>
      <c r="D171" s="683">
        <v>0.7</v>
      </c>
      <c r="E171" s="683">
        <v>0.7</v>
      </c>
      <c r="F171" s="10"/>
      <c r="Q171" s="21" t="s">
        <v>19945</v>
      </c>
      <c r="R171" s="11">
        <v>6557.0</v>
      </c>
    </row>
    <row r="172">
      <c r="A172" s="702" t="s">
        <v>19946</v>
      </c>
      <c r="B172" s="231"/>
      <c r="C172" s="25" t="s">
        <v>15405</v>
      </c>
      <c r="D172" s="683">
        <v>0.7</v>
      </c>
      <c r="E172" s="683">
        <v>0.7</v>
      </c>
      <c r="F172" s="10"/>
      <c r="Q172" s="21" t="s">
        <v>19947</v>
      </c>
      <c r="R172" s="11">
        <v>6557.0</v>
      </c>
    </row>
    <row r="173">
      <c r="A173" s="702" t="s">
        <v>19948</v>
      </c>
      <c r="B173" s="231"/>
      <c r="C173" s="25" t="s">
        <v>15405</v>
      </c>
      <c r="D173" s="683">
        <v>0.7</v>
      </c>
      <c r="E173" s="683">
        <v>0.7</v>
      </c>
      <c r="F173" s="10"/>
      <c r="Q173" s="21" t="s">
        <v>19949</v>
      </c>
      <c r="R173" s="11">
        <v>6557.0</v>
      </c>
    </row>
    <row r="174">
      <c r="A174" s="702" t="s">
        <v>19950</v>
      </c>
      <c r="B174" s="231"/>
      <c r="C174" s="25" t="s">
        <v>15405</v>
      </c>
      <c r="D174" s="683">
        <v>0.7</v>
      </c>
      <c r="E174" s="683">
        <v>0.7</v>
      </c>
      <c r="F174" s="10"/>
      <c r="Q174" s="21" t="s">
        <v>19951</v>
      </c>
      <c r="R174" s="11">
        <v>7098.0</v>
      </c>
    </row>
    <row r="175">
      <c r="A175" s="702" t="s">
        <v>19952</v>
      </c>
      <c r="B175" s="231"/>
      <c r="C175" s="25" t="s">
        <v>15405</v>
      </c>
      <c r="D175" s="683">
        <v>0.7</v>
      </c>
      <c r="E175" s="683">
        <v>0.7</v>
      </c>
      <c r="F175" s="10"/>
      <c r="Q175" s="21" t="s">
        <v>19953</v>
      </c>
      <c r="R175" s="11">
        <v>1334.0</v>
      </c>
    </row>
    <row r="176">
      <c r="A176" s="702" t="s">
        <v>19954</v>
      </c>
      <c r="B176" s="231"/>
      <c r="C176" s="25" t="s">
        <v>15405</v>
      </c>
      <c r="D176" s="683">
        <v>0.7</v>
      </c>
      <c r="E176" s="683">
        <v>0.7</v>
      </c>
      <c r="F176" s="10"/>
      <c r="Q176" s="21" t="s">
        <v>19955</v>
      </c>
      <c r="R176" s="11">
        <v>6732.0</v>
      </c>
    </row>
    <row r="177">
      <c r="A177" s="702" t="s">
        <v>19956</v>
      </c>
      <c r="B177" s="231"/>
      <c r="C177" s="25" t="s">
        <v>15405</v>
      </c>
      <c r="D177" s="683">
        <v>0.7</v>
      </c>
      <c r="E177" s="683">
        <v>0.7</v>
      </c>
      <c r="F177" s="10"/>
      <c r="Q177" s="21" t="s">
        <v>19957</v>
      </c>
      <c r="R177" s="11">
        <v>6727.0</v>
      </c>
    </row>
    <row r="178">
      <c r="A178" s="702" t="s">
        <v>19958</v>
      </c>
      <c r="B178" s="231"/>
      <c r="C178" s="25" t="s">
        <v>15405</v>
      </c>
      <c r="D178" s="683">
        <v>0.7</v>
      </c>
      <c r="E178" s="683">
        <v>0.7</v>
      </c>
      <c r="F178" s="10"/>
      <c r="Q178" s="21" t="s">
        <v>19959</v>
      </c>
      <c r="R178" s="11">
        <v>6727.0</v>
      </c>
    </row>
    <row r="179">
      <c r="A179" s="702" t="s">
        <v>19960</v>
      </c>
      <c r="B179" s="231"/>
      <c r="C179" s="25" t="s">
        <v>15405</v>
      </c>
      <c r="D179" s="683">
        <v>0.7</v>
      </c>
      <c r="E179" s="683">
        <v>0.7</v>
      </c>
      <c r="F179" s="10"/>
      <c r="Q179" s="21" t="s">
        <v>19961</v>
      </c>
      <c r="R179" s="11">
        <v>6727.0</v>
      </c>
    </row>
    <row r="180">
      <c r="A180" s="176" t="s">
        <v>19962</v>
      </c>
      <c r="B180" s="25">
        <v>189.0</v>
      </c>
      <c r="C180" s="25" t="s">
        <v>15405</v>
      </c>
      <c r="D180" s="705">
        <v>0.78</v>
      </c>
      <c r="E180" s="705">
        <v>0.78</v>
      </c>
      <c r="F180" s="10"/>
      <c r="Q180" s="21" t="s">
        <v>19963</v>
      </c>
      <c r="R180" s="11">
        <v>6727.0</v>
      </c>
    </row>
    <row r="181">
      <c r="A181" s="702" t="s">
        <v>19964</v>
      </c>
      <c r="B181" s="231"/>
      <c r="C181" s="25" t="s">
        <v>15405</v>
      </c>
      <c r="D181" s="683">
        <v>0.7</v>
      </c>
      <c r="E181" s="683">
        <v>0.7</v>
      </c>
      <c r="F181" s="10"/>
      <c r="Q181" s="21" t="s">
        <v>19965</v>
      </c>
      <c r="R181" s="11">
        <v>189.0</v>
      </c>
    </row>
    <row r="182">
      <c r="A182" s="702" t="s">
        <v>19966</v>
      </c>
      <c r="B182" s="231"/>
      <c r="C182" s="25" t="s">
        <v>15405</v>
      </c>
      <c r="D182" s="683">
        <v>0.7</v>
      </c>
      <c r="E182" s="683">
        <v>0.7</v>
      </c>
      <c r="F182" s="10"/>
      <c r="Q182" s="21" t="s">
        <v>19967</v>
      </c>
      <c r="R182" s="11">
        <v>1334.0</v>
      </c>
    </row>
    <row r="183">
      <c r="A183" s="702" t="s">
        <v>19968</v>
      </c>
      <c r="B183" s="231"/>
      <c r="C183" s="25" t="s">
        <v>15405</v>
      </c>
      <c r="D183" s="683">
        <v>0.7</v>
      </c>
      <c r="E183" s="683">
        <v>0.7</v>
      </c>
      <c r="F183" s="10"/>
      <c r="Q183" s="21" t="s">
        <v>19969</v>
      </c>
      <c r="R183" s="11">
        <v>189.0</v>
      </c>
    </row>
    <row r="184">
      <c r="A184" s="702" t="s">
        <v>19970</v>
      </c>
      <c r="B184" s="231"/>
      <c r="C184" s="25" t="s">
        <v>15405</v>
      </c>
      <c r="D184" s="683">
        <v>0.7</v>
      </c>
      <c r="E184" s="683">
        <v>0.7</v>
      </c>
      <c r="F184" s="10"/>
      <c r="Q184" s="21" t="s">
        <v>19971</v>
      </c>
      <c r="R184" s="11">
        <v>9033.0</v>
      </c>
    </row>
    <row r="185">
      <c r="A185" s="702" t="s">
        <v>19972</v>
      </c>
      <c r="B185" s="231"/>
      <c r="C185" s="25" t="s">
        <v>15405</v>
      </c>
      <c r="D185" s="683">
        <v>0.7</v>
      </c>
      <c r="E185" s="683">
        <v>0.7</v>
      </c>
      <c r="F185" s="10"/>
      <c r="Q185" s="21" t="s">
        <v>19973</v>
      </c>
      <c r="R185" s="11">
        <v>6732.0</v>
      </c>
    </row>
    <row r="186">
      <c r="A186" s="702" t="s">
        <v>19974</v>
      </c>
      <c r="B186" s="231"/>
      <c r="C186" s="25" t="s">
        <v>15405</v>
      </c>
      <c r="D186" s="683">
        <v>0.7</v>
      </c>
      <c r="E186" s="683">
        <v>0.7</v>
      </c>
      <c r="F186" s="10"/>
      <c r="Q186" s="21" t="s">
        <v>19975</v>
      </c>
      <c r="R186" s="11">
        <v>2345.0</v>
      </c>
    </row>
    <row r="187">
      <c r="A187" s="702" t="s">
        <v>19976</v>
      </c>
      <c r="B187" s="231"/>
      <c r="C187" s="25" t="s">
        <v>15405</v>
      </c>
      <c r="D187" s="683">
        <v>0.7</v>
      </c>
      <c r="E187" s="683">
        <v>0.7</v>
      </c>
      <c r="F187" s="10"/>
      <c r="Q187" s="21" t="s">
        <v>19977</v>
      </c>
      <c r="R187" s="11">
        <v>2345.0</v>
      </c>
    </row>
    <row r="188">
      <c r="A188" s="702" t="s">
        <v>19978</v>
      </c>
      <c r="B188" s="231"/>
      <c r="C188" s="25" t="s">
        <v>15405</v>
      </c>
      <c r="D188" s="683">
        <v>0.7</v>
      </c>
      <c r="E188" s="683">
        <v>0.7</v>
      </c>
      <c r="F188" s="10"/>
      <c r="Q188" s="21" t="s">
        <v>19979</v>
      </c>
      <c r="R188" s="11">
        <v>2345.0</v>
      </c>
    </row>
    <row r="189">
      <c r="A189" s="702" t="s">
        <v>19980</v>
      </c>
      <c r="B189" s="231"/>
      <c r="C189" s="25" t="s">
        <v>15405</v>
      </c>
      <c r="D189" s="683">
        <v>0.7</v>
      </c>
      <c r="E189" s="683">
        <v>0.7</v>
      </c>
      <c r="F189" s="10"/>
      <c r="Q189" s="21" t="s">
        <v>19981</v>
      </c>
      <c r="R189" s="11">
        <v>2345.0</v>
      </c>
    </row>
    <row r="190">
      <c r="A190" s="702" t="s">
        <v>19982</v>
      </c>
      <c r="B190" s="231"/>
      <c r="C190" s="25" t="s">
        <v>15405</v>
      </c>
      <c r="D190" s="683">
        <v>0.7</v>
      </c>
      <c r="E190" s="683">
        <v>0.7</v>
      </c>
      <c r="F190" s="10"/>
      <c r="Q190" s="21" t="s">
        <v>19983</v>
      </c>
      <c r="R190" s="11">
        <v>2345.0</v>
      </c>
    </row>
    <row r="191">
      <c r="A191" s="702" t="s">
        <v>5132</v>
      </c>
      <c r="B191" s="231"/>
      <c r="C191" s="25" t="s">
        <v>15405</v>
      </c>
      <c r="D191" s="683">
        <v>0.7</v>
      </c>
      <c r="E191" s="683">
        <v>0.7</v>
      </c>
      <c r="F191" s="10"/>
      <c r="Q191" s="21" t="s">
        <v>19984</v>
      </c>
      <c r="R191" s="11">
        <v>2345.0</v>
      </c>
    </row>
    <row r="192">
      <c r="A192" s="702" t="s">
        <v>19985</v>
      </c>
      <c r="B192" s="231"/>
      <c r="C192" s="25" t="s">
        <v>15405</v>
      </c>
      <c r="D192" s="683">
        <v>0.7</v>
      </c>
      <c r="E192" s="683">
        <v>0.7</v>
      </c>
      <c r="F192" s="10"/>
      <c r="Q192" s="21" t="s">
        <v>19986</v>
      </c>
      <c r="R192" s="11">
        <v>2345.0</v>
      </c>
    </row>
    <row r="193">
      <c r="A193" s="702" t="s">
        <v>19987</v>
      </c>
      <c r="B193" s="231"/>
      <c r="C193" s="25" t="s">
        <v>15405</v>
      </c>
      <c r="D193" s="683">
        <v>0.7</v>
      </c>
      <c r="E193" s="683">
        <v>0.7</v>
      </c>
      <c r="F193" s="10"/>
      <c r="Q193" s="21" t="s">
        <v>19988</v>
      </c>
      <c r="R193" s="11">
        <v>2345.0</v>
      </c>
    </row>
    <row r="194">
      <c r="A194" s="702" t="s">
        <v>19989</v>
      </c>
      <c r="B194" s="231"/>
      <c r="C194" s="25" t="s">
        <v>15405</v>
      </c>
      <c r="D194" s="683">
        <v>0.7</v>
      </c>
      <c r="E194" s="683">
        <v>0.7</v>
      </c>
      <c r="F194" s="10"/>
      <c r="Q194" s="21" t="s">
        <v>19990</v>
      </c>
      <c r="R194" s="11">
        <v>2345.0</v>
      </c>
    </row>
    <row r="195">
      <c r="A195" s="702" t="s">
        <v>672</v>
      </c>
      <c r="B195" s="231"/>
      <c r="C195" s="25" t="s">
        <v>15405</v>
      </c>
      <c r="D195" s="683">
        <v>0.7</v>
      </c>
      <c r="E195" s="683">
        <v>0.7</v>
      </c>
      <c r="F195" s="10"/>
      <c r="Q195" s="21" t="s">
        <v>19991</v>
      </c>
      <c r="R195" s="11">
        <v>2345.0</v>
      </c>
    </row>
    <row r="196">
      <c r="A196" s="702" t="s">
        <v>19992</v>
      </c>
      <c r="B196" s="231"/>
      <c r="C196" s="25" t="s">
        <v>15405</v>
      </c>
      <c r="D196" s="683">
        <v>0.7</v>
      </c>
      <c r="E196" s="683">
        <v>0.7</v>
      </c>
      <c r="F196" s="10"/>
      <c r="Q196" s="21" t="s">
        <v>19993</v>
      </c>
      <c r="R196" s="11">
        <v>2345.0</v>
      </c>
    </row>
    <row r="197">
      <c r="A197" s="702" t="s">
        <v>19994</v>
      </c>
      <c r="B197" s="231"/>
      <c r="C197" s="25" t="s">
        <v>15405</v>
      </c>
      <c r="D197" s="683">
        <v>0.7</v>
      </c>
      <c r="E197" s="683">
        <v>0.7</v>
      </c>
      <c r="F197" s="10"/>
      <c r="Q197" s="21" t="s">
        <v>19995</v>
      </c>
      <c r="R197" s="11">
        <v>2345.0</v>
      </c>
    </row>
    <row r="198">
      <c r="A198" s="702" t="s">
        <v>16783</v>
      </c>
      <c r="B198" s="231"/>
      <c r="C198" s="25" t="s">
        <v>15405</v>
      </c>
      <c r="D198" s="683">
        <v>0.7</v>
      </c>
      <c r="E198" s="683">
        <v>0.7</v>
      </c>
      <c r="F198" s="10"/>
      <c r="Q198" s="21" t="s">
        <v>19996</v>
      </c>
      <c r="R198" s="11">
        <v>2345.0</v>
      </c>
    </row>
    <row r="199">
      <c r="A199" s="702" t="s">
        <v>19997</v>
      </c>
      <c r="B199" s="231"/>
      <c r="C199" s="25" t="s">
        <v>15405</v>
      </c>
      <c r="D199" s="683">
        <v>0.7</v>
      </c>
      <c r="E199" s="683">
        <v>0.7</v>
      </c>
      <c r="F199" s="10"/>
      <c r="Q199" s="21" t="s">
        <v>19998</v>
      </c>
      <c r="R199" s="11">
        <v>6658.0</v>
      </c>
    </row>
    <row r="200">
      <c r="A200" s="702" t="s">
        <v>19999</v>
      </c>
      <c r="B200" s="231"/>
      <c r="C200" s="25" t="s">
        <v>15405</v>
      </c>
      <c r="D200" s="683">
        <v>0.7</v>
      </c>
      <c r="E200" s="683">
        <v>0.7</v>
      </c>
      <c r="F200" s="10"/>
      <c r="Q200" s="21" t="s">
        <v>20000</v>
      </c>
      <c r="R200" s="11">
        <v>7051.0</v>
      </c>
    </row>
    <row r="201">
      <c r="A201" s="702" t="s">
        <v>20001</v>
      </c>
      <c r="B201" s="231"/>
      <c r="C201" s="25" t="s">
        <v>15405</v>
      </c>
      <c r="D201" s="683">
        <v>0.7</v>
      </c>
      <c r="E201" s="683">
        <v>0.7</v>
      </c>
      <c r="F201" s="10"/>
      <c r="Q201" s="21" t="s">
        <v>20002</v>
      </c>
      <c r="R201" s="433">
        <v>7023.0</v>
      </c>
    </row>
    <row r="202">
      <c r="A202" s="702" t="s">
        <v>20003</v>
      </c>
      <c r="B202" s="231"/>
      <c r="C202" s="25" t="s">
        <v>15405</v>
      </c>
      <c r="D202" s="683">
        <v>0.7</v>
      </c>
      <c r="E202" s="683">
        <v>0.7</v>
      </c>
      <c r="F202" s="10"/>
      <c r="Q202" s="7" t="s">
        <v>20004</v>
      </c>
      <c r="R202" s="66">
        <v>1334.0</v>
      </c>
    </row>
    <row r="203">
      <c r="A203" s="702" t="s">
        <v>20005</v>
      </c>
      <c r="B203" s="231"/>
      <c r="C203" s="25" t="s">
        <v>15405</v>
      </c>
      <c r="D203" s="683">
        <v>0.7</v>
      </c>
      <c r="E203" s="683">
        <v>0.7</v>
      </c>
      <c r="F203" s="10"/>
      <c r="Q203" s="7" t="s">
        <v>20006</v>
      </c>
      <c r="R203" s="66">
        <v>1334.0</v>
      </c>
    </row>
    <row r="204">
      <c r="A204" s="702" t="s">
        <v>20007</v>
      </c>
      <c r="B204" s="231"/>
      <c r="C204" s="25" t="s">
        <v>15405</v>
      </c>
      <c r="D204" s="683">
        <v>0.7</v>
      </c>
      <c r="E204" s="683">
        <v>0.7</v>
      </c>
      <c r="F204" s="10"/>
      <c r="Q204" s="572" t="s">
        <v>20008</v>
      </c>
    </row>
    <row r="205">
      <c r="A205" s="702" t="s">
        <v>20009</v>
      </c>
      <c r="B205" s="231"/>
      <c r="C205" s="25" t="s">
        <v>15405</v>
      </c>
      <c r="D205" s="683">
        <v>0.7</v>
      </c>
      <c r="E205" s="683">
        <v>0.7</v>
      </c>
      <c r="F205" s="10"/>
      <c r="Q205" s="7" t="s">
        <v>20010</v>
      </c>
      <c r="R205" s="11">
        <v>6936.0</v>
      </c>
    </row>
    <row r="206">
      <c r="A206" s="702" t="s">
        <v>20011</v>
      </c>
      <c r="B206" s="231"/>
      <c r="C206" s="25" t="s">
        <v>15405</v>
      </c>
      <c r="D206" s="683">
        <v>0.7</v>
      </c>
      <c r="E206" s="683">
        <v>0.7</v>
      </c>
      <c r="F206" s="10"/>
      <c r="Q206" s="7" t="s">
        <v>20012</v>
      </c>
    </row>
    <row r="207">
      <c r="A207" s="702" t="s">
        <v>20013</v>
      </c>
      <c r="B207" s="231"/>
      <c r="C207" s="25" t="s">
        <v>15405</v>
      </c>
      <c r="D207" s="683">
        <v>0.7</v>
      </c>
      <c r="E207" s="683">
        <v>0.7</v>
      </c>
      <c r="F207" s="10"/>
      <c r="Q207" s="7" t="s">
        <v>20014</v>
      </c>
      <c r="R207" s="11">
        <v>7492.0</v>
      </c>
    </row>
    <row r="208">
      <c r="A208" s="702" t="s">
        <v>20015</v>
      </c>
      <c r="B208" s="231"/>
      <c r="C208" s="25" t="s">
        <v>15405</v>
      </c>
      <c r="D208" s="683">
        <v>0.7</v>
      </c>
      <c r="E208" s="683">
        <v>0.7</v>
      </c>
      <c r="F208" s="10"/>
      <c r="Q208" s="7" t="s">
        <v>20016</v>
      </c>
      <c r="R208" s="11">
        <v>7492.0</v>
      </c>
    </row>
    <row r="209">
      <c r="A209" s="176" t="s">
        <v>20017</v>
      </c>
      <c r="B209" s="25">
        <v>189.0</v>
      </c>
      <c r="C209" s="25" t="s">
        <v>15405</v>
      </c>
      <c r="D209" s="705">
        <v>0.78</v>
      </c>
      <c r="E209" s="705">
        <v>0.78</v>
      </c>
      <c r="F209" s="10"/>
      <c r="Q209" s="7" t="s">
        <v>20018</v>
      </c>
      <c r="R209" s="11">
        <v>7492.0</v>
      </c>
    </row>
    <row r="210">
      <c r="A210" s="702" t="s">
        <v>20019</v>
      </c>
      <c r="B210" s="231"/>
      <c r="C210" s="25" t="s">
        <v>15405</v>
      </c>
      <c r="D210" s="683">
        <v>0.7</v>
      </c>
      <c r="E210" s="683">
        <v>0.7</v>
      </c>
      <c r="F210" s="10"/>
      <c r="Q210" s="7" t="s">
        <v>20020</v>
      </c>
      <c r="R210" s="11">
        <v>7492.0</v>
      </c>
    </row>
    <row r="211">
      <c r="A211" s="702" t="s">
        <v>20021</v>
      </c>
      <c r="B211" s="231"/>
      <c r="C211" s="25" t="s">
        <v>15405</v>
      </c>
      <c r="D211" s="683">
        <v>0.7</v>
      </c>
      <c r="E211" s="683">
        <v>0.7</v>
      </c>
      <c r="F211" s="10"/>
      <c r="Q211" s="7" t="s">
        <v>20022</v>
      </c>
      <c r="R211" s="11">
        <v>7492.0</v>
      </c>
    </row>
    <row r="212">
      <c r="A212" s="176" t="s">
        <v>20023</v>
      </c>
      <c r="B212" s="25">
        <v>189.0</v>
      </c>
      <c r="C212" s="25" t="s">
        <v>15405</v>
      </c>
      <c r="D212" s="705">
        <v>0.78</v>
      </c>
      <c r="E212" s="705">
        <v>0.78</v>
      </c>
      <c r="F212" s="10"/>
      <c r="Q212" s="7" t="s">
        <v>20024</v>
      </c>
      <c r="R212" s="11">
        <v>7492.0</v>
      </c>
    </row>
    <row r="213">
      <c r="A213" s="702" t="s">
        <v>20025</v>
      </c>
      <c r="B213" s="231"/>
      <c r="C213" s="25" t="s">
        <v>15405</v>
      </c>
      <c r="D213" s="683">
        <v>0.7</v>
      </c>
      <c r="E213" s="683">
        <v>0.7</v>
      </c>
      <c r="F213" s="10"/>
      <c r="Q213" s="7" t="s">
        <v>20026</v>
      </c>
      <c r="R213" s="11">
        <v>7183.0</v>
      </c>
    </row>
    <row r="214">
      <c r="A214" s="702" t="s">
        <v>15617</v>
      </c>
      <c r="B214" s="231"/>
      <c r="C214" s="25" t="s">
        <v>15405</v>
      </c>
      <c r="D214" s="683">
        <v>0.7</v>
      </c>
      <c r="E214" s="683">
        <v>0.7</v>
      </c>
      <c r="F214" s="10"/>
      <c r="Q214" s="7" t="s">
        <v>20027</v>
      </c>
      <c r="R214" s="11">
        <v>7186.0</v>
      </c>
    </row>
    <row r="215">
      <c r="A215" s="176" t="s">
        <v>20028</v>
      </c>
      <c r="B215" s="25">
        <v>6947.0</v>
      </c>
      <c r="C215" s="25" t="s">
        <v>15405</v>
      </c>
      <c r="D215" s="683">
        <v>0.7</v>
      </c>
      <c r="E215" s="683">
        <v>0.7</v>
      </c>
      <c r="F215" s="10"/>
      <c r="Q215" s="7" t="s">
        <v>20029</v>
      </c>
      <c r="R215" s="11">
        <v>14033.0</v>
      </c>
    </row>
    <row r="216">
      <c r="A216" s="702" t="s">
        <v>20030</v>
      </c>
      <c r="B216" s="231"/>
      <c r="C216" s="25" t="s">
        <v>15405</v>
      </c>
      <c r="D216" s="683">
        <v>0.7</v>
      </c>
      <c r="E216" s="683">
        <v>0.7</v>
      </c>
      <c r="F216" s="10"/>
      <c r="Q216" s="7" t="s">
        <v>20031</v>
      </c>
      <c r="R216" s="11">
        <v>3689.0</v>
      </c>
    </row>
    <row r="217">
      <c r="A217" s="176" t="s">
        <v>20032</v>
      </c>
      <c r="B217" s="25">
        <v>189.0</v>
      </c>
      <c r="C217" s="25" t="s">
        <v>15405</v>
      </c>
      <c r="D217" s="705">
        <v>0.78</v>
      </c>
      <c r="E217" s="705">
        <v>0.78</v>
      </c>
      <c r="F217" s="10"/>
      <c r="Q217" s="7" t="s">
        <v>20033</v>
      </c>
      <c r="R217" s="11">
        <v>14025.0</v>
      </c>
    </row>
    <row r="218">
      <c r="A218" s="176" t="s">
        <v>20034</v>
      </c>
      <c r="B218" s="25">
        <v>2345.0</v>
      </c>
      <c r="C218" s="25" t="s">
        <v>15405</v>
      </c>
      <c r="D218" s="705">
        <v>0.9</v>
      </c>
      <c r="E218" s="705">
        <v>0.9</v>
      </c>
      <c r="F218" s="10"/>
      <c r="Q218" s="7" t="s">
        <v>20035</v>
      </c>
      <c r="R218" s="11">
        <v>7010.0</v>
      </c>
    </row>
    <row r="219">
      <c r="A219" s="702" t="s">
        <v>20036</v>
      </c>
      <c r="B219" s="231"/>
      <c r="C219" s="25" t="s">
        <v>15405</v>
      </c>
      <c r="D219" s="683">
        <v>0.7</v>
      </c>
      <c r="E219" s="683">
        <v>0.7</v>
      </c>
      <c r="F219" s="10"/>
      <c r="Q219" s="7" t="s">
        <v>20037</v>
      </c>
      <c r="R219" s="11">
        <v>7492.0</v>
      </c>
    </row>
    <row r="220">
      <c r="A220" s="702" t="s">
        <v>20038</v>
      </c>
      <c r="B220" s="231"/>
      <c r="C220" s="25" t="s">
        <v>15405</v>
      </c>
      <c r="D220" s="683">
        <v>0.7</v>
      </c>
      <c r="E220" s="683">
        <v>0.7</v>
      </c>
      <c r="F220" s="10"/>
      <c r="Q220" s="7" t="s">
        <v>20039</v>
      </c>
      <c r="R220" s="11">
        <v>7492.0</v>
      </c>
    </row>
    <row r="221">
      <c r="A221" s="702" t="s">
        <v>5946</v>
      </c>
      <c r="B221" s="231"/>
      <c r="C221" s="25" t="s">
        <v>15405</v>
      </c>
      <c r="D221" s="683">
        <v>0.7</v>
      </c>
      <c r="E221" s="683">
        <v>0.7</v>
      </c>
      <c r="F221" s="10"/>
      <c r="Q221" s="7" t="s">
        <v>20040</v>
      </c>
      <c r="R221" s="11">
        <v>7492.0</v>
      </c>
    </row>
    <row r="222">
      <c r="A222" s="702" t="s">
        <v>20041</v>
      </c>
      <c r="B222" s="231"/>
      <c r="C222" s="25" t="s">
        <v>15405</v>
      </c>
      <c r="D222" s="683">
        <v>0.7</v>
      </c>
      <c r="E222" s="683">
        <v>0.7</v>
      </c>
      <c r="F222" s="10"/>
      <c r="Q222" s="7" t="s">
        <v>20042</v>
      </c>
      <c r="R222" s="11">
        <v>7492.0</v>
      </c>
    </row>
    <row r="223">
      <c r="A223" s="702" t="s">
        <v>20043</v>
      </c>
      <c r="B223" s="231"/>
      <c r="C223" s="25" t="s">
        <v>15405</v>
      </c>
      <c r="D223" s="683">
        <v>0.7</v>
      </c>
      <c r="E223" s="683">
        <v>0.7</v>
      </c>
      <c r="F223" s="10"/>
      <c r="Q223" s="7" t="s">
        <v>20044</v>
      </c>
      <c r="R223" s="11">
        <v>7492.0</v>
      </c>
    </row>
    <row r="224">
      <c r="A224" s="702" t="s">
        <v>20045</v>
      </c>
      <c r="B224" s="231"/>
      <c r="C224" s="25" t="s">
        <v>15405</v>
      </c>
      <c r="D224" s="683">
        <v>0.7</v>
      </c>
      <c r="E224" s="683">
        <v>0.7</v>
      </c>
      <c r="F224" s="10"/>
      <c r="Q224" s="7" t="s">
        <v>20046</v>
      </c>
      <c r="R224" s="11">
        <v>7492.0</v>
      </c>
    </row>
    <row r="225">
      <c r="A225" s="702" t="s">
        <v>20047</v>
      </c>
      <c r="B225" s="231"/>
      <c r="C225" s="25" t="s">
        <v>15405</v>
      </c>
      <c r="D225" s="683">
        <v>0.7</v>
      </c>
      <c r="E225" s="683">
        <v>0.7</v>
      </c>
      <c r="F225" s="10"/>
      <c r="Q225" s="7" t="s">
        <v>20048</v>
      </c>
      <c r="R225" s="11">
        <v>7492.0</v>
      </c>
    </row>
    <row r="226">
      <c r="A226" s="702" t="s">
        <v>20049</v>
      </c>
      <c r="B226" s="231"/>
      <c r="C226" s="25" t="s">
        <v>15405</v>
      </c>
      <c r="D226" s="683">
        <v>0.7</v>
      </c>
      <c r="E226" s="683">
        <v>0.7</v>
      </c>
      <c r="F226" s="10"/>
      <c r="Q226" s="7" t="s">
        <v>20050</v>
      </c>
      <c r="R226" s="11">
        <v>7492.0</v>
      </c>
    </row>
    <row r="227">
      <c r="A227" s="702" t="s">
        <v>20051</v>
      </c>
      <c r="B227" s="231"/>
      <c r="C227" s="25" t="s">
        <v>15405</v>
      </c>
      <c r="D227" s="683">
        <v>0.7</v>
      </c>
      <c r="E227" s="683">
        <v>0.7</v>
      </c>
      <c r="F227" s="10"/>
      <c r="Q227" s="7" t="s">
        <v>20052</v>
      </c>
      <c r="R227" s="11">
        <v>7492.0</v>
      </c>
    </row>
    <row r="228">
      <c r="A228" s="702" t="s">
        <v>20053</v>
      </c>
      <c r="B228" s="231"/>
      <c r="C228" s="25" t="s">
        <v>15405</v>
      </c>
      <c r="D228" s="683">
        <v>0.7</v>
      </c>
      <c r="E228" s="683">
        <v>0.7</v>
      </c>
      <c r="F228" s="10"/>
      <c r="Q228" s="7" t="s">
        <v>20054</v>
      </c>
      <c r="R228" s="11">
        <v>7492.0</v>
      </c>
    </row>
    <row r="229">
      <c r="A229" s="702" t="s">
        <v>20055</v>
      </c>
      <c r="B229" s="231"/>
      <c r="C229" s="25" t="s">
        <v>15405</v>
      </c>
      <c r="D229" s="683">
        <v>0.7</v>
      </c>
      <c r="E229" s="683">
        <v>0.7</v>
      </c>
      <c r="F229" s="10"/>
      <c r="Q229" s="7" t="s">
        <v>20056</v>
      </c>
    </row>
    <row r="230">
      <c r="A230" s="702" t="s">
        <v>5811</v>
      </c>
      <c r="B230" s="231"/>
      <c r="C230" s="25" t="s">
        <v>15405</v>
      </c>
      <c r="D230" s="683">
        <v>0.7</v>
      </c>
      <c r="E230" s="683">
        <v>0.7</v>
      </c>
      <c r="F230" s="10"/>
      <c r="Q230" s="7" t="s">
        <v>20057</v>
      </c>
      <c r="R230" s="11">
        <v>9701.0</v>
      </c>
    </row>
    <row r="231">
      <c r="A231" s="702" t="s">
        <v>2206</v>
      </c>
      <c r="B231" s="231"/>
      <c r="C231" s="25" t="s">
        <v>15405</v>
      </c>
      <c r="D231" s="683">
        <v>0.7</v>
      </c>
      <c r="E231" s="683">
        <v>0.7</v>
      </c>
      <c r="F231" s="10"/>
      <c r="Q231" s="7" t="s">
        <v>20058</v>
      </c>
    </row>
    <row r="232">
      <c r="A232" s="702" t="s">
        <v>20059</v>
      </c>
      <c r="B232" s="231"/>
      <c r="C232" s="25" t="s">
        <v>15405</v>
      </c>
      <c r="D232" s="683">
        <v>0.7</v>
      </c>
      <c r="E232" s="683">
        <v>0.7</v>
      </c>
      <c r="F232" s="10"/>
      <c r="Q232" s="7" t="s">
        <v>20060</v>
      </c>
    </row>
    <row r="233">
      <c r="A233" s="702" t="s">
        <v>20061</v>
      </c>
      <c r="B233" s="231"/>
      <c r="C233" s="25" t="s">
        <v>15405</v>
      </c>
      <c r="D233" s="683">
        <v>0.7</v>
      </c>
      <c r="E233" s="683">
        <v>0.7</v>
      </c>
      <c r="F233" s="10"/>
      <c r="Q233" s="7" t="s">
        <v>20062</v>
      </c>
      <c r="R233" s="11">
        <v>14055.0</v>
      </c>
    </row>
    <row r="234">
      <c r="A234" s="702" t="s">
        <v>20063</v>
      </c>
      <c r="B234" s="231"/>
      <c r="C234" s="25" t="s">
        <v>15405</v>
      </c>
      <c r="D234" s="683">
        <v>0.7</v>
      </c>
      <c r="E234" s="683">
        <v>0.7</v>
      </c>
      <c r="F234" s="10"/>
      <c r="Q234" s="7" t="s">
        <v>20064</v>
      </c>
      <c r="R234" s="11">
        <v>9363.0</v>
      </c>
    </row>
    <row r="235">
      <c r="A235" s="702" t="s">
        <v>20065</v>
      </c>
      <c r="B235" s="231"/>
      <c r="C235" s="25" t="s">
        <v>15405</v>
      </c>
      <c r="D235" s="683">
        <v>0.7</v>
      </c>
      <c r="E235" s="683">
        <v>0.7</v>
      </c>
      <c r="F235" s="10"/>
      <c r="Q235" s="7" t="s">
        <v>20066</v>
      </c>
      <c r="R235" s="11">
        <v>9363.0</v>
      </c>
    </row>
    <row r="236">
      <c r="A236" s="702" t="s">
        <v>20067</v>
      </c>
      <c r="B236" s="231"/>
      <c r="C236" s="25" t="s">
        <v>15405</v>
      </c>
      <c r="D236" s="683">
        <v>0.7</v>
      </c>
      <c r="E236" s="683">
        <v>0.7</v>
      </c>
      <c r="F236" s="10"/>
      <c r="Q236" s="7" t="s">
        <v>20068</v>
      </c>
      <c r="R236" s="11">
        <v>12941.0</v>
      </c>
    </row>
    <row r="237">
      <c r="A237" s="702" t="s">
        <v>20069</v>
      </c>
      <c r="B237" s="231"/>
      <c r="C237" s="25" t="s">
        <v>15405</v>
      </c>
      <c r="D237" s="683">
        <v>0.7</v>
      </c>
      <c r="E237" s="683">
        <v>0.7</v>
      </c>
      <c r="F237" s="10"/>
      <c r="Q237" s="7" t="s">
        <v>20070</v>
      </c>
      <c r="R237" s="11">
        <v>12941.0</v>
      </c>
    </row>
    <row r="238">
      <c r="A238" s="702" t="s">
        <v>20071</v>
      </c>
      <c r="B238" s="231"/>
      <c r="C238" s="25" t="s">
        <v>15405</v>
      </c>
      <c r="D238" s="683">
        <v>0.7</v>
      </c>
      <c r="E238" s="683">
        <v>0.7</v>
      </c>
      <c r="F238" s="10"/>
      <c r="Q238" s="7" t="s">
        <v>20072</v>
      </c>
      <c r="R238" s="11">
        <v>12941.0</v>
      </c>
    </row>
    <row r="239">
      <c r="A239" s="702" t="s">
        <v>20073</v>
      </c>
      <c r="B239" s="231"/>
      <c r="C239" s="25" t="s">
        <v>15405</v>
      </c>
      <c r="D239" s="683">
        <v>0.7</v>
      </c>
      <c r="E239" s="683">
        <v>0.7</v>
      </c>
      <c r="F239" s="10"/>
      <c r="Q239" s="7" t="s">
        <v>20074</v>
      </c>
      <c r="R239" s="11">
        <v>12941.0</v>
      </c>
    </row>
    <row r="240">
      <c r="A240" s="702" t="s">
        <v>20075</v>
      </c>
      <c r="B240" s="231"/>
      <c r="C240" s="25" t="s">
        <v>15405</v>
      </c>
      <c r="D240" s="683">
        <v>0.7</v>
      </c>
      <c r="E240" s="683">
        <v>0.7</v>
      </c>
      <c r="F240" s="10"/>
      <c r="Q240" s="7" t="s">
        <v>20076</v>
      </c>
      <c r="R240" s="11">
        <v>12941.0</v>
      </c>
    </row>
    <row r="241">
      <c r="A241" s="702" t="s">
        <v>20077</v>
      </c>
      <c r="B241" s="231"/>
      <c r="C241" s="25" t="s">
        <v>15405</v>
      </c>
      <c r="D241" s="683">
        <v>0.7</v>
      </c>
      <c r="E241" s="683">
        <v>0.7</v>
      </c>
      <c r="F241" s="10"/>
      <c r="Q241" s="7" t="s">
        <v>20078</v>
      </c>
      <c r="R241" s="11">
        <v>12941.0</v>
      </c>
    </row>
    <row r="242">
      <c r="A242" s="702" t="s">
        <v>20079</v>
      </c>
      <c r="B242" s="231"/>
      <c r="C242" s="25" t="s">
        <v>15405</v>
      </c>
      <c r="D242" s="683">
        <v>0.7</v>
      </c>
      <c r="E242" s="683">
        <v>0.7</v>
      </c>
      <c r="F242" s="10"/>
      <c r="Q242" s="7" t="s">
        <v>20080</v>
      </c>
      <c r="R242" s="11">
        <v>12941.0</v>
      </c>
    </row>
    <row r="243">
      <c r="A243" s="702" t="s">
        <v>20081</v>
      </c>
      <c r="B243" s="231"/>
      <c r="C243" s="25" t="s">
        <v>15405</v>
      </c>
      <c r="D243" s="683">
        <v>0.7</v>
      </c>
      <c r="E243" s="683">
        <v>0.7</v>
      </c>
      <c r="F243" s="10"/>
      <c r="Q243" s="7" t="s">
        <v>20082</v>
      </c>
      <c r="R243" s="11">
        <v>8199.0</v>
      </c>
    </row>
    <row r="244">
      <c r="A244" s="702" t="s">
        <v>20083</v>
      </c>
      <c r="B244" s="231"/>
      <c r="C244" s="25" t="s">
        <v>15405</v>
      </c>
      <c r="D244" s="683">
        <v>0.7</v>
      </c>
      <c r="E244" s="683">
        <v>0.7</v>
      </c>
      <c r="F244" s="10"/>
      <c r="Q244" s="7" t="s">
        <v>20084</v>
      </c>
    </row>
    <row r="245">
      <c r="A245" s="702" t="s">
        <v>20085</v>
      </c>
      <c r="B245" s="231"/>
      <c r="C245" s="25" t="s">
        <v>15405</v>
      </c>
      <c r="D245" s="683">
        <v>0.7</v>
      </c>
      <c r="E245" s="683">
        <v>0.7</v>
      </c>
      <c r="F245" s="10"/>
      <c r="Q245" s="7" t="s">
        <v>20086</v>
      </c>
    </row>
    <row r="246">
      <c r="A246" s="702" t="s">
        <v>20087</v>
      </c>
      <c r="B246" s="231"/>
      <c r="C246" s="25" t="s">
        <v>15405</v>
      </c>
      <c r="D246" s="683">
        <v>0.7</v>
      </c>
      <c r="E246" s="683">
        <v>0.7</v>
      </c>
      <c r="F246" s="10"/>
      <c r="Q246" s="7" t="s">
        <v>20088</v>
      </c>
    </row>
    <row r="247">
      <c r="A247" s="702" t="s">
        <v>20089</v>
      </c>
      <c r="B247" s="231"/>
      <c r="C247" s="25" t="s">
        <v>15405</v>
      </c>
      <c r="D247" s="683">
        <v>0.7</v>
      </c>
      <c r="E247" s="683">
        <v>0.7</v>
      </c>
      <c r="F247" s="10"/>
      <c r="Q247" s="7" t="s">
        <v>20090</v>
      </c>
    </row>
    <row r="248">
      <c r="A248" s="702" t="s">
        <v>20091</v>
      </c>
      <c r="B248" s="175">
        <v>6706.0</v>
      </c>
      <c r="C248" s="25" t="s">
        <v>15405</v>
      </c>
      <c r="D248" s="683">
        <v>0.7</v>
      </c>
      <c r="E248" s="683">
        <v>0.7</v>
      </c>
      <c r="F248" s="10"/>
      <c r="Q248" s="7" t="s">
        <v>20092</v>
      </c>
      <c r="R248" s="11">
        <v>8199.0</v>
      </c>
    </row>
    <row r="249">
      <c r="A249" s="702" t="s">
        <v>20093</v>
      </c>
      <c r="B249" s="231"/>
      <c r="C249" s="25" t="s">
        <v>15405</v>
      </c>
      <c r="D249" s="683">
        <v>0.7</v>
      </c>
      <c r="E249" s="683">
        <v>0.7</v>
      </c>
      <c r="F249" s="10"/>
      <c r="Q249" s="7" t="s">
        <v>20094</v>
      </c>
    </row>
    <row r="250">
      <c r="A250" s="702" t="s">
        <v>20095</v>
      </c>
      <c r="B250" s="231"/>
      <c r="C250" s="25" t="s">
        <v>15405</v>
      </c>
      <c r="D250" s="683">
        <v>0.7</v>
      </c>
      <c r="E250" s="683">
        <v>0.7</v>
      </c>
      <c r="F250" s="10"/>
      <c r="Q250" s="7" t="s">
        <v>20096</v>
      </c>
      <c r="R250" s="11">
        <v>6875.0</v>
      </c>
    </row>
    <row r="251">
      <c r="A251" s="702" t="s">
        <v>20097</v>
      </c>
      <c r="B251" s="231"/>
      <c r="C251" s="25" t="s">
        <v>15405</v>
      </c>
      <c r="D251" s="683">
        <v>0.7</v>
      </c>
      <c r="E251" s="683">
        <v>0.7</v>
      </c>
      <c r="F251" s="10"/>
      <c r="Q251" s="7" t="s">
        <v>20098</v>
      </c>
      <c r="R251" s="11">
        <v>7414.0</v>
      </c>
    </row>
    <row r="252">
      <c r="A252" s="702" t="s">
        <v>20099</v>
      </c>
      <c r="B252" s="231"/>
      <c r="C252" s="25" t="s">
        <v>15405</v>
      </c>
      <c r="D252" s="683">
        <v>0.7</v>
      </c>
      <c r="E252" s="683">
        <v>0.7</v>
      </c>
      <c r="F252" s="10"/>
      <c r="Q252" s="7" t="s">
        <v>20100</v>
      </c>
    </row>
    <row r="253">
      <c r="A253" s="702" t="s">
        <v>2767</v>
      </c>
      <c r="B253" s="231"/>
      <c r="C253" s="25" t="s">
        <v>15405</v>
      </c>
      <c r="D253" s="683">
        <v>0.7</v>
      </c>
      <c r="E253" s="683">
        <v>0.7</v>
      </c>
      <c r="F253" s="10"/>
      <c r="Q253" s="7" t="s">
        <v>20101</v>
      </c>
    </row>
    <row r="254">
      <c r="A254" s="702" t="s">
        <v>20102</v>
      </c>
      <c r="B254" s="231"/>
      <c r="C254" s="25" t="s">
        <v>15405</v>
      </c>
      <c r="D254" s="683">
        <v>0.7</v>
      </c>
      <c r="E254" s="683">
        <v>0.7</v>
      </c>
      <c r="F254" s="10"/>
      <c r="Q254" s="7" t="s">
        <v>20103</v>
      </c>
    </row>
    <row r="255">
      <c r="A255" s="702" t="s">
        <v>3493</v>
      </c>
      <c r="B255" s="231"/>
      <c r="C255" s="25" t="s">
        <v>15405</v>
      </c>
      <c r="D255" s="683">
        <v>0.7</v>
      </c>
      <c r="E255" s="683">
        <v>0.7</v>
      </c>
      <c r="F255" s="10"/>
      <c r="Q255" s="7" t="s">
        <v>20104</v>
      </c>
    </row>
    <row r="256">
      <c r="A256" s="702" t="s">
        <v>20105</v>
      </c>
      <c r="B256" s="231"/>
      <c r="C256" s="25" t="s">
        <v>15405</v>
      </c>
      <c r="D256" s="683">
        <v>0.7</v>
      </c>
      <c r="E256" s="683">
        <v>0.7</v>
      </c>
      <c r="F256" s="10"/>
      <c r="Q256" s="7" t="s">
        <v>20106</v>
      </c>
    </row>
    <row r="257">
      <c r="A257" s="702" t="s">
        <v>20107</v>
      </c>
      <c r="B257" s="231"/>
      <c r="C257" s="25" t="s">
        <v>15405</v>
      </c>
      <c r="D257" s="683">
        <v>0.7</v>
      </c>
      <c r="E257" s="683">
        <v>0.7</v>
      </c>
      <c r="F257" s="10"/>
      <c r="Q257" s="7" t="s">
        <v>20108</v>
      </c>
    </row>
    <row r="258">
      <c r="A258" s="702" t="s">
        <v>2490</v>
      </c>
      <c r="B258" s="231"/>
      <c r="C258" s="25" t="s">
        <v>15405</v>
      </c>
      <c r="D258" s="683">
        <v>0.7</v>
      </c>
      <c r="E258" s="683">
        <v>0.7</v>
      </c>
      <c r="F258" s="10"/>
      <c r="Q258" s="7" t="s">
        <v>20109</v>
      </c>
      <c r="R258" s="11">
        <v>7157.0</v>
      </c>
    </row>
    <row r="259">
      <c r="A259" s="702" t="s">
        <v>20110</v>
      </c>
      <c r="B259" s="175">
        <v>6732.0</v>
      </c>
      <c r="C259" s="25" t="s">
        <v>15405</v>
      </c>
      <c r="D259" s="705">
        <v>0.78</v>
      </c>
      <c r="E259" s="705">
        <v>0.78</v>
      </c>
      <c r="F259" s="10"/>
      <c r="Q259" s="7" t="s">
        <v>20111</v>
      </c>
      <c r="R259" s="11">
        <v>7229.0</v>
      </c>
    </row>
    <row r="260">
      <c r="A260" s="702" t="s">
        <v>20112</v>
      </c>
      <c r="B260" s="231"/>
      <c r="C260" s="25" t="s">
        <v>15405</v>
      </c>
      <c r="D260" s="683">
        <v>0.7</v>
      </c>
      <c r="E260" s="683">
        <v>0.7</v>
      </c>
      <c r="F260" s="10"/>
      <c r="Q260" s="7" t="s">
        <v>20113</v>
      </c>
    </row>
    <row r="261">
      <c r="A261" s="702" t="s">
        <v>20114</v>
      </c>
      <c r="B261" s="231"/>
      <c r="C261" s="25" t="s">
        <v>15405</v>
      </c>
      <c r="D261" s="683">
        <v>0.7</v>
      </c>
      <c r="E261" s="683">
        <v>0.7</v>
      </c>
      <c r="F261" s="10"/>
      <c r="Q261" s="7" t="s">
        <v>20115</v>
      </c>
    </row>
    <row r="262">
      <c r="A262" s="702" t="s">
        <v>20116</v>
      </c>
      <c r="B262" s="231"/>
      <c r="C262" s="25" t="s">
        <v>15405</v>
      </c>
      <c r="D262" s="683">
        <v>0.7</v>
      </c>
      <c r="E262" s="683">
        <v>0.7</v>
      </c>
      <c r="F262" s="10"/>
      <c r="Q262" s="7" t="s">
        <v>20117</v>
      </c>
    </row>
    <row r="263">
      <c r="A263" s="702" t="s">
        <v>1505</v>
      </c>
      <c r="B263" s="231"/>
      <c r="C263" s="25" t="s">
        <v>15405</v>
      </c>
      <c r="D263" s="683">
        <v>0.7</v>
      </c>
      <c r="E263" s="683">
        <v>0.7</v>
      </c>
      <c r="F263" s="10"/>
      <c r="Q263" s="7" t="s">
        <v>20118</v>
      </c>
    </row>
    <row r="264">
      <c r="A264" s="702" t="s">
        <v>20119</v>
      </c>
      <c r="B264" s="231"/>
      <c r="C264" s="25" t="s">
        <v>15405</v>
      </c>
      <c r="D264" s="683">
        <v>0.7</v>
      </c>
      <c r="E264" s="683">
        <v>0.7</v>
      </c>
      <c r="F264" s="10"/>
      <c r="Q264" s="7" t="s">
        <v>20120</v>
      </c>
      <c r="R264" s="11">
        <v>6671.0</v>
      </c>
    </row>
    <row r="265">
      <c r="A265" s="702" t="s">
        <v>20121</v>
      </c>
      <c r="B265" s="231"/>
      <c r="C265" s="25" t="s">
        <v>15405</v>
      </c>
      <c r="D265" s="683">
        <v>0.7</v>
      </c>
      <c r="E265" s="683">
        <v>0.7</v>
      </c>
      <c r="F265" s="10"/>
      <c r="Q265" s="7" t="s">
        <v>20122</v>
      </c>
    </row>
    <row r="266">
      <c r="A266" s="702" t="s">
        <v>724</v>
      </c>
      <c r="B266" s="231"/>
      <c r="C266" s="25" t="s">
        <v>15405</v>
      </c>
      <c r="D266" s="683">
        <v>0.7</v>
      </c>
      <c r="E266" s="683">
        <v>0.7</v>
      </c>
      <c r="F266" s="10"/>
      <c r="Q266" s="7" t="s">
        <v>20123</v>
      </c>
      <c r="R266" s="11">
        <v>7142.0</v>
      </c>
    </row>
    <row r="267">
      <c r="A267" s="702" t="s">
        <v>20124</v>
      </c>
      <c r="B267" s="231"/>
      <c r="C267" s="25" t="s">
        <v>15405</v>
      </c>
      <c r="D267" s="683">
        <v>0.7</v>
      </c>
      <c r="E267" s="683">
        <v>0.7</v>
      </c>
      <c r="F267" s="10"/>
      <c r="Q267" s="7" t="s">
        <v>20125</v>
      </c>
    </row>
    <row r="268">
      <c r="A268" s="702" t="s">
        <v>20126</v>
      </c>
      <c r="B268" s="231"/>
      <c r="C268" s="25" t="s">
        <v>15405</v>
      </c>
      <c r="D268" s="683">
        <v>0.7</v>
      </c>
      <c r="E268" s="683">
        <v>0.7</v>
      </c>
      <c r="F268" s="10"/>
      <c r="Q268" s="7" t="s">
        <v>20127</v>
      </c>
    </row>
    <row r="269">
      <c r="A269" s="702" t="s">
        <v>20128</v>
      </c>
      <c r="B269" s="231"/>
      <c r="C269" s="25" t="s">
        <v>15405</v>
      </c>
      <c r="D269" s="683">
        <v>0.7</v>
      </c>
      <c r="E269" s="683">
        <v>0.7</v>
      </c>
      <c r="F269" s="10"/>
      <c r="Q269" s="7" t="s">
        <v>20129</v>
      </c>
      <c r="R269" s="11">
        <v>13951.0</v>
      </c>
    </row>
    <row r="270">
      <c r="A270" s="702" t="s">
        <v>20130</v>
      </c>
      <c r="B270" s="231"/>
      <c r="C270" s="25" t="s">
        <v>15405</v>
      </c>
      <c r="D270" s="683">
        <v>0.7</v>
      </c>
      <c r="E270" s="683">
        <v>0.7</v>
      </c>
      <c r="F270" s="10"/>
      <c r="Q270" s="7" t="s">
        <v>20131</v>
      </c>
    </row>
    <row r="271">
      <c r="A271" s="702" t="s">
        <v>20132</v>
      </c>
      <c r="B271" s="231"/>
      <c r="C271" s="25" t="s">
        <v>15405</v>
      </c>
      <c r="D271" s="683">
        <v>0.7</v>
      </c>
      <c r="E271" s="683">
        <v>0.7</v>
      </c>
      <c r="F271" s="10"/>
      <c r="Q271" s="7" t="s">
        <v>20133</v>
      </c>
    </row>
    <row r="272">
      <c r="A272" s="702" t="s">
        <v>20134</v>
      </c>
      <c r="B272" s="231"/>
      <c r="C272" s="25" t="s">
        <v>15405</v>
      </c>
      <c r="D272" s="683">
        <v>0.7</v>
      </c>
      <c r="E272" s="683">
        <v>0.7</v>
      </c>
      <c r="F272" s="10"/>
      <c r="Q272" s="7" t="s">
        <v>20135</v>
      </c>
    </row>
    <row r="273">
      <c r="A273" s="702" t="s">
        <v>20136</v>
      </c>
      <c r="B273" s="231"/>
      <c r="C273" s="25" t="s">
        <v>15405</v>
      </c>
      <c r="D273" s="683">
        <v>0.7</v>
      </c>
      <c r="E273" s="683">
        <v>0.7</v>
      </c>
      <c r="F273" s="10"/>
      <c r="Q273" s="7" t="s">
        <v>20137</v>
      </c>
    </row>
    <row r="274">
      <c r="A274" s="702" t="s">
        <v>20138</v>
      </c>
      <c r="B274" s="231"/>
      <c r="C274" s="25" t="s">
        <v>15405</v>
      </c>
      <c r="D274" s="683">
        <v>0.7</v>
      </c>
      <c r="E274" s="683">
        <v>0.7</v>
      </c>
      <c r="F274" s="10"/>
      <c r="Q274" s="7" t="s">
        <v>20139</v>
      </c>
      <c r="R274" s="11">
        <v>6671.0</v>
      </c>
    </row>
    <row r="275">
      <c r="A275" s="702" t="s">
        <v>20140</v>
      </c>
      <c r="B275" s="231"/>
      <c r="C275" s="25" t="s">
        <v>15405</v>
      </c>
      <c r="D275" s="683">
        <v>0.7</v>
      </c>
      <c r="E275" s="683">
        <v>0.7</v>
      </c>
      <c r="F275" s="10"/>
      <c r="Q275" s="7" t="s">
        <v>20141</v>
      </c>
    </row>
    <row r="276">
      <c r="A276" s="702" t="s">
        <v>2537</v>
      </c>
      <c r="B276" s="231"/>
      <c r="C276" s="25" t="s">
        <v>15405</v>
      </c>
      <c r="D276" s="683">
        <v>0.7</v>
      </c>
      <c r="E276" s="683">
        <v>0.7</v>
      </c>
      <c r="F276" s="10"/>
      <c r="Q276" s="7" t="s">
        <v>20142</v>
      </c>
    </row>
    <row r="277">
      <c r="A277" s="702" t="s">
        <v>20143</v>
      </c>
      <c r="B277" s="175">
        <v>6732.0</v>
      </c>
      <c r="C277" s="25" t="s">
        <v>15405</v>
      </c>
      <c r="D277" s="705">
        <v>0.78</v>
      </c>
      <c r="E277" s="705">
        <v>0.78</v>
      </c>
      <c r="F277" s="10"/>
      <c r="Q277" s="7" t="s">
        <v>20144</v>
      </c>
    </row>
    <row r="278">
      <c r="A278" s="702" t="s">
        <v>20145</v>
      </c>
      <c r="B278" s="231"/>
      <c r="C278" s="25" t="s">
        <v>15405</v>
      </c>
      <c r="D278" s="683">
        <v>0.7</v>
      </c>
      <c r="E278" s="683">
        <v>0.7</v>
      </c>
      <c r="F278" s="10"/>
      <c r="Q278" s="7" t="s">
        <v>20146</v>
      </c>
      <c r="R278" s="11">
        <v>7100.0</v>
      </c>
    </row>
    <row r="279">
      <c r="A279" s="702" t="s">
        <v>20147</v>
      </c>
      <c r="B279" s="231"/>
      <c r="C279" s="25" t="s">
        <v>15405</v>
      </c>
      <c r="D279" s="683">
        <v>0.7</v>
      </c>
      <c r="E279" s="683">
        <v>0.7</v>
      </c>
      <c r="F279" s="10"/>
      <c r="Q279" s="7" t="s">
        <v>20148</v>
      </c>
    </row>
    <row r="280">
      <c r="A280" s="702" t="s">
        <v>20149</v>
      </c>
      <c r="B280" s="231"/>
      <c r="C280" s="25" t="s">
        <v>15405</v>
      </c>
      <c r="D280" s="683">
        <v>0.7</v>
      </c>
      <c r="E280" s="683">
        <v>0.7</v>
      </c>
      <c r="F280" s="10"/>
      <c r="Q280" s="7" t="s">
        <v>20150</v>
      </c>
    </row>
    <row r="281">
      <c r="A281" s="702" t="s">
        <v>20151</v>
      </c>
      <c r="B281" s="231"/>
      <c r="C281" s="25" t="s">
        <v>15405</v>
      </c>
      <c r="D281" s="683">
        <v>0.7</v>
      </c>
      <c r="E281" s="683">
        <v>0.7</v>
      </c>
      <c r="F281" s="10"/>
      <c r="Q281" s="7" t="s">
        <v>20152</v>
      </c>
    </row>
    <row r="282">
      <c r="A282" s="702" t="s">
        <v>20153</v>
      </c>
      <c r="B282" s="231"/>
      <c r="C282" s="25" t="s">
        <v>15405</v>
      </c>
      <c r="D282" s="683">
        <v>0.7</v>
      </c>
      <c r="E282" s="683">
        <v>0.7</v>
      </c>
      <c r="F282" s="10"/>
      <c r="Q282" s="7" t="s">
        <v>20154</v>
      </c>
    </row>
    <row r="283">
      <c r="A283" s="702" t="s">
        <v>16504</v>
      </c>
      <c r="B283" s="231"/>
      <c r="C283" s="25" t="s">
        <v>15405</v>
      </c>
      <c r="D283" s="683">
        <v>0.7</v>
      </c>
      <c r="E283" s="683">
        <v>0.7</v>
      </c>
      <c r="F283" s="10"/>
      <c r="Q283" s="7" t="s">
        <v>20155</v>
      </c>
    </row>
    <row r="284">
      <c r="A284" s="702" t="s">
        <v>20156</v>
      </c>
      <c r="B284" s="231"/>
      <c r="C284" s="25" t="s">
        <v>15405</v>
      </c>
      <c r="D284" s="683">
        <v>0.7</v>
      </c>
      <c r="E284" s="683">
        <v>0.7</v>
      </c>
      <c r="F284" s="10"/>
      <c r="Q284" s="7" t="s">
        <v>20157</v>
      </c>
    </row>
    <row r="285">
      <c r="A285" s="702" t="s">
        <v>20158</v>
      </c>
      <c r="B285" s="231"/>
      <c r="C285" s="25" t="s">
        <v>15405</v>
      </c>
      <c r="D285" s="683">
        <v>0.7</v>
      </c>
      <c r="E285" s="683">
        <v>0.7</v>
      </c>
      <c r="F285" s="10"/>
      <c r="Q285" s="7" t="s">
        <v>20159</v>
      </c>
    </row>
    <row r="286">
      <c r="A286" s="702" t="s">
        <v>20160</v>
      </c>
      <c r="B286" s="231"/>
      <c r="C286" s="25" t="s">
        <v>15405</v>
      </c>
      <c r="D286" s="683">
        <v>0.7</v>
      </c>
      <c r="E286" s="683">
        <v>0.7</v>
      </c>
      <c r="F286" s="10"/>
      <c r="Q286" s="7" t="s">
        <v>20161</v>
      </c>
    </row>
    <row r="287">
      <c r="A287" s="702" t="s">
        <v>20162</v>
      </c>
      <c r="B287" s="231"/>
      <c r="C287" s="25" t="s">
        <v>15405</v>
      </c>
      <c r="D287" s="683">
        <v>0.7</v>
      </c>
      <c r="E287" s="683">
        <v>0.7</v>
      </c>
      <c r="F287" s="10"/>
      <c r="Q287" s="7" t="s">
        <v>20163</v>
      </c>
      <c r="R287" s="11">
        <v>7492.0</v>
      </c>
    </row>
    <row r="288">
      <c r="A288" s="702" t="s">
        <v>20164</v>
      </c>
      <c r="B288" s="231"/>
      <c r="C288" s="25" t="s">
        <v>15405</v>
      </c>
      <c r="D288" s="683">
        <v>0.7</v>
      </c>
      <c r="E288" s="683">
        <v>0.7</v>
      </c>
      <c r="F288" s="10"/>
      <c r="Q288" s="7" t="s">
        <v>20165</v>
      </c>
      <c r="R288" s="11">
        <v>7492.0</v>
      </c>
    </row>
    <row r="289">
      <c r="A289" s="702" t="s">
        <v>20166</v>
      </c>
      <c r="B289" s="231"/>
      <c r="C289" s="25" t="s">
        <v>15405</v>
      </c>
      <c r="D289" s="683">
        <v>0.7</v>
      </c>
      <c r="E289" s="683">
        <v>0.7</v>
      </c>
      <c r="F289" s="10"/>
      <c r="Q289" s="7" t="s">
        <v>20167</v>
      </c>
      <c r="R289" s="11">
        <v>7492.0</v>
      </c>
    </row>
    <row r="290">
      <c r="A290" s="702" t="s">
        <v>20168</v>
      </c>
      <c r="B290" s="231"/>
      <c r="C290" s="25" t="s">
        <v>15405</v>
      </c>
      <c r="D290" s="683">
        <v>0.7</v>
      </c>
      <c r="E290" s="683">
        <v>0.7</v>
      </c>
      <c r="F290" s="10"/>
      <c r="Q290" s="7" t="s">
        <v>20169</v>
      </c>
      <c r="R290" s="11">
        <v>7492.0</v>
      </c>
    </row>
    <row r="291">
      <c r="A291" s="702" t="s">
        <v>20170</v>
      </c>
      <c r="B291" s="231"/>
      <c r="C291" s="25" t="s">
        <v>15405</v>
      </c>
      <c r="D291" s="683">
        <v>0.7</v>
      </c>
      <c r="E291" s="683">
        <v>0.7</v>
      </c>
      <c r="F291" s="10"/>
      <c r="Q291" s="7" t="s">
        <v>20171</v>
      </c>
      <c r="R291" s="11">
        <v>7492.0</v>
      </c>
    </row>
    <row r="292">
      <c r="A292" s="702" t="s">
        <v>20172</v>
      </c>
      <c r="B292" s="231"/>
      <c r="C292" s="25" t="s">
        <v>15405</v>
      </c>
      <c r="D292" s="683">
        <v>0.7</v>
      </c>
      <c r="E292" s="683">
        <v>0.7</v>
      </c>
      <c r="F292" s="10"/>
      <c r="Q292" s="7" t="s">
        <v>20173</v>
      </c>
      <c r="R292" s="11">
        <v>7492.0</v>
      </c>
    </row>
    <row r="293">
      <c r="A293" s="702" t="s">
        <v>20174</v>
      </c>
      <c r="B293" s="231"/>
      <c r="C293" s="25" t="s">
        <v>15405</v>
      </c>
      <c r="D293" s="683">
        <v>0.7</v>
      </c>
      <c r="E293" s="683">
        <v>0.7</v>
      </c>
      <c r="F293" s="10"/>
      <c r="Q293" s="7" t="s">
        <v>20175</v>
      </c>
      <c r="R293" s="11">
        <v>7492.0</v>
      </c>
    </row>
    <row r="294">
      <c r="A294" s="702" t="s">
        <v>20176</v>
      </c>
      <c r="B294" s="231"/>
      <c r="C294" s="25" t="s">
        <v>15405</v>
      </c>
      <c r="D294" s="683">
        <v>0.7</v>
      </c>
      <c r="E294" s="683">
        <v>0.7</v>
      </c>
      <c r="F294" s="10"/>
      <c r="Q294" s="7" t="s">
        <v>20177</v>
      </c>
    </row>
    <row r="295">
      <c r="A295" s="702" t="s">
        <v>3378</v>
      </c>
      <c r="B295" s="231"/>
      <c r="C295" s="25" t="s">
        <v>15405</v>
      </c>
      <c r="D295" s="683">
        <v>0.7</v>
      </c>
      <c r="E295" s="683">
        <v>0.7</v>
      </c>
      <c r="F295" s="10"/>
      <c r="Q295" s="7" t="s">
        <v>20178</v>
      </c>
    </row>
    <row r="296">
      <c r="A296" s="702" t="s">
        <v>15904</v>
      </c>
      <c r="B296" s="231"/>
      <c r="C296" s="25" t="s">
        <v>15405</v>
      </c>
      <c r="D296" s="683">
        <v>0.7</v>
      </c>
      <c r="E296" s="683">
        <v>0.7</v>
      </c>
      <c r="F296" s="10"/>
      <c r="Q296" s="7" t="s">
        <v>20179</v>
      </c>
    </row>
    <row r="297">
      <c r="A297" s="702" t="s">
        <v>20180</v>
      </c>
      <c r="B297" s="231"/>
      <c r="C297" s="25" t="s">
        <v>15405</v>
      </c>
      <c r="D297" s="683">
        <v>0.7</v>
      </c>
      <c r="E297" s="683">
        <v>0.7</v>
      </c>
      <c r="F297" s="10"/>
      <c r="Q297" s="7" t="s">
        <v>20181</v>
      </c>
    </row>
    <row r="298">
      <c r="A298" s="702" t="s">
        <v>20182</v>
      </c>
      <c r="B298" s="231"/>
      <c r="C298" s="25" t="s">
        <v>15405</v>
      </c>
      <c r="D298" s="683">
        <v>0.7</v>
      </c>
      <c r="E298" s="683">
        <v>0.7</v>
      </c>
      <c r="F298" s="10"/>
      <c r="Q298" s="7" t="s">
        <v>20183</v>
      </c>
    </row>
    <row r="299">
      <c r="A299" s="702" t="s">
        <v>20184</v>
      </c>
      <c r="B299" s="231"/>
      <c r="C299" s="25" t="s">
        <v>15405</v>
      </c>
      <c r="D299" s="683">
        <v>0.7</v>
      </c>
      <c r="E299" s="683">
        <v>0.7</v>
      </c>
      <c r="F299" s="10"/>
      <c r="Q299" s="7" t="s">
        <v>20185</v>
      </c>
    </row>
    <row r="300">
      <c r="A300" s="702" t="s">
        <v>20186</v>
      </c>
      <c r="B300" s="231"/>
      <c r="C300" s="25" t="s">
        <v>15405</v>
      </c>
      <c r="D300" s="683">
        <v>0.7</v>
      </c>
      <c r="E300" s="683">
        <v>0.7</v>
      </c>
      <c r="F300" s="10"/>
      <c r="Q300" s="7" t="s">
        <v>20187</v>
      </c>
    </row>
    <row r="301">
      <c r="A301" s="702" t="s">
        <v>20188</v>
      </c>
      <c r="B301" s="231"/>
      <c r="C301" s="25" t="s">
        <v>15405</v>
      </c>
      <c r="D301" s="683">
        <v>0.7</v>
      </c>
      <c r="E301" s="683">
        <v>0.7</v>
      </c>
      <c r="F301" s="10"/>
      <c r="Q301" s="7" t="s">
        <v>20189</v>
      </c>
    </row>
    <row r="302">
      <c r="A302" s="702" t="s">
        <v>20190</v>
      </c>
      <c r="B302" s="231"/>
      <c r="C302" s="25" t="s">
        <v>15405</v>
      </c>
      <c r="D302" s="683">
        <v>0.7</v>
      </c>
      <c r="E302" s="683">
        <v>0.7</v>
      </c>
      <c r="F302" s="10"/>
      <c r="Q302" s="7" t="s">
        <v>20191</v>
      </c>
    </row>
    <row r="303">
      <c r="A303" s="702" t="s">
        <v>20192</v>
      </c>
      <c r="B303" s="231"/>
      <c r="C303" s="25" t="s">
        <v>15405</v>
      </c>
      <c r="D303" s="683">
        <v>0.7</v>
      </c>
      <c r="E303" s="683">
        <v>0.7</v>
      </c>
      <c r="F303" s="10"/>
      <c r="Q303" s="7" t="s">
        <v>20193</v>
      </c>
    </row>
    <row r="304">
      <c r="A304" s="702" t="s">
        <v>3313</v>
      </c>
      <c r="B304" s="231"/>
      <c r="C304" s="25" t="s">
        <v>15405</v>
      </c>
      <c r="D304" s="683">
        <v>0.7</v>
      </c>
      <c r="E304" s="683">
        <v>0.7</v>
      </c>
      <c r="F304" s="10"/>
      <c r="Q304" s="7" t="s">
        <v>20194</v>
      </c>
    </row>
    <row r="305">
      <c r="A305" s="702" t="s">
        <v>20195</v>
      </c>
      <c r="B305" s="231"/>
      <c r="C305" s="25" t="s">
        <v>15405</v>
      </c>
      <c r="D305" s="683">
        <v>0.7</v>
      </c>
      <c r="E305" s="683">
        <v>0.7</v>
      </c>
      <c r="F305" s="10"/>
      <c r="Q305" s="7" t="s">
        <v>20196</v>
      </c>
      <c r="R305" s="11">
        <v>11708.0</v>
      </c>
    </row>
    <row r="306">
      <c r="A306" s="702" t="s">
        <v>20197</v>
      </c>
      <c r="B306" s="231"/>
      <c r="C306" s="25" t="s">
        <v>15405</v>
      </c>
      <c r="D306" s="683">
        <v>0.7</v>
      </c>
      <c r="E306" s="683">
        <v>0.7</v>
      </c>
      <c r="F306" s="10"/>
      <c r="Q306" s="7" t="s">
        <v>20198</v>
      </c>
    </row>
    <row r="307">
      <c r="A307" s="702" t="s">
        <v>5869</v>
      </c>
      <c r="B307" s="231"/>
      <c r="C307" s="25" t="s">
        <v>15405</v>
      </c>
      <c r="D307" s="683">
        <v>0.7</v>
      </c>
      <c r="E307" s="683">
        <v>0.7</v>
      </c>
      <c r="F307" s="10"/>
      <c r="Q307" s="7" t="s">
        <v>20199</v>
      </c>
    </row>
    <row r="308">
      <c r="A308" s="702" t="s">
        <v>20200</v>
      </c>
      <c r="B308" s="231"/>
      <c r="C308" s="25" t="s">
        <v>15405</v>
      </c>
      <c r="D308" s="683">
        <v>0.7</v>
      </c>
      <c r="E308" s="683">
        <v>0.7</v>
      </c>
      <c r="F308" s="10"/>
      <c r="Q308" s="7" t="s">
        <v>20201</v>
      </c>
    </row>
    <row r="309">
      <c r="A309" s="702" t="s">
        <v>20202</v>
      </c>
      <c r="B309" s="231"/>
      <c r="C309" s="25" t="s">
        <v>15405</v>
      </c>
      <c r="D309" s="683">
        <v>0.7</v>
      </c>
      <c r="E309" s="683">
        <v>0.7</v>
      </c>
      <c r="F309" s="10"/>
      <c r="Q309" s="7" t="s">
        <v>20203</v>
      </c>
    </row>
    <row r="310">
      <c r="A310" s="702" t="s">
        <v>20204</v>
      </c>
      <c r="B310" s="231"/>
      <c r="C310" s="25" t="s">
        <v>15405</v>
      </c>
      <c r="D310" s="683">
        <v>0.7</v>
      </c>
      <c r="E310" s="683">
        <v>0.7</v>
      </c>
      <c r="F310" s="10"/>
      <c r="Q310" s="7" t="s">
        <v>20205</v>
      </c>
    </row>
    <row r="311">
      <c r="A311" s="702" t="s">
        <v>20206</v>
      </c>
      <c r="B311" s="231"/>
      <c r="C311" s="25" t="s">
        <v>15405</v>
      </c>
      <c r="D311" s="683">
        <v>0.7</v>
      </c>
      <c r="E311" s="683">
        <v>0.7</v>
      </c>
      <c r="F311" s="10"/>
      <c r="Q311" s="7" t="s">
        <v>20207</v>
      </c>
    </row>
    <row r="312">
      <c r="A312" s="702" t="s">
        <v>20208</v>
      </c>
      <c r="B312" s="231"/>
      <c r="C312" s="25" t="s">
        <v>15405</v>
      </c>
      <c r="D312" s="683">
        <v>0.7</v>
      </c>
      <c r="E312" s="683">
        <v>0.7</v>
      </c>
      <c r="F312" s="10"/>
      <c r="Q312" s="7" t="s">
        <v>20209</v>
      </c>
    </row>
    <row r="313">
      <c r="A313" s="702" t="s">
        <v>20210</v>
      </c>
      <c r="B313" s="231"/>
      <c r="C313" s="25" t="s">
        <v>15405</v>
      </c>
      <c r="D313" s="683">
        <v>0.7</v>
      </c>
      <c r="E313" s="683">
        <v>0.7</v>
      </c>
      <c r="F313" s="10"/>
      <c r="Q313" s="7" t="s">
        <v>20211</v>
      </c>
    </row>
    <row r="314">
      <c r="A314" s="702" t="s">
        <v>20212</v>
      </c>
      <c r="B314" s="231"/>
      <c r="C314" s="25" t="s">
        <v>15405</v>
      </c>
      <c r="D314" s="683">
        <v>0.7</v>
      </c>
      <c r="E314" s="683">
        <v>0.7</v>
      </c>
      <c r="F314" s="10"/>
      <c r="Q314" s="7" t="s">
        <v>20213</v>
      </c>
    </row>
    <row r="315">
      <c r="A315" s="702" t="s">
        <v>20214</v>
      </c>
      <c r="B315" s="231"/>
      <c r="C315" s="25" t="s">
        <v>15405</v>
      </c>
      <c r="D315" s="683">
        <v>0.7</v>
      </c>
      <c r="E315" s="683">
        <v>0.7</v>
      </c>
      <c r="F315" s="10"/>
      <c r="Q315" s="7" t="s">
        <v>20215</v>
      </c>
      <c r="R315" s="11">
        <v>6728.0</v>
      </c>
    </row>
    <row r="316">
      <c r="A316" s="702" t="s">
        <v>20216</v>
      </c>
      <c r="B316" s="231"/>
      <c r="C316" s="25" t="s">
        <v>15405</v>
      </c>
      <c r="D316" s="683">
        <v>0.7</v>
      </c>
      <c r="E316" s="683">
        <v>0.7</v>
      </c>
      <c r="F316" s="10"/>
      <c r="Q316" s="7" t="s">
        <v>20217</v>
      </c>
    </row>
    <row r="317">
      <c r="A317" s="702" t="s">
        <v>20218</v>
      </c>
      <c r="B317" s="231"/>
      <c r="C317" s="25" t="s">
        <v>15405</v>
      </c>
      <c r="D317" s="683">
        <v>0.7</v>
      </c>
      <c r="E317" s="683">
        <v>0.7</v>
      </c>
      <c r="F317" s="10"/>
      <c r="Q317" s="7" t="s">
        <v>20219</v>
      </c>
    </row>
    <row r="318">
      <c r="A318" s="702" t="s">
        <v>20220</v>
      </c>
      <c r="B318" s="231"/>
      <c r="C318" s="25" t="s">
        <v>15405</v>
      </c>
      <c r="D318" s="683">
        <v>0.7</v>
      </c>
      <c r="E318" s="683">
        <v>0.7</v>
      </c>
      <c r="F318" s="10"/>
      <c r="Q318" s="7" t="s">
        <v>20221</v>
      </c>
    </row>
    <row r="319">
      <c r="A319" s="702" t="s">
        <v>20222</v>
      </c>
      <c r="B319" s="231"/>
      <c r="C319" s="25" t="s">
        <v>15405</v>
      </c>
      <c r="D319" s="683">
        <v>0.7</v>
      </c>
      <c r="E319" s="683">
        <v>0.7</v>
      </c>
      <c r="F319" s="10"/>
      <c r="Q319" s="7" t="s">
        <v>20223</v>
      </c>
      <c r="R319" s="11">
        <v>7100.0</v>
      </c>
    </row>
    <row r="320">
      <c r="A320" s="702" t="s">
        <v>20224</v>
      </c>
      <c r="B320" s="231"/>
      <c r="C320" s="25" t="s">
        <v>15405</v>
      </c>
      <c r="D320" s="683">
        <v>0.7</v>
      </c>
      <c r="E320" s="683">
        <v>0.7</v>
      </c>
      <c r="F320" s="10"/>
      <c r="Q320" s="7" t="s">
        <v>20225</v>
      </c>
    </row>
    <row r="321">
      <c r="A321" s="702" t="s">
        <v>20226</v>
      </c>
      <c r="B321" s="231"/>
      <c r="C321" s="25" t="s">
        <v>15405</v>
      </c>
      <c r="D321" s="683">
        <v>0.7</v>
      </c>
      <c r="E321" s="683">
        <v>0.7</v>
      </c>
      <c r="F321" s="10"/>
      <c r="Q321" s="7" t="s">
        <v>20227</v>
      </c>
      <c r="R321" s="11">
        <v>11875.0</v>
      </c>
    </row>
    <row r="322">
      <c r="A322" s="702" t="s">
        <v>20228</v>
      </c>
      <c r="B322" s="231"/>
      <c r="C322" s="25" t="s">
        <v>15405</v>
      </c>
      <c r="D322" s="683">
        <v>0.7</v>
      </c>
      <c r="E322" s="683">
        <v>0.7</v>
      </c>
      <c r="F322" s="10"/>
      <c r="Q322" s="7" t="s">
        <v>20229</v>
      </c>
    </row>
    <row r="323">
      <c r="A323" s="702" t="s">
        <v>20230</v>
      </c>
      <c r="B323" s="231"/>
      <c r="C323" s="25" t="s">
        <v>15405</v>
      </c>
      <c r="D323" s="683">
        <v>0.7</v>
      </c>
      <c r="E323" s="683">
        <v>0.7</v>
      </c>
      <c r="F323" s="10"/>
      <c r="Q323" s="7" t="s">
        <v>20231</v>
      </c>
    </row>
    <row r="324">
      <c r="A324" s="702" t="s">
        <v>2758</v>
      </c>
      <c r="B324" s="231"/>
      <c r="C324" s="25" t="s">
        <v>15405</v>
      </c>
      <c r="D324" s="683">
        <v>0.7</v>
      </c>
      <c r="E324" s="683">
        <v>0.7</v>
      </c>
      <c r="F324" s="10"/>
      <c r="Q324" s="7" t="s">
        <v>20232</v>
      </c>
    </row>
    <row r="325">
      <c r="A325" s="702" t="s">
        <v>15942</v>
      </c>
      <c r="B325" s="231"/>
      <c r="C325" s="25" t="s">
        <v>15405</v>
      </c>
      <c r="D325" s="683">
        <v>0.7</v>
      </c>
      <c r="E325" s="683">
        <v>0.7</v>
      </c>
      <c r="F325" s="10"/>
      <c r="Q325" s="7" t="s">
        <v>20233</v>
      </c>
    </row>
    <row r="326">
      <c r="A326" s="702" t="s">
        <v>20234</v>
      </c>
      <c r="B326" s="231"/>
      <c r="C326" s="25" t="s">
        <v>15405</v>
      </c>
      <c r="D326" s="683">
        <v>0.7</v>
      </c>
      <c r="E326" s="683">
        <v>0.7</v>
      </c>
      <c r="F326" s="10"/>
      <c r="Q326" s="7" t="s">
        <v>20235</v>
      </c>
    </row>
    <row r="327">
      <c r="A327" s="702" t="s">
        <v>20236</v>
      </c>
      <c r="B327" s="231"/>
      <c r="C327" s="25" t="s">
        <v>15405</v>
      </c>
      <c r="D327" s="683">
        <v>0.7</v>
      </c>
      <c r="E327" s="683">
        <v>0.7</v>
      </c>
      <c r="F327" s="10"/>
      <c r="Q327" s="7" t="s">
        <v>20237</v>
      </c>
    </row>
    <row r="328">
      <c r="A328" s="702" t="s">
        <v>20238</v>
      </c>
      <c r="B328" s="231"/>
      <c r="C328" s="25" t="s">
        <v>15405</v>
      </c>
      <c r="D328" s="683">
        <v>0.7</v>
      </c>
      <c r="E328" s="683">
        <v>0.7</v>
      </c>
      <c r="F328" s="10"/>
      <c r="Q328" s="7" t="s">
        <v>20239</v>
      </c>
    </row>
    <row r="329">
      <c r="A329" s="702" t="s">
        <v>20240</v>
      </c>
      <c r="B329" s="231"/>
      <c r="C329" s="25" t="s">
        <v>15405</v>
      </c>
      <c r="D329" s="683">
        <v>0.7</v>
      </c>
      <c r="E329" s="683">
        <v>0.7</v>
      </c>
      <c r="F329" s="10"/>
      <c r="Q329" s="7" t="s">
        <v>20241</v>
      </c>
    </row>
    <row r="330">
      <c r="A330" s="702" t="s">
        <v>5351</v>
      </c>
      <c r="B330" s="231"/>
      <c r="C330" s="25" t="s">
        <v>15405</v>
      </c>
      <c r="D330" s="683">
        <v>0.7</v>
      </c>
      <c r="E330" s="683">
        <v>0.7</v>
      </c>
      <c r="F330" s="10"/>
      <c r="Q330" s="7" t="s">
        <v>20242</v>
      </c>
    </row>
    <row r="331">
      <c r="A331" s="702" t="s">
        <v>20243</v>
      </c>
      <c r="B331" s="231"/>
      <c r="C331" s="25" t="s">
        <v>15405</v>
      </c>
      <c r="D331" s="683">
        <v>0.7</v>
      </c>
      <c r="E331" s="683">
        <v>0.7</v>
      </c>
      <c r="F331" s="10"/>
      <c r="Q331" s="7" t="s">
        <v>20244</v>
      </c>
      <c r="R331" s="11">
        <v>14020.0</v>
      </c>
    </row>
    <row r="332">
      <c r="A332" s="702" t="s">
        <v>15684</v>
      </c>
      <c r="B332" s="231"/>
      <c r="C332" s="25" t="s">
        <v>15405</v>
      </c>
      <c r="D332" s="683">
        <v>0.7</v>
      </c>
      <c r="E332" s="683">
        <v>0.7</v>
      </c>
      <c r="F332" s="10"/>
      <c r="Q332" s="7" t="s">
        <v>20245</v>
      </c>
    </row>
    <row r="333">
      <c r="A333" s="702" t="s">
        <v>2244</v>
      </c>
      <c r="B333" s="231"/>
      <c r="C333" s="25" t="s">
        <v>15405</v>
      </c>
      <c r="D333" s="683">
        <v>0.7</v>
      </c>
      <c r="E333" s="683">
        <v>0.7</v>
      </c>
      <c r="F333" s="10"/>
      <c r="Q333" s="7" t="s">
        <v>20246</v>
      </c>
    </row>
    <row r="334">
      <c r="A334" s="702" t="s">
        <v>20247</v>
      </c>
      <c r="B334" s="231"/>
      <c r="C334" s="25" t="s">
        <v>15405</v>
      </c>
      <c r="D334" s="683">
        <v>0.7</v>
      </c>
      <c r="E334" s="683">
        <v>0.7</v>
      </c>
      <c r="F334" s="10"/>
      <c r="Q334" s="7" t="s">
        <v>20248</v>
      </c>
    </row>
    <row r="335">
      <c r="A335" s="702" t="s">
        <v>20249</v>
      </c>
      <c r="B335" s="231"/>
      <c r="C335" s="25" t="s">
        <v>15405</v>
      </c>
      <c r="D335" s="683">
        <v>0.7</v>
      </c>
      <c r="E335" s="683">
        <v>0.7</v>
      </c>
      <c r="F335" s="10"/>
      <c r="Q335" s="7" t="s">
        <v>20250</v>
      </c>
    </row>
    <row r="336">
      <c r="A336" s="702" t="s">
        <v>20251</v>
      </c>
      <c r="B336" s="231"/>
      <c r="C336" s="25" t="s">
        <v>15405</v>
      </c>
      <c r="D336" s="683">
        <v>0.7</v>
      </c>
      <c r="E336" s="683">
        <v>0.7</v>
      </c>
      <c r="F336" s="10"/>
      <c r="Q336" s="7" t="s">
        <v>20252</v>
      </c>
    </row>
    <row r="337">
      <c r="A337" s="702" t="s">
        <v>20253</v>
      </c>
      <c r="B337" s="231"/>
      <c r="C337" s="25" t="s">
        <v>15405</v>
      </c>
      <c r="D337" s="683">
        <v>0.7</v>
      </c>
      <c r="E337" s="683">
        <v>0.7</v>
      </c>
      <c r="F337" s="10"/>
      <c r="Q337" s="7" t="s">
        <v>20254</v>
      </c>
    </row>
    <row r="338">
      <c r="A338" s="702" t="s">
        <v>20255</v>
      </c>
      <c r="B338" s="231"/>
      <c r="C338" s="25" t="s">
        <v>15405</v>
      </c>
      <c r="D338" s="683">
        <v>0.7</v>
      </c>
      <c r="E338" s="683">
        <v>0.7</v>
      </c>
      <c r="F338" s="10"/>
      <c r="Q338" s="7" t="s">
        <v>20256</v>
      </c>
    </row>
    <row r="339">
      <c r="A339" s="702" t="s">
        <v>20257</v>
      </c>
      <c r="B339" s="231"/>
      <c r="C339" s="25" t="s">
        <v>15405</v>
      </c>
      <c r="D339" s="683">
        <v>0.7</v>
      </c>
      <c r="E339" s="683">
        <v>0.7</v>
      </c>
      <c r="F339" s="10"/>
      <c r="Q339" s="7" t="s">
        <v>20258</v>
      </c>
    </row>
    <row r="340">
      <c r="A340" s="702" t="s">
        <v>20259</v>
      </c>
      <c r="B340" s="231"/>
      <c r="C340" s="25" t="s">
        <v>15405</v>
      </c>
      <c r="D340" s="683">
        <v>0.7</v>
      </c>
      <c r="E340" s="683">
        <v>0.7</v>
      </c>
      <c r="F340" s="10"/>
      <c r="Q340" s="7" t="s">
        <v>20260</v>
      </c>
    </row>
    <row r="341">
      <c r="A341" s="702" t="s">
        <v>20261</v>
      </c>
      <c r="B341" s="231"/>
      <c r="C341" s="25" t="s">
        <v>15405</v>
      </c>
      <c r="D341" s="683">
        <v>0.7</v>
      </c>
      <c r="E341" s="683">
        <v>0.7</v>
      </c>
      <c r="F341" s="10"/>
      <c r="Q341" s="7" t="s">
        <v>20262</v>
      </c>
    </row>
    <row r="342">
      <c r="A342" s="702" t="s">
        <v>20263</v>
      </c>
      <c r="B342" s="231"/>
      <c r="C342" s="25" t="s">
        <v>15405</v>
      </c>
      <c r="D342" s="683">
        <v>0.7</v>
      </c>
      <c r="E342" s="683">
        <v>0.7</v>
      </c>
      <c r="F342" s="10"/>
      <c r="Q342" s="7" t="s">
        <v>20264</v>
      </c>
    </row>
    <row r="343">
      <c r="A343" s="702" t="s">
        <v>20265</v>
      </c>
      <c r="B343" s="231"/>
      <c r="C343" s="25" t="s">
        <v>15405</v>
      </c>
      <c r="D343" s="683">
        <v>0.7</v>
      </c>
      <c r="E343" s="683">
        <v>0.7</v>
      </c>
      <c r="F343" s="10"/>
      <c r="Q343" s="7" t="s">
        <v>20266</v>
      </c>
    </row>
    <row r="344">
      <c r="A344" s="702" t="s">
        <v>4257</v>
      </c>
      <c r="B344" s="231"/>
      <c r="C344" s="25" t="s">
        <v>15405</v>
      </c>
      <c r="D344" s="683">
        <v>0.7</v>
      </c>
      <c r="E344" s="683">
        <v>0.7</v>
      </c>
      <c r="F344" s="10"/>
      <c r="Q344" s="7" t="s">
        <v>20267</v>
      </c>
    </row>
    <row r="345">
      <c r="A345" s="702" t="s">
        <v>20268</v>
      </c>
      <c r="B345" s="231"/>
      <c r="C345" s="25" t="s">
        <v>15405</v>
      </c>
      <c r="D345" s="683">
        <v>0.7</v>
      </c>
      <c r="E345" s="683">
        <v>0.7</v>
      </c>
      <c r="F345" s="10"/>
      <c r="Q345" s="7" t="s">
        <v>20269</v>
      </c>
    </row>
    <row r="346">
      <c r="A346" s="702" t="s">
        <v>20270</v>
      </c>
      <c r="B346" s="231"/>
      <c r="C346" s="25" t="s">
        <v>15405</v>
      </c>
      <c r="D346" s="683">
        <v>0.7</v>
      </c>
      <c r="E346" s="683">
        <v>0.7</v>
      </c>
      <c r="F346" s="10"/>
      <c r="Q346" s="7" t="s">
        <v>20271</v>
      </c>
    </row>
    <row r="347">
      <c r="A347" s="702" t="s">
        <v>20272</v>
      </c>
      <c r="B347" s="231"/>
      <c r="C347" s="25" t="s">
        <v>15405</v>
      </c>
      <c r="D347" s="683">
        <v>0.7</v>
      </c>
      <c r="E347" s="683">
        <v>0.7</v>
      </c>
      <c r="F347" s="10"/>
      <c r="Q347" s="7" t="s">
        <v>20273</v>
      </c>
    </row>
    <row r="348">
      <c r="A348" s="702" t="s">
        <v>20274</v>
      </c>
      <c r="B348" s="231"/>
      <c r="C348" s="25" t="s">
        <v>15405</v>
      </c>
      <c r="D348" s="683">
        <v>0.7</v>
      </c>
      <c r="E348" s="683">
        <v>0.7</v>
      </c>
      <c r="F348" s="10"/>
      <c r="Q348" s="7" t="s">
        <v>20275</v>
      </c>
    </row>
    <row r="349">
      <c r="A349" s="702" t="s">
        <v>20276</v>
      </c>
      <c r="B349" s="231"/>
      <c r="C349" s="25" t="s">
        <v>15405</v>
      </c>
      <c r="D349" s="683">
        <v>0.7</v>
      </c>
      <c r="E349" s="683">
        <v>0.7</v>
      </c>
      <c r="F349" s="10"/>
      <c r="Q349" s="7" t="s">
        <v>20277</v>
      </c>
    </row>
    <row r="350">
      <c r="A350" s="702" t="s">
        <v>20278</v>
      </c>
      <c r="B350" s="231"/>
      <c r="C350" s="25" t="s">
        <v>15405</v>
      </c>
      <c r="D350" s="683">
        <v>0.7</v>
      </c>
      <c r="E350" s="683">
        <v>0.7</v>
      </c>
      <c r="F350" s="10"/>
      <c r="Q350" s="7" t="s">
        <v>20279</v>
      </c>
    </row>
    <row r="351">
      <c r="A351" s="702" t="s">
        <v>20280</v>
      </c>
      <c r="B351" s="231"/>
      <c r="C351" s="25" t="s">
        <v>15405</v>
      </c>
      <c r="D351" s="683">
        <v>0.7</v>
      </c>
      <c r="E351" s="683">
        <v>0.7</v>
      </c>
      <c r="F351" s="10"/>
      <c r="Q351" s="7" t="s">
        <v>20281</v>
      </c>
    </row>
    <row r="352">
      <c r="A352" s="702" t="s">
        <v>20282</v>
      </c>
      <c r="B352" s="231"/>
      <c r="C352" s="25" t="s">
        <v>15405</v>
      </c>
      <c r="D352" s="683">
        <v>0.7</v>
      </c>
      <c r="E352" s="683">
        <v>0.7</v>
      </c>
      <c r="F352" s="10"/>
      <c r="Q352" s="7" t="s">
        <v>20283</v>
      </c>
    </row>
    <row r="353">
      <c r="A353" s="702" t="s">
        <v>20284</v>
      </c>
      <c r="B353" s="231"/>
      <c r="C353" s="25" t="s">
        <v>15405</v>
      </c>
      <c r="D353" s="683">
        <v>0.7</v>
      </c>
      <c r="E353" s="683">
        <v>0.7</v>
      </c>
      <c r="F353" s="10"/>
      <c r="Q353" s="7" t="s">
        <v>20285</v>
      </c>
    </row>
    <row r="354">
      <c r="A354" s="702" t="s">
        <v>20286</v>
      </c>
      <c r="B354" s="231"/>
      <c r="C354" s="25" t="s">
        <v>15405</v>
      </c>
      <c r="D354" s="683">
        <v>0.7</v>
      </c>
      <c r="E354" s="683">
        <v>0.7</v>
      </c>
      <c r="F354" s="10"/>
      <c r="Q354" s="7" t="s">
        <v>20287</v>
      </c>
    </row>
    <row r="355">
      <c r="A355" s="702" t="s">
        <v>20288</v>
      </c>
      <c r="B355" s="231"/>
      <c r="C355" s="25" t="s">
        <v>15405</v>
      </c>
      <c r="D355" s="683">
        <v>0.7</v>
      </c>
      <c r="E355" s="683">
        <v>0.7</v>
      </c>
      <c r="F355" s="10"/>
      <c r="Q355" s="7" t="s">
        <v>20289</v>
      </c>
    </row>
    <row r="356">
      <c r="A356" s="702" t="s">
        <v>20290</v>
      </c>
      <c r="B356" s="231"/>
      <c r="C356" s="25" t="s">
        <v>15405</v>
      </c>
      <c r="D356" s="683">
        <v>0.7</v>
      </c>
      <c r="E356" s="683">
        <v>0.7</v>
      </c>
      <c r="F356" s="10"/>
      <c r="Q356" s="7" t="s">
        <v>20291</v>
      </c>
    </row>
    <row r="357">
      <c r="A357" s="702" t="s">
        <v>20292</v>
      </c>
      <c r="B357" s="231"/>
      <c r="C357" s="25" t="s">
        <v>15405</v>
      </c>
      <c r="D357" s="683">
        <v>0.7</v>
      </c>
      <c r="E357" s="683">
        <v>0.7</v>
      </c>
      <c r="F357" s="10"/>
      <c r="Q357" s="7" t="s">
        <v>20293</v>
      </c>
    </row>
    <row r="358">
      <c r="A358" s="702" t="s">
        <v>20294</v>
      </c>
      <c r="B358" s="231"/>
      <c r="C358" s="25" t="s">
        <v>15405</v>
      </c>
      <c r="D358" s="683">
        <v>0.7</v>
      </c>
      <c r="E358" s="683">
        <v>0.7</v>
      </c>
      <c r="F358" s="10"/>
      <c r="Q358" s="7" t="s">
        <v>20295</v>
      </c>
    </row>
    <row r="359">
      <c r="A359" s="702" t="s">
        <v>15947</v>
      </c>
      <c r="B359" s="231"/>
      <c r="C359" s="25" t="s">
        <v>15405</v>
      </c>
      <c r="D359" s="683">
        <v>0.7</v>
      </c>
      <c r="E359" s="683">
        <v>0.7</v>
      </c>
      <c r="F359" s="10"/>
      <c r="Q359" s="7" t="s">
        <v>20296</v>
      </c>
    </row>
    <row r="360">
      <c r="A360" s="702" t="s">
        <v>20297</v>
      </c>
      <c r="B360" s="231"/>
      <c r="C360" s="25" t="s">
        <v>15405</v>
      </c>
      <c r="D360" s="683">
        <v>0.7</v>
      </c>
      <c r="E360" s="683">
        <v>0.7</v>
      </c>
      <c r="F360" s="10"/>
      <c r="Q360" s="7" t="s">
        <v>20298</v>
      </c>
    </row>
    <row r="361">
      <c r="A361" s="702" t="s">
        <v>20299</v>
      </c>
      <c r="B361" s="231"/>
      <c r="C361" s="25" t="s">
        <v>15405</v>
      </c>
      <c r="D361" s="683">
        <v>0.7</v>
      </c>
      <c r="E361" s="683">
        <v>0.7</v>
      </c>
      <c r="F361" s="10"/>
      <c r="Q361" s="7" t="s">
        <v>20300</v>
      </c>
    </row>
    <row r="362">
      <c r="A362" s="702" t="s">
        <v>3228</v>
      </c>
      <c r="B362" s="231"/>
      <c r="C362" s="25" t="s">
        <v>15405</v>
      </c>
      <c r="D362" s="683">
        <v>0.7</v>
      </c>
      <c r="E362" s="683">
        <v>0.7</v>
      </c>
      <c r="F362" s="10"/>
      <c r="Q362" s="7" t="s">
        <v>20301</v>
      </c>
    </row>
    <row r="363">
      <c r="A363" s="702" t="s">
        <v>20302</v>
      </c>
      <c r="B363" s="231"/>
      <c r="C363" s="25" t="s">
        <v>15405</v>
      </c>
      <c r="D363" s="683">
        <v>0.7</v>
      </c>
      <c r="E363" s="683">
        <v>0.7</v>
      </c>
      <c r="F363" s="10"/>
      <c r="Q363" s="7" t="s">
        <v>20303</v>
      </c>
    </row>
    <row r="364">
      <c r="A364" s="702" t="s">
        <v>20304</v>
      </c>
      <c r="B364" s="231"/>
      <c r="C364" s="25" t="s">
        <v>15405</v>
      </c>
      <c r="D364" s="683">
        <v>0.7</v>
      </c>
      <c r="E364" s="683">
        <v>0.7</v>
      </c>
      <c r="F364" s="10"/>
      <c r="Q364" s="7" t="s">
        <v>20305</v>
      </c>
    </row>
    <row r="365">
      <c r="A365" s="702" t="s">
        <v>20306</v>
      </c>
      <c r="B365" s="231"/>
      <c r="C365" s="25" t="s">
        <v>15405</v>
      </c>
      <c r="D365" s="683">
        <v>0.7</v>
      </c>
      <c r="E365" s="683">
        <v>0.7</v>
      </c>
      <c r="F365" s="10"/>
      <c r="Q365" s="7" t="s">
        <v>20307</v>
      </c>
    </row>
    <row r="366">
      <c r="A366" s="702" t="s">
        <v>2153</v>
      </c>
      <c r="B366" s="231"/>
      <c r="C366" s="25" t="s">
        <v>15405</v>
      </c>
      <c r="D366" s="683">
        <v>0.7</v>
      </c>
      <c r="E366" s="683">
        <v>0.7</v>
      </c>
      <c r="F366" s="10"/>
      <c r="Q366" s="7" t="s">
        <v>20308</v>
      </c>
    </row>
    <row r="367">
      <c r="A367" s="702" t="s">
        <v>20309</v>
      </c>
      <c r="B367" s="231"/>
      <c r="C367" s="25" t="s">
        <v>15405</v>
      </c>
      <c r="D367" s="683">
        <v>0.7</v>
      </c>
      <c r="E367" s="683">
        <v>0.7</v>
      </c>
      <c r="F367" s="10"/>
      <c r="Q367" s="7" t="s">
        <v>20310</v>
      </c>
    </row>
    <row r="368">
      <c r="A368" s="702" t="s">
        <v>20311</v>
      </c>
      <c r="B368" s="231"/>
      <c r="C368" s="25" t="s">
        <v>15405</v>
      </c>
      <c r="D368" s="683">
        <v>0.7</v>
      </c>
      <c r="E368" s="683">
        <v>0.7</v>
      </c>
      <c r="F368" s="10"/>
      <c r="Q368" s="7" t="s">
        <v>20312</v>
      </c>
    </row>
    <row r="369">
      <c r="A369" s="702" t="s">
        <v>20313</v>
      </c>
      <c r="B369" s="231"/>
      <c r="C369" s="25" t="s">
        <v>15405</v>
      </c>
      <c r="D369" s="683">
        <v>0.7</v>
      </c>
      <c r="E369" s="683">
        <v>0.7</v>
      </c>
      <c r="F369" s="10"/>
      <c r="Q369" s="7" t="s">
        <v>20314</v>
      </c>
    </row>
    <row r="370">
      <c r="A370" s="702" t="s">
        <v>20315</v>
      </c>
      <c r="B370" s="231"/>
      <c r="C370" s="25" t="s">
        <v>15405</v>
      </c>
      <c r="D370" s="683">
        <v>0.7</v>
      </c>
      <c r="E370" s="683">
        <v>0.7</v>
      </c>
      <c r="F370" s="10"/>
      <c r="Q370" s="7" t="s">
        <v>20316</v>
      </c>
    </row>
    <row r="371">
      <c r="A371" s="702" t="s">
        <v>20317</v>
      </c>
      <c r="B371" s="231"/>
      <c r="C371" s="25" t="s">
        <v>15405</v>
      </c>
      <c r="D371" s="683">
        <v>0.7</v>
      </c>
      <c r="E371" s="683">
        <v>0.7</v>
      </c>
      <c r="F371" s="10"/>
      <c r="Q371" s="7" t="s">
        <v>20318</v>
      </c>
    </row>
    <row r="372">
      <c r="A372" s="702" t="s">
        <v>20319</v>
      </c>
      <c r="B372" s="231"/>
      <c r="C372" s="25" t="s">
        <v>15405</v>
      </c>
      <c r="D372" s="683">
        <v>0.7</v>
      </c>
      <c r="E372" s="683">
        <v>0.7</v>
      </c>
      <c r="F372" s="10"/>
      <c r="Q372" s="7" t="s">
        <v>20320</v>
      </c>
      <c r="R372" s="11">
        <v>9307.0</v>
      </c>
    </row>
    <row r="373">
      <c r="A373" s="702" t="s">
        <v>20321</v>
      </c>
      <c r="B373" s="231"/>
      <c r="C373" s="25" t="s">
        <v>15405</v>
      </c>
      <c r="D373" s="683">
        <v>0.7</v>
      </c>
      <c r="E373" s="683">
        <v>0.7</v>
      </c>
      <c r="F373" s="10"/>
      <c r="Q373" s="7" t="s">
        <v>20322</v>
      </c>
    </row>
    <row r="374">
      <c r="A374" s="702" t="s">
        <v>20323</v>
      </c>
      <c r="B374" s="231"/>
      <c r="C374" s="25" t="s">
        <v>15405</v>
      </c>
      <c r="D374" s="683">
        <v>0.7</v>
      </c>
      <c r="E374" s="683">
        <v>0.7</v>
      </c>
      <c r="F374" s="10"/>
      <c r="Q374" s="7" t="s">
        <v>20324</v>
      </c>
    </row>
    <row r="375">
      <c r="A375" s="702" t="s">
        <v>20325</v>
      </c>
      <c r="B375" s="231"/>
      <c r="C375" s="25" t="s">
        <v>15405</v>
      </c>
      <c r="D375" s="683">
        <v>0.7</v>
      </c>
      <c r="E375" s="683">
        <v>0.7</v>
      </c>
      <c r="F375" s="10"/>
      <c r="Q375" s="7" t="s">
        <v>20326</v>
      </c>
    </row>
    <row r="376">
      <c r="A376" s="702" t="s">
        <v>20327</v>
      </c>
      <c r="B376" s="231"/>
      <c r="C376" s="25" t="s">
        <v>15405</v>
      </c>
      <c r="D376" s="683">
        <v>0.7</v>
      </c>
      <c r="E376" s="683">
        <v>0.7</v>
      </c>
      <c r="F376" s="10"/>
      <c r="Q376" s="7" t="s">
        <v>20328</v>
      </c>
    </row>
    <row r="377">
      <c r="A377" s="702" t="s">
        <v>20329</v>
      </c>
      <c r="B377" s="231"/>
      <c r="C377" s="25" t="s">
        <v>15405</v>
      </c>
      <c r="D377" s="683">
        <v>0.7</v>
      </c>
      <c r="E377" s="683">
        <v>0.7</v>
      </c>
      <c r="F377" s="10"/>
      <c r="Q377" s="7" t="s">
        <v>20330</v>
      </c>
    </row>
    <row r="378">
      <c r="A378" s="702" t="s">
        <v>20331</v>
      </c>
      <c r="B378" s="231"/>
      <c r="C378" s="25" t="s">
        <v>15405</v>
      </c>
      <c r="D378" s="683">
        <v>0.7</v>
      </c>
      <c r="E378" s="683">
        <v>0.7</v>
      </c>
      <c r="F378" s="10"/>
      <c r="Q378" s="7" t="s">
        <v>20332</v>
      </c>
    </row>
    <row r="379">
      <c r="A379" s="702" t="s">
        <v>20333</v>
      </c>
      <c r="B379" s="231"/>
      <c r="C379" s="25" t="s">
        <v>15405</v>
      </c>
      <c r="D379" s="683">
        <v>0.7</v>
      </c>
      <c r="E379" s="683">
        <v>0.7</v>
      </c>
      <c r="F379" s="10"/>
      <c r="Q379" s="7" t="s">
        <v>20334</v>
      </c>
    </row>
    <row r="380">
      <c r="A380" s="702" t="s">
        <v>20335</v>
      </c>
      <c r="B380" s="231"/>
      <c r="C380" s="25" t="s">
        <v>15405</v>
      </c>
      <c r="D380" s="683">
        <v>0.7</v>
      </c>
      <c r="E380" s="683">
        <v>0.7</v>
      </c>
      <c r="F380" s="10"/>
      <c r="Q380" s="7" t="s">
        <v>20336</v>
      </c>
      <c r="R380" s="11">
        <v>9307.0</v>
      </c>
    </row>
    <row r="381">
      <c r="A381" s="702" t="s">
        <v>20337</v>
      </c>
      <c r="B381" s="231"/>
      <c r="C381" s="25" t="s">
        <v>15405</v>
      </c>
      <c r="D381" s="683">
        <v>0.7</v>
      </c>
      <c r="E381" s="683">
        <v>0.7</v>
      </c>
      <c r="F381" s="10"/>
      <c r="Q381" s="7" t="s">
        <v>20338</v>
      </c>
    </row>
    <row r="382">
      <c r="A382" s="702" t="s">
        <v>20339</v>
      </c>
      <c r="B382" s="231"/>
      <c r="C382" s="25" t="s">
        <v>15405</v>
      </c>
      <c r="D382" s="683">
        <v>0.7</v>
      </c>
      <c r="E382" s="683">
        <v>0.7</v>
      </c>
      <c r="F382" s="10"/>
      <c r="Q382" s="7" t="s">
        <v>20340</v>
      </c>
    </row>
    <row r="383">
      <c r="A383" s="702" t="s">
        <v>20341</v>
      </c>
      <c r="B383" s="231"/>
      <c r="C383" s="25" t="s">
        <v>15405</v>
      </c>
      <c r="D383" s="683">
        <v>0.7</v>
      </c>
      <c r="E383" s="683">
        <v>0.7</v>
      </c>
      <c r="F383" s="10"/>
      <c r="Q383" s="7" t="s">
        <v>20342</v>
      </c>
    </row>
    <row r="384">
      <c r="A384" s="702" t="s">
        <v>20343</v>
      </c>
      <c r="B384" s="231"/>
      <c r="C384" s="25" t="s">
        <v>15405</v>
      </c>
      <c r="D384" s="683">
        <v>0.7</v>
      </c>
      <c r="E384" s="683">
        <v>0.7</v>
      </c>
      <c r="F384" s="10"/>
      <c r="Q384" s="7" t="s">
        <v>20344</v>
      </c>
    </row>
    <row r="385">
      <c r="A385" s="702" t="s">
        <v>20345</v>
      </c>
      <c r="B385" s="231"/>
      <c r="C385" s="25" t="s">
        <v>15405</v>
      </c>
      <c r="D385" s="683">
        <v>0.7</v>
      </c>
      <c r="E385" s="683">
        <v>0.7</v>
      </c>
      <c r="F385" s="10"/>
      <c r="Q385" s="7" t="s">
        <v>20346</v>
      </c>
    </row>
    <row r="386">
      <c r="A386" s="702" t="s">
        <v>20347</v>
      </c>
      <c r="B386" s="231"/>
      <c r="C386" s="25" t="s">
        <v>15405</v>
      </c>
      <c r="D386" s="683">
        <v>0.7</v>
      </c>
      <c r="E386" s="683">
        <v>0.7</v>
      </c>
      <c r="F386" s="10"/>
      <c r="Q386" s="7" t="s">
        <v>20348</v>
      </c>
    </row>
    <row r="387">
      <c r="A387" s="702" t="s">
        <v>20349</v>
      </c>
      <c r="B387" s="231"/>
      <c r="C387" s="25" t="s">
        <v>15405</v>
      </c>
      <c r="D387" s="683">
        <v>0.7</v>
      </c>
      <c r="E387" s="683">
        <v>0.7</v>
      </c>
      <c r="F387" s="10"/>
      <c r="Q387" s="7" t="s">
        <v>20350</v>
      </c>
    </row>
    <row r="388">
      <c r="A388" s="702" t="s">
        <v>20351</v>
      </c>
      <c r="B388" s="231"/>
      <c r="C388" s="25" t="s">
        <v>15405</v>
      </c>
      <c r="D388" s="683">
        <v>0.7</v>
      </c>
      <c r="E388" s="683">
        <v>0.7</v>
      </c>
      <c r="F388" s="10"/>
      <c r="Q388" s="7" t="s">
        <v>20352</v>
      </c>
    </row>
    <row r="389">
      <c r="A389" s="702" t="s">
        <v>20353</v>
      </c>
      <c r="B389" s="231"/>
      <c r="C389" s="25" t="s">
        <v>15405</v>
      </c>
      <c r="D389" s="683">
        <v>0.7</v>
      </c>
      <c r="E389" s="683">
        <v>0.7</v>
      </c>
      <c r="F389" s="10"/>
      <c r="Q389" s="7" t="s">
        <v>20354</v>
      </c>
    </row>
    <row r="390">
      <c r="A390" s="702" t="s">
        <v>20355</v>
      </c>
      <c r="B390" s="231"/>
      <c r="C390" s="25" t="s">
        <v>15405</v>
      </c>
      <c r="D390" s="683">
        <v>0.7</v>
      </c>
      <c r="E390" s="683">
        <v>0.7</v>
      </c>
      <c r="F390" s="10"/>
      <c r="Q390" s="7" t="s">
        <v>20356</v>
      </c>
    </row>
    <row r="391">
      <c r="A391" s="702" t="s">
        <v>20357</v>
      </c>
      <c r="B391" s="231"/>
      <c r="C391" s="25" t="s">
        <v>15405</v>
      </c>
      <c r="D391" s="683">
        <v>0.7</v>
      </c>
      <c r="E391" s="683">
        <v>0.7</v>
      </c>
      <c r="F391" s="10"/>
      <c r="Q391" s="7" t="s">
        <v>20358</v>
      </c>
    </row>
    <row r="392">
      <c r="A392" s="702" t="s">
        <v>20359</v>
      </c>
      <c r="B392" s="231"/>
      <c r="C392" s="25" t="s">
        <v>15405</v>
      </c>
      <c r="D392" s="683">
        <v>0.7</v>
      </c>
      <c r="E392" s="683">
        <v>0.7</v>
      </c>
      <c r="F392" s="10"/>
      <c r="Q392" s="7" t="s">
        <v>20360</v>
      </c>
    </row>
    <row r="393">
      <c r="A393" s="702" t="s">
        <v>20361</v>
      </c>
      <c r="B393" s="231"/>
      <c r="C393" s="25" t="s">
        <v>15405</v>
      </c>
      <c r="D393" s="683">
        <v>0.7</v>
      </c>
      <c r="E393" s="683">
        <v>0.7</v>
      </c>
      <c r="F393" s="10"/>
      <c r="Q393" s="7" t="s">
        <v>20362</v>
      </c>
    </row>
    <row r="394">
      <c r="A394" s="702" t="s">
        <v>20363</v>
      </c>
      <c r="B394" s="231"/>
      <c r="C394" s="25" t="s">
        <v>15405</v>
      </c>
      <c r="D394" s="683">
        <v>0.7</v>
      </c>
      <c r="E394" s="683">
        <v>0.7</v>
      </c>
      <c r="F394" s="10"/>
      <c r="Q394" s="7" t="s">
        <v>20364</v>
      </c>
    </row>
    <row r="395">
      <c r="A395" s="702" t="s">
        <v>20365</v>
      </c>
      <c r="B395" s="231"/>
      <c r="C395" s="25" t="s">
        <v>15405</v>
      </c>
      <c r="D395" s="683">
        <v>0.7</v>
      </c>
      <c r="E395" s="683">
        <v>0.7</v>
      </c>
      <c r="F395" s="10"/>
      <c r="Q395" s="7" t="s">
        <v>20366</v>
      </c>
    </row>
    <row r="396">
      <c r="A396" s="702" t="s">
        <v>20367</v>
      </c>
      <c r="B396" s="231"/>
      <c r="C396" s="25" t="s">
        <v>15405</v>
      </c>
      <c r="D396" s="683">
        <v>0.7</v>
      </c>
      <c r="E396" s="683">
        <v>0.7</v>
      </c>
      <c r="F396" s="10"/>
      <c r="Q396" s="7" t="s">
        <v>20368</v>
      </c>
    </row>
    <row r="397">
      <c r="A397" s="702" t="s">
        <v>20369</v>
      </c>
      <c r="B397" s="231"/>
      <c r="C397" s="25" t="s">
        <v>15405</v>
      </c>
      <c r="D397" s="683">
        <v>0.7</v>
      </c>
      <c r="E397" s="683">
        <v>0.7</v>
      </c>
      <c r="F397" s="10"/>
      <c r="Q397" s="7" t="s">
        <v>20370</v>
      </c>
    </row>
    <row r="398">
      <c r="A398" s="702" t="s">
        <v>20371</v>
      </c>
      <c r="B398" s="231"/>
      <c r="C398" s="25" t="s">
        <v>15405</v>
      </c>
      <c r="D398" s="683">
        <v>0.7</v>
      </c>
      <c r="E398" s="683">
        <v>0.7</v>
      </c>
      <c r="F398" s="10"/>
      <c r="Q398" s="7" t="s">
        <v>20372</v>
      </c>
    </row>
    <row r="399">
      <c r="A399" s="702" t="s">
        <v>20373</v>
      </c>
      <c r="B399" s="231"/>
      <c r="C399" s="25" t="s">
        <v>15405</v>
      </c>
      <c r="D399" s="683">
        <v>0.7</v>
      </c>
      <c r="E399" s="683">
        <v>0.7</v>
      </c>
      <c r="F399" s="10"/>
      <c r="Q399" s="7" t="s">
        <v>20374</v>
      </c>
    </row>
    <row r="400">
      <c r="A400" s="702" t="s">
        <v>20375</v>
      </c>
      <c r="B400" s="231"/>
      <c r="C400" s="25" t="s">
        <v>15405</v>
      </c>
      <c r="D400" s="683">
        <v>0.7</v>
      </c>
      <c r="E400" s="683">
        <v>0.7</v>
      </c>
      <c r="F400" s="10"/>
      <c r="Q400" s="7" t="s">
        <v>20376</v>
      </c>
    </row>
    <row r="401">
      <c r="A401" s="702" t="s">
        <v>20377</v>
      </c>
      <c r="B401" s="231"/>
      <c r="C401" s="25" t="s">
        <v>15405</v>
      </c>
      <c r="D401" s="683">
        <v>0.7</v>
      </c>
      <c r="E401" s="683">
        <v>0.7</v>
      </c>
      <c r="F401" s="10"/>
      <c r="Q401" s="7" t="s">
        <v>20378</v>
      </c>
    </row>
    <row r="402">
      <c r="A402" s="702" t="s">
        <v>20379</v>
      </c>
      <c r="B402" s="231"/>
      <c r="C402" s="25" t="s">
        <v>15405</v>
      </c>
      <c r="D402" s="683">
        <v>0.7</v>
      </c>
      <c r="E402" s="683">
        <v>0.7</v>
      </c>
      <c r="F402" s="10"/>
      <c r="Q402" s="7" t="s">
        <v>20380</v>
      </c>
    </row>
    <row r="403">
      <c r="A403" s="702" t="s">
        <v>20381</v>
      </c>
      <c r="B403" s="231"/>
      <c r="C403" s="25" t="s">
        <v>15405</v>
      </c>
      <c r="D403" s="683">
        <v>0.7</v>
      </c>
      <c r="E403" s="683">
        <v>0.7</v>
      </c>
      <c r="F403" s="10"/>
      <c r="Q403" s="7" t="s">
        <v>20382</v>
      </c>
    </row>
    <row r="404">
      <c r="A404" s="702" t="s">
        <v>5187</v>
      </c>
      <c r="B404" s="231"/>
      <c r="C404" s="25" t="s">
        <v>15405</v>
      </c>
      <c r="D404" s="683">
        <v>0.7</v>
      </c>
      <c r="E404" s="683">
        <v>0.7</v>
      </c>
      <c r="F404" s="10"/>
      <c r="Q404" s="7" t="s">
        <v>20383</v>
      </c>
    </row>
    <row r="405">
      <c r="A405" s="702" t="s">
        <v>20384</v>
      </c>
      <c r="B405" s="231"/>
      <c r="C405" s="25" t="s">
        <v>15405</v>
      </c>
      <c r="D405" s="683">
        <v>0.7</v>
      </c>
      <c r="E405" s="683">
        <v>0.7</v>
      </c>
      <c r="F405" s="10"/>
      <c r="Q405" s="7" t="s">
        <v>20385</v>
      </c>
    </row>
    <row r="406">
      <c r="A406" s="702" t="s">
        <v>20386</v>
      </c>
      <c r="B406" s="231"/>
      <c r="C406" s="25" t="s">
        <v>15405</v>
      </c>
      <c r="D406" s="683">
        <v>0.7</v>
      </c>
      <c r="E406" s="683">
        <v>0.7</v>
      </c>
      <c r="F406" s="10"/>
      <c r="Q406" s="7" t="s">
        <v>20387</v>
      </c>
    </row>
    <row r="407">
      <c r="A407" s="702" t="s">
        <v>20388</v>
      </c>
      <c r="B407" s="231"/>
      <c r="C407" s="25" t="s">
        <v>15405</v>
      </c>
      <c r="D407" s="683">
        <v>0.7</v>
      </c>
      <c r="E407" s="683">
        <v>0.7</v>
      </c>
      <c r="F407" s="10"/>
      <c r="Q407" s="7" t="s">
        <v>20389</v>
      </c>
    </row>
    <row r="408">
      <c r="A408" s="702" t="s">
        <v>20390</v>
      </c>
      <c r="B408" s="231"/>
      <c r="C408" s="25" t="s">
        <v>15405</v>
      </c>
      <c r="D408" s="683">
        <v>0.7</v>
      </c>
      <c r="E408" s="683">
        <v>0.7</v>
      </c>
      <c r="F408" s="10"/>
      <c r="Q408" s="7" t="s">
        <v>20391</v>
      </c>
    </row>
    <row r="409">
      <c r="A409" s="702" t="s">
        <v>20392</v>
      </c>
      <c r="B409" s="231"/>
      <c r="C409" s="25" t="s">
        <v>15405</v>
      </c>
      <c r="D409" s="683">
        <v>0.7</v>
      </c>
      <c r="E409" s="683">
        <v>0.7</v>
      </c>
      <c r="F409" s="10"/>
      <c r="Q409" s="7" t="s">
        <v>20393</v>
      </c>
    </row>
    <row r="410">
      <c r="A410" s="702" t="s">
        <v>20394</v>
      </c>
      <c r="B410" s="231"/>
      <c r="C410" s="25" t="s">
        <v>15405</v>
      </c>
      <c r="D410" s="683">
        <v>0.7</v>
      </c>
      <c r="E410" s="683">
        <v>0.7</v>
      </c>
      <c r="F410" s="10"/>
      <c r="Q410" s="7" t="s">
        <v>20395</v>
      </c>
    </row>
    <row r="411">
      <c r="A411" s="702" t="s">
        <v>20396</v>
      </c>
      <c r="B411" s="231"/>
      <c r="C411" s="25" t="s">
        <v>15405</v>
      </c>
      <c r="D411" s="683">
        <v>0.7</v>
      </c>
      <c r="E411" s="683">
        <v>0.7</v>
      </c>
      <c r="F411" s="10"/>
      <c r="Q411" s="7" t="s">
        <v>20397</v>
      </c>
    </row>
    <row r="412">
      <c r="A412" s="702" t="s">
        <v>20398</v>
      </c>
      <c r="B412" s="231"/>
      <c r="C412" s="25" t="s">
        <v>15405</v>
      </c>
      <c r="D412" s="683">
        <v>0.7</v>
      </c>
      <c r="E412" s="683">
        <v>0.7</v>
      </c>
      <c r="F412" s="10"/>
      <c r="Q412" s="7" t="s">
        <v>20399</v>
      </c>
    </row>
    <row r="413">
      <c r="A413" s="702" t="s">
        <v>20400</v>
      </c>
      <c r="B413" s="231"/>
      <c r="C413" s="25" t="s">
        <v>15405</v>
      </c>
      <c r="D413" s="683">
        <v>0.7</v>
      </c>
      <c r="E413" s="683">
        <v>0.7</v>
      </c>
      <c r="F413" s="10"/>
      <c r="Q413" s="7" t="s">
        <v>20401</v>
      </c>
    </row>
    <row r="414">
      <c r="A414" s="702" t="s">
        <v>20402</v>
      </c>
      <c r="B414" s="231"/>
      <c r="C414" s="25" t="s">
        <v>15405</v>
      </c>
      <c r="D414" s="683">
        <v>0.7</v>
      </c>
      <c r="E414" s="683">
        <v>0.7</v>
      </c>
      <c r="F414" s="10"/>
      <c r="Q414" s="7" t="s">
        <v>20403</v>
      </c>
    </row>
    <row r="415">
      <c r="A415" s="702" t="s">
        <v>16158</v>
      </c>
      <c r="B415" s="231"/>
      <c r="C415" s="25" t="s">
        <v>15405</v>
      </c>
      <c r="D415" s="683">
        <v>0.7</v>
      </c>
      <c r="E415" s="683">
        <v>0.7</v>
      </c>
      <c r="F415" s="10"/>
      <c r="Q415" s="7" t="s">
        <v>20404</v>
      </c>
    </row>
    <row r="416">
      <c r="A416" s="702" t="s">
        <v>20405</v>
      </c>
      <c r="B416" s="231"/>
      <c r="C416" s="25" t="s">
        <v>15405</v>
      </c>
      <c r="D416" s="683">
        <v>0.7</v>
      </c>
      <c r="E416" s="683">
        <v>0.7</v>
      </c>
      <c r="F416" s="10"/>
      <c r="Q416" s="7" t="s">
        <v>20406</v>
      </c>
    </row>
    <row r="417">
      <c r="A417" s="702" t="s">
        <v>20407</v>
      </c>
      <c r="B417" s="231"/>
      <c r="C417" s="25" t="s">
        <v>15405</v>
      </c>
      <c r="D417" s="683">
        <v>0.7</v>
      </c>
      <c r="E417" s="683">
        <v>0.7</v>
      </c>
      <c r="F417" s="10"/>
      <c r="Q417" s="7" t="s">
        <v>20408</v>
      </c>
    </row>
    <row r="418">
      <c r="A418" s="702" t="s">
        <v>20409</v>
      </c>
      <c r="B418" s="231"/>
      <c r="C418" s="25" t="s">
        <v>15405</v>
      </c>
      <c r="D418" s="683">
        <v>0.7</v>
      </c>
      <c r="E418" s="683">
        <v>0.7</v>
      </c>
      <c r="F418" s="10"/>
      <c r="Q418" s="7" t="s">
        <v>20410</v>
      </c>
    </row>
    <row r="419">
      <c r="A419" s="702" t="s">
        <v>20411</v>
      </c>
      <c r="B419" s="231"/>
      <c r="C419" s="25" t="s">
        <v>15405</v>
      </c>
      <c r="D419" s="683">
        <v>0.7</v>
      </c>
      <c r="E419" s="683">
        <v>0.7</v>
      </c>
      <c r="F419" s="10"/>
      <c r="Q419" s="7" t="s">
        <v>20412</v>
      </c>
    </row>
    <row r="420">
      <c r="A420" s="702" t="s">
        <v>20413</v>
      </c>
      <c r="B420" s="231"/>
      <c r="C420" s="25" t="s">
        <v>15405</v>
      </c>
      <c r="D420" s="683">
        <v>0.7</v>
      </c>
      <c r="E420" s="683">
        <v>0.7</v>
      </c>
      <c r="F420" s="10"/>
      <c r="Q420" s="7" t="s">
        <v>20414</v>
      </c>
    </row>
    <row r="421">
      <c r="A421" s="702" t="s">
        <v>20415</v>
      </c>
      <c r="B421" s="231"/>
      <c r="C421" s="25" t="s">
        <v>15405</v>
      </c>
      <c r="D421" s="683">
        <v>0.7</v>
      </c>
      <c r="E421" s="683">
        <v>0.7</v>
      </c>
      <c r="F421" s="10"/>
      <c r="Q421" s="7" t="s">
        <v>20416</v>
      </c>
    </row>
    <row r="422">
      <c r="A422" s="702" t="s">
        <v>20417</v>
      </c>
      <c r="B422" s="231"/>
      <c r="C422" s="25" t="s">
        <v>15405</v>
      </c>
      <c r="D422" s="683">
        <v>0.7</v>
      </c>
      <c r="E422" s="683">
        <v>0.7</v>
      </c>
      <c r="F422" s="10"/>
      <c r="Q422" s="7" t="s">
        <v>20418</v>
      </c>
    </row>
    <row r="423">
      <c r="A423" s="702" t="s">
        <v>20419</v>
      </c>
      <c r="B423" s="231"/>
      <c r="C423" s="25" t="s">
        <v>15405</v>
      </c>
      <c r="D423" s="683">
        <v>0.7</v>
      </c>
      <c r="E423" s="683">
        <v>0.7</v>
      </c>
      <c r="F423" s="10"/>
      <c r="Q423" s="7" t="s">
        <v>20420</v>
      </c>
    </row>
    <row r="424">
      <c r="A424" s="702" t="s">
        <v>5832</v>
      </c>
      <c r="B424" s="231"/>
      <c r="C424" s="25" t="s">
        <v>15405</v>
      </c>
      <c r="D424" s="683">
        <v>0.7</v>
      </c>
      <c r="E424" s="683">
        <v>0.7</v>
      </c>
      <c r="F424" s="10"/>
      <c r="Q424" s="7" t="s">
        <v>20421</v>
      </c>
    </row>
    <row r="425">
      <c r="A425" s="702" t="s">
        <v>20422</v>
      </c>
      <c r="B425" s="231"/>
      <c r="C425" s="25" t="s">
        <v>15405</v>
      </c>
      <c r="D425" s="683">
        <v>0.7</v>
      </c>
      <c r="E425" s="683">
        <v>0.7</v>
      </c>
      <c r="F425" s="10"/>
      <c r="Q425" s="7" t="s">
        <v>20423</v>
      </c>
    </row>
    <row r="426">
      <c r="A426" s="702" t="s">
        <v>20424</v>
      </c>
      <c r="B426" s="231"/>
      <c r="C426" s="25" t="s">
        <v>15405</v>
      </c>
      <c r="D426" s="683">
        <v>0.7</v>
      </c>
      <c r="E426" s="683">
        <v>0.7</v>
      </c>
      <c r="F426" s="10"/>
      <c r="Q426" s="7" t="s">
        <v>20425</v>
      </c>
    </row>
    <row r="427">
      <c r="A427" s="702" t="s">
        <v>20426</v>
      </c>
      <c r="B427" s="231"/>
      <c r="C427" s="25" t="s">
        <v>15405</v>
      </c>
      <c r="D427" s="683">
        <v>0.7</v>
      </c>
      <c r="E427" s="683">
        <v>0.7</v>
      </c>
      <c r="F427" s="10"/>
      <c r="Q427" s="7" t="s">
        <v>20427</v>
      </c>
    </row>
    <row r="428">
      <c r="A428" s="702" t="s">
        <v>20428</v>
      </c>
      <c r="B428" s="231"/>
      <c r="C428" s="25" t="s">
        <v>15405</v>
      </c>
      <c r="D428" s="683">
        <v>0.7</v>
      </c>
      <c r="E428" s="683">
        <v>0.7</v>
      </c>
      <c r="F428" s="10"/>
      <c r="Q428" s="7" t="s">
        <v>20429</v>
      </c>
    </row>
    <row r="429">
      <c r="A429" s="702" t="s">
        <v>20430</v>
      </c>
      <c r="B429" s="231"/>
      <c r="C429" s="25" t="s">
        <v>15405</v>
      </c>
      <c r="D429" s="683">
        <v>0.7</v>
      </c>
      <c r="E429" s="683">
        <v>0.7</v>
      </c>
      <c r="F429" s="10"/>
      <c r="Q429" s="7" t="s">
        <v>20431</v>
      </c>
    </row>
    <row r="430">
      <c r="A430" s="702" t="s">
        <v>20432</v>
      </c>
      <c r="B430" s="231"/>
      <c r="C430" s="25" t="s">
        <v>15405</v>
      </c>
      <c r="D430" s="683">
        <v>0.7</v>
      </c>
      <c r="E430" s="683">
        <v>0.7</v>
      </c>
      <c r="F430" s="10"/>
      <c r="Q430" s="7" t="s">
        <v>20433</v>
      </c>
    </row>
    <row r="431">
      <c r="A431" s="702" t="s">
        <v>20434</v>
      </c>
      <c r="B431" s="231"/>
      <c r="C431" s="25" t="s">
        <v>15405</v>
      </c>
      <c r="D431" s="683">
        <v>0.7</v>
      </c>
      <c r="E431" s="683">
        <v>0.7</v>
      </c>
      <c r="F431" s="10"/>
      <c r="Q431" s="7" t="s">
        <v>20435</v>
      </c>
    </row>
    <row r="432">
      <c r="A432" s="702" t="s">
        <v>20436</v>
      </c>
      <c r="B432" s="231"/>
      <c r="C432" s="25" t="s">
        <v>15405</v>
      </c>
      <c r="D432" s="683">
        <v>0.7</v>
      </c>
      <c r="E432" s="683">
        <v>0.7</v>
      </c>
      <c r="F432" s="10"/>
      <c r="Q432" s="7" t="s">
        <v>20437</v>
      </c>
    </row>
    <row r="433">
      <c r="A433" s="702" t="s">
        <v>20438</v>
      </c>
      <c r="B433" s="231"/>
      <c r="C433" s="25" t="s">
        <v>15405</v>
      </c>
      <c r="D433" s="683">
        <v>0.7</v>
      </c>
      <c r="E433" s="683">
        <v>0.7</v>
      </c>
      <c r="F433" s="10"/>
      <c r="Q433" s="7" t="s">
        <v>20439</v>
      </c>
    </row>
    <row r="434">
      <c r="A434" s="702" t="s">
        <v>20440</v>
      </c>
      <c r="B434" s="231"/>
      <c r="C434" s="25" t="s">
        <v>15405</v>
      </c>
      <c r="D434" s="683">
        <v>0.7</v>
      </c>
      <c r="E434" s="683">
        <v>0.7</v>
      </c>
      <c r="F434" s="10"/>
      <c r="Q434" s="7" t="s">
        <v>20441</v>
      </c>
    </row>
    <row r="435">
      <c r="A435" s="702" t="s">
        <v>20442</v>
      </c>
      <c r="B435" s="231"/>
      <c r="C435" s="25" t="s">
        <v>15405</v>
      </c>
      <c r="D435" s="683">
        <v>0.7</v>
      </c>
      <c r="E435" s="683">
        <v>0.7</v>
      </c>
      <c r="F435" s="10"/>
      <c r="Q435" s="7" t="s">
        <v>20443</v>
      </c>
    </row>
    <row r="436">
      <c r="A436" s="702" t="s">
        <v>20444</v>
      </c>
      <c r="B436" s="231"/>
      <c r="C436" s="25" t="s">
        <v>15405</v>
      </c>
      <c r="D436" s="683">
        <v>0.7</v>
      </c>
      <c r="E436" s="683">
        <v>0.7</v>
      </c>
      <c r="F436" s="10"/>
      <c r="Q436" s="7" t="s">
        <v>20445</v>
      </c>
    </row>
    <row r="437">
      <c r="A437" s="702" t="s">
        <v>20446</v>
      </c>
      <c r="B437" s="231"/>
      <c r="C437" s="25" t="s">
        <v>15405</v>
      </c>
      <c r="D437" s="683">
        <v>0.7</v>
      </c>
      <c r="E437" s="683">
        <v>0.7</v>
      </c>
      <c r="F437" s="10"/>
      <c r="Q437" s="7" t="s">
        <v>20447</v>
      </c>
    </row>
    <row r="438">
      <c r="A438" s="702" t="s">
        <v>20448</v>
      </c>
      <c r="B438" s="231"/>
      <c r="C438" s="25" t="s">
        <v>15405</v>
      </c>
      <c r="D438" s="683">
        <v>0.7</v>
      </c>
      <c r="E438" s="683">
        <v>0.7</v>
      </c>
      <c r="F438" s="10"/>
      <c r="Q438" s="7" t="s">
        <v>20449</v>
      </c>
    </row>
    <row r="439">
      <c r="A439" s="702" t="s">
        <v>20450</v>
      </c>
      <c r="B439" s="231"/>
      <c r="C439" s="25" t="s">
        <v>15405</v>
      </c>
      <c r="D439" s="683">
        <v>0.7</v>
      </c>
      <c r="E439" s="683">
        <v>0.7</v>
      </c>
      <c r="F439" s="10"/>
      <c r="Q439" s="7" t="s">
        <v>20451</v>
      </c>
    </row>
    <row r="440">
      <c r="A440" s="702" t="s">
        <v>20452</v>
      </c>
      <c r="B440" s="231"/>
      <c r="C440" s="25" t="s">
        <v>15405</v>
      </c>
      <c r="D440" s="683">
        <v>0.7</v>
      </c>
      <c r="E440" s="683">
        <v>0.7</v>
      </c>
      <c r="F440" s="10"/>
      <c r="Q440" s="7" t="s">
        <v>20453</v>
      </c>
    </row>
    <row r="441">
      <c r="A441" s="702" t="s">
        <v>20454</v>
      </c>
      <c r="B441" s="231"/>
      <c r="C441" s="25" t="s">
        <v>15405</v>
      </c>
      <c r="D441" s="683">
        <v>0.7</v>
      </c>
      <c r="E441" s="683">
        <v>0.7</v>
      </c>
      <c r="F441" s="10"/>
      <c r="Q441" s="7" t="s">
        <v>20455</v>
      </c>
    </row>
    <row r="442">
      <c r="A442" s="702" t="s">
        <v>20456</v>
      </c>
      <c r="B442" s="231"/>
      <c r="C442" s="25" t="s">
        <v>15405</v>
      </c>
      <c r="D442" s="683">
        <v>0.7</v>
      </c>
      <c r="E442" s="683">
        <v>0.7</v>
      </c>
      <c r="F442" s="10"/>
      <c r="Q442" s="7" t="s">
        <v>20457</v>
      </c>
    </row>
    <row r="443">
      <c r="A443" s="702" t="s">
        <v>20458</v>
      </c>
      <c r="B443" s="231"/>
      <c r="C443" s="25" t="s">
        <v>15405</v>
      </c>
      <c r="D443" s="683">
        <v>0.7</v>
      </c>
      <c r="E443" s="683">
        <v>0.7</v>
      </c>
      <c r="F443" s="10"/>
      <c r="Q443" s="7" t="s">
        <v>20459</v>
      </c>
    </row>
    <row r="444">
      <c r="A444" s="702" t="s">
        <v>20460</v>
      </c>
      <c r="B444" s="231"/>
      <c r="C444" s="25" t="s">
        <v>15405</v>
      </c>
      <c r="D444" s="683">
        <v>0.7</v>
      </c>
      <c r="E444" s="683">
        <v>0.7</v>
      </c>
      <c r="F444" s="10"/>
      <c r="Q444" s="7" t="s">
        <v>20461</v>
      </c>
    </row>
    <row r="445">
      <c r="A445" s="702" t="s">
        <v>20462</v>
      </c>
      <c r="B445" s="231"/>
      <c r="C445" s="25" t="s">
        <v>15405</v>
      </c>
      <c r="D445" s="683">
        <v>0.7</v>
      </c>
      <c r="E445" s="683">
        <v>0.7</v>
      </c>
      <c r="F445" s="10"/>
      <c r="Q445" s="7" t="s">
        <v>20463</v>
      </c>
    </row>
    <row r="446">
      <c r="A446" s="702" t="s">
        <v>20464</v>
      </c>
      <c r="B446" s="231"/>
      <c r="C446" s="25" t="s">
        <v>15405</v>
      </c>
      <c r="D446" s="683">
        <v>0.7</v>
      </c>
      <c r="E446" s="683">
        <v>0.7</v>
      </c>
      <c r="F446" s="10"/>
      <c r="Q446" s="7" t="s">
        <v>20465</v>
      </c>
    </row>
    <row r="447">
      <c r="A447" s="702" t="s">
        <v>15926</v>
      </c>
      <c r="B447" s="231"/>
      <c r="C447" s="25" t="s">
        <v>15405</v>
      </c>
      <c r="D447" s="683">
        <v>0.7</v>
      </c>
      <c r="E447" s="683">
        <v>0.7</v>
      </c>
      <c r="F447" s="10"/>
      <c r="Q447" s="7" t="s">
        <v>20466</v>
      </c>
    </row>
    <row r="448">
      <c r="A448" s="702" t="s">
        <v>20467</v>
      </c>
      <c r="B448" s="231"/>
      <c r="C448" s="25" t="s">
        <v>15405</v>
      </c>
      <c r="D448" s="683">
        <v>0.7</v>
      </c>
      <c r="E448" s="683">
        <v>0.7</v>
      </c>
      <c r="F448" s="10"/>
      <c r="Q448" s="7" t="s">
        <v>20468</v>
      </c>
    </row>
    <row r="449">
      <c r="A449" s="702" t="s">
        <v>16454</v>
      </c>
      <c r="B449" s="231"/>
      <c r="C449" s="25" t="s">
        <v>15405</v>
      </c>
      <c r="D449" s="683">
        <v>0.7</v>
      </c>
      <c r="E449" s="683">
        <v>0.7</v>
      </c>
      <c r="F449" s="10"/>
      <c r="Q449" s="7" t="s">
        <v>20469</v>
      </c>
    </row>
    <row r="450">
      <c r="A450" s="702" t="s">
        <v>20470</v>
      </c>
      <c r="B450" s="231"/>
      <c r="C450" s="25" t="s">
        <v>15405</v>
      </c>
      <c r="D450" s="683">
        <v>0.7</v>
      </c>
      <c r="E450" s="683">
        <v>0.7</v>
      </c>
      <c r="F450" s="10"/>
      <c r="Q450" s="7" t="s">
        <v>20471</v>
      </c>
    </row>
    <row r="451">
      <c r="A451" s="702" t="s">
        <v>10862</v>
      </c>
      <c r="B451" s="231"/>
      <c r="C451" s="25" t="s">
        <v>15405</v>
      </c>
      <c r="D451" s="683">
        <v>0.7</v>
      </c>
      <c r="E451" s="683">
        <v>0.7</v>
      </c>
      <c r="F451" s="10"/>
      <c r="Q451" s="7" t="s">
        <v>20472</v>
      </c>
    </row>
    <row r="452">
      <c r="A452" s="702" t="s">
        <v>20473</v>
      </c>
      <c r="B452" s="231"/>
      <c r="C452" s="25" t="s">
        <v>15405</v>
      </c>
      <c r="D452" s="683">
        <v>0.7</v>
      </c>
      <c r="E452" s="683">
        <v>0.7</v>
      </c>
      <c r="F452" s="10"/>
      <c r="Q452" s="7" t="s">
        <v>20474</v>
      </c>
    </row>
    <row r="453">
      <c r="A453" s="702" t="s">
        <v>20475</v>
      </c>
      <c r="B453" s="231"/>
      <c r="C453" s="25" t="s">
        <v>15405</v>
      </c>
      <c r="D453" s="683">
        <v>0.7</v>
      </c>
      <c r="E453" s="683">
        <v>0.7</v>
      </c>
      <c r="F453" s="10"/>
      <c r="Q453" s="7" t="s">
        <v>20476</v>
      </c>
    </row>
    <row r="454">
      <c r="A454" s="702" t="s">
        <v>20477</v>
      </c>
      <c r="B454" s="231"/>
      <c r="C454" s="25" t="s">
        <v>15405</v>
      </c>
      <c r="D454" s="683">
        <v>0.7</v>
      </c>
      <c r="E454" s="683">
        <v>0.7</v>
      </c>
      <c r="F454" s="10"/>
      <c r="Q454" s="7" t="s">
        <v>20478</v>
      </c>
    </row>
    <row r="455">
      <c r="A455" s="702" t="s">
        <v>20479</v>
      </c>
      <c r="B455" s="231"/>
      <c r="C455" s="25" t="s">
        <v>15405</v>
      </c>
      <c r="D455" s="683">
        <v>0.7</v>
      </c>
      <c r="E455" s="683">
        <v>0.7</v>
      </c>
      <c r="F455" s="10"/>
      <c r="Q455" s="7" t="s">
        <v>20480</v>
      </c>
    </row>
    <row r="456">
      <c r="A456" s="702" t="s">
        <v>20481</v>
      </c>
      <c r="B456" s="231"/>
      <c r="C456" s="25" t="s">
        <v>15405</v>
      </c>
      <c r="D456" s="683">
        <v>0.7</v>
      </c>
      <c r="E456" s="683">
        <v>0.7</v>
      </c>
      <c r="F456" s="10"/>
      <c r="Q456" s="7" t="s">
        <v>20482</v>
      </c>
    </row>
    <row r="457">
      <c r="A457" s="702" t="s">
        <v>20483</v>
      </c>
      <c r="B457" s="231"/>
      <c r="C457" s="25" t="s">
        <v>15405</v>
      </c>
      <c r="D457" s="683">
        <v>0.7</v>
      </c>
      <c r="E457" s="683">
        <v>0.7</v>
      </c>
      <c r="F457" s="10"/>
      <c r="Q457" s="7" t="s">
        <v>20484</v>
      </c>
    </row>
    <row r="458">
      <c r="A458" s="702" t="s">
        <v>20485</v>
      </c>
      <c r="B458" s="231"/>
      <c r="C458" s="25" t="s">
        <v>15405</v>
      </c>
      <c r="D458" s="683">
        <v>0.7</v>
      </c>
      <c r="E458" s="683">
        <v>0.7</v>
      </c>
      <c r="F458" s="10"/>
      <c r="Q458" s="7" t="s">
        <v>20486</v>
      </c>
    </row>
    <row r="459">
      <c r="A459" s="702" t="s">
        <v>20487</v>
      </c>
      <c r="B459" s="231"/>
      <c r="C459" s="25" t="s">
        <v>15405</v>
      </c>
      <c r="D459" s="683">
        <v>0.7</v>
      </c>
      <c r="E459" s="683">
        <v>0.7</v>
      </c>
      <c r="F459" s="10"/>
      <c r="Q459" s="7" t="s">
        <v>20488</v>
      </c>
    </row>
    <row r="460">
      <c r="A460" s="702" t="s">
        <v>20489</v>
      </c>
      <c r="B460" s="231"/>
      <c r="C460" s="25" t="s">
        <v>15405</v>
      </c>
      <c r="D460" s="683">
        <v>0.7</v>
      </c>
      <c r="E460" s="683">
        <v>0.7</v>
      </c>
      <c r="F460" s="10"/>
      <c r="Q460" s="7" t="s">
        <v>20490</v>
      </c>
    </row>
    <row r="461">
      <c r="A461" s="702" t="s">
        <v>20491</v>
      </c>
      <c r="B461" s="231"/>
      <c r="C461" s="25" t="s">
        <v>15405</v>
      </c>
      <c r="D461" s="683">
        <v>0.7</v>
      </c>
      <c r="E461" s="683">
        <v>0.7</v>
      </c>
      <c r="F461" s="10"/>
      <c r="Q461" s="7" t="s">
        <v>20492</v>
      </c>
    </row>
    <row r="462">
      <c r="A462" s="702" t="s">
        <v>3025</v>
      </c>
      <c r="B462" s="231"/>
      <c r="C462" s="25" t="s">
        <v>15405</v>
      </c>
      <c r="D462" s="683">
        <v>0.7</v>
      </c>
      <c r="E462" s="683">
        <v>0.7</v>
      </c>
      <c r="F462" s="10"/>
      <c r="Q462" s="7" t="s">
        <v>20493</v>
      </c>
    </row>
    <row r="463">
      <c r="A463" s="702" t="s">
        <v>20494</v>
      </c>
      <c r="B463" s="231"/>
      <c r="C463" s="25" t="s">
        <v>15405</v>
      </c>
      <c r="D463" s="683">
        <v>0.7</v>
      </c>
      <c r="E463" s="683">
        <v>0.7</v>
      </c>
      <c r="F463" s="10"/>
      <c r="Q463" s="7" t="s">
        <v>20495</v>
      </c>
    </row>
    <row r="464">
      <c r="A464" s="702" t="s">
        <v>20496</v>
      </c>
      <c r="B464" s="231"/>
      <c r="C464" s="25" t="s">
        <v>15405</v>
      </c>
      <c r="D464" s="683">
        <v>0.7</v>
      </c>
      <c r="E464" s="683">
        <v>0.7</v>
      </c>
      <c r="F464" s="10"/>
      <c r="Q464" s="7" t="s">
        <v>20497</v>
      </c>
    </row>
    <row r="465">
      <c r="A465" s="702" t="s">
        <v>20498</v>
      </c>
      <c r="B465" s="231"/>
      <c r="C465" s="25" t="s">
        <v>15405</v>
      </c>
      <c r="D465" s="683">
        <v>0.7</v>
      </c>
      <c r="E465" s="683">
        <v>0.7</v>
      </c>
      <c r="F465" s="10"/>
      <c r="Q465" s="7" t="s">
        <v>20499</v>
      </c>
    </row>
    <row r="466">
      <c r="A466" s="702" t="s">
        <v>20500</v>
      </c>
      <c r="B466" s="231"/>
      <c r="C466" s="25" t="s">
        <v>15405</v>
      </c>
      <c r="D466" s="683">
        <v>0.7</v>
      </c>
      <c r="E466" s="683">
        <v>0.7</v>
      </c>
      <c r="F466" s="10"/>
      <c r="Q466" s="7" t="s">
        <v>20501</v>
      </c>
    </row>
    <row r="467">
      <c r="A467" s="702" t="s">
        <v>20502</v>
      </c>
      <c r="B467" s="231"/>
      <c r="C467" s="25" t="s">
        <v>15405</v>
      </c>
      <c r="D467" s="683">
        <v>0.7</v>
      </c>
      <c r="E467" s="683">
        <v>0.7</v>
      </c>
      <c r="F467" s="10"/>
      <c r="Q467" s="7" t="s">
        <v>20503</v>
      </c>
    </row>
    <row r="468">
      <c r="A468" s="702" t="s">
        <v>20504</v>
      </c>
      <c r="B468" s="231"/>
      <c r="C468" s="25" t="s">
        <v>15405</v>
      </c>
      <c r="D468" s="683">
        <v>0.7</v>
      </c>
      <c r="E468" s="683">
        <v>0.7</v>
      </c>
      <c r="F468" s="10"/>
      <c r="Q468" s="7" t="s">
        <v>20505</v>
      </c>
    </row>
    <row r="469">
      <c r="A469" s="702" t="s">
        <v>20506</v>
      </c>
      <c r="B469" s="231"/>
      <c r="C469" s="25" t="s">
        <v>15405</v>
      </c>
      <c r="D469" s="683">
        <v>0.7</v>
      </c>
      <c r="E469" s="683">
        <v>0.7</v>
      </c>
      <c r="F469" s="10"/>
      <c r="Q469" s="7" t="s">
        <v>20507</v>
      </c>
    </row>
    <row r="470">
      <c r="A470" s="702" t="s">
        <v>20508</v>
      </c>
      <c r="B470" s="231"/>
      <c r="C470" s="25" t="s">
        <v>15405</v>
      </c>
      <c r="D470" s="683">
        <v>0.7</v>
      </c>
      <c r="E470" s="683">
        <v>0.7</v>
      </c>
      <c r="F470" s="10"/>
      <c r="Q470" s="7" t="s">
        <v>20509</v>
      </c>
    </row>
    <row r="471">
      <c r="A471" s="702" t="s">
        <v>20510</v>
      </c>
      <c r="B471" s="231"/>
      <c r="C471" s="25" t="s">
        <v>15405</v>
      </c>
      <c r="D471" s="683">
        <v>0.7</v>
      </c>
      <c r="E471" s="683">
        <v>0.7</v>
      </c>
      <c r="F471" s="10"/>
      <c r="Q471" s="7" t="s">
        <v>20511</v>
      </c>
    </row>
    <row r="472">
      <c r="A472" s="702" t="s">
        <v>20512</v>
      </c>
      <c r="B472" s="231"/>
      <c r="C472" s="25" t="s">
        <v>15405</v>
      </c>
      <c r="D472" s="683">
        <v>0.7</v>
      </c>
      <c r="E472" s="683">
        <v>0.7</v>
      </c>
      <c r="F472" s="10"/>
      <c r="Q472" s="7" t="s">
        <v>20513</v>
      </c>
    </row>
    <row r="473">
      <c r="A473" s="702" t="s">
        <v>20514</v>
      </c>
      <c r="B473" s="231"/>
      <c r="C473" s="25" t="s">
        <v>15405</v>
      </c>
      <c r="D473" s="683">
        <v>0.7</v>
      </c>
      <c r="E473" s="683">
        <v>0.7</v>
      </c>
      <c r="F473" s="10"/>
      <c r="Q473" s="7" t="s">
        <v>20515</v>
      </c>
    </row>
    <row r="474">
      <c r="A474" s="702" t="s">
        <v>20516</v>
      </c>
      <c r="B474" s="231"/>
      <c r="C474" s="25" t="s">
        <v>15405</v>
      </c>
      <c r="D474" s="683">
        <v>0.7</v>
      </c>
      <c r="E474" s="683">
        <v>0.7</v>
      </c>
      <c r="F474" s="10"/>
      <c r="Q474" s="7" t="s">
        <v>20517</v>
      </c>
    </row>
    <row r="475">
      <c r="A475" s="702" t="s">
        <v>20518</v>
      </c>
      <c r="B475" s="231"/>
      <c r="C475" s="25" t="s">
        <v>15405</v>
      </c>
      <c r="D475" s="683">
        <v>0.7</v>
      </c>
      <c r="E475" s="683">
        <v>0.7</v>
      </c>
      <c r="F475" s="10"/>
      <c r="Q475" s="7" t="s">
        <v>20519</v>
      </c>
    </row>
    <row r="476">
      <c r="A476" s="702" t="s">
        <v>20520</v>
      </c>
      <c r="B476" s="231"/>
      <c r="C476" s="25" t="s">
        <v>15405</v>
      </c>
      <c r="D476" s="683">
        <v>0.7</v>
      </c>
      <c r="E476" s="683">
        <v>0.7</v>
      </c>
      <c r="F476" s="10"/>
      <c r="Q476" s="7" t="s">
        <v>20521</v>
      </c>
    </row>
    <row r="477">
      <c r="A477" s="702" t="s">
        <v>20522</v>
      </c>
      <c r="B477" s="231"/>
      <c r="C477" s="25" t="s">
        <v>15405</v>
      </c>
      <c r="D477" s="683">
        <v>0.7</v>
      </c>
      <c r="E477" s="683">
        <v>0.7</v>
      </c>
      <c r="F477" s="10"/>
      <c r="Q477" s="7" t="s">
        <v>20523</v>
      </c>
    </row>
    <row r="478">
      <c r="A478" s="702" t="s">
        <v>20524</v>
      </c>
      <c r="B478" s="231"/>
      <c r="C478" s="25" t="s">
        <v>15405</v>
      </c>
      <c r="D478" s="683">
        <v>0.7</v>
      </c>
      <c r="E478" s="683">
        <v>0.7</v>
      </c>
      <c r="F478" s="10"/>
      <c r="Q478" s="7" t="s">
        <v>20525</v>
      </c>
    </row>
    <row r="479">
      <c r="A479" s="702" t="s">
        <v>20526</v>
      </c>
      <c r="B479" s="231"/>
      <c r="C479" s="25" t="s">
        <v>15405</v>
      </c>
      <c r="D479" s="683">
        <v>0.7</v>
      </c>
      <c r="E479" s="683">
        <v>0.7</v>
      </c>
      <c r="F479" s="10"/>
      <c r="Q479" s="7" t="s">
        <v>20527</v>
      </c>
    </row>
    <row r="480">
      <c r="A480" s="702" t="s">
        <v>20528</v>
      </c>
      <c r="B480" s="231"/>
      <c r="C480" s="25" t="s">
        <v>15405</v>
      </c>
      <c r="D480" s="683">
        <v>0.7</v>
      </c>
      <c r="E480" s="683">
        <v>0.7</v>
      </c>
      <c r="F480" s="10"/>
      <c r="Q480" s="7" t="s">
        <v>20529</v>
      </c>
    </row>
    <row r="481">
      <c r="A481" s="702" t="s">
        <v>814</v>
      </c>
      <c r="B481" s="231"/>
      <c r="C481" s="25" t="s">
        <v>15405</v>
      </c>
      <c r="D481" s="683">
        <v>0.7</v>
      </c>
      <c r="E481" s="683">
        <v>0.7</v>
      </c>
      <c r="F481" s="10"/>
      <c r="Q481" s="7" t="s">
        <v>20530</v>
      </c>
    </row>
    <row r="482">
      <c r="A482" s="702" t="s">
        <v>2715</v>
      </c>
      <c r="B482" s="231"/>
      <c r="C482" s="25" t="s">
        <v>15405</v>
      </c>
      <c r="D482" s="683">
        <v>0.7</v>
      </c>
      <c r="E482" s="683">
        <v>0.7</v>
      </c>
      <c r="F482" s="10"/>
      <c r="Q482" s="7" t="s">
        <v>20531</v>
      </c>
    </row>
    <row r="483">
      <c r="A483" s="702" t="s">
        <v>20532</v>
      </c>
      <c r="B483" s="231"/>
      <c r="C483" s="25" t="s">
        <v>15405</v>
      </c>
      <c r="D483" s="683">
        <v>0.7</v>
      </c>
      <c r="E483" s="683">
        <v>0.7</v>
      </c>
      <c r="F483" s="10"/>
      <c r="Q483" s="7" t="s">
        <v>20533</v>
      </c>
    </row>
    <row r="484">
      <c r="A484" s="702" t="s">
        <v>20534</v>
      </c>
      <c r="B484" s="231"/>
      <c r="C484" s="25" t="s">
        <v>15405</v>
      </c>
      <c r="D484" s="683">
        <v>0.7</v>
      </c>
      <c r="E484" s="683">
        <v>0.7</v>
      </c>
      <c r="F484" s="10"/>
      <c r="Q484" s="7" t="s">
        <v>20535</v>
      </c>
    </row>
    <row r="485">
      <c r="A485" s="702" t="s">
        <v>20536</v>
      </c>
      <c r="B485" s="231"/>
      <c r="C485" s="25" t="s">
        <v>15405</v>
      </c>
      <c r="D485" s="683">
        <v>0.7</v>
      </c>
      <c r="E485" s="683">
        <v>0.7</v>
      </c>
      <c r="F485" s="10"/>
      <c r="Q485" s="7" t="s">
        <v>20537</v>
      </c>
    </row>
    <row r="486">
      <c r="A486" s="702" t="s">
        <v>20538</v>
      </c>
      <c r="B486" s="231"/>
      <c r="C486" s="25" t="s">
        <v>15405</v>
      </c>
      <c r="D486" s="683">
        <v>0.7</v>
      </c>
      <c r="E486" s="683">
        <v>0.7</v>
      </c>
      <c r="F486" s="10"/>
      <c r="Q486" s="7" t="s">
        <v>20539</v>
      </c>
    </row>
    <row r="487">
      <c r="A487" s="702" t="s">
        <v>20540</v>
      </c>
      <c r="B487" s="231"/>
      <c r="C487" s="25" t="s">
        <v>15405</v>
      </c>
      <c r="D487" s="683">
        <v>0.7</v>
      </c>
      <c r="E487" s="683">
        <v>0.7</v>
      </c>
      <c r="F487" s="10"/>
      <c r="Q487" s="7" t="s">
        <v>20541</v>
      </c>
    </row>
    <row r="488">
      <c r="A488" s="702" t="s">
        <v>20542</v>
      </c>
      <c r="B488" s="231"/>
      <c r="C488" s="25" t="s">
        <v>15405</v>
      </c>
      <c r="D488" s="683">
        <v>0.7</v>
      </c>
      <c r="E488" s="683">
        <v>0.7</v>
      </c>
      <c r="F488" s="10"/>
      <c r="Q488" s="7" t="s">
        <v>20543</v>
      </c>
    </row>
    <row r="489">
      <c r="A489" s="702" t="s">
        <v>20544</v>
      </c>
      <c r="B489" s="231"/>
      <c r="C489" s="25" t="s">
        <v>15405</v>
      </c>
      <c r="D489" s="683">
        <v>0.7</v>
      </c>
      <c r="E489" s="683">
        <v>0.7</v>
      </c>
      <c r="F489" s="10"/>
      <c r="Q489" s="7" t="s">
        <v>20545</v>
      </c>
    </row>
    <row r="490">
      <c r="A490" s="702" t="s">
        <v>20546</v>
      </c>
      <c r="B490" s="231"/>
      <c r="C490" s="25" t="s">
        <v>15405</v>
      </c>
      <c r="D490" s="683">
        <v>0.7</v>
      </c>
      <c r="E490" s="683">
        <v>0.7</v>
      </c>
      <c r="F490" s="10"/>
      <c r="Q490" s="7" t="s">
        <v>20547</v>
      </c>
    </row>
    <row r="491">
      <c r="A491" s="702" t="s">
        <v>16840</v>
      </c>
      <c r="B491" s="231"/>
      <c r="C491" s="25" t="s">
        <v>15405</v>
      </c>
      <c r="D491" s="683">
        <v>0.7</v>
      </c>
      <c r="E491" s="683">
        <v>0.7</v>
      </c>
      <c r="F491" s="10"/>
      <c r="Q491" s="7" t="s">
        <v>20548</v>
      </c>
    </row>
    <row r="492">
      <c r="A492" s="702" t="s">
        <v>20549</v>
      </c>
      <c r="B492" s="231"/>
      <c r="C492" s="25" t="s">
        <v>15405</v>
      </c>
      <c r="D492" s="683">
        <v>0.7</v>
      </c>
      <c r="E492" s="683">
        <v>0.7</v>
      </c>
      <c r="F492" s="10"/>
      <c r="Q492" s="7" t="s">
        <v>20550</v>
      </c>
    </row>
    <row r="493">
      <c r="A493" s="702" t="s">
        <v>20551</v>
      </c>
      <c r="B493" s="231"/>
      <c r="C493" s="25" t="s">
        <v>15405</v>
      </c>
      <c r="D493" s="683">
        <v>0.7</v>
      </c>
      <c r="E493" s="683">
        <v>0.7</v>
      </c>
      <c r="F493" s="10"/>
      <c r="Q493" s="7" t="s">
        <v>20552</v>
      </c>
    </row>
    <row r="494">
      <c r="A494" s="702" t="s">
        <v>20553</v>
      </c>
      <c r="B494" s="231"/>
      <c r="C494" s="25" t="s">
        <v>15405</v>
      </c>
      <c r="D494" s="683">
        <v>0.7</v>
      </c>
      <c r="E494" s="683">
        <v>0.7</v>
      </c>
      <c r="F494" s="10"/>
      <c r="Q494" s="7" t="s">
        <v>20554</v>
      </c>
    </row>
    <row r="495">
      <c r="A495" s="65" t="s">
        <v>20555</v>
      </c>
      <c r="B495" s="7"/>
      <c r="C495" s="25" t="s">
        <v>15405</v>
      </c>
      <c r="D495" s="683">
        <v>0.7</v>
      </c>
      <c r="E495" s="683">
        <v>0.7</v>
      </c>
      <c r="F495" s="10"/>
      <c r="G495" s="175" t="s">
        <v>10980</v>
      </c>
      <c r="Q495" s="7" t="s">
        <v>20556</v>
      </c>
    </row>
    <row r="496">
      <c r="A496" s="65" t="s">
        <v>20557</v>
      </c>
      <c r="B496" s="7"/>
      <c r="C496" s="25" t="s">
        <v>15405</v>
      </c>
      <c r="D496" s="683">
        <v>0.7</v>
      </c>
      <c r="E496" s="683">
        <v>0.7</v>
      </c>
      <c r="F496" s="10"/>
      <c r="G496" s="175" t="s">
        <v>10980</v>
      </c>
      <c r="Q496" s="7" t="s">
        <v>20558</v>
      </c>
    </row>
    <row r="497">
      <c r="A497" s="65" t="s">
        <v>20559</v>
      </c>
      <c r="B497" s="7"/>
      <c r="C497" s="25" t="s">
        <v>15405</v>
      </c>
      <c r="D497" s="683">
        <v>0.7</v>
      </c>
      <c r="E497" s="683">
        <v>0.7</v>
      </c>
      <c r="F497" s="10"/>
      <c r="G497" s="175" t="s">
        <v>10980</v>
      </c>
      <c r="Q497" s="7" t="s">
        <v>20560</v>
      </c>
    </row>
    <row r="498">
      <c r="A498" s="65" t="s">
        <v>20561</v>
      </c>
      <c r="B498" s="7"/>
      <c r="C498" s="25" t="s">
        <v>15405</v>
      </c>
      <c r="D498" s="683">
        <v>0.7</v>
      </c>
      <c r="E498" s="683">
        <v>0.7</v>
      </c>
      <c r="F498" s="10"/>
      <c r="G498" s="175" t="s">
        <v>10980</v>
      </c>
      <c r="Q498" s="7" t="s">
        <v>20562</v>
      </c>
    </row>
    <row r="499">
      <c r="A499" s="65" t="s">
        <v>20563</v>
      </c>
      <c r="B499" s="7"/>
      <c r="C499" s="25" t="s">
        <v>15405</v>
      </c>
      <c r="D499" s="683">
        <v>0.7</v>
      </c>
      <c r="E499" s="683">
        <v>0.7</v>
      </c>
      <c r="F499" s="10"/>
      <c r="G499" s="175" t="s">
        <v>10980</v>
      </c>
      <c r="Q499" s="7" t="s">
        <v>20564</v>
      </c>
    </row>
    <row r="500">
      <c r="A500" s="65" t="s">
        <v>20565</v>
      </c>
      <c r="B500" s="7"/>
      <c r="C500" s="25" t="s">
        <v>15405</v>
      </c>
      <c r="D500" s="683">
        <v>0.7</v>
      </c>
      <c r="E500" s="683">
        <v>0.7</v>
      </c>
      <c r="F500" s="10"/>
      <c r="G500" s="175" t="s">
        <v>10980</v>
      </c>
      <c r="Q500" s="7" t="s">
        <v>20566</v>
      </c>
    </row>
    <row r="501">
      <c r="A501" s="65" t="s">
        <v>1096</v>
      </c>
      <c r="B501" s="199">
        <v>14071.0</v>
      </c>
      <c r="C501" s="25" t="s">
        <v>15405</v>
      </c>
      <c r="D501" s="683">
        <v>0.7</v>
      </c>
      <c r="E501" s="683">
        <v>0.7</v>
      </c>
      <c r="F501" s="10"/>
      <c r="G501" s="175" t="s">
        <v>10980</v>
      </c>
      <c r="Q501" s="7" t="s">
        <v>20567</v>
      </c>
    </row>
  </sheetData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48.63"/>
    <col customWidth="1" min="12" max="12" width="21.88"/>
    <col customWidth="1" min="16" max="16" width="13.88"/>
  </cols>
  <sheetData>
    <row r="1">
      <c r="A1" s="358" t="s">
        <v>44</v>
      </c>
      <c r="B1" s="25" t="s">
        <v>1</v>
      </c>
      <c r="C1" s="57" t="s">
        <v>294</v>
      </c>
      <c r="D1" s="55" t="s">
        <v>248</v>
      </c>
      <c r="E1" s="348" t="s">
        <v>249</v>
      </c>
      <c r="F1" s="349" t="s">
        <v>250</v>
      </c>
      <c r="G1" s="55"/>
      <c r="H1" s="55"/>
      <c r="I1" s="45"/>
      <c r="J1" s="45"/>
      <c r="K1" s="45"/>
      <c r="L1" s="45"/>
      <c r="M1" s="45"/>
      <c r="N1" s="45"/>
      <c r="O1" s="45"/>
      <c r="P1" s="45"/>
      <c r="Q1" s="45"/>
      <c r="R1" s="706"/>
      <c r="S1" s="53"/>
    </row>
    <row r="2">
      <c r="A2" s="707" t="s">
        <v>5</v>
      </c>
      <c r="B2" s="25"/>
      <c r="C2" s="25" t="s">
        <v>20568</v>
      </c>
      <c r="D2" s="136"/>
      <c r="E2" s="136"/>
      <c r="F2" s="136"/>
      <c r="G2" s="136"/>
      <c r="H2" s="136"/>
      <c r="I2" s="45"/>
      <c r="J2" s="45"/>
      <c r="K2" s="45"/>
      <c r="L2" s="45"/>
      <c r="M2" s="45"/>
      <c r="N2" s="45"/>
      <c r="O2" s="45"/>
      <c r="P2" s="45"/>
      <c r="Q2" s="45"/>
      <c r="R2" s="513"/>
      <c r="S2" s="45"/>
    </row>
    <row r="3">
      <c r="A3" s="176" t="s">
        <v>7</v>
      </c>
      <c r="B3" s="25"/>
      <c r="C3" s="25" t="s">
        <v>20568</v>
      </c>
      <c r="D3" s="136"/>
      <c r="E3" s="136"/>
      <c r="F3" s="136"/>
      <c r="G3" s="136"/>
      <c r="H3" s="136"/>
      <c r="I3" s="45"/>
      <c r="J3" s="45"/>
      <c r="K3" s="45"/>
      <c r="L3" s="45"/>
      <c r="M3" s="45"/>
      <c r="N3" s="45"/>
      <c r="O3" s="45"/>
      <c r="P3" s="45"/>
      <c r="Q3" s="45"/>
      <c r="R3" s="513"/>
      <c r="S3" s="45"/>
    </row>
    <row r="4">
      <c r="A4" s="176" t="s">
        <v>9</v>
      </c>
      <c r="B4" s="25">
        <v>7010.0</v>
      </c>
      <c r="C4" s="25" t="s">
        <v>20568</v>
      </c>
      <c r="D4" s="274"/>
      <c r="E4" s="274"/>
      <c r="F4" s="274"/>
      <c r="G4" s="274"/>
      <c r="H4" s="274"/>
      <c r="I4" s="45"/>
      <c r="J4" s="45"/>
      <c r="K4" s="45"/>
      <c r="L4" s="45"/>
      <c r="M4" s="45"/>
      <c r="N4" s="45"/>
      <c r="O4" s="45"/>
      <c r="P4" s="45"/>
      <c r="Q4" s="45"/>
      <c r="R4" s="513"/>
      <c r="S4" s="45"/>
    </row>
    <row r="5">
      <c r="A5" s="707" t="s">
        <v>11</v>
      </c>
      <c r="B5" s="25"/>
      <c r="C5" s="25" t="s">
        <v>20568</v>
      </c>
      <c r="D5" s="136"/>
      <c r="E5" s="136"/>
      <c r="F5" s="136"/>
      <c r="G5" s="136"/>
      <c r="H5" s="136"/>
      <c r="I5" s="45"/>
      <c r="J5" s="45"/>
      <c r="K5" s="45"/>
      <c r="L5" s="45"/>
      <c r="M5" s="45"/>
      <c r="N5" s="45"/>
      <c r="O5" s="45"/>
      <c r="P5" s="45"/>
      <c r="Q5" s="45"/>
      <c r="R5" s="513"/>
      <c r="S5" s="45"/>
    </row>
    <row r="6">
      <c r="A6" s="176" t="s">
        <v>13</v>
      </c>
      <c r="B6" s="25"/>
      <c r="C6" s="25" t="s">
        <v>20568</v>
      </c>
      <c r="D6" s="136"/>
      <c r="E6" s="136"/>
      <c r="F6" s="136"/>
      <c r="G6" s="136"/>
      <c r="H6" s="136"/>
      <c r="I6" s="45"/>
      <c r="J6" s="45"/>
      <c r="K6" s="45"/>
      <c r="L6" s="45"/>
      <c r="M6" s="45"/>
      <c r="N6" s="45"/>
      <c r="O6" s="45"/>
      <c r="P6" s="45"/>
      <c r="Q6" s="45"/>
      <c r="R6" s="513"/>
      <c r="S6" s="45"/>
    </row>
    <row r="7">
      <c r="A7" s="176" t="s">
        <v>15</v>
      </c>
      <c r="B7" s="25">
        <v>189.0</v>
      </c>
      <c r="C7" s="25" t="s">
        <v>20568</v>
      </c>
      <c r="D7" s="78"/>
      <c r="E7" s="78"/>
      <c r="F7" s="78"/>
      <c r="G7" s="78"/>
      <c r="H7" s="78"/>
      <c r="I7" s="45"/>
      <c r="J7" s="45"/>
      <c r="K7" s="45"/>
      <c r="L7" s="45"/>
      <c r="M7" s="45"/>
      <c r="N7" s="45"/>
      <c r="O7" s="45"/>
      <c r="P7" s="45"/>
      <c r="Q7" s="45"/>
      <c r="R7" s="513"/>
      <c r="S7" s="45"/>
    </row>
    <row r="8">
      <c r="A8" s="176" t="s">
        <v>17</v>
      </c>
      <c r="B8" s="25">
        <v>6729.0</v>
      </c>
      <c r="C8" s="25" t="s">
        <v>20568</v>
      </c>
      <c r="D8" s="78"/>
      <c r="E8" s="78"/>
      <c r="F8" s="78"/>
      <c r="G8" s="78"/>
      <c r="H8" s="78"/>
      <c r="I8" s="45"/>
      <c r="J8" s="45"/>
      <c r="K8" s="45"/>
      <c r="L8" s="45"/>
      <c r="M8" s="45"/>
      <c r="N8" s="45"/>
      <c r="O8" s="45"/>
      <c r="P8" s="45"/>
      <c r="Q8" s="45"/>
      <c r="R8" s="513"/>
      <c r="S8" s="45"/>
    </row>
    <row r="9">
      <c r="A9" s="176" t="s">
        <v>18</v>
      </c>
      <c r="B9" s="25"/>
      <c r="C9" s="25" t="s">
        <v>20568</v>
      </c>
      <c r="D9" s="78"/>
      <c r="E9" s="78"/>
      <c r="F9" s="78"/>
      <c r="G9" s="78"/>
      <c r="H9" s="78"/>
      <c r="I9" s="45"/>
      <c r="J9" s="45"/>
      <c r="K9" s="45"/>
      <c r="L9" s="45"/>
      <c r="M9" s="45"/>
      <c r="N9" s="45"/>
      <c r="O9" s="45"/>
      <c r="P9" s="45"/>
      <c r="Q9" s="45"/>
      <c r="R9" s="513"/>
      <c r="S9" s="45"/>
    </row>
    <row r="10">
      <c r="A10" s="176" t="s">
        <v>20</v>
      </c>
      <c r="B10" s="25"/>
      <c r="C10" s="25" t="s">
        <v>20568</v>
      </c>
      <c r="D10" s="78"/>
      <c r="E10" s="78"/>
      <c r="F10" s="78"/>
      <c r="G10" s="78"/>
      <c r="H10" s="78"/>
      <c r="I10" s="45"/>
      <c r="J10" s="45"/>
      <c r="K10" s="45"/>
      <c r="L10" s="45"/>
      <c r="M10" s="45"/>
      <c r="N10" s="45"/>
      <c r="O10" s="45"/>
      <c r="P10" s="45"/>
      <c r="Q10" s="45"/>
      <c r="R10" s="513"/>
      <c r="S10" s="45"/>
    </row>
    <row r="11">
      <c r="A11" s="176" t="s">
        <v>21</v>
      </c>
      <c r="B11" s="25">
        <v>14298.0</v>
      </c>
      <c r="C11" s="25" t="s">
        <v>20568</v>
      </c>
      <c r="D11" s="708"/>
      <c r="E11" s="708"/>
      <c r="F11" s="708"/>
      <c r="G11" s="708"/>
      <c r="H11" s="708"/>
      <c r="I11" s="45"/>
      <c r="J11" s="45"/>
      <c r="K11" s="45"/>
      <c r="L11" s="45"/>
      <c r="M11" s="45"/>
      <c r="N11" s="45"/>
      <c r="O11" s="45"/>
      <c r="P11" s="45"/>
      <c r="Q11" s="45"/>
      <c r="R11" s="513"/>
      <c r="S11" s="45"/>
    </row>
    <row r="12">
      <c r="A12" s="176" t="s">
        <v>23</v>
      </c>
      <c r="B12" s="25"/>
      <c r="C12" s="25" t="s">
        <v>20568</v>
      </c>
      <c r="D12" s="78"/>
      <c r="E12" s="78"/>
      <c r="F12" s="78"/>
      <c r="G12" s="78"/>
      <c r="H12" s="78"/>
      <c r="I12" s="45"/>
      <c r="J12" s="45"/>
      <c r="K12" s="45"/>
      <c r="L12" s="45"/>
      <c r="M12" s="45"/>
      <c r="N12" s="45"/>
      <c r="O12" s="45"/>
      <c r="P12" s="45"/>
      <c r="Q12" s="45"/>
      <c r="R12" s="513"/>
      <c r="S12" s="45"/>
    </row>
    <row r="13">
      <c r="A13" s="176" t="s">
        <v>25</v>
      </c>
      <c r="B13" s="25"/>
      <c r="C13" s="25" t="s">
        <v>20568</v>
      </c>
      <c r="D13" s="709"/>
      <c r="E13" s="709"/>
      <c r="F13" s="709"/>
      <c r="G13" s="709"/>
      <c r="H13" s="709"/>
      <c r="I13" s="45"/>
      <c r="J13" s="45"/>
      <c r="K13" s="45"/>
      <c r="L13" s="45"/>
      <c r="M13" s="45"/>
      <c r="N13" s="45"/>
      <c r="O13" s="45"/>
      <c r="P13" s="45"/>
      <c r="Q13" s="45"/>
      <c r="R13" s="513"/>
      <c r="S13" s="45"/>
    </row>
    <row r="14">
      <c r="A14" s="176" t="s">
        <v>27</v>
      </c>
      <c r="B14" s="25">
        <v>2345.0</v>
      </c>
      <c r="C14" s="25" t="s">
        <v>20568</v>
      </c>
      <c r="D14" s="78"/>
      <c r="E14" s="78"/>
      <c r="F14" s="78"/>
      <c r="G14" s="78"/>
      <c r="H14" s="78"/>
      <c r="I14" s="45"/>
      <c r="J14" s="45"/>
      <c r="K14" s="45"/>
      <c r="L14" s="45"/>
      <c r="M14" s="45"/>
      <c r="N14" s="45"/>
      <c r="O14" s="45"/>
      <c r="P14" s="45"/>
      <c r="Q14" s="45"/>
      <c r="R14" s="513"/>
      <c r="S14" s="45"/>
    </row>
    <row r="15">
      <c r="A15" s="176" t="s">
        <v>29</v>
      </c>
      <c r="B15" s="25"/>
      <c r="C15" s="25" t="s">
        <v>20568</v>
      </c>
      <c r="D15" s="78"/>
      <c r="E15" s="78"/>
      <c r="F15" s="78"/>
      <c r="G15" s="78"/>
      <c r="H15" s="78"/>
      <c r="I15" s="45"/>
      <c r="J15" s="45"/>
      <c r="K15" s="45"/>
      <c r="L15" s="45"/>
      <c r="M15" s="45"/>
      <c r="N15" s="45"/>
      <c r="O15" s="45"/>
      <c r="P15" s="45"/>
      <c r="Q15" s="45"/>
      <c r="R15" s="513"/>
      <c r="S15" s="45"/>
    </row>
    <row r="16">
      <c r="A16" s="176" t="s">
        <v>31</v>
      </c>
      <c r="B16" s="16"/>
      <c r="C16" s="25" t="s">
        <v>20568</v>
      </c>
      <c r="D16" s="78"/>
      <c r="E16" s="78"/>
      <c r="F16" s="78"/>
      <c r="G16" s="78"/>
      <c r="H16" s="78"/>
      <c r="I16" s="45"/>
      <c r="J16" s="45"/>
      <c r="K16" s="45"/>
      <c r="L16" s="45"/>
      <c r="M16" s="45"/>
      <c r="N16" s="45"/>
      <c r="O16" s="45"/>
      <c r="P16" s="45"/>
      <c r="Q16" s="45"/>
      <c r="R16" s="513"/>
      <c r="S16" s="45"/>
    </row>
    <row r="17">
      <c r="A17" s="176" t="s">
        <v>33</v>
      </c>
      <c r="B17" s="37">
        <v>5458.0</v>
      </c>
      <c r="C17" s="25" t="s">
        <v>20568</v>
      </c>
      <c r="D17" s="78"/>
      <c r="E17" s="78"/>
      <c r="F17" s="78"/>
      <c r="G17" s="78"/>
      <c r="H17" s="78"/>
      <c r="I17" s="45"/>
      <c r="J17" s="45"/>
      <c r="K17" s="45"/>
      <c r="L17" s="45"/>
      <c r="M17" s="45"/>
      <c r="N17" s="45"/>
      <c r="O17" s="45"/>
      <c r="P17" s="45"/>
      <c r="Q17" s="45"/>
      <c r="R17" s="513"/>
      <c r="S17" s="45"/>
    </row>
    <row r="18">
      <c r="A18" s="176" t="s">
        <v>34</v>
      </c>
      <c r="B18" s="25">
        <v>14769.0</v>
      </c>
      <c r="C18" s="25" t="s">
        <v>20568</v>
      </c>
      <c r="D18" s="78"/>
      <c r="E18" s="78"/>
      <c r="F18" s="78"/>
      <c r="G18" s="78"/>
      <c r="H18" s="78"/>
      <c r="I18" s="45"/>
      <c r="J18" s="45"/>
      <c r="K18" s="45"/>
      <c r="L18" s="45"/>
      <c r="M18" s="45"/>
      <c r="N18" s="45"/>
      <c r="O18" s="45"/>
      <c r="P18" s="45"/>
      <c r="Q18" s="45"/>
      <c r="R18" s="513"/>
      <c r="S18" s="45"/>
    </row>
    <row r="19">
      <c r="A19" s="176" t="s">
        <v>35</v>
      </c>
      <c r="B19" s="25"/>
      <c r="C19" s="25" t="s">
        <v>20568</v>
      </c>
      <c r="D19" s="78"/>
      <c r="E19" s="78"/>
      <c r="F19" s="78"/>
      <c r="G19" s="78"/>
      <c r="H19" s="78"/>
      <c r="I19" s="45"/>
      <c r="J19" s="45"/>
      <c r="K19" s="45"/>
      <c r="L19" s="45"/>
      <c r="M19" s="45"/>
      <c r="N19" s="45"/>
      <c r="O19" s="45"/>
      <c r="P19" s="45"/>
      <c r="Q19" s="45"/>
      <c r="R19" s="513"/>
      <c r="S19" s="45"/>
    </row>
    <row r="20">
      <c r="A20" s="707" t="s">
        <v>37</v>
      </c>
      <c r="B20" s="25"/>
      <c r="C20" s="25" t="s">
        <v>20568</v>
      </c>
      <c r="D20" s="78"/>
      <c r="E20" s="78"/>
      <c r="F20" s="78"/>
      <c r="G20" s="78"/>
      <c r="H20" s="78"/>
      <c r="I20" s="45"/>
      <c r="J20" s="45"/>
      <c r="K20" s="45"/>
      <c r="L20" s="45"/>
      <c r="M20" s="45"/>
      <c r="N20" s="45"/>
      <c r="O20" s="45"/>
      <c r="P20" s="45"/>
      <c r="Q20" s="45"/>
      <c r="R20" s="513"/>
      <c r="S20" s="45"/>
    </row>
    <row r="21">
      <c r="A21" s="176" t="s">
        <v>39</v>
      </c>
      <c r="B21" s="25"/>
      <c r="C21" s="25" t="s">
        <v>20568</v>
      </c>
      <c r="D21" s="78"/>
      <c r="E21" s="78"/>
      <c r="F21" s="78"/>
      <c r="G21" s="78"/>
      <c r="H21" s="78"/>
      <c r="I21" s="45"/>
      <c r="J21" s="45"/>
      <c r="K21" s="45"/>
      <c r="L21" s="45"/>
      <c r="M21" s="45"/>
      <c r="N21" s="45"/>
      <c r="O21" s="45"/>
      <c r="P21" s="45"/>
      <c r="Q21" s="45"/>
      <c r="R21" s="513"/>
      <c r="S21" s="45"/>
    </row>
    <row r="22">
      <c r="A22" s="176" t="s">
        <v>41</v>
      </c>
      <c r="B22" s="25">
        <v>14465.0</v>
      </c>
      <c r="C22" s="25" t="s">
        <v>20568</v>
      </c>
      <c r="D22" s="78"/>
      <c r="E22" s="78"/>
      <c r="F22" s="78"/>
      <c r="G22" s="78"/>
      <c r="H22" s="78"/>
      <c r="I22" s="45"/>
      <c r="J22" s="45"/>
      <c r="K22" s="45"/>
      <c r="L22" s="45"/>
      <c r="M22" s="45"/>
      <c r="N22" s="45"/>
      <c r="O22" s="45"/>
      <c r="P22" s="45"/>
      <c r="Q22" s="45"/>
      <c r="R22" s="513"/>
      <c r="S22" s="45"/>
    </row>
    <row r="23">
      <c r="A23" s="176" t="s">
        <v>42</v>
      </c>
      <c r="B23" s="25">
        <v>14663.0</v>
      </c>
      <c r="C23" s="25" t="s">
        <v>20568</v>
      </c>
      <c r="D23" s="78"/>
      <c r="E23" s="78"/>
      <c r="F23" s="78"/>
      <c r="G23" s="78"/>
      <c r="H23" s="78"/>
      <c r="I23" s="45"/>
      <c r="J23" s="45"/>
      <c r="K23" s="45"/>
      <c r="L23" s="45"/>
      <c r="M23" s="45"/>
      <c r="N23" s="45"/>
      <c r="O23" s="45"/>
      <c r="P23" s="45"/>
      <c r="Q23" s="45"/>
      <c r="R23" s="513"/>
      <c r="S23" s="45"/>
    </row>
    <row r="24">
      <c r="A24" s="707" t="s">
        <v>43</v>
      </c>
      <c r="B24" s="25"/>
      <c r="C24" s="25" t="s">
        <v>20568</v>
      </c>
      <c r="D24" s="709"/>
      <c r="E24" s="709"/>
      <c r="F24" s="709"/>
      <c r="G24" s="709"/>
      <c r="H24" s="709"/>
      <c r="I24" s="45"/>
      <c r="J24" s="45"/>
      <c r="K24" s="45"/>
      <c r="L24" s="45"/>
      <c r="M24" s="45"/>
      <c r="N24" s="45"/>
      <c r="O24" s="45"/>
      <c r="P24" s="45"/>
      <c r="Q24" s="45"/>
      <c r="R24" s="513"/>
      <c r="S24" s="45"/>
    </row>
    <row r="25">
      <c r="A25" s="176" t="s">
        <v>20569</v>
      </c>
      <c r="B25" s="25">
        <v>2345.0</v>
      </c>
      <c r="C25" s="25" t="s">
        <v>20568</v>
      </c>
      <c r="D25" s="78"/>
      <c r="E25" s="78"/>
      <c r="F25" s="78"/>
      <c r="G25" s="78"/>
      <c r="H25" s="78"/>
      <c r="I25" s="45"/>
      <c r="J25" s="45"/>
      <c r="K25" s="45"/>
      <c r="L25" s="45"/>
      <c r="M25" s="45"/>
      <c r="N25" s="45"/>
      <c r="O25" s="45"/>
      <c r="P25" s="45"/>
      <c r="Q25" s="45"/>
      <c r="R25" s="513"/>
      <c r="S25" s="45"/>
    </row>
    <row r="26">
      <c r="A26" s="176" t="s">
        <v>20570</v>
      </c>
      <c r="B26" s="25">
        <v>2345.0</v>
      </c>
      <c r="C26" s="25" t="s">
        <v>20568</v>
      </c>
      <c r="D26" s="78"/>
      <c r="E26" s="78"/>
      <c r="F26" s="78"/>
      <c r="G26" s="78"/>
      <c r="H26" s="78"/>
      <c r="I26" s="45"/>
      <c r="J26" s="45"/>
      <c r="K26" s="45"/>
      <c r="L26" s="45"/>
      <c r="M26" s="45"/>
      <c r="N26" s="45"/>
      <c r="O26" s="45"/>
      <c r="P26" s="45"/>
      <c r="Q26" s="45"/>
      <c r="R26" s="513"/>
      <c r="S26" s="45"/>
    </row>
    <row r="27">
      <c r="A27" s="176" t="s">
        <v>20571</v>
      </c>
      <c r="B27" s="25">
        <v>2345.0</v>
      </c>
      <c r="C27" s="25" t="s">
        <v>20568</v>
      </c>
      <c r="D27" s="78"/>
      <c r="E27" s="78"/>
      <c r="F27" s="78"/>
      <c r="G27" s="78"/>
      <c r="H27" s="78"/>
      <c r="I27" s="45"/>
      <c r="J27" s="45"/>
      <c r="K27" s="45"/>
      <c r="L27" s="45"/>
      <c r="M27" s="45"/>
      <c r="N27" s="45"/>
      <c r="O27" s="45"/>
      <c r="P27" s="45"/>
      <c r="Q27" s="45"/>
      <c r="R27" s="513"/>
      <c r="S27" s="45"/>
    </row>
    <row r="28">
      <c r="A28" s="176" t="s">
        <v>20572</v>
      </c>
      <c r="B28" s="25">
        <v>2345.0</v>
      </c>
      <c r="C28" s="25" t="s">
        <v>20568</v>
      </c>
      <c r="D28" s="78"/>
      <c r="E28" s="78"/>
      <c r="F28" s="78"/>
      <c r="G28" s="78"/>
      <c r="H28" s="78"/>
      <c r="I28" s="45"/>
      <c r="J28" s="45"/>
      <c r="K28" s="45"/>
      <c r="L28" s="45"/>
      <c r="M28" s="45"/>
      <c r="N28" s="45"/>
      <c r="O28" s="45"/>
      <c r="P28" s="45"/>
      <c r="Q28" s="45"/>
      <c r="R28" s="513"/>
      <c r="S28" s="45"/>
    </row>
    <row r="29">
      <c r="A29" s="176" t="s">
        <v>20573</v>
      </c>
      <c r="B29" s="25">
        <v>6675.0</v>
      </c>
      <c r="C29" s="25" t="s">
        <v>20568</v>
      </c>
      <c r="D29" s="78"/>
      <c r="E29" s="78"/>
      <c r="F29" s="78"/>
      <c r="G29" s="78"/>
      <c r="H29" s="78"/>
      <c r="I29" s="45"/>
      <c r="J29" s="45"/>
      <c r="K29" s="45"/>
      <c r="L29" s="45"/>
      <c r="M29" s="45"/>
      <c r="N29" s="45"/>
      <c r="O29" s="45"/>
      <c r="P29" s="45"/>
      <c r="Q29" s="45"/>
      <c r="R29" s="513"/>
      <c r="S29" s="45"/>
    </row>
    <row r="30">
      <c r="A30" s="176" t="s">
        <v>20574</v>
      </c>
      <c r="B30" s="25">
        <v>7083.0</v>
      </c>
      <c r="C30" s="25" t="s">
        <v>20568</v>
      </c>
      <c r="D30" s="78"/>
      <c r="E30" s="78"/>
      <c r="F30" s="78"/>
      <c r="G30" s="78"/>
      <c r="H30" s="78"/>
      <c r="I30" s="45"/>
      <c r="J30" s="45"/>
      <c r="K30" s="45"/>
      <c r="L30" s="45"/>
      <c r="M30" s="45"/>
      <c r="N30" s="45"/>
      <c r="O30" s="45"/>
      <c r="P30" s="45"/>
      <c r="Q30" s="45"/>
      <c r="R30" s="513"/>
      <c r="S30" s="45"/>
    </row>
    <row r="31">
      <c r="A31" s="176" t="s">
        <v>20575</v>
      </c>
      <c r="B31" s="25">
        <v>6924.0</v>
      </c>
      <c r="C31" s="25" t="s">
        <v>20568</v>
      </c>
      <c r="D31" s="78"/>
      <c r="E31" s="78"/>
      <c r="F31" s="78"/>
      <c r="G31" s="78"/>
      <c r="H31" s="78"/>
      <c r="I31" s="45"/>
      <c r="J31" s="45"/>
      <c r="K31" s="45"/>
      <c r="L31" s="45"/>
      <c r="M31" s="45"/>
      <c r="N31" s="45"/>
      <c r="O31" s="45"/>
      <c r="P31" s="45"/>
      <c r="Q31" s="45"/>
      <c r="R31" s="513"/>
      <c r="S31" s="45"/>
    </row>
    <row r="32">
      <c r="A32" s="176" t="s">
        <v>20576</v>
      </c>
      <c r="B32" s="25">
        <v>6132.0</v>
      </c>
      <c r="C32" s="25" t="s">
        <v>20568</v>
      </c>
      <c r="D32" s="78"/>
      <c r="E32" s="78"/>
      <c r="F32" s="78"/>
      <c r="G32" s="78"/>
      <c r="H32" s="78"/>
      <c r="I32" s="45"/>
      <c r="J32" s="45"/>
      <c r="K32" s="45"/>
      <c r="L32" s="45"/>
      <c r="M32" s="45"/>
      <c r="N32" s="45"/>
      <c r="O32" s="45"/>
      <c r="P32" s="45"/>
      <c r="Q32" s="45"/>
      <c r="R32" s="513"/>
      <c r="S32" s="45"/>
    </row>
    <row r="33">
      <c r="A33" s="176" t="s">
        <v>20577</v>
      </c>
      <c r="B33" s="25">
        <v>7157.0</v>
      </c>
      <c r="C33" s="25" t="s">
        <v>20568</v>
      </c>
      <c r="D33" s="78"/>
      <c r="E33" s="78"/>
      <c r="F33" s="78"/>
      <c r="G33" s="78"/>
      <c r="H33" s="78"/>
      <c r="I33" s="45"/>
      <c r="J33" s="45"/>
      <c r="K33" s="45"/>
      <c r="L33" s="45"/>
      <c r="M33" s="45"/>
      <c r="N33" s="45"/>
      <c r="O33" s="45"/>
      <c r="P33" s="45"/>
      <c r="Q33" s="45"/>
      <c r="R33" s="513"/>
      <c r="S33" s="45"/>
    </row>
    <row r="34">
      <c r="A34" s="176" t="s">
        <v>4488</v>
      </c>
      <c r="B34" s="25">
        <v>11708.0</v>
      </c>
      <c r="C34" s="25" t="s">
        <v>20568</v>
      </c>
      <c r="D34" s="78"/>
      <c r="E34" s="78"/>
      <c r="F34" s="78"/>
      <c r="G34" s="78"/>
      <c r="H34" s="78"/>
      <c r="I34" s="45"/>
      <c r="J34" s="45"/>
      <c r="K34" s="45"/>
      <c r="L34" s="45"/>
      <c r="M34" s="45"/>
      <c r="N34" s="45"/>
      <c r="O34" s="45"/>
      <c r="P34" s="45"/>
      <c r="Q34" s="45"/>
      <c r="R34" s="513"/>
      <c r="S34" s="45"/>
    </row>
    <row r="35">
      <c r="A35" s="176" t="s">
        <v>4489</v>
      </c>
      <c r="B35" s="25">
        <v>6875.0</v>
      </c>
      <c r="C35" s="25" t="s">
        <v>20568</v>
      </c>
      <c r="D35" s="78"/>
      <c r="E35" s="78"/>
      <c r="F35" s="78"/>
      <c r="G35" s="78"/>
      <c r="H35" s="78"/>
      <c r="I35" s="45"/>
      <c r="J35" s="45"/>
      <c r="K35" s="45"/>
      <c r="L35" s="45"/>
      <c r="M35" s="45"/>
      <c r="N35" s="45"/>
      <c r="O35" s="45"/>
      <c r="P35" s="45"/>
      <c r="Q35" s="45"/>
      <c r="R35" s="513"/>
      <c r="S35" s="45"/>
    </row>
    <row r="36">
      <c r="A36" s="176" t="s">
        <v>4490</v>
      </c>
      <c r="B36" s="25">
        <v>7100.0</v>
      </c>
      <c r="C36" s="25" t="s">
        <v>20568</v>
      </c>
      <c r="D36" s="78"/>
      <c r="E36" s="78"/>
      <c r="F36" s="78"/>
      <c r="G36" s="78"/>
      <c r="H36" s="78"/>
      <c r="I36" s="45"/>
      <c r="J36" s="45"/>
      <c r="K36" s="45"/>
      <c r="L36" s="45"/>
      <c r="M36" s="45"/>
      <c r="N36" s="45"/>
      <c r="O36" s="45"/>
      <c r="P36" s="45"/>
      <c r="Q36" s="45"/>
      <c r="R36" s="513"/>
      <c r="S36" s="45"/>
    </row>
    <row r="37">
      <c r="A37" s="176" t="s">
        <v>4491</v>
      </c>
      <c r="B37" s="25">
        <v>12932.0</v>
      </c>
      <c r="C37" s="25" t="s">
        <v>20568</v>
      </c>
      <c r="D37" s="78"/>
      <c r="E37" s="78"/>
      <c r="F37" s="78"/>
      <c r="G37" s="78"/>
      <c r="H37" s="78"/>
      <c r="I37" s="45"/>
      <c r="J37" s="45"/>
      <c r="K37" s="45"/>
      <c r="L37" s="45"/>
      <c r="M37" s="45"/>
      <c r="N37" s="45"/>
      <c r="O37" s="45"/>
      <c r="P37" s="45"/>
      <c r="Q37" s="45"/>
      <c r="R37" s="513"/>
      <c r="S37" s="45"/>
    </row>
    <row r="38">
      <c r="A38" s="176" t="s">
        <v>4492</v>
      </c>
      <c r="B38" s="25">
        <v>6779.0</v>
      </c>
      <c r="C38" s="25" t="s">
        <v>20568</v>
      </c>
      <c r="D38" s="78"/>
      <c r="E38" s="78"/>
      <c r="F38" s="78"/>
      <c r="G38" s="78"/>
      <c r="H38" s="78"/>
      <c r="I38" s="45"/>
      <c r="J38" s="45"/>
      <c r="K38" s="45"/>
      <c r="L38" s="45"/>
      <c r="M38" s="45"/>
      <c r="N38" s="45"/>
      <c r="O38" s="45"/>
      <c r="P38" s="45"/>
      <c r="Q38" s="45"/>
      <c r="R38" s="513"/>
      <c r="S38" s="45"/>
    </row>
    <row r="39">
      <c r="A39" s="176" t="s">
        <v>4493</v>
      </c>
      <c r="B39" s="25">
        <v>2345.0</v>
      </c>
      <c r="C39" s="25" t="s">
        <v>20568</v>
      </c>
      <c r="D39" s="78"/>
      <c r="E39" s="78"/>
      <c r="F39" s="78"/>
      <c r="G39" s="78"/>
      <c r="H39" s="78"/>
      <c r="I39" s="45"/>
      <c r="J39" s="45"/>
      <c r="K39" s="45"/>
      <c r="L39" s="45"/>
      <c r="M39" s="45"/>
      <c r="N39" s="45"/>
      <c r="O39" s="45"/>
      <c r="P39" s="45"/>
      <c r="Q39" s="45"/>
      <c r="R39" s="513"/>
      <c r="S39" s="45"/>
    </row>
    <row r="40">
      <c r="A40" s="176" t="s">
        <v>4494</v>
      </c>
      <c r="B40" s="25">
        <v>2345.0</v>
      </c>
      <c r="C40" s="25" t="s">
        <v>20568</v>
      </c>
      <c r="D40" s="78"/>
      <c r="E40" s="78"/>
      <c r="F40" s="78"/>
      <c r="G40" s="78"/>
      <c r="H40" s="78"/>
      <c r="I40" s="45"/>
      <c r="J40" s="45"/>
      <c r="K40" s="45"/>
      <c r="L40" s="45"/>
      <c r="M40" s="45"/>
      <c r="N40" s="45"/>
      <c r="O40" s="45"/>
      <c r="P40" s="45"/>
      <c r="Q40" s="45"/>
      <c r="R40" s="513"/>
      <c r="S40" s="45"/>
    </row>
    <row r="41">
      <c r="A41" s="176" t="s">
        <v>4495</v>
      </c>
      <c r="B41" s="25">
        <v>2345.0</v>
      </c>
      <c r="C41" s="25" t="s">
        <v>20568</v>
      </c>
      <c r="D41" s="78"/>
      <c r="E41" s="78"/>
      <c r="F41" s="78"/>
      <c r="G41" s="78"/>
      <c r="H41" s="78"/>
      <c r="I41" s="45"/>
      <c r="J41" s="45"/>
      <c r="K41" s="45"/>
      <c r="L41" s="45"/>
      <c r="M41" s="45"/>
      <c r="N41" s="45"/>
      <c r="O41" s="45"/>
      <c r="P41" s="45"/>
      <c r="Q41" s="45"/>
      <c r="R41" s="513"/>
      <c r="S41" s="45"/>
    </row>
    <row r="42">
      <c r="A42" s="176" t="s">
        <v>4496</v>
      </c>
      <c r="B42" s="25">
        <v>2345.0</v>
      </c>
      <c r="C42" s="25" t="s">
        <v>20568</v>
      </c>
      <c r="D42" s="78"/>
      <c r="E42" s="78"/>
      <c r="F42" s="78"/>
      <c r="G42" s="78"/>
      <c r="H42" s="78"/>
      <c r="I42" s="45"/>
      <c r="J42" s="45"/>
      <c r="K42" s="45"/>
      <c r="L42" s="45"/>
      <c r="M42" s="45"/>
      <c r="N42" s="45"/>
      <c r="O42" s="45"/>
      <c r="P42" s="45"/>
      <c r="Q42" s="45"/>
      <c r="R42" s="513"/>
      <c r="S42" s="45"/>
    </row>
    <row r="43">
      <c r="A43" s="176" t="s">
        <v>4497</v>
      </c>
      <c r="B43" s="25">
        <v>2345.0</v>
      </c>
      <c r="C43" s="25" t="s">
        <v>20568</v>
      </c>
      <c r="D43" s="78"/>
      <c r="E43" s="78"/>
      <c r="F43" s="78"/>
      <c r="G43" s="78"/>
      <c r="H43" s="78"/>
      <c r="I43" s="45"/>
      <c r="J43" s="45"/>
      <c r="K43" s="45"/>
      <c r="L43" s="45"/>
      <c r="M43" s="45"/>
      <c r="N43" s="45"/>
      <c r="O43" s="45"/>
      <c r="P43" s="45"/>
      <c r="Q43" s="45"/>
      <c r="R43" s="513"/>
      <c r="S43" s="45"/>
    </row>
    <row r="44">
      <c r="A44" s="176" t="s">
        <v>4498</v>
      </c>
      <c r="B44" s="25">
        <v>2345.0</v>
      </c>
      <c r="C44" s="25" t="s">
        <v>20568</v>
      </c>
      <c r="D44" s="78"/>
      <c r="E44" s="78"/>
      <c r="F44" s="78"/>
      <c r="G44" s="78"/>
      <c r="H44" s="78"/>
      <c r="I44" s="45"/>
      <c r="J44" s="45"/>
      <c r="K44" s="45"/>
      <c r="L44" s="45"/>
      <c r="M44" s="45"/>
      <c r="N44" s="45"/>
      <c r="O44" s="45"/>
      <c r="P44" s="45"/>
      <c r="Q44" s="45"/>
      <c r="R44" s="513"/>
      <c r="S44" s="45"/>
    </row>
    <row r="45">
      <c r="A45" s="176" t="s">
        <v>4499</v>
      </c>
      <c r="B45" s="25">
        <v>499.0</v>
      </c>
      <c r="C45" s="25" t="s">
        <v>20568</v>
      </c>
      <c r="D45" s="78"/>
      <c r="E45" s="78"/>
      <c r="F45" s="78"/>
      <c r="G45" s="78"/>
      <c r="H45" s="78"/>
      <c r="I45" s="45"/>
      <c r="J45" s="45"/>
      <c r="K45" s="45"/>
      <c r="L45" s="45"/>
      <c r="M45" s="45"/>
      <c r="N45" s="45"/>
      <c r="O45" s="45"/>
      <c r="P45" s="45"/>
      <c r="Q45" s="45"/>
      <c r="R45" s="513"/>
      <c r="S45" s="45"/>
    </row>
    <row r="46">
      <c r="A46" s="176" t="s">
        <v>4500</v>
      </c>
      <c r="B46" s="25">
        <v>663.0</v>
      </c>
      <c r="C46" s="25" t="s">
        <v>20568</v>
      </c>
      <c r="D46" s="78"/>
      <c r="E46" s="78"/>
      <c r="F46" s="78"/>
      <c r="G46" s="78"/>
      <c r="H46" s="78"/>
      <c r="I46" s="45"/>
      <c r="J46" s="45"/>
      <c r="K46" s="45"/>
      <c r="L46" s="45"/>
      <c r="M46" s="45"/>
      <c r="N46" s="45"/>
      <c r="O46" s="45"/>
      <c r="P46" s="45"/>
      <c r="Q46" s="45"/>
      <c r="R46" s="513"/>
      <c r="S46" s="45"/>
    </row>
    <row r="47">
      <c r="A47" s="176" t="s">
        <v>4501</v>
      </c>
      <c r="B47" s="25">
        <v>10923.0</v>
      </c>
      <c r="C47" s="25" t="s">
        <v>20568</v>
      </c>
      <c r="D47" s="78"/>
      <c r="E47" s="78"/>
      <c r="F47" s="78"/>
      <c r="G47" s="78"/>
      <c r="H47" s="78"/>
      <c r="I47" s="45"/>
      <c r="J47" s="45"/>
      <c r="K47" s="45"/>
      <c r="L47" s="45"/>
      <c r="M47" s="45"/>
      <c r="N47" s="45"/>
      <c r="O47" s="45"/>
      <c r="P47" s="45"/>
      <c r="Q47" s="45"/>
      <c r="R47" s="513"/>
      <c r="S47" s="45"/>
    </row>
    <row r="48">
      <c r="A48" s="176" t="s">
        <v>4502</v>
      </c>
      <c r="B48" s="25">
        <v>7083.0</v>
      </c>
      <c r="C48" s="25" t="s">
        <v>20568</v>
      </c>
      <c r="D48" s="78"/>
      <c r="E48" s="78"/>
      <c r="F48" s="78"/>
      <c r="G48" s="78"/>
      <c r="H48" s="78"/>
      <c r="I48" s="45"/>
      <c r="J48" s="45"/>
      <c r="K48" s="45"/>
      <c r="L48" s="45"/>
      <c r="M48" s="45"/>
      <c r="N48" s="45"/>
      <c r="O48" s="45"/>
      <c r="P48" s="45"/>
      <c r="Q48" s="45"/>
      <c r="R48" s="513"/>
      <c r="S48" s="45"/>
    </row>
    <row r="49">
      <c r="A49" s="176" t="s">
        <v>4503</v>
      </c>
      <c r="B49" s="25">
        <v>663.0</v>
      </c>
      <c r="C49" s="25" t="s">
        <v>20568</v>
      </c>
      <c r="D49" s="78"/>
      <c r="E49" s="78"/>
      <c r="F49" s="78"/>
      <c r="G49" s="78"/>
      <c r="H49" s="78"/>
      <c r="I49" s="45"/>
      <c r="J49" s="45"/>
      <c r="K49" s="45"/>
      <c r="L49" s="45"/>
      <c r="M49" s="45"/>
      <c r="N49" s="45"/>
      <c r="O49" s="45"/>
      <c r="P49" s="45"/>
      <c r="Q49" s="45"/>
      <c r="R49" s="513"/>
      <c r="S49" s="45"/>
    </row>
    <row r="50">
      <c r="A50" s="176" t="s">
        <v>4504</v>
      </c>
      <c r="B50" s="25">
        <v>7033.0</v>
      </c>
      <c r="C50" s="25" t="s">
        <v>20568</v>
      </c>
      <c r="D50" s="78"/>
      <c r="E50" s="78"/>
      <c r="F50" s="78"/>
      <c r="G50" s="78"/>
      <c r="H50" s="78"/>
      <c r="I50" s="45"/>
      <c r="J50" s="45"/>
      <c r="K50" s="45"/>
      <c r="L50" s="45"/>
      <c r="M50" s="45"/>
      <c r="N50" s="45"/>
      <c r="O50" s="45"/>
      <c r="P50" s="45"/>
      <c r="Q50" s="45"/>
      <c r="R50" s="513"/>
      <c r="S50" s="45"/>
    </row>
    <row r="51">
      <c r="A51" s="176" t="s">
        <v>4505</v>
      </c>
      <c r="B51" s="25">
        <v>6772.0</v>
      </c>
      <c r="C51" s="25" t="s">
        <v>20568</v>
      </c>
      <c r="D51" s="78"/>
      <c r="E51" s="78"/>
      <c r="F51" s="78"/>
      <c r="G51" s="78"/>
      <c r="H51" s="78"/>
      <c r="I51" s="45"/>
      <c r="J51" s="45"/>
      <c r="K51" s="45"/>
      <c r="L51" s="45"/>
      <c r="M51" s="45"/>
      <c r="N51" s="45"/>
      <c r="O51" s="45"/>
      <c r="P51" s="45"/>
      <c r="Q51" s="45"/>
      <c r="R51" s="513"/>
      <c r="S51" s="45"/>
    </row>
    <row r="52">
      <c r="A52" s="176" t="s">
        <v>4506</v>
      </c>
      <c r="B52" s="25">
        <v>2345.0</v>
      </c>
      <c r="C52" s="25" t="s">
        <v>20568</v>
      </c>
      <c r="D52" s="78"/>
      <c r="E52" s="78"/>
      <c r="F52" s="78"/>
      <c r="G52" s="78"/>
      <c r="H52" s="78"/>
      <c r="I52" s="45"/>
      <c r="J52" s="45"/>
      <c r="K52" s="45"/>
      <c r="L52" s="45"/>
      <c r="M52" s="45"/>
      <c r="N52" s="45"/>
      <c r="O52" s="45"/>
      <c r="P52" s="45"/>
      <c r="Q52" s="45"/>
      <c r="R52" s="513"/>
      <c r="S52" s="45"/>
    </row>
    <row r="53">
      <c r="A53" s="176" t="s">
        <v>4507</v>
      </c>
      <c r="B53" s="25">
        <v>2345.0</v>
      </c>
      <c r="C53" s="25" t="s">
        <v>20568</v>
      </c>
      <c r="D53" s="78"/>
      <c r="E53" s="78"/>
      <c r="F53" s="78"/>
      <c r="G53" s="78"/>
      <c r="H53" s="78"/>
      <c r="I53" s="45"/>
      <c r="J53" s="45"/>
      <c r="K53" s="45"/>
      <c r="L53" s="45"/>
      <c r="M53" s="45"/>
      <c r="N53" s="45"/>
      <c r="O53" s="45"/>
      <c r="P53" s="45"/>
      <c r="Q53" s="45"/>
      <c r="R53" s="513"/>
      <c r="S53" s="45"/>
    </row>
    <row r="54">
      <c r="A54" s="176" t="s">
        <v>4508</v>
      </c>
      <c r="B54" s="25">
        <v>7229.0</v>
      </c>
      <c r="C54" s="25" t="s">
        <v>20568</v>
      </c>
      <c r="D54" s="78"/>
      <c r="E54" s="78"/>
      <c r="F54" s="78"/>
      <c r="G54" s="78"/>
      <c r="H54" s="78"/>
      <c r="I54" s="45"/>
      <c r="J54" s="45"/>
      <c r="K54" s="45"/>
      <c r="L54" s="45"/>
      <c r="M54" s="45"/>
      <c r="N54" s="45"/>
      <c r="O54" s="45"/>
      <c r="P54" s="45"/>
      <c r="Q54" s="45"/>
      <c r="R54" s="513"/>
      <c r="S54" s="45"/>
    </row>
    <row r="55">
      <c r="A55" s="176" t="s">
        <v>4509</v>
      </c>
      <c r="B55" s="25">
        <v>2345.0</v>
      </c>
      <c r="C55" s="25" t="s">
        <v>20568</v>
      </c>
      <c r="D55" s="78"/>
      <c r="E55" s="78"/>
      <c r="F55" s="78"/>
      <c r="G55" s="78"/>
      <c r="H55" s="78"/>
      <c r="I55" s="45"/>
      <c r="J55" s="45"/>
      <c r="K55" s="45"/>
      <c r="L55" s="45"/>
      <c r="M55" s="45"/>
      <c r="N55" s="45"/>
      <c r="O55" s="45"/>
      <c r="P55" s="45"/>
      <c r="Q55" s="45"/>
      <c r="R55" s="513"/>
      <c r="S55" s="45"/>
    </row>
    <row r="56">
      <c r="A56" s="176" t="s">
        <v>4510</v>
      </c>
      <c r="B56" s="25">
        <v>2345.0</v>
      </c>
      <c r="C56" s="25" t="s">
        <v>20568</v>
      </c>
      <c r="D56" s="78"/>
      <c r="E56" s="78"/>
      <c r="F56" s="78"/>
      <c r="G56" s="78"/>
      <c r="H56" s="78"/>
      <c r="I56" s="45"/>
      <c r="J56" s="45"/>
      <c r="K56" s="45"/>
      <c r="L56" s="45"/>
      <c r="M56" s="45"/>
      <c r="N56" s="45"/>
      <c r="O56" s="45"/>
      <c r="P56" s="45"/>
      <c r="Q56" s="45"/>
      <c r="R56" s="513"/>
      <c r="S56" s="45"/>
    </row>
    <row r="57">
      <c r="A57" s="176" t="s">
        <v>4511</v>
      </c>
      <c r="B57" s="25">
        <v>14638.0</v>
      </c>
      <c r="C57" s="25" t="s">
        <v>20568</v>
      </c>
      <c r="D57" s="78"/>
      <c r="E57" s="78"/>
      <c r="F57" s="78"/>
      <c r="G57" s="78"/>
      <c r="H57" s="78"/>
      <c r="I57" s="45"/>
      <c r="J57" s="45"/>
      <c r="K57" s="45"/>
      <c r="L57" s="45"/>
      <c r="M57" s="45"/>
      <c r="N57" s="45"/>
      <c r="O57" s="45"/>
      <c r="P57" s="45"/>
      <c r="Q57" s="45"/>
      <c r="R57" s="513"/>
      <c r="S57" s="45"/>
    </row>
    <row r="58">
      <c r="A58" s="176" t="s">
        <v>4512</v>
      </c>
      <c r="B58" s="25">
        <v>6936.0</v>
      </c>
      <c r="C58" s="25" t="s">
        <v>20568</v>
      </c>
      <c r="D58" s="78"/>
      <c r="E58" s="78"/>
      <c r="F58" s="78"/>
      <c r="G58" s="78"/>
      <c r="H58" s="78"/>
      <c r="I58" s="45"/>
      <c r="J58" s="45"/>
      <c r="K58" s="45"/>
      <c r="L58" s="45"/>
      <c r="M58" s="45"/>
      <c r="N58" s="45"/>
      <c r="O58" s="45"/>
      <c r="P58" s="45"/>
      <c r="Q58" s="45"/>
      <c r="R58" s="513"/>
      <c r="S58" s="45"/>
    </row>
    <row r="59">
      <c r="A59" s="176" t="s">
        <v>4513</v>
      </c>
      <c r="B59" s="25">
        <v>7023.0</v>
      </c>
      <c r="C59" s="25" t="s">
        <v>20568</v>
      </c>
      <c r="D59" s="78"/>
      <c r="E59" s="78"/>
      <c r="F59" s="78"/>
      <c r="G59" s="78"/>
      <c r="H59" s="78"/>
      <c r="I59" s="45"/>
      <c r="J59" s="45"/>
      <c r="K59" s="45"/>
      <c r="L59" s="45"/>
      <c r="M59" s="45"/>
      <c r="N59" s="45"/>
      <c r="O59" s="45"/>
      <c r="P59" s="45"/>
      <c r="Q59" s="45"/>
      <c r="R59" s="513"/>
      <c r="S59" s="45"/>
    </row>
    <row r="60">
      <c r="A60" s="176" t="s">
        <v>4514</v>
      </c>
      <c r="B60" s="25"/>
      <c r="C60" s="25" t="s">
        <v>20568</v>
      </c>
      <c r="D60" s="78"/>
      <c r="E60" s="78"/>
      <c r="F60" s="78"/>
      <c r="G60" s="78"/>
      <c r="H60" s="78"/>
      <c r="I60" s="45"/>
      <c r="J60" s="45"/>
      <c r="K60" s="45"/>
      <c r="L60" s="45"/>
      <c r="M60" s="45"/>
      <c r="N60" s="45"/>
      <c r="O60" s="45"/>
      <c r="P60" s="45"/>
      <c r="Q60" s="45"/>
      <c r="R60" s="513"/>
      <c r="S60" s="45"/>
    </row>
    <row r="61">
      <c r="A61" s="176" t="s">
        <v>4515</v>
      </c>
      <c r="B61" s="25">
        <v>6947.0</v>
      </c>
      <c r="C61" s="25" t="s">
        <v>20568</v>
      </c>
      <c r="D61" s="78"/>
      <c r="E61" s="78"/>
      <c r="F61" s="78"/>
      <c r="G61" s="78"/>
      <c r="H61" s="78"/>
      <c r="I61" s="45"/>
      <c r="J61" s="45"/>
      <c r="K61" s="45"/>
      <c r="L61" s="45"/>
      <c r="M61" s="45"/>
      <c r="N61" s="45"/>
      <c r="O61" s="45"/>
      <c r="P61" s="45"/>
      <c r="Q61" s="45"/>
      <c r="R61" s="513"/>
      <c r="S61" s="45"/>
    </row>
    <row r="62">
      <c r="A62" s="176" t="s">
        <v>4516</v>
      </c>
      <c r="B62" s="25">
        <v>6947.0</v>
      </c>
      <c r="C62" s="25" t="s">
        <v>20568</v>
      </c>
      <c r="D62" s="78"/>
      <c r="E62" s="78"/>
      <c r="F62" s="78"/>
      <c r="G62" s="78"/>
      <c r="H62" s="78"/>
      <c r="I62" s="45"/>
      <c r="J62" s="45"/>
      <c r="K62" s="45"/>
      <c r="L62" s="45"/>
      <c r="M62" s="45"/>
      <c r="N62" s="45"/>
      <c r="O62" s="45"/>
      <c r="P62" s="45"/>
      <c r="Q62" s="45"/>
      <c r="R62" s="513"/>
      <c r="S62" s="45"/>
    </row>
    <row r="63">
      <c r="A63" s="176" t="s">
        <v>4517</v>
      </c>
      <c r="B63" s="25">
        <v>2345.0</v>
      </c>
      <c r="C63" s="25" t="s">
        <v>20568</v>
      </c>
      <c r="D63" s="78"/>
      <c r="E63" s="78"/>
      <c r="F63" s="78"/>
      <c r="G63" s="78"/>
      <c r="H63" s="78"/>
      <c r="I63" s="45"/>
      <c r="J63" s="45"/>
      <c r="K63" s="45"/>
      <c r="L63" s="45"/>
      <c r="M63" s="45"/>
      <c r="N63" s="45"/>
      <c r="O63" s="45"/>
      <c r="P63" s="45"/>
      <c r="Q63" s="45"/>
      <c r="R63" s="513"/>
      <c r="S63" s="45"/>
    </row>
    <row r="64">
      <c r="A64" s="176" t="s">
        <v>4518</v>
      </c>
      <c r="B64" s="25">
        <v>6669.0</v>
      </c>
      <c r="C64" s="25" t="s">
        <v>20568</v>
      </c>
      <c r="D64" s="78"/>
      <c r="E64" s="78"/>
      <c r="F64" s="78"/>
      <c r="G64" s="78"/>
      <c r="H64" s="78"/>
      <c r="I64" s="45"/>
      <c r="J64" s="45"/>
      <c r="K64" s="45"/>
      <c r="L64" s="45"/>
      <c r="M64" s="45"/>
      <c r="N64" s="45"/>
      <c r="O64" s="45"/>
      <c r="P64" s="45"/>
      <c r="Q64" s="45"/>
      <c r="R64" s="513"/>
      <c r="S64" s="45"/>
    </row>
    <row r="65">
      <c r="A65" s="176" t="s">
        <v>4519</v>
      </c>
      <c r="B65" s="25">
        <v>12388.0</v>
      </c>
      <c r="C65" s="25" t="s">
        <v>20568</v>
      </c>
      <c r="D65" s="78"/>
      <c r="E65" s="78"/>
      <c r="F65" s="78"/>
      <c r="G65" s="78"/>
      <c r="H65" s="78"/>
      <c r="I65" s="45"/>
      <c r="J65" s="45"/>
      <c r="K65" s="45"/>
      <c r="L65" s="45"/>
      <c r="M65" s="45"/>
      <c r="N65" s="45"/>
      <c r="O65" s="45"/>
      <c r="P65" s="45"/>
      <c r="Q65" s="45"/>
      <c r="R65" s="513"/>
      <c r="S65" s="45"/>
    </row>
    <row r="66">
      <c r="A66" s="176" t="s">
        <v>4520</v>
      </c>
      <c r="B66" s="25">
        <v>283.0</v>
      </c>
      <c r="C66" s="25" t="s">
        <v>20568</v>
      </c>
      <c r="D66" s="78"/>
      <c r="E66" s="78"/>
      <c r="F66" s="78"/>
      <c r="G66" s="78"/>
      <c r="H66" s="78"/>
      <c r="I66" s="45"/>
      <c r="J66" s="45"/>
      <c r="K66" s="45"/>
      <c r="L66" s="45"/>
      <c r="M66" s="45"/>
      <c r="N66" s="45"/>
      <c r="O66" s="45"/>
      <c r="P66" s="45"/>
      <c r="Q66" s="45"/>
      <c r="R66" s="513"/>
      <c r="S66" s="45"/>
    </row>
    <row r="67">
      <c r="A67" s="176" t="s">
        <v>4521</v>
      </c>
      <c r="B67" s="25">
        <v>283.0</v>
      </c>
      <c r="C67" s="25" t="s">
        <v>20568</v>
      </c>
      <c r="D67" s="78"/>
      <c r="E67" s="78"/>
      <c r="F67" s="78"/>
      <c r="G67" s="78"/>
      <c r="H67" s="78"/>
      <c r="I67" s="45"/>
      <c r="J67" s="45"/>
      <c r="K67" s="45"/>
      <c r="L67" s="45"/>
      <c r="M67" s="45"/>
      <c r="N67" s="45"/>
      <c r="O67" s="45"/>
      <c r="P67" s="45"/>
      <c r="Q67" s="45"/>
      <c r="R67" s="513"/>
      <c r="S67" s="45"/>
    </row>
    <row r="68">
      <c r="A68" s="176" t="s">
        <v>4522</v>
      </c>
      <c r="B68" s="25">
        <v>5389.0</v>
      </c>
      <c r="C68" s="25" t="s">
        <v>20568</v>
      </c>
      <c r="D68" s="78"/>
      <c r="E68" s="78"/>
      <c r="F68" s="78"/>
      <c r="G68" s="78"/>
      <c r="H68" s="78"/>
      <c r="I68" s="45"/>
      <c r="J68" s="45"/>
      <c r="K68" s="45"/>
      <c r="L68" s="45"/>
      <c r="M68" s="45"/>
      <c r="N68" s="45"/>
      <c r="O68" s="45"/>
      <c r="P68" s="45"/>
      <c r="Q68" s="45"/>
      <c r="R68" s="513"/>
      <c r="S68" s="45"/>
    </row>
    <row r="69">
      <c r="A69" s="176" t="s">
        <v>4523</v>
      </c>
      <c r="B69" s="25">
        <v>14575.0</v>
      </c>
      <c r="C69" s="25" t="s">
        <v>20568</v>
      </c>
      <c r="D69" s="78"/>
      <c r="E69" s="78"/>
      <c r="F69" s="78"/>
      <c r="G69" s="78"/>
      <c r="H69" s="78"/>
      <c r="I69" s="45"/>
      <c r="J69" s="45"/>
      <c r="K69" s="45"/>
      <c r="L69" s="45"/>
      <c r="M69" s="45"/>
      <c r="N69" s="45"/>
      <c r="O69" s="45"/>
      <c r="P69" s="45"/>
      <c r="Q69" s="45"/>
      <c r="R69" s="513"/>
      <c r="S69" s="45"/>
    </row>
    <row r="70">
      <c r="A70" s="176" t="s">
        <v>4524</v>
      </c>
      <c r="B70" s="25">
        <v>12609.0</v>
      </c>
      <c r="C70" s="25" t="s">
        <v>20568</v>
      </c>
      <c r="D70" s="709"/>
      <c r="E70" s="709"/>
      <c r="F70" s="709"/>
      <c r="G70" s="709"/>
      <c r="H70" s="709"/>
      <c r="I70" s="45"/>
      <c r="J70" s="45"/>
      <c r="K70" s="45"/>
      <c r="L70" s="45"/>
      <c r="M70" s="45"/>
      <c r="N70" s="45"/>
      <c r="O70" s="45"/>
      <c r="P70" s="45"/>
      <c r="Q70" s="45"/>
      <c r="R70" s="513"/>
      <c r="S70" s="45"/>
    </row>
    <row r="71">
      <c r="A71" s="176" t="s">
        <v>4525</v>
      </c>
      <c r="B71" s="25"/>
      <c r="C71" s="25" t="s">
        <v>20568</v>
      </c>
      <c r="D71" s="78"/>
      <c r="E71" s="78"/>
      <c r="F71" s="78"/>
      <c r="G71" s="78"/>
      <c r="H71" s="78"/>
      <c r="I71" s="45"/>
      <c r="J71" s="45"/>
      <c r="K71" s="45"/>
      <c r="L71" s="45"/>
      <c r="M71" s="45"/>
      <c r="N71" s="45"/>
      <c r="O71" s="45"/>
      <c r="P71" s="45"/>
      <c r="Q71" s="45"/>
      <c r="R71" s="513"/>
      <c r="S71" s="45"/>
    </row>
    <row r="72">
      <c r="A72" s="176" t="s">
        <v>4526</v>
      </c>
      <c r="B72" s="25">
        <v>10923.0</v>
      </c>
      <c r="C72" s="25" t="s">
        <v>20568</v>
      </c>
      <c r="D72" s="78"/>
      <c r="E72" s="78"/>
      <c r="F72" s="78"/>
      <c r="G72" s="78"/>
      <c r="H72" s="78"/>
      <c r="I72" s="45"/>
      <c r="J72" s="45"/>
      <c r="K72" s="45"/>
      <c r="L72" s="45"/>
      <c r="M72" s="45"/>
      <c r="N72" s="45"/>
      <c r="O72" s="45"/>
      <c r="P72" s="45"/>
      <c r="Q72" s="45"/>
      <c r="R72" s="513"/>
      <c r="S72" s="45"/>
    </row>
    <row r="73">
      <c r="A73" s="176" t="s">
        <v>4527</v>
      </c>
      <c r="B73" s="25">
        <v>7142.0</v>
      </c>
      <c r="C73" s="25" t="s">
        <v>20568</v>
      </c>
      <c r="D73" s="78"/>
      <c r="E73" s="78"/>
      <c r="F73" s="78"/>
      <c r="G73" s="78"/>
      <c r="H73" s="78"/>
      <c r="I73" s="45"/>
      <c r="J73" s="45"/>
      <c r="K73" s="45"/>
      <c r="L73" s="45"/>
      <c r="M73" s="45"/>
      <c r="N73" s="45"/>
      <c r="O73" s="45"/>
      <c r="P73" s="45"/>
      <c r="Q73" s="45"/>
      <c r="R73" s="513"/>
      <c r="S73" s="45"/>
    </row>
    <row r="74">
      <c r="A74" s="176" t="s">
        <v>4528</v>
      </c>
      <c r="B74" s="25">
        <v>10856.0</v>
      </c>
      <c r="C74" s="25" t="s">
        <v>20568</v>
      </c>
      <c r="D74" s="78"/>
      <c r="E74" s="78"/>
      <c r="F74" s="78"/>
      <c r="G74" s="78"/>
      <c r="H74" s="78"/>
      <c r="I74" s="45"/>
      <c r="J74" s="45"/>
      <c r="K74" s="45"/>
      <c r="L74" s="45"/>
      <c r="M74" s="45"/>
      <c r="N74" s="45"/>
      <c r="O74" s="45"/>
      <c r="P74" s="45"/>
      <c r="Q74" s="45"/>
      <c r="R74" s="513"/>
      <c r="S74" s="45"/>
    </row>
    <row r="75">
      <c r="A75" s="176" t="s">
        <v>4529</v>
      </c>
      <c r="B75" s="25"/>
      <c r="C75" s="25" t="s">
        <v>20568</v>
      </c>
      <c r="D75" s="78"/>
      <c r="E75" s="78"/>
      <c r="F75" s="78"/>
      <c r="G75" s="78"/>
      <c r="H75" s="78"/>
      <c r="I75" s="45"/>
      <c r="J75" s="45"/>
      <c r="K75" s="45"/>
      <c r="L75" s="45"/>
      <c r="M75" s="45"/>
      <c r="N75" s="45"/>
      <c r="O75" s="45"/>
      <c r="P75" s="45"/>
      <c r="Q75" s="45"/>
      <c r="R75" s="513"/>
      <c r="S75" s="45"/>
    </row>
    <row r="76">
      <c r="A76" s="176" t="s">
        <v>4530</v>
      </c>
      <c r="B76" s="25">
        <v>6891.0</v>
      </c>
      <c r="C76" s="25" t="s">
        <v>20568</v>
      </c>
      <c r="D76" s="78"/>
      <c r="E76" s="78"/>
      <c r="F76" s="78"/>
      <c r="G76" s="78"/>
      <c r="H76" s="78"/>
      <c r="I76" s="45"/>
      <c r="J76" s="45"/>
      <c r="K76" s="45"/>
      <c r="L76" s="45"/>
      <c r="M76" s="45"/>
      <c r="N76" s="45"/>
      <c r="O76" s="45"/>
      <c r="P76" s="45"/>
      <c r="Q76" s="45"/>
      <c r="R76" s="513"/>
      <c r="S76" s="45"/>
    </row>
    <row r="77">
      <c r="A77" s="176" t="s">
        <v>4531</v>
      </c>
      <c r="B77" s="25">
        <v>189.0</v>
      </c>
      <c r="C77" s="25" t="s">
        <v>20568</v>
      </c>
      <c r="D77" s="78"/>
      <c r="E77" s="78"/>
      <c r="F77" s="78"/>
      <c r="G77" s="78"/>
      <c r="H77" s="78"/>
      <c r="I77" s="45"/>
      <c r="J77" s="45"/>
      <c r="K77" s="45"/>
      <c r="L77" s="45"/>
      <c r="M77" s="45"/>
      <c r="N77" s="45"/>
      <c r="O77" s="45"/>
      <c r="P77" s="45"/>
      <c r="Q77" s="45"/>
      <c r="R77" s="513"/>
      <c r="S77" s="45"/>
    </row>
    <row r="78">
      <c r="A78" s="176" t="s">
        <v>4532</v>
      </c>
      <c r="B78" s="25">
        <v>189.0</v>
      </c>
      <c r="C78" s="25" t="s">
        <v>20568</v>
      </c>
      <c r="D78" s="78"/>
      <c r="E78" s="78"/>
      <c r="F78" s="78"/>
      <c r="G78" s="78"/>
      <c r="H78" s="78"/>
      <c r="I78" s="45"/>
      <c r="J78" s="45"/>
      <c r="K78" s="45"/>
      <c r="L78" s="45"/>
      <c r="M78" s="45"/>
      <c r="N78" s="45"/>
      <c r="O78" s="45"/>
      <c r="P78" s="45"/>
      <c r="Q78" s="45"/>
      <c r="R78" s="513"/>
      <c r="S78" s="45"/>
    </row>
    <row r="79">
      <c r="A79" s="176" t="s">
        <v>4533</v>
      </c>
      <c r="B79" s="25">
        <v>189.0</v>
      </c>
      <c r="C79" s="25" t="s">
        <v>20568</v>
      </c>
      <c r="D79" s="78"/>
      <c r="E79" s="78"/>
      <c r="F79" s="78"/>
      <c r="G79" s="78"/>
      <c r="H79" s="78"/>
      <c r="I79" s="45"/>
      <c r="J79" s="45"/>
      <c r="K79" s="45"/>
      <c r="L79" s="45"/>
      <c r="M79" s="45"/>
      <c r="N79" s="45"/>
      <c r="O79" s="45"/>
      <c r="P79" s="45"/>
      <c r="Q79" s="45"/>
      <c r="R79" s="513"/>
      <c r="S79" s="45"/>
    </row>
    <row r="80">
      <c r="A80" s="176" t="s">
        <v>4534</v>
      </c>
      <c r="B80" s="25">
        <v>11875.0</v>
      </c>
      <c r="C80" s="25" t="s">
        <v>20568</v>
      </c>
      <c r="D80" s="78"/>
      <c r="E80" s="78"/>
      <c r="F80" s="78"/>
      <c r="G80" s="78"/>
      <c r="H80" s="78"/>
      <c r="I80" s="45"/>
      <c r="J80" s="45"/>
      <c r="K80" s="45"/>
      <c r="L80" s="45"/>
      <c r="M80" s="45"/>
      <c r="N80" s="45"/>
      <c r="O80" s="45"/>
      <c r="P80" s="45"/>
      <c r="Q80" s="45"/>
      <c r="R80" s="513"/>
      <c r="S80" s="45"/>
    </row>
    <row r="81">
      <c r="A81" s="176" t="s">
        <v>4535</v>
      </c>
      <c r="B81" s="25">
        <v>6133.0</v>
      </c>
      <c r="C81" s="25" t="s">
        <v>20568</v>
      </c>
      <c r="D81" s="78"/>
      <c r="E81" s="78"/>
      <c r="F81" s="78"/>
      <c r="G81" s="78"/>
      <c r="H81" s="78"/>
      <c r="I81" s="45"/>
      <c r="J81" s="45"/>
      <c r="K81" s="45"/>
      <c r="L81" s="45"/>
      <c r="M81" s="45"/>
      <c r="N81" s="45"/>
      <c r="O81" s="45"/>
      <c r="P81" s="45"/>
      <c r="Q81" s="45"/>
      <c r="R81" s="513"/>
      <c r="S81" s="122"/>
    </row>
    <row r="82">
      <c r="A82" s="176" t="s">
        <v>4536</v>
      </c>
      <c r="B82" s="25">
        <v>14750.0</v>
      </c>
      <c r="C82" s="25" t="s">
        <v>20568</v>
      </c>
      <c r="D82" s="78"/>
      <c r="E82" s="78"/>
      <c r="F82" s="78"/>
      <c r="G82" s="78"/>
      <c r="H82" s="78"/>
      <c r="I82" s="45"/>
      <c r="J82" s="45"/>
      <c r="K82" s="45"/>
      <c r="L82" s="45"/>
      <c r="M82" s="45"/>
      <c r="N82" s="45"/>
      <c r="O82" s="45"/>
      <c r="P82" s="45"/>
      <c r="Q82" s="45"/>
      <c r="R82" s="513"/>
      <c r="S82" s="45"/>
    </row>
    <row r="83">
      <c r="A83" s="176" t="s">
        <v>4537</v>
      </c>
      <c r="B83" s="25">
        <v>14750.0</v>
      </c>
      <c r="C83" s="25" t="s">
        <v>20568</v>
      </c>
      <c r="D83" s="78"/>
      <c r="E83" s="78"/>
      <c r="F83" s="78"/>
      <c r="G83" s="78"/>
      <c r="H83" s="78"/>
      <c r="I83" s="45"/>
      <c r="J83" s="45"/>
      <c r="K83" s="45"/>
      <c r="L83" s="45"/>
      <c r="M83" s="45"/>
      <c r="N83" s="45"/>
      <c r="O83" s="45"/>
      <c r="P83" s="45"/>
      <c r="Q83" s="45"/>
      <c r="R83" s="513"/>
      <c r="S83" s="112"/>
    </row>
    <row r="84">
      <c r="A84" s="176" t="s">
        <v>4538</v>
      </c>
      <c r="B84" s="25">
        <v>14750.0</v>
      </c>
      <c r="C84" s="25" t="s">
        <v>20568</v>
      </c>
      <c r="D84" s="78"/>
      <c r="E84" s="78"/>
      <c r="F84" s="78"/>
      <c r="G84" s="78"/>
      <c r="H84" s="78"/>
      <c r="I84" s="45"/>
      <c r="J84" s="45"/>
      <c r="K84" s="45"/>
      <c r="L84" s="45"/>
      <c r="M84" s="45"/>
      <c r="N84" s="45"/>
      <c r="O84" s="45"/>
      <c r="P84" s="45"/>
      <c r="Q84" s="45"/>
      <c r="R84" s="513"/>
      <c r="S84" s="45"/>
    </row>
    <row r="85">
      <c r="A85" s="176" t="s">
        <v>4539</v>
      </c>
      <c r="B85" s="25">
        <v>14750.0</v>
      </c>
      <c r="C85" s="25" t="s">
        <v>20568</v>
      </c>
      <c r="D85" s="78"/>
      <c r="E85" s="78"/>
      <c r="F85" s="78"/>
      <c r="G85" s="78"/>
      <c r="H85" s="78"/>
      <c r="I85" s="45"/>
      <c r="J85" s="45"/>
      <c r="K85" s="45"/>
      <c r="L85" s="45"/>
      <c r="M85" s="45"/>
      <c r="N85" s="45"/>
      <c r="O85" s="45"/>
      <c r="P85" s="45"/>
      <c r="Q85" s="45"/>
      <c r="R85" s="513"/>
      <c r="S85" s="45"/>
    </row>
    <row r="86">
      <c r="A86" s="176" t="s">
        <v>4540</v>
      </c>
      <c r="B86" s="25">
        <v>14750.0</v>
      </c>
      <c r="C86" s="25" t="s">
        <v>20568</v>
      </c>
      <c r="D86" s="78"/>
      <c r="E86" s="78"/>
      <c r="F86" s="78"/>
      <c r="G86" s="78"/>
      <c r="H86" s="78"/>
      <c r="I86" s="45"/>
      <c r="J86" s="45"/>
      <c r="K86" s="45"/>
      <c r="L86" s="45"/>
      <c r="M86" s="45"/>
      <c r="N86" s="45"/>
      <c r="O86" s="45"/>
      <c r="P86" s="45"/>
      <c r="Q86" s="45"/>
      <c r="R86" s="513"/>
      <c r="S86" s="45"/>
    </row>
    <row r="87">
      <c r="A87" s="176" t="s">
        <v>4541</v>
      </c>
      <c r="B87" s="25">
        <v>14750.0</v>
      </c>
      <c r="C87" s="25" t="s">
        <v>20568</v>
      </c>
      <c r="D87" s="78"/>
      <c r="E87" s="78"/>
      <c r="F87" s="78"/>
      <c r="G87" s="78"/>
      <c r="H87" s="78"/>
      <c r="I87" s="45"/>
      <c r="J87" s="45"/>
      <c r="K87" s="45"/>
      <c r="L87" s="45"/>
      <c r="M87" s="45"/>
      <c r="N87" s="45"/>
      <c r="O87" s="45"/>
      <c r="P87" s="45"/>
      <c r="Q87" s="45"/>
      <c r="R87" s="513"/>
      <c r="S87" s="45"/>
    </row>
    <row r="88">
      <c r="A88" s="176" t="s">
        <v>4542</v>
      </c>
      <c r="B88" s="25">
        <v>14750.0</v>
      </c>
      <c r="C88" s="25" t="s">
        <v>20568</v>
      </c>
      <c r="D88" s="274"/>
      <c r="E88" s="274"/>
      <c r="F88" s="274"/>
      <c r="G88" s="274"/>
      <c r="H88" s="274"/>
      <c r="I88" s="45"/>
      <c r="J88" s="45"/>
      <c r="K88" s="45"/>
      <c r="L88" s="45"/>
      <c r="M88" s="45"/>
      <c r="N88" s="45"/>
      <c r="O88" s="45"/>
      <c r="P88" s="45"/>
      <c r="Q88" s="45"/>
      <c r="R88" s="513"/>
      <c r="S88" s="45"/>
    </row>
    <row r="89">
      <c r="A89" s="176" t="s">
        <v>4543</v>
      </c>
      <c r="B89" s="25">
        <v>14750.0</v>
      </c>
      <c r="C89" s="25" t="s">
        <v>20568</v>
      </c>
      <c r="D89" s="78"/>
      <c r="E89" s="78"/>
      <c r="F89" s="78"/>
      <c r="G89" s="78"/>
      <c r="H89" s="78"/>
      <c r="I89" s="45"/>
      <c r="J89" s="45"/>
      <c r="K89" s="45"/>
      <c r="L89" s="45"/>
      <c r="M89" s="45"/>
      <c r="N89" s="45"/>
      <c r="O89" s="45"/>
      <c r="P89" s="45"/>
      <c r="Q89" s="45"/>
      <c r="R89" s="513"/>
      <c r="S89" s="45"/>
    </row>
    <row r="90">
      <c r="A90" s="176" t="s">
        <v>4544</v>
      </c>
      <c r="B90" s="37">
        <v>7031.0</v>
      </c>
      <c r="C90" s="25" t="s">
        <v>20568</v>
      </c>
      <c r="D90" s="78"/>
      <c r="E90" s="78"/>
      <c r="F90" s="78"/>
      <c r="G90" s="78"/>
      <c r="H90" s="78"/>
      <c r="I90" s="45"/>
      <c r="J90" s="45"/>
      <c r="K90" s="45"/>
      <c r="L90" s="45"/>
      <c r="M90" s="45"/>
      <c r="N90" s="45"/>
      <c r="O90" s="45"/>
      <c r="P90" s="45"/>
      <c r="Q90" s="45"/>
      <c r="R90" s="513"/>
      <c r="S90" s="45"/>
    </row>
    <row r="91">
      <c r="A91" s="176" t="s">
        <v>4545</v>
      </c>
      <c r="B91" s="25">
        <v>6668.0</v>
      </c>
      <c r="C91" s="25" t="s">
        <v>20568</v>
      </c>
      <c r="D91" s="78"/>
      <c r="E91" s="78"/>
      <c r="F91" s="78"/>
      <c r="G91" s="78"/>
      <c r="H91" s="78"/>
      <c r="I91" s="45"/>
      <c r="J91" s="45"/>
      <c r="K91" s="45"/>
      <c r="L91" s="45"/>
      <c r="M91" s="45"/>
      <c r="N91" s="45"/>
      <c r="O91" s="45"/>
      <c r="P91" s="45"/>
      <c r="Q91" s="45"/>
      <c r="R91" s="513"/>
      <c r="S91" s="45"/>
    </row>
    <row r="92">
      <c r="A92" s="176" t="s">
        <v>4546</v>
      </c>
      <c r="B92" s="25">
        <v>14750.0</v>
      </c>
      <c r="C92" s="25" t="s">
        <v>20568</v>
      </c>
      <c r="D92" s="78"/>
      <c r="E92" s="78"/>
      <c r="F92" s="78"/>
      <c r="G92" s="78"/>
      <c r="H92" s="78"/>
      <c r="I92" s="45"/>
      <c r="J92" s="45"/>
      <c r="K92" s="45"/>
      <c r="L92" s="45"/>
      <c r="M92" s="45"/>
      <c r="N92" s="45"/>
      <c r="O92" s="45"/>
      <c r="P92" s="45"/>
      <c r="Q92" s="45"/>
      <c r="R92" s="513"/>
      <c r="S92" s="45"/>
    </row>
    <row r="93">
      <c r="A93" s="176" t="s">
        <v>4547</v>
      </c>
      <c r="B93" s="25">
        <v>14750.0</v>
      </c>
      <c r="C93" s="25" t="s">
        <v>20568</v>
      </c>
      <c r="D93" s="78"/>
      <c r="E93" s="78"/>
      <c r="F93" s="78"/>
      <c r="G93" s="78"/>
      <c r="H93" s="78"/>
      <c r="I93" s="45"/>
      <c r="J93" s="45"/>
      <c r="K93" s="45"/>
      <c r="L93" s="45"/>
      <c r="M93" s="45"/>
      <c r="N93" s="45"/>
      <c r="O93" s="45"/>
      <c r="P93" s="45"/>
      <c r="Q93" s="45"/>
      <c r="R93" s="513"/>
      <c r="S93" s="45"/>
    </row>
    <row r="94">
      <c r="A94" s="176" t="s">
        <v>4548</v>
      </c>
      <c r="B94" s="25">
        <v>14750.0</v>
      </c>
      <c r="C94" s="25" t="s">
        <v>20568</v>
      </c>
      <c r="D94" s="78"/>
      <c r="E94" s="78"/>
      <c r="F94" s="78"/>
      <c r="G94" s="78"/>
      <c r="H94" s="78"/>
      <c r="I94" s="45"/>
      <c r="J94" s="45"/>
      <c r="K94" s="45"/>
      <c r="L94" s="45"/>
      <c r="M94" s="45"/>
      <c r="N94" s="45"/>
      <c r="O94" s="45"/>
      <c r="P94" s="45"/>
      <c r="Q94" s="45"/>
      <c r="R94" s="513"/>
      <c r="S94" s="45"/>
    </row>
    <row r="95">
      <c r="A95" s="176" t="s">
        <v>4549</v>
      </c>
      <c r="C95" s="25" t="s">
        <v>20568</v>
      </c>
      <c r="D95" s="78"/>
      <c r="E95" s="78"/>
      <c r="F95" s="78"/>
      <c r="G95" s="78"/>
      <c r="H95" s="78"/>
      <c r="I95" s="45"/>
      <c r="J95" s="45"/>
      <c r="K95" s="45"/>
      <c r="L95" s="45"/>
      <c r="M95" s="45"/>
      <c r="N95" s="45"/>
      <c r="O95" s="45"/>
      <c r="P95" s="45"/>
      <c r="Q95" s="45"/>
      <c r="R95" s="513"/>
      <c r="S95" s="45"/>
    </row>
    <row r="96">
      <c r="A96" s="176" t="s">
        <v>4550</v>
      </c>
      <c r="B96" s="11">
        <v>2345.0</v>
      </c>
      <c r="C96" s="25" t="s">
        <v>20568</v>
      </c>
      <c r="D96" s="78"/>
      <c r="E96" s="78"/>
      <c r="F96" s="78"/>
      <c r="G96" s="78"/>
      <c r="H96" s="78"/>
      <c r="I96" s="45"/>
      <c r="J96" s="45"/>
      <c r="K96" s="45"/>
      <c r="L96" s="45"/>
      <c r="M96" s="45"/>
      <c r="N96" s="45"/>
      <c r="O96" s="45"/>
      <c r="P96" s="45"/>
      <c r="Q96" s="45"/>
      <c r="R96" s="513"/>
      <c r="S96" s="45"/>
    </row>
    <row r="97">
      <c r="A97" s="176" t="s">
        <v>4551</v>
      </c>
      <c r="B97" s="11">
        <v>4514.0</v>
      </c>
      <c r="C97" s="25" t="s">
        <v>20568</v>
      </c>
      <c r="D97" s="78"/>
      <c r="E97" s="78"/>
      <c r="F97" s="78"/>
      <c r="G97" s="78"/>
      <c r="H97" s="78"/>
      <c r="I97" s="45"/>
      <c r="J97" s="45"/>
      <c r="K97" s="45"/>
      <c r="L97" s="45"/>
      <c r="M97" s="45"/>
      <c r="N97" s="45"/>
      <c r="O97" s="45"/>
      <c r="P97" s="45"/>
      <c r="Q97" s="45"/>
      <c r="R97" s="513"/>
      <c r="S97" s="45"/>
    </row>
    <row r="98">
      <c r="A98" s="176" t="s">
        <v>4552</v>
      </c>
      <c r="B98" s="11">
        <v>2345.0</v>
      </c>
      <c r="C98" s="25" t="s">
        <v>20568</v>
      </c>
      <c r="D98" s="78"/>
      <c r="E98" s="78"/>
      <c r="F98" s="78"/>
      <c r="G98" s="78"/>
      <c r="H98" s="78"/>
      <c r="I98" s="45"/>
      <c r="J98" s="45"/>
      <c r="K98" s="45"/>
      <c r="L98" s="45"/>
      <c r="M98" s="45"/>
      <c r="N98" s="45"/>
      <c r="O98" s="45"/>
      <c r="P98" s="45"/>
      <c r="Q98" s="45"/>
      <c r="R98" s="513"/>
      <c r="S98" s="45"/>
    </row>
    <row r="99">
      <c r="A99" s="176" t="s">
        <v>4553</v>
      </c>
      <c r="B99" s="25">
        <v>986.0</v>
      </c>
      <c r="C99" s="25" t="s">
        <v>20568</v>
      </c>
      <c r="D99" s="78"/>
      <c r="E99" s="78"/>
      <c r="F99" s="78"/>
      <c r="G99" s="78"/>
      <c r="H99" s="78"/>
      <c r="I99" s="45"/>
      <c r="J99" s="45"/>
      <c r="K99" s="45"/>
      <c r="L99" s="45"/>
      <c r="M99" s="45"/>
      <c r="N99" s="45"/>
      <c r="O99" s="45"/>
      <c r="P99" s="45"/>
      <c r="Q99" s="45"/>
      <c r="R99" s="513"/>
      <c r="S99" s="45"/>
    </row>
    <row r="100">
      <c r="A100" s="176" t="s">
        <v>4554</v>
      </c>
      <c r="B100" s="25">
        <v>986.0</v>
      </c>
      <c r="C100" s="25" t="s">
        <v>20568</v>
      </c>
      <c r="D100" s="78"/>
      <c r="E100" s="78"/>
      <c r="F100" s="78"/>
      <c r="G100" s="78"/>
      <c r="H100" s="78"/>
      <c r="I100" s="45"/>
      <c r="J100" s="45"/>
      <c r="K100" s="45"/>
      <c r="L100" s="45"/>
      <c r="M100" s="45"/>
      <c r="N100" s="45"/>
      <c r="O100" s="45"/>
      <c r="P100" s="45"/>
      <c r="Q100" s="45"/>
      <c r="R100" s="513"/>
      <c r="S100" s="45"/>
    </row>
    <row r="101">
      <c r="A101" s="176" t="s">
        <v>4555</v>
      </c>
      <c r="B101" s="25">
        <v>986.0</v>
      </c>
      <c r="C101" s="25" t="s">
        <v>20568</v>
      </c>
      <c r="D101" s="78"/>
      <c r="E101" s="78"/>
      <c r="F101" s="78"/>
      <c r="G101" s="78"/>
      <c r="H101" s="78"/>
      <c r="I101" s="45"/>
      <c r="J101" s="45"/>
      <c r="K101" s="45"/>
      <c r="L101" s="45"/>
      <c r="M101" s="45"/>
      <c r="N101" s="45"/>
      <c r="O101" s="45"/>
      <c r="P101" s="45"/>
      <c r="Q101" s="45"/>
      <c r="R101" s="513"/>
      <c r="S101" s="45"/>
    </row>
    <row r="102">
      <c r="A102" s="176" t="s">
        <v>4556</v>
      </c>
      <c r="B102" s="25">
        <v>986.0</v>
      </c>
      <c r="C102" s="25" t="s">
        <v>20568</v>
      </c>
      <c r="D102" s="78"/>
      <c r="E102" s="78"/>
      <c r="F102" s="78"/>
      <c r="G102" s="78"/>
      <c r="H102" s="78"/>
      <c r="I102" s="45"/>
      <c r="J102" s="45"/>
      <c r="K102" s="45"/>
      <c r="L102" s="45"/>
      <c r="M102" s="45"/>
      <c r="N102" s="45"/>
      <c r="O102" s="45"/>
      <c r="P102" s="45"/>
      <c r="Q102" s="45"/>
      <c r="R102" s="513"/>
      <c r="S102" s="45"/>
    </row>
    <row r="103">
      <c r="A103" s="176" t="s">
        <v>4557</v>
      </c>
      <c r="B103" s="25">
        <v>986.0</v>
      </c>
      <c r="C103" s="25" t="s">
        <v>20568</v>
      </c>
      <c r="D103" s="78"/>
      <c r="E103" s="78"/>
      <c r="F103" s="78"/>
      <c r="G103" s="78"/>
      <c r="H103" s="78"/>
      <c r="I103" s="45"/>
      <c r="J103" s="45"/>
      <c r="K103" s="45"/>
      <c r="L103" s="45"/>
      <c r="M103" s="45"/>
      <c r="N103" s="45"/>
      <c r="O103" s="45"/>
      <c r="P103" s="45"/>
      <c r="Q103" s="45"/>
      <c r="R103" s="513"/>
      <c r="S103" s="45"/>
    </row>
    <row r="104">
      <c r="A104" s="176" t="s">
        <v>4558</v>
      </c>
      <c r="B104" s="25">
        <v>986.0</v>
      </c>
      <c r="C104" s="25" t="s">
        <v>20568</v>
      </c>
      <c r="D104" s="78"/>
      <c r="E104" s="78"/>
      <c r="F104" s="78"/>
      <c r="G104" s="78"/>
      <c r="H104" s="78"/>
      <c r="I104" s="45"/>
      <c r="J104" s="45"/>
      <c r="K104" s="45"/>
      <c r="L104" s="45"/>
      <c r="M104" s="45"/>
      <c r="N104" s="45"/>
      <c r="O104" s="45"/>
      <c r="P104" s="45"/>
      <c r="Q104" s="45"/>
      <c r="R104" s="513"/>
      <c r="S104" s="45"/>
    </row>
    <row r="105">
      <c r="A105" s="176" t="s">
        <v>4559</v>
      </c>
      <c r="B105" s="25">
        <v>189.0</v>
      </c>
      <c r="C105" s="25" t="s">
        <v>20568</v>
      </c>
      <c r="D105" s="78"/>
      <c r="E105" s="78"/>
      <c r="F105" s="78"/>
      <c r="G105" s="78"/>
      <c r="H105" s="78"/>
      <c r="I105" s="45"/>
      <c r="J105" s="45"/>
      <c r="K105" s="45"/>
      <c r="L105" s="45"/>
      <c r="M105" s="45"/>
      <c r="N105" s="45"/>
      <c r="O105" s="45"/>
      <c r="P105" s="45"/>
      <c r="Q105" s="45"/>
      <c r="R105" s="513"/>
      <c r="S105" s="45"/>
    </row>
    <row r="106">
      <c r="A106" s="176" t="s">
        <v>4560</v>
      </c>
      <c r="B106" s="25">
        <v>189.0</v>
      </c>
      <c r="C106" s="25" t="s">
        <v>20568</v>
      </c>
      <c r="D106" s="78"/>
      <c r="E106" s="78"/>
      <c r="F106" s="78"/>
      <c r="G106" s="78"/>
      <c r="H106" s="78"/>
      <c r="I106" s="45"/>
      <c r="J106" s="45"/>
      <c r="K106" s="45"/>
      <c r="L106" s="45"/>
      <c r="M106" s="45"/>
      <c r="N106" s="45"/>
      <c r="O106" s="45"/>
      <c r="P106" s="45"/>
      <c r="Q106" s="45"/>
      <c r="R106" s="513"/>
      <c r="S106" s="45"/>
    </row>
    <row r="107">
      <c r="A107" s="176" t="s">
        <v>4561</v>
      </c>
      <c r="B107" s="25">
        <v>6767.0</v>
      </c>
      <c r="C107" s="25" t="s">
        <v>20568</v>
      </c>
      <c r="D107" s="78"/>
      <c r="E107" s="78"/>
      <c r="F107" s="78"/>
      <c r="G107" s="78"/>
      <c r="H107" s="78"/>
      <c r="I107" s="45"/>
      <c r="J107" s="45"/>
      <c r="K107" s="45"/>
      <c r="L107" s="45"/>
      <c r="M107" s="45"/>
      <c r="N107" s="45"/>
      <c r="O107" s="45"/>
      <c r="P107" s="45"/>
      <c r="Q107" s="45"/>
      <c r="R107" s="513"/>
      <c r="S107" s="45"/>
    </row>
    <row r="108">
      <c r="A108" s="176" t="s">
        <v>4562</v>
      </c>
      <c r="B108" s="25">
        <v>889.0</v>
      </c>
      <c r="C108" s="25" t="s">
        <v>20568</v>
      </c>
      <c r="D108" s="78"/>
      <c r="E108" s="78"/>
      <c r="F108" s="78"/>
      <c r="G108" s="78"/>
      <c r="H108" s="78"/>
      <c r="I108" s="45"/>
      <c r="J108" s="45"/>
      <c r="K108" s="45"/>
      <c r="L108" s="45"/>
      <c r="M108" s="45"/>
      <c r="N108" s="45"/>
      <c r="O108" s="45"/>
      <c r="P108" s="45"/>
      <c r="Q108" s="45"/>
      <c r="R108" s="513"/>
      <c r="S108" s="45"/>
    </row>
    <row r="109">
      <c r="A109" s="176" t="s">
        <v>4563</v>
      </c>
      <c r="B109" s="25">
        <v>3607.0</v>
      </c>
      <c r="C109" s="25" t="s">
        <v>20568</v>
      </c>
      <c r="D109" s="274"/>
      <c r="E109" s="274"/>
      <c r="F109" s="274"/>
      <c r="G109" s="274"/>
      <c r="H109" s="274"/>
      <c r="I109" s="45"/>
      <c r="J109" s="45"/>
      <c r="K109" s="45"/>
      <c r="L109" s="45"/>
      <c r="M109" s="45"/>
      <c r="N109" s="45"/>
      <c r="O109" s="45"/>
      <c r="P109" s="45"/>
      <c r="Q109" s="45"/>
      <c r="R109" s="513"/>
      <c r="S109" s="45"/>
    </row>
    <row r="110">
      <c r="A110" s="176" t="s">
        <v>4564</v>
      </c>
      <c r="B110" s="25">
        <v>3607.0</v>
      </c>
      <c r="C110" s="25" t="s">
        <v>20568</v>
      </c>
      <c r="D110" s="78"/>
      <c r="E110" s="78"/>
      <c r="F110" s="78"/>
      <c r="G110" s="78"/>
      <c r="H110" s="78"/>
      <c r="I110" s="45"/>
      <c r="J110" s="45"/>
      <c r="K110" s="45"/>
      <c r="L110" s="45"/>
      <c r="M110" s="45"/>
      <c r="N110" s="45"/>
      <c r="O110" s="45"/>
      <c r="P110" s="45"/>
      <c r="Q110" s="45"/>
      <c r="R110" s="513"/>
      <c r="S110" s="45"/>
    </row>
    <row r="111">
      <c r="A111" s="176" t="s">
        <v>4565</v>
      </c>
      <c r="B111" s="25">
        <v>3607.0</v>
      </c>
      <c r="C111" s="25" t="s">
        <v>20568</v>
      </c>
      <c r="D111" s="78"/>
      <c r="E111" s="78"/>
      <c r="F111" s="78"/>
      <c r="G111" s="78"/>
      <c r="H111" s="78"/>
      <c r="I111" s="45"/>
      <c r="J111" s="45"/>
      <c r="K111" s="45"/>
      <c r="L111" s="45"/>
      <c r="M111" s="45"/>
      <c r="N111" s="45"/>
      <c r="O111" s="45"/>
      <c r="P111" s="45"/>
      <c r="Q111" s="45"/>
      <c r="R111" s="513"/>
      <c r="S111" s="45"/>
    </row>
    <row r="112">
      <c r="A112" s="176" t="s">
        <v>4566</v>
      </c>
      <c r="B112" s="25">
        <v>3607.0</v>
      </c>
      <c r="C112" s="25" t="s">
        <v>20568</v>
      </c>
      <c r="D112" s="78"/>
      <c r="E112" s="78"/>
      <c r="F112" s="78"/>
      <c r="G112" s="78"/>
      <c r="H112" s="78"/>
      <c r="I112" s="45"/>
      <c r="J112" s="45"/>
      <c r="K112" s="45"/>
      <c r="L112" s="45"/>
      <c r="M112" s="45"/>
      <c r="N112" s="45"/>
      <c r="O112" s="45"/>
      <c r="P112" s="45"/>
      <c r="Q112" s="45"/>
      <c r="R112" s="513"/>
      <c r="S112" s="45"/>
    </row>
    <row r="113">
      <c r="A113" s="176" t="s">
        <v>4567</v>
      </c>
      <c r="B113" s="25">
        <v>3607.0</v>
      </c>
      <c r="C113" s="25" t="s">
        <v>20568</v>
      </c>
      <c r="D113" s="78"/>
      <c r="E113" s="78"/>
      <c r="F113" s="78"/>
      <c r="G113" s="78"/>
      <c r="H113" s="78"/>
      <c r="I113" s="45"/>
      <c r="J113" s="45"/>
      <c r="K113" s="45"/>
      <c r="L113" s="45"/>
      <c r="M113" s="45"/>
      <c r="N113" s="45"/>
      <c r="O113" s="45"/>
      <c r="P113" s="45"/>
      <c r="Q113" s="45"/>
      <c r="R113" s="513"/>
      <c r="S113" s="45"/>
    </row>
    <row r="114">
      <c r="A114" s="176" t="s">
        <v>4568</v>
      </c>
      <c r="B114" s="25">
        <v>3607.0</v>
      </c>
      <c r="C114" s="25" t="s">
        <v>20568</v>
      </c>
      <c r="D114" s="78"/>
      <c r="E114" s="78"/>
      <c r="F114" s="78"/>
      <c r="G114" s="78"/>
      <c r="H114" s="78"/>
      <c r="I114" s="45"/>
      <c r="J114" s="45"/>
      <c r="K114" s="45"/>
      <c r="L114" s="45"/>
      <c r="M114" s="45"/>
      <c r="N114" s="45"/>
      <c r="O114" s="45"/>
      <c r="P114" s="45"/>
      <c r="Q114" s="45"/>
      <c r="R114" s="513"/>
      <c r="S114" s="45"/>
    </row>
    <row r="115">
      <c r="A115" s="176" t="s">
        <v>4569</v>
      </c>
      <c r="B115" s="25">
        <v>9363.0</v>
      </c>
      <c r="C115" s="25" t="s">
        <v>20568</v>
      </c>
      <c r="D115" s="78"/>
      <c r="E115" s="78"/>
      <c r="F115" s="78"/>
      <c r="G115" s="78"/>
      <c r="H115" s="78"/>
      <c r="I115" s="45"/>
      <c r="J115" s="45"/>
      <c r="K115" s="45"/>
      <c r="L115" s="45"/>
      <c r="M115" s="45"/>
      <c r="N115" s="45"/>
      <c r="O115" s="45"/>
      <c r="P115" s="45"/>
      <c r="Q115" s="45"/>
      <c r="R115" s="513"/>
      <c r="S115" s="45"/>
    </row>
    <row r="116">
      <c r="A116" s="176" t="s">
        <v>4570</v>
      </c>
      <c r="B116" s="25">
        <v>9363.0</v>
      </c>
      <c r="C116" s="25" t="s">
        <v>20568</v>
      </c>
      <c r="D116" s="78"/>
      <c r="E116" s="78"/>
      <c r="F116" s="78"/>
      <c r="G116" s="78"/>
      <c r="H116" s="78"/>
      <c r="I116" s="45"/>
      <c r="J116" s="45"/>
      <c r="K116" s="45"/>
      <c r="L116" s="45"/>
      <c r="M116" s="45"/>
      <c r="N116" s="45"/>
      <c r="O116" s="45"/>
      <c r="P116" s="45"/>
      <c r="Q116" s="45"/>
      <c r="R116" s="513"/>
      <c r="S116" s="45"/>
    </row>
    <row r="117">
      <c r="A117" s="176" t="s">
        <v>4571</v>
      </c>
      <c r="B117" s="25">
        <v>7003.0</v>
      </c>
      <c r="C117" s="25" t="s">
        <v>20568</v>
      </c>
      <c r="D117" s="78"/>
      <c r="E117" s="78"/>
      <c r="F117" s="78"/>
      <c r="G117" s="78"/>
      <c r="H117" s="78"/>
      <c r="I117" s="45"/>
      <c r="J117" s="45"/>
      <c r="K117" s="45"/>
      <c r="L117" s="45"/>
      <c r="M117" s="45"/>
      <c r="N117" s="45"/>
      <c r="O117" s="45"/>
      <c r="P117" s="45"/>
      <c r="Q117" s="45"/>
      <c r="R117" s="513"/>
      <c r="S117" s="45"/>
    </row>
    <row r="118">
      <c r="A118" s="176" t="s">
        <v>4572</v>
      </c>
      <c r="B118" s="25">
        <v>11875.0</v>
      </c>
      <c r="C118" s="25" t="s">
        <v>20568</v>
      </c>
      <c r="D118" s="78"/>
      <c r="E118" s="78"/>
      <c r="F118" s="78"/>
      <c r="G118" s="78"/>
      <c r="H118" s="78"/>
      <c r="I118" s="45"/>
      <c r="J118" s="45"/>
      <c r="K118" s="45"/>
      <c r="L118" s="45"/>
      <c r="M118" s="45"/>
      <c r="N118" s="45"/>
      <c r="O118" s="45"/>
      <c r="P118" s="45"/>
      <c r="Q118" s="45"/>
      <c r="R118" s="513"/>
      <c r="S118" s="45"/>
    </row>
    <row r="119">
      <c r="A119" s="176" t="s">
        <v>4573</v>
      </c>
      <c r="B119" s="25">
        <v>6774.0</v>
      </c>
      <c r="C119" s="25" t="s">
        <v>20568</v>
      </c>
      <c r="D119" s="78"/>
      <c r="E119" s="78"/>
      <c r="F119" s="78"/>
      <c r="G119" s="78"/>
      <c r="H119" s="78"/>
      <c r="I119" s="45"/>
      <c r="J119" s="45"/>
      <c r="K119" s="45"/>
      <c r="L119" s="45"/>
      <c r="M119" s="45"/>
      <c r="N119" s="45"/>
      <c r="O119" s="45"/>
      <c r="P119" s="45"/>
      <c r="Q119" s="45"/>
      <c r="R119" s="513"/>
      <c r="S119" s="45"/>
    </row>
    <row r="120">
      <c r="A120" s="176" t="s">
        <v>4574</v>
      </c>
      <c r="B120" s="25">
        <v>9307.0</v>
      </c>
      <c r="C120" s="25" t="s">
        <v>20568</v>
      </c>
      <c r="D120" s="78"/>
      <c r="E120" s="78"/>
      <c r="F120" s="78"/>
      <c r="G120" s="78"/>
      <c r="H120" s="78"/>
      <c r="I120" s="45"/>
      <c r="J120" s="45"/>
      <c r="K120" s="45"/>
      <c r="L120" s="45"/>
      <c r="M120" s="45"/>
      <c r="N120" s="45"/>
      <c r="O120" s="45"/>
      <c r="P120" s="45"/>
      <c r="Q120" s="45"/>
      <c r="R120" s="513"/>
      <c r="S120" s="45"/>
    </row>
    <row r="121">
      <c r="A121" s="176" t="s">
        <v>4575</v>
      </c>
      <c r="B121" s="25">
        <v>11601.0</v>
      </c>
      <c r="C121" s="25" t="s">
        <v>20568</v>
      </c>
      <c r="D121" s="78"/>
      <c r="E121" s="78"/>
      <c r="F121" s="78"/>
      <c r="G121" s="78"/>
      <c r="H121" s="78"/>
      <c r="I121" s="45"/>
      <c r="J121" s="45"/>
      <c r="K121" s="45"/>
      <c r="L121" s="45"/>
      <c r="M121" s="45"/>
      <c r="N121" s="45"/>
      <c r="O121" s="45"/>
      <c r="P121" s="45"/>
      <c r="Q121" s="45"/>
      <c r="R121" s="513"/>
      <c r="S121" s="45"/>
    </row>
    <row r="122">
      <c r="A122" s="176" t="s">
        <v>4576</v>
      </c>
      <c r="B122" s="25">
        <v>6829.0</v>
      </c>
      <c r="C122" s="25" t="s">
        <v>20568</v>
      </c>
      <c r="D122" s="78"/>
      <c r="E122" s="78"/>
      <c r="F122" s="78"/>
      <c r="G122" s="78"/>
      <c r="H122" s="78"/>
      <c r="I122" s="45"/>
      <c r="J122" s="45"/>
      <c r="K122" s="45"/>
      <c r="L122" s="45"/>
      <c r="M122" s="45"/>
      <c r="N122" s="45"/>
      <c r="O122" s="45"/>
      <c r="P122" s="45"/>
      <c r="Q122" s="45"/>
      <c r="R122" s="513"/>
      <c r="S122" s="45"/>
    </row>
    <row r="123">
      <c r="A123" s="176" t="s">
        <v>4577</v>
      </c>
      <c r="B123" s="25">
        <v>7142.0</v>
      </c>
      <c r="C123" s="25" t="s">
        <v>20568</v>
      </c>
      <c r="D123" s="709"/>
      <c r="E123" s="709"/>
      <c r="F123" s="709"/>
      <c r="G123" s="709"/>
      <c r="H123" s="709"/>
      <c r="I123" s="45"/>
      <c r="J123" s="45"/>
      <c r="K123" s="45"/>
      <c r="L123" s="45"/>
      <c r="M123" s="45"/>
      <c r="N123" s="45"/>
      <c r="O123" s="45"/>
      <c r="P123" s="45"/>
      <c r="Q123" s="45"/>
      <c r="R123" s="513"/>
      <c r="S123" s="45"/>
    </row>
    <row r="124">
      <c r="A124" s="176" t="s">
        <v>4578</v>
      </c>
      <c r="B124" s="25">
        <v>6728.0</v>
      </c>
      <c r="C124" s="25" t="s">
        <v>20568</v>
      </c>
      <c r="D124" s="78"/>
      <c r="E124" s="78"/>
      <c r="F124" s="78"/>
      <c r="G124" s="78"/>
      <c r="H124" s="78"/>
      <c r="I124" s="45"/>
      <c r="J124" s="45"/>
      <c r="K124" s="45"/>
      <c r="L124" s="45"/>
      <c r="M124" s="45"/>
      <c r="N124" s="45"/>
      <c r="O124" s="45"/>
      <c r="P124" s="45"/>
      <c r="Q124" s="45"/>
      <c r="R124" s="513"/>
      <c r="S124" s="45"/>
    </row>
    <row r="125">
      <c r="A125" s="176" t="s">
        <v>4636</v>
      </c>
      <c r="B125" s="25">
        <v>6675.0</v>
      </c>
      <c r="C125" s="25" t="s">
        <v>20568</v>
      </c>
      <c r="D125" s="78"/>
      <c r="E125" s="78"/>
      <c r="F125" s="78"/>
      <c r="G125" s="78"/>
      <c r="H125" s="78"/>
      <c r="I125" s="45"/>
      <c r="J125" s="45"/>
      <c r="K125" s="45"/>
      <c r="L125" s="45"/>
      <c r="M125" s="45"/>
      <c r="N125" s="45"/>
      <c r="O125" s="45"/>
      <c r="P125" s="45"/>
      <c r="Q125" s="45"/>
      <c r="R125" s="513"/>
      <c r="S125" s="45"/>
    </row>
    <row r="126">
      <c r="A126" s="176"/>
      <c r="B126" s="78"/>
      <c r="C126" s="78"/>
      <c r="D126" s="78"/>
      <c r="E126" s="78"/>
      <c r="F126" s="78"/>
      <c r="G126" s="78"/>
      <c r="H126" s="78"/>
      <c r="I126" s="45"/>
      <c r="J126" s="45"/>
      <c r="K126" s="45"/>
      <c r="L126" s="45"/>
      <c r="M126" s="45"/>
      <c r="N126" s="45"/>
      <c r="O126" s="45"/>
      <c r="P126" s="45"/>
      <c r="Q126" s="45"/>
      <c r="R126" s="513"/>
      <c r="S126" s="45"/>
    </row>
    <row r="127">
      <c r="A127" s="176"/>
      <c r="B127" s="78"/>
      <c r="C127" s="78"/>
      <c r="D127" s="78"/>
      <c r="E127" s="78"/>
      <c r="F127" s="78"/>
      <c r="G127" s="78"/>
      <c r="H127" s="78"/>
      <c r="I127" s="45"/>
      <c r="J127" s="45"/>
      <c r="K127" s="45"/>
      <c r="L127" s="45"/>
      <c r="M127" s="45"/>
      <c r="N127" s="45"/>
      <c r="O127" s="45"/>
      <c r="P127" s="45"/>
      <c r="Q127" s="45"/>
      <c r="R127" s="513"/>
      <c r="S127" s="45"/>
    </row>
    <row r="128">
      <c r="A128" s="176"/>
      <c r="B128" s="78"/>
      <c r="C128" s="78"/>
      <c r="D128" s="78"/>
      <c r="E128" s="78"/>
      <c r="F128" s="78"/>
      <c r="G128" s="78"/>
      <c r="H128" s="78"/>
      <c r="I128" s="45"/>
      <c r="J128" s="45"/>
      <c r="K128" s="45"/>
      <c r="L128" s="45"/>
      <c r="M128" s="45"/>
      <c r="N128" s="45"/>
      <c r="O128" s="45"/>
      <c r="P128" s="45"/>
      <c r="Q128" s="45"/>
      <c r="R128" s="513"/>
      <c r="S128" s="45"/>
    </row>
    <row r="129">
      <c r="A129" s="176"/>
      <c r="B129" s="78"/>
      <c r="C129" s="78"/>
      <c r="D129" s="78"/>
      <c r="E129" s="78"/>
      <c r="F129" s="78"/>
      <c r="G129" s="78"/>
      <c r="H129" s="78"/>
      <c r="I129" s="45"/>
      <c r="J129" s="45"/>
      <c r="K129" s="45"/>
      <c r="L129" s="45"/>
      <c r="M129" s="45"/>
      <c r="N129" s="45"/>
      <c r="O129" s="45"/>
      <c r="P129" s="45"/>
      <c r="Q129" s="45"/>
      <c r="R129" s="513"/>
      <c r="S129" s="45"/>
    </row>
    <row r="130">
      <c r="A130" s="176"/>
      <c r="B130" s="78"/>
      <c r="C130" s="78"/>
      <c r="D130" s="78"/>
      <c r="E130" s="78"/>
      <c r="F130" s="78"/>
      <c r="G130" s="78"/>
      <c r="H130" s="78"/>
      <c r="I130" s="45"/>
      <c r="J130" s="45"/>
      <c r="K130" s="45"/>
      <c r="L130" s="45"/>
      <c r="M130" s="45"/>
      <c r="N130" s="45"/>
      <c r="O130" s="45"/>
      <c r="P130" s="45"/>
      <c r="Q130" s="45"/>
      <c r="R130" s="513"/>
      <c r="S130" s="37"/>
    </row>
    <row r="131">
      <c r="A131" s="176"/>
      <c r="B131" s="78"/>
      <c r="C131" s="78"/>
      <c r="D131" s="78"/>
      <c r="E131" s="78"/>
      <c r="F131" s="78"/>
      <c r="G131" s="78"/>
      <c r="H131" s="78"/>
      <c r="I131" s="45"/>
      <c r="J131" s="45"/>
      <c r="K131" s="45"/>
      <c r="L131" s="45"/>
      <c r="M131" s="45"/>
      <c r="N131" s="45"/>
      <c r="O131" s="45"/>
      <c r="P131" s="45"/>
      <c r="Q131" s="45"/>
      <c r="R131" s="513"/>
      <c r="S131" s="45"/>
    </row>
    <row r="132">
      <c r="A132" s="176"/>
      <c r="B132" s="78"/>
      <c r="C132" s="78"/>
      <c r="D132" s="78"/>
      <c r="E132" s="78"/>
      <c r="F132" s="78"/>
      <c r="G132" s="78"/>
      <c r="H132" s="78"/>
      <c r="I132" s="45"/>
      <c r="J132" s="45"/>
      <c r="K132" s="45"/>
      <c r="L132" s="45"/>
      <c r="M132" s="45"/>
      <c r="N132" s="45"/>
      <c r="O132" s="45"/>
      <c r="P132" s="45"/>
      <c r="Q132" s="45"/>
      <c r="R132" s="513"/>
      <c r="S132" s="45"/>
    </row>
    <row r="133">
      <c r="A133" s="176"/>
      <c r="B133" s="78"/>
      <c r="C133" s="78"/>
      <c r="D133" s="78"/>
      <c r="E133" s="78"/>
      <c r="F133" s="78"/>
      <c r="G133" s="78"/>
      <c r="H133" s="78"/>
      <c r="I133" s="45"/>
      <c r="J133" s="45"/>
      <c r="K133" s="45"/>
      <c r="L133" s="45"/>
      <c r="M133" s="45"/>
      <c r="N133" s="45"/>
      <c r="O133" s="45"/>
      <c r="P133" s="45"/>
      <c r="Q133" s="45"/>
      <c r="R133" s="513"/>
      <c r="S133" s="45"/>
    </row>
    <row r="134">
      <c r="A134" s="176"/>
      <c r="B134" s="78"/>
      <c r="C134" s="78"/>
      <c r="D134" s="78"/>
      <c r="E134" s="78"/>
      <c r="F134" s="78"/>
      <c r="G134" s="78"/>
      <c r="H134" s="78"/>
      <c r="I134" s="45"/>
      <c r="J134" s="45"/>
      <c r="K134" s="45"/>
      <c r="L134" s="45"/>
      <c r="M134" s="45"/>
      <c r="N134" s="45"/>
      <c r="O134" s="45"/>
      <c r="P134" s="45"/>
      <c r="Q134" s="45"/>
      <c r="R134" s="513"/>
      <c r="S134" s="122"/>
    </row>
    <row r="135">
      <c r="A135" s="176"/>
      <c r="B135" s="78"/>
      <c r="C135" s="78"/>
      <c r="D135" s="78"/>
      <c r="E135" s="78"/>
      <c r="F135" s="78"/>
      <c r="G135" s="78"/>
      <c r="H135" s="78"/>
      <c r="I135" s="45"/>
      <c r="J135" s="45"/>
      <c r="K135" s="45"/>
      <c r="L135" s="45"/>
      <c r="M135" s="45"/>
      <c r="N135" s="45"/>
      <c r="O135" s="45"/>
      <c r="P135" s="45"/>
      <c r="Q135" s="45"/>
      <c r="R135" s="513"/>
      <c r="S135" s="45"/>
    </row>
    <row r="136">
      <c r="A136" s="176"/>
      <c r="B136" s="78"/>
      <c r="C136" s="78"/>
      <c r="D136" s="78"/>
      <c r="E136" s="78"/>
      <c r="F136" s="78"/>
      <c r="G136" s="78"/>
      <c r="H136" s="78"/>
      <c r="I136" s="45"/>
      <c r="J136" s="45"/>
      <c r="K136" s="45"/>
      <c r="L136" s="45"/>
      <c r="M136" s="45"/>
      <c r="N136" s="45"/>
      <c r="O136" s="45"/>
      <c r="P136" s="45"/>
      <c r="Q136" s="45"/>
      <c r="R136" s="513"/>
      <c r="S136" s="513"/>
    </row>
    <row r="137">
      <c r="A137" s="176"/>
      <c r="B137" s="78"/>
      <c r="C137" s="78"/>
      <c r="D137" s="709"/>
      <c r="E137" s="709"/>
      <c r="F137" s="709"/>
      <c r="G137" s="709"/>
      <c r="H137" s="709"/>
      <c r="I137" s="45"/>
      <c r="J137" s="45"/>
      <c r="K137" s="45"/>
      <c r="L137" s="45"/>
      <c r="M137" s="45"/>
      <c r="N137" s="45"/>
      <c r="O137" s="45"/>
      <c r="P137" s="45"/>
      <c r="Q137" s="45"/>
      <c r="R137" s="513"/>
      <c r="S137" s="45"/>
    </row>
    <row r="138">
      <c r="A138" s="176"/>
      <c r="B138" s="78"/>
      <c r="C138" s="78"/>
      <c r="D138" s="78"/>
      <c r="E138" s="78"/>
      <c r="F138" s="78"/>
      <c r="G138" s="78"/>
      <c r="H138" s="78"/>
      <c r="I138" s="45"/>
      <c r="J138" s="45"/>
      <c r="K138" s="45"/>
      <c r="L138" s="45"/>
      <c r="M138" s="45"/>
      <c r="N138" s="45"/>
      <c r="O138" s="45"/>
      <c r="P138" s="45"/>
      <c r="Q138" s="45"/>
      <c r="R138" s="513"/>
      <c r="S138" s="45"/>
    </row>
    <row r="139">
      <c r="A139" s="176"/>
      <c r="B139" s="78"/>
      <c r="C139" s="78"/>
      <c r="D139" s="78"/>
      <c r="E139" s="78"/>
      <c r="F139" s="78"/>
      <c r="G139" s="78"/>
      <c r="H139" s="78"/>
      <c r="I139" s="45"/>
      <c r="J139" s="45"/>
      <c r="K139" s="45"/>
      <c r="L139" s="45"/>
      <c r="M139" s="45"/>
      <c r="N139" s="45"/>
      <c r="O139" s="45"/>
      <c r="P139" s="45"/>
      <c r="Q139" s="45"/>
      <c r="R139" s="513"/>
      <c r="S139" s="45"/>
    </row>
    <row r="140">
      <c r="A140" s="176"/>
      <c r="B140" s="78"/>
      <c r="C140" s="78"/>
      <c r="D140" s="78"/>
      <c r="E140" s="78"/>
      <c r="F140" s="78"/>
      <c r="G140" s="78"/>
      <c r="H140" s="78"/>
      <c r="I140" s="45"/>
      <c r="J140" s="45"/>
      <c r="K140" s="45"/>
      <c r="L140" s="45"/>
      <c r="M140" s="45"/>
      <c r="N140" s="45"/>
      <c r="O140" s="45"/>
      <c r="P140" s="45"/>
      <c r="Q140" s="45"/>
      <c r="R140" s="513"/>
      <c r="S140" s="122"/>
    </row>
    <row r="141">
      <c r="A141" s="176"/>
      <c r="B141" s="78"/>
      <c r="C141" s="78"/>
      <c r="D141" s="78"/>
      <c r="E141" s="78"/>
      <c r="F141" s="78"/>
      <c r="G141" s="78"/>
      <c r="H141" s="78"/>
      <c r="I141" s="45"/>
      <c r="J141" s="45"/>
      <c r="K141" s="45"/>
      <c r="L141" s="45"/>
      <c r="M141" s="45"/>
      <c r="N141" s="45"/>
      <c r="O141" s="45"/>
      <c r="P141" s="45"/>
      <c r="Q141" s="45"/>
      <c r="R141" s="513"/>
      <c r="S141" s="45"/>
    </row>
    <row r="142">
      <c r="A142" s="176"/>
      <c r="B142" s="78"/>
      <c r="C142" s="78"/>
      <c r="D142" s="78"/>
      <c r="E142" s="78"/>
      <c r="F142" s="78"/>
      <c r="G142" s="78"/>
      <c r="H142" s="78"/>
      <c r="I142" s="45"/>
      <c r="J142" s="45"/>
      <c r="K142" s="45"/>
      <c r="L142" s="45"/>
      <c r="M142" s="45"/>
      <c r="N142" s="45"/>
      <c r="O142" s="45"/>
      <c r="P142" s="45"/>
      <c r="Q142" s="45"/>
      <c r="R142" s="513"/>
      <c r="S142" s="45"/>
    </row>
    <row r="143">
      <c r="A143" s="176"/>
      <c r="B143" s="78"/>
      <c r="C143" s="78"/>
      <c r="D143" s="78"/>
      <c r="E143" s="78"/>
      <c r="F143" s="78"/>
      <c r="G143" s="78"/>
      <c r="H143" s="78"/>
      <c r="I143" s="45"/>
      <c r="J143" s="45"/>
      <c r="K143" s="45"/>
      <c r="L143" s="45"/>
      <c r="M143" s="45"/>
      <c r="N143" s="45"/>
      <c r="O143" s="45"/>
      <c r="P143" s="45"/>
      <c r="Q143" s="45"/>
      <c r="R143" s="513"/>
      <c r="S143" s="45"/>
    </row>
    <row r="144">
      <c r="A144" s="176"/>
      <c r="B144" s="78"/>
      <c r="C144" s="78"/>
      <c r="D144" s="78"/>
      <c r="E144" s="78"/>
      <c r="F144" s="78"/>
      <c r="G144" s="78"/>
      <c r="H144" s="78"/>
      <c r="I144" s="45"/>
      <c r="J144" s="45"/>
      <c r="K144" s="45"/>
      <c r="L144" s="45"/>
      <c r="M144" s="45"/>
      <c r="N144" s="45"/>
      <c r="O144" s="45"/>
      <c r="P144" s="45"/>
      <c r="Q144" s="45"/>
      <c r="R144" s="513"/>
      <c r="S144" s="45"/>
    </row>
    <row r="145">
      <c r="A145" s="176"/>
      <c r="B145" s="78"/>
      <c r="C145" s="78"/>
      <c r="D145" s="78"/>
      <c r="E145" s="78"/>
      <c r="F145" s="78"/>
      <c r="G145" s="78"/>
      <c r="H145" s="78"/>
      <c r="I145" s="45"/>
      <c r="J145" s="45"/>
      <c r="K145" s="45"/>
      <c r="L145" s="45"/>
      <c r="M145" s="45"/>
      <c r="N145" s="45"/>
      <c r="O145" s="45"/>
      <c r="P145" s="45"/>
      <c r="Q145" s="45"/>
      <c r="R145" s="513"/>
      <c r="S145" s="45"/>
    </row>
    <row r="146">
      <c r="A146" s="176"/>
      <c r="B146" s="78"/>
      <c r="C146" s="78"/>
      <c r="D146" s="78"/>
      <c r="E146" s="78"/>
      <c r="F146" s="78"/>
      <c r="G146" s="78"/>
      <c r="H146" s="78"/>
      <c r="I146" s="45"/>
      <c r="J146" s="45"/>
      <c r="K146" s="45"/>
      <c r="L146" s="45"/>
      <c r="M146" s="45"/>
      <c r="N146" s="45"/>
      <c r="O146" s="45"/>
      <c r="P146" s="45"/>
      <c r="Q146" s="45"/>
      <c r="R146" s="513"/>
      <c r="S146" s="45"/>
    </row>
    <row r="147">
      <c r="A147" s="176"/>
      <c r="B147" s="78"/>
      <c r="C147" s="78"/>
      <c r="D147" s="78"/>
      <c r="E147" s="78"/>
      <c r="F147" s="78"/>
      <c r="G147" s="78"/>
      <c r="H147" s="78"/>
      <c r="I147" s="45"/>
      <c r="J147" s="45"/>
      <c r="K147" s="45"/>
      <c r="L147" s="45"/>
      <c r="M147" s="45"/>
      <c r="N147" s="45"/>
      <c r="O147" s="45"/>
      <c r="P147" s="45"/>
      <c r="Q147" s="45"/>
      <c r="R147" s="513"/>
      <c r="S147" s="45"/>
    </row>
    <row r="148">
      <c r="A148" s="176"/>
      <c r="B148" s="78"/>
      <c r="C148" s="78"/>
      <c r="D148" s="78"/>
      <c r="E148" s="78"/>
      <c r="F148" s="78"/>
      <c r="G148" s="78"/>
      <c r="H148" s="78"/>
      <c r="I148" s="45"/>
      <c r="J148" s="45"/>
      <c r="K148" s="45"/>
      <c r="L148" s="45"/>
      <c r="M148" s="45"/>
      <c r="N148" s="45"/>
      <c r="O148" s="45"/>
      <c r="P148" s="45"/>
      <c r="Q148" s="45"/>
      <c r="R148" s="513"/>
      <c r="S148" s="45"/>
    </row>
    <row r="149">
      <c r="A149" s="176"/>
      <c r="B149" s="78"/>
      <c r="C149" s="78"/>
      <c r="D149" s="78"/>
      <c r="E149" s="78"/>
      <c r="F149" s="78"/>
      <c r="G149" s="78"/>
      <c r="H149" s="78"/>
      <c r="I149" s="45"/>
      <c r="J149" s="45"/>
      <c r="K149" s="45"/>
      <c r="L149" s="45"/>
      <c r="M149" s="45"/>
      <c r="N149" s="45"/>
      <c r="O149" s="45"/>
      <c r="P149" s="45"/>
      <c r="Q149" s="45"/>
      <c r="R149" s="513"/>
      <c r="S149" s="45"/>
    </row>
    <row r="150">
      <c r="A150" s="176"/>
      <c r="B150" s="78"/>
      <c r="C150" s="78"/>
      <c r="D150" s="78"/>
      <c r="E150" s="78"/>
      <c r="F150" s="78"/>
      <c r="G150" s="78"/>
      <c r="H150" s="78"/>
      <c r="I150" s="45"/>
      <c r="J150" s="45"/>
      <c r="K150" s="45"/>
      <c r="L150" s="45"/>
      <c r="M150" s="45"/>
      <c r="N150" s="45"/>
      <c r="O150" s="45"/>
      <c r="P150" s="45"/>
      <c r="Q150" s="45"/>
      <c r="R150" s="513"/>
      <c r="S150" s="45"/>
    </row>
    <row r="151">
      <c r="A151" s="176"/>
      <c r="B151" s="78"/>
      <c r="C151" s="78"/>
      <c r="D151" s="78"/>
      <c r="E151" s="78"/>
      <c r="F151" s="78"/>
      <c r="G151" s="78"/>
      <c r="H151" s="78"/>
      <c r="I151" s="45"/>
      <c r="J151" s="45"/>
      <c r="K151" s="45"/>
      <c r="L151" s="45"/>
      <c r="M151" s="45"/>
      <c r="N151" s="45"/>
      <c r="O151" s="45"/>
      <c r="P151" s="45"/>
      <c r="Q151" s="45"/>
      <c r="R151" s="513"/>
      <c r="S151" s="37"/>
    </row>
    <row r="152">
      <c r="A152" s="176"/>
      <c r="B152" s="78"/>
      <c r="C152" s="78"/>
      <c r="D152" s="78"/>
      <c r="E152" s="78"/>
      <c r="F152" s="78"/>
      <c r="G152" s="78"/>
      <c r="H152" s="78"/>
      <c r="I152" s="45"/>
      <c r="J152" s="45"/>
      <c r="K152" s="45"/>
      <c r="L152" s="45"/>
      <c r="M152" s="45"/>
      <c r="N152" s="45"/>
      <c r="O152" s="45"/>
      <c r="P152" s="45"/>
      <c r="Q152" s="45"/>
      <c r="R152" s="513"/>
      <c r="S152" s="45"/>
    </row>
    <row r="153">
      <c r="A153" s="176"/>
      <c r="B153" s="25"/>
      <c r="C153" s="78"/>
      <c r="D153" s="78"/>
      <c r="E153" s="78"/>
      <c r="F153" s="78"/>
      <c r="G153" s="78"/>
      <c r="H153" s="78"/>
      <c r="I153" s="45"/>
      <c r="J153" s="45"/>
      <c r="K153" s="45"/>
      <c r="L153" s="45"/>
      <c r="M153" s="45"/>
      <c r="N153" s="45"/>
      <c r="O153" s="45"/>
      <c r="P153" s="45"/>
      <c r="Q153" s="45"/>
      <c r="R153" s="513"/>
      <c r="S153" s="45"/>
    </row>
    <row r="154">
      <c r="A154" s="176"/>
      <c r="B154" s="78"/>
      <c r="C154" s="78"/>
      <c r="D154" s="78"/>
      <c r="E154" s="78"/>
      <c r="F154" s="78"/>
      <c r="G154" s="78"/>
      <c r="H154" s="78"/>
      <c r="I154" s="45"/>
      <c r="J154" s="45"/>
      <c r="K154" s="45"/>
      <c r="L154" s="45"/>
      <c r="M154" s="45"/>
      <c r="N154" s="45"/>
      <c r="O154" s="45"/>
      <c r="P154" s="45"/>
      <c r="Q154" s="45"/>
      <c r="R154" s="513"/>
      <c r="S154" s="45"/>
    </row>
    <row r="155">
      <c r="A155" s="176"/>
      <c r="B155" s="78"/>
      <c r="C155" s="78"/>
      <c r="D155" s="78"/>
      <c r="E155" s="78"/>
      <c r="F155" s="78"/>
      <c r="G155" s="78"/>
      <c r="H155" s="78"/>
      <c r="I155" s="45"/>
      <c r="J155" s="45"/>
      <c r="K155" s="45"/>
      <c r="L155" s="45"/>
      <c r="M155" s="45"/>
      <c r="N155" s="45"/>
      <c r="O155" s="45"/>
      <c r="P155" s="45"/>
      <c r="Q155" s="45"/>
      <c r="R155" s="513"/>
      <c r="S155" s="45"/>
    </row>
    <row r="156">
      <c r="A156" s="176"/>
      <c r="B156" s="78"/>
      <c r="C156" s="78"/>
      <c r="D156" s="78"/>
      <c r="E156" s="78"/>
      <c r="F156" s="78"/>
      <c r="G156" s="78"/>
      <c r="H156" s="78"/>
      <c r="I156" s="45"/>
      <c r="J156" s="45"/>
      <c r="K156" s="45"/>
      <c r="L156" s="45"/>
      <c r="M156" s="45"/>
      <c r="N156" s="45"/>
      <c r="O156" s="45"/>
      <c r="P156" s="45"/>
      <c r="Q156" s="45"/>
      <c r="R156" s="513"/>
      <c r="S156" s="45"/>
    </row>
    <row r="157">
      <c r="A157" s="176"/>
      <c r="B157" s="78"/>
      <c r="C157" s="78"/>
      <c r="D157" s="78"/>
      <c r="E157" s="78"/>
      <c r="F157" s="78"/>
      <c r="G157" s="78"/>
      <c r="H157" s="78"/>
      <c r="I157" s="45"/>
      <c r="J157" s="45"/>
      <c r="K157" s="45"/>
      <c r="L157" s="45"/>
      <c r="M157" s="45"/>
      <c r="N157" s="45"/>
      <c r="O157" s="45"/>
      <c r="P157" s="45"/>
      <c r="Q157" s="45"/>
      <c r="R157" s="513"/>
      <c r="S157" s="122"/>
    </row>
    <row r="158">
      <c r="A158" s="176"/>
      <c r="B158" s="78"/>
      <c r="C158" s="78"/>
      <c r="D158" s="78"/>
      <c r="E158" s="78"/>
      <c r="F158" s="78"/>
      <c r="G158" s="78"/>
      <c r="H158" s="78"/>
      <c r="I158" s="45"/>
      <c r="J158" s="45"/>
      <c r="K158" s="45"/>
      <c r="L158" s="45"/>
      <c r="M158" s="45"/>
      <c r="N158" s="45"/>
      <c r="O158" s="45"/>
      <c r="P158" s="45"/>
      <c r="Q158" s="45"/>
      <c r="R158" s="513"/>
      <c r="S158" s="45"/>
    </row>
    <row r="159">
      <c r="A159" s="176"/>
      <c r="B159" s="78"/>
      <c r="C159" s="78"/>
      <c r="D159" s="78"/>
      <c r="E159" s="78"/>
      <c r="F159" s="78"/>
      <c r="G159" s="78"/>
      <c r="H159" s="78"/>
      <c r="I159" s="45"/>
      <c r="J159" s="45"/>
      <c r="K159" s="45"/>
      <c r="L159" s="45"/>
      <c r="M159" s="45"/>
      <c r="N159" s="45"/>
      <c r="O159" s="45"/>
      <c r="P159" s="45"/>
      <c r="Q159" s="45"/>
      <c r="R159" s="513"/>
      <c r="S159" s="45"/>
    </row>
    <row r="160">
      <c r="A160" s="176"/>
      <c r="B160" s="78"/>
      <c r="C160" s="78"/>
      <c r="D160" s="78"/>
      <c r="E160" s="78"/>
      <c r="F160" s="78"/>
      <c r="G160" s="78"/>
      <c r="H160" s="78"/>
      <c r="I160" s="45"/>
      <c r="J160" s="45"/>
      <c r="K160" s="45"/>
      <c r="L160" s="45"/>
      <c r="M160" s="45"/>
      <c r="N160" s="45"/>
      <c r="O160" s="45"/>
      <c r="P160" s="45"/>
      <c r="Q160" s="45"/>
      <c r="R160" s="513"/>
      <c r="S160" s="45"/>
    </row>
    <row r="161">
      <c r="A161" s="176"/>
      <c r="B161" s="78"/>
      <c r="C161" s="78"/>
      <c r="D161" s="78"/>
      <c r="E161" s="78"/>
      <c r="F161" s="78"/>
      <c r="G161" s="78"/>
      <c r="H161" s="78"/>
      <c r="I161" s="45"/>
      <c r="J161" s="45"/>
      <c r="K161" s="45"/>
      <c r="L161" s="45"/>
      <c r="M161" s="45"/>
      <c r="N161" s="45"/>
      <c r="O161" s="45"/>
      <c r="P161" s="45"/>
      <c r="Q161" s="45"/>
      <c r="R161" s="513"/>
      <c r="S161" s="45"/>
    </row>
    <row r="162">
      <c r="A162" s="176"/>
      <c r="B162" s="78"/>
      <c r="C162" s="78"/>
      <c r="D162" s="78"/>
      <c r="E162" s="78"/>
      <c r="F162" s="78"/>
      <c r="G162" s="78"/>
      <c r="H162" s="78"/>
      <c r="I162" s="45"/>
      <c r="J162" s="45"/>
      <c r="K162" s="45"/>
      <c r="L162" s="45"/>
      <c r="M162" s="45"/>
      <c r="N162" s="45"/>
      <c r="O162" s="45"/>
      <c r="P162" s="45"/>
      <c r="Q162" s="45"/>
      <c r="R162" s="513"/>
      <c r="S162" s="45"/>
    </row>
    <row r="163">
      <c r="A163" s="176"/>
      <c r="B163" s="78"/>
      <c r="C163" s="78"/>
      <c r="D163" s="78"/>
      <c r="E163" s="78"/>
      <c r="F163" s="78"/>
      <c r="G163" s="78"/>
      <c r="H163" s="78"/>
      <c r="I163" s="45"/>
      <c r="J163" s="45"/>
      <c r="K163" s="45"/>
      <c r="L163" s="45"/>
      <c r="M163" s="45"/>
      <c r="N163" s="45"/>
      <c r="O163" s="45"/>
      <c r="P163" s="45"/>
      <c r="Q163" s="45"/>
      <c r="R163" s="513"/>
      <c r="S163" s="513"/>
    </row>
    <row r="164">
      <c r="A164" s="176"/>
      <c r="B164" s="78"/>
      <c r="C164" s="78"/>
      <c r="D164" s="78"/>
      <c r="E164" s="78"/>
      <c r="F164" s="78"/>
      <c r="G164" s="78"/>
      <c r="H164" s="78"/>
      <c r="I164" s="45"/>
      <c r="J164" s="45"/>
      <c r="K164" s="45"/>
      <c r="L164" s="45"/>
      <c r="M164" s="45"/>
      <c r="N164" s="45"/>
      <c r="O164" s="45"/>
      <c r="P164" s="45"/>
      <c r="Q164" s="45"/>
      <c r="R164" s="513"/>
      <c r="S164" s="45"/>
    </row>
    <row r="165">
      <c r="A165" s="176"/>
      <c r="B165" s="78"/>
      <c r="C165" s="78"/>
      <c r="D165" s="78"/>
      <c r="E165" s="78"/>
      <c r="F165" s="78"/>
      <c r="G165" s="78"/>
      <c r="H165" s="78"/>
      <c r="I165" s="45"/>
      <c r="J165" s="45"/>
      <c r="K165" s="45"/>
      <c r="L165" s="45"/>
      <c r="M165" s="45"/>
      <c r="N165" s="45"/>
      <c r="O165" s="45"/>
      <c r="P165" s="45"/>
      <c r="Q165" s="45"/>
      <c r="R165" s="513"/>
      <c r="S165" s="45"/>
    </row>
    <row r="166">
      <c r="A166" s="176"/>
      <c r="B166" s="78"/>
      <c r="C166" s="78"/>
      <c r="D166" s="78"/>
      <c r="E166" s="78"/>
      <c r="F166" s="78"/>
      <c r="G166" s="78"/>
      <c r="H166" s="78"/>
      <c r="I166" s="45"/>
      <c r="J166" s="45"/>
      <c r="K166" s="45"/>
      <c r="L166" s="45"/>
      <c r="M166" s="45"/>
      <c r="N166" s="45"/>
      <c r="O166" s="45"/>
      <c r="P166" s="45"/>
      <c r="Q166" s="45"/>
      <c r="R166" s="513"/>
      <c r="S166" s="45"/>
    </row>
    <row r="167">
      <c r="A167" s="176"/>
      <c r="B167" s="78"/>
      <c r="C167" s="78"/>
      <c r="D167" s="78"/>
      <c r="E167" s="78"/>
      <c r="F167" s="78"/>
      <c r="G167" s="78"/>
      <c r="H167" s="78"/>
      <c r="I167" s="45"/>
      <c r="J167" s="45"/>
      <c r="K167" s="45"/>
      <c r="L167" s="45"/>
      <c r="M167" s="45"/>
      <c r="N167" s="45"/>
      <c r="O167" s="45"/>
      <c r="P167" s="45"/>
      <c r="Q167" s="45"/>
      <c r="R167" s="513"/>
      <c r="S167" s="45"/>
    </row>
    <row r="168">
      <c r="A168" s="176"/>
      <c r="B168" s="78"/>
      <c r="C168" s="78"/>
      <c r="D168" s="78"/>
      <c r="E168" s="78"/>
      <c r="F168" s="78"/>
      <c r="G168" s="78"/>
      <c r="H168" s="78"/>
      <c r="I168" s="45"/>
      <c r="J168" s="45"/>
      <c r="K168" s="45"/>
      <c r="L168" s="45"/>
      <c r="M168" s="45"/>
      <c r="N168" s="45"/>
      <c r="O168" s="45"/>
      <c r="P168" s="45"/>
      <c r="Q168" s="45"/>
      <c r="R168" s="513"/>
      <c r="S168" s="45"/>
    </row>
    <row r="169">
      <c r="A169" s="176"/>
      <c r="B169" s="78"/>
      <c r="C169" s="78"/>
      <c r="D169" s="78"/>
      <c r="E169" s="78"/>
      <c r="F169" s="78"/>
      <c r="G169" s="78"/>
      <c r="H169" s="78"/>
      <c r="I169" s="45"/>
      <c r="J169" s="45"/>
      <c r="K169" s="45"/>
      <c r="L169" s="45"/>
      <c r="M169" s="45"/>
      <c r="N169" s="45"/>
      <c r="O169" s="45"/>
      <c r="P169" s="45"/>
      <c r="Q169" s="45"/>
      <c r="R169" s="513"/>
      <c r="S169" s="45"/>
    </row>
    <row r="170">
      <c r="A170" s="176"/>
      <c r="B170" s="78"/>
      <c r="C170" s="78"/>
      <c r="D170" s="78"/>
      <c r="E170" s="78"/>
      <c r="F170" s="78"/>
      <c r="G170" s="78"/>
      <c r="H170" s="78"/>
      <c r="I170" s="45"/>
      <c r="J170" s="45"/>
      <c r="K170" s="45"/>
      <c r="L170" s="45"/>
      <c r="M170" s="45"/>
      <c r="N170" s="45"/>
      <c r="O170" s="45"/>
      <c r="P170" s="45"/>
      <c r="Q170" s="45"/>
      <c r="R170" s="513"/>
      <c r="S170" s="45"/>
    </row>
    <row r="171">
      <c r="A171" s="176"/>
      <c r="B171" s="78"/>
      <c r="C171" s="78"/>
      <c r="D171" s="78"/>
      <c r="E171" s="78"/>
      <c r="F171" s="78"/>
      <c r="G171" s="78"/>
      <c r="H171" s="78"/>
      <c r="I171" s="45"/>
      <c r="J171" s="45"/>
      <c r="K171" s="45"/>
      <c r="L171" s="45"/>
      <c r="M171" s="45"/>
      <c r="N171" s="45"/>
      <c r="O171" s="45"/>
      <c r="P171" s="45"/>
      <c r="Q171" s="45"/>
      <c r="R171" s="513"/>
      <c r="S171" s="45"/>
    </row>
    <row r="172">
      <c r="A172" s="176"/>
      <c r="B172" s="78"/>
      <c r="C172" s="78"/>
      <c r="D172" s="78"/>
      <c r="E172" s="78"/>
      <c r="F172" s="78"/>
      <c r="G172" s="78"/>
      <c r="H172" s="78"/>
      <c r="I172" s="45"/>
      <c r="J172" s="45"/>
      <c r="K172" s="45"/>
      <c r="L172" s="45"/>
      <c r="M172" s="45"/>
      <c r="N172" s="45"/>
      <c r="O172" s="45"/>
      <c r="P172" s="45"/>
      <c r="Q172" s="45"/>
      <c r="R172" s="513"/>
      <c r="S172" s="45"/>
    </row>
    <row r="173">
      <c r="A173" s="176"/>
      <c r="B173" s="78"/>
      <c r="C173" s="78"/>
      <c r="D173" s="78"/>
      <c r="E173" s="78"/>
      <c r="F173" s="78"/>
      <c r="G173" s="78"/>
      <c r="H173" s="78"/>
      <c r="I173" s="45"/>
      <c r="J173" s="45"/>
      <c r="K173" s="45"/>
      <c r="L173" s="45"/>
      <c r="M173" s="45"/>
      <c r="N173" s="45"/>
      <c r="O173" s="45"/>
      <c r="P173" s="45"/>
      <c r="Q173" s="45"/>
      <c r="R173" s="513"/>
      <c r="S173" s="45"/>
    </row>
    <row r="174">
      <c r="A174" s="176"/>
      <c r="B174" s="78"/>
      <c r="C174" s="78"/>
      <c r="D174" s="78"/>
      <c r="E174" s="78"/>
      <c r="F174" s="78"/>
      <c r="G174" s="78"/>
      <c r="H174" s="78"/>
      <c r="I174" s="45"/>
      <c r="J174" s="45"/>
      <c r="K174" s="45"/>
      <c r="L174" s="45"/>
      <c r="M174" s="45"/>
      <c r="N174" s="45"/>
      <c r="O174" s="45"/>
      <c r="P174" s="45"/>
      <c r="Q174" s="45"/>
      <c r="R174" s="513"/>
      <c r="S174" s="45"/>
    </row>
    <row r="175">
      <c r="A175" s="176"/>
      <c r="B175" s="78"/>
      <c r="C175" s="78"/>
      <c r="D175" s="78"/>
      <c r="E175" s="78"/>
      <c r="F175" s="78"/>
      <c r="G175" s="78"/>
      <c r="H175" s="78"/>
      <c r="I175" s="45"/>
      <c r="J175" s="45"/>
      <c r="K175" s="45"/>
      <c r="L175" s="45"/>
      <c r="M175" s="45"/>
      <c r="N175" s="45"/>
      <c r="O175" s="45"/>
      <c r="P175" s="45"/>
      <c r="Q175" s="45"/>
      <c r="R175" s="513"/>
      <c r="S175" s="45"/>
    </row>
    <row r="176">
      <c r="A176" s="176"/>
      <c r="B176" s="78"/>
      <c r="C176" s="78"/>
      <c r="D176" s="78"/>
      <c r="E176" s="78"/>
      <c r="F176" s="78"/>
      <c r="G176" s="78"/>
      <c r="H176" s="78"/>
      <c r="I176" s="45"/>
      <c r="J176" s="45"/>
      <c r="K176" s="45"/>
      <c r="L176" s="45"/>
      <c r="M176" s="45"/>
      <c r="N176" s="45"/>
      <c r="O176" s="45"/>
      <c r="P176" s="45"/>
      <c r="Q176" s="45"/>
      <c r="R176" s="513"/>
      <c r="S176" s="45"/>
    </row>
    <row r="177">
      <c r="A177" s="176"/>
      <c r="B177" s="78"/>
      <c r="C177" s="78"/>
      <c r="D177" s="274"/>
      <c r="E177" s="274"/>
      <c r="F177" s="274"/>
      <c r="G177" s="274"/>
      <c r="H177" s="274"/>
      <c r="I177" s="45"/>
      <c r="J177" s="45"/>
      <c r="K177" s="45"/>
      <c r="L177" s="45"/>
      <c r="M177" s="45"/>
      <c r="N177" s="45"/>
      <c r="O177" s="45"/>
      <c r="P177" s="45"/>
      <c r="Q177" s="45"/>
      <c r="R177" s="513"/>
      <c r="S177" s="45"/>
    </row>
    <row r="178">
      <c r="A178" s="176"/>
      <c r="B178" s="78"/>
      <c r="C178" s="78"/>
      <c r="D178" s="78"/>
      <c r="E178" s="78"/>
      <c r="F178" s="78"/>
      <c r="G178" s="78"/>
      <c r="H178" s="78"/>
      <c r="I178" s="45"/>
      <c r="J178" s="45"/>
      <c r="K178" s="45"/>
      <c r="L178" s="45"/>
      <c r="M178" s="45"/>
      <c r="N178" s="45"/>
      <c r="O178" s="45"/>
      <c r="P178" s="45"/>
      <c r="Q178" s="45"/>
      <c r="R178" s="513"/>
      <c r="S178" s="45"/>
    </row>
    <row r="179">
      <c r="A179" s="176"/>
      <c r="B179" s="78"/>
      <c r="C179" s="78"/>
      <c r="D179" s="78"/>
      <c r="E179" s="78"/>
      <c r="F179" s="78"/>
      <c r="G179" s="78"/>
      <c r="H179" s="78"/>
      <c r="I179" s="45"/>
      <c r="J179" s="45"/>
      <c r="K179" s="45"/>
      <c r="L179" s="45"/>
      <c r="M179" s="45"/>
      <c r="N179" s="45"/>
      <c r="O179" s="45"/>
      <c r="P179" s="45"/>
      <c r="Q179" s="45"/>
      <c r="R179" s="513"/>
      <c r="S179" s="45"/>
    </row>
    <row r="180">
      <c r="A180" s="176"/>
      <c r="B180" s="25"/>
      <c r="C180" s="78"/>
      <c r="D180" s="78"/>
      <c r="E180" s="78"/>
      <c r="F180" s="78"/>
      <c r="G180" s="78"/>
      <c r="H180" s="78"/>
      <c r="I180" s="45"/>
      <c r="J180" s="45"/>
      <c r="K180" s="45"/>
      <c r="L180" s="45"/>
      <c r="M180" s="45"/>
      <c r="N180" s="45"/>
      <c r="O180" s="45"/>
      <c r="P180" s="45"/>
      <c r="Q180" s="45"/>
      <c r="R180" s="513"/>
      <c r="S180" s="45"/>
    </row>
    <row r="181">
      <c r="A181" s="176"/>
      <c r="B181" s="78"/>
      <c r="C181" s="78"/>
      <c r="D181" s="78"/>
      <c r="E181" s="78"/>
      <c r="F181" s="78"/>
      <c r="G181" s="78"/>
      <c r="H181" s="78"/>
      <c r="I181" s="45"/>
      <c r="J181" s="45"/>
      <c r="K181" s="45"/>
      <c r="L181" s="45"/>
      <c r="M181" s="45"/>
      <c r="N181" s="45"/>
      <c r="O181" s="45"/>
      <c r="P181" s="45"/>
      <c r="Q181" s="45"/>
      <c r="R181" s="513"/>
      <c r="S181" s="45"/>
    </row>
    <row r="182">
      <c r="A182" s="176"/>
      <c r="B182" s="78"/>
      <c r="C182" s="78"/>
      <c r="D182" s="78"/>
      <c r="E182" s="78"/>
      <c r="F182" s="78"/>
      <c r="G182" s="78"/>
      <c r="H182" s="78"/>
      <c r="I182" s="45"/>
      <c r="J182" s="45"/>
      <c r="K182" s="45"/>
      <c r="L182" s="45"/>
      <c r="M182" s="45"/>
      <c r="N182" s="45"/>
      <c r="O182" s="45"/>
      <c r="P182" s="45"/>
      <c r="Q182" s="45"/>
      <c r="R182" s="513"/>
      <c r="S182" s="45"/>
    </row>
    <row r="183">
      <c r="A183" s="176"/>
      <c r="B183" s="78"/>
      <c r="C183" s="78"/>
      <c r="D183" s="78"/>
      <c r="E183" s="78"/>
      <c r="F183" s="78"/>
      <c r="G183" s="78"/>
      <c r="H183" s="78"/>
      <c r="I183" s="45"/>
      <c r="J183" s="45"/>
      <c r="K183" s="45"/>
      <c r="L183" s="45"/>
      <c r="M183" s="45"/>
      <c r="N183" s="45"/>
      <c r="O183" s="45"/>
      <c r="P183" s="45"/>
      <c r="Q183" s="45"/>
      <c r="R183" s="513"/>
      <c r="S183" s="45"/>
    </row>
    <row r="184">
      <c r="A184" s="176"/>
      <c r="B184" s="78"/>
      <c r="C184" s="78"/>
      <c r="D184" s="78"/>
      <c r="E184" s="78"/>
      <c r="F184" s="78"/>
      <c r="G184" s="78"/>
      <c r="H184" s="78"/>
      <c r="I184" s="45"/>
      <c r="J184" s="45"/>
      <c r="K184" s="45"/>
      <c r="L184" s="45"/>
      <c r="M184" s="45"/>
      <c r="N184" s="45"/>
      <c r="O184" s="45"/>
      <c r="P184" s="45"/>
      <c r="Q184" s="45"/>
      <c r="R184" s="513"/>
      <c r="S184" s="45"/>
    </row>
    <row r="185">
      <c r="A185" s="176"/>
      <c r="B185" s="78"/>
      <c r="C185" s="78"/>
      <c r="D185" s="78"/>
      <c r="E185" s="78"/>
      <c r="F185" s="78"/>
      <c r="G185" s="78"/>
      <c r="H185" s="78"/>
      <c r="I185" s="45"/>
      <c r="J185" s="45"/>
      <c r="K185" s="45"/>
      <c r="L185" s="45"/>
      <c r="M185" s="45"/>
      <c r="N185" s="45"/>
      <c r="O185" s="45"/>
      <c r="P185" s="45"/>
      <c r="Q185" s="45"/>
      <c r="R185" s="513"/>
      <c r="S185" s="45"/>
    </row>
    <row r="186">
      <c r="A186" s="176"/>
      <c r="B186" s="78"/>
      <c r="C186" s="78"/>
      <c r="D186" s="78"/>
      <c r="E186" s="78"/>
      <c r="F186" s="78"/>
      <c r="G186" s="78"/>
      <c r="H186" s="78"/>
      <c r="I186" s="45"/>
      <c r="J186" s="45"/>
      <c r="K186" s="45"/>
      <c r="L186" s="45"/>
      <c r="M186" s="45"/>
      <c r="N186" s="45"/>
      <c r="O186" s="45"/>
      <c r="P186" s="45"/>
      <c r="Q186" s="45"/>
      <c r="R186" s="513"/>
      <c r="S186" s="45"/>
    </row>
    <row r="187">
      <c r="A187" s="176"/>
      <c r="B187" s="78"/>
      <c r="C187" s="78"/>
      <c r="D187" s="78"/>
      <c r="E187" s="78"/>
      <c r="F187" s="78"/>
      <c r="G187" s="78"/>
      <c r="H187" s="78"/>
      <c r="I187" s="45"/>
      <c r="J187" s="45"/>
      <c r="K187" s="45"/>
      <c r="L187" s="45"/>
      <c r="M187" s="45"/>
      <c r="N187" s="45"/>
      <c r="O187" s="45"/>
      <c r="P187" s="45"/>
      <c r="Q187" s="45"/>
      <c r="R187" s="513"/>
      <c r="S187" s="45"/>
    </row>
    <row r="188">
      <c r="A188" s="176"/>
      <c r="B188" s="78"/>
      <c r="C188" s="78"/>
      <c r="D188" s="78"/>
      <c r="E188" s="78"/>
      <c r="F188" s="78"/>
      <c r="G188" s="78"/>
      <c r="H188" s="78"/>
      <c r="I188" s="45"/>
      <c r="J188" s="45"/>
      <c r="K188" s="45"/>
      <c r="L188" s="45"/>
      <c r="M188" s="45"/>
      <c r="N188" s="45"/>
      <c r="O188" s="45"/>
      <c r="P188" s="45"/>
      <c r="Q188" s="45"/>
      <c r="R188" s="513"/>
      <c r="S188" s="45"/>
    </row>
    <row r="189">
      <c r="A189" s="176"/>
      <c r="B189" s="78"/>
      <c r="C189" s="78"/>
      <c r="D189" s="78"/>
      <c r="E189" s="78"/>
      <c r="F189" s="78"/>
      <c r="G189" s="78"/>
      <c r="H189" s="78"/>
      <c r="I189" s="45"/>
      <c r="J189" s="45"/>
      <c r="K189" s="45"/>
      <c r="L189" s="45"/>
      <c r="M189" s="45"/>
      <c r="N189" s="45"/>
      <c r="O189" s="45"/>
      <c r="P189" s="45"/>
      <c r="Q189" s="45"/>
      <c r="R189" s="513"/>
      <c r="S189" s="45"/>
    </row>
    <row r="190">
      <c r="A190" s="176"/>
      <c r="B190" s="78"/>
      <c r="C190" s="78"/>
      <c r="D190" s="78"/>
      <c r="E190" s="78"/>
      <c r="F190" s="78"/>
      <c r="G190" s="78"/>
      <c r="H190" s="78"/>
      <c r="I190" s="45"/>
      <c r="J190" s="45"/>
      <c r="K190" s="45"/>
      <c r="L190" s="45"/>
      <c r="M190" s="45"/>
      <c r="N190" s="45"/>
      <c r="O190" s="45"/>
      <c r="P190" s="45"/>
      <c r="Q190" s="45"/>
      <c r="R190" s="513"/>
      <c r="S190" s="45"/>
    </row>
    <row r="191">
      <c r="A191" s="176"/>
      <c r="B191" s="78"/>
      <c r="C191" s="78"/>
      <c r="D191" s="78"/>
      <c r="E191" s="78"/>
      <c r="F191" s="78"/>
      <c r="G191" s="78"/>
      <c r="H191" s="78"/>
      <c r="I191" s="45"/>
      <c r="J191" s="45"/>
      <c r="K191" s="45"/>
      <c r="L191" s="45"/>
      <c r="M191" s="45"/>
      <c r="N191" s="45"/>
      <c r="O191" s="45"/>
      <c r="P191" s="45"/>
      <c r="Q191" s="45"/>
      <c r="R191" s="513"/>
      <c r="S191" s="45"/>
    </row>
    <row r="192">
      <c r="A192" s="176"/>
      <c r="B192" s="78"/>
      <c r="C192" s="78"/>
      <c r="D192" s="78"/>
      <c r="E192" s="78"/>
      <c r="F192" s="78"/>
      <c r="G192" s="78"/>
      <c r="H192" s="78"/>
      <c r="I192" s="45"/>
      <c r="J192" s="45"/>
      <c r="K192" s="45"/>
      <c r="L192" s="45"/>
      <c r="M192" s="45"/>
      <c r="N192" s="45"/>
      <c r="O192" s="45"/>
      <c r="P192" s="45"/>
      <c r="Q192" s="45"/>
      <c r="R192" s="513"/>
      <c r="S192" s="45"/>
    </row>
    <row r="193">
      <c r="A193" s="176"/>
      <c r="B193" s="78"/>
      <c r="C193" s="78"/>
      <c r="D193" s="78"/>
      <c r="E193" s="78"/>
      <c r="F193" s="78"/>
      <c r="G193" s="78"/>
      <c r="H193" s="78"/>
      <c r="I193" s="45"/>
      <c r="J193" s="45"/>
      <c r="K193" s="45"/>
      <c r="L193" s="45"/>
      <c r="M193" s="45"/>
      <c r="N193" s="45"/>
      <c r="O193" s="45"/>
      <c r="P193" s="45"/>
      <c r="Q193" s="45"/>
      <c r="R193" s="513"/>
      <c r="S193" s="45"/>
    </row>
    <row r="194">
      <c r="A194" s="176"/>
      <c r="B194" s="78"/>
      <c r="C194" s="78"/>
      <c r="D194" s="78"/>
      <c r="E194" s="78"/>
      <c r="F194" s="78"/>
      <c r="G194" s="78"/>
      <c r="H194" s="78"/>
      <c r="I194" s="45"/>
      <c r="J194" s="45"/>
      <c r="K194" s="45"/>
      <c r="L194" s="45"/>
      <c r="M194" s="45"/>
      <c r="N194" s="45"/>
      <c r="O194" s="45"/>
      <c r="P194" s="45"/>
      <c r="Q194" s="45"/>
      <c r="R194" s="513"/>
      <c r="S194" s="45"/>
    </row>
    <row r="195">
      <c r="A195" s="176"/>
      <c r="B195" s="78"/>
      <c r="C195" s="78"/>
      <c r="D195" s="78"/>
      <c r="E195" s="78"/>
      <c r="F195" s="78"/>
      <c r="G195" s="78"/>
      <c r="H195" s="78"/>
      <c r="I195" s="45"/>
      <c r="J195" s="45"/>
      <c r="K195" s="45"/>
      <c r="L195" s="45"/>
      <c r="M195" s="45"/>
      <c r="N195" s="45"/>
      <c r="O195" s="45"/>
      <c r="P195" s="45"/>
      <c r="Q195" s="45"/>
      <c r="R195" s="513"/>
      <c r="S195" s="45"/>
    </row>
    <row r="196">
      <c r="A196" s="176"/>
      <c r="B196" s="78"/>
      <c r="C196" s="78"/>
      <c r="D196" s="78"/>
      <c r="E196" s="78"/>
      <c r="F196" s="78"/>
      <c r="G196" s="78"/>
      <c r="H196" s="78"/>
      <c r="I196" s="45"/>
      <c r="J196" s="45"/>
      <c r="K196" s="45"/>
      <c r="L196" s="45"/>
      <c r="M196" s="45"/>
      <c r="N196" s="45"/>
      <c r="O196" s="45"/>
      <c r="P196" s="45"/>
      <c r="Q196" s="45"/>
      <c r="R196" s="513"/>
      <c r="S196" s="45"/>
    </row>
    <row r="197">
      <c r="A197" s="176"/>
      <c r="B197" s="78"/>
      <c r="C197" s="78"/>
      <c r="D197" s="78"/>
      <c r="E197" s="78"/>
      <c r="F197" s="78"/>
      <c r="G197" s="78"/>
      <c r="H197" s="78"/>
      <c r="I197" s="45"/>
      <c r="J197" s="45"/>
      <c r="K197" s="45"/>
      <c r="L197" s="45"/>
      <c r="M197" s="45"/>
      <c r="N197" s="45"/>
      <c r="O197" s="45"/>
      <c r="P197" s="45"/>
      <c r="Q197" s="45"/>
      <c r="R197" s="513"/>
      <c r="S197" s="45"/>
    </row>
    <row r="198">
      <c r="A198" s="176"/>
      <c r="B198" s="78"/>
      <c r="C198" s="78"/>
      <c r="D198" s="78"/>
      <c r="E198" s="78"/>
      <c r="F198" s="78"/>
      <c r="G198" s="78"/>
      <c r="H198" s="78"/>
      <c r="I198" s="45"/>
      <c r="J198" s="45"/>
      <c r="K198" s="45"/>
      <c r="L198" s="45"/>
      <c r="M198" s="45"/>
      <c r="N198" s="45"/>
      <c r="O198" s="45"/>
      <c r="P198" s="45"/>
      <c r="Q198" s="45"/>
      <c r="R198" s="513"/>
      <c r="S198" s="45"/>
    </row>
    <row r="199">
      <c r="A199" s="176"/>
      <c r="B199" s="78"/>
      <c r="C199" s="78"/>
      <c r="D199" s="78"/>
      <c r="E199" s="78"/>
      <c r="F199" s="78"/>
      <c r="G199" s="78"/>
      <c r="H199" s="78"/>
      <c r="I199" s="45"/>
      <c r="J199" s="45"/>
      <c r="K199" s="45"/>
      <c r="L199" s="45"/>
      <c r="M199" s="45"/>
      <c r="N199" s="45"/>
      <c r="O199" s="45"/>
      <c r="P199" s="45"/>
      <c r="Q199" s="45"/>
      <c r="R199" s="513"/>
      <c r="S199" s="45"/>
    </row>
    <row r="200">
      <c r="A200" s="176"/>
      <c r="B200" s="78"/>
      <c r="C200" s="78"/>
      <c r="D200" s="78"/>
      <c r="E200" s="78"/>
      <c r="F200" s="78"/>
      <c r="G200" s="78"/>
      <c r="H200" s="78"/>
      <c r="I200" s="45"/>
      <c r="J200" s="45"/>
      <c r="K200" s="45"/>
      <c r="L200" s="45"/>
      <c r="M200" s="45"/>
      <c r="N200" s="45"/>
      <c r="O200" s="45"/>
      <c r="P200" s="45"/>
      <c r="Q200" s="45"/>
      <c r="R200" s="513"/>
      <c r="S200" s="45"/>
    </row>
    <row r="201">
      <c r="A201" s="176"/>
      <c r="B201" s="78"/>
      <c r="C201" s="78"/>
      <c r="D201" s="709"/>
      <c r="E201" s="709"/>
      <c r="F201" s="709"/>
      <c r="G201" s="709"/>
      <c r="H201" s="709"/>
      <c r="I201" s="45"/>
      <c r="J201" s="45"/>
      <c r="K201" s="45"/>
      <c r="L201" s="45"/>
      <c r="M201" s="45"/>
      <c r="N201" s="45"/>
      <c r="O201" s="45"/>
      <c r="P201" s="45"/>
      <c r="Q201" s="45"/>
      <c r="R201" s="513"/>
      <c r="S201" s="710"/>
    </row>
    <row r="202">
      <c r="A202" s="176"/>
      <c r="B202" s="78"/>
      <c r="C202" s="78"/>
      <c r="D202" s="78"/>
      <c r="E202" s="78"/>
      <c r="F202" s="78"/>
      <c r="G202" s="78"/>
      <c r="H202" s="78"/>
      <c r="I202" s="45"/>
      <c r="J202" s="45"/>
      <c r="K202" s="45"/>
      <c r="L202" s="45"/>
      <c r="M202" s="45"/>
      <c r="N202" s="45"/>
      <c r="O202" s="45"/>
      <c r="P202" s="45"/>
      <c r="Q202" s="45"/>
      <c r="R202" s="202"/>
      <c r="S202" s="72"/>
    </row>
    <row r="203">
      <c r="A203" s="176"/>
      <c r="B203" s="78"/>
      <c r="C203" s="78"/>
      <c r="D203" s="78"/>
      <c r="E203" s="78"/>
      <c r="F203" s="78"/>
      <c r="G203" s="78"/>
      <c r="H203" s="78"/>
      <c r="I203" s="45"/>
      <c r="J203" s="45"/>
      <c r="K203" s="45"/>
      <c r="L203" s="45"/>
      <c r="M203" s="45"/>
      <c r="N203" s="45"/>
      <c r="O203" s="45"/>
      <c r="P203" s="45"/>
      <c r="Q203" s="45"/>
      <c r="R203" s="202"/>
      <c r="S203" s="72"/>
    </row>
    <row r="204">
      <c r="A204" s="176"/>
      <c r="B204" s="78"/>
      <c r="C204" s="78"/>
      <c r="D204" s="78"/>
      <c r="E204" s="78"/>
      <c r="F204" s="78"/>
      <c r="G204" s="78"/>
      <c r="H204" s="78"/>
      <c r="I204" s="45"/>
      <c r="J204" s="45"/>
      <c r="K204" s="45"/>
      <c r="L204" s="45"/>
      <c r="M204" s="45"/>
      <c r="N204" s="45"/>
      <c r="O204" s="45"/>
      <c r="P204" s="45"/>
      <c r="Q204" s="45"/>
      <c r="R204" s="711"/>
      <c r="S204" s="45"/>
    </row>
    <row r="205">
      <c r="A205" s="176"/>
      <c r="B205" s="78"/>
      <c r="C205" s="78"/>
      <c r="D205" s="78"/>
      <c r="E205" s="78"/>
      <c r="F205" s="78"/>
      <c r="G205" s="78"/>
      <c r="H205" s="78"/>
      <c r="I205" s="45"/>
      <c r="J205" s="45"/>
      <c r="K205" s="45"/>
      <c r="L205" s="45"/>
      <c r="M205" s="45"/>
      <c r="N205" s="45"/>
      <c r="O205" s="45"/>
      <c r="P205" s="45"/>
      <c r="Q205" s="45"/>
      <c r="R205" s="202"/>
      <c r="S205" s="45"/>
    </row>
    <row r="206">
      <c r="A206" s="176"/>
      <c r="B206" s="78"/>
      <c r="C206" s="78"/>
      <c r="D206" s="78"/>
      <c r="E206" s="78"/>
      <c r="F206" s="78"/>
      <c r="G206" s="78"/>
      <c r="H206" s="78"/>
      <c r="I206" s="45"/>
      <c r="J206" s="45"/>
      <c r="K206" s="45"/>
      <c r="L206" s="45"/>
      <c r="M206" s="45"/>
      <c r="N206" s="45"/>
      <c r="O206" s="45"/>
      <c r="P206" s="45"/>
      <c r="Q206" s="45"/>
      <c r="R206" s="202"/>
      <c r="S206" s="45"/>
    </row>
    <row r="207">
      <c r="A207" s="176"/>
      <c r="B207" s="78"/>
      <c r="C207" s="78"/>
      <c r="D207" s="78"/>
      <c r="E207" s="78"/>
      <c r="F207" s="78"/>
      <c r="G207" s="78"/>
      <c r="H207" s="78"/>
      <c r="I207" s="45"/>
      <c r="J207" s="45"/>
      <c r="K207" s="45"/>
      <c r="L207" s="45"/>
      <c r="M207" s="45"/>
      <c r="N207" s="45"/>
      <c r="O207" s="45"/>
      <c r="P207" s="45"/>
      <c r="Q207" s="45"/>
      <c r="R207" s="202"/>
      <c r="S207" s="45"/>
    </row>
    <row r="208">
      <c r="A208" s="176"/>
      <c r="B208" s="78"/>
      <c r="C208" s="78"/>
      <c r="D208" s="78"/>
      <c r="E208" s="78"/>
      <c r="F208" s="78"/>
      <c r="G208" s="78"/>
      <c r="H208" s="78"/>
      <c r="I208" s="45"/>
      <c r="J208" s="45"/>
      <c r="K208" s="45"/>
      <c r="L208" s="45"/>
      <c r="M208" s="45"/>
      <c r="N208" s="45"/>
      <c r="O208" s="45"/>
      <c r="P208" s="45"/>
      <c r="Q208" s="45"/>
      <c r="R208" s="202"/>
      <c r="S208" s="45"/>
    </row>
    <row r="209">
      <c r="A209" s="176"/>
      <c r="B209" s="25"/>
      <c r="C209" s="78"/>
      <c r="D209" s="78"/>
      <c r="E209" s="78"/>
      <c r="F209" s="78"/>
      <c r="G209" s="78"/>
      <c r="H209" s="78"/>
      <c r="I209" s="45"/>
      <c r="J209" s="45"/>
      <c r="K209" s="45"/>
      <c r="L209" s="45"/>
      <c r="M209" s="45"/>
      <c r="N209" s="45"/>
      <c r="O209" s="45"/>
      <c r="P209" s="45"/>
      <c r="Q209" s="45"/>
      <c r="R209" s="202"/>
      <c r="S209" s="45"/>
    </row>
    <row r="210">
      <c r="A210" s="176"/>
      <c r="B210" s="78"/>
      <c r="C210" s="78"/>
      <c r="D210" s="78"/>
      <c r="E210" s="78"/>
      <c r="F210" s="78"/>
      <c r="G210" s="78"/>
      <c r="H210" s="78"/>
      <c r="I210" s="45"/>
      <c r="J210" s="45"/>
      <c r="K210" s="45"/>
      <c r="L210" s="45"/>
      <c r="M210" s="45"/>
      <c r="N210" s="45"/>
      <c r="O210" s="45"/>
      <c r="P210" s="45"/>
      <c r="Q210" s="45"/>
      <c r="R210" s="202"/>
      <c r="S210" s="45"/>
    </row>
    <row r="211">
      <c r="A211" s="176"/>
      <c r="B211" s="78"/>
      <c r="C211" s="78"/>
      <c r="D211" s="78"/>
      <c r="E211" s="78"/>
      <c r="F211" s="78"/>
      <c r="G211" s="78"/>
      <c r="H211" s="78"/>
      <c r="I211" s="45"/>
      <c r="J211" s="45"/>
      <c r="K211" s="45"/>
      <c r="L211" s="45"/>
      <c r="M211" s="45"/>
      <c r="N211" s="45"/>
      <c r="O211" s="45"/>
      <c r="P211" s="45"/>
      <c r="Q211" s="45"/>
      <c r="R211" s="202"/>
      <c r="S211" s="45"/>
    </row>
    <row r="212">
      <c r="A212" s="176"/>
      <c r="B212" s="25"/>
      <c r="C212" s="78"/>
      <c r="D212" s="78"/>
      <c r="E212" s="78"/>
      <c r="F212" s="78"/>
      <c r="G212" s="78"/>
      <c r="H212" s="78"/>
      <c r="I212" s="45"/>
      <c r="J212" s="45"/>
      <c r="K212" s="45"/>
      <c r="L212" s="45"/>
      <c r="M212" s="45"/>
      <c r="N212" s="45"/>
      <c r="O212" s="45"/>
      <c r="P212" s="45"/>
      <c r="Q212" s="45"/>
      <c r="R212" s="202"/>
      <c r="S212" s="45"/>
    </row>
    <row r="213">
      <c r="A213" s="176"/>
      <c r="B213" s="78"/>
      <c r="C213" s="78"/>
      <c r="D213" s="78"/>
      <c r="E213" s="78"/>
      <c r="F213" s="78"/>
      <c r="G213" s="78"/>
      <c r="H213" s="78"/>
      <c r="I213" s="45"/>
      <c r="J213" s="45"/>
      <c r="K213" s="45"/>
      <c r="L213" s="45"/>
      <c r="M213" s="45"/>
      <c r="N213" s="45"/>
      <c r="O213" s="45"/>
      <c r="P213" s="45"/>
      <c r="Q213" s="45"/>
      <c r="R213" s="202"/>
      <c r="S213" s="45"/>
    </row>
    <row r="214">
      <c r="A214" s="176"/>
      <c r="B214" s="78"/>
      <c r="C214" s="78"/>
      <c r="D214" s="78"/>
      <c r="E214" s="78"/>
      <c r="F214" s="78"/>
      <c r="G214" s="78"/>
      <c r="H214" s="78"/>
      <c r="I214" s="45"/>
      <c r="J214" s="45"/>
      <c r="K214" s="45"/>
      <c r="L214" s="45"/>
      <c r="M214" s="45"/>
      <c r="N214" s="45"/>
      <c r="O214" s="45"/>
      <c r="P214" s="45"/>
      <c r="Q214" s="45"/>
      <c r="R214" s="202"/>
      <c r="S214" s="45"/>
    </row>
    <row r="215">
      <c r="A215" s="176"/>
      <c r="B215" s="25"/>
      <c r="C215" s="78"/>
      <c r="D215" s="78"/>
      <c r="E215" s="78"/>
      <c r="F215" s="78"/>
      <c r="G215" s="78"/>
      <c r="H215" s="78"/>
      <c r="I215" s="45"/>
      <c r="J215" s="45"/>
      <c r="K215" s="45"/>
      <c r="L215" s="45"/>
      <c r="M215" s="45"/>
      <c r="N215" s="45"/>
      <c r="O215" s="45"/>
      <c r="P215" s="45"/>
      <c r="Q215" s="45"/>
      <c r="R215" s="202"/>
      <c r="S215" s="45"/>
    </row>
    <row r="216">
      <c r="A216" s="176"/>
      <c r="B216" s="78"/>
      <c r="C216" s="78"/>
      <c r="D216" s="78"/>
      <c r="E216" s="78"/>
      <c r="F216" s="78"/>
      <c r="G216" s="78"/>
      <c r="H216" s="78"/>
      <c r="I216" s="45"/>
      <c r="J216" s="45"/>
      <c r="K216" s="45"/>
      <c r="L216" s="45"/>
      <c r="M216" s="45"/>
      <c r="N216" s="45"/>
      <c r="O216" s="45"/>
      <c r="P216" s="45"/>
      <c r="Q216" s="45"/>
      <c r="R216" s="202"/>
      <c r="S216" s="45"/>
    </row>
    <row r="217">
      <c r="A217" s="176"/>
      <c r="B217" s="25"/>
      <c r="C217" s="78"/>
      <c r="D217" s="78"/>
      <c r="E217" s="78"/>
      <c r="F217" s="78"/>
      <c r="G217" s="78"/>
      <c r="H217" s="78"/>
      <c r="I217" s="45"/>
      <c r="J217" s="45"/>
      <c r="K217" s="45"/>
      <c r="L217" s="45"/>
      <c r="M217" s="45"/>
      <c r="N217" s="45"/>
      <c r="O217" s="45"/>
      <c r="P217" s="45"/>
      <c r="Q217" s="45"/>
      <c r="R217" s="202"/>
      <c r="S217" s="45"/>
    </row>
    <row r="218">
      <c r="A218" s="176"/>
      <c r="B218" s="25"/>
      <c r="C218" s="78"/>
      <c r="D218" s="78"/>
      <c r="E218" s="78"/>
      <c r="F218" s="78"/>
      <c r="G218" s="78"/>
      <c r="H218" s="78"/>
      <c r="I218" s="45"/>
      <c r="J218" s="45"/>
      <c r="K218" s="45"/>
      <c r="L218" s="45"/>
      <c r="M218" s="45"/>
      <c r="N218" s="45"/>
      <c r="O218" s="45"/>
      <c r="P218" s="45"/>
      <c r="Q218" s="45"/>
      <c r="R218" s="202"/>
      <c r="S218" s="45"/>
    </row>
    <row r="219">
      <c r="A219" s="176"/>
      <c r="B219" s="78"/>
      <c r="C219" s="78"/>
      <c r="D219" s="78"/>
      <c r="E219" s="78"/>
      <c r="F219" s="78"/>
      <c r="G219" s="78"/>
      <c r="H219" s="78"/>
      <c r="I219" s="45"/>
      <c r="J219" s="45"/>
      <c r="K219" s="45"/>
      <c r="L219" s="45"/>
      <c r="M219" s="45"/>
      <c r="N219" s="45"/>
      <c r="O219" s="45"/>
      <c r="P219" s="45"/>
      <c r="Q219" s="45"/>
      <c r="R219" s="202"/>
      <c r="S219" s="45"/>
    </row>
    <row r="220">
      <c r="A220" s="176"/>
      <c r="B220" s="78"/>
      <c r="C220" s="78"/>
      <c r="D220" s="78"/>
      <c r="E220" s="78"/>
      <c r="F220" s="78"/>
      <c r="G220" s="78"/>
      <c r="H220" s="78"/>
      <c r="I220" s="45"/>
      <c r="J220" s="45"/>
      <c r="K220" s="45"/>
      <c r="L220" s="45"/>
      <c r="M220" s="45"/>
      <c r="N220" s="45"/>
      <c r="O220" s="45"/>
      <c r="P220" s="45"/>
      <c r="Q220" s="45"/>
      <c r="R220" s="202"/>
      <c r="S220" s="45"/>
    </row>
    <row r="221">
      <c r="A221" s="176"/>
      <c r="B221" s="78"/>
      <c r="C221" s="78"/>
      <c r="D221" s="78"/>
      <c r="E221" s="78"/>
      <c r="F221" s="78"/>
      <c r="G221" s="78"/>
      <c r="H221" s="78"/>
      <c r="I221" s="45"/>
      <c r="J221" s="45"/>
      <c r="K221" s="45"/>
      <c r="L221" s="45"/>
      <c r="M221" s="45"/>
      <c r="N221" s="45"/>
      <c r="O221" s="45"/>
      <c r="P221" s="45"/>
      <c r="Q221" s="45"/>
      <c r="R221" s="202"/>
      <c r="S221" s="45"/>
    </row>
    <row r="222">
      <c r="A222" s="176"/>
      <c r="B222" s="78"/>
      <c r="C222" s="78"/>
      <c r="D222" s="78"/>
      <c r="E222" s="78"/>
      <c r="F222" s="78"/>
      <c r="G222" s="78"/>
      <c r="H222" s="78"/>
      <c r="I222" s="45"/>
      <c r="J222" s="45"/>
      <c r="K222" s="45"/>
      <c r="L222" s="45"/>
      <c r="M222" s="45"/>
      <c r="N222" s="45"/>
      <c r="O222" s="45"/>
      <c r="P222" s="45"/>
      <c r="Q222" s="45"/>
      <c r="R222" s="202"/>
      <c r="S222" s="45"/>
    </row>
    <row r="223">
      <c r="A223" s="176"/>
      <c r="B223" s="78"/>
      <c r="C223" s="78"/>
      <c r="D223" s="78"/>
      <c r="E223" s="78"/>
      <c r="F223" s="78"/>
      <c r="G223" s="78"/>
      <c r="H223" s="78"/>
      <c r="I223" s="45"/>
      <c r="J223" s="45"/>
      <c r="K223" s="45"/>
      <c r="L223" s="45"/>
      <c r="M223" s="45"/>
      <c r="N223" s="45"/>
      <c r="O223" s="45"/>
      <c r="P223" s="45"/>
      <c r="Q223" s="45"/>
      <c r="R223" s="202"/>
      <c r="S223" s="45"/>
    </row>
    <row r="224">
      <c r="A224" s="176"/>
      <c r="B224" s="78"/>
      <c r="C224" s="78"/>
      <c r="D224" s="78"/>
      <c r="E224" s="78"/>
      <c r="F224" s="78"/>
      <c r="G224" s="78"/>
      <c r="H224" s="78"/>
      <c r="I224" s="45"/>
      <c r="J224" s="45"/>
      <c r="K224" s="45"/>
      <c r="L224" s="45"/>
      <c r="M224" s="45"/>
      <c r="N224" s="45"/>
      <c r="O224" s="45"/>
      <c r="P224" s="45"/>
      <c r="Q224" s="45"/>
      <c r="R224" s="202"/>
      <c r="S224" s="45"/>
    </row>
    <row r="225">
      <c r="A225" s="176"/>
      <c r="B225" s="78"/>
      <c r="C225" s="78"/>
      <c r="D225" s="78"/>
      <c r="E225" s="78"/>
      <c r="F225" s="78"/>
      <c r="G225" s="78"/>
      <c r="H225" s="78"/>
      <c r="I225" s="45"/>
      <c r="J225" s="45"/>
      <c r="K225" s="45"/>
      <c r="L225" s="45"/>
      <c r="M225" s="45"/>
      <c r="N225" s="45"/>
      <c r="O225" s="45"/>
      <c r="P225" s="45"/>
      <c r="Q225" s="45"/>
      <c r="R225" s="202"/>
      <c r="S225" s="45"/>
    </row>
    <row r="226">
      <c r="A226" s="176"/>
      <c r="B226" s="78"/>
      <c r="C226" s="78"/>
      <c r="D226" s="78"/>
      <c r="E226" s="78"/>
      <c r="F226" s="78"/>
      <c r="G226" s="78"/>
      <c r="H226" s="78"/>
      <c r="I226" s="45"/>
      <c r="J226" s="45"/>
      <c r="K226" s="45"/>
      <c r="L226" s="45"/>
      <c r="M226" s="45"/>
      <c r="N226" s="45"/>
      <c r="O226" s="45"/>
      <c r="P226" s="45"/>
      <c r="Q226" s="45"/>
      <c r="R226" s="202"/>
      <c r="S226" s="45"/>
    </row>
    <row r="227">
      <c r="A227" s="176"/>
      <c r="B227" s="78"/>
      <c r="C227" s="78"/>
      <c r="D227" s="78"/>
      <c r="E227" s="78"/>
      <c r="F227" s="78"/>
      <c r="G227" s="78"/>
      <c r="H227" s="78"/>
      <c r="I227" s="45"/>
      <c r="J227" s="45"/>
      <c r="K227" s="45"/>
      <c r="L227" s="45"/>
      <c r="M227" s="45"/>
      <c r="N227" s="45"/>
      <c r="O227" s="45"/>
      <c r="P227" s="45"/>
      <c r="Q227" s="45"/>
      <c r="R227" s="202"/>
      <c r="S227" s="45"/>
    </row>
    <row r="228">
      <c r="A228" s="176"/>
      <c r="B228" s="78"/>
      <c r="C228" s="78"/>
      <c r="D228" s="78"/>
      <c r="E228" s="78"/>
      <c r="F228" s="78"/>
      <c r="G228" s="78"/>
      <c r="H228" s="78"/>
      <c r="I228" s="45"/>
      <c r="J228" s="45"/>
      <c r="K228" s="45"/>
      <c r="L228" s="45"/>
      <c r="M228" s="45"/>
      <c r="N228" s="45"/>
      <c r="O228" s="45"/>
      <c r="P228" s="45"/>
      <c r="Q228" s="45"/>
      <c r="R228" s="202"/>
      <c r="S228" s="45"/>
    </row>
    <row r="229">
      <c r="A229" s="176"/>
      <c r="B229" s="78"/>
      <c r="C229" s="78"/>
      <c r="D229" s="78"/>
      <c r="E229" s="78"/>
      <c r="F229" s="78"/>
      <c r="G229" s="78"/>
      <c r="H229" s="78"/>
      <c r="I229" s="45"/>
      <c r="J229" s="45"/>
      <c r="K229" s="45"/>
      <c r="L229" s="45"/>
      <c r="M229" s="45"/>
      <c r="N229" s="45"/>
      <c r="O229" s="45"/>
      <c r="P229" s="45"/>
      <c r="Q229" s="45"/>
      <c r="R229" s="202"/>
      <c r="S229" s="45"/>
    </row>
    <row r="230">
      <c r="A230" s="176"/>
      <c r="B230" s="78"/>
      <c r="C230" s="78"/>
      <c r="D230" s="78"/>
      <c r="E230" s="78"/>
      <c r="F230" s="78"/>
      <c r="G230" s="78"/>
      <c r="H230" s="78"/>
      <c r="I230" s="45"/>
      <c r="J230" s="45"/>
      <c r="K230" s="45"/>
      <c r="L230" s="45"/>
      <c r="M230" s="45"/>
      <c r="N230" s="45"/>
      <c r="O230" s="45"/>
      <c r="P230" s="45"/>
      <c r="Q230" s="45"/>
      <c r="R230" s="202"/>
      <c r="S230" s="45"/>
    </row>
    <row r="231">
      <c r="A231" s="176"/>
      <c r="B231" s="78"/>
      <c r="C231" s="78"/>
      <c r="D231" s="78"/>
      <c r="E231" s="78"/>
      <c r="F231" s="78"/>
      <c r="G231" s="78"/>
      <c r="H231" s="78"/>
      <c r="I231" s="45"/>
      <c r="J231" s="45"/>
      <c r="K231" s="45"/>
      <c r="L231" s="45"/>
      <c r="M231" s="45"/>
      <c r="N231" s="45"/>
      <c r="O231" s="45"/>
      <c r="P231" s="45"/>
      <c r="Q231" s="45"/>
      <c r="R231" s="202"/>
      <c r="S231" s="45"/>
    </row>
    <row r="232">
      <c r="A232" s="176"/>
      <c r="B232" s="78"/>
      <c r="C232" s="78"/>
      <c r="D232" s="78"/>
      <c r="E232" s="78"/>
      <c r="F232" s="78"/>
      <c r="G232" s="78"/>
      <c r="H232" s="78"/>
      <c r="I232" s="45"/>
      <c r="J232" s="45"/>
      <c r="K232" s="45"/>
      <c r="L232" s="45"/>
      <c r="M232" s="45"/>
      <c r="N232" s="45"/>
      <c r="O232" s="45"/>
      <c r="P232" s="45"/>
      <c r="Q232" s="45"/>
      <c r="R232" s="202"/>
      <c r="S232" s="45"/>
    </row>
    <row r="233">
      <c r="A233" s="176"/>
      <c r="B233" s="78"/>
      <c r="C233" s="78"/>
      <c r="D233" s="78"/>
      <c r="E233" s="78"/>
      <c r="F233" s="78"/>
      <c r="G233" s="78"/>
      <c r="H233" s="78"/>
      <c r="I233" s="45"/>
      <c r="J233" s="45"/>
      <c r="K233" s="45"/>
      <c r="L233" s="45"/>
      <c r="M233" s="45"/>
      <c r="N233" s="45"/>
      <c r="O233" s="45"/>
      <c r="P233" s="45"/>
      <c r="Q233" s="45"/>
      <c r="R233" s="202"/>
      <c r="S233" s="45"/>
    </row>
    <row r="234">
      <c r="A234" s="176"/>
      <c r="B234" s="78"/>
      <c r="C234" s="78"/>
      <c r="D234" s="78"/>
      <c r="E234" s="78"/>
      <c r="F234" s="78"/>
      <c r="G234" s="78"/>
      <c r="H234" s="78"/>
      <c r="I234" s="45"/>
      <c r="J234" s="45"/>
      <c r="K234" s="45"/>
      <c r="L234" s="45"/>
      <c r="M234" s="45"/>
      <c r="N234" s="45"/>
      <c r="O234" s="45"/>
      <c r="P234" s="45"/>
      <c r="Q234" s="45"/>
      <c r="R234" s="202"/>
      <c r="S234" s="45"/>
    </row>
    <row r="235">
      <c r="A235" s="176"/>
      <c r="B235" s="78"/>
      <c r="C235" s="78"/>
      <c r="D235" s="78"/>
      <c r="E235" s="78"/>
      <c r="F235" s="78"/>
      <c r="G235" s="78"/>
      <c r="H235" s="78"/>
      <c r="I235" s="45"/>
      <c r="J235" s="45"/>
      <c r="K235" s="45"/>
      <c r="L235" s="45"/>
      <c r="M235" s="45"/>
      <c r="N235" s="45"/>
      <c r="O235" s="45"/>
      <c r="P235" s="45"/>
      <c r="Q235" s="45"/>
      <c r="R235" s="202"/>
      <c r="S235" s="45"/>
    </row>
    <row r="236">
      <c r="A236" s="176"/>
      <c r="B236" s="78"/>
      <c r="C236" s="78"/>
      <c r="D236" s="78"/>
      <c r="E236" s="78"/>
      <c r="F236" s="78"/>
      <c r="G236" s="78"/>
      <c r="H236" s="78"/>
      <c r="I236" s="45"/>
      <c r="J236" s="45"/>
      <c r="K236" s="45"/>
      <c r="L236" s="45"/>
      <c r="M236" s="45"/>
      <c r="N236" s="45"/>
      <c r="O236" s="45"/>
      <c r="P236" s="45"/>
      <c r="Q236" s="45"/>
      <c r="R236" s="202"/>
      <c r="S236" s="45"/>
    </row>
    <row r="237">
      <c r="A237" s="176"/>
      <c r="B237" s="78"/>
      <c r="C237" s="78"/>
      <c r="D237" s="78"/>
      <c r="E237" s="78"/>
      <c r="F237" s="78"/>
      <c r="G237" s="78"/>
      <c r="H237" s="78"/>
      <c r="I237" s="45"/>
      <c r="J237" s="45"/>
      <c r="K237" s="45"/>
      <c r="L237" s="45"/>
      <c r="M237" s="45"/>
      <c r="N237" s="45"/>
      <c r="O237" s="45"/>
      <c r="P237" s="45"/>
      <c r="Q237" s="45"/>
      <c r="R237" s="202"/>
      <c r="S237" s="45"/>
    </row>
    <row r="238">
      <c r="A238" s="176"/>
      <c r="B238" s="78"/>
      <c r="C238" s="78"/>
      <c r="D238" s="78"/>
      <c r="E238" s="78"/>
      <c r="F238" s="78"/>
      <c r="G238" s="78"/>
      <c r="H238" s="78"/>
      <c r="I238" s="45"/>
      <c r="J238" s="45"/>
      <c r="K238" s="45"/>
      <c r="L238" s="45"/>
      <c r="M238" s="45"/>
      <c r="N238" s="45"/>
      <c r="O238" s="45"/>
      <c r="P238" s="45"/>
      <c r="Q238" s="45"/>
      <c r="R238" s="202"/>
      <c r="S238" s="45"/>
    </row>
    <row r="239">
      <c r="A239" s="176"/>
      <c r="B239" s="78"/>
      <c r="C239" s="78"/>
      <c r="D239" s="78"/>
      <c r="E239" s="78"/>
      <c r="F239" s="78"/>
      <c r="G239" s="78"/>
      <c r="H239" s="78"/>
      <c r="I239" s="45"/>
      <c r="J239" s="45"/>
      <c r="K239" s="45"/>
      <c r="L239" s="45"/>
      <c r="M239" s="45"/>
      <c r="N239" s="45"/>
      <c r="O239" s="45"/>
      <c r="P239" s="45"/>
      <c r="Q239" s="45"/>
      <c r="R239" s="202"/>
      <c r="S239" s="45"/>
    </row>
    <row r="240">
      <c r="A240" s="176"/>
      <c r="B240" s="78"/>
      <c r="C240" s="78"/>
      <c r="D240" s="78"/>
      <c r="E240" s="78"/>
      <c r="F240" s="78"/>
      <c r="G240" s="78"/>
      <c r="H240" s="78"/>
      <c r="I240" s="45"/>
      <c r="J240" s="45"/>
      <c r="K240" s="45"/>
      <c r="L240" s="45"/>
      <c r="M240" s="45"/>
      <c r="N240" s="45"/>
      <c r="O240" s="45"/>
      <c r="P240" s="45"/>
      <c r="Q240" s="45"/>
      <c r="R240" s="202"/>
      <c r="S240" s="45"/>
    </row>
    <row r="241">
      <c r="A241" s="176"/>
      <c r="B241" s="78"/>
      <c r="C241" s="78"/>
      <c r="D241" s="78"/>
      <c r="E241" s="78"/>
      <c r="F241" s="78"/>
      <c r="G241" s="78"/>
      <c r="H241" s="78"/>
      <c r="I241" s="45"/>
      <c r="J241" s="45"/>
      <c r="K241" s="45"/>
      <c r="L241" s="45"/>
      <c r="M241" s="45"/>
      <c r="N241" s="45"/>
      <c r="O241" s="45"/>
      <c r="P241" s="45"/>
      <c r="Q241" s="45"/>
      <c r="R241" s="202"/>
      <c r="S241" s="45"/>
    </row>
    <row r="242">
      <c r="A242" s="176"/>
      <c r="B242" s="78"/>
      <c r="C242" s="78"/>
      <c r="D242" s="78"/>
      <c r="E242" s="78"/>
      <c r="F242" s="78"/>
      <c r="G242" s="78"/>
      <c r="H242" s="78"/>
      <c r="I242" s="45"/>
      <c r="J242" s="45"/>
      <c r="K242" s="45"/>
      <c r="L242" s="45"/>
      <c r="M242" s="45"/>
      <c r="N242" s="45"/>
      <c r="O242" s="45"/>
      <c r="P242" s="45"/>
      <c r="Q242" s="45"/>
      <c r="R242" s="202"/>
      <c r="S242" s="45"/>
    </row>
    <row r="243">
      <c r="A243" s="176"/>
      <c r="B243" s="78"/>
      <c r="C243" s="78"/>
      <c r="D243" s="78"/>
      <c r="E243" s="78"/>
      <c r="F243" s="78"/>
      <c r="G243" s="78"/>
      <c r="H243" s="78"/>
      <c r="I243" s="45"/>
      <c r="J243" s="45"/>
      <c r="K243" s="45"/>
      <c r="L243" s="45"/>
      <c r="M243" s="45"/>
      <c r="N243" s="45"/>
      <c r="O243" s="45"/>
      <c r="P243" s="45"/>
      <c r="Q243" s="45"/>
      <c r="R243" s="202"/>
      <c r="S243" s="45"/>
    </row>
    <row r="244">
      <c r="A244" s="176"/>
      <c r="B244" s="78"/>
      <c r="C244" s="78"/>
      <c r="D244" s="78"/>
      <c r="E244" s="78"/>
      <c r="F244" s="78"/>
      <c r="G244" s="78"/>
      <c r="H244" s="78"/>
      <c r="I244" s="45"/>
      <c r="J244" s="45"/>
      <c r="K244" s="45"/>
      <c r="L244" s="45"/>
      <c r="M244" s="45"/>
      <c r="N244" s="45"/>
      <c r="O244" s="45"/>
      <c r="P244" s="45"/>
      <c r="Q244" s="45"/>
      <c r="R244" s="202"/>
      <c r="S244" s="45"/>
    </row>
    <row r="245">
      <c r="A245" s="176"/>
      <c r="B245" s="78"/>
      <c r="C245" s="78"/>
      <c r="D245" s="78"/>
      <c r="E245" s="78"/>
      <c r="F245" s="78"/>
      <c r="G245" s="78"/>
      <c r="H245" s="78"/>
      <c r="I245" s="45"/>
      <c r="J245" s="45"/>
      <c r="K245" s="45"/>
      <c r="L245" s="45"/>
      <c r="M245" s="45"/>
      <c r="N245" s="45"/>
      <c r="O245" s="45"/>
      <c r="P245" s="45"/>
      <c r="Q245" s="45"/>
      <c r="R245" s="202"/>
      <c r="S245" s="45"/>
    </row>
    <row r="246">
      <c r="A246" s="176"/>
      <c r="B246" s="78"/>
      <c r="C246" s="78"/>
      <c r="D246" s="78"/>
      <c r="E246" s="78"/>
      <c r="F246" s="78"/>
      <c r="G246" s="78"/>
      <c r="H246" s="78"/>
      <c r="I246" s="45"/>
      <c r="J246" s="45"/>
      <c r="K246" s="45"/>
      <c r="L246" s="45"/>
      <c r="M246" s="45"/>
      <c r="N246" s="45"/>
      <c r="O246" s="45"/>
      <c r="P246" s="45"/>
      <c r="Q246" s="45"/>
      <c r="R246" s="202"/>
      <c r="S246" s="45"/>
    </row>
    <row r="247">
      <c r="A247" s="176"/>
      <c r="B247" s="78"/>
      <c r="C247" s="78"/>
      <c r="D247" s="78"/>
      <c r="E247" s="78"/>
      <c r="F247" s="78"/>
      <c r="G247" s="78"/>
      <c r="H247" s="78"/>
      <c r="I247" s="45"/>
      <c r="J247" s="45"/>
      <c r="K247" s="45"/>
      <c r="L247" s="45"/>
      <c r="M247" s="45"/>
      <c r="N247" s="45"/>
      <c r="O247" s="45"/>
      <c r="P247" s="45"/>
      <c r="Q247" s="45"/>
      <c r="R247" s="202"/>
      <c r="S247" s="45"/>
    </row>
    <row r="248">
      <c r="A248" s="176"/>
      <c r="B248" s="25"/>
      <c r="C248" s="78"/>
      <c r="D248" s="78"/>
      <c r="E248" s="78"/>
      <c r="F248" s="78"/>
      <c r="G248" s="78"/>
      <c r="H248" s="78"/>
      <c r="I248" s="45"/>
      <c r="J248" s="45"/>
      <c r="K248" s="45"/>
      <c r="L248" s="45"/>
      <c r="M248" s="45"/>
      <c r="N248" s="45"/>
      <c r="O248" s="45"/>
      <c r="P248" s="45"/>
      <c r="Q248" s="45"/>
      <c r="R248" s="202"/>
      <c r="S248" s="45"/>
    </row>
    <row r="249">
      <c r="A249" s="176"/>
      <c r="B249" s="78"/>
      <c r="C249" s="78"/>
      <c r="D249" s="78"/>
      <c r="E249" s="78"/>
      <c r="F249" s="78"/>
      <c r="G249" s="78"/>
      <c r="H249" s="78"/>
      <c r="I249" s="45"/>
      <c r="J249" s="45"/>
      <c r="K249" s="45"/>
      <c r="L249" s="45"/>
      <c r="M249" s="45"/>
      <c r="N249" s="45"/>
      <c r="O249" s="45"/>
      <c r="P249" s="45"/>
      <c r="Q249" s="45"/>
      <c r="R249" s="202"/>
      <c r="S249" s="45"/>
    </row>
    <row r="250">
      <c r="A250" s="176"/>
      <c r="B250" s="78"/>
      <c r="C250" s="78"/>
      <c r="D250" s="78"/>
      <c r="E250" s="78"/>
      <c r="F250" s="78"/>
      <c r="G250" s="78"/>
      <c r="H250" s="78"/>
      <c r="I250" s="45"/>
      <c r="J250" s="45"/>
      <c r="K250" s="45"/>
      <c r="L250" s="45"/>
      <c r="M250" s="45"/>
      <c r="N250" s="45"/>
      <c r="O250" s="45"/>
      <c r="P250" s="45"/>
      <c r="Q250" s="45"/>
      <c r="R250" s="202"/>
      <c r="S250" s="45"/>
    </row>
    <row r="251">
      <c r="A251" s="176"/>
      <c r="B251" s="78"/>
      <c r="C251" s="78"/>
      <c r="D251" s="78"/>
      <c r="E251" s="78"/>
      <c r="F251" s="78"/>
      <c r="G251" s="78"/>
      <c r="H251" s="78"/>
      <c r="I251" s="45"/>
      <c r="J251" s="45"/>
      <c r="K251" s="45"/>
      <c r="L251" s="45"/>
      <c r="M251" s="45"/>
      <c r="N251" s="45"/>
      <c r="O251" s="45"/>
      <c r="P251" s="45"/>
      <c r="Q251" s="45"/>
      <c r="R251" s="202"/>
      <c r="S251" s="45"/>
    </row>
    <row r="252">
      <c r="A252" s="176"/>
      <c r="B252" s="78"/>
      <c r="C252" s="78"/>
      <c r="D252" s="78"/>
      <c r="E252" s="78"/>
      <c r="F252" s="78"/>
      <c r="G252" s="78"/>
      <c r="H252" s="78"/>
      <c r="I252" s="45"/>
      <c r="J252" s="45"/>
      <c r="K252" s="45"/>
      <c r="L252" s="45"/>
      <c r="M252" s="45"/>
      <c r="N252" s="45"/>
      <c r="O252" s="45"/>
      <c r="P252" s="45"/>
      <c r="Q252" s="45"/>
      <c r="R252" s="202"/>
      <c r="S252" s="45"/>
    </row>
    <row r="253">
      <c r="A253" s="176"/>
      <c r="B253" s="78"/>
      <c r="C253" s="78"/>
      <c r="D253" s="78"/>
      <c r="E253" s="78"/>
      <c r="F253" s="78"/>
      <c r="G253" s="78"/>
      <c r="H253" s="78"/>
      <c r="I253" s="45"/>
      <c r="J253" s="45"/>
      <c r="K253" s="45"/>
      <c r="L253" s="45"/>
      <c r="M253" s="45"/>
      <c r="N253" s="45"/>
      <c r="O253" s="45"/>
      <c r="P253" s="45"/>
      <c r="Q253" s="45"/>
      <c r="R253" s="202"/>
      <c r="S253" s="45"/>
    </row>
    <row r="254">
      <c r="A254" s="176"/>
      <c r="B254" s="78"/>
      <c r="C254" s="78"/>
      <c r="D254" s="78"/>
      <c r="E254" s="78"/>
      <c r="F254" s="78"/>
      <c r="G254" s="78"/>
      <c r="H254" s="78"/>
      <c r="I254" s="45"/>
      <c r="J254" s="45"/>
      <c r="K254" s="45"/>
      <c r="L254" s="45"/>
      <c r="M254" s="45"/>
      <c r="N254" s="45"/>
      <c r="O254" s="45"/>
      <c r="P254" s="45"/>
      <c r="Q254" s="45"/>
      <c r="R254" s="202"/>
      <c r="S254" s="45"/>
    </row>
    <row r="255">
      <c r="A255" s="176"/>
      <c r="B255" s="78"/>
      <c r="C255" s="78"/>
      <c r="D255" s="78"/>
      <c r="E255" s="78"/>
      <c r="F255" s="78"/>
      <c r="G255" s="78"/>
      <c r="H255" s="78"/>
      <c r="I255" s="45"/>
      <c r="J255" s="45"/>
      <c r="K255" s="45"/>
      <c r="L255" s="45"/>
      <c r="M255" s="45"/>
      <c r="N255" s="45"/>
      <c r="O255" s="45"/>
      <c r="P255" s="45"/>
      <c r="Q255" s="45"/>
      <c r="R255" s="202"/>
      <c r="S255" s="45"/>
    </row>
    <row r="256">
      <c r="A256" s="176"/>
      <c r="B256" s="78"/>
      <c r="C256" s="78"/>
      <c r="D256" s="78"/>
      <c r="E256" s="78"/>
      <c r="F256" s="78"/>
      <c r="G256" s="78"/>
      <c r="H256" s="78"/>
      <c r="I256" s="45"/>
      <c r="J256" s="45"/>
      <c r="K256" s="45"/>
      <c r="L256" s="45"/>
      <c r="M256" s="45"/>
      <c r="N256" s="45"/>
      <c r="O256" s="45"/>
      <c r="P256" s="45"/>
      <c r="Q256" s="45"/>
      <c r="R256" s="202"/>
      <c r="S256" s="45"/>
    </row>
    <row r="257">
      <c r="A257" s="176"/>
      <c r="B257" s="78"/>
      <c r="C257" s="78"/>
      <c r="D257" s="78"/>
      <c r="E257" s="78"/>
      <c r="F257" s="78"/>
      <c r="G257" s="78"/>
      <c r="H257" s="78"/>
      <c r="I257" s="45"/>
      <c r="J257" s="45"/>
      <c r="K257" s="45"/>
      <c r="L257" s="45"/>
      <c r="M257" s="45"/>
      <c r="N257" s="45"/>
      <c r="O257" s="45"/>
      <c r="P257" s="45"/>
      <c r="Q257" s="45"/>
      <c r="R257" s="202"/>
      <c r="S257" s="45"/>
    </row>
    <row r="258">
      <c r="A258" s="176"/>
      <c r="B258" s="78"/>
      <c r="C258" s="78"/>
      <c r="D258" s="78"/>
      <c r="E258" s="78"/>
      <c r="F258" s="78"/>
      <c r="G258" s="78"/>
      <c r="H258" s="78"/>
      <c r="I258" s="45"/>
      <c r="J258" s="45"/>
      <c r="K258" s="45"/>
      <c r="L258" s="45"/>
      <c r="M258" s="45"/>
      <c r="N258" s="45"/>
      <c r="O258" s="45"/>
      <c r="P258" s="45"/>
      <c r="Q258" s="45"/>
      <c r="R258" s="202"/>
      <c r="S258" s="45"/>
    </row>
    <row r="259">
      <c r="A259" s="176"/>
      <c r="B259" s="25"/>
      <c r="C259" s="78"/>
      <c r="D259" s="78"/>
      <c r="E259" s="78"/>
      <c r="F259" s="78"/>
      <c r="G259" s="78"/>
      <c r="H259" s="78"/>
      <c r="I259" s="45"/>
      <c r="J259" s="45"/>
      <c r="K259" s="45"/>
      <c r="L259" s="45"/>
      <c r="M259" s="45"/>
      <c r="N259" s="45"/>
      <c r="O259" s="45"/>
      <c r="P259" s="45"/>
      <c r="Q259" s="45"/>
      <c r="R259" s="202"/>
      <c r="S259" s="45"/>
    </row>
    <row r="260">
      <c r="A260" s="176"/>
      <c r="B260" s="78"/>
      <c r="C260" s="78"/>
      <c r="D260" s="78"/>
      <c r="E260" s="78"/>
      <c r="F260" s="78"/>
      <c r="G260" s="78"/>
      <c r="H260" s="78"/>
      <c r="I260" s="45"/>
      <c r="J260" s="45"/>
      <c r="K260" s="45"/>
      <c r="L260" s="45"/>
      <c r="M260" s="45"/>
      <c r="N260" s="45"/>
      <c r="O260" s="45"/>
      <c r="P260" s="45"/>
      <c r="Q260" s="45"/>
      <c r="R260" s="202"/>
      <c r="S260" s="45"/>
    </row>
    <row r="261">
      <c r="A261" s="176"/>
      <c r="B261" s="78"/>
      <c r="C261" s="78"/>
      <c r="D261" s="78"/>
      <c r="E261" s="78"/>
      <c r="F261" s="78"/>
      <c r="G261" s="78"/>
      <c r="H261" s="78"/>
      <c r="I261" s="45"/>
      <c r="J261" s="45"/>
      <c r="K261" s="45"/>
      <c r="L261" s="45"/>
      <c r="M261" s="45"/>
      <c r="N261" s="45"/>
      <c r="O261" s="45"/>
      <c r="P261" s="45"/>
      <c r="Q261" s="45"/>
      <c r="R261" s="202"/>
      <c r="S261" s="45"/>
    </row>
    <row r="262">
      <c r="A262" s="176"/>
      <c r="B262" s="78"/>
      <c r="C262" s="78"/>
      <c r="D262" s="78"/>
      <c r="E262" s="78"/>
      <c r="F262" s="78"/>
      <c r="G262" s="78"/>
      <c r="H262" s="78"/>
      <c r="I262" s="45"/>
      <c r="J262" s="45"/>
      <c r="K262" s="45"/>
      <c r="L262" s="45"/>
      <c r="M262" s="45"/>
      <c r="N262" s="45"/>
      <c r="O262" s="45"/>
      <c r="P262" s="45"/>
      <c r="Q262" s="45"/>
      <c r="R262" s="202"/>
      <c r="S262" s="45"/>
    </row>
    <row r="263">
      <c r="A263" s="176"/>
      <c r="B263" s="78"/>
      <c r="C263" s="78"/>
      <c r="D263" s="78"/>
      <c r="E263" s="78"/>
      <c r="F263" s="78"/>
      <c r="G263" s="78"/>
      <c r="H263" s="78"/>
      <c r="I263" s="45"/>
      <c r="J263" s="45"/>
      <c r="K263" s="45"/>
      <c r="L263" s="45"/>
      <c r="M263" s="45"/>
      <c r="N263" s="45"/>
      <c r="O263" s="45"/>
      <c r="P263" s="45"/>
      <c r="Q263" s="45"/>
      <c r="R263" s="202"/>
      <c r="S263" s="45"/>
    </row>
    <row r="264">
      <c r="A264" s="176"/>
      <c r="B264" s="78"/>
      <c r="C264" s="78"/>
      <c r="D264" s="78"/>
      <c r="E264" s="78"/>
      <c r="F264" s="78"/>
      <c r="G264" s="78"/>
      <c r="H264" s="78"/>
      <c r="I264" s="45"/>
      <c r="J264" s="45"/>
      <c r="K264" s="45"/>
      <c r="L264" s="45"/>
      <c r="M264" s="45"/>
      <c r="N264" s="45"/>
      <c r="O264" s="45"/>
      <c r="P264" s="45"/>
      <c r="Q264" s="45"/>
      <c r="R264" s="202"/>
      <c r="S264" s="45"/>
    </row>
    <row r="265">
      <c r="A265" s="176"/>
      <c r="B265" s="78"/>
      <c r="C265" s="78"/>
      <c r="D265" s="78"/>
      <c r="E265" s="78"/>
      <c r="F265" s="78"/>
      <c r="G265" s="78"/>
      <c r="H265" s="78"/>
      <c r="I265" s="45"/>
      <c r="J265" s="45"/>
      <c r="K265" s="45"/>
      <c r="L265" s="45"/>
      <c r="M265" s="45"/>
      <c r="N265" s="45"/>
      <c r="O265" s="45"/>
      <c r="P265" s="45"/>
      <c r="Q265" s="45"/>
      <c r="R265" s="202"/>
      <c r="S265" s="45"/>
    </row>
    <row r="266">
      <c r="A266" s="176"/>
      <c r="B266" s="78"/>
      <c r="C266" s="78"/>
      <c r="D266" s="78"/>
      <c r="E266" s="78"/>
      <c r="F266" s="78"/>
      <c r="G266" s="78"/>
      <c r="H266" s="78"/>
      <c r="I266" s="45"/>
      <c r="J266" s="45"/>
      <c r="K266" s="45"/>
      <c r="L266" s="45"/>
      <c r="M266" s="45"/>
      <c r="N266" s="45"/>
      <c r="O266" s="45"/>
      <c r="P266" s="45"/>
      <c r="Q266" s="45"/>
      <c r="R266" s="202"/>
      <c r="S266" s="45"/>
    </row>
    <row r="267">
      <c r="A267" s="176"/>
      <c r="B267" s="78"/>
      <c r="C267" s="78"/>
      <c r="D267" s="78"/>
      <c r="E267" s="78"/>
      <c r="F267" s="78"/>
      <c r="G267" s="78"/>
      <c r="H267" s="78"/>
      <c r="I267" s="45"/>
      <c r="J267" s="45"/>
      <c r="K267" s="45"/>
      <c r="L267" s="45"/>
      <c r="M267" s="45"/>
      <c r="N267" s="45"/>
      <c r="O267" s="45"/>
      <c r="P267" s="45"/>
      <c r="Q267" s="45"/>
      <c r="R267" s="202"/>
      <c r="S267" s="45"/>
    </row>
    <row r="268">
      <c r="A268" s="176"/>
      <c r="B268" s="78"/>
      <c r="C268" s="78"/>
      <c r="D268" s="78"/>
      <c r="E268" s="78"/>
      <c r="F268" s="78"/>
      <c r="G268" s="78"/>
      <c r="H268" s="78"/>
      <c r="I268" s="45"/>
      <c r="J268" s="45"/>
      <c r="K268" s="45"/>
      <c r="L268" s="45"/>
      <c r="M268" s="45"/>
      <c r="N268" s="45"/>
      <c r="O268" s="45"/>
      <c r="P268" s="45"/>
      <c r="Q268" s="45"/>
      <c r="R268" s="202"/>
      <c r="S268" s="45"/>
    </row>
    <row r="269">
      <c r="A269" s="176"/>
      <c r="B269" s="78"/>
      <c r="C269" s="78"/>
      <c r="D269" s="78"/>
      <c r="E269" s="78"/>
      <c r="F269" s="78"/>
      <c r="G269" s="78"/>
      <c r="H269" s="78"/>
      <c r="I269" s="45"/>
      <c r="J269" s="45"/>
      <c r="K269" s="45"/>
      <c r="L269" s="45"/>
      <c r="M269" s="45"/>
      <c r="N269" s="45"/>
      <c r="O269" s="45"/>
      <c r="P269" s="45"/>
      <c r="Q269" s="45"/>
      <c r="R269" s="202"/>
      <c r="S269" s="45"/>
    </row>
    <row r="270">
      <c r="A270" s="176"/>
      <c r="B270" s="78"/>
      <c r="C270" s="78"/>
      <c r="D270" s="78"/>
      <c r="E270" s="78"/>
      <c r="F270" s="78"/>
      <c r="G270" s="78"/>
      <c r="H270" s="78"/>
      <c r="I270" s="45"/>
      <c r="J270" s="45"/>
      <c r="K270" s="45"/>
      <c r="L270" s="45"/>
      <c r="M270" s="45"/>
      <c r="N270" s="45"/>
      <c r="O270" s="45"/>
      <c r="P270" s="45"/>
      <c r="Q270" s="45"/>
      <c r="R270" s="202"/>
      <c r="S270" s="45"/>
    </row>
    <row r="271">
      <c r="A271" s="176"/>
      <c r="B271" s="78"/>
      <c r="C271" s="78"/>
      <c r="D271" s="78"/>
      <c r="E271" s="78"/>
      <c r="F271" s="78"/>
      <c r="G271" s="78"/>
      <c r="H271" s="78"/>
      <c r="I271" s="45"/>
      <c r="J271" s="45"/>
      <c r="K271" s="45"/>
      <c r="L271" s="45"/>
      <c r="M271" s="45"/>
      <c r="N271" s="45"/>
      <c r="O271" s="45"/>
      <c r="P271" s="45"/>
      <c r="Q271" s="45"/>
      <c r="R271" s="202"/>
      <c r="S271" s="45"/>
    </row>
    <row r="272">
      <c r="A272" s="176"/>
      <c r="B272" s="78"/>
      <c r="C272" s="78"/>
      <c r="D272" s="78"/>
      <c r="E272" s="78"/>
      <c r="F272" s="78"/>
      <c r="G272" s="78"/>
      <c r="H272" s="78"/>
      <c r="I272" s="45"/>
      <c r="J272" s="45"/>
      <c r="K272" s="45"/>
      <c r="L272" s="45"/>
      <c r="M272" s="45"/>
      <c r="N272" s="45"/>
      <c r="O272" s="45"/>
      <c r="P272" s="45"/>
      <c r="Q272" s="45"/>
      <c r="R272" s="202"/>
      <c r="S272" s="45"/>
    </row>
    <row r="273">
      <c r="A273" s="176"/>
      <c r="B273" s="78"/>
      <c r="C273" s="78"/>
      <c r="D273" s="78"/>
      <c r="E273" s="78"/>
      <c r="F273" s="78"/>
      <c r="G273" s="78"/>
      <c r="H273" s="78"/>
      <c r="I273" s="45"/>
      <c r="J273" s="45"/>
      <c r="K273" s="45"/>
      <c r="L273" s="45"/>
      <c r="M273" s="45"/>
      <c r="N273" s="45"/>
      <c r="O273" s="45"/>
      <c r="P273" s="45"/>
      <c r="Q273" s="45"/>
      <c r="R273" s="202"/>
      <c r="S273" s="45"/>
    </row>
    <row r="274">
      <c r="A274" s="176"/>
      <c r="B274" s="78"/>
      <c r="C274" s="78"/>
      <c r="D274" s="78"/>
      <c r="E274" s="78"/>
      <c r="F274" s="78"/>
      <c r="G274" s="78"/>
      <c r="H274" s="78"/>
      <c r="I274" s="45"/>
      <c r="J274" s="45"/>
      <c r="K274" s="45"/>
      <c r="L274" s="45"/>
      <c r="M274" s="45"/>
      <c r="N274" s="45"/>
      <c r="O274" s="45"/>
      <c r="P274" s="45"/>
      <c r="Q274" s="45"/>
      <c r="R274" s="202"/>
      <c r="S274" s="45"/>
    </row>
    <row r="275">
      <c r="A275" s="176"/>
      <c r="B275" s="78"/>
      <c r="C275" s="78"/>
      <c r="D275" s="78"/>
      <c r="E275" s="78"/>
      <c r="F275" s="78"/>
      <c r="G275" s="78"/>
      <c r="H275" s="78"/>
      <c r="I275" s="45"/>
      <c r="J275" s="45"/>
      <c r="K275" s="45"/>
      <c r="L275" s="45"/>
      <c r="M275" s="45"/>
      <c r="N275" s="45"/>
      <c r="O275" s="45"/>
      <c r="P275" s="45"/>
      <c r="Q275" s="45"/>
      <c r="R275" s="202"/>
      <c r="S275" s="45"/>
    </row>
    <row r="276">
      <c r="A276" s="176"/>
      <c r="B276" s="78"/>
      <c r="C276" s="78"/>
      <c r="D276" s="78"/>
      <c r="E276" s="78"/>
      <c r="F276" s="78"/>
      <c r="G276" s="78"/>
      <c r="H276" s="78"/>
      <c r="I276" s="45"/>
      <c r="J276" s="45"/>
      <c r="K276" s="45"/>
      <c r="L276" s="45"/>
      <c r="M276" s="45"/>
      <c r="N276" s="45"/>
      <c r="O276" s="45"/>
      <c r="P276" s="45"/>
      <c r="Q276" s="45"/>
      <c r="R276" s="202"/>
      <c r="S276" s="45"/>
    </row>
    <row r="277">
      <c r="A277" s="176"/>
      <c r="B277" s="25"/>
      <c r="C277" s="78"/>
      <c r="D277" s="709"/>
      <c r="E277" s="709"/>
      <c r="F277" s="709"/>
      <c r="G277" s="709"/>
      <c r="H277" s="709"/>
      <c r="I277" s="45"/>
      <c r="J277" s="45"/>
      <c r="K277" s="45"/>
      <c r="L277" s="45"/>
      <c r="M277" s="45"/>
      <c r="N277" s="45"/>
      <c r="O277" s="45"/>
      <c r="P277" s="45"/>
      <c r="Q277" s="45"/>
      <c r="R277" s="202"/>
      <c r="S277" s="45"/>
    </row>
    <row r="278">
      <c r="A278" s="176"/>
      <c r="B278" s="78"/>
      <c r="C278" s="78"/>
      <c r="D278" s="78"/>
      <c r="E278" s="78"/>
      <c r="F278" s="78"/>
      <c r="G278" s="78"/>
      <c r="H278" s="78"/>
      <c r="I278" s="45"/>
      <c r="J278" s="45"/>
      <c r="K278" s="45"/>
      <c r="L278" s="45"/>
      <c r="M278" s="45"/>
      <c r="N278" s="45"/>
      <c r="O278" s="45"/>
      <c r="P278" s="45"/>
      <c r="Q278" s="45"/>
      <c r="R278" s="202"/>
      <c r="S278" s="45"/>
    </row>
    <row r="279">
      <c r="A279" s="176"/>
      <c r="B279" s="78"/>
      <c r="C279" s="78"/>
      <c r="D279" s="78"/>
      <c r="E279" s="78"/>
      <c r="F279" s="78"/>
      <c r="G279" s="78"/>
      <c r="H279" s="78"/>
      <c r="I279" s="45"/>
      <c r="J279" s="45"/>
      <c r="K279" s="45"/>
      <c r="L279" s="45"/>
      <c r="M279" s="45"/>
      <c r="N279" s="45"/>
      <c r="O279" s="45"/>
      <c r="P279" s="45"/>
      <c r="Q279" s="45"/>
      <c r="R279" s="202"/>
      <c r="S279" s="45"/>
    </row>
    <row r="280">
      <c r="A280" s="176"/>
      <c r="B280" s="78"/>
      <c r="C280" s="78"/>
      <c r="D280" s="78"/>
      <c r="E280" s="78"/>
      <c r="F280" s="78"/>
      <c r="G280" s="78"/>
      <c r="H280" s="78"/>
      <c r="I280" s="45"/>
      <c r="J280" s="45"/>
      <c r="K280" s="45"/>
      <c r="L280" s="45"/>
      <c r="M280" s="45"/>
      <c r="N280" s="45"/>
      <c r="O280" s="45"/>
      <c r="P280" s="45"/>
      <c r="Q280" s="45"/>
      <c r="R280" s="202"/>
      <c r="S280" s="45"/>
    </row>
    <row r="281">
      <c r="A281" s="176"/>
      <c r="B281" s="78"/>
      <c r="C281" s="78"/>
      <c r="D281" s="78"/>
      <c r="E281" s="78"/>
      <c r="F281" s="78"/>
      <c r="G281" s="78"/>
      <c r="H281" s="78"/>
      <c r="I281" s="45"/>
      <c r="J281" s="45"/>
      <c r="K281" s="45"/>
      <c r="L281" s="45"/>
      <c r="M281" s="45"/>
      <c r="N281" s="45"/>
      <c r="O281" s="45"/>
      <c r="P281" s="45"/>
      <c r="Q281" s="45"/>
      <c r="R281" s="202"/>
      <c r="S281" s="45"/>
    </row>
    <row r="282">
      <c r="A282" s="176"/>
      <c r="B282" s="78"/>
      <c r="C282" s="78"/>
      <c r="D282" s="78"/>
      <c r="E282" s="78"/>
      <c r="F282" s="78"/>
      <c r="G282" s="78"/>
      <c r="H282" s="78"/>
      <c r="I282" s="45"/>
      <c r="J282" s="45"/>
      <c r="K282" s="45"/>
      <c r="L282" s="45"/>
      <c r="M282" s="45"/>
      <c r="N282" s="45"/>
      <c r="O282" s="45"/>
      <c r="P282" s="45"/>
      <c r="Q282" s="45"/>
      <c r="R282" s="202"/>
      <c r="S282" s="45"/>
    </row>
    <row r="283">
      <c r="A283" s="176"/>
      <c r="B283" s="78"/>
      <c r="C283" s="78"/>
      <c r="D283" s="78"/>
      <c r="E283" s="78"/>
      <c r="F283" s="78"/>
      <c r="G283" s="78"/>
      <c r="H283" s="78"/>
      <c r="I283" s="45"/>
      <c r="J283" s="45"/>
      <c r="K283" s="45"/>
      <c r="L283" s="45"/>
      <c r="M283" s="45"/>
      <c r="N283" s="45"/>
      <c r="O283" s="45"/>
      <c r="P283" s="45"/>
      <c r="Q283" s="45"/>
      <c r="R283" s="202"/>
      <c r="S283" s="45"/>
    </row>
    <row r="284">
      <c r="A284" s="176"/>
      <c r="B284" s="78"/>
      <c r="C284" s="78"/>
      <c r="D284" s="78"/>
      <c r="E284" s="78"/>
      <c r="F284" s="78"/>
      <c r="G284" s="78"/>
      <c r="H284" s="78"/>
      <c r="I284" s="45"/>
      <c r="J284" s="45"/>
      <c r="K284" s="45"/>
      <c r="L284" s="45"/>
      <c r="M284" s="45"/>
      <c r="N284" s="45"/>
      <c r="O284" s="45"/>
      <c r="P284" s="45"/>
      <c r="Q284" s="45"/>
      <c r="R284" s="202"/>
      <c r="S284" s="45"/>
    </row>
    <row r="285">
      <c r="A285" s="176"/>
      <c r="B285" s="78"/>
      <c r="C285" s="78"/>
      <c r="D285" s="78"/>
      <c r="E285" s="78"/>
      <c r="F285" s="78"/>
      <c r="G285" s="78"/>
      <c r="H285" s="78"/>
      <c r="I285" s="45"/>
      <c r="J285" s="45"/>
      <c r="K285" s="45"/>
      <c r="L285" s="45"/>
      <c r="M285" s="45"/>
      <c r="N285" s="45"/>
      <c r="O285" s="45"/>
      <c r="P285" s="45"/>
      <c r="Q285" s="45"/>
      <c r="R285" s="202"/>
      <c r="S285" s="45"/>
    </row>
    <row r="286">
      <c r="A286" s="176"/>
      <c r="B286" s="78"/>
      <c r="C286" s="78"/>
      <c r="D286" s="78"/>
      <c r="E286" s="78"/>
      <c r="F286" s="78"/>
      <c r="G286" s="78"/>
      <c r="H286" s="78"/>
      <c r="I286" s="45"/>
      <c r="J286" s="45"/>
      <c r="K286" s="45"/>
      <c r="L286" s="45"/>
      <c r="M286" s="45"/>
      <c r="N286" s="45"/>
      <c r="O286" s="45"/>
      <c r="P286" s="45"/>
      <c r="Q286" s="45"/>
      <c r="R286" s="202"/>
      <c r="S286" s="45"/>
    </row>
    <row r="287">
      <c r="A287" s="176"/>
      <c r="B287" s="78"/>
      <c r="C287" s="78"/>
      <c r="D287" s="78"/>
      <c r="E287" s="78"/>
      <c r="F287" s="78"/>
      <c r="G287" s="78"/>
      <c r="H287" s="78"/>
      <c r="I287" s="45"/>
      <c r="J287" s="45"/>
      <c r="K287" s="45"/>
      <c r="L287" s="45"/>
      <c r="M287" s="45"/>
      <c r="N287" s="45"/>
      <c r="O287" s="45"/>
      <c r="P287" s="45"/>
      <c r="Q287" s="45"/>
      <c r="R287" s="202"/>
      <c r="S287" s="45"/>
    </row>
    <row r="288">
      <c r="A288" s="176"/>
      <c r="B288" s="78"/>
      <c r="C288" s="78"/>
      <c r="D288" s="78"/>
      <c r="E288" s="78"/>
      <c r="F288" s="78"/>
      <c r="G288" s="78"/>
      <c r="H288" s="78"/>
      <c r="I288" s="45"/>
      <c r="J288" s="45"/>
      <c r="K288" s="45"/>
      <c r="L288" s="45"/>
      <c r="M288" s="45"/>
      <c r="N288" s="45"/>
      <c r="O288" s="45"/>
      <c r="P288" s="45"/>
      <c r="Q288" s="45"/>
      <c r="R288" s="202"/>
      <c r="S288" s="45"/>
    </row>
    <row r="289">
      <c r="A289" s="176"/>
      <c r="B289" s="78"/>
      <c r="C289" s="78"/>
      <c r="D289" s="78"/>
      <c r="E289" s="78"/>
      <c r="F289" s="78"/>
      <c r="G289" s="78"/>
      <c r="H289" s="78"/>
      <c r="I289" s="45"/>
      <c r="J289" s="45"/>
      <c r="K289" s="45"/>
      <c r="L289" s="45"/>
      <c r="M289" s="45"/>
      <c r="N289" s="45"/>
      <c r="O289" s="45"/>
      <c r="P289" s="45"/>
      <c r="Q289" s="45"/>
      <c r="R289" s="202"/>
      <c r="S289" s="45"/>
    </row>
    <row r="290">
      <c r="A290" s="176"/>
      <c r="B290" s="78"/>
      <c r="C290" s="78"/>
      <c r="D290" s="78"/>
      <c r="E290" s="78"/>
      <c r="F290" s="78"/>
      <c r="G290" s="78"/>
      <c r="H290" s="78"/>
      <c r="I290" s="45"/>
      <c r="J290" s="45"/>
      <c r="K290" s="45"/>
      <c r="L290" s="45"/>
      <c r="M290" s="45"/>
      <c r="N290" s="45"/>
      <c r="O290" s="45"/>
      <c r="P290" s="45"/>
      <c r="Q290" s="45"/>
      <c r="R290" s="202"/>
      <c r="S290" s="45"/>
    </row>
    <row r="291">
      <c r="A291" s="176"/>
      <c r="B291" s="78"/>
      <c r="C291" s="78"/>
      <c r="D291" s="78"/>
      <c r="E291" s="78"/>
      <c r="F291" s="78"/>
      <c r="G291" s="78"/>
      <c r="H291" s="78"/>
      <c r="I291" s="45"/>
      <c r="J291" s="45"/>
      <c r="K291" s="45"/>
      <c r="L291" s="45"/>
      <c r="M291" s="45"/>
      <c r="N291" s="45"/>
      <c r="O291" s="45"/>
      <c r="P291" s="45"/>
      <c r="Q291" s="45"/>
      <c r="R291" s="202"/>
      <c r="S291" s="45"/>
    </row>
    <row r="292">
      <c r="A292" s="176"/>
      <c r="B292" s="78"/>
      <c r="C292" s="78"/>
      <c r="D292" s="78"/>
      <c r="E292" s="78"/>
      <c r="F292" s="78"/>
      <c r="G292" s="78"/>
      <c r="H292" s="78"/>
      <c r="I292" s="45"/>
      <c r="J292" s="45"/>
      <c r="K292" s="45"/>
      <c r="L292" s="45"/>
      <c r="M292" s="45"/>
      <c r="N292" s="45"/>
      <c r="O292" s="45"/>
      <c r="P292" s="45"/>
      <c r="Q292" s="45"/>
      <c r="R292" s="202"/>
      <c r="S292" s="45"/>
    </row>
    <row r="293">
      <c r="A293" s="176"/>
      <c r="B293" s="78"/>
      <c r="C293" s="78"/>
      <c r="D293" s="78"/>
      <c r="E293" s="78"/>
      <c r="F293" s="78"/>
      <c r="G293" s="78"/>
      <c r="H293" s="78"/>
      <c r="I293" s="45"/>
      <c r="J293" s="45"/>
      <c r="K293" s="45"/>
      <c r="L293" s="45"/>
      <c r="M293" s="45"/>
      <c r="N293" s="45"/>
      <c r="O293" s="45"/>
      <c r="P293" s="45"/>
      <c r="Q293" s="45"/>
      <c r="R293" s="202"/>
      <c r="S293" s="45"/>
    </row>
    <row r="294">
      <c r="A294" s="176"/>
      <c r="B294" s="78"/>
      <c r="C294" s="78"/>
      <c r="D294" s="78"/>
      <c r="E294" s="78"/>
      <c r="F294" s="78"/>
      <c r="G294" s="78"/>
      <c r="H294" s="78"/>
      <c r="I294" s="45"/>
      <c r="J294" s="45"/>
      <c r="K294" s="45"/>
      <c r="L294" s="45"/>
      <c r="M294" s="45"/>
      <c r="N294" s="45"/>
      <c r="O294" s="45"/>
      <c r="P294" s="45"/>
      <c r="Q294" s="45"/>
      <c r="R294" s="202"/>
      <c r="S294" s="45"/>
    </row>
    <row r="295">
      <c r="A295" s="176"/>
      <c r="B295" s="78"/>
      <c r="C295" s="78"/>
      <c r="D295" s="78"/>
      <c r="E295" s="78"/>
      <c r="F295" s="78"/>
      <c r="G295" s="78"/>
      <c r="H295" s="78"/>
      <c r="I295" s="45"/>
      <c r="J295" s="45"/>
      <c r="K295" s="45"/>
      <c r="L295" s="45"/>
      <c r="M295" s="45"/>
      <c r="N295" s="45"/>
      <c r="O295" s="45"/>
      <c r="P295" s="45"/>
      <c r="Q295" s="45"/>
      <c r="R295" s="202"/>
      <c r="S295" s="45"/>
    </row>
    <row r="296">
      <c r="A296" s="176"/>
      <c r="B296" s="78"/>
      <c r="C296" s="78"/>
      <c r="D296" s="78"/>
      <c r="E296" s="78"/>
      <c r="F296" s="78"/>
      <c r="G296" s="78"/>
      <c r="H296" s="78"/>
      <c r="I296" s="45"/>
      <c r="J296" s="45"/>
      <c r="K296" s="45"/>
      <c r="L296" s="45"/>
      <c r="M296" s="45"/>
      <c r="N296" s="45"/>
      <c r="O296" s="45"/>
      <c r="P296" s="45"/>
      <c r="Q296" s="45"/>
      <c r="R296" s="202"/>
      <c r="S296" s="45"/>
    </row>
    <row r="297">
      <c r="A297" s="176"/>
      <c r="B297" s="78"/>
      <c r="C297" s="78"/>
      <c r="D297" s="78"/>
      <c r="E297" s="78"/>
      <c r="F297" s="78"/>
      <c r="G297" s="78"/>
      <c r="H297" s="78"/>
      <c r="I297" s="45"/>
      <c r="J297" s="45"/>
      <c r="K297" s="45"/>
      <c r="L297" s="45"/>
      <c r="M297" s="45"/>
      <c r="N297" s="45"/>
      <c r="O297" s="45"/>
      <c r="P297" s="45"/>
      <c r="Q297" s="45"/>
      <c r="R297" s="202"/>
      <c r="S297" s="45"/>
    </row>
    <row r="298">
      <c r="A298" s="176"/>
      <c r="B298" s="78"/>
      <c r="C298" s="78"/>
      <c r="D298" s="78"/>
      <c r="E298" s="78"/>
      <c r="F298" s="78"/>
      <c r="G298" s="78"/>
      <c r="H298" s="78"/>
      <c r="I298" s="45"/>
      <c r="J298" s="45"/>
      <c r="K298" s="45"/>
      <c r="L298" s="45"/>
      <c r="M298" s="45"/>
      <c r="N298" s="45"/>
      <c r="O298" s="45"/>
      <c r="P298" s="45"/>
      <c r="Q298" s="45"/>
      <c r="R298" s="202"/>
      <c r="S298" s="45"/>
    </row>
    <row r="299">
      <c r="A299" s="176"/>
      <c r="B299" s="78"/>
      <c r="C299" s="78"/>
      <c r="D299" s="78"/>
      <c r="E299" s="78"/>
      <c r="F299" s="78"/>
      <c r="G299" s="78"/>
      <c r="H299" s="78"/>
      <c r="I299" s="45"/>
      <c r="J299" s="45"/>
      <c r="K299" s="45"/>
      <c r="L299" s="45"/>
      <c r="M299" s="45"/>
      <c r="N299" s="45"/>
      <c r="O299" s="45"/>
      <c r="P299" s="45"/>
      <c r="Q299" s="45"/>
      <c r="R299" s="202"/>
      <c r="S299" s="45"/>
    </row>
    <row r="300">
      <c r="A300" s="176"/>
      <c r="B300" s="78"/>
      <c r="C300" s="78"/>
      <c r="D300" s="78"/>
      <c r="E300" s="78"/>
      <c r="F300" s="78"/>
      <c r="G300" s="78"/>
      <c r="H300" s="78"/>
      <c r="I300" s="45"/>
      <c r="J300" s="45"/>
      <c r="K300" s="45"/>
      <c r="L300" s="45"/>
      <c r="M300" s="45"/>
      <c r="N300" s="45"/>
      <c r="O300" s="45"/>
      <c r="P300" s="45"/>
      <c r="Q300" s="45"/>
      <c r="R300" s="202"/>
      <c r="S300" s="45"/>
    </row>
    <row r="301">
      <c r="A301" s="176"/>
      <c r="B301" s="78"/>
      <c r="C301" s="78"/>
      <c r="D301" s="78"/>
      <c r="E301" s="78"/>
      <c r="F301" s="78"/>
      <c r="G301" s="78"/>
      <c r="H301" s="78"/>
      <c r="I301" s="45"/>
      <c r="J301" s="45"/>
      <c r="K301" s="45"/>
      <c r="L301" s="45"/>
      <c r="M301" s="45"/>
      <c r="N301" s="45"/>
      <c r="O301" s="45"/>
      <c r="P301" s="45"/>
      <c r="Q301" s="45"/>
      <c r="R301" s="202"/>
      <c r="S301" s="45"/>
    </row>
    <row r="302">
      <c r="A302" s="176"/>
      <c r="B302" s="78"/>
      <c r="C302" s="78"/>
      <c r="D302" s="78"/>
      <c r="E302" s="78"/>
      <c r="F302" s="78"/>
      <c r="G302" s="78"/>
      <c r="H302" s="78"/>
      <c r="I302" s="45"/>
      <c r="J302" s="45"/>
      <c r="K302" s="45"/>
      <c r="L302" s="45"/>
      <c r="M302" s="45"/>
      <c r="N302" s="45"/>
      <c r="O302" s="45"/>
      <c r="P302" s="45"/>
      <c r="Q302" s="45"/>
      <c r="R302" s="202"/>
      <c r="S302" s="45"/>
    </row>
    <row r="303">
      <c r="A303" s="176"/>
      <c r="B303" s="78"/>
      <c r="C303" s="78"/>
      <c r="D303" s="78"/>
      <c r="E303" s="78"/>
      <c r="F303" s="78"/>
      <c r="G303" s="78"/>
      <c r="H303" s="78"/>
      <c r="I303" s="45"/>
      <c r="J303" s="45"/>
      <c r="K303" s="45"/>
      <c r="L303" s="45"/>
      <c r="M303" s="45"/>
      <c r="N303" s="45"/>
      <c r="O303" s="45"/>
      <c r="P303" s="45"/>
      <c r="Q303" s="45"/>
      <c r="R303" s="202"/>
      <c r="S303" s="45"/>
    </row>
    <row r="304">
      <c r="A304" s="176"/>
      <c r="B304" s="78"/>
      <c r="C304" s="78"/>
      <c r="D304" s="78"/>
      <c r="E304" s="78"/>
      <c r="F304" s="78"/>
      <c r="G304" s="78"/>
      <c r="H304" s="78"/>
      <c r="I304" s="45"/>
      <c r="J304" s="45"/>
      <c r="K304" s="45"/>
      <c r="L304" s="45"/>
      <c r="M304" s="45"/>
      <c r="N304" s="45"/>
      <c r="O304" s="45"/>
      <c r="P304" s="45"/>
      <c r="Q304" s="45"/>
      <c r="R304" s="202"/>
      <c r="S304" s="45"/>
    </row>
    <row r="305">
      <c r="A305" s="176"/>
      <c r="B305" s="78"/>
      <c r="C305" s="78"/>
      <c r="D305" s="78"/>
      <c r="E305" s="78"/>
      <c r="F305" s="78"/>
      <c r="G305" s="78"/>
      <c r="H305" s="78"/>
      <c r="I305" s="45"/>
      <c r="J305" s="45"/>
      <c r="K305" s="45"/>
      <c r="L305" s="45"/>
      <c r="M305" s="45"/>
      <c r="N305" s="45"/>
      <c r="O305" s="45"/>
      <c r="P305" s="45"/>
      <c r="Q305" s="45"/>
      <c r="R305" s="202"/>
      <c r="S305" s="45"/>
    </row>
    <row r="306">
      <c r="A306" s="176"/>
      <c r="B306" s="78"/>
      <c r="C306" s="78"/>
      <c r="D306" s="78"/>
      <c r="E306" s="78"/>
      <c r="F306" s="78"/>
      <c r="G306" s="78"/>
      <c r="H306" s="78"/>
      <c r="I306" s="45"/>
      <c r="J306" s="45"/>
      <c r="K306" s="45"/>
      <c r="L306" s="45"/>
      <c r="M306" s="45"/>
      <c r="N306" s="45"/>
      <c r="O306" s="45"/>
      <c r="P306" s="45"/>
      <c r="Q306" s="45"/>
      <c r="R306" s="202"/>
      <c r="S306" s="45"/>
    </row>
    <row r="307">
      <c r="A307" s="176"/>
      <c r="B307" s="78"/>
      <c r="C307" s="78"/>
      <c r="D307" s="78"/>
      <c r="E307" s="78"/>
      <c r="F307" s="78"/>
      <c r="G307" s="78"/>
      <c r="H307" s="78"/>
      <c r="I307" s="45"/>
      <c r="J307" s="45"/>
      <c r="K307" s="45"/>
      <c r="L307" s="45"/>
      <c r="M307" s="45"/>
      <c r="N307" s="45"/>
      <c r="O307" s="45"/>
      <c r="P307" s="45"/>
      <c r="Q307" s="45"/>
      <c r="R307" s="202"/>
      <c r="S307" s="45"/>
    </row>
    <row r="308">
      <c r="A308" s="176"/>
      <c r="B308" s="78"/>
      <c r="C308" s="78"/>
      <c r="D308" s="78"/>
      <c r="E308" s="78"/>
      <c r="F308" s="78"/>
      <c r="G308" s="78"/>
      <c r="H308" s="78"/>
      <c r="I308" s="45"/>
      <c r="J308" s="45"/>
      <c r="K308" s="45"/>
      <c r="L308" s="45"/>
      <c r="M308" s="45"/>
      <c r="N308" s="45"/>
      <c r="O308" s="45"/>
      <c r="P308" s="45"/>
      <c r="Q308" s="45"/>
      <c r="R308" s="202"/>
      <c r="S308" s="45"/>
    </row>
    <row r="309">
      <c r="A309" s="176"/>
      <c r="B309" s="78"/>
      <c r="C309" s="78"/>
      <c r="D309" s="78"/>
      <c r="E309" s="78"/>
      <c r="F309" s="78"/>
      <c r="G309" s="78"/>
      <c r="H309" s="78"/>
      <c r="I309" s="45"/>
      <c r="J309" s="45"/>
      <c r="K309" s="45"/>
      <c r="L309" s="45"/>
      <c r="M309" s="45"/>
      <c r="N309" s="45"/>
      <c r="O309" s="45"/>
      <c r="P309" s="45"/>
      <c r="Q309" s="45"/>
      <c r="R309" s="202"/>
      <c r="S309" s="45"/>
    </row>
    <row r="310">
      <c r="A310" s="176"/>
      <c r="B310" s="78"/>
      <c r="C310" s="78"/>
      <c r="D310" s="78"/>
      <c r="E310" s="78"/>
      <c r="F310" s="78"/>
      <c r="G310" s="78"/>
      <c r="H310" s="78"/>
      <c r="I310" s="45"/>
      <c r="J310" s="45"/>
      <c r="K310" s="45"/>
      <c r="L310" s="45"/>
      <c r="M310" s="45"/>
      <c r="N310" s="45"/>
      <c r="O310" s="45"/>
      <c r="P310" s="45"/>
      <c r="Q310" s="45"/>
      <c r="R310" s="202"/>
      <c r="S310" s="45"/>
    </row>
    <row r="311">
      <c r="A311" s="176"/>
      <c r="B311" s="78"/>
      <c r="C311" s="78"/>
      <c r="D311" s="78"/>
      <c r="E311" s="78"/>
      <c r="F311" s="78"/>
      <c r="G311" s="78"/>
      <c r="H311" s="78"/>
      <c r="I311" s="45"/>
      <c r="J311" s="45"/>
      <c r="K311" s="45"/>
      <c r="L311" s="45"/>
      <c r="M311" s="45"/>
      <c r="N311" s="45"/>
      <c r="O311" s="45"/>
      <c r="P311" s="45"/>
      <c r="Q311" s="45"/>
      <c r="R311" s="202"/>
      <c r="S311" s="45"/>
    </row>
    <row r="312">
      <c r="A312" s="176"/>
      <c r="B312" s="78"/>
      <c r="C312" s="78"/>
      <c r="D312" s="78"/>
      <c r="E312" s="78"/>
      <c r="F312" s="78"/>
      <c r="G312" s="78"/>
      <c r="H312" s="78"/>
      <c r="I312" s="45"/>
      <c r="J312" s="45"/>
      <c r="K312" s="45"/>
      <c r="L312" s="45"/>
      <c r="M312" s="45"/>
      <c r="N312" s="45"/>
      <c r="O312" s="45"/>
      <c r="P312" s="45"/>
      <c r="Q312" s="45"/>
      <c r="R312" s="202"/>
      <c r="S312" s="45"/>
    </row>
    <row r="313">
      <c r="A313" s="176"/>
      <c r="B313" s="78"/>
      <c r="C313" s="78"/>
      <c r="D313" s="78"/>
      <c r="E313" s="78"/>
      <c r="F313" s="78"/>
      <c r="G313" s="78"/>
      <c r="H313" s="78"/>
      <c r="I313" s="45"/>
      <c r="J313" s="45"/>
      <c r="K313" s="45"/>
      <c r="L313" s="45"/>
      <c r="M313" s="45"/>
      <c r="N313" s="45"/>
      <c r="O313" s="45"/>
      <c r="P313" s="45"/>
      <c r="Q313" s="45"/>
      <c r="R313" s="202"/>
      <c r="S313" s="45"/>
    </row>
    <row r="314">
      <c r="A314" s="176"/>
      <c r="B314" s="78"/>
      <c r="C314" s="78"/>
      <c r="D314" s="78"/>
      <c r="E314" s="78"/>
      <c r="F314" s="78"/>
      <c r="G314" s="78"/>
      <c r="H314" s="78"/>
      <c r="I314" s="45"/>
      <c r="J314" s="45"/>
      <c r="K314" s="45"/>
      <c r="L314" s="45"/>
      <c r="M314" s="45"/>
      <c r="N314" s="45"/>
      <c r="O314" s="45"/>
      <c r="P314" s="45"/>
      <c r="Q314" s="45"/>
      <c r="R314" s="202"/>
      <c r="S314" s="45"/>
    </row>
    <row r="315">
      <c r="A315" s="176"/>
      <c r="B315" s="78"/>
      <c r="C315" s="78"/>
      <c r="D315" s="709"/>
      <c r="E315" s="709"/>
      <c r="F315" s="709"/>
      <c r="G315" s="709"/>
      <c r="H315" s="709"/>
      <c r="I315" s="45"/>
      <c r="J315" s="45"/>
      <c r="K315" s="45"/>
      <c r="L315" s="45"/>
      <c r="M315" s="45"/>
      <c r="N315" s="45"/>
      <c r="O315" s="45"/>
      <c r="P315" s="45"/>
      <c r="Q315" s="45"/>
      <c r="R315" s="202"/>
      <c r="S315" s="45"/>
    </row>
    <row r="316">
      <c r="A316" s="176"/>
      <c r="B316" s="78"/>
      <c r="C316" s="78"/>
      <c r="D316" s="78"/>
      <c r="E316" s="78"/>
      <c r="F316" s="78"/>
      <c r="G316" s="78"/>
      <c r="H316" s="78"/>
      <c r="I316" s="45"/>
      <c r="J316" s="45"/>
      <c r="K316" s="45"/>
      <c r="L316" s="45"/>
      <c r="M316" s="45"/>
      <c r="N316" s="45"/>
      <c r="O316" s="45"/>
      <c r="P316" s="45"/>
      <c r="Q316" s="45"/>
      <c r="R316" s="202"/>
      <c r="S316" s="45"/>
    </row>
    <row r="317">
      <c r="A317" s="176"/>
      <c r="B317" s="78"/>
      <c r="C317" s="78"/>
      <c r="D317" s="78"/>
      <c r="E317" s="78"/>
      <c r="F317" s="78"/>
      <c r="G317" s="78"/>
      <c r="H317" s="78"/>
      <c r="I317" s="45"/>
      <c r="J317" s="45"/>
      <c r="K317" s="45"/>
      <c r="L317" s="45"/>
      <c r="M317" s="45"/>
      <c r="N317" s="45"/>
      <c r="O317" s="45"/>
      <c r="P317" s="45"/>
      <c r="Q317" s="45"/>
      <c r="R317" s="202"/>
      <c r="S317" s="45"/>
    </row>
    <row r="318">
      <c r="A318" s="176"/>
      <c r="B318" s="78"/>
      <c r="C318" s="78"/>
      <c r="D318" s="78"/>
      <c r="E318" s="78"/>
      <c r="F318" s="78"/>
      <c r="G318" s="78"/>
      <c r="H318" s="78"/>
      <c r="I318" s="45"/>
      <c r="J318" s="45"/>
      <c r="K318" s="45"/>
      <c r="L318" s="45"/>
      <c r="M318" s="45"/>
      <c r="N318" s="45"/>
      <c r="O318" s="45"/>
      <c r="P318" s="45"/>
      <c r="Q318" s="45"/>
      <c r="R318" s="202"/>
      <c r="S318" s="45"/>
    </row>
    <row r="319">
      <c r="A319" s="176"/>
      <c r="B319" s="78"/>
      <c r="C319" s="78"/>
      <c r="D319" s="78"/>
      <c r="E319" s="78"/>
      <c r="F319" s="78"/>
      <c r="G319" s="78"/>
      <c r="H319" s="78"/>
      <c r="I319" s="45"/>
      <c r="J319" s="45"/>
      <c r="K319" s="45"/>
      <c r="L319" s="45"/>
      <c r="M319" s="45"/>
      <c r="N319" s="45"/>
      <c r="O319" s="45"/>
      <c r="P319" s="45"/>
      <c r="Q319" s="45"/>
      <c r="R319" s="202"/>
      <c r="S319" s="45"/>
    </row>
    <row r="320">
      <c r="A320" s="176"/>
      <c r="B320" s="78"/>
      <c r="C320" s="78"/>
      <c r="D320" s="78"/>
      <c r="E320" s="78"/>
      <c r="F320" s="78"/>
      <c r="G320" s="78"/>
      <c r="H320" s="78"/>
      <c r="I320" s="45"/>
      <c r="J320" s="45"/>
      <c r="K320" s="45"/>
      <c r="L320" s="45"/>
      <c r="M320" s="45"/>
      <c r="N320" s="45"/>
      <c r="O320" s="45"/>
      <c r="P320" s="45"/>
      <c r="Q320" s="45"/>
      <c r="R320" s="202"/>
      <c r="S320" s="45"/>
    </row>
    <row r="321">
      <c r="A321" s="176"/>
      <c r="B321" s="78"/>
      <c r="C321" s="78"/>
      <c r="D321" s="78"/>
      <c r="E321" s="78"/>
      <c r="F321" s="78"/>
      <c r="G321" s="78"/>
      <c r="H321" s="78"/>
      <c r="I321" s="45"/>
      <c r="J321" s="45"/>
      <c r="K321" s="45"/>
      <c r="L321" s="45"/>
      <c r="M321" s="45"/>
      <c r="N321" s="45"/>
      <c r="O321" s="45"/>
      <c r="P321" s="45"/>
      <c r="Q321" s="45"/>
      <c r="R321" s="202"/>
      <c r="S321" s="45"/>
    </row>
    <row r="322">
      <c r="A322" s="176"/>
      <c r="B322" s="78"/>
      <c r="C322" s="78"/>
      <c r="D322" s="78"/>
      <c r="E322" s="78"/>
      <c r="F322" s="78"/>
      <c r="G322" s="78"/>
      <c r="H322" s="78"/>
      <c r="I322" s="45"/>
      <c r="J322" s="45"/>
      <c r="K322" s="45"/>
      <c r="L322" s="45"/>
      <c r="M322" s="45"/>
      <c r="N322" s="45"/>
      <c r="O322" s="45"/>
      <c r="P322" s="45"/>
      <c r="Q322" s="45"/>
      <c r="R322" s="202"/>
      <c r="S322" s="45"/>
    </row>
    <row r="323">
      <c r="A323" s="176"/>
      <c r="B323" s="78"/>
      <c r="C323" s="78"/>
      <c r="D323" s="78"/>
      <c r="E323" s="78"/>
      <c r="F323" s="78"/>
      <c r="G323" s="78"/>
      <c r="H323" s="78"/>
      <c r="I323" s="45"/>
      <c r="J323" s="45"/>
      <c r="K323" s="45"/>
      <c r="L323" s="45"/>
      <c r="M323" s="45"/>
      <c r="N323" s="45"/>
      <c r="O323" s="45"/>
      <c r="P323" s="45"/>
      <c r="Q323" s="45"/>
      <c r="R323" s="202"/>
      <c r="S323" s="45"/>
    </row>
    <row r="324">
      <c r="A324" s="176"/>
      <c r="B324" s="78"/>
      <c r="C324" s="78"/>
      <c r="D324" s="78"/>
      <c r="E324" s="78"/>
      <c r="F324" s="78"/>
      <c r="G324" s="78"/>
      <c r="H324" s="78"/>
      <c r="I324" s="45"/>
      <c r="J324" s="45"/>
      <c r="K324" s="45"/>
      <c r="L324" s="45"/>
      <c r="M324" s="45"/>
      <c r="N324" s="45"/>
      <c r="O324" s="45"/>
      <c r="P324" s="45"/>
      <c r="Q324" s="45"/>
      <c r="R324" s="202"/>
      <c r="S324" s="45"/>
    </row>
    <row r="325">
      <c r="A325" s="176"/>
      <c r="B325" s="78"/>
      <c r="C325" s="78"/>
      <c r="D325" s="78"/>
      <c r="E325" s="78"/>
      <c r="F325" s="78"/>
      <c r="G325" s="78"/>
      <c r="H325" s="78"/>
      <c r="I325" s="45"/>
      <c r="J325" s="45"/>
      <c r="K325" s="45"/>
      <c r="L325" s="45"/>
      <c r="M325" s="45"/>
      <c r="N325" s="45"/>
      <c r="O325" s="45"/>
      <c r="P325" s="45"/>
      <c r="Q325" s="45"/>
      <c r="R325" s="202"/>
      <c r="S325" s="45"/>
    </row>
    <row r="326">
      <c r="A326" s="176"/>
      <c r="B326" s="78"/>
      <c r="C326" s="78"/>
      <c r="D326" s="78"/>
      <c r="E326" s="78"/>
      <c r="F326" s="78"/>
      <c r="G326" s="78"/>
      <c r="H326" s="78"/>
      <c r="I326" s="45"/>
      <c r="J326" s="45"/>
      <c r="K326" s="45"/>
      <c r="L326" s="45"/>
      <c r="M326" s="45"/>
      <c r="N326" s="45"/>
      <c r="O326" s="45"/>
      <c r="P326" s="45"/>
      <c r="Q326" s="45"/>
      <c r="R326" s="202"/>
      <c r="S326" s="45"/>
    </row>
    <row r="327">
      <c r="A327" s="176"/>
      <c r="B327" s="78"/>
      <c r="C327" s="78"/>
      <c r="D327" s="78"/>
      <c r="E327" s="78"/>
      <c r="F327" s="78"/>
      <c r="G327" s="78"/>
      <c r="H327" s="78"/>
      <c r="I327" s="45"/>
      <c r="J327" s="45"/>
      <c r="K327" s="45"/>
      <c r="L327" s="45"/>
      <c r="M327" s="45"/>
      <c r="N327" s="45"/>
      <c r="O327" s="45"/>
      <c r="P327" s="45"/>
      <c r="Q327" s="45"/>
      <c r="R327" s="202"/>
      <c r="S327" s="45"/>
    </row>
    <row r="328">
      <c r="A328" s="176"/>
      <c r="B328" s="78"/>
      <c r="C328" s="78"/>
      <c r="D328" s="78"/>
      <c r="E328" s="78"/>
      <c r="F328" s="78"/>
      <c r="G328" s="78"/>
      <c r="H328" s="78"/>
      <c r="I328" s="45"/>
      <c r="J328" s="45"/>
      <c r="K328" s="45"/>
      <c r="L328" s="45"/>
      <c r="M328" s="45"/>
      <c r="N328" s="45"/>
      <c r="O328" s="45"/>
      <c r="P328" s="45"/>
      <c r="Q328" s="45"/>
      <c r="R328" s="202"/>
      <c r="S328" s="45"/>
    </row>
    <row r="329">
      <c r="A329" s="176"/>
      <c r="B329" s="78"/>
      <c r="C329" s="78"/>
      <c r="D329" s="78"/>
      <c r="E329" s="78"/>
      <c r="F329" s="78"/>
      <c r="G329" s="78"/>
      <c r="H329" s="78"/>
      <c r="I329" s="45"/>
      <c r="J329" s="45"/>
      <c r="K329" s="45"/>
      <c r="L329" s="45"/>
      <c r="M329" s="45"/>
      <c r="N329" s="45"/>
      <c r="O329" s="45"/>
      <c r="P329" s="45"/>
      <c r="Q329" s="45"/>
      <c r="R329" s="202"/>
      <c r="S329" s="45"/>
    </row>
    <row r="330">
      <c r="A330" s="176"/>
      <c r="B330" s="78"/>
      <c r="C330" s="78"/>
      <c r="D330" s="78"/>
      <c r="E330" s="78"/>
      <c r="F330" s="78"/>
      <c r="G330" s="78"/>
      <c r="H330" s="78"/>
      <c r="I330" s="45"/>
      <c r="J330" s="45"/>
      <c r="K330" s="45"/>
      <c r="L330" s="45"/>
      <c r="M330" s="45"/>
      <c r="N330" s="45"/>
      <c r="O330" s="45"/>
      <c r="P330" s="45"/>
      <c r="Q330" s="45"/>
      <c r="R330" s="202"/>
      <c r="S330" s="45"/>
    </row>
    <row r="331">
      <c r="A331" s="176"/>
      <c r="B331" s="78"/>
      <c r="C331" s="78"/>
      <c r="D331" s="78"/>
      <c r="E331" s="78"/>
      <c r="F331" s="78"/>
      <c r="G331" s="78"/>
      <c r="H331" s="78"/>
      <c r="I331" s="45"/>
      <c r="J331" s="45"/>
      <c r="K331" s="45"/>
      <c r="L331" s="45"/>
      <c r="M331" s="45"/>
      <c r="N331" s="45"/>
      <c r="O331" s="45"/>
      <c r="P331" s="45"/>
      <c r="Q331" s="45"/>
      <c r="R331" s="202"/>
      <c r="S331" s="45"/>
    </row>
    <row r="332">
      <c r="A332" s="176"/>
      <c r="B332" s="78"/>
      <c r="C332" s="78"/>
      <c r="D332" s="78"/>
      <c r="E332" s="78"/>
      <c r="F332" s="78"/>
      <c r="G332" s="78"/>
      <c r="H332" s="78"/>
      <c r="I332" s="45"/>
      <c r="J332" s="45"/>
      <c r="K332" s="45"/>
      <c r="L332" s="45"/>
      <c r="M332" s="45"/>
      <c r="N332" s="45"/>
      <c r="O332" s="45"/>
      <c r="P332" s="45"/>
      <c r="Q332" s="45"/>
      <c r="R332" s="202"/>
      <c r="S332" s="45"/>
    </row>
    <row r="333">
      <c r="A333" s="176"/>
      <c r="B333" s="78"/>
      <c r="C333" s="78"/>
      <c r="D333" s="78"/>
      <c r="E333" s="78"/>
      <c r="F333" s="78"/>
      <c r="G333" s="78"/>
      <c r="H333" s="78"/>
      <c r="I333" s="45"/>
      <c r="J333" s="45"/>
      <c r="K333" s="45"/>
      <c r="L333" s="45"/>
      <c r="M333" s="45"/>
      <c r="N333" s="45"/>
      <c r="O333" s="45"/>
      <c r="P333" s="45"/>
      <c r="Q333" s="45"/>
      <c r="R333" s="202"/>
      <c r="S333" s="45"/>
    </row>
    <row r="334">
      <c r="A334" s="176"/>
      <c r="B334" s="78"/>
      <c r="C334" s="78"/>
      <c r="D334" s="78"/>
      <c r="E334" s="78"/>
      <c r="F334" s="78"/>
      <c r="G334" s="78"/>
      <c r="H334" s="78"/>
      <c r="I334" s="45"/>
      <c r="J334" s="45"/>
      <c r="K334" s="45"/>
      <c r="L334" s="45"/>
      <c r="M334" s="45"/>
      <c r="N334" s="45"/>
      <c r="O334" s="45"/>
      <c r="P334" s="45"/>
      <c r="Q334" s="45"/>
      <c r="R334" s="202"/>
      <c r="S334" s="45"/>
    </row>
    <row r="335">
      <c r="A335" s="176"/>
      <c r="B335" s="78"/>
      <c r="C335" s="78"/>
      <c r="D335" s="78"/>
      <c r="E335" s="78"/>
      <c r="F335" s="78"/>
      <c r="G335" s="78"/>
      <c r="H335" s="78"/>
      <c r="I335" s="45"/>
      <c r="J335" s="45"/>
      <c r="K335" s="45"/>
      <c r="L335" s="45"/>
      <c r="M335" s="45"/>
      <c r="N335" s="45"/>
      <c r="O335" s="45"/>
      <c r="P335" s="45"/>
      <c r="Q335" s="45"/>
      <c r="R335" s="202"/>
      <c r="S335" s="45"/>
    </row>
    <row r="336">
      <c r="A336" s="176"/>
      <c r="B336" s="78"/>
      <c r="C336" s="78"/>
      <c r="D336" s="78"/>
      <c r="E336" s="78"/>
      <c r="F336" s="78"/>
      <c r="G336" s="78"/>
      <c r="H336" s="78"/>
      <c r="I336" s="45"/>
      <c r="J336" s="45"/>
      <c r="K336" s="45"/>
      <c r="L336" s="45"/>
      <c r="M336" s="45"/>
      <c r="N336" s="45"/>
      <c r="O336" s="45"/>
      <c r="P336" s="45"/>
      <c r="Q336" s="45"/>
      <c r="R336" s="202"/>
      <c r="S336" s="45"/>
    </row>
    <row r="337">
      <c r="A337" s="176"/>
      <c r="B337" s="78"/>
      <c r="C337" s="78"/>
      <c r="D337" s="78"/>
      <c r="E337" s="78"/>
      <c r="F337" s="78"/>
      <c r="G337" s="78"/>
      <c r="H337" s="78"/>
      <c r="I337" s="45"/>
      <c r="J337" s="45"/>
      <c r="K337" s="45"/>
      <c r="L337" s="45"/>
      <c r="M337" s="45"/>
      <c r="N337" s="45"/>
      <c r="O337" s="45"/>
      <c r="P337" s="45"/>
      <c r="Q337" s="45"/>
      <c r="R337" s="202"/>
      <c r="S337" s="45"/>
    </row>
    <row r="338">
      <c r="A338" s="176"/>
      <c r="B338" s="78"/>
      <c r="C338" s="78"/>
      <c r="D338" s="78"/>
      <c r="E338" s="78"/>
      <c r="F338" s="78"/>
      <c r="G338" s="78"/>
      <c r="H338" s="78"/>
      <c r="I338" s="45"/>
      <c r="J338" s="45"/>
      <c r="K338" s="45"/>
      <c r="L338" s="45"/>
      <c r="M338" s="45"/>
      <c r="N338" s="45"/>
      <c r="O338" s="45"/>
      <c r="P338" s="45"/>
      <c r="Q338" s="45"/>
      <c r="R338" s="202"/>
      <c r="S338" s="45"/>
    </row>
    <row r="339">
      <c r="A339" s="176"/>
      <c r="B339" s="78"/>
      <c r="C339" s="78"/>
      <c r="D339" s="78"/>
      <c r="E339" s="78"/>
      <c r="F339" s="78"/>
      <c r="G339" s="78"/>
      <c r="H339" s="78"/>
      <c r="I339" s="45"/>
      <c r="J339" s="45"/>
      <c r="K339" s="45"/>
      <c r="L339" s="45"/>
      <c r="M339" s="45"/>
      <c r="N339" s="45"/>
      <c r="O339" s="45"/>
      <c r="P339" s="45"/>
      <c r="Q339" s="45"/>
      <c r="R339" s="202"/>
      <c r="S339" s="45"/>
    </row>
    <row r="340">
      <c r="A340" s="176"/>
      <c r="B340" s="78"/>
      <c r="C340" s="78"/>
      <c r="D340" s="78"/>
      <c r="E340" s="78"/>
      <c r="F340" s="78"/>
      <c r="G340" s="78"/>
      <c r="H340" s="78"/>
      <c r="I340" s="45"/>
      <c r="J340" s="45"/>
      <c r="K340" s="45"/>
      <c r="L340" s="45"/>
      <c r="M340" s="45"/>
      <c r="N340" s="45"/>
      <c r="O340" s="45"/>
      <c r="P340" s="45"/>
      <c r="Q340" s="45"/>
      <c r="R340" s="202"/>
      <c r="S340" s="45"/>
    </row>
    <row r="341">
      <c r="A341" s="176"/>
      <c r="B341" s="78"/>
      <c r="C341" s="78"/>
      <c r="D341" s="78"/>
      <c r="E341" s="78"/>
      <c r="F341" s="78"/>
      <c r="G341" s="78"/>
      <c r="H341" s="78"/>
      <c r="I341" s="45"/>
      <c r="J341" s="45"/>
      <c r="K341" s="45"/>
      <c r="L341" s="45"/>
      <c r="M341" s="45"/>
      <c r="N341" s="45"/>
      <c r="O341" s="45"/>
      <c r="P341" s="45"/>
      <c r="Q341" s="45"/>
      <c r="R341" s="202"/>
      <c r="S341" s="45"/>
    </row>
    <row r="342">
      <c r="A342" s="176"/>
      <c r="B342" s="78"/>
      <c r="C342" s="78"/>
      <c r="D342" s="78"/>
      <c r="E342" s="78"/>
      <c r="F342" s="78"/>
      <c r="G342" s="78"/>
      <c r="H342" s="78"/>
      <c r="I342" s="45"/>
      <c r="J342" s="45"/>
      <c r="K342" s="45"/>
      <c r="L342" s="45"/>
      <c r="M342" s="45"/>
      <c r="N342" s="45"/>
      <c r="O342" s="45"/>
      <c r="P342" s="45"/>
      <c r="Q342" s="45"/>
      <c r="R342" s="202"/>
      <c r="S342" s="45"/>
    </row>
    <row r="343">
      <c r="A343" s="176"/>
      <c r="B343" s="78"/>
      <c r="C343" s="78"/>
      <c r="D343" s="78"/>
      <c r="E343" s="78"/>
      <c r="F343" s="78"/>
      <c r="G343" s="78"/>
      <c r="H343" s="78"/>
      <c r="I343" s="45"/>
      <c r="J343" s="45"/>
      <c r="K343" s="45"/>
      <c r="L343" s="45"/>
      <c r="M343" s="45"/>
      <c r="N343" s="45"/>
      <c r="O343" s="45"/>
      <c r="P343" s="45"/>
      <c r="Q343" s="45"/>
      <c r="R343" s="202"/>
      <c r="S343" s="45"/>
    </row>
    <row r="344">
      <c r="A344" s="176"/>
      <c r="B344" s="78"/>
      <c r="C344" s="78"/>
      <c r="D344" s="78"/>
      <c r="E344" s="78"/>
      <c r="F344" s="78"/>
      <c r="G344" s="78"/>
      <c r="H344" s="78"/>
      <c r="I344" s="45"/>
      <c r="J344" s="45"/>
      <c r="K344" s="45"/>
      <c r="L344" s="45"/>
      <c r="M344" s="45"/>
      <c r="N344" s="45"/>
      <c r="O344" s="45"/>
      <c r="P344" s="45"/>
      <c r="Q344" s="45"/>
      <c r="R344" s="202"/>
      <c r="S344" s="45"/>
    </row>
    <row r="345">
      <c r="A345" s="176"/>
      <c r="B345" s="78"/>
      <c r="C345" s="78"/>
      <c r="D345" s="78"/>
      <c r="E345" s="78"/>
      <c r="F345" s="78"/>
      <c r="G345" s="78"/>
      <c r="H345" s="78"/>
      <c r="I345" s="45"/>
      <c r="J345" s="45"/>
      <c r="K345" s="45"/>
      <c r="L345" s="45"/>
      <c r="M345" s="45"/>
      <c r="N345" s="45"/>
      <c r="O345" s="45"/>
      <c r="P345" s="45"/>
      <c r="Q345" s="45"/>
      <c r="R345" s="202"/>
      <c r="S345" s="45"/>
    </row>
    <row r="346">
      <c r="A346" s="176"/>
      <c r="B346" s="78"/>
      <c r="C346" s="78"/>
      <c r="D346" s="78"/>
      <c r="E346" s="78"/>
      <c r="F346" s="78"/>
      <c r="G346" s="78"/>
      <c r="H346" s="78"/>
      <c r="I346" s="45"/>
      <c r="J346" s="45"/>
      <c r="K346" s="45"/>
      <c r="L346" s="45"/>
      <c r="M346" s="45"/>
      <c r="N346" s="45"/>
      <c r="O346" s="45"/>
      <c r="P346" s="45"/>
      <c r="Q346" s="45"/>
      <c r="R346" s="202"/>
      <c r="S346" s="45"/>
    </row>
    <row r="347">
      <c r="A347" s="176"/>
      <c r="B347" s="78"/>
      <c r="C347" s="78"/>
      <c r="D347" s="78"/>
      <c r="E347" s="78"/>
      <c r="F347" s="78"/>
      <c r="G347" s="78"/>
      <c r="H347" s="78"/>
      <c r="I347" s="45"/>
      <c r="J347" s="45"/>
      <c r="K347" s="45"/>
      <c r="L347" s="45"/>
      <c r="M347" s="45"/>
      <c r="N347" s="45"/>
      <c r="O347" s="45"/>
      <c r="P347" s="45"/>
      <c r="Q347" s="45"/>
      <c r="R347" s="202"/>
      <c r="S347" s="45"/>
    </row>
    <row r="348">
      <c r="A348" s="176"/>
      <c r="B348" s="78"/>
      <c r="C348" s="78"/>
      <c r="D348" s="78"/>
      <c r="E348" s="78"/>
      <c r="F348" s="78"/>
      <c r="G348" s="78"/>
      <c r="H348" s="78"/>
      <c r="I348" s="45"/>
      <c r="J348" s="45"/>
      <c r="K348" s="45"/>
      <c r="L348" s="45"/>
      <c r="M348" s="45"/>
      <c r="N348" s="45"/>
      <c r="O348" s="45"/>
      <c r="P348" s="45"/>
      <c r="Q348" s="45"/>
      <c r="R348" s="202"/>
      <c r="S348" s="45"/>
    </row>
    <row r="349">
      <c r="A349" s="176"/>
      <c r="B349" s="78"/>
      <c r="C349" s="78"/>
      <c r="D349" s="78"/>
      <c r="E349" s="78"/>
      <c r="F349" s="78"/>
      <c r="G349" s="78"/>
      <c r="H349" s="78"/>
      <c r="I349" s="45"/>
      <c r="J349" s="45"/>
      <c r="K349" s="45"/>
      <c r="L349" s="45"/>
      <c r="M349" s="45"/>
      <c r="N349" s="45"/>
      <c r="O349" s="45"/>
      <c r="P349" s="45"/>
      <c r="Q349" s="45"/>
      <c r="R349" s="202"/>
      <c r="S349" s="45"/>
    </row>
    <row r="350">
      <c r="A350" s="176"/>
      <c r="B350" s="78"/>
      <c r="C350" s="78"/>
      <c r="D350" s="78"/>
      <c r="E350" s="78"/>
      <c r="F350" s="78"/>
      <c r="G350" s="78"/>
      <c r="H350" s="78"/>
      <c r="I350" s="45"/>
      <c r="J350" s="45"/>
      <c r="K350" s="45"/>
      <c r="L350" s="45"/>
      <c r="M350" s="45"/>
      <c r="N350" s="45"/>
      <c r="O350" s="45"/>
      <c r="P350" s="45"/>
      <c r="Q350" s="45"/>
      <c r="R350" s="202"/>
      <c r="S350" s="45"/>
    </row>
    <row r="351">
      <c r="A351" s="176"/>
      <c r="B351" s="78"/>
      <c r="C351" s="78"/>
      <c r="D351" s="78"/>
      <c r="E351" s="78"/>
      <c r="F351" s="78"/>
      <c r="G351" s="78"/>
      <c r="H351" s="78"/>
      <c r="I351" s="45"/>
      <c r="J351" s="45"/>
      <c r="K351" s="45"/>
      <c r="L351" s="45"/>
      <c r="M351" s="45"/>
      <c r="N351" s="45"/>
      <c r="O351" s="45"/>
      <c r="P351" s="45"/>
      <c r="Q351" s="45"/>
      <c r="R351" s="202"/>
      <c r="S351" s="45"/>
    </row>
    <row r="352">
      <c r="A352" s="176"/>
      <c r="B352" s="78"/>
      <c r="C352" s="78"/>
      <c r="D352" s="78"/>
      <c r="E352" s="78"/>
      <c r="F352" s="78"/>
      <c r="G352" s="78"/>
      <c r="H352" s="78"/>
      <c r="I352" s="45"/>
      <c r="J352" s="45"/>
      <c r="K352" s="45"/>
      <c r="L352" s="45"/>
      <c r="M352" s="45"/>
      <c r="N352" s="45"/>
      <c r="O352" s="45"/>
      <c r="P352" s="45"/>
      <c r="Q352" s="45"/>
      <c r="R352" s="202"/>
      <c r="S352" s="45"/>
    </row>
    <row r="353">
      <c r="A353" s="176"/>
      <c r="B353" s="78"/>
      <c r="C353" s="78"/>
      <c r="D353" s="78"/>
      <c r="E353" s="78"/>
      <c r="F353" s="78"/>
      <c r="G353" s="78"/>
      <c r="H353" s="78"/>
      <c r="I353" s="45"/>
      <c r="J353" s="45"/>
      <c r="K353" s="45"/>
      <c r="L353" s="45"/>
      <c r="M353" s="45"/>
      <c r="N353" s="45"/>
      <c r="O353" s="45"/>
      <c r="P353" s="45"/>
      <c r="Q353" s="45"/>
      <c r="R353" s="202"/>
      <c r="S353" s="45"/>
    </row>
    <row r="354">
      <c r="A354" s="176"/>
      <c r="B354" s="78"/>
      <c r="C354" s="78"/>
      <c r="D354" s="78"/>
      <c r="E354" s="78"/>
      <c r="F354" s="78"/>
      <c r="G354" s="78"/>
      <c r="H354" s="78"/>
      <c r="I354" s="45"/>
      <c r="J354" s="45"/>
      <c r="K354" s="45"/>
      <c r="L354" s="45"/>
      <c r="M354" s="45"/>
      <c r="N354" s="45"/>
      <c r="O354" s="45"/>
      <c r="P354" s="45"/>
      <c r="Q354" s="45"/>
      <c r="R354" s="202"/>
      <c r="S354" s="45"/>
    </row>
    <row r="355">
      <c r="A355" s="176"/>
      <c r="B355" s="78"/>
      <c r="C355" s="78"/>
      <c r="D355" s="78"/>
      <c r="E355" s="78"/>
      <c r="F355" s="78"/>
      <c r="G355" s="78"/>
      <c r="H355" s="78"/>
      <c r="I355" s="45"/>
      <c r="J355" s="45"/>
      <c r="K355" s="45"/>
      <c r="L355" s="45"/>
      <c r="M355" s="45"/>
      <c r="N355" s="45"/>
      <c r="O355" s="45"/>
      <c r="P355" s="45"/>
      <c r="Q355" s="45"/>
      <c r="R355" s="202"/>
      <c r="S355" s="45"/>
    </row>
    <row r="356">
      <c r="A356" s="176"/>
      <c r="B356" s="78"/>
      <c r="C356" s="78"/>
      <c r="D356" s="78"/>
      <c r="E356" s="78"/>
      <c r="F356" s="78"/>
      <c r="G356" s="78"/>
      <c r="H356" s="78"/>
      <c r="I356" s="45"/>
      <c r="J356" s="45"/>
      <c r="K356" s="45"/>
      <c r="L356" s="45"/>
      <c r="M356" s="45"/>
      <c r="N356" s="45"/>
      <c r="O356" s="45"/>
      <c r="P356" s="45"/>
      <c r="Q356" s="45"/>
      <c r="R356" s="202"/>
      <c r="S356" s="45"/>
    </row>
    <row r="357">
      <c r="A357" s="176"/>
      <c r="B357" s="78"/>
      <c r="C357" s="78"/>
      <c r="D357" s="78"/>
      <c r="E357" s="78"/>
      <c r="F357" s="78"/>
      <c r="G357" s="78"/>
      <c r="H357" s="78"/>
      <c r="I357" s="45"/>
      <c r="J357" s="45"/>
      <c r="K357" s="45"/>
      <c r="L357" s="45"/>
      <c r="M357" s="45"/>
      <c r="N357" s="45"/>
      <c r="O357" s="45"/>
      <c r="P357" s="45"/>
      <c r="Q357" s="45"/>
      <c r="R357" s="202"/>
      <c r="S357" s="45"/>
    </row>
    <row r="358">
      <c r="A358" s="176"/>
      <c r="B358" s="78"/>
      <c r="C358" s="78"/>
      <c r="D358" s="78"/>
      <c r="E358" s="78"/>
      <c r="F358" s="78"/>
      <c r="G358" s="78"/>
      <c r="H358" s="78"/>
      <c r="I358" s="45"/>
      <c r="J358" s="45"/>
      <c r="K358" s="45"/>
      <c r="L358" s="45"/>
      <c r="M358" s="45"/>
      <c r="N358" s="45"/>
      <c r="O358" s="45"/>
      <c r="P358" s="45"/>
      <c r="Q358" s="45"/>
      <c r="R358" s="202"/>
      <c r="S358" s="45"/>
    </row>
    <row r="359">
      <c r="A359" s="176"/>
      <c r="B359" s="78"/>
      <c r="C359" s="78"/>
      <c r="D359" s="78"/>
      <c r="E359" s="78"/>
      <c r="F359" s="78"/>
      <c r="G359" s="78"/>
      <c r="H359" s="78"/>
      <c r="I359" s="45"/>
      <c r="J359" s="45"/>
      <c r="K359" s="45"/>
      <c r="L359" s="45"/>
      <c r="M359" s="45"/>
      <c r="N359" s="45"/>
      <c r="O359" s="45"/>
      <c r="P359" s="45"/>
      <c r="Q359" s="45"/>
      <c r="R359" s="202"/>
      <c r="S359" s="45"/>
    </row>
    <row r="360">
      <c r="A360" s="176"/>
      <c r="B360" s="78"/>
      <c r="C360" s="78"/>
      <c r="D360" s="78"/>
      <c r="E360" s="78"/>
      <c r="F360" s="78"/>
      <c r="G360" s="78"/>
      <c r="H360" s="78"/>
      <c r="I360" s="45"/>
      <c r="J360" s="45"/>
      <c r="K360" s="45"/>
      <c r="L360" s="45"/>
      <c r="M360" s="45"/>
      <c r="N360" s="45"/>
      <c r="O360" s="45"/>
      <c r="P360" s="45"/>
      <c r="Q360" s="45"/>
      <c r="R360" s="202"/>
      <c r="S360" s="45"/>
    </row>
    <row r="361">
      <c r="A361" s="176"/>
      <c r="B361" s="78"/>
      <c r="C361" s="78"/>
      <c r="D361" s="78"/>
      <c r="E361" s="78"/>
      <c r="F361" s="78"/>
      <c r="G361" s="78"/>
      <c r="H361" s="78"/>
      <c r="I361" s="45"/>
      <c r="J361" s="45"/>
      <c r="K361" s="45"/>
      <c r="L361" s="45"/>
      <c r="M361" s="45"/>
      <c r="N361" s="45"/>
      <c r="O361" s="45"/>
      <c r="P361" s="45"/>
      <c r="Q361" s="45"/>
      <c r="R361" s="202"/>
      <c r="S361" s="45"/>
    </row>
    <row r="362">
      <c r="A362" s="176"/>
      <c r="B362" s="78"/>
      <c r="C362" s="78"/>
      <c r="D362" s="78"/>
      <c r="E362" s="78"/>
      <c r="F362" s="78"/>
      <c r="G362" s="78"/>
      <c r="H362" s="78"/>
      <c r="I362" s="45"/>
      <c r="J362" s="45"/>
      <c r="K362" s="45"/>
      <c r="L362" s="45"/>
      <c r="M362" s="45"/>
      <c r="N362" s="45"/>
      <c r="O362" s="45"/>
      <c r="P362" s="45"/>
      <c r="Q362" s="45"/>
      <c r="R362" s="202"/>
      <c r="S362" s="45"/>
    </row>
    <row r="363">
      <c r="A363" s="176"/>
      <c r="B363" s="78"/>
      <c r="C363" s="78"/>
      <c r="D363" s="78"/>
      <c r="E363" s="78"/>
      <c r="F363" s="78"/>
      <c r="G363" s="78"/>
      <c r="H363" s="78"/>
      <c r="I363" s="45"/>
      <c r="J363" s="45"/>
      <c r="K363" s="45"/>
      <c r="L363" s="45"/>
      <c r="M363" s="45"/>
      <c r="N363" s="45"/>
      <c r="O363" s="45"/>
      <c r="P363" s="45"/>
      <c r="Q363" s="45"/>
      <c r="R363" s="202"/>
      <c r="S363" s="45"/>
    </row>
    <row r="364">
      <c r="A364" s="176"/>
      <c r="B364" s="78"/>
      <c r="C364" s="78"/>
      <c r="D364" s="78"/>
      <c r="E364" s="78"/>
      <c r="F364" s="78"/>
      <c r="G364" s="78"/>
      <c r="H364" s="78"/>
      <c r="I364" s="45"/>
      <c r="J364" s="45"/>
      <c r="K364" s="45"/>
      <c r="L364" s="45"/>
      <c r="M364" s="45"/>
      <c r="N364" s="45"/>
      <c r="O364" s="45"/>
      <c r="P364" s="45"/>
      <c r="Q364" s="45"/>
      <c r="R364" s="202"/>
      <c r="S364" s="45"/>
    </row>
    <row r="365">
      <c r="A365" s="176"/>
      <c r="B365" s="78"/>
      <c r="C365" s="78"/>
      <c r="D365" s="78"/>
      <c r="E365" s="78"/>
      <c r="F365" s="78"/>
      <c r="G365" s="78"/>
      <c r="H365" s="78"/>
      <c r="I365" s="45"/>
      <c r="J365" s="45"/>
      <c r="K365" s="45"/>
      <c r="L365" s="45"/>
      <c r="M365" s="45"/>
      <c r="N365" s="45"/>
      <c r="O365" s="45"/>
      <c r="P365" s="45"/>
      <c r="Q365" s="45"/>
      <c r="R365" s="202"/>
      <c r="S365" s="45"/>
    </row>
    <row r="366">
      <c r="A366" s="176"/>
      <c r="B366" s="78"/>
      <c r="C366" s="78"/>
      <c r="D366" s="78"/>
      <c r="E366" s="78"/>
      <c r="F366" s="78"/>
      <c r="G366" s="78"/>
      <c r="H366" s="78"/>
      <c r="I366" s="45"/>
      <c r="J366" s="45"/>
      <c r="K366" s="45"/>
      <c r="L366" s="45"/>
      <c r="M366" s="45"/>
      <c r="N366" s="45"/>
      <c r="O366" s="45"/>
      <c r="P366" s="45"/>
      <c r="Q366" s="45"/>
      <c r="R366" s="202"/>
      <c r="S366" s="45"/>
    </row>
    <row r="367">
      <c r="A367" s="176"/>
      <c r="B367" s="78"/>
      <c r="C367" s="78"/>
      <c r="D367" s="78"/>
      <c r="E367" s="78"/>
      <c r="F367" s="78"/>
      <c r="G367" s="78"/>
      <c r="H367" s="78"/>
      <c r="I367" s="45"/>
      <c r="J367" s="45"/>
      <c r="K367" s="45"/>
      <c r="L367" s="45"/>
      <c r="M367" s="45"/>
      <c r="N367" s="45"/>
      <c r="O367" s="45"/>
      <c r="P367" s="45"/>
      <c r="Q367" s="45"/>
      <c r="R367" s="202"/>
      <c r="S367" s="45"/>
    </row>
    <row r="368">
      <c r="A368" s="176"/>
      <c r="B368" s="78"/>
      <c r="C368" s="78"/>
      <c r="D368" s="78"/>
      <c r="E368" s="78"/>
      <c r="F368" s="78"/>
      <c r="G368" s="78"/>
      <c r="H368" s="78"/>
      <c r="I368" s="45"/>
      <c r="J368" s="45"/>
      <c r="K368" s="45"/>
      <c r="L368" s="45"/>
      <c r="M368" s="45"/>
      <c r="N368" s="45"/>
      <c r="O368" s="45"/>
      <c r="P368" s="45"/>
      <c r="Q368" s="45"/>
      <c r="R368" s="202"/>
      <c r="S368" s="45"/>
    </row>
    <row r="369">
      <c r="A369" s="176"/>
      <c r="B369" s="78"/>
      <c r="C369" s="78"/>
      <c r="D369" s="78"/>
      <c r="E369" s="78"/>
      <c r="F369" s="78"/>
      <c r="G369" s="78"/>
      <c r="H369" s="78"/>
      <c r="I369" s="45"/>
      <c r="J369" s="45"/>
      <c r="K369" s="45"/>
      <c r="L369" s="45"/>
      <c r="M369" s="45"/>
      <c r="N369" s="45"/>
      <c r="O369" s="45"/>
      <c r="P369" s="45"/>
      <c r="Q369" s="45"/>
      <c r="R369" s="202"/>
      <c r="S369" s="45"/>
    </row>
    <row r="370">
      <c r="A370" s="176"/>
      <c r="B370" s="78"/>
      <c r="C370" s="78"/>
      <c r="D370" s="78"/>
      <c r="E370" s="78"/>
      <c r="F370" s="78"/>
      <c r="G370" s="78"/>
      <c r="H370" s="78"/>
      <c r="I370" s="45"/>
      <c r="J370" s="45"/>
      <c r="K370" s="45"/>
      <c r="L370" s="45"/>
      <c r="M370" s="45"/>
      <c r="N370" s="45"/>
      <c r="O370" s="45"/>
      <c r="P370" s="45"/>
      <c r="Q370" s="45"/>
      <c r="R370" s="202"/>
      <c r="S370" s="45"/>
    </row>
    <row r="371">
      <c r="A371" s="176"/>
      <c r="B371" s="78"/>
      <c r="C371" s="78"/>
      <c r="D371" s="78"/>
      <c r="E371" s="78"/>
      <c r="F371" s="78"/>
      <c r="G371" s="78"/>
      <c r="H371" s="78"/>
      <c r="I371" s="45"/>
      <c r="J371" s="45"/>
      <c r="K371" s="45"/>
      <c r="L371" s="45"/>
      <c r="M371" s="45"/>
      <c r="N371" s="45"/>
      <c r="O371" s="45"/>
      <c r="P371" s="45"/>
      <c r="Q371" s="45"/>
      <c r="R371" s="202"/>
      <c r="S371" s="45"/>
    </row>
    <row r="372">
      <c r="A372" s="176"/>
      <c r="B372" s="78"/>
      <c r="C372" s="78"/>
      <c r="D372" s="78"/>
      <c r="E372" s="78"/>
      <c r="F372" s="78"/>
      <c r="G372" s="78"/>
      <c r="H372" s="78"/>
      <c r="I372" s="45"/>
      <c r="J372" s="45"/>
      <c r="K372" s="45"/>
      <c r="L372" s="45"/>
      <c r="M372" s="45"/>
      <c r="N372" s="45"/>
      <c r="O372" s="45"/>
      <c r="P372" s="45"/>
      <c r="Q372" s="45"/>
      <c r="R372" s="202"/>
      <c r="S372" s="45"/>
    </row>
    <row r="373">
      <c r="A373" s="176"/>
      <c r="B373" s="78"/>
      <c r="C373" s="78"/>
      <c r="D373" s="78"/>
      <c r="E373" s="78"/>
      <c r="F373" s="78"/>
      <c r="G373" s="78"/>
      <c r="H373" s="78"/>
      <c r="I373" s="45"/>
      <c r="J373" s="45"/>
      <c r="K373" s="45"/>
      <c r="L373" s="45"/>
      <c r="M373" s="45"/>
      <c r="N373" s="45"/>
      <c r="O373" s="45"/>
      <c r="P373" s="45"/>
      <c r="Q373" s="45"/>
      <c r="R373" s="202"/>
      <c r="S373" s="45"/>
    </row>
    <row r="374">
      <c r="A374" s="176"/>
      <c r="B374" s="78"/>
      <c r="C374" s="78"/>
      <c r="D374" s="78"/>
      <c r="E374" s="78"/>
      <c r="F374" s="78"/>
      <c r="G374" s="78"/>
      <c r="H374" s="78"/>
      <c r="I374" s="45"/>
      <c r="J374" s="45"/>
      <c r="K374" s="45"/>
      <c r="L374" s="45"/>
      <c r="M374" s="45"/>
      <c r="N374" s="45"/>
      <c r="O374" s="45"/>
      <c r="P374" s="45"/>
      <c r="Q374" s="45"/>
      <c r="R374" s="202"/>
      <c r="S374" s="45"/>
    </row>
    <row r="375">
      <c r="A375" s="176"/>
      <c r="B375" s="78"/>
      <c r="C375" s="78"/>
      <c r="D375" s="78"/>
      <c r="E375" s="78"/>
      <c r="F375" s="78"/>
      <c r="G375" s="78"/>
      <c r="H375" s="78"/>
      <c r="I375" s="45"/>
      <c r="J375" s="45"/>
      <c r="K375" s="45"/>
      <c r="L375" s="45"/>
      <c r="M375" s="45"/>
      <c r="N375" s="45"/>
      <c r="O375" s="45"/>
      <c r="P375" s="45"/>
      <c r="Q375" s="45"/>
      <c r="R375" s="202"/>
      <c r="S375" s="45"/>
    </row>
    <row r="376">
      <c r="A376" s="176"/>
      <c r="B376" s="78"/>
      <c r="C376" s="78"/>
      <c r="D376" s="78"/>
      <c r="E376" s="78"/>
      <c r="F376" s="78"/>
      <c r="G376" s="78"/>
      <c r="H376" s="78"/>
      <c r="I376" s="45"/>
      <c r="J376" s="45"/>
      <c r="K376" s="45"/>
      <c r="L376" s="45"/>
      <c r="M376" s="45"/>
      <c r="N376" s="45"/>
      <c r="O376" s="45"/>
      <c r="P376" s="45"/>
      <c r="Q376" s="45"/>
      <c r="R376" s="202"/>
      <c r="S376" s="45"/>
    </row>
    <row r="377">
      <c r="A377" s="176"/>
      <c r="B377" s="78"/>
      <c r="C377" s="78"/>
      <c r="D377" s="78"/>
      <c r="E377" s="78"/>
      <c r="F377" s="78"/>
      <c r="G377" s="78"/>
      <c r="H377" s="78"/>
      <c r="I377" s="45"/>
      <c r="J377" s="45"/>
      <c r="K377" s="45"/>
      <c r="L377" s="45"/>
      <c r="M377" s="45"/>
      <c r="N377" s="45"/>
      <c r="O377" s="45"/>
      <c r="P377" s="45"/>
      <c r="Q377" s="45"/>
      <c r="R377" s="202"/>
      <c r="S377" s="45"/>
    </row>
    <row r="378">
      <c r="A378" s="176"/>
      <c r="B378" s="78"/>
      <c r="C378" s="78"/>
      <c r="D378" s="78"/>
      <c r="E378" s="78"/>
      <c r="F378" s="78"/>
      <c r="G378" s="78"/>
      <c r="H378" s="78"/>
      <c r="I378" s="45"/>
      <c r="J378" s="45"/>
      <c r="K378" s="45"/>
      <c r="L378" s="45"/>
      <c r="M378" s="45"/>
      <c r="N378" s="45"/>
      <c r="O378" s="45"/>
      <c r="P378" s="45"/>
      <c r="Q378" s="45"/>
      <c r="R378" s="202"/>
      <c r="S378" s="45"/>
    </row>
    <row r="379">
      <c r="A379" s="176"/>
      <c r="B379" s="78"/>
      <c r="C379" s="78"/>
      <c r="D379" s="78"/>
      <c r="E379" s="78"/>
      <c r="F379" s="78"/>
      <c r="G379" s="78"/>
      <c r="H379" s="78"/>
      <c r="I379" s="45"/>
      <c r="J379" s="45"/>
      <c r="K379" s="45"/>
      <c r="L379" s="45"/>
      <c r="M379" s="45"/>
      <c r="N379" s="45"/>
      <c r="O379" s="45"/>
      <c r="P379" s="45"/>
      <c r="Q379" s="45"/>
      <c r="R379" s="202"/>
      <c r="S379" s="45"/>
    </row>
    <row r="380">
      <c r="A380" s="176"/>
      <c r="B380" s="78"/>
      <c r="C380" s="78"/>
      <c r="D380" s="78"/>
      <c r="E380" s="78"/>
      <c r="F380" s="78"/>
      <c r="G380" s="78"/>
      <c r="H380" s="78"/>
      <c r="I380" s="45"/>
      <c r="J380" s="45"/>
      <c r="K380" s="45"/>
      <c r="L380" s="45"/>
      <c r="M380" s="45"/>
      <c r="N380" s="45"/>
      <c r="O380" s="45"/>
      <c r="P380" s="45"/>
      <c r="Q380" s="45"/>
      <c r="R380" s="202"/>
      <c r="S380" s="45"/>
    </row>
    <row r="381">
      <c r="A381" s="176"/>
      <c r="B381" s="78"/>
      <c r="C381" s="78"/>
      <c r="D381" s="78"/>
      <c r="E381" s="78"/>
      <c r="F381" s="78"/>
      <c r="G381" s="78"/>
      <c r="H381" s="78"/>
      <c r="I381" s="45"/>
      <c r="J381" s="45"/>
      <c r="K381" s="45"/>
      <c r="L381" s="45"/>
      <c r="M381" s="45"/>
      <c r="N381" s="45"/>
      <c r="O381" s="45"/>
      <c r="P381" s="45"/>
      <c r="Q381" s="45"/>
      <c r="R381" s="202"/>
      <c r="S381" s="45"/>
    </row>
    <row r="382">
      <c r="A382" s="176"/>
      <c r="B382" s="78"/>
      <c r="C382" s="78"/>
      <c r="D382" s="78"/>
      <c r="E382" s="78"/>
      <c r="F382" s="78"/>
      <c r="G382" s="78"/>
      <c r="H382" s="78"/>
      <c r="I382" s="45"/>
      <c r="J382" s="45"/>
      <c r="K382" s="45"/>
      <c r="L382" s="45"/>
      <c r="M382" s="45"/>
      <c r="N382" s="45"/>
      <c r="O382" s="45"/>
      <c r="P382" s="45"/>
      <c r="Q382" s="45"/>
      <c r="R382" s="202"/>
      <c r="S382" s="45"/>
    </row>
    <row r="383">
      <c r="A383" s="176"/>
      <c r="B383" s="78"/>
      <c r="C383" s="78"/>
      <c r="D383" s="78"/>
      <c r="E383" s="78"/>
      <c r="F383" s="78"/>
      <c r="G383" s="78"/>
      <c r="H383" s="78"/>
      <c r="I383" s="45"/>
      <c r="J383" s="45"/>
      <c r="K383" s="45"/>
      <c r="L383" s="45"/>
      <c r="M383" s="45"/>
      <c r="N383" s="45"/>
      <c r="O383" s="45"/>
      <c r="P383" s="45"/>
      <c r="Q383" s="45"/>
      <c r="R383" s="202"/>
      <c r="S383" s="45"/>
    </row>
    <row r="384">
      <c r="A384" s="176"/>
      <c r="B384" s="78"/>
      <c r="C384" s="78"/>
      <c r="D384" s="78"/>
      <c r="E384" s="78"/>
      <c r="F384" s="78"/>
      <c r="G384" s="78"/>
      <c r="H384" s="78"/>
      <c r="I384" s="45"/>
      <c r="J384" s="45"/>
      <c r="K384" s="45"/>
      <c r="L384" s="45"/>
      <c r="M384" s="45"/>
      <c r="N384" s="45"/>
      <c r="O384" s="45"/>
      <c r="P384" s="45"/>
      <c r="Q384" s="45"/>
      <c r="R384" s="202"/>
      <c r="S384" s="45"/>
    </row>
    <row r="385">
      <c r="A385" s="176"/>
      <c r="B385" s="78"/>
      <c r="C385" s="78"/>
      <c r="D385" s="78"/>
      <c r="E385" s="78"/>
      <c r="F385" s="78"/>
      <c r="G385" s="78"/>
      <c r="H385" s="78"/>
      <c r="I385" s="45"/>
      <c r="J385" s="45"/>
      <c r="K385" s="45"/>
      <c r="L385" s="45"/>
      <c r="M385" s="45"/>
      <c r="N385" s="45"/>
      <c r="O385" s="45"/>
      <c r="P385" s="45"/>
      <c r="Q385" s="45"/>
      <c r="R385" s="202"/>
      <c r="S385" s="45"/>
    </row>
    <row r="386">
      <c r="A386" s="176"/>
      <c r="B386" s="78"/>
      <c r="C386" s="78"/>
      <c r="D386" s="78"/>
      <c r="E386" s="78"/>
      <c r="F386" s="78"/>
      <c r="G386" s="78"/>
      <c r="H386" s="78"/>
      <c r="I386" s="45"/>
      <c r="J386" s="45"/>
      <c r="K386" s="45"/>
      <c r="L386" s="45"/>
      <c r="M386" s="45"/>
      <c r="N386" s="45"/>
      <c r="O386" s="45"/>
      <c r="P386" s="45"/>
      <c r="Q386" s="45"/>
      <c r="R386" s="202"/>
      <c r="S386" s="45"/>
    </row>
    <row r="387">
      <c r="A387" s="176"/>
      <c r="B387" s="78"/>
      <c r="C387" s="78"/>
      <c r="D387" s="78"/>
      <c r="E387" s="78"/>
      <c r="F387" s="78"/>
      <c r="G387" s="78"/>
      <c r="H387" s="78"/>
      <c r="I387" s="45"/>
      <c r="J387" s="45"/>
      <c r="K387" s="45"/>
      <c r="L387" s="45"/>
      <c r="M387" s="45"/>
      <c r="N387" s="45"/>
      <c r="O387" s="45"/>
      <c r="P387" s="45"/>
      <c r="Q387" s="45"/>
      <c r="R387" s="202"/>
      <c r="S387" s="45"/>
    </row>
    <row r="388">
      <c r="A388" s="176"/>
      <c r="B388" s="78"/>
      <c r="C388" s="78"/>
      <c r="D388" s="78"/>
      <c r="E388" s="78"/>
      <c r="F388" s="78"/>
      <c r="G388" s="78"/>
      <c r="H388" s="78"/>
      <c r="I388" s="45"/>
      <c r="J388" s="45"/>
      <c r="K388" s="45"/>
      <c r="L388" s="45"/>
      <c r="M388" s="45"/>
      <c r="N388" s="45"/>
      <c r="O388" s="45"/>
      <c r="P388" s="45"/>
      <c r="Q388" s="45"/>
      <c r="R388" s="202"/>
      <c r="S388" s="45"/>
    </row>
    <row r="389">
      <c r="A389" s="176"/>
      <c r="B389" s="78"/>
      <c r="C389" s="78"/>
      <c r="D389" s="78"/>
      <c r="E389" s="78"/>
      <c r="F389" s="78"/>
      <c r="G389" s="78"/>
      <c r="H389" s="78"/>
      <c r="I389" s="45"/>
      <c r="J389" s="45"/>
      <c r="K389" s="45"/>
      <c r="L389" s="45"/>
      <c r="M389" s="45"/>
      <c r="N389" s="45"/>
      <c r="O389" s="45"/>
      <c r="P389" s="45"/>
      <c r="Q389" s="45"/>
      <c r="R389" s="202"/>
      <c r="S389" s="45"/>
    </row>
    <row r="390">
      <c r="A390" s="176"/>
      <c r="B390" s="78"/>
      <c r="C390" s="78"/>
      <c r="D390" s="78"/>
      <c r="E390" s="78"/>
      <c r="F390" s="78"/>
      <c r="G390" s="78"/>
      <c r="H390" s="78"/>
      <c r="I390" s="45"/>
      <c r="J390" s="45"/>
      <c r="K390" s="45"/>
      <c r="L390" s="45"/>
      <c r="M390" s="45"/>
      <c r="N390" s="45"/>
      <c r="O390" s="45"/>
      <c r="P390" s="45"/>
      <c r="Q390" s="45"/>
      <c r="R390" s="202"/>
      <c r="S390" s="45"/>
    </row>
    <row r="391">
      <c r="A391" s="176"/>
      <c r="B391" s="78"/>
      <c r="C391" s="78"/>
      <c r="D391" s="78"/>
      <c r="E391" s="78"/>
      <c r="F391" s="78"/>
      <c r="G391" s="78"/>
      <c r="H391" s="78"/>
      <c r="I391" s="45"/>
      <c r="J391" s="45"/>
      <c r="K391" s="45"/>
      <c r="L391" s="45"/>
      <c r="M391" s="45"/>
      <c r="N391" s="45"/>
      <c r="O391" s="45"/>
      <c r="P391" s="45"/>
      <c r="Q391" s="45"/>
      <c r="R391" s="202"/>
      <c r="S391" s="45"/>
    </row>
    <row r="392">
      <c r="A392" s="176"/>
      <c r="B392" s="78"/>
      <c r="C392" s="78"/>
      <c r="D392" s="78"/>
      <c r="E392" s="78"/>
      <c r="F392" s="78"/>
      <c r="G392" s="78"/>
      <c r="H392" s="78"/>
      <c r="I392" s="45"/>
      <c r="J392" s="45"/>
      <c r="K392" s="45"/>
      <c r="L392" s="45"/>
      <c r="M392" s="45"/>
      <c r="N392" s="45"/>
      <c r="O392" s="45"/>
      <c r="P392" s="45"/>
      <c r="Q392" s="45"/>
      <c r="R392" s="202"/>
      <c r="S392" s="45"/>
    </row>
    <row r="393">
      <c r="A393" s="176"/>
      <c r="B393" s="78"/>
      <c r="C393" s="78"/>
      <c r="D393" s="78"/>
      <c r="E393" s="78"/>
      <c r="F393" s="78"/>
      <c r="G393" s="78"/>
      <c r="H393" s="78"/>
      <c r="I393" s="45"/>
      <c r="J393" s="45"/>
      <c r="K393" s="45"/>
      <c r="L393" s="45"/>
      <c r="M393" s="45"/>
      <c r="N393" s="45"/>
      <c r="O393" s="45"/>
      <c r="P393" s="45"/>
      <c r="Q393" s="45"/>
      <c r="R393" s="202"/>
      <c r="S393" s="45"/>
    </row>
    <row r="394">
      <c r="A394" s="176"/>
      <c r="B394" s="78"/>
      <c r="C394" s="78"/>
      <c r="D394" s="78"/>
      <c r="E394" s="78"/>
      <c r="F394" s="78"/>
      <c r="G394" s="78"/>
      <c r="H394" s="78"/>
      <c r="I394" s="45"/>
      <c r="J394" s="45"/>
      <c r="K394" s="45"/>
      <c r="L394" s="45"/>
      <c r="M394" s="45"/>
      <c r="N394" s="45"/>
      <c r="O394" s="45"/>
      <c r="P394" s="45"/>
      <c r="Q394" s="45"/>
      <c r="R394" s="202"/>
      <c r="S394" s="45"/>
    </row>
    <row r="395">
      <c r="A395" s="176"/>
      <c r="B395" s="78"/>
      <c r="C395" s="78"/>
      <c r="D395" s="78"/>
      <c r="E395" s="78"/>
      <c r="F395" s="78"/>
      <c r="G395" s="78"/>
      <c r="H395" s="78"/>
      <c r="I395" s="45"/>
      <c r="J395" s="45"/>
      <c r="K395" s="45"/>
      <c r="L395" s="45"/>
      <c r="M395" s="45"/>
      <c r="N395" s="45"/>
      <c r="O395" s="45"/>
      <c r="P395" s="45"/>
      <c r="Q395" s="45"/>
      <c r="R395" s="202"/>
      <c r="S395" s="45"/>
    </row>
    <row r="396">
      <c r="A396" s="176"/>
      <c r="B396" s="78"/>
      <c r="C396" s="78"/>
      <c r="D396" s="78"/>
      <c r="E396" s="78"/>
      <c r="F396" s="78"/>
      <c r="G396" s="78"/>
      <c r="H396" s="78"/>
      <c r="I396" s="45"/>
      <c r="J396" s="45"/>
      <c r="K396" s="45"/>
      <c r="L396" s="45"/>
      <c r="M396" s="45"/>
      <c r="N396" s="45"/>
      <c r="O396" s="45"/>
      <c r="P396" s="45"/>
      <c r="Q396" s="45"/>
      <c r="R396" s="202"/>
      <c r="S396" s="45"/>
    </row>
    <row r="397">
      <c r="A397" s="176"/>
      <c r="B397" s="78"/>
      <c r="C397" s="78"/>
      <c r="D397" s="78"/>
      <c r="E397" s="78"/>
      <c r="F397" s="78"/>
      <c r="G397" s="78"/>
      <c r="H397" s="78"/>
      <c r="I397" s="45"/>
      <c r="J397" s="45"/>
      <c r="K397" s="45"/>
      <c r="L397" s="45"/>
      <c r="M397" s="45"/>
      <c r="N397" s="45"/>
      <c r="O397" s="45"/>
      <c r="P397" s="45"/>
      <c r="Q397" s="45"/>
      <c r="R397" s="202"/>
      <c r="S397" s="45"/>
    </row>
    <row r="398">
      <c r="A398" s="176"/>
      <c r="B398" s="78"/>
      <c r="C398" s="78"/>
      <c r="D398" s="78"/>
      <c r="E398" s="78"/>
      <c r="F398" s="78"/>
      <c r="G398" s="78"/>
      <c r="H398" s="78"/>
      <c r="I398" s="45"/>
      <c r="J398" s="45"/>
      <c r="K398" s="45"/>
      <c r="L398" s="45"/>
      <c r="M398" s="45"/>
      <c r="N398" s="45"/>
      <c r="O398" s="45"/>
      <c r="P398" s="45"/>
      <c r="Q398" s="45"/>
      <c r="R398" s="202"/>
      <c r="S398" s="45"/>
    </row>
    <row r="399">
      <c r="A399" s="176"/>
      <c r="B399" s="78"/>
      <c r="C399" s="78"/>
      <c r="D399" s="78"/>
      <c r="E399" s="78"/>
      <c r="F399" s="78"/>
      <c r="G399" s="78"/>
      <c r="H399" s="78"/>
      <c r="I399" s="45"/>
      <c r="J399" s="45"/>
      <c r="K399" s="45"/>
      <c r="L399" s="45"/>
      <c r="M399" s="45"/>
      <c r="N399" s="45"/>
      <c r="O399" s="45"/>
      <c r="P399" s="45"/>
      <c r="Q399" s="45"/>
      <c r="R399" s="202"/>
      <c r="S399" s="45"/>
    </row>
    <row r="400">
      <c r="A400" s="176"/>
      <c r="B400" s="78"/>
      <c r="C400" s="78"/>
      <c r="D400" s="78"/>
      <c r="E400" s="78"/>
      <c r="F400" s="78"/>
      <c r="G400" s="78"/>
      <c r="H400" s="78"/>
      <c r="I400" s="45"/>
      <c r="J400" s="45"/>
      <c r="K400" s="45"/>
      <c r="L400" s="45"/>
      <c r="M400" s="45"/>
      <c r="N400" s="45"/>
      <c r="O400" s="45"/>
      <c r="P400" s="45"/>
      <c r="Q400" s="45"/>
      <c r="R400" s="202"/>
      <c r="S400" s="45"/>
    </row>
    <row r="401">
      <c r="A401" s="176"/>
      <c r="B401" s="78"/>
      <c r="C401" s="78"/>
      <c r="D401" s="78"/>
      <c r="E401" s="78"/>
      <c r="F401" s="78"/>
      <c r="G401" s="78"/>
      <c r="H401" s="78"/>
      <c r="I401" s="45"/>
      <c r="J401" s="45"/>
      <c r="K401" s="45"/>
      <c r="L401" s="45"/>
      <c r="M401" s="45"/>
      <c r="N401" s="45"/>
      <c r="O401" s="45"/>
      <c r="P401" s="45"/>
      <c r="Q401" s="45"/>
      <c r="R401" s="202"/>
      <c r="S401" s="45"/>
    </row>
    <row r="402">
      <c r="A402" s="176"/>
      <c r="B402" s="78"/>
      <c r="C402" s="78"/>
      <c r="D402" s="78"/>
      <c r="E402" s="78"/>
      <c r="F402" s="78"/>
      <c r="G402" s="78"/>
      <c r="H402" s="78"/>
      <c r="I402" s="45"/>
      <c r="J402" s="45"/>
      <c r="K402" s="45"/>
      <c r="L402" s="45"/>
      <c r="M402" s="45"/>
      <c r="N402" s="45"/>
      <c r="O402" s="45"/>
      <c r="P402" s="45"/>
      <c r="Q402" s="45"/>
      <c r="R402" s="202"/>
      <c r="S402" s="45"/>
    </row>
    <row r="403">
      <c r="A403" s="176"/>
      <c r="B403" s="78"/>
      <c r="C403" s="78"/>
      <c r="D403" s="78"/>
      <c r="E403" s="78"/>
      <c r="F403" s="78"/>
      <c r="G403" s="78"/>
      <c r="H403" s="78"/>
      <c r="I403" s="45"/>
      <c r="J403" s="45"/>
      <c r="K403" s="45"/>
      <c r="L403" s="45"/>
      <c r="M403" s="45"/>
      <c r="N403" s="45"/>
      <c r="O403" s="45"/>
      <c r="P403" s="45"/>
      <c r="Q403" s="45"/>
      <c r="R403" s="202"/>
      <c r="S403" s="45"/>
    </row>
    <row r="404">
      <c r="A404" s="176"/>
      <c r="B404" s="78"/>
      <c r="C404" s="78"/>
      <c r="D404" s="78"/>
      <c r="E404" s="78"/>
      <c r="F404" s="78"/>
      <c r="G404" s="78"/>
      <c r="H404" s="78"/>
      <c r="I404" s="45"/>
      <c r="J404" s="45"/>
      <c r="K404" s="45"/>
      <c r="L404" s="45"/>
      <c r="M404" s="45"/>
      <c r="N404" s="45"/>
      <c r="O404" s="45"/>
      <c r="P404" s="45"/>
      <c r="Q404" s="45"/>
      <c r="R404" s="202"/>
      <c r="S404" s="45"/>
    </row>
    <row r="405">
      <c r="A405" s="176"/>
      <c r="B405" s="78"/>
      <c r="C405" s="78"/>
      <c r="D405" s="78"/>
      <c r="E405" s="78"/>
      <c r="F405" s="78"/>
      <c r="G405" s="78"/>
      <c r="H405" s="78"/>
      <c r="I405" s="45"/>
      <c r="J405" s="45"/>
      <c r="K405" s="45"/>
      <c r="L405" s="45"/>
      <c r="M405" s="45"/>
      <c r="N405" s="45"/>
      <c r="O405" s="45"/>
      <c r="P405" s="45"/>
      <c r="Q405" s="45"/>
      <c r="R405" s="202"/>
      <c r="S405" s="45"/>
    </row>
    <row r="406">
      <c r="A406" s="176"/>
      <c r="B406" s="78"/>
      <c r="C406" s="78"/>
      <c r="D406" s="78"/>
      <c r="E406" s="78"/>
      <c r="F406" s="78"/>
      <c r="G406" s="78"/>
      <c r="H406" s="78"/>
      <c r="I406" s="45"/>
      <c r="J406" s="45"/>
      <c r="K406" s="45"/>
      <c r="L406" s="45"/>
      <c r="M406" s="45"/>
      <c r="N406" s="45"/>
      <c r="O406" s="45"/>
      <c r="P406" s="45"/>
      <c r="Q406" s="45"/>
      <c r="R406" s="202"/>
      <c r="S406" s="45"/>
    </row>
    <row r="407">
      <c r="A407" s="176"/>
      <c r="B407" s="78"/>
      <c r="C407" s="78"/>
      <c r="D407" s="78"/>
      <c r="E407" s="78"/>
      <c r="F407" s="78"/>
      <c r="G407" s="78"/>
      <c r="H407" s="78"/>
      <c r="I407" s="45"/>
      <c r="J407" s="45"/>
      <c r="K407" s="45"/>
      <c r="L407" s="45"/>
      <c r="M407" s="45"/>
      <c r="N407" s="45"/>
      <c r="O407" s="45"/>
      <c r="P407" s="45"/>
      <c r="Q407" s="45"/>
      <c r="R407" s="202"/>
      <c r="S407" s="45"/>
    </row>
    <row r="408">
      <c r="A408" s="176"/>
      <c r="B408" s="78"/>
      <c r="C408" s="78"/>
      <c r="D408" s="78"/>
      <c r="E408" s="78"/>
      <c r="F408" s="78"/>
      <c r="G408" s="78"/>
      <c r="H408" s="78"/>
      <c r="I408" s="45"/>
      <c r="J408" s="45"/>
      <c r="K408" s="45"/>
      <c r="L408" s="45"/>
      <c r="M408" s="45"/>
      <c r="N408" s="45"/>
      <c r="O408" s="45"/>
      <c r="P408" s="45"/>
      <c r="Q408" s="45"/>
      <c r="R408" s="202"/>
      <c r="S408" s="45"/>
    </row>
    <row r="409">
      <c r="A409" s="176"/>
      <c r="B409" s="78"/>
      <c r="C409" s="78"/>
      <c r="D409" s="78"/>
      <c r="E409" s="78"/>
      <c r="F409" s="78"/>
      <c r="G409" s="78"/>
      <c r="H409" s="78"/>
      <c r="I409" s="45"/>
      <c r="J409" s="45"/>
      <c r="K409" s="45"/>
      <c r="L409" s="45"/>
      <c r="M409" s="45"/>
      <c r="N409" s="45"/>
      <c r="O409" s="45"/>
      <c r="P409" s="45"/>
      <c r="Q409" s="45"/>
      <c r="R409" s="202"/>
      <c r="S409" s="45"/>
    </row>
    <row r="410">
      <c r="A410" s="176"/>
      <c r="B410" s="78"/>
      <c r="C410" s="78"/>
      <c r="D410" s="78"/>
      <c r="E410" s="78"/>
      <c r="F410" s="78"/>
      <c r="G410" s="78"/>
      <c r="H410" s="78"/>
      <c r="I410" s="45"/>
      <c r="J410" s="45"/>
      <c r="K410" s="45"/>
      <c r="L410" s="45"/>
      <c r="M410" s="45"/>
      <c r="N410" s="45"/>
      <c r="O410" s="45"/>
      <c r="P410" s="45"/>
      <c r="Q410" s="45"/>
      <c r="R410" s="202"/>
      <c r="S410" s="45"/>
    </row>
    <row r="411">
      <c r="A411" s="176"/>
      <c r="B411" s="78"/>
      <c r="C411" s="78"/>
      <c r="D411" s="78"/>
      <c r="E411" s="78"/>
      <c r="F411" s="78"/>
      <c r="G411" s="78"/>
      <c r="H411" s="78"/>
      <c r="I411" s="45"/>
      <c r="J411" s="45"/>
      <c r="K411" s="45"/>
      <c r="L411" s="45"/>
      <c r="M411" s="45"/>
      <c r="N411" s="45"/>
      <c r="O411" s="45"/>
      <c r="P411" s="45"/>
      <c r="Q411" s="45"/>
      <c r="R411" s="202"/>
      <c r="S411" s="45"/>
    </row>
    <row r="412">
      <c r="A412" s="176"/>
      <c r="B412" s="78"/>
      <c r="C412" s="78"/>
      <c r="D412" s="78"/>
      <c r="E412" s="78"/>
      <c r="F412" s="78"/>
      <c r="G412" s="78"/>
      <c r="H412" s="78"/>
      <c r="I412" s="45"/>
      <c r="J412" s="45"/>
      <c r="K412" s="45"/>
      <c r="L412" s="45"/>
      <c r="M412" s="45"/>
      <c r="N412" s="45"/>
      <c r="O412" s="45"/>
      <c r="P412" s="45"/>
      <c r="Q412" s="45"/>
      <c r="R412" s="202"/>
      <c r="S412" s="45"/>
    </row>
    <row r="413">
      <c r="A413" s="176"/>
      <c r="B413" s="78"/>
      <c r="C413" s="78"/>
      <c r="D413" s="78"/>
      <c r="E413" s="78"/>
      <c r="F413" s="78"/>
      <c r="G413" s="78"/>
      <c r="H413" s="78"/>
      <c r="I413" s="45"/>
      <c r="J413" s="45"/>
      <c r="K413" s="45"/>
      <c r="L413" s="45"/>
      <c r="M413" s="45"/>
      <c r="N413" s="45"/>
      <c r="O413" s="45"/>
      <c r="P413" s="45"/>
      <c r="Q413" s="45"/>
      <c r="R413" s="202"/>
      <c r="S413" s="45"/>
    </row>
    <row r="414">
      <c r="A414" s="176"/>
      <c r="B414" s="78"/>
      <c r="C414" s="78"/>
      <c r="D414" s="78"/>
      <c r="E414" s="78"/>
      <c r="F414" s="78"/>
      <c r="G414" s="78"/>
      <c r="H414" s="78"/>
      <c r="I414" s="45"/>
      <c r="J414" s="45"/>
      <c r="K414" s="45"/>
      <c r="L414" s="45"/>
      <c r="M414" s="45"/>
      <c r="N414" s="45"/>
      <c r="O414" s="45"/>
      <c r="P414" s="45"/>
      <c r="Q414" s="45"/>
      <c r="R414" s="202"/>
      <c r="S414" s="45"/>
    </row>
    <row r="415">
      <c r="A415" s="176"/>
      <c r="B415" s="78"/>
      <c r="C415" s="78"/>
      <c r="D415" s="78"/>
      <c r="E415" s="78"/>
      <c r="F415" s="78"/>
      <c r="G415" s="78"/>
      <c r="H415" s="78"/>
      <c r="I415" s="45"/>
      <c r="J415" s="45"/>
      <c r="K415" s="45"/>
      <c r="L415" s="45"/>
      <c r="M415" s="45"/>
      <c r="N415" s="45"/>
      <c r="O415" s="45"/>
      <c r="P415" s="45"/>
      <c r="Q415" s="45"/>
      <c r="R415" s="202"/>
      <c r="S415" s="45"/>
    </row>
    <row r="416">
      <c r="A416" s="176"/>
      <c r="B416" s="78"/>
      <c r="C416" s="78"/>
      <c r="D416" s="78"/>
      <c r="E416" s="78"/>
      <c r="F416" s="78"/>
      <c r="G416" s="78"/>
      <c r="H416" s="78"/>
      <c r="I416" s="45"/>
      <c r="J416" s="45"/>
      <c r="K416" s="45"/>
      <c r="L416" s="45"/>
      <c r="M416" s="45"/>
      <c r="N416" s="45"/>
      <c r="O416" s="45"/>
      <c r="P416" s="45"/>
      <c r="Q416" s="45"/>
      <c r="R416" s="202"/>
      <c r="S416" s="45"/>
    </row>
    <row r="417">
      <c r="A417" s="176"/>
      <c r="B417" s="78"/>
      <c r="C417" s="78"/>
      <c r="D417" s="78"/>
      <c r="E417" s="78"/>
      <c r="F417" s="78"/>
      <c r="G417" s="78"/>
      <c r="H417" s="78"/>
      <c r="I417" s="45"/>
      <c r="J417" s="45"/>
      <c r="K417" s="45"/>
      <c r="L417" s="45"/>
      <c r="M417" s="45"/>
      <c r="N417" s="45"/>
      <c r="O417" s="45"/>
      <c r="P417" s="45"/>
      <c r="Q417" s="45"/>
      <c r="R417" s="202"/>
      <c r="S417" s="45"/>
    </row>
    <row r="418">
      <c r="A418" s="176"/>
      <c r="B418" s="78"/>
      <c r="C418" s="78"/>
      <c r="D418" s="78"/>
      <c r="E418" s="78"/>
      <c r="F418" s="78"/>
      <c r="G418" s="78"/>
      <c r="H418" s="78"/>
      <c r="I418" s="45"/>
      <c r="J418" s="45"/>
      <c r="K418" s="45"/>
      <c r="L418" s="45"/>
      <c r="M418" s="45"/>
      <c r="N418" s="45"/>
      <c r="O418" s="45"/>
      <c r="P418" s="45"/>
      <c r="Q418" s="45"/>
      <c r="R418" s="202"/>
      <c r="S418" s="45"/>
    </row>
    <row r="419">
      <c r="A419" s="176"/>
      <c r="B419" s="78"/>
      <c r="C419" s="78"/>
      <c r="D419" s="78"/>
      <c r="E419" s="78"/>
      <c r="F419" s="78"/>
      <c r="G419" s="78"/>
      <c r="H419" s="78"/>
      <c r="I419" s="45"/>
      <c r="J419" s="45"/>
      <c r="K419" s="45"/>
      <c r="L419" s="45"/>
      <c r="M419" s="45"/>
      <c r="N419" s="45"/>
      <c r="O419" s="45"/>
      <c r="P419" s="45"/>
      <c r="Q419" s="45"/>
      <c r="R419" s="202"/>
      <c r="S419" s="45"/>
    </row>
    <row r="420">
      <c r="A420" s="176"/>
      <c r="B420" s="78"/>
      <c r="C420" s="78"/>
      <c r="D420" s="78"/>
      <c r="E420" s="78"/>
      <c r="F420" s="78"/>
      <c r="G420" s="78"/>
      <c r="H420" s="78"/>
      <c r="I420" s="45"/>
      <c r="J420" s="45"/>
      <c r="K420" s="45"/>
      <c r="L420" s="45"/>
      <c r="M420" s="45"/>
      <c r="N420" s="45"/>
      <c r="O420" s="45"/>
      <c r="P420" s="45"/>
      <c r="Q420" s="45"/>
      <c r="R420" s="202"/>
      <c r="S420" s="45"/>
    </row>
    <row r="421">
      <c r="A421" s="176"/>
      <c r="B421" s="78"/>
      <c r="C421" s="78"/>
      <c r="D421" s="78"/>
      <c r="E421" s="78"/>
      <c r="F421" s="78"/>
      <c r="G421" s="78"/>
      <c r="H421" s="78"/>
      <c r="I421" s="45"/>
      <c r="J421" s="45"/>
      <c r="K421" s="45"/>
      <c r="L421" s="45"/>
      <c r="M421" s="45"/>
      <c r="N421" s="45"/>
      <c r="O421" s="45"/>
      <c r="P421" s="45"/>
      <c r="Q421" s="45"/>
      <c r="R421" s="202"/>
      <c r="S421" s="45"/>
    </row>
    <row r="422">
      <c r="A422" s="176"/>
      <c r="B422" s="78"/>
      <c r="C422" s="78"/>
      <c r="D422" s="78"/>
      <c r="E422" s="78"/>
      <c r="F422" s="78"/>
      <c r="G422" s="78"/>
      <c r="H422" s="78"/>
      <c r="I422" s="45"/>
      <c r="J422" s="45"/>
      <c r="K422" s="45"/>
      <c r="L422" s="45"/>
      <c r="M422" s="45"/>
      <c r="N422" s="45"/>
      <c r="O422" s="45"/>
      <c r="P422" s="45"/>
      <c r="Q422" s="45"/>
      <c r="R422" s="202"/>
      <c r="S422" s="45"/>
    </row>
    <row r="423">
      <c r="A423" s="176"/>
      <c r="B423" s="78"/>
      <c r="C423" s="78"/>
      <c r="D423" s="78"/>
      <c r="E423" s="78"/>
      <c r="F423" s="78"/>
      <c r="G423" s="78"/>
      <c r="H423" s="78"/>
      <c r="I423" s="45"/>
      <c r="J423" s="45"/>
      <c r="K423" s="45"/>
      <c r="L423" s="45"/>
      <c r="M423" s="45"/>
      <c r="N423" s="45"/>
      <c r="O423" s="45"/>
      <c r="P423" s="45"/>
      <c r="Q423" s="45"/>
      <c r="R423" s="202"/>
      <c r="S423" s="45"/>
    </row>
    <row r="424">
      <c r="A424" s="176"/>
      <c r="B424" s="78"/>
      <c r="C424" s="78"/>
      <c r="D424" s="78"/>
      <c r="E424" s="78"/>
      <c r="F424" s="78"/>
      <c r="G424" s="78"/>
      <c r="H424" s="78"/>
      <c r="I424" s="45"/>
      <c r="J424" s="45"/>
      <c r="K424" s="45"/>
      <c r="L424" s="45"/>
      <c r="M424" s="45"/>
      <c r="N424" s="45"/>
      <c r="O424" s="45"/>
      <c r="P424" s="45"/>
      <c r="Q424" s="45"/>
      <c r="R424" s="202"/>
      <c r="S424" s="45"/>
    </row>
    <row r="425">
      <c r="A425" s="176"/>
      <c r="B425" s="78"/>
      <c r="C425" s="78"/>
      <c r="D425" s="78"/>
      <c r="E425" s="78"/>
      <c r="F425" s="78"/>
      <c r="G425" s="78"/>
      <c r="H425" s="78"/>
      <c r="I425" s="45"/>
      <c r="J425" s="45"/>
      <c r="K425" s="45"/>
      <c r="L425" s="45"/>
      <c r="M425" s="45"/>
      <c r="N425" s="45"/>
      <c r="O425" s="45"/>
      <c r="P425" s="45"/>
      <c r="Q425" s="45"/>
      <c r="R425" s="202"/>
      <c r="S425" s="45"/>
    </row>
    <row r="426">
      <c r="A426" s="176"/>
      <c r="B426" s="78"/>
      <c r="C426" s="78"/>
      <c r="D426" s="78"/>
      <c r="E426" s="78"/>
      <c r="F426" s="78"/>
      <c r="G426" s="78"/>
      <c r="H426" s="78"/>
      <c r="I426" s="45"/>
      <c r="J426" s="45"/>
      <c r="K426" s="45"/>
      <c r="L426" s="45"/>
      <c r="M426" s="45"/>
      <c r="N426" s="45"/>
      <c r="O426" s="45"/>
      <c r="P426" s="45"/>
      <c r="Q426" s="45"/>
      <c r="R426" s="202"/>
      <c r="S426" s="45"/>
    </row>
    <row r="427">
      <c r="A427" s="176"/>
      <c r="B427" s="78"/>
      <c r="C427" s="78"/>
      <c r="D427" s="78"/>
      <c r="E427" s="78"/>
      <c r="F427" s="78"/>
      <c r="G427" s="78"/>
      <c r="H427" s="78"/>
      <c r="I427" s="45"/>
      <c r="J427" s="45"/>
      <c r="K427" s="45"/>
      <c r="L427" s="45"/>
      <c r="M427" s="45"/>
      <c r="N427" s="45"/>
      <c r="O427" s="45"/>
      <c r="P427" s="45"/>
      <c r="Q427" s="45"/>
      <c r="R427" s="202"/>
      <c r="S427" s="45"/>
    </row>
    <row r="428">
      <c r="A428" s="176"/>
      <c r="B428" s="78"/>
      <c r="C428" s="78"/>
      <c r="D428" s="78"/>
      <c r="E428" s="78"/>
      <c r="F428" s="78"/>
      <c r="G428" s="78"/>
      <c r="H428" s="78"/>
      <c r="I428" s="45"/>
      <c r="J428" s="45"/>
      <c r="K428" s="45"/>
      <c r="L428" s="45"/>
      <c r="M428" s="45"/>
      <c r="N428" s="45"/>
      <c r="O428" s="45"/>
      <c r="P428" s="45"/>
      <c r="Q428" s="45"/>
      <c r="R428" s="202"/>
      <c r="S428" s="45"/>
    </row>
    <row r="429">
      <c r="A429" s="176"/>
      <c r="B429" s="78"/>
      <c r="C429" s="78"/>
      <c r="D429" s="78"/>
      <c r="E429" s="78"/>
      <c r="F429" s="78"/>
      <c r="G429" s="78"/>
      <c r="H429" s="78"/>
      <c r="I429" s="45"/>
      <c r="J429" s="45"/>
      <c r="K429" s="45"/>
      <c r="L429" s="45"/>
      <c r="M429" s="45"/>
      <c r="N429" s="45"/>
      <c r="O429" s="45"/>
      <c r="P429" s="45"/>
      <c r="Q429" s="45"/>
      <c r="R429" s="202"/>
      <c r="S429" s="45"/>
    </row>
    <row r="430">
      <c r="A430" s="176"/>
      <c r="B430" s="78"/>
      <c r="C430" s="78"/>
      <c r="D430" s="78"/>
      <c r="E430" s="78"/>
      <c r="F430" s="78"/>
      <c r="G430" s="78"/>
      <c r="H430" s="78"/>
      <c r="I430" s="45"/>
      <c r="J430" s="45"/>
      <c r="K430" s="45"/>
      <c r="L430" s="45"/>
      <c r="M430" s="45"/>
      <c r="N430" s="45"/>
      <c r="O430" s="45"/>
      <c r="P430" s="45"/>
      <c r="Q430" s="45"/>
      <c r="R430" s="202"/>
      <c r="S430" s="45"/>
    </row>
    <row r="431">
      <c r="A431" s="176"/>
      <c r="B431" s="78"/>
      <c r="C431" s="78"/>
      <c r="D431" s="78"/>
      <c r="E431" s="78"/>
      <c r="F431" s="78"/>
      <c r="G431" s="78"/>
      <c r="H431" s="78"/>
      <c r="I431" s="45"/>
      <c r="J431" s="45"/>
      <c r="K431" s="45"/>
      <c r="L431" s="45"/>
      <c r="M431" s="45"/>
      <c r="N431" s="45"/>
      <c r="O431" s="45"/>
      <c r="P431" s="45"/>
      <c r="Q431" s="45"/>
      <c r="R431" s="202"/>
      <c r="S431" s="45"/>
    </row>
    <row r="432">
      <c r="A432" s="176"/>
      <c r="B432" s="78"/>
      <c r="C432" s="78"/>
      <c r="D432" s="78"/>
      <c r="E432" s="78"/>
      <c r="F432" s="78"/>
      <c r="G432" s="78"/>
      <c r="H432" s="78"/>
      <c r="I432" s="45"/>
      <c r="J432" s="45"/>
      <c r="K432" s="45"/>
      <c r="L432" s="45"/>
      <c r="M432" s="45"/>
      <c r="N432" s="45"/>
      <c r="O432" s="45"/>
      <c r="P432" s="45"/>
      <c r="Q432" s="45"/>
      <c r="R432" s="202"/>
      <c r="S432" s="45"/>
    </row>
    <row r="433">
      <c r="A433" s="176"/>
      <c r="B433" s="78"/>
      <c r="C433" s="78"/>
      <c r="D433" s="78"/>
      <c r="E433" s="78"/>
      <c r="F433" s="78"/>
      <c r="G433" s="78"/>
      <c r="H433" s="78"/>
      <c r="I433" s="45"/>
      <c r="J433" s="45"/>
      <c r="K433" s="45"/>
      <c r="L433" s="45"/>
      <c r="M433" s="45"/>
      <c r="N433" s="45"/>
      <c r="O433" s="45"/>
      <c r="P433" s="45"/>
      <c r="Q433" s="45"/>
      <c r="R433" s="202"/>
      <c r="S433" s="45"/>
    </row>
    <row r="434">
      <c r="A434" s="176"/>
      <c r="B434" s="78"/>
      <c r="C434" s="78"/>
      <c r="D434" s="78"/>
      <c r="E434" s="78"/>
      <c r="F434" s="78"/>
      <c r="G434" s="78"/>
      <c r="H434" s="78"/>
      <c r="I434" s="45"/>
      <c r="J434" s="45"/>
      <c r="K434" s="45"/>
      <c r="L434" s="45"/>
      <c r="M434" s="45"/>
      <c r="N434" s="45"/>
      <c r="O434" s="45"/>
      <c r="P434" s="45"/>
      <c r="Q434" s="45"/>
      <c r="R434" s="202"/>
      <c r="S434" s="45"/>
    </row>
    <row r="435">
      <c r="A435" s="176"/>
      <c r="B435" s="78"/>
      <c r="C435" s="78"/>
      <c r="D435" s="78"/>
      <c r="E435" s="78"/>
      <c r="F435" s="78"/>
      <c r="G435" s="78"/>
      <c r="H435" s="78"/>
      <c r="I435" s="45"/>
      <c r="J435" s="45"/>
      <c r="K435" s="45"/>
      <c r="L435" s="45"/>
      <c r="M435" s="45"/>
      <c r="N435" s="45"/>
      <c r="O435" s="45"/>
      <c r="P435" s="45"/>
      <c r="Q435" s="45"/>
      <c r="R435" s="202"/>
      <c r="S435" s="45"/>
    </row>
    <row r="436">
      <c r="A436" s="176"/>
      <c r="B436" s="78"/>
      <c r="C436" s="78"/>
      <c r="D436" s="78"/>
      <c r="E436" s="78"/>
      <c r="F436" s="78"/>
      <c r="G436" s="78"/>
      <c r="H436" s="78"/>
      <c r="I436" s="45"/>
      <c r="J436" s="45"/>
      <c r="K436" s="45"/>
      <c r="L436" s="45"/>
      <c r="M436" s="45"/>
      <c r="N436" s="45"/>
      <c r="O436" s="45"/>
      <c r="P436" s="45"/>
      <c r="Q436" s="45"/>
      <c r="R436" s="202"/>
      <c r="S436" s="45"/>
    </row>
    <row r="437">
      <c r="A437" s="176"/>
      <c r="B437" s="78"/>
      <c r="C437" s="78"/>
      <c r="D437" s="78"/>
      <c r="E437" s="78"/>
      <c r="F437" s="78"/>
      <c r="G437" s="78"/>
      <c r="H437" s="78"/>
      <c r="I437" s="45"/>
      <c r="J437" s="45"/>
      <c r="K437" s="45"/>
      <c r="L437" s="45"/>
      <c r="M437" s="45"/>
      <c r="N437" s="45"/>
      <c r="O437" s="45"/>
      <c r="P437" s="45"/>
      <c r="Q437" s="45"/>
      <c r="R437" s="202"/>
      <c r="S437" s="45"/>
    </row>
    <row r="438">
      <c r="A438" s="176"/>
      <c r="B438" s="78"/>
      <c r="C438" s="78"/>
      <c r="D438" s="78"/>
      <c r="E438" s="78"/>
      <c r="F438" s="78"/>
      <c r="G438" s="78"/>
      <c r="H438" s="78"/>
      <c r="I438" s="45"/>
      <c r="J438" s="45"/>
      <c r="K438" s="45"/>
      <c r="L438" s="45"/>
      <c r="M438" s="45"/>
      <c r="N438" s="45"/>
      <c r="O438" s="45"/>
      <c r="P438" s="45"/>
      <c r="Q438" s="45"/>
      <c r="R438" s="202"/>
      <c r="S438" s="45"/>
    </row>
    <row r="439">
      <c r="A439" s="176"/>
      <c r="B439" s="78"/>
      <c r="C439" s="78"/>
      <c r="D439" s="78"/>
      <c r="E439" s="78"/>
      <c r="F439" s="78"/>
      <c r="G439" s="78"/>
      <c r="H439" s="78"/>
      <c r="I439" s="45"/>
      <c r="J439" s="45"/>
      <c r="K439" s="45"/>
      <c r="L439" s="45"/>
      <c r="M439" s="45"/>
      <c r="N439" s="45"/>
      <c r="O439" s="45"/>
      <c r="P439" s="45"/>
      <c r="Q439" s="45"/>
      <c r="R439" s="202"/>
      <c r="S439" s="45"/>
    </row>
    <row r="440">
      <c r="A440" s="176"/>
      <c r="B440" s="78"/>
      <c r="C440" s="78"/>
      <c r="D440" s="78"/>
      <c r="E440" s="78"/>
      <c r="F440" s="78"/>
      <c r="G440" s="78"/>
      <c r="H440" s="78"/>
      <c r="I440" s="45"/>
      <c r="J440" s="45"/>
      <c r="K440" s="45"/>
      <c r="L440" s="45"/>
      <c r="M440" s="45"/>
      <c r="N440" s="45"/>
      <c r="O440" s="45"/>
      <c r="P440" s="45"/>
      <c r="Q440" s="45"/>
      <c r="R440" s="202"/>
      <c r="S440" s="45"/>
    </row>
    <row r="441">
      <c r="A441" s="176"/>
      <c r="B441" s="78"/>
      <c r="C441" s="78"/>
      <c r="D441" s="78"/>
      <c r="E441" s="78"/>
      <c r="F441" s="78"/>
      <c r="G441" s="78"/>
      <c r="H441" s="78"/>
      <c r="I441" s="45"/>
      <c r="J441" s="45"/>
      <c r="K441" s="45"/>
      <c r="L441" s="45"/>
      <c r="M441" s="45"/>
      <c r="N441" s="45"/>
      <c r="O441" s="45"/>
      <c r="P441" s="45"/>
      <c r="Q441" s="45"/>
      <c r="R441" s="202"/>
      <c r="S441" s="45"/>
    </row>
    <row r="442">
      <c r="A442" s="176"/>
      <c r="B442" s="78"/>
      <c r="C442" s="78"/>
      <c r="D442" s="78"/>
      <c r="E442" s="78"/>
      <c r="F442" s="78"/>
      <c r="G442" s="78"/>
      <c r="H442" s="78"/>
      <c r="I442" s="45"/>
      <c r="J442" s="45"/>
      <c r="K442" s="45"/>
      <c r="L442" s="45"/>
      <c r="M442" s="45"/>
      <c r="N442" s="45"/>
      <c r="O442" s="45"/>
      <c r="P442" s="45"/>
      <c r="Q442" s="45"/>
      <c r="R442" s="202"/>
      <c r="S442" s="45"/>
    </row>
    <row r="443">
      <c r="A443" s="176"/>
      <c r="B443" s="78"/>
      <c r="C443" s="78"/>
      <c r="D443" s="78"/>
      <c r="E443" s="78"/>
      <c r="F443" s="78"/>
      <c r="G443" s="78"/>
      <c r="H443" s="78"/>
      <c r="I443" s="45"/>
      <c r="J443" s="45"/>
      <c r="K443" s="45"/>
      <c r="L443" s="45"/>
      <c r="M443" s="45"/>
      <c r="N443" s="45"/>
      <c r="O443" s="45"/>
      <c r="P443" s="45"/>
      <c r="Q443" s="45"/>
      <c r="R443" s="202"/>
      <c r="S443" s="45"/>
    </row>
    <row r="444">
      <c r="A444" s="176"/>
      <c r="B444" s="78"/>
      <c r="C444" s="78"/>
      <c r="D444" s="78"/>
      <c r="E444" s="78"/>
      <c r="F444" s="78"/>
      <c r="G444" s="78"/>
      <c r="H444" s="78"/>
      <c r="I444" s="45"/>
      <c r="J444" s="45"/>
      <c r="K444" s="45"/>
      <c r="L444" s="45"/>
      <c r="M444" s="45"/>
      <c r="N444" s="45"/>
      <c r="O444" s="45"/>
      <c r="P444" s="45"/>
      <c r="Q444" s="45"/>
      <c r="R444" s="202"/>
      <c r="S444" s="45"/>
    </row>
    <row r="445">
      <c r="A445" s="176"/>
      <c r="B445" s="78"/>
      <c r="C445" s="78"/>
      <c r="D445" s="78"/>
      <c r="E445" s="78"/>
      <c r="F445" s="78"/>
      <c r="G445" s="78"/>
      <c r="H445" s="78"/>
      <c r="I445" s="45"/>
      <c r="J445" s="45"/>
      <c r="K445" s="45"/>
      <c r="L445" s="45"/>
      <c r="M445" s="45"/>
      <c r="N445" s="45"/>
      <c r="O445" s="45"/>
      <c r="P445" s="45"/>
      <c r="Q445" s="45"/>
      <c r="R445" s="202"/>
      <c r="S445" s="45"/>
    </row>
    <row r="446">
      <c r="A446" s="176"/>
      <c r="B446" s="78"/>
      <c r="C446" s="78"/>
      <c r="D446" s="78"/>
      <c r="E446" s="78"/>
      <c r="F446" s="78"/>
      <c r="G446" s="78"/>
      <c r="H446" s="78"/>
      <c r="I446" s="45"/>
      <c r="J446" s="45"/>
      <c r="K446" s="45"/>
      <c r="L446" s="45"/>
      <c r="M446" s="45"/>
      <c r="N446" s="45"/>
      <c r="O446" s="45"/>
      <c r="P446" s="45"/>
      <c r="Q446" s="45"/>
      <c r="R446" s="202"/>
      <c r="S446" s="45"/>
    </row>
    <row r="447">
      <c r="A447" s="176"/>
      <c r="B447" s="78"/>
      <c r="C447" s="78"/>
      <c r="D447" s="78"/>
      <c r="E447" s="78"/>
      <c r="F447" s="78"/>
      <c r="G447" s="78"/>
      <c r="H447" s="78"/>
      <c r="I447" s="45"/>
      <c r="J447" s="45"/>
      <c r="K447" s="45"/>
      <c r="L447" s="45"/>
      <c r="M447" s="45"/>
      <c r="N447" s="45"/>
      <c r="O447" s="45"/>
      <c r="P447" s="45"/>
      <c r="Q447" s="45"/>
      <c r="R447" s="202"/>
      <c r="S447" s="45"/>
    </row>
    <row r="448">
      <c r="A448" s="176"/>
      <c r="B448" s="78"/>
      <c r="C448" s="78"/>
      <c r="D448" s="78"/>
      <c r="E448" s="78"/>
      <c r="F448" s="78"/>
      <c r="G448" s="78"/>
      <c r="H448" s="78"/>
      <c r="I448" s="45"/>
      <c r="J448" s="45"/>
      <c r="K448" s="45"/>
      <c r="L448" s="45"/>
      <c r="M448" s="45"/>
      <c r="N448" s="45"/>
      <c r="O448" s="45"/>
      <c r="P448" s="45"/>
      <c r="Q448" s="45"/>
      <c r="R448" s="202"/>
      <c r="S448" s="45"/>
    </row>
    <row r="449">
      <c r="A449" s="176"/>
      <c r="B449" s="78"/>
      <c r="C449" s="78"/>
      <c r="D449" s="78"/>
      <c r="E449" s="78"/>
      <c r="F449" s="78"/>
      <c r="G449" s="78"/>
      <c r="H449" s="78"/>
      <c r="I449" s="45"/>
      <c r="J449" s="45"/>
      <c r="K449" s="45"/>
      <c r="L449" s="45"/>
      <c r="M449" s="45"/>
      <c r="N449" s="45"/>
      <c r="O449" s="45"/>
      <c r="P449" s="45"/>
      <c r="Q449" s="45"/>
      <c r="R449" s="202"/>
      <c r="S449" s="45"/>
    </row>
    <row r="450">
      <c r="A450" s="176"/>
      <c r="B450" s="78"/>
      <c r="C450" s="78"/>
      <c r="D450" s="78"/>
      <c r="E450" s="78"/>
      <c r="F450" s="78"/>
      <c r="G450" s="78"/>
      <c r="H450" s="78"/>
      <c r="I450" s="45"/>
      <c r="J450" s="45"/>
      <c r="K450" s="45"/>
      <c r="L450" s="45"/>
      <c r="M450" s="45"/>
      <c r="N450" s="45"/>
      <c r="O450" s="45"/>
      <c r="P450" s="45"/>
      <c r="Q450" s="45"/>
      <c r="R450" s="202"/>
      <c r="S450" s="45"/>
    </row>
    <row r="451">
      <c r="A451" s="176"/>
      <c r="B451" s="78"/>
      <c r="C451" s="78"/>
      <c r="D451" s="78"/>
      <c r="E451" s="78"/>
      <c r="F451" s="78"/>
      <c r="G451" s="78"/>
      <c r="H451" s="78"/>
      <c r="I451" s="45"/>
      <c r="J451" s="45"/>
      <c r="K451" s="45"/>
      <c r="L451" s="45"/>
      <c r="M451" s="45"/>
      <c r="N451" s="45"/>
      <c r="O451" s="45"/>
      <c r="P451" s="45"/>
      <c r="Q451" s="45"/>
      <c r="R451" s="202"/>
      <c r="S451" s="45"/>
    </row>
    <row r="452">
      <c r="A452" s="176"/>
      <c r="B452" s="78"/>
      <c r="C452" s="78"/>
      <c r="D452" s="78"/>
      <c r="E452" s="78"/>
      <c r="F452" s="78"/>
      <c r="G452" s="78"/>
      <c r="H452" s="78"/>
      <c r="I452" s="45"/>
      <c r="J452" s="45"/>
      <c r="K452" s="45"/>
      <c r="L452" s="45"/>
      <c r="M452" s="45"/>
      <c r="N452" s="45"/>
      <c r="O452" s="45"/>
      <c r="P452" s="45"/>
      <c r="Q452" s="45"/>
      <c r="R452" s="202"/>
      <c r="S452" s="45"/>
    </row>
    <row r="453">
      <c r="A453" s="176"/>
      <c r="B453" s="78"/>
      <c r="C453" s="78"/>
      <c r="D453" s="78"/>
      <c r="E453" s="78"/>
      <c r="F453" s="78"/>
      <c r="G453" s="78"/>
      <c r="H453" s="78"/>
      <c r="I453" s="45"/>
      <c r="J453" s="45"/>
      <c r="K453" s="45"/>
      <c r="L453" s="45"/>
      <c r="M453" s="45"/>
      <c r="N453" s="45"/>
      <c r="O453" s="45"/>
      <c r="P453" s="45"/>
      <c r="Q453" s="45"/>
      <c r="R453" s="202"/>
      <c r="S453" s="45"/>
    </row>
    <row r="454">
      <c r="A454" s="176"/>
      <c r="B454" s="78"/>
      <c r="C454" s="78"/>
      <c r="D454" s="78"/>
      <c r="E454" s="78"/>
      <c r="F454" s="78"/>
      <c r="G454" s="78"/>
      <c r="H454" s="78"/>
      <c r="I454" s="45"/>
      <c r="J454" s="45"/>
      <c r="K454" s="45"/>
      <c r="L454" s="45"/>
      <c r="M454" s="45"/>
      <c r="N454" s="45"/>
      <c r="O454" s="45"/>
      <c r="P454" s="45"/>
      <c r="Q454" s="45"/>
      <c r="R454" s="202"/>
      <c r="S454" s="45"/>
    </row>
    <row r="455">
      <c r="A455" s="176"/>
      <c r="B455" s="78"/>
      <c r="C455" s="78"/>
      <c r="D455" s="78"/>
      <c r="E455" s="78"/>
      <c r="F455" s="78"/>
      <c r="G455" s="78"/>
      <c r="H455" s="78"/>
      <c r="I455" s="45"/>
      <c r="J455" s="45"/>
      <c r="K455" s="45"/>
      <c r="L455" s="45"/>
      <c r="M455" s="45"/>
      <c r="N455" s="45"/>
      <c r="O455" s="45"/>
      <c r="P455" s="45"/>
      <c r="Q455" s="45"/>
      <c r="R455" s="202"/>
      <c r="S455" s="45"/>
    </row>
    <row r="456">
      <c r="A456" s="176"/>
      <c r="B456" s="78"/>
      <c r="C456" s="78"/>
      <c r="D456" s="78"/>
      <c r="E456" s="78"/>
      <c r="F456" s="78"/>
      <c r="G456" s="78"/>
      <c r="H456" s="78"/>
      <c r="I456" s="45"/>
      <c r="J456" s="45"/>
      <c r="K456" s="45"/>
      <c r="L456" s="45"/>
      <c r="M456" s="45"/>
      <c r="N456" s="45"/>
      <c r="O456" s="45"/>
      <c r="P456" s="45"/>
      <c r="Q456" s="45"/>
      <c r="R456" s="202"/>
      <c r="S456" s="45"/>
    </row>
    <row r="457">
      <c r="A457" s="176"/>
      <c r="B457" s="78"/>
      <c r="C457" s="78"/>
      <c r="D457" s="78"/>
      <c r="E457" s="78"/>
      <c r="F457" s="78"/>
      <c r="G457" s="78"/>
      <c r="H457" s="78"/>
      <c r="I457" s="45"/>
      <c r="J457" s="45"/>
      <c r="K457" s="45"/>
      <c r="L457" s="45"/>
      <c r="M457" s="45"/>
      <c r="N457" s="45"/>
      <c r="O457" s="45"/>
      <c r="P457" s="45"/>
      <c r="Q457" s="45"/>
      <c r="R457" s="202"/>
      <c r="S457" s="45"/>
    </row>
    <row r="458">
      <c r="A458" s="176"/>
      <c r="B458" s="78"/>
      <c r="C458" s="78"/>
      <c r="D458" s="78"/>
      <c r="E458" s="78"/>
      <c r="F458" s="78"/>
      <c r="G458" s="78"/>
      <c r="H458" s="78"/>
      <c r="I458" s="45"/>
      <c r="J458" s="45"/>
      <c r="K458" s="45"/>
      <c r="L458" s="45"/>
      <c r="M458" s="45"/>
      <c r="N458" s="45"/>
      <c r="O458" s="45"/>
      <c r="P458" s="45"/>
      <c r="Q458" s="45"/>
      <c r="R458" s="202"/>
      <c r="S458" s="45"/>
    </row>
    <row r="459">
      <c r="A459" s="176"/>
      <c r="B459" s="78"/>
      <c r="C459" s="78"/>
      <c r="D459" s="78"/>
      <c r="E459" s="78"/>
      <c r="F459" s="78"/>
      <c r="G459" s="78"/>
      <c r="H459" s="78"/>
      <c r="I459" s="45"/>
      <c r="J459" s="45"/>
      <c r="K459" s="45"/>
      <c r="L459" s="45"/>
      <c r="M459" s="45"/>
      <c r="N459" s="45"/>
      <c r="O459" s="45"/>
      <c r="P459" s="45"/>
      <c r="Q459" s="45"/>
      <c r="R459" s="202"/>
      <c r="S459" s="45"/>
    </row>
    <row r="460">
      <c r="A460" s="176"/>
      <c r="B460" s="78"/>
      <c r="C460" s="78"/>
      <c r="D460" s="78"/>
      <c r="E460" s="78"/>
      <c r="F460" s="78"/>
      <c r="G460" s="78"/>
      <c r="H460" s="78"/>
      <c r="I460" s="45"/>
      <c r="J460" s="45"/>
      <c r="K460" s="45"/>
      <c r="L460" s="45"/>
      <c r="M460" s="45"/>
      <c r="N460" s="45"/>
      <c r="O460" s="45"/>
      <c r="P460" s="45"/>
      <c r="Q460" s="45"/>
      <c r="R460" s="202"/>
      <c r="S460" s="45"/>
    </row>
    <row r="461">
      <c r="A461" s="176"/>
      <c r="B461" s="78"/>
      <c r="C461" s="78"/>
      <c r="D461" s="78"/>
      <c r="E461" s="78"/>
      <c r="F461" s="78"/>
      <c r="G461" s="78"/>
      <c r="H461" s="78"/>
      <c r="I461" s="45"/>
      <c r="J461" s="45"/>
      <c r="K461" s="45"/>
      <c r="L461" s="45"/>
      <c r="M461" s="45"/>
      <c r="N461" s="45"/>
      <c r="O461" s="45"/>
      <c r="P461" s="45"/>
      <c r="Q461" s="45"/>
      <c r="R461" s="202"/>
      <c r="S461" s="45"/>
    </row>
    <row r="462">
      <c r="A462" s="176"/>
      <c r="B462" s="78"/>
      <c r="C462" s="78"/>
      <c r="D462" s="78"/>
      <c r="E462" s="78"/>
      <c r="F462" s="78"/>
      <c r="G462" s="78"/>
      <c r="H462" s="78"/>
      <c r="I462" s="45"/>
      <c r="J462" s="45"/>
      <c r="K462" s="45"/>
      <c r="L462" s="45"/>
      <c r="M462" s="45"/>
      <c r="N462" s="45"/>
      <c r="O462" s="45"/>
      <c r="P462" s="45"/>
      <c r="Q462" s="45"/>
      <c r="R462" s="202"/>
      <c r="S462" s="45"/>
    </row>
    <row r="463">
      <c r="A463" s="176"/>
      <c r="B463" s="78"/>
      <c r="C463" s="78"/>
      <c r="D463" s="78"/>
      <c r="E463" s="78"/>
      <c r="F463" s="78"/>
      <c r="G463" s="78"/>
      <c r="H463" s="78"/>
      <c r="I463" s="45"/>
      <c r="J463" s="45"/>
      <c r="K463" s="45"/>
      <c r="L463" s="45"/>
      <c r="M463" s="45"/>
      <c r="N463" s="45"/>
      <c r="O463" s="45"/>
      <c r="P463" s="45"/>
      <c r="Q463" s="45"/>
      <c r="R463" s="202"/>
      <c r="S463" s="45"/>
    </row>
    <row r="464">
      <c r="A464" s="176"/>
      <c r="B464" s="78"/>
      <c r="C464" s="78"/>
      <c r="D464" s="78"/>
      <c r="E464" s="78"/>
      <c r="F464" s="78"/>
      <c r="G464" s="78"/>
      <c r="H464" s="78"/>
      <c r="I464" s="45"/>
      <c r="J464" s="45"/>
      <c r="K464" s="45"/>
      <c r="L464" s="45"/>
      <c r="M464" s="45"/>
      <c r="N464" s="45"/>
      <c r="O464" s="45"/>
      <c r="P464" s="45"/>
      <c r="Q464" s="45"/>
      <c r="R464" s="202"/>
      <c r="S464" s="45"/>
    </row>
    <row r="465">
      <c r="A465" s="176"/>
      <c r="B465" s="78"/>
      <c r="C465" s="78"/>
      <c r="D465" s="78"/>
      <c r="E465" s="78"/>
      <c r="F465" s="78"/>
      <c r="G465" s="78"/>
      <c r="H465" s="78"/>
      <c r="I465" s="45"/>
      <c r="J465" s="45"/>
      <c r="K465" s="45"/>
      <c r="L465" s="45"/>
      <c r="M465" s="45"/>
      <c r="N465" s="45"/>
      <c r="O465" s="45"/>
      <c r="P465" s="45"/>
      <c r="Q465" s="45"/>
      <c r="R465" s="202"/>
      <c r="S465" s="45"/>
    </row>
    <row r="466">
      <c r="A466" s="176"/>
      <c r="B466" s="78"/>
      <c r="C466" s="78"/>
      <c r="D466" s="78"/>
      <c r="E466" s="78"/>
      <c r="F466" s="78"/>
      <c r="G466" s="78"/>
      <c r="H466" s="78"/>
      <c r="I466" s="45"/>
      <c r="J466" s="45"/>
      <c r="K466" s="45"/>
      <c r="L466" s="45"/>
      <c r="M466" s="45"/>
      <c r="N466" s="45"/>
      <c r="O466" s="45"/>
      <c r="P466" s="45"/>
      <c r="Q466" s="45"/>
      <c r="R466" s="202"/>
      <c r="S466" s="45"/>
    </row>
    <row r="467">
      <c r="A467" s="176"/>
      <c r="B467" s="78"/>
      <c r="C467" s="78"/>
      <c r="D467" s="78"/>
      <c r="E467" s="78"/>
      <c r="F467" s="78"/>
      <c r="G467" s="78"/>
      <c r="H467" s="78"/>
      <c r="I467" s="45"/>
      <c r="J467" s="45"/>
      <c r="K467" s="45"/>
      <c r="L467" s="45"/>
      <c r="M467" s="45"/>
      <c r="N467" s="45"/>
      <c r="O467" s="45"/>
      <c r="P467" s="45"/>
      <c r="Q467" s="45"/>
      <c r="R467" s="202"/>
      <c r="S467" s="45"/>
    </row>
    <row r="468">
      <c r="A468" s="176"/>
      <c r="B468" s="78"/>
      <c r="C468" s="78"/>
      <c r="D468" s="78"/>
      <c r="E468" s="78"/>
      <c r="F468" s="78"/>
      <c r="G468" s="78"/>
      <c r="H468" s="78"/>
      <c r="I468" s="45"/>
      <c r="J468" s="45"/>
      <c r="K468" s="45"/>
      <c r="L468" s="45"/>
      <c r="M468" s="45"/>
      <c r="N468" s="45"/>
      <c r="O468" s="45"/>
      <c r="P468" s="45"/>
      <c r="Q468" s="45"/>
      <c r="R468" s="202"/>
      <c r="S468" s="45"/>
    </row>
    <row r="469">
      <c r="A469" s="176"/>
      <c r="B469" s="78"/>
      <c r="C469" s="78"/>
      <c r="D469" s="78"/>
      <c r="E469" s="78"/>
      <c r="F469" s="78"/>
      <c r="G469" s="78"/>
      <c r="H469" s="78"/>
      <c r="I469" s="45"/>
      <c r="J469" s="45"/>
      <c r="K469" s="45"/>
      <c r="L469" s="45"/>
      <c r="M469" s="45"/>
      <c r="N469" s="45"/>
      <c r="O469" s="45"/>
      <c r="P469" s="45"/>
      <c r="Q469" s="45"/>
      <c r="R469" s="202"/>
      <c r="S469" s="45"/>
    </row>
    <row r="470">
      <c r="A470" s="176"/>
      <c r="B470" s="78"/>
      <c r="C470" s="78"/>
      <c r="D470" s="78"/>
      <c r="E470" s="78"/>
      <c r="F470" s="78"/>
      <c r="G470" s="78"/>
      <c r="H470" s="78"/>
      <c r="I470" s="45"/>
      <c r="J470" s="45"/>
      <c r="K470" s="45"/>
      <c r="L470" s="45"/>
      <c r="M470" s="45"/>
      <c r="N470" s="45"/>
      <c r="O470" s="45"/>
      <c r="P470" s="45"/>
      <c r="Q470" s="45"/>
      <c r="R470" s="202"/>
      <c r="S470" s="45"/>
    </row>
    <row r="471">
      <c r="A471" s="176"/>
      <c r="B471" s="78"/>
      <c r="C471" s="78"/>
      <c r="D471" s="78"/>
      <c r="E471" s="78"/>
      <c r="F471" s="78"/>
      <c r="G471" s="78"/>
      <c r="H471" s="78"/>
      <c r="I471" s="45"/>
      <c r="J471" s="45"/>
      <c r="K471" s="45"/>
      <c r="L471" s="45"/>
      <c r="M471" s="45"/>
      <c r="N471" s="45"/>
      <c r="O471" s="45"/>
      <c r="P471" s="45"/>
      <c r="Q471" s="45"/>
      <c r="R471" s="202"/>
      <c r="S471" s="45"/>
    </row>
    <row r="472">
      <c r="A472" s="176"/>
      <c r="B472" s="78"/>
      <c r="C472" s="78"/>
      <c r="D472" s="78"/>
      <c r="E472" s="78"/>
      <c r="F472" s="78"/>
      <c r="G472" s="78"/>
      <c r="H472" s="78"/>
      <c r="I472" s="45"/>
      <c r="J472" s="45"/>
      <c r="K472" s="45"/>
      <c r="L472" s="45"/>
      <c r="M472" s="45"/>
      <c r="N472" s="45"/>
      <c r="O472" s="45"/>
      <c r="P472" s="45"/>
      <c r="Q472" s="45"/>
      <c r="R472" s="202"/>
      <c r="S472" s="45"/>
    </row>
    <row r="473">
      <c r="A473" s="176"/>
      <c r="B473" s="78"/>
      <c r="C473" s="78"/>
      <c r="D473" s="78"/>
      <c r="E473" s="78"/>
      <c r="F473" s="78"/>
      <c r="G473" s="78"/>
      <c r="H473" s="78"/>
      <c r="I473" s="45"/>
      <c r="J473" s="45"/>
      <c r="K473" s="45"/>
      <c r="L473" s="45"/>
      <c r="M473" s="45"/>
      <c r="N473" s="45"/>
      <c r="O473" s="45"/>
      <c r="P473" s="45"/>
      <c r="Q473" s="45"/>
      <c r="R473" s="202"/>
      <c r="S473" s="45"/>
    </row>
    <row r="474">
      <c r="A474" s="176"/>
      <c r="B474" s="78"/>
      <c r="C474" s="78"/>
      <c r="D474" s="78"/>
      <c r="E474" s="78"/>
      <c r="F474" s="78"/>
      <c r="G474" s="78"/>
      <c r="H474" s="78"/>
      <c r="I474" s="45"/>
      <c r="J474" s="45"/>
      <c r="K474" s="45"/>
      <c r="L474" s="45"/>
      <c r="M474" s="45"/>
      <c r="N474" s="45"/>
      <c r="O474" s="45"/>
      <c r="P474" s="45"/>
      <c r="Q474" s="45"/>
      <c r="R474" s="202"/>
      <c r="S474" s="45"/>
    </row>
    <row r="475">
      <c r="A475" s="176"/>
      <c r="B475" s="78"/>
      <c r="C475" s="78"/>
      <c r="D475" s="78"/>
      <c r="E475" s="78"/>
      <c r="F475" s="78"/>
      <c r="G475" s="78"/>
      <c r="H475" s="78"/>
      <c r="I475" s="45"/>
      <c r="J475" s="45"/>
      <c r="K475" s="45"/>
      <c r="L475" s="45"/>
      <c r="M475" s="45"/>
      <c r="N475" s="45"/>
      <c r="O475" s="45"/>
      <c r="P475" s="45"/>
      <c r="Q475" s="45"/>
      <c r="R475" s="202"/>
      <c r="S475" s="45"/>
    </row>
    <row r="476">
      <c r="A476" s="176"/>
      <c r="B476" s="78"/>
      <c r="C476" s="78"/>
      <c r="D476" s="78"/>
      <c r="E476" s="78"/>
      <c r="F476" s="78"/>
      <c r="G476" s="78"/>
      <c r="H476" s="78"/>
      <c r="I476" s="45"/>
      <c r="J476" s="45"/>
      <c r="K476" s="45"/>
      <c r="L476" s="45"/>
      <c r="M476" s="45"/>
      <c r="N476" s="45"/>
      <c r="O476" s="45"/>
      <c r="P476" s="45"/>
      <c r="Q476" s="45"/>
      <c r="R476" s="202"/>
      <c r="S476" s="45"/>
    </row>
    <row r="477">
      <c r="A477" s="176"/>
      <c r="B477" s="78"/>
      <c r="C477" s="78"/>
      <c r="D477" s="78"/>
      <c r="E477" s="78"/>
      <c r="F477" s="78"/>
      <c r="G477" s="78"/>
      <c r="H477" s="78"/>
      <c r="I477" s="45"/>
      <c r="J477" s="45"/>
      <c r="K477" s="45"/>
      <c r="L477" s="45"/>
      <c r="M477" s="45"/>
      <c r="N477" s="45"/>
      <c r="O477" s="45"/>
      <c r="P477" s="45"/>
      <c r="Q477" s="45"/>
      <c r="R477" s="202"/>
      <c r="S477" s="45"/>
    </row>
    <row r="478">
      <c r="A478" s="176"/>
      <c r="B478" s="78"/>
      <c r="C478" s="78"/>
      <c r="D478" s="78"/>
      <c r="E478" s="78"/>
      <c r="F478" s="78"/>
      <c r="G478" s="78"/>
      <c r="H478" s="78"/>
      <c r="I478" s="45"/>
      <c r="J478" s="45"/>
      <c r="K478" s="45"/>
      <c r="L478" s="45"/>
      <c r="M478" s="45"/>
      <c r="N478" s="45"/>
      <c r="O478" s="45"/>
      <c r="P478" s="45"/>
      <c r="Q478" s="45"/>
      <c r="R478" s="202"/>
      <c r="S478" s="45"/>
    </row>
    <row r="479">
      <c r="A479" s="176"/>
      <c r="B479" s="78"/>
      <c r="C479" s="78"/>
      <c r="D479" s="78"/>
      <c r="E479" s="78"/>
      <c r="F479" s="78"/>
      <c r="G479" s="78"/>
      <c r="H479" s="78"/>
      <c r="I479" s="45"/>
      <c r="J479" s="45"/>
      <c r="K479" s="45"/>
      <c r="L479" s="45"/>
      <c r="M479" s="45"/>
      <c r="N479" s="45"/>
      <c r="O479" s="45"/>
      <c r="P479" s="45"/>
      <c r="Q479" s="45"/>
      <c r="R479" s="202"/>
      <c r="S479" s="45"/>
    </row>
    <row r="480">
      <c r="A480" s="176"/>
      <c r="B480" s="78"/>
      <c r="C480" s="78"/>
      <c r="D480" s="78"/>
      <c r="E480" s="78"/>
      <c r="F480" s="78"/>
      <c r="G480" s="78"/>
      <c r="H480" s="78"/>
      <c r="I480" s="45"/>
      <c r="J480" s="45"/>
      <c r="K480" s="45"/>
      <c r="L480" s="45"/>
      <c r="M480" s="45"/>
      <c r="N480" s="45"/>
      <c r="O480" s="45"/>
      <c r="P480" s="45"/>
      <c r="Q480" s="45"/>
      <c r="R480" s="202"/>
      <c r="S480" s="45"/>
    </row>
    <row r="481">
      <c r="A481" s="176"/>
      <c r="B481" s="78"/>
      <c r="C481" s="78"/>
      <c r="D481" s="78"/>
      <c r="E481" s="78"/>
      <c r="F481" s="78"/>
      <c r="G481" s="78"/>
      <c r="H481" s="78"/>
      <c r="I481" s="45"/>
      <c r="J481" s="45"/>
      <c r="K481" s="45"/>
      <c r="L481" s="45"/>
      <c r="M481" s="45"/>
      <c r="N481" s="45"/>
      <c r="O481" s="45"/>
      <c r="P481" s="45"/>
      <c r="Q481" s="45"/>
      <c r="R481" s="202"/>
      <c r="S481" s="45"/>
    </row>
    <row r="482">
      <c r="A482" s="176"/>
      <c r="B482" s="78"/>
      <c r="C482" s="78"/>
      <c r="D482" s="78"/>
      <c r="E482" s="78"/>
      <c r="F482" s="78"/>
      <c r="G482" s="78"/>
      <c r="H482" s="78"/>
      <c r="I482" s="45"/>
      <c r="J482" s="45"/>
      <c r="K482" s="45"/>
      <c r="L482" s="45"/>
      <c r="M482" s="45"/>
      <c r="N482" s="45"/>
      <c r="O482" s="45"/>
      <c r="P482" s="45"/>
      <c r="Q482" s="45"/>
      <c r="R482" s="202"/>
      <c r="S482" s="45"/>
    </row>
    <row r="483">
      <c r="A483" s="176"/>
      <c r="B483" s="78"/>
      <c r="C483" s="78"/>
      <c r="D483" s="78"/>
      <c r="E483" s="78"/>
      <c r="F483" s="78"/>
      <c r="G483" s="78"/>
      <c r="H483" s="78"/>
      <c r="I483" s="45"/>
      <c r="J483" s="45"/>
      <c r="K483" s="45"/>
      <c r="L483" s="45"/>
      <c r="M483" s="45"/>
      <c r="N483" s="45"/>
      <c r="O483" s="45"/>
      <c r="P483" s="45"/>
      <c r="Q483" s="45"/>
      <c r="R483" s="202"/>
      <c r="S483" s="45"/>
    </row>
    <row r="484">
      <c r="A484" s="176"/>
      <c r="B484" s="78"/>
      <c r="C484" s="78"/>
      <c r="D484" s="78"/>
      <c r="E484" s="78"/>
      <c r="F484" s="78"/>
      <c r="G484" s="78"/>
      <c r="H484" s="78"/>
      <c r="I484" s="45"/>
      <c r="J484" s="45"/>
      <c r="K484" s="45"/>
      <c r="L484" s="45"/>
      <c r="M484" s="45"/>
      <c r="N484" s="45"/>
      <c r="O484" s="45"/>
      <c r="P484" s="45"/>
      <c r="Q484" s="45"/>
      <c r="R484" s="202"/>
      <c r="S484" s="45"/>
    </row>
    <row r="485">
      <c r="A485" s="176"/>
      <c r="B485" s="78"/>
      <c r="C485" s="78"/>
      <c r="D485" s="78"/>
      <c r="E485" s="78"/>
      <c r="F485" s="78"/>
      <c r="G485" s="78"/>
      <c r="H485" s="78"/>
      <c r="I485" s="45"/>
      <c r="J485" s="45"/>
      <c r="K485" s="45"/>
      <c r="L485" s="45"/>
      <c r="M485" s="45"/>
      <c r="N485" s="45"/>
      <c r="O485" s="45"/>
      <c r="P485" s="45"/>
      <c r="Q485" s="45"/>
      <c r="R485" s="202"/>
      <c r="S485" s="45"/>
    </row>
    <row r="486">
      <c r="A486" s="176"/>
      <c r="B486" s="78"/>
      <c r="C486" s="78"/>
      <c r="D486" s="78"/>
      <c r="E486" s="78"/>
      <c r="F486" s="78"/>
      <c r="G486" s="78"/>
      <c r="H486" s="78"/>
      <c r="I486" s="45"/>
      <c r="J486" s="45"/>
      <c r="K486" s="45"/>
      <c r="L486" s="45"/>
      <c r="M486" s="45"/>
      <c r="N486" s="45"/>
      <c r="O486" s="45"/>
      <c r="P486" s="45"/>
      <c r="Q486" s="45"/>
      <c r="R486" s="202"/>
      <c r="S486" s="45"/>
    </row>
    <row r="487">
      <c r="A487" s="176"/>
      <c r="B487" s="78"/>
      <c r="C487" s="78"/>
      <c r="D487" s="78"/>
      <c r="E487" s="78"/>
      <c r="F487" s="78"/>
      <c r="G487" s="78"/>
      <c r="H487" s="78"/>
      <c r="I487" s="45"/>
      <c r="J487" s="45"/>
      <c r="K487" s="45"/>
      <c r="L487" s="45"/>
      <c r="M487" s="45"/>
      <c r="N487" s="45"/>
      <c r="O487" s="45"/>
      <c r="P487" s="45"/>
      <c r="Q487" s="45"/>
      <c r="R487" s="202"/>
      <c r="S487" s="45"/>
    </row>
    <row r="488">
      <c r="A488" s="176"/>
      <c r="B488" s="78"/>
      <c r="C488" s="78"/>
      <c r="D488" s="78"/>
      <c r="E488" s="78"/>
      <c r="F488" s="78"/>
      <c r="G488" s="78"/>
      <c r="H488" s="78"/>
      <c r="I488" s="45"/>
      <c r="J488" s="45"/>
      <c r="K488" s="45"/>
      <c r="L488" s="45"/>
      <c r="M488" s="45"/>
      <c r="N488" s="45"/>
      <c r="O488" s="45"/>
      <c r="P488" s="45"/>
      <c r="Q488" s="45"/>
      <c r="R488" s="202"/>
      <c r="S488" s="45"/>
    </row>
    <row r="489">
      <c r="A489" s="176"/>
      <c r="B489" s="78"/>
      <c r="C489" s="78"/>
      <c r="D489" s="78"/>
      <c r="E489" s="78"/>
      <c r="F489" s="78"/>
      <c r="G489" s="78"/>
      <c r="H489" s="78"/>
      <c r="I489" s="45"/>
      <c r="J489" s="45"/>
      <c r="K489" s="45"/>
      <c r="L489" s="45"/>
      <c r="M489" s="45"/>
      <c r="N489" s="45"/>
      <c r="O489" s="45"/>
      <c r="P489" s="45"/>
      <c r="Q489" s="45"/>
      <c r="R489" s="202"/>
      <c r="S489" s="45"/>
    </row>
    <row r="490">
      <c r="A490" s="176"/>
      <c r="B490" s="78"/>
      <c r="C490" s="78"/>
      <c r="D490" s="78"/>
      <c r="E490" s="78"/>
      <c r="F490" s="78"/>
      <c r="G490" s="78"/>
      <c r="H490" s="78"/>
      <c r="I490" s="45"/>
      <c r="J490" s="45"/>
      <c r="K490" s="45"/>
      <c r="L490" s="45"/>
      <c r="M490" s="45"/>
      <c r="N490" s="45"/>
      <c r="O490" s="45"/>
      <c r="P490" s="45"/>
      <c r="Q490" s="45"/>
      <c r="R490" s="202"/>
      <c r="S490" s="45"/>
    </row>
    <row r="491">
      <c r="A491" s="176"/>
      <c r="B491" s="78"/>
      <c r="C491" s="78"/>
      <c r="D491" s="78"/>
      <c r="E491" s="78"/>
      <c r="F491" s="78"/>
      <c r="G491" s="78"/>
      <c r="H491" s="78"/>
      <c r="I491" s="45"/>
      <c r="J491" s="45"/>
      <c r="K491" s="45"/>
      <c r="L491" s="45"/>
      <c r="M491" s="45"/>
      <c r="N491" s="45"/>
      <c r="O491" s="45"/>
      <c r="P491" s="45"/>
      <c r="Q491" s="45"/>
      <c r="R491" s="202"/>
      <c r="S491" s="45"/>
    </row>
    <row r="492">
      <c r="A492" s="176"/>
      <c r="B492" s="78"/>
      <c r="C492" s="78"/>
      <c r="D492" s="78"/>
      <c r="E492" s="78"/>
      <c r="F492" s="78"/>
      <c r="G492" s="78"/>
      <c r="H492" s="78"/>
      <c r="I492" s="45"/>
      <c r="J492" s="45"/>
      <c r="K492" s="45"/>
      <c r="L492" s="45"/>
      <c r="M492" s="45"/>
      <c r="N492" s="45"/>
      <c r="O492" s="45"/>
      <c r="P492" s="45"/>
      <c r="Q492" s="45"/>
      <c r="R492" s="202"/>
      <c r="S492" s="45"/>
    </row>
    <row r="493">
      <c r="A493" s="176"/>
      <c r="B493" s="78"/>
      <c r="C493" s="78"/>
      <c r="D493" s="78"/>
      <c r="E493" s="78"/>
      <c r="F493" s="78"/>
      <c r="G493" s="78"/>
      <c r="H493" s="78"/>
      <c r="I493" s="45"/>
      <c r="J493" s="45"/>
      <c r="K493" s="45"/>
      <c r="L493" s="45"/>
      <c r="M493" s="45"/>
      <c r="N493" s="45"/>
      <c r="O493" s="45"/>
      <c r="P493" s="45"/>
      <c r="Q493" s="45"/>
      <c r="R493" s="202"/>
      <c r="S493" s="45"/>
    </row>
    <row r="494">
      <c r="A494" s="176"/>
      <c r="B494" s="78"/>
      <c r="C494" s="78"/>
      <c r="D494" s="78"/>
      <c r="E494" s="78"/>
      <c r="F494" s="78"/>
      <c r="G494" s="78"/>
      <c r="H494" s="78"/>
      <c r="I494" s="45"/>
      <c r="J494" s="45"/>
      <c r="K494" s="45"/>
      <c r="L494" s="45"/>
      <c r="M494" s="45"/>
      <c r="N494" s="45"/>
      <c r="O494" s="45"/>
      <c r="P494" s="45"/>
      <c r="Q494" s="45"/>
      <c r="R494" s="202"/>
      <c r="S494" s="45"/>
    </row>
    <row r="495">
      <c r="A495" s="203"/>
      <c r="B495" s="202"/>
      <c r="C495" s="25"/>
      <c r="D495" s="78"/>
      <c r="E495" s="78"/>
      <c r="F495" s="78"/>
      <c r="G495" s="78"/>
      <c r="H495" s="78"/>
      <c r="I495" s="45"/>
      <c r="J495" s="45"/>
      <c r="K495" s="45"/>
      <c r="L495" s="45"/>
      <c r="M495" s="45"/>
      <c r="N495" s="45"/>
      <c r="O495" s="45"/>
      <c r="P495" s="45"/>
      <c r="Q495" s="45"/>
      <c r="R495" s="202"/>
      <c r="S495" s="45"/>
    </row>
    <row r="496">
      <c r="A496" s="203"/>
      <c r="B496" s="202"/>
      <c r="C496" s="25"/>
      <c r="D496" s="78"/>
      <c r="E496" s="78"/>
      <c r="F496" s="78"/>
      <c r="G496" s="78"/>
      <c r="H496" s="78"/>
      <c r="I496" s="45"/>
      <c r="J496" s="45"/>
      <c r="K496" s="45"/>
      <c r="L496" s="45"/>
      <c r="M496" s="45"/>
      <c r="N496" s="45"/>
      <c r="O496" s="45"/>
      <c r="P496" s="45"/>
      <c r="Q496" s="45"/>
      <c r="R496" s="202"/>
      <c r="S496" s="45"/>
    </row>
    <row r="497">
      <c r="A497" s="203"/>
      <c r="B497" s="202"/>
      <c r="C497" s="25"/>
      <c r="D497" s="78"/>
      <c r="E497" s="78"/>
      <c r="F497" s="78"/>
      <c r="G497" s="78"/>
      <c r="H497" s="78"/>
      <c r="I497" s="45"/>
      <c r="J497" s="45"/>
      <c r="K497" s="45"/>
      <c r="L497" s="45"/>
      <c r="M497" s="45"/>
      <c r="N497" s="45"/>
      <c r="O497" s="45"/>
      <c r="P497" s="45"/>
      <c r="Q497" s="45"/>
      <c r="R497" s="202"/>
      <c r="S497" s="45"/>
    </row>
    <row r="498">
      <c r="A498" s="203"/>
      <c r="B498" s="202"/>
      <c r="C498" s="25"/>
      <c r="D498" s="78"/>
      <c r="E498" s="78"/>
      <c r="F498" s="78"/>
      <c r="G498" s="78"/>
      <c r="H498" s="78"/>
      <c r="I498" s="45"/>
      <c r="J498" s="45"/>
      <c r="K498" s="45"/>
      <c r="L498" s="45"/>
      <c r="M498" s="45"/>
      <c r="N498" s="45"/>
      <c r="O498" s="45"/>
      <c r="P498" s="45"/>
      <c r="Q498" s="45"/>
      <c r="R498" s="202"/>
      <c r="S498" s="45"/>
    </row>
    <row r="499">
      <c r="A499" s="203"/>
      <c r="B499" s="202"/>
      <c r="C499" s="25"/>
      <c r="D499" s="78"/>
      <c r="E499" s="78"/>
      <c r="F499" s="78"/>
      <c r="G499" s="78"/>
      <c r="H499" s="78"/>
      <c r="I499" s="45"/>
      <c r="J499" s="45"/>
      <c r="K499" s="45"/>
      <c r="L499" s="45"/>
      <c r="M499" s="45"/>
      <c r="N499" s="45"/>
      <c r="O499" s="45"/>
      <c r="P499" s="45"/>
      <c r="Q499" s="45"/>
      <c r="R499" s="202"/>
      <c r="S499" s="45"/>
    </row>
    <row r="500">
      <c r="A500" s="203"/>
      <c r="B500" s="202"/>
      <c r="C500" s="25"/>
      <c r="D500" s="78"/>
      <c r="E500" s="78"/>
      <c r="F500" s="78"/>
      <c r="G500" s="78"/>
      <c r="H500" s="78"/>
      <c r="I500" s="45"/>
      <c r="J500" s="45"/>
      <c r="K500" s="45"/>
      <c r="L500" s="45"/>
      <c r="M500" s="45"/>
      <c r="N500" s="45"/>
      <c r="O500" s="45"/>
      <c r="P500" s="45"/>
      <c r="Q500" s="45"/>
      <c r="R500" s="202"/>
      <c r="S500" s="45"/>
    </row>
    <row r="501">
      <c r="A501" s="203"/>
      <c r="B501" s="188"/>
      <c r="C501" s="25"/>
      <c r="D501" s="78"/>
      <c r="E501" s="78"/>
      <c r="F501" s="78"/>
      <c r="G501" s="78"/>
      <c r="H501" s="78"/>
      <c r="I501" s="45"/>
      <c r="J501" s="45"/>
      <c r="K501" s="45"/>
      <c r="L501" s="45"/>
      <c r="M501" s="45"/>
      <c r="N501" s="45"/>
      <c r="O501" s="45"/>
      <c r="P501" s="45"/>
      <c r="Q501" s="45"/>
      <c r="R501" s="202"/>
      <c r="S501" s="45"/>
    </row>
    <row r="502">
      <c r="A502" s="78"/>
      <c r="B502" s="78"/>
      <c r="C502" s="78"/>
      <c r="D502" s="78"/>
      <c r="E502" s="78"/>
      <c r="F502" s="78"/>
      <c r="G502" s="78"/>
      <c r="H502" s="78"/>
      <c r="I502" s="45"/>
      <c r="J502" s="45"/>
      <c r="K502" s="45"/>
      <c r="L502" s="45"/>
      <c r="M502" s="45"/>
      <c r="N502" s="45"/>
      <c r="O502" s="45"/>
      <c r="P502" s="45"/>
      <c r="Q502" s="45"/>
      <c r="R502" s="202"/>
      <c r="S502" s="45"/>
    </row>
    <row r="503">
      <c r="A503" s="78"/>
      <c r="B503" s="78"/>
      <c r="C503" s="78"/>
      <c r="D503" s="78"/>
      <c r="E503" s="78"/>
      <c r="F503" s="78"/>
      <c r="G503" s="78"/>
      <c r="H503" s="78"/>
      <c r="I503" s="45"/>
      <c r="J503" s="45"/>
      <c r="K503" s="45"/>
      <c r="L503" s="45"/>
      <c r="M503" s="45"/>
      <c r="N503" s="45"/>
      <c r="O503" s="45"/>
      <c r="P503" s="45"/>
      <c r="Q503" s="45"/>
      <c r="R503" s="202"/>
      <c r="S503" s="45"/>
    </row>
    <row r="504">
      <c r="A504" s="78"/>
      <c r="B504" s="78"/>
      <c r="C504" s="78"/>
      <c r="D504" s="78"/>
      <c r="E504" s="78"/>
      <c r="F504" s="78"/>
      <c r="G504" s="78"/>
      <c r="H504" s="78"/>
      <c r="I504" s="45"/>
      <c r="J504" s="45"/>
      <c r="K504" s="45"/>
      <c r="L504" s="45"/>
      <c r="M504" s="45"/>
      <c r="N504" s="45"/>
      <c r="O504" s="45"/>
      <c r="P504" s="45"/>
      <c r="Q504" s="45"/>
      <c r="R504" s="202"/>
      <c r="S504" s="45"/>
    </row>
    <row r="505">
      <c r="A505" s="78"/>
      <c r="B505" s="78"/>
      <c r="C505" s="78"/>
      <c r="D505" s="78"/>
      <c r="E505" s="78"/>
      <c r="F505" s="78"/>
      <c r="G505" s="78"/>
      <c r="H505" s="78"/>
      <c r="I505" s="45"/>
      <c r="J505" s="45"/>
      <c r="K505" s="45"/>
      <c r="L505" s="45"/>
      <c r="M505" s="45"/>
      <c r="N505" s="45"/>
      <c r="O505" s="45"/>
      <c r="P505" s="45"/>
      <c r="Q505" s="45"/>
      <c r="R505" s="202"/>
      <c r="S505" s="45"/>
    </row>
    <row r="506">
      <c r="A506" s="78"/>
      <c r="B506" s="78"/>
      <c r="C506" s="78"/>
      <c r="D506" s="78"/>
      <c r="E506" s="78"/>
      <c r="F506" s="78"/>
      <c r="G506" s="78"/>
      <c r="H506" s="78"/>
      <c r="I506" s="45"/>
      <c r="J506" s="45"/>
      <c r="K506" s="45"/>
      <c r="L506" s="45"/>
      <c r="M506" s="45"/>
      <c r="N506" s="45"/>
      <c r="O506" s="45"/>
      <c r="P506" s="45"/>
      <c r="Q506" s="45"/>
      <c r="R506" s="202"/>
      <c r="S506" s="45"/>
    </row>
    <row r="507">
      <c r="A507" s="78"/>
      <c r="B507" s="78"/>
      <c r="C507" s="78"/>
      <c r="D507" s="78"/>
      <c r="E507" s="78"/>
      <c r="F507" s="78"/>
      <c r="G507" s="78"/>
      <c r="H507" s="78"/>
      <c r="I507" s="45"/>
      <c r="J507" s="45"/>
      <c r="K507" s="45"/>
      <c r="L507" s="45"/>
      <c r="M507" s="45"/>
      <c r="N507" s="45"/>
      <c r="O507" s="45"/>
      <c r="P507" s="45"/>
      <c r="Q507" s="45"/>
      <c r="R507" s="202"/>
      <c r="S507" s="45"/>
    </row>
    <row r="508">
      <c r="A508" s="78"/>
      <c r="B508" s="78"/>
      <c r="C508" s="78"/>
      <c r="D508" s="78"/>
      <c r="E508" s="78"/>
      <c r="F508" s="78"/>
      <c r="G508" s="78"/>
      <c r="H508" s="78"/>
      <c r="I508" s="45"/>
      <c r="J508" s="45"/>
      <c r="K508" s="45"/>
      <c r="L508" s="45"/>
      <c r="M508" s="45"/>
      <c r="N508" s="45"/>
      <c r="O508" s="45"/>
      <c r="P508" s="45"/>
      <c r="Q508" s="45"/>
      <c r="R508" s="202"/>
      <c r="S508" s="45"/>
    </row>
    <row r="509">
      <c r="A509" s="78"/>
      <c r="B509" s="78"/>
      <c r="C509" s="78"/>
      <c r="D509" s="78"/>
      <c r="E509" s="78"/>
      <c r="F509" s="78"/>
      <c r="G509" s="78"/>
      <c r="H509" s="78"/>
      <c r="I509" s="45"/>
      <c r="J509" s="45"/>
      <c r="K509" s="45"/>
      <c r="L509" s="45"/>
      <c r="M509" s="45"/>
      <c r="N509" s="45"/>
      <c r="O509" s="45"/>
      <c r="P509" s="45"/>
      <c r="Q509" s="45"/>
      <c r="R509" s="202"/>
      <c r="S509" s="45"/>
    </row>
    <row r="510">
      <c r="A510" s="78"/>
      <c r="B510" s="78"/>
      <c r="C510" s="78"/>
      <c r="D510" s="78"/>
      <c r="E510" s="78"/>
      <c r="F510" s="78"/>
      <c r="G510" s="78"/>
      <c r="H510" s="78"/>
      <c r="I510" s="45"/>
      <c r="J510" s="45"/>
      <c r="K510" s="45"/>
      <c r="L510" s="45"/>
      <c r="M510" s="45"/>
      <c r="N510" s="45"/>
      <c r="O510" s="45"/>
      <c r="P510" s="45"/>
      <c r="Q510" s="45"/>
      <c r="R510" s="202"/>
      <c r="S510" s="45"/>
    </row>
    <row r="511">
      <c r="A511" s="78"/>
      <c r="B511" s="78"/>
      <c r="C511" s="78"/>
      <c r="D511" s="78"/>
      <c r="E511" s="78"/>
      <c r="F511" s="78"/>
      <c r="G511" s="78"/>
      <c r="H511" s="78"/>
      <c r="I511" s="45"/>
      <c r="J511" s="45"/>
      <c r="K511" s="45"/>
      <c r="L511" s="45"/>
      <c r="M511" s="45"/>
      <c r="N511" s="45"/>
      <c r="O511" s="45"/>
      <c r="P511" s="45"/>
      <c r="Q511" s="45"/>
      <c r="R511" s="202"/>
      <c r="S511" s="45"/>
    </row>
    <row r="512">
      <c r="A512" s="78"/>
      <c r="B512" s="78"/>
      <c r="C512" s="78"/>
      <c r="D512" s="78"/>
      <c r="E512" s="78"/>
      <c r="F512" s="78"/>
      <c r="G512" s="78"/>
      <c r="H512" s="78"/>
      <c r="I512" s="45"/>
      <c r="J512" s="45"/>
      <c r="K512" s="45"/>
      <c r="L512" s="45"/>
      <c r="M512" s="45"/>
      <c r="N512" s="45"/>
      <c r="O512" s="45"/>
      <c r="P512" s="45"/>
      <c r="Q512" s="45"/>
      <c r="R512" s="202"/>
      <c r="S512" s="45"/>
    </row>
    <row r="513">
      <c r="A513" s="78"/>
      <c r="B513" s="78"/>
      <c r="C513" s="78"/>
      <c r="D513" s="78"/>
      <c r="E513" s="78"/>
      <c r="F513" s="78"/>
      <c r="G513" s="78"/>
      <c r="H513" s="78"/>
      <c r="I513" s="45"/>
      <c r="J513" s="45"/>
      <c r="K513" s="45"/>
      <c r="L513" s="45"/>
      <c r="M513" s="45"/>
      <c r="N513" s="45"/>
      <c r="O513" s="45"/>
      <c r="P513" s="45"/>
      <c r="Q513" s="45"/>
      <c r="R513" s="202"/>
      <c r="S513" s="45"/>
    </row>
    <row r="514">
      <c r="A514" s="78"/>
      <c r="B514" s="78"/>
      <c r="C514" s="78"/>
      <c r="D514" s="78"/>
      <c r="E514" s="78"/>
      <c r="F514" s="78"/>
      <c r="G514" s="78"/>
      <c r="H514" s="78"/>
      <c r="I514" s="45"/>
      <c r="J514" s="45"/>
      <c r="K514" s="45"/>
      <c r="L514" s="45"/>
      <c r="M514" s="45"/>
      <c r="N514" s="45"/>
      <c r="O514" s="45"/>
      <c r="P514" s="45"/>
      <c r="Q514" s="45"/>
      <c r="R514" s="202"/>
      <c r="S514" s="45"/>
    </row>
    <row r="515">
      <c r="A515" s="78"/>
      <c r="B515" s="78"/>
      <c r="C515" s="78"/>
      <c r="D515" s="78"/>
      <c r="E515" s="78"/>
      <c r="F515" s="78"/>
      <c r="G515" s="78"/>
      <c r="H515" s="78"/>
      <c r="I515" s="45"/>
      <c r="J515" s="45"/>
      <c r="K515" s="45"/>
      <c r="L515" s="45"/>
      <c r="M515" s="45"/>
      <c r="N515" s="45"/>
      <c r="O515" s="45"/>
      <c r="P515" s="45"/>
      <c r="Q515" s="45"/>
      <c r="R515" s="202"/>
      <c r="S515" s="45"/>
    </row>
    <row r="516">
      <c r="A516" s="78"/>
      <c r="B516" s="78"/>
      <c r="C516" s="78"/>
      <c r="D516" s="78"/>
      <c r="E516" s="78"/>
      <c r="F516" s="78"/>
      <c r="G516" s="78"/>
      <c r="H516" s="78"/>
      <c r="I516" s="45"/>
      <c r="J516" s="45"/>
      <c r="K516" s="45"/>
      <c r="L516" s="45"/>
      <c r="M516" s="45"/>
      <c r="N516" s="45"/>
      <c r="O516" s="45"/>
      <c r="P516" s="45"/>
      <c r="Q516" s="45"/>
      <c r="R516" s="202"/>
      <c r="S516" s="45"/>
    </row>
    <row r="517">
      <c r="A517" s="78"/>
      <c r="B517" s="78"/>
      <c r="C517" s="78"/>
      <c r="D517" s="78"/>
      <c r="E517" s="78"/>
      <c r="F517" s="78"/>
      <c r="G517" s="78"/>
      <c r="H517" s="78"/>
      <c r="I517" s="45"/>
      <c r="J517" s="45"/>
      <c r="K517" s="45"/>
      <c r="L517" s="45"/>
      <c r="M517" s="45"/>
      <c r="N517" s="45"/>
      <c r="O517" s="45"/>
      <c r="P517" s="45"/>
      <c r="Q517" s="45"/>
      <c r="R517" s="202"/>
      <c r="S517" s="45"/>
    </row>
    <row r="518">
      <c r="A518" s="78"/>
      <c r="B518" s="78"/>
      <c r="C518" s="78"/>
      <c r="D518" s="78"/>
      <c r="E518" s="78"/>
      <c r="F518" s="78"/>
      <c r="G518" s="78"/>
      <c r="H518" s="78"/>
      <c r="I518" s="45"/>
      <c r="J518" s="45"/>
      <c r="K518" s="45"/>
      <c r="L518" s="45"/>
      <c r="M518" s="45"/>
      <c r="N518" s="45"/>
      <c r="O518" s="45"/>
      <c r="P518" s="45"/>
      <c r="Q518" s="45"/>
      <c r="R518" s="202"/>
      <c r="S518" s="45"/>
    </row>
    <row r="519">
      <c r="A519" s="78"/>
      <c r="B519" s="78"/>
      <c r="C519" s="78"/>
      <c r="D519" s="78"/>
      <c r="E519" s="78"/>
      <c r="F519" s="78"/>
      <c r="G519" s="78"/>
      <c r="H519" s="78"/>
      <c r="I519" s="45"/>
      <c r="J519" s="45"/>
      <c r="K519" s="45"/>
      <c r="L519" s="45"/>
      <c r="M519" s="45"/>
      <c r="N519" s="45"/>
      <c r="O519" s="45"/>
      <c r="P519" s="45"/>
      <c r="Q519" s="45"/>
      <c r="R519" s="202"/>
      <c r="S519" s="45"/>
    </row>
    <row r="520">
      <c r="A520" s="78"/>
      <c r="B520" s="78"/>
      <c r="C520" s="78"/>
      <c r="D520" s="78"/>
      <c r="E520" s="78"/>
      <c r="F520" s="78"/>
      <c r="G520" s="78"/>
      <c r="H520" s="78"/>
      <c r="I520" s="45"/>
      <c r="J520" s="45"/>
      <c r="K520" s="45"/>
      <c r="L520" s="45"/>
      <c r="M520" s="45"/>
      <c r="N520" s="45"/>
      <c r="O520" s="45"/>
      <c r="P520" s="45"/>
      <c r="Q520" s="45"/>
      <c r="R520" s="202"/>
      <c r="S520" s="45"/>
    </row>
    <row r="521">
      <c r="A521" s="78"/>
      <c r="B521" s="78"/>
      <c r="C521" s="78"/>
      <c r="D521" s="78"/>
      <c r="E521" s="78"/>
      <c r="F521" s="78"/>
      <c r="G521" s="78"/>
      <c r="H521" s="78"/>
      <c r="I521" s="45"/>
      <c r="J521" s="45"/>
      <c r="K521" s="45"/>
      <c r="L521" s="45"/>
      <c r="M521" s="45"/>
      <c r="N521" s="45"/>
      <c r="O521" s="45"/>
      <c r="P521" s="45"/>
      <c r="Q521" s="45"/>
      <c r="R521" s="202"/>
      <c r="S521" s="45"/>
    </row>
    <row r="522">
      <c r="A522" s="78"/>
      <c r="B522" s="78"/>
      <c r="C522" s="78"/>
      <c r="D522" s="78"/>
      <c r="E522" s="78"/>
      <c r="F522" s="78"/>
      <c r="G522" s="78"/>
      <c r="H522" s="78"/>
      <c r="I522" s="45"/>
      <c r="J522" s="45"/>
      <c r="K522" s="45"/>
      <c r="L522" s="45"/>
      <c r="M522" s="45"/>
      <c r="N522" s="45"/>
      <c r="O522" s="45"/>
      <c r="P522" s="45"/>
      <c r="Q522" s="45"/>
      <c r="R522" s="202"/>
      <c r="S522" s="45"/>
    </row>
    <row r="523">
      <c r="A523" s="78"/>
      <c r="B523" s="78"/>
      <c r="C523" s="78"/>
      <c r="D523" s="78"/>
      <c r="E523" s="78"/>
      <c r="F523" s="78"/>
      <c r="G523" s="78"/>
      <c r="H523" s="78"/>
      <c r="I523" s="45"/>
      <c r="J523" s="45"/>
      <c r="K523" s="45"/>
      <c r="L523" s="45"/>
      <c r="M523" s="45"/>
      <c r="N523" s="45"/>
      <c r="O523" s="45"/>
      <c r="P523" s="45"/>
      <c r="Q523" s="45"/>
      <c r="R523" s="202"/>
      <c r="S523" s="45"/>
    </row>
    <row r="524">
      <c r="A524" s="78"/>
      <c r="B524" s="78"/>
      <c r="C524" s="78"/>
      <c r="D524" s="78"/>
      <c r="E524" s="78"/>
      <c r="F524" s="78"/>
      <c r="G524" s="78"/>
      <c r="H524" s="78"/>
      <c r="I524" s="45"/>
      <c r="J524" s="45"/>
      <c r="K524" s="45"/>
      <c r="L524" s="45"/>
      <c r="M524" s="45"/>
      <c r="N524" s="45"/>
      <c r="O524" s="45"/>
      <c r="P524" s="45"/>
      <c r="Q524" s="45"/>
      <c r="R524" s="202"/>
      <c r="S524" s="45"/>
    </row>
    <row r="525">
      <c r="A525" s="78"/>
      <c r="B525" s="78"/>
      <c r="C525" s="78"/>
      <c r="D525" s="78"/>
      <c r="E525" s="78"/>
      <c r="F525" s="78"/>
      <c r="G525" s="78"/>
      <c r="H525" s="78"/>
      <c r="I525" s="45"/>
      <c r="J525" s="45"/>
      <c r="K525" s="45"/>
      <c r="L525" s="45"/>
      <c r="M525" s="45"/>
      <c r="N525" s="45"/>
      <c r="O525" s="45"/>
      <c r="P525" s="45"/>
      <c r="Q525" s="45"/>
      <c r="R525" s="202"/>
      <c r="S525" s="45"/>
    </row>
    <row r="526">
      <c r="A526" s="78"/>
      <c r="B526" s="78"/>
      <c r="C526" s="78"/>
      <c r="D526" s="78"/>
      <c r="E526" s="78"/>
      <c r="F526" s="78"/>
      <c r="G526" s="78"/>
      <c r="H526" s="78"/>
      <c r="I526" s="45"/>
      <c r="J526" s="45"/>
      <c r="K526" s="45"/>
      <c r="L526" s="45"/>
      <c r="M526" s="45"/>
      <c r="N526" s="45"/>
      <c r="O526" s="45"/>
      <c r="P526" s="45"/>
      <c r="Q526" s="45"/>
      <c r="R526" s="202"/>
      <c r="S526" s="45"/>
    </row>
    <row r="527">
      <c r="A527" s="78"/>
      <c r="B527" s="78"/>
      <c r="C527" s="78"/>
      <c r="D527" s="78"/>
      <c r="E527" s="78"/>
      <c r="F527" s="78"/>
      <c r="G527" s="78"/>
      <c r="H527" s="78"/>
      <c r="I527" s="45"/>
      <c r="J527" s="45"/>
      <c r="K527" s="45"/>
      <c r="L527" s="45"/>
      <c r="M527" s="45"/>
      <c r="N527" s="45"/>
      <c r="O527" s="45"/>
      <c r="P527" s="45"/>
      <c r="Q527" s="45"/>
      <c r="R527" s="202"/>
      <c r="S527" s="45"/>
    </row>
    <row r="528">
      <c r="A528" s="78"/>
      <c r="B528" s="78"/>
      <c r="C528" s="78"/>
      <c r="D528" s="78"/>
      <c r="E528" s="78"/>
      <c r="F528" s="78"/>
      <c r="G528" s="78"/>
      <c r="H528" s="78"/>
      <c r="I528" s="45"/>
      <c r="J528" s="45"/>
      <c r="K528" s="45"/>
      <c r="L528" s="45"/>
      <c r="M528" s="45"/>
      <c r="N528" s="45"/>
      <c r="O528" s="45"/>
      <c r="P528" s="45"/>
      <c r="Q528" s="45"/>
      <c r="R528" s="202"/>
      <c r="S528" s="45"/>
    </row>
    <row r="529">
      <c r="A529" s="78"/>
      <c r="B529" s="78"/>
      <c r="C529" s="78"/>
      <c r="D529" s="78"/>
      <c r="E529" s="78"/>
      <c r="F529" s="78"/>
      <c r="G529" s="78"/>
      <c r="H529" s="78"/>
      <c r="I529" s="45"/>
      <c r="J529" s="45"/>
      <c r="K529" s="45"/>
      <c r="L529" s="45"/>
      <c r="M529" s="45"/>
      <c r="N529" s="45"/>
      <c r="O529" s="45"/>
      <c r="P529" s="45"/>
      <c r="Q529" s="45"/>
      <c r="R529" s="202"/>
      <c r="S529" s="45"/>
    </row>
    <row r="530">
      <c r="A530" s="78"/>
      <c r="B530" s="78"/>
      <c r="C530" s="78"/>
      <c r="D530" s="78"/>
      <c r="E530" s="78"/>
      <c r="F530" s="78"/>
      <c r="G530" s="78"/>
      <c r="H530" s="78"/>
      <c r="I530" s="45"/>
      <c r="J530" s="45"/>
      <c r="K530" s="45"/>
      <c r="L530" s="45"/>
      <c r="M530" s="45"/>
      <c r="N530" s="45"/>
      <c r="O530" s="45"/>
      <c r="P530" s="45"/>
      <c r="Q530" s="45"/>
      <c r="R530" s="202"/>
      <c r="S530" s="45"/>
    </row>
    <row r="531">
      <c r="A531" s="78"/>
      <c r="B531" s="78"/>
      <c r="C531" s="78"/>
      <c r="D531" s="78"/>
      <c r="E531" s="78"/>
      <c r="F531" s="78"/>
      <c r="G531" s="78"/>
      <c r="H531" s="78"/>
      <c r="I531" s="45"/>
      <c r="J531" s="45"/>
      <c r="K531" s="45"/>
      <c r="L531" s="45"/>
      <c r="M531" s="45"/>
      <c r="N531" s="45"/>
      <c r="O531" s="45"/>
      <c r="P531" s="45"/>
      <c r="Q531" s="45"/>
      <c r="R531" s="202"/>
      <c r="S531" s="45"/>
    </row>
    <row r="532">
      <c r="A532" s="78"/>
      <c r="B532" s="78"/>
      <c r="C532" s="78"/>
      <c r="D532" s="78"/>
      <c r="E532" s="78"/>
      <c r="F532" s="78"/>
      <c r="G532" s="78"/>
      <c r="H532" s="78"/>
      <c r="I532" s="45"/>
      <c r="J532" s="45"/>
      <c r="K532" s="45"/>
      <c r="L532" s="45"/>
      <c r="M532" s="45"/>
      <c r="N532" s="45"/>
      <c r="O532" s="45"/>
      <c r="P532" s="45"/>
      <c r="Q532" s="45"/>
      <c r="R532" s="202"/>
      <c r="S532" s="45"/>
    </row>
    <row r="533">
      <c r="A533" s="78"/>
      <c r="B533" s="78"/>
      <c r="C533" s="78"/>
      <c r="D533" s="78"/>
      <c r="E533" s="78"/>
      <c r="F533" s="78"/>
      <c r="G533" s="78"/>
      <c r="H533" s="78"/>
      <c r="I533" s="45"/>
      <c r="J533" s="45"/>
      <c r="K533" s="45"/>
      <c r="L533" s="45"/>
      <c r="M533" s="45"/>
      <c r="N533" s="45"/>
      <c r="O533" s="45"/>
      <c r="P533" s="45"/>
      <c r="Q533" s="45"/>
      <c r="R533" s="202"/>
      <c r="S533" s="45"/>
    </row>
    <row r="534">
      <c r="A534" s="78"/>
      <c r="B534" s="78"/>
      <c r="C534" s="78"/>
      <c r="D534" s="78"/>
      <c r="E534" s="78"/>
      <c r="F534" s="78"/>
      <c r="G534" s="78"/>
      <c r="H534" s="78"/>
      <c r="I534" s="45"/>
      <c r="J534" s="45"/>
      <c r="K534" s="45"/>
      <c r="L534" s="45"/>
      <c r="M534" s="45"/>
      <c r="N534" s="45"/>
      <c r="O534" s="45"/>
      <c r="P534" s="45"/>
      <c r="Q534" s="45"/>
      <c r="R534" s="202"/>
      <c r="S534" s="45"/>
    </row>
    <row r="535">
      <c r="A535" s="78"/>
      <c r="B535" s="78"/>
      <c r="C535" s="78"/>
      <c r="D535" s="78"/>
      <c r="E535" s="78"/>
      <c r="F535" s="78"/>
      <c r="G535" s="78"/>
      <c r="H535" s="78"/>
      <c r="I535" s="45"/>
      <c r="J535" s="45"/>
      <c r="K535" s="45"/>
      <c r="L535" s="45"/>
      <c r="M535" s="45"/>
      <c r="N535" s="45"/>
      <c r="O535" s="45"/>
      <c r="P535" s="45"/>
      <c r="Q535" s="45"/>
      <c r="R535" s="202"/>
      <c r="S535" s="45"/>
    </row>
    <row r="536">
      <c r="A536" s="78"/>
      <c r="B536" s="78"/>
      <c r="C536" s="78"/>
      <c r="D536" s="78"/>
      <c r="E536" s="78"/>
      <c r="F536" s="78"/>
      <c r="G536" s="78"/>
      <c r="H536" s="78"/>
      <c r="I536" s="45"/>
      <c r="J536" s="45"/>
      <c r="K536" s="45"/>
      <c r="L536" s="45"/>
      <c r="M536" s="45"/>
      <c r="N536" s="45"/>
      <c r="O536" s="45"/>
      <c r="P536" s="45"/>
      <c r="Q536" s="45"/>
      <c r="R536" s="202"/>
      <c r="S536" s="45"/>
    </row>
    <row r="537">
      <c r="A537" s="78"/>
      <c r="B537" s="78"/>
      <c r="C537" s="78"/>
      <c r="D537" s="78"/>
      <c r="E537" s="78"/>
      <c r="F537" s="78"/>
      <c r="G537" s="78"/>
      <c r="H537" s="78"/>
      <c r="I537" s="45"/>
      <c r="J537" s="45"/>
      <c r="K537" s="45"/>
      <c r="L537" s="45"/>
      <c r="M537" s="45"/>
      <c r="N537" s="45"/>
      <c r="O537" s="45"/>
      <c r="P537" s="45"/>
      <c r="Q537" s="45"/>
      <c r="R537" s="202"/>
      <c r="S537" s="45"/>
    </row>
    <row r="538">
      <c r="A538" s="78"/>
      <c r="B538" s="78"/>
      <c r="C538" s="78"/>
      <c r="D538" s="78"/>
      <c r="E538" s="78"/>
      <c r="F538" s="78"/>
      <c r="G538" s="78"/>
      <c r="H538" s="78"/>
      <c r="I538" s="45"/>
      <c r="J538" s="45"/>
      <c r="K538" s="45"/>
      <c r="L538" s="45"/>
      <c r="M538" s="45"/>
      <c r="N538" s="45"/>
      <c r="O538" s="45"/>
      <c r="P538" s="45"/>
      <c r="Q538" s="45"/>
      <c r="R538" s="202"/>
      <c r="S538" s="45"/>
    </row>
    <row r="539">
      <c r="A539" s="78"/>
      <c r="B539" s="78"/>
      <c r="C539" s="78"/>
      <c r="D539" s="78"/>
      <c r="E539" s="78"/>
      <c r="F539" s="78"/>
      <c r="G539" s="78"/>
      <c r="H539" s="78"/>
      <c r="I539" s="45"/>
      <c r="J539" s="45"/>
      <c r="K539" s="45"/>
      <c r="L539" s="45"/>
      <c r="M539" s="45"/>
      <c r="N539" s="45"/>
      <c r="O539" s="45"/>
      <c r="P539" s="45"/>
      <c r="Q539" s="45"/>
      <c r="R539" s="202"/>
      <c r="S539" s="45"/>
    </row>
    <row r="540">
      <c r="A540" s="78"/>
      <c r="B540" s="78"/>
      <c r="C540" s="78"/>
      <c r="D540" s="78"/>
      <c r="E540" s="78"/>
      <c r="F540" s="78"/>
      <c r="G540" s="78"/>
      <c r="H540" s="78"/>
      <c r="I540" s="45"/>
      <c r="J540" s="45"/>
      <c r="K540" s="45"/>
      <c r="L540" s="45"/>
      <c r="M540" s="45"/>
      <c r="N540" s="45"/>
      <c r="O540" s="45"/>
      <c r="P540" s="45"/>
      <c r="Q540" s="45"/>
      <c r="R540" s="202"/>
      <c r="S540" s="45"/>
    </row>
    <row r="541">
      <c r="A541" s="78"/>
      <c r="B541" s="78"/>
      <c r="C541" s="78"/>
      <c r="D541" s="78"/>
      <c r="E541" s="78"/>
      <c r="F541" s="78"/>
      <c r="G541" s="78"/>
      <c r="H541" s="78"/>
      <c r="I541" s="45"/>
      <c r="J541" s="45"/>
      <c r="K541" s="45"/>
      <c r="L541" s="45"/>
      <c r="M541" s="45"/>
      <c r="N541" s="45"/>
      <c r="O541" s="45"/>
      <c r="P541" s="45"/>
      <c r="Q541" s="45"/>
      <c r="R541" s="202"/>
      <c r="S541" s="45"/>
    </row>
    <row r="542">
      <c r="A542" s="78"/>
      <c r="B542" s="78"/>
      <c r="C542" s="78"/>
      <c r="D542" s="78"/>
      <c r="E542" s="78"/>
      <c r="F542" s="78"/>
      <c r="G542" s="78"/>
      <c r="H542" s="78"/>
      <c r="I542" s="45"/>
      <c r="J542" s="45"/>
      <c r="K542" s="45"/>
      <c r="L542" s="45"/>
      <c r="M542" s="45"/>
      <c r="N542" s="45"/>
      <c r="O542" s="45"/>
      <c r="P542" s="45"/>
      <c r="Q542" s="45"/>
      <c r="R542" s="202"/>
      <c r="S542" s="45"/>
    </row>
    <row r="543">
      <c r="A543" s="78"/>
      <c r="B543" s="78"/>
      <c r="C543" s="78"/>
      <c r="D543" s="78"/>
      <c r="E543" s="78"/>
      <c r="F543" s="78"/>
      <c r="G543" s="78"/>
      <c r="H543" s="78"/>
      <c r="I543" s="45"/>
      <c r="J543" s="45"/>
      <c r="K543" s="45"/>
      <c r="L543" s="45"/>
      <c r="M543" s="45"/>
      <c r="N543" s="45"/>
      <c r="O543" s="45"/>
      <c r="P543" s="45"/>
      <c r="Q543" s="45"/>
      <c r="R543" s="202"/>
      <c r="S543" s="45"/>
    </row>
    <row r="544">
      <c r="A544" s="78"/>
      <c r="B544" s="78"/>
      <c r="C544" s="78"/>
      <c r="D544" s="78"/>
      <c r="E544" s="78"/>
      <c r="F544" s="78"/>
      <c r="G544" s="78"/>
      <c r="H544" s="78"/>
      <c r="I544" s="45"/>
      <c r="J544" s="45"/>
      <c r="K544" s="45"/>
      <c r="L544" s="45"/>
      <c r="M544" s="45"/>
      <c r="N544" s="45"/>
      <c r="O544" s="45"/>
      <c r="P544" s="45"/>
      <c r="Q544" s="45"/>
      <c r="R544" s="202"/>
      <c r="S544" s="45"/>
    </row>
    <row r="545">
      <c r="A545" s="78"/>
      <c r="B545" s="78"/>
      <c r="C545" s="78"/>
      <c r="D545" s="78"/>
      <c r="E545" s="78"/>
      <c r="F545" s="78"/>
      <c r="G545" s="78"/>
      <c r="H545" s="78"/>
      <c r="I545" s="45"/>
      <c r="J545" s="45"/>
      <c r="K545" s="45"/>
      <c r="L545" s="45"/>
      <c r="M545" s="45"/>
      <c r="N545" s="45"/>
      <c r="O545" s="45"/>
      <c r="P545" s="45"/>
      <c r="Q545" s="45"/>
      <c r="R545" s="202"/>
      <c r="S545" s="45"/>
    </row>
    <row r="546">
      <c r="A546" s="78"/>
      <c r="B546" s="78"/>
      <c r="C546" s="78"/>
      <c r="D546" s="78"/>
      <c r="E546" s="78"/>
      <c r="F546" s="78"/>
      <c r="G546" s="78"/>
      <c r="H546" s="78"/>
      <c r="I546" s="45"/>
      <c r="J546" s="45"/>
      <c r="K546" s="45"/>
      <c r="L546" s="45"/>
      <c r="M546" s="45"/>
      <c r="N546" s="45"/>
      <c r="O546" s="45"/>
      <c r="P546" s="45"/>
      <c r="Q546" s="45"/>
      <c r="R546" s="202"/>
      <c r="S546" s="45"/>
    </row>
    <row r="547">
      <c r="A547" s="78"/>
      <c r="B547" s="78"/>
      <c r="C547" s="78"/>
      <c r="D547" s="78"/>
      <c r="E547" s="78"/>
      <c r="F547" s="78"/>
      <c r="G547" s="78"/>
      <c r="H547" s="78"/>
      <c r="I547" s="45"/>
      <c r="J547" s="45"/>
      <c r="K547" s="45"/>
      <c r="L547" s="45"/>
      <c r="M547" s="45"/>
      <c r="N547" s="45"/>
      <c r="O547" s="45"/>
      <c r="P547" s="45"/>
      <c r="Q547" s="45"/>
      <c r="R547" s="202"/>
      <c r="S547" s="45"/>
    </row>
    <row r="548">
      <c r="A548" s="78"/>
      <c r="B548" s="78"/>
      <c r="C548" s="78"/>
      <c r="D548" s="78"/>
      <c r="E548" s="78"/>
      <c r="F548" s="78"/>
      <c r="G548" s="78"/>
      <c r="H548" s="78"/>
      <c r="I548" s="45"/>
      <c r="J548" s="45"/>
      <c r="K548" s="45"/>
      <c r="L548" s="45"/>
      <c r="M548" s="45"/>
      <c r="N548" s="45"/>
      <c r="O548" s="45"/>
      <c r="P548" s="45"/>
      <c r="Q548" s="45"/>
      <c r="R548" s="202"/>
      <c r="S548" s="45"/>
    </row>
    <row r="549">
      <c r="A549" s="78"/>
      <c r="B549" s="78"/>
      <c r="C549" s="78"/>
      <c r="D549" s="78"/>
      <c r="E549" s="78"/>
      <c r="F549" s="78"/>
      <c r="G549" s="78"/>
      <c r="H549" s="78"/>
      <c r="I549" s="45"/>
      <c r="J549" s="45"/>
      <c r="K549" s="45"/>
      <c r="L549" s="45"/>
      <c r="M549" s="45"/>
      <c r="N549" s="45"/>
      <c r="O549" s="45"/>
      <c r="P549" s="45"/>
      <c r="Q549" s="45"/>
      <c r="R549" s="202"/>
      <c r="S549" s="45"/>
    </row>
    <row r="550">
      <c r="A550" s="78"/>
      <c r="B550" s="78"/>
      <c r="C550" s="78"/>
      <c r="D550" s="78"/>
      <c r="E550" s="78"/>
      <c r="F550" s="78"/>
      <c r="G550" s="78"/>
      <c r="H550" s="78"/>
      <c r="I550" s="45"/>
      <c r="J550" s="45"/>
      <c r="K550" s="45"/>
      <c r="L550" s="45"/>
      <c r="M550" s="45"/>
      <c r="N550" s="45"/>
      <c r="O550" s="45"/>
      <c r="P550" s="45"/>
      <c r="Q550" s="45"/>
      <c r="R550" s="202"/>
      <c r="S550" s="45"/>
    </row>
    <row r="551">
      <c r="A551" s="78"/>
      <c r="B551" s="78"/>
      <c r="C551" s="78"/>
      <c r="D551" s="78"/>
      <c r="E551" s="78"/>
      <c r="F551" s="78"/>
      <c r="G551" s="78"/>
      <c r="H551" s="78"/>
      <c r="I551" s="45"/>
      <c r="J551" s="45"/>
      <c r="K551" s="45"/>
      <c r="L551" s="45"/>
      <c r="M551" s="45"/>
      <c r="N551" s="45"/>
      <c r="O551" s="45"/>
      <c r="P551" s="45"/>
      <c r="Q551" s="45"/>
      <c r="R551" s="202"/>
      <c r="S551" s="45"/>
    </row>
    <row r="552">
      <c r="A552" s="78"/>
      <c r="B552" s="78"/>
      <c r="C552" s="78"/>
      <c r="D552" s="78"/>
      <c r="E552" s="78"/>
      <c r="F552" s="78"/>
      <c r="G552" s="78"/>
      <c r="H552" s="78"/>
      <c r="I552" s="45"/>
      <c r="J552" s="45"/>
      <c r="K552" s="45"/>
      <c r="L552" s="45"/>
      <c r="M552" s="45"/>
      <c r="N552" s="45"/>
      <c r="O552" s="45"/>
      <c r="P552" s="45"/>
      <c r="Q552" s="45"/>
      <c r="R552" s="202"/>
      <c r="S552" s="45"/>
    </row>
    <row r="553">
      <c r="A553" s="78"/>
      <c r="B553" s="78"/>
      <c r="C553" s="78"/>
      <c r="D553" s="78"/>
      <c r="E553" s="78"/>
      <c r="F553" s="78"/>
      <c r="G553" s="78"/>
      <c r="H553" s="78"/>
      <c r="I553" s="45"/>
      <c r="J553" s="45"/>
      <c r="K553" s="45"/>
      <c r="L553" s="45"/>
      <c r="M553" s="45"/>
      <c r="N553" s="45"/>
      <c r="O553" s="45"/>
      <c r="P553" s="45"/>
      <c r="Q553" s="45"/>
      <c r="R553" s="202"/>
      <c r="S553" s="45"/>
    </row>
    <row r="554">
      <c r="A554" s="78"/>
      <c r="B554" s="78"/>
      <c r="C554" s="78"/>
      <c r="D554" s="78"/>
      <c r="E554" s="78"/>
      <c r="F554" s="78"/>
      <c r="G554" s="78"/>
      <c r="H554" s="78"/>
      <c r="I554" s="45"/>
      <c r="J554" s="45"/>
      <c r="K554" s="45"/>
      <c r="L554" s="45"/>
      <c r="M554" s="45"/>
      <c r="N554" s="45"/>
      <c r="O554" s="45"/>
      <c r="P554" s="45"/>
      <c r="Q554" s="45"/>
      <c r="R554" s="202"/>
      <c r="S554" s="45"/>
    </row>
    <row r="555">
      <c r="A555" s="78"/>
      <c r="B555" s="78"/>
      <c r="C555" s="78"/>
      <c r="D555" s="78"/>
      <c r="E555" s="78"/>
      <c r="F555" s="78"/>
      <c r="G555" s="78"/>
      <c r="H555" s="78"/>
      <c r="I555" s="45"/>
      <c r="J555" s="45"/>
      <c r="K555" s="45"/>
      <c r="L555" s="45"/>
      <c r="M555" s="45"/>
      <c r="N555" s="45"/>
      <c r="O555" s="45"/>
      <c r="P555" s="45"/>
      <c r="Q555" s="45"/>
      <c r="R555" s="202"/>
      <c r="S555" s="45"/>
    </row>
    <row r="556">
      <c r="A556" s="78"/>
      <c r="B556" s="78"/>
      <c r="C556" s="78"/>
      <c r="D556" s="78"/>
      <c r="E556" s="78"/>
      <c r="F556" s="78"/>
      <c r="G556" s="78"/>
      <c r="H556" s="78"/>
      <c r="I556" s="45"/>
      <c r="J556" s="45"/>
      <c r="K556" s="45"/>
      <c r="L556" s="45"/>
      <c r="M556" s="45"/>
      <c r="N556" s="45"/>
      <c r="O556" s="45"/>
      <c r="P556" s="45"/>
      <c r="Q556" s="45"/>
      <c r="R556" s="202"/>
      <c r="S556" s="45"/>
    </row>
    <row r="557">
      <c r="A557" s="78"/>
      <c r="B557" s="78"/>
      <c r="C557" s="78"/>
      <c r="D557" s="78"/>
      <c r="E557" s="78"/>
      <c r="F557" s="78"/>
      <c r="G557" s="78"/>
      <c r="H557" s="78"/>
      <c r="I557" s="45"/>
      <c r="J557" s="45"/>
      <c r="K557" s="45"/>
      <c r="L557" s="45"/>
      <c r="M557" s="45"/>
      <c r="N557" s="45"/>
      <c r="O557" s="45"/>
      <c r="P557" s="45"/>
      <c r="Q557" s="45"/>
      <c r="R557" s="202"/>
      <c r="S557" s="45"/>
    </row>
    <row r="558">
      <c r="A558" s="78"/>
      <c r="B558" s="78"/>
      <c r="C558" s="78"/>
      <c r="D558" s="78"/>
      <c r="E558" s="78"/>
      <c r="F558" s="78"/>
      <c r="G558" s="78"/>
      <c r="H558" s="78"/>
      <c r="I558" s="45"/>
      <c r="J558" s="45"/>
      <c r="K558" s="45"/>
      <c r="L558" s="45"/>
      <c r="M558" s="45"/>
      <c r="N558" s="45"/>
      <c r="O558" s="45"/>
      <c r="P558" s="45"/>
      <c r="Q558" s="45"/>
      <c r="R558" s="202"/>
      <c r="S558" s="45"/>
    </row>
    <row r="559">
      <c r="A559" s="78"/>
      <c r="B559" s="78"/>
      <c r="C559" s="78"/>
      <c r="D559" s="78"/>
      <c r="E559" s="78"/>
      <c r="F559" s="78"/>
      <c r="G559" s="78"/>
      <c r="H559" s="78"/>
      <c r="I559" s="45"/>
      <c r="J559" s="45"/>
      <c r="K559" s="45"/>
      <c r="L559" s="45"/>
      <c r="M559" s="45"/>
      <c r="N559" s="45"/>
      <c r="O559" s="45"/>
      <c r="P559" s="45"/>
      <c r="Q559" s="45"/>
      <c r="R559" s="202"/>
      <c r="S559" s="45"/>
    </row>
    <row r="560">
      <c r="A560" s="78"/>
      <c r="B560" s="78"/>
      <c r="C560" s="78"/>
      <c r="D560" s="78"/>
      <c r="E560" s="78"/>
      <c r="F560" s="78"/>
      <c r="G560" s="78"/>
      <c r="H560" s="78"/>
      <c r="I560" s="45"/>
      <c r="J560" s="45"/>
      <c r="K560" s="45"/>
      <c r="L560" s="45"/>
      <c r="M560" s="45"/>
      <c r="N560" s="45"/>
      <c r="O560" s="45"/>
      <c r="P560" s="45"/>
      <c r="Q560" s="45"/>
      <c r="R560" s="202"/>
      <c r="S560" s="45"/>
    </row>
    <row r="561">
      <c r="A561" s="78"/>
      <c r="B561" s="78"/>
      <c r="C561" s="78"/>
      <c r="D561" s="78"/>
      <c r="E561" s="78"/>
      <c r="F561" s="78"/>
      <c r="G561" s="78"/>
      <c r="H561" s="78"/>
      <c r="I561" s="45"/>
      <c r="J561" s="45"/>
      <c r="K561" s="45"/>
      <c r="L561" s="45"/>
      <c r="M561" s="45"/>
      <c r="N561" s="45"/>
      <c r="O561" s="45"/>
      <c r="P561" s="45"/>
      <c r="Q561" s="45"/>
      <c r="R561" s="202"/>
      <c r="S561" s="45"/>
    </row>
    <row r="562">
      <c r="A562" s="78"/>
      <c r="B562" s="78"/>
      <c r="C562" s="78"/>
      <c r="D562" s="78"/>
      <c r="E562" s="78"/>
      <c r="F562" s="78"/>
      <c r="G562" s="78"/>
      <c r="H562" s="78"/>
      <c r="I562" s="45"/>
      <c r="J562" s="45"/>
      <c r="K562" s="45"/>
      <c r="L562" s="45"/>
      <c r="M562" s="45"/>
      <c r="N562" s="45"/>
      <c r="O562" s="45"/>
      <c r="P562" s="45"/>
      <c r="Q562" s="45"/>
      <c r="R562" s="202"/>
      <c r="S562" s="45"/>
    </row>
    <row r="563">
      <c r="A563" s="78"/>
      <c r="B563" s="78"/>
      <c r="C563" s="78"/>
      <c r="D563" s="78"/>
      <c r="E563" s="78"/>
      <c r="F563" s="78"/>
      <c r="G563" s="78"/>
      <c r="H563" s="78"/>
      <c r="I563" s="45"/>
      <c r="J563" s="45"/>
      <c r="K563" s="45"/>
      <c r="L563" s="45"/>
      <c r="M563" s="45"/>
      <c r="N563" s="45"/>
      <c r="O563" s="45"/>
      <c r="P563" s="45"/>
      <c r="Q563" s="45"/>
      <c r="R563" s="202"/>
      <c r="S563" s="45"/>
    </row>
    <row r="564">
      <c r="A564" s="78"/>
      <c r="B564" s="78"/>
      <c r="C564" s="78"/>
      <c r="D564" s="78"/>
      <c r="E564" s="78"/>
      <c r="F564" s="78"/>
      <c r="G564" s="78"/>
      <c r="H564" s="78"/>
      <c r="I564" s="45"/>
      <c r="J564" s="45"/>
      <c r="K564" s="45"/>
      <c r="L564" s="45"/>
      <c r="M564" s="45"/>
      <c r="N564" s="45"/>
      <c r="O564" s="45"/>
      <c r="P564" s="45"/>
      <c r="Q564" s="45"/>
      <c r="R564" s="202"/>
      <c r="S564" s="45"/>
    </row>
    <row r="565">
      <c r="A565" s="78"/>
      <c r="B565" s="78"/>
      <c r="C565" s="78"/>
      <c r="D565" s="78"/>
      <c r="E565" s="78"/>
      <c r="F565" s="78"/>
      <c r="G565" s="78"/>
      <c r="H565" s="78"/>
      <c r="I565" s="45"/>
      <c r="J565" s="45"/>
      <c r="K565" s="45"/>
      <c r="L565" s="45"/>
      <c r="M565" s="45"/>
      <c r="N565" s="45"/>
      <c r="O565" s="45"/>
      <c r="P565" s="45"/>
      <c r="Q565" s="45"/>
      <c r="R565" s="202"/>
      <c r="S565" s="45"/>
    </row>
    <row r="566">
      <c r="A566" s="78"/>
      <c r="B566" s="78"/>
      <c r="C566" s="78"/>
      <c r="D566" s="78"/>
      <c r="E566" s="78"/>
      <c r="F566" s="78"/>
      <c r="G566" s="78"/>
      <c r="H566" s="78"/>
      <c r="I566" s="45"/>
      <c r="J566" s="45"/>
      <c r="K566" s="45"/>
      <c r="L566" s="45"/>
      <c r="M566" s="45"/>
      <c r="N566" s="45"/>
      <c r="O566" s="45"/>
      <c r="P566" s="45"/>
      <c r="Q566" s="45"/>
      <c r="R566" s="202"/>
      <c r="S566" s="45"/>
    </row>
    <row r="567">
      <c r="A567" s="78"/>
      <c r="B567" s="78"/>
      <c r="C567" s="78"/>
      <c r="D567" s="78"/>
      <c r="E567" s="78"/>
      <c r="F567" s="78"/>
      <c r="G567" s="78"/>
      <c r="H567" s="78"/>
      <c r="I567" s="45"/>
      <c r="J567" s="45"/>
      <c r="K567" s="45"/>
      <c r="L567" s="45"/>
      <c r="M567" s="45"/>
      <c r="N567" s="45"/>
      <c r="O567" s="45"/>
      <c r="P567" s="45"/>
      <c r="Q567" s="45"/>
      <c r="R567" s="202"/>
      <c r="S567" s="45"/>
    </row>
    <row r="568">
      <c r="A568" s="78"/>
      <c r="B568" s="78"/>
      <c r="C568" s="78"/>
      <c r="D568" s="78"/>
      <c r="E568" s="78"/>
      <c r="F568" s="78"/>
      <c r="G568" s="78"/>
      <c r="H568" s="78"/>
      <c r="I568" s="45"/>
      <c r="J568" s="45"/>
      <c r="K568" s="45"/>
      <c r="L568" s="45"/>
      <c r="M568" s="45"/>
      <c r="N568" s="45"/>
      <c r="O568" s="45"/>
      <c r="P568" s="45"/>
      <c r="Q568" s="45"/>
      <c r="R568" s="202"/>
      <c r="S568" s="45"/>
    </row>
    <row r="569">
      <c r="A569" s="78"/>
      <c r="B569" s="78"/>
      <c r="C569" s="78"/>
      <c r="D569" s="78"/>
      <c r="E569" s="78"/>
      <c r="F569" s="78"/>
      <c r="G569" s="78"/>
      <c r="H569" s="78"/>
      <c r="I569" s="45"/>
      <c r="J569" s="45"/>
      <c r="K569" s="45"/>
      <c r="L569" s="45"/>
      <c r="M569" s="45"/>
      <c r="N569" s="45"/>
      <c r="O569" s="45"/>
      <c r="P569" s="45"/>
      <c r="Q569" s="45"/>
      <c r="R569" s="202"/>
      <c r="S569" s="45"/>
    </row>
    <row r="570">
      <c r="A570" s="78"/>
      <c r="B570" s="78"/>
      <c r="C570" s="78"/>
      <c r="D570" s="78"/>
      <c r="E570" s="78"/>
      <c r="F570" s="78"/>
      <c r="G570" s="78"/>
      <c r="H570" s="78"/>
      <c r="I570" s="45"/>
      <c r="J570" s="45"/>
      <c r="K570" s="45"/>
      <c r="L570" s="45"/>
      <c r="M570" s="45"/>
      <c r="N570" s="45"/>
      <c r="O570" s="45"/>
      <c r="P570" s="45"/>
      <c r="Q570" s="45"/>
      <c r="R570" s="202"/>
      <c r="S570" s="45"/>
    </row>
    <row r="571">
      <c r="A571" s="78"/>
      <c r="B571" s="78"/>
      <c r="C571" s="78"/>
      <c r="D571" s="78"/>
      <c r="E571" s="78"/>
      <c r="F571" s="78"/>
      <c r="G571" s="78"/>
      <c r="H571" s="78"/>
      <c r="I571" s="45"/>
      <c r="J571" s="45"/>
      <c r="K571" s="45"/>
      <c r="L571" s="45"/>
      <c r="M571" s="45"/>
      <c r="N571" s="45"/>
      <c r="O571" s="45"/>
      <c r="P571" s="45"/>
      <c r="Q571" s="45"/>
      <c r="R571" s="202"/>
      <c r="S571" s="45"/>
    </row>
    <row r="572">
      <c r="A572" s="78"/>
      <c r="B572" s="78"/>
      <c r="C572" s="78"/>
      <c r="D572" s="78"/>
      <c r="E572" s="78"/>
      <c r="F572" s="78"/>
      <c r="G572" s="78"/>
      <c r="H572" s="78"/>
      <c r="I572" s="45"/>
      <c r="J572" s="45"/>
      <c r="K572" s="45"/>
      <c r="L572" s="45"/>
      <c r="M572" s="45"/>
      <c r="N572" s="45"/>
      <c r="O572" s="45"/>
      <c r="P572" s="45"/>
      <c r="Q572" s="45"/>
      <c r="R572" s="202"/>
      <c r="S572" s="45"/>
    </row>
    <row r="573">
      <c r="A573" s="78"/>
      <c r="B573" s="78"/>
      <c r="C573" s="78"/>
      <c r="D573" s="78"/>
      <c r="E573" s="78"/>
      <c r="F573" s="78"/>
      <c r="G573" s="78"/>
      <c r="H573" s="78"/>
      <c r="I573" s="45"/>
      <c r="J573" s="45"/>
      <c r="K573" s="45"/>
      <c r="L573" s="45"/>
      <c r="M573" s="45"/>
      <c r="N573" s="45"/>
      <c r="O573" s="45"/>
      <c r="P573" s="45"/>
      <c r="Q573" s="45"/>
      <c r="R573" s="202"/>
      <c r="S573" s="45"/>
    </row>
    <row r="574">
      <c r="A574" s="78"/>
      <c r="B574" s="78"/>
      <c r="C574" s="78"/>
      <c r="D574" s="78"/>
      <c r="E574" s="78"/>
      <c r="F574" s="78"/>
      <c r="G574" s="78"/>
      <c r="H574" s="78"/>
      <c r="I574" s="45"/>
      <c r="J574" s="45"/>
      <c r="K574" s="45"/>
      <c r="L574" s="45"/>
      <c r="M574" s="45"/>
      <c r="N574" s="45"/>
      <c r="O574" s="45"/>
      <c r="P574" s="45"/>
      <c r="Q574" s="45"/>
      <c r="R574" s="202"/>
      <c r="S574" s="45"/>
    </row>
    <row r="575">
      <c r="A575" s="78"/>
      <c r="B575" s="78"/>
      <c r="C575" s="78"/>
      <c r="D575" s="78"/>
      <c r="E575" s="78"/>
      <c r="F575" s="78"/>
      <c r="G575" s="78"/>
      <c r="H575" s="78"/>
      <c r="I575" s="45"/>
      <c r="J575" s="45"/>
      <c r="K575" s="45"/>
      <c r="L575" s="45"/>
      <c r="M575" s="45"/>
      <c r="N575" s="45"/>
      <c r="O575" s="45"/>
      <c r="P575" s="45"/>
      <c r="Q575" s="45"/>
      <c r="R575" s="202"/>
      <c r="S575" s="45"/>
    </row>
    <row r="576">
      <c r="A576" s="78"/>
      <c r="B576" s="78"/>
      <c r="C576" s="78"/>
      <c r="D576" s="78"/>
      <c r="E576" s="78"/>
      <c r="F576" s="78"/>
      <c r="G576" s="78"/>
      <c r="H576" s="78"/>
      <c r="I576" s="45"/>
      <c r="J576" s="45"/>
      <c r="K576" s="45"/>
      <c r="L576" s="45"/>
      <c r="M576" s="45"/>
      <c r="N576" s="45"/>
      <c r="O576" s="45"/>
      <c r="P576" s="45"/>
      <c r="Q576" s="45"/>
      <c r="R576" s="202"/>
      <c r="S576" s="45"/>
    </row>
    <row r="577">
      <c r="A577" s="78"/>
      <c r="B577" s="78"/>
      <c r="C577" s="78"/>
      <c r="D577" s="78"/>
      <c r="E577" s="78"/>
      <c r="F577" s="78"/>
      <c r="G577" s="78"/>
      <c r="H577" s="78"/>
      <c r="I577" s="45"/>
      <c r="J577" s="45"/>
      <c r="K577" s="45"/>
      <c r="L577" s="45"/>
      <c r="M577" s="45"/>
      <c r="N577" s="45"/>
      <c r="O577" s="45"/>
      <c r="P577" s="45"/>
      <c r="Q577" s="45"/>
      <c r="R577" s="202"/>
      <c r="S577" s="45"/>
    </row>
    <row r="578">
      <c r="A578" s="78"/>
      <c r="B578" s="78"/>
      <c r="C578" s="78"/>
      <c r="D578" s="78"/>
      <c r="E578" s="78"/>
      <c r="F578" s="78"/>
      <c r="G578" s="78"/>
      <c r="H578" s="78"/>
      <c r="I578" s="45"/>
      <c r="J578" s="45"/>
      <c r="K578" s="45"/>
      <c r="L578" s="45"/>
      <c r="M578" s="45"/>
      <c r="N578" s="45"/>
      <c r="O578" s="45"/>
      <c r="P578" s="45"/>
      <c r="Q578" s="45"/>
      <c r="R578" s="202"/>
      <c r="S578" s="45"/>
    </row>
    <row r="579">
      <c r="A579" s="78"/>
      <c r="B579" s="78"/>
      <c r="C579" s="78"/>
      <c r="D579" s="78"/>
      <c r="E579" s="78"/>
      <c r="F579" s="78"/>
      <c r="G579" s="78"/>
      <c r="H579" s="78"/>
      <c r="I579" s="45"/>
      <c r="J579" s="45"/>
      <c r="K579" s="45"/>
      <c r="L579" s="45"/>
      <c r="M579" s="45"/>
      <c r="N579" s="45"/>
      <c r="O579" s="45"/>
      <c r="P579" s="45"/>
      <c r="Q579" s="45"/>
      <c r="R579" s="202"/>
      <c r="S579" s="45"/>
    </row>
    <row r="580">
      <c r="A580" s="78"/>
      <c r="B580" s="78"/>
      <c r="C580" s="78"/>
      <c r="D580" s="78"/>
      <c r="E580" s="78"/>
      <c r="F580" s="78"/>
      <c r="G580" s="78"/>
      <c r="H580" s="78"/>
      <c r="I580" s="45"/>
      <c r="J580" s="45"/>
      <c r="K580" s="45"/>
      <c r="L580" s="45"/>
      <c r="M580" s="45"/>
      <c r="N580" s="45"/>
      <c r="O580" s="45"/>
      <c r="P580" s="45"/>
      <c r="Q580" s="45"/>
      <c r="R580" s="202"/>
      <c r="S580" s="45"/>
    </row>
    <row r="581">
      <c r="A581" s="78"/>
      <c r="B581" s="78"/>
      <c r="C581" s="78"/>
      <c r="D581" s="78"/>
      <c r="E581" s="78"/>
      <c r="F581" s="78"/>
      <c r="G581" s="78"/>
      <c r="H581" s="78"/>
      <c r="I581" s="45"/>
      <c r="J581" s="45"/>
      <c r="K581" s="45"/>
      <c r="L581" s="45"/>
      <c r="M581" s="45"/>
      <c r="N581" s="45"/>
      <c r="O581" s="45"/>
      <c r="P581" s="45"/>
      <c r="Q581" s="45"/>
      <c r="R581" s="202"/>
      <c r="S581" s="45"/>
    </row>
    <row r="582">
      <c r="A582" s="78"/>
      <c r="B582" s="78"/>
      <c r="C582" s="78"/>
      <c r="D582" s="78"/>
      <c r="E582" s="78"/>
      <c r="F582" s="78"/>
      <c r="G582" s="78"/>
      <c r="H582" s="78"/>
      <c r="I582" s="45"/>
      <c r="J582" s="45"/>
      <c r="K582" s="45"/>
      <c r="L582" s="45"/>
      <c r="M582" s="45"/>
      <c r="N582" s="45"/>
      <c r="O582" s="45"/>
      <c r="P582" s="45"/>
      <c r="Q582" s="45"/>
      <c r="R582" s="202"/>
      <c r="S582" s="45"/>
    </row>
    <row r="583">
      <c r="A583" s="78"/>
      <c r="B583" s="78"/>
      <c r="C583" s="78"/>
      <c r="D583" s="78"/>
      <c r="E583" s="78"/>
      <c r="F583" s="78"/>
      <c r="G583" s="78"/>
      <c r="H583" s="78"/>
      <c r="I583" s="45"/>
      <c r="J583" s="45"/>
      <c r="K583" s="45"/>
      <c r="L583" s="45"/>
      <c r="M583" s="45"/>
      <c r="N583" s="45"/>
      <c r="O583" s="45"/>
      <c r="P583" s="45"/>
      <c r="Q583" s="45"/>
      <c r="R583" s="202"/>
      <c r="S583" s="45"/>
    </row>
    <row r="584">
      <c r="A584" s="78"/>
      <c r="B584" s="78"/>
      <c r="C584" s="78"/>
      <c r="D584" s="78"/>
      <c r="E584" s="78"/>
      <c r="F584" s="78"/>
      <c r="G584" s="78"/>
      <c r="H584" s="78"/>
      <c r="I584" s="45"/>
      <c r="J584" s="45"/>
      <c r="K584" s="45"/>
      <c r="L584" s="45"/>
      <c r="M584" s="45"/>
      <c r="N584" s="45"/>
      <c r="O584" s="45"/>
      <c r="P584" s="45"/>
      <c r="Q584" s="45"/>
      <c r="R584" s="202"/>
      <c r="S584" s="45"/>
    </row>
    <row r="585">
      <c r="A585" s="78"/>
      <c r="B585" s="78"/>
      <c r="C585" s="78"/>
      <c r="D585" s="78"/>
      <c r="E585" s="78"/>
      <c r="F585" s="78"/>
      <c r="G585" s="78"/>
      <c r="H585" s="78"/>
      <c r="I585" s="45"/>
      <c r="J585" s="45"/>
      <c r="K585" s="45"/>
      <c r="L585" s="45"/>
      <c r="M585" s="45"/>
      <c r="N585" s="45"/>
      <c r="O585" s="45"/>
      <c r="P585" s="45"/>
      <c r="Q585" s="45"/>
      <c r="R585" s="202"/>
      <c r="S585" s="45"/>
    </row>
    <row r="586">
      <c r="A586" s="78"/>
      <c r="B586" s="78"/>
      <c r="C586" s="78"/>
      <c r="D586" s="78"/>
      <c r="E586" s="78"/>
      <c r="F586" s="78"/>
      <c r="G586" s="78"/>
      <c r="H586" s="78"/>
      <c r="I586" s="45"/>
      <c r="J586" s="45"/>
      <c r="K586" s="45"/>
      <c r="L586" s="45"/>
      <c r="M586" s="45"/>
      <c r="N586" s="45"/>
      <c r="O586" s="45"/>
      <c r="P586" s="45"/>
      <c r="Q586" s="45"/>
      <c r="R586" s="202"/>
      <c r="S586" s="45"/>
    </row>
    <row r="587">
      <c r="A587" s="78"/>
      <c r="B587" s="78"/>
      <c r="C587" s="78"/>
      <c r="D587" s="78"/>
      <c r="E587" s="78"/>
      <c r="F587" s="78"/>
      <c r="G587" s="78"/>
      <c r="H587" s="78"/>
      <c r="I587" s="45"/>
      <c r="J587" s="45"/>
      <c r="K587" s="45"/>
      <c r="L587" s="45"/>
      <c r="M587" s="45"/>
      <c r="N587" s="45"/>
      <c r="O587" s="45"/>
      <c r="P587" s="45"/>
      <c r="Q587" s="45"/>
      <c r="R587" s="202"/>
      <c r="S587" s="45"/>
    </row>
    <row r="588">
      <c r="A588" s="78"/>
      <c r="B588" s="78"/>
      <c r="C588" s="78"/>
      <c r="D588" s="78"/>
      <c r="E588" s="78"/>
      <c r="F588" s="78"/>
      <c r="G588" s="78"/>
      <c r="H588" s="78"/>
      <c r="I588" s="45"/>
      <c r="J588" s="45"/>
      <c r="K588" s="45"/>
      <c r="L588" s="45"/>
      <c r="M588" s="45"/>
      <c r="N588" s="45"/>
      <c r="O588" s="45"/>
      <c r="P588" s="45"/>
      <c r="Q588" s="45"/>
      <c r="R588" s="202"/>
      <c r="S588" s="45"/>
    </row>
    <row r="589">
      <c r="A589" s="78"/>
      <c r="B589" s="78"/>
      <c r="C589" s="78"/>
      <c r="D589" s="78"/>
      <c r="E589" s="78"/>
      <c r="F589" s="78"/>
      <c r="G589" s="78"/>
      <c r="H589" s="78"/>
      <c r="I589" s="45"/>
      <c r="J589" s="45"/>
      <c r="K589" s="45"/>
      <c r="L589" s="45"/>
      <c r="M589" s="45"/>
      <c r="N589" s="45"/>
      <c r="O589" s="45"/>
      <c r="P589" s="45"/>
      <c r="Q589" s="45"/>
      <c r="R589" s="202"/>
      <c r="S589" s="45"/>
    </row>
    <row r="590">
      <c r="A590" s="78"/>
      <c r="B590" s="78"/>
      <c r="C590" s="78"/>
      <c r="D590" s="78"/>
      <c r="E590" s="78"/>
      <c r="F590" s="78"/>
      <c r="G590" s="78"/>
      <c r="H590" s="78"/>
      <c r="I590" s="45"/>
      <c r="J590" s="45"/>
      <c r="K590" s="45"/>
      <c r="L590" s="45"/>
      <c r="M590" s="45"/>
      <c r="N590" s="45"/>
      <c r="O590" s="45"/>
      <c r="P590" s="45"/>
      <c r="Q590" s="45"/>
      <c r="R590" s="202"/>
      <c r="S590" s="45"/>
    </row>
    <row r="591">
      <c r="A591" s="78"/>
      <c r="B591" s="78"/>
      <c r="C591" s="78"/>
      <c r="D591" s="78"/>
      <c r="E591" s="78"/>
      <c r="F591" s="78"/>
      <c r="G591" s="78"/>
      <c r="H591" s="78"/>
      <c r="I591" s="45"/>
      <c r="J591" s="45"/>
      <c r="K591" s="45"/>
      <c r="L591" s="45"/>
      <c r="M591" s="45"/>
      <c r="N591" s="45"/>
      <c r="O591" s="45"/>
      <c r="P591" s="45"/>
      <c r="Q591" s="45"/>
      <c r="R591" s="202"/>
      <c r="S591" s="45"/>
    </row>
    <row r="592">
      <c r="A592" s="78"/>
      <c r="B592" s="78"/>
      <c r="C592" s="78"/>
      <c r="D592" s="78"/>
      <c r="E592" s="78"/>
      <c r="F592" s="78"/>
      <c r="G592" s="78"/>
      <c r="H592" s="78"/>
      <c r="I592" s="45"/>
      <c r="J592" s="45"/>
      <c r="K592" s="45"/>
      <c r="L592" s="45"/>
      <c r="M592" s="45"/>
      <c r="N592" s="45"/>
      <c r="O592" s="45"/>
      <c r="P592" s="45"/>
      <c r="Q592" s="45"/>
      <c r="R592" s="202"/>
      <c r="S592" s="45"/>
    </row>
    <row r="593">
      <c r="A593" s="78"/>
      <c r="B593" s="78"/>
      <c r="C593" s="78"/>
      <c r="D593" s="78"/>
      <c r="E593" s="78"/>
      <c r="F593" s="78"/>
      <c r="G593" s="78"/>
      <c r="H593" s="78"/>
      <c r="I593" s="45"/>
      <c r="J593" s="45"/>
      <c r="K593" s="45"/>
      <c r="L593" s="45"/>
      <c r="M593" s="45"/>
      <c r="N593" s="45"/>
      <c r="O593" s="45"/>
      <c r="P593" s="45"/>
      <c r="Q593" s="45"/>
      <c r="R593" s="202"/>
      <c r="S593" s="45"/>
    </row>
    <row r="594">
      <c r="A594" s="78"/>
      <c r="B594" s="78"/>
      <c r="C594" s="78"/>
      <c r="D594" s="78"/>
      <c r="E594" s="78"/>
      <c r="F594" s="78"/>
      <c r="G594" s="78"/>
      <c r="H594" s="78"/>
      <c r="I594" s="45"/>
      <c r="J594" s="45"/>
      <c r="K594" s="45"/>
      <c r="L594" s="45"/>
      <c r="M594" s="45"/>
      <c r="N594" s="45"/>
      <c r="O594" s="45"/>
      <c r="P594" s="45"/>
      <c r="Q594" s="45"/>
      <c r="R594" s="202"/>
      <c r="S594" s="45"/>
    </row>
    <row r="595">
      <c r="A595" s="78"/>
      <c r="B595" s="78"/>
      <c r="C595" s="78"/>
      <c r="D595" s="78"/>
      <c r="E595" s="78"/>
      <c r="F595" s="78"/>
      <c r="G595" s="78"/>
      <c r="H595" s="78"/>
      <c r="I595" s="45"/>
      <c r="J595" s="45"/>
      <c r="K595" s="45"/>
      <c r="L595" s="45"/>
      <c r="M595" s="45"/>
      <c r="N595" s="45"/>
      <c r="O595" s="45"/>
      <c r="P595" s="45"/>
      <c r="Q595" s="45"/>
      <c r="R595" s="202"/>
      <c r="S595" s="45"/>
    </row>
    <row r="596">
      <c r="A596" s="78"/>
      <c r="B596" s="78"/>
      <c r="C596" s="78"/>
      <c r="D596" s="78"/>
      <c r="E596" s="78"/>
      <c r="F596" s="78"/>
      <c r="G596" s="78"/>
      <c r="H596" s="78"/>
      <c r="I596" s="45"/>
      <c r="J596" s="45"/>
      <c r="K596" s="45"/>
      <c r="L596" s="45"/>
      <c r="M596" s="45"/>
      <c r="N596" s="45"/>
      <c r="O596" s="45"/>
      <c r="P596" s="45"/>
      <c r="Q596" s="45"/>
      <c r="R596" s="202"/>
      <c r="S596" s="45"/>
    </row>
    <row r="597">
      <c r="A597" s="78"/>
      <c r="B597" s="78"/>
      <c r="C597" s="78"/>
      <c r="D597" s="78"/>
      <c r="E597" s="78"/>
      <c r="F597" s="78"/>
      <c r="G597" s="78"/>
      <c r="H597" s="78"/>
      <c r="I597" s="45"/>
      <c r="J597" s="45"/>
      <c r="K597" s="45"/>
      <c r="L597" s="45"/>
      <c r="M597" s="45"/>
      <c r="N597" s="45"/>
      <c r="O597" s="45"/>
      <c r="P597" s="45"/>
      <c r="Q597" s="45"/>
      <c r="R597" s="202"/>
      <c r="S597" s="45"/>
    </row>
    <row r="598">
      <c r="A598" s="78"/>
      <c r="B598" s="78"/>
      <c r="C598" s="78"/>
      <c r="D598" s="78"/>
      <c r="E598" s="78"/>
      <c r="F598" s="78"/>
      <c r="G598" s="78"/>
      <c r="H598" s="78"/>
      <c r="I598" s="45"/>
      <c r="J598" s="45"/>
      <c r="K598" s="45"/>
      <c r="L598" s="45"/>
      <c r="M598" s="45"/>
      <c r="N598" s="45"/>
      <c r="O598" s="45"/>
      <c r="P598" s="45"/>
      <c r="Q598" s="45"/>
      <c r="R598" s="202"/>
      <c r="S598" s="45"/>
    </row>
    <row r="599">
      <c r="A599" s="78"/>
      <c r="B599" s="78"/>
      <c r="C599" s="78"/>
      <c r="D599" s="78"/>
      <c r="E599" s="78"/>
      <c r="F599" s="78"/>
      <c r="G599" s="78"/>
      <c r="H599" s="78"/>
      <c r="I599" s="45"/>
      <c r="J599" s="45"/>
      <c r="K599" s="45"/>
      <c r="L599" s="45"/>
      <c r="M599" s="45"/>
      <c r="N599" s="45"/>
      <c r="O599" s="45"/>
      <c r="P599" s="45"/>
      <c r="Q599" s="45"/>
      <c r="R599" s="202"/>
      <c r="S599" s="45"/>
    </row>
    <row r="600">
      <c r="A600" s="78"/>
      <c r="B600" s="78"/>
      <c r="C600" s="78"/>
      <c r="D600" s="78"/>
      <c r="E600" s="78"/>
      <c r="F600" s="78"/>
      <c r="G600" s="78"/>
      <c r="H600" s="78"/>
      <c r="I600" s="45"/>
      <c r="J600" s="45"/>
      <c r="K600" s="45"/>
      <c r="L600" s="45"/>
      <c r="M600" s="45"/>
      <c r="N600" s="45"/>
      <c r="O600" s="45"/>
      <c r="P600" s="45"/>
      <c r="Q600" s="45"/>
      <c r="R600" s="202"/>
      <c r="S600" s="45"/>
    </row>
    <row r="601">
      <c r="A601" s="78"/>
      <c r="B601" s="78"/>
      <c r="C601" s="78"/>
      <c r="D601" s="78"/>
      <c r="E601" s="78"/>
      <c r="F601" s="78"/>
      <c r="G601" s="78"/>
      <c r="H601" s="78"/>
      <c r="I601" s="45"/>
      <c r="J601" s="45"/>
      <c r="K601" s="45"/>
      <c r="L601" s="45"/>
      <c r="M601" s="45"/>
      <c r="N601" s="45"/>
      <c r="O601" s="45"/>
      <c r="P601" s="45"/>
      <c r="Q601" s="45"/>
      <c r="R601" s="202"/>
      <c r="S601" s="45"/>
    </row>
    <row r="602">
      <c r="A602" s="78"/>
      <c r="B602" s="78"/>
      <c r="C602" s="78"/>
      <c r="D602" s="78"/>
      <c r="E602" s="78"/>
      <c r="F602" s="78"/>
      <c r="G602" s="78"/>
      <c r="H602" s="78"/>
      <c r="I602" s="45"/>
      <c r="J602" s="45"/>
      <c r="K602" s="45"/>
      <c r="L602" s="45"/>
      <c r="M602" s="45"/>
      <c r="N602" s="45"/>
      <c r="O602" s="45"/>
      <c r="P602" s="45"/>
      <c r="Q602" s="45"/>
      <c r="R602" s="202"/>
      <c r="S602" s="45"/>
    </row>
    <row r="603">
      <c r="A603" s="78"/>
      <c r="B603" s="78"/>
      <c r="C603" s="78"/>
      <c r="D603" s="78"/>
      <c r="E603" s="78"/>
      <c r="F603" s="78"/>
      <c r="G603" s="78"/>
      <c r="H603" s="78"/>
      <c r="I603" s="45"/>
      <c r="J603" s="45"/>
      <c r="K603" s="45"/>
      <c r="L603" s="45"/>
      <c r="M603" s="45"/>
      <c r="N603" s="45"/>
      <c r="O603" s="45"/>
      <c r="P603" s="45"/>
      <c r="Q603" s="45"/>
      <c r="R603" s="202"/>
      <c r="S603" s="45"/>
    </row>
    <row r="604">
      <c r="A604" s="78"/>
      <c r="B604" s="78"/>
      <c r="C604" s="78"/>
      <c r="D604" s="78"/>
      <c r="E604" s="78"/>
      <c r="F604" s="78"/>
      <c r="G604" s="78"/>
      <c r="H604" s="78"/>
      <c r="I604" s="45"/>
      <c r="J604" s="45"/>
      <c r="K604" s="45"/>
      <c r="L604" s="45"/>
      <c r="M604" s="45"/>
      <c r="N604" s="45"/>
      <c r="O604" s="45"/>
      <c r="P604" s="45"/>
      <c r="Q604" s="45"/>
      <c r="R604" s="202"/>
      <c r="S604" s="45"/>
    </row>
    <row r="605">
      <c r="A605" s="78"/>
      <c r="B605" s="78"/>
      <c r="C605" s="78"/>
      <c r="D605" s="78"/>
      <c r="E605" s="78"/>
      <c r="F605" s="78"/>
      <c r="G605" s="78"/>
      <c r="H605" s="78"/>
      <c r="I605" s="45"/>
      <c r="J605" s="45"/>
      <c r="K605" s="45"/>
      <c r="L605" s="45"/>
      <c r="M605" s="45"/>
      <c r="N605" s="45"/>
      <c r="O605" s="45"/>
      <c r="P605" s="45"/>
      <c r="Q605" s="45"/>
      <c r="R605" s="202"/>
      <c r="S605" s="45"/>
    </row>
    <row r="606">
      <c r="A606" s="78"/>
      <c r="B606" s="78"/>
      <c r="C606" s="78"/>
      <c r="D606" s="78"/>
      <c r="E606" s="78"/>
      <c r="F606" s="78"/>
      <c r="G606" s="78"/>
      <c r="H606" s="78"/>
      <c r="I606" s="45"/>
      <c r="J606" s="45"/>
      <c r="K606" s="45"/>
      <c r="L606" s="45"/>
      <c r="M606" s="45"/>
      <c r="N606" s="45"/>
      <c r="O606" s="45"/>
      <c r="P606" s="45"/>
      <c r="Q606" s="45"/>
      <c r="R606" s="202"/>
      <c r="S606" s="45"/>
    </row>
    <row r="607">
      <c r="A607" s="78"/>
      <c r="B607" s="78"/>
      <c r="C607" s="78"/>
      <c r="D607" s="78"/>
      <c r="E607" s="78"/>
      <c r="F607" s="78"/>
      <c r="G607" s="78"/>
      <c r="H607" s="78"/>
      <c r="I607" s="45"/>
      <c r="J607" s="45"/>
      <c r="K607" s="45"/>
      <c r="L607" s="45"/>
      <c r="M607" s="45"/>
      <c r="N607" s="45"/>
      <c r="O607" s="45"/>
      <c r="P607" s="45"/>
      <c r="Q607" s="45"/>
      <c r="R607" s="202"/>
      <c r="S607" s="45"/>
    </row>
    <row r="608">
      <c r="A608" s="78"/>
      <c r="B608" s="78"/>
      <c r="C608" s="78"/>
      <c r="D608" s="78"/>
      <c r="E608" s="78"/>
      <c r="F608" s="78"/>
      <c r="G608" s="78"/>
      <c r="H608" s="78"/>
      <c r="I608" s="45"/>
      <c r="J608" s="45"/>
      <c r="K608" s="45"/>
      <c r="L608" s="45"/>
      <c r="M608" s="45"/>
      <c r="N608" s="45"/>
      <c r="O608" s="45"/>
      <c r="P608" s="45"/>
      <c r="Q608" s="45"/>
      <c r="R608" s="202"/>
      <c r="S608" s="45"/>
    </row>
    <row r="609">
      <c r="A609" s="78"/>
      <c r="B609" s="78"/>
      <c r="C609" s="78"/>
      <c r="D609" s="78"/>
      <c r="E609" s="78"/>
      <c r="F609" s="78"/>
      <c r="G609" s="78"/>
      <c r="H609" s="78"/>
      <c r="I609" s="45"/>
      <c r="J609" s="45"/>
      <c r="K609" s="45"/>
      <c r="L609" s="45"/>
      <c r="M609" s="45"/>
      <c r="N609" s="45"/>
      <c r="O609" s="45"/>
      <c r="P609" s="45"/>
      <c r="Q609" s="45"/>
      <c r="R609" s="202"/>
      <c r="S609" s="45"/>
    </row>
    <row r="610">
      <c r="A610" s="78"/>
      <c r="B610" s="78"/>
      <c r="C610" s="78"/>
      <c r="D610" s="78"/>
      <c r="E610" s="78"/>
      <c r="F610" s="78"/>
      <c r="G610" s="78"/>
      <c r="H610" s="78"/>
      <c r="I610" s="45"/>
      <c r="J610" s="45"/>
      <c r="K610" s="45"/>
      <c r="L610" s="45"/>
      <c r="M610" s="45"/>
      <c r="N610" s="45"/>
      <c r="O610" s="45"/>
      <c r="P610" s="45"/>
      <c r="Q610" s="45"/>
      <c r="R610" s="202"/>
      <c r="S610" s="45"/>
    </row>
    <row r="611">
      <c r="A611" s="78"/>
      <c r="B611" s="78"/>
      <c r="C611" s="78"/>
      <c r="D611" s="78"/>
      <c r="E611" s="78"/>
      <c r="F611" s="78"/>
      <c r="G611" s="78"/>
      <c r="H611" s="78"/>
      <c r="I611" s="45"/>
      <c r="J611" s="45"/>
      <c r="K611" s="45"/>
      <c r="L611" s="45"/>
      <c r="M611" s="45"/>
      <c r="N611" s="45"/>
      <c r="O611" s="45"/>
      <c r="P611" s="45"/>
      <c r="Q611" s="45"/>
      <c r="R611" s="202"/>
      <c r="S611" s="45"/>
    </row>
    <row r="612">
      <c r="A612" s="78"/>
      <c r="B612" s="78"/>
      <c r="C612" s="78"/>
      <c r="D612" s="78"/>
      <c r="E612" s="78"/>
      <c r="F612" s="78"/>
      <c r="G612" s="78"/>
      <c r="H612" s="78"/>
      <c r="I612" s="45"/>
      <c r="J612" s="45"/>
      <c r="K612" s="45"/>
      <c r="L612" s="45"/>
      <c r="M612" s="45"/>
      <c r="N612" s="45"/>
      <c r="O612" s="45"/>
      <c r="P612" s="45"/>
      <c r="Q612" s="45"/>
      <c r="R612" s="202"/>
      <c r="S612" s="45"/>
    </row>
    <row r="613">
      <c r="A613" s="78"/>
      <c r="B613" s="78"/>
      <c r="C613" s="78"/>
      <c r="D613" s="78"/>
      <c r="E613" s="78"/>
      <c r="F613" s="78"/>
      <c r="G613" s="78"/>
      <c r="H613" s="78"/>
      <c r="I613" s="45"/>
      <c r="J613" s="45"/>
      <c r="K613" s="45"/>
      <c r="L613" s="45"/>
      <c r="M613" s="45"/>
      <c r="N613" s="45"/>
      <c r="O613" s="45"/>
      <c r="P613" s="45"/>
      <c r="Q613" s="45"/>
      <c r="R613" s="202"/>
      <c r="S613" s="45"/>
    </row>
    <row r="614">
      <c r="A614" s="78"/>
      <c r="B614" s="78"/>
      <c r="C614" s="78"/>
      <c r="D614" s="78"/>
      <c r="E614" s="78"/>
      <c r="F614" s="78"/>
      <c r="G614" s="78"/>
      <c r="H614" s="78"/>
      <c r="I614" s="45"/>
      <c r="J614" s="45"/>
      <c r="K614" s="45"/>
      <c r="L614" s="45"/>
      <c r="M614" s="45"/>
      <c r="N614" s="45"/>
      <c r="O614" s="45"/>
      <c r="P614" s="45"/>
      <c r="Q614" s="45"/>
      <c r="R614" s="202"/>
      <c r="S614" s="45"/>
    </row>
    <row r="615">
      <c r="A615" s="78"/>
      <c r="B615" s="78"/>
      <c r="C615" s="78"/>
      <c r="D615" s="78"/>
      <c r="E615" s="78"/>
      <c r="F615" s="78"/>
      <c r="G615" s="78"/>
      <c r="H615" s="78"/>
      <c r="I615" s="45"/>
      <c r="J615" s="45"/>
      <c r="K615" s="45"/>
      <c r="L615" s="45"/>
      <c r="M615" s="45"/>
      <c r="N615" s="45"/>
      <c r="O615" s="45"/>
      <c r="P615" s="45"/>
      <c r="Q615" s="45"/>
      <c r="R615" s="202"/>
      <c r="S615" s="45"/>
    </row>
    <row r="616">
      <c r="A616" s="78"/>
      <c r="B616" s="78"/>
      <c r="C616" s="78"/>
      <c r="D616" s="78"/>
      <c r="E616" s="78"/>
      <c r="F616" s="78"/>
      <c r="G616" s="78"/>
      <c r="H616" s="78"/>
      <c r="I616" s="45"/>
      <c r="J616" s="45"/>
      <c r="K616" s="45"/>
      <c r="L616" s="45"/>
      <c r="M616" s="45"/>
      <c r="N616" s="45"/>
      <c r="O616" s="45"/>
      <c r="P616" s="45"/>
      <c r="Q616" s="45"/>
      <c r="R616" s="202"/>
      <c r="S616" s="45"/>
    </row>
    <row r="617">
      <c r="A617" s="78"/>
      <c r="B617" s="78"/>
      <c r="C617" s="78"/>
      <c r="D617" s="78"/>
      <c r="E617" s="78"/>
      <c r="F617" s="78"/>
      <c r="G617" s="78"/>
      <c r="H617" s="78"/>
      <c r="I617" s="45"/>
      <c r="J617" s="45"/>
      <c r="K617" s="45"/>
      <c r="L617" s="45"/>
      <c r="M617" s="45"/>
      <c r="N617" s="45"/>
      <c r="O617" s="45"/>
      <c r="P617" s="45"/>
      <c r="Q617" s="45"/>
      <c r="R617" s="202"/>
      <c r="S617" s="45"/>
    </row>
    <row r="618">
      <c r="A618" s="78"/>
      <c r="B618" s="78"/>
      <c r="C618" s="78"/>
      <c r="D618" s="78"/>
      <c r="E618" s="78"/>
      <c r="F618" s="78"/>
      <c r="G618" s="78"/>
      <c r="H618" s="78"/>
      <c r="I618" s="45"/>
      <c r="J618" s="45"/>
      <c r="K618" s="45"/>
      <c r="L618" s="45"/>
      <c r="M618" s="45"/>
      <c r="N618" s="45"/>
      <c r="O618" s="45"/>
      <c r="P618" s="45"/>
      <c r="Q618" s="45"/>
      <c r="R618" s="202"/>
      <c r="S618" s="45"/>
    </row>
    <row r="619">
      <c r="A619" s="78"/>
      <c r="B619" s="78"/>
      <c r="C619" s="78"/>
      <c r="D619" s="78"/>
      <c r="E619" s="78"/>
      <c r="F619" s="78"/>
      <c r="G619" s="78"/>
      <c r="H619" s="78"/>
      <c r="I619" s="45"/>
      <c r="J619" s="45"/>
      <c r="K619" s="45"/>
      <c r="L619" s="45"/>
      <c r="M619" s="45"/>
      <c r="N619" s="45"/>
      <c r="O619" s="45"/>
      <c r="P619" s="45"/>
      <c r="Q619" s="45"/>
      <c r="R619" s="202"/>
      <c r="S619" s="45"/>
    </row>
    <row r="620">
      <c r="A620" s="78"/>
      <c r="B620" s="78"/>
      <c r="C620" s="78"/>
      <c r="D620" s="78"/>
      <c r="E620" s="78"/>
      <c r="F620" s="78"/>
      <c r="G620" s="78"/>
      <c r="H620" s="78"/>
      <c r="I620" s="45"/>
      <c r="J620" s="45"/>
      <c r="K620" s="45"/>
      <c r="L620" s="45"/>
      <c r="M620" s="45"/>
      <c r="N620" s="45"/>
      <c r="O620" s="45"/>
      <c r="P620" s="45"/>
      <c r="Q620" s="45"/>
      <c r="R620" s="202"/>
      <c r="S620" s="45"/>
    </row>
    <row r="621">
      <c r="A621" s="78"/>
      <c r="B621" s="78"/>
      <c r="C621" s="78"/>
      <c r="D621" s="78"/>
      <c r="E621" s="78"/>
      <c r="F621" s="78"/>
      <c r="G621" s="78"/>
      <c r="H621" s="78"/>
      <c r="I621" s="45"/>
      <c r="J621" s="45"/>
      <c r="K621" s="45"/>
      <c r="L621" s="45"/>
      <c r="M621" s="45"/>
      <c r="N621" s="45"/>
      <c r="O621" s="45"/>
      <c r="P621" s="45"/>
      <c r="Q621" s="45"/>
      <c r="R621" s="202"/>
      <c r="S621" s="45"/>
    </row>
    <row r="622">
      <c r="A622" s="78"/>
      <c r="B622" s="78"/>
      <c r="C622" s="78"/>
      <c r="D622" s="78"/>
      <c r="E622" s="78"/>
      <c r="F622" s="78"/>
      <c r="G622" s="78"/>
      <c r="H622" s="78"/>
      <c r="I622" s="45"/>
      <c r="J622" s="45"/>
      <c r="K622" s="45"/>
      <c r="L622" s="45"/>
      <c r="M622" s="45"/>
      <c r="N622" s="45"/>
      <c r="O622" s="45"/>
      <c r="P622" s="45"/>
      <c r="Q622" s="45"/>
      <c r="R622" s="202"/>
      <c r="S622" s="45"/>
    </row>
    <row r="623">
      <c r="A623" s="78"/>
      <c r="B623" s="78"/>
      <c r="C623" s="78"/>
      <c r="D623" s="78"/>
      <c r="E623" s="78"/>
      <c r="F623" s="78"/>
      <c r="G623" s="78"/>
      <c r="H623" s="78"/>
      <c r="I623" s="45"/>
      <c r="J623" s="45"/>
      <c r="K623" s="45"/>
      <c r="L623" s="45"/>
      <c r="M623" s="45"/>
      <c r="N623" s="45"/>
      <c r="O623" s="45"/>
      <c r="P623" s="45"/>
      <c r="Q623" s="45"/>
      <c r="R623" s="202"/>
      <c r="S623" s="45"/>
    </row>
    <row r="624">
      <c r="A624" s="78"/>
      <c r="B624" s="78"/>
      <c r="C624" s="78"/>
      <c r="D624" s="78"/>
      <c r="E624" s="78"/>
      <c r="F624" s="78"/>
      <c r="G624" s="78"/>
      <c r="H624" s="78"/>
      <c r="I624" s="45"/>
      <c r="J624" s="45"/>
      <c r="K624" s="45"/>
      <c r="L624" s="45"/>
      <c r="M624" s="45"/>
      <c r="N624" s="45"/>
      <c r="O624" s="45"/>
      <c r="P624" s="45"/>
      <c r="Q624" s="45"/>
      <c r="R624" s="202"/>
      <c r="S624" s="45"/>
    </row>
    <row r="625">
      <c r="A625" s="78"/>
      <c r="B625" s="78"/>
      <c r="C625" s="78"/>
      <c r="D625" s="78"/>
      <c r="E625" s="78"/>
      <c r="F625" s="78"/>
      <c r="G625" s="78"/>
      <c r="H625" s="78"/>
      <c r="I625" s="45"/>
      <c r="J625" s="45"/>
      <c r="K625" s="45"/>
      <c r="L625" s="45"/>
      <c r="M625" s="45"/>
      <c r="N625" s="45"/>
      <c r="O625" s="45"/>
      <c r="P625" s="45"/>
      <c r="Q625" s="45"/>
      <c r="R625" s="202"/>
      <c r="S625" s="45"/>
    </row>
    <row r="626">
      <c r="A626" s="78"/>
      <c r="B626" s="78"/>
      <c r="C626" s="78"/>
      <c r="D626" s="78"/>
      <c r="E626" s="78"/>
      <c r="F626" s="78"/>
      <c r="G626" s="78"/>
      <c r="H626" s="78"/>
      <c r="I626" s="45"/>
      <c r="J626" s="45"/>
      <c r="K626" s="45"/>
      <c r="L626" s="45"/>
      <c r="M626" s="45"/>
      <c r="N626" s="45"/>
      <c r="O626" s="45"/>
      <c r="P626" s="45"/>
      <c r="Q626" s="45"/>
      <c r="R626" s="202"/>
      <c r="S626" s="45"/>
    </row>
    <row r="627">
      <c r="A627" s="78"/>
      <c r="B627" s="78"/>
      <c r="C627" s="78"/>
      <c r="D627" s="78"/>
      <c r="E627" s="78"/>
      <c r="F627" s="78"/>
      <c r="G627" s="78"/>
      <c r="H627" s="78"/>
      <c r="I627" s="45"/>
      <c r="J627" s="45"/>
      <c r="K627" s="45"/>
      <c r="L627" s="45"/>
      <c r="M627" s="45"/>
      <c r="N627" s="45"/>
      <c r="O627" s="45"/>
      <c r="P627" s="45"/>
      <c r="Q627" s="45"/>
      <c r="R627" s="202"/>
      <c r="S627" s="45"/>
    </row>
    <row r="628">
      <c r="A628" s="78"/>
      <c r="B628" s="78"/>
      <c r="C628" s="78"/>
      <c r="D628" s="78"/>
      <c r="E628" s="78"/>
      <c r="F628" s="78"/>
      <c r="G628" s="78"/>
      <c r="H628" s="78"/>
      <c r="I628" s="45"/>
      <c r="J628" s="45"/>
      <c r="K628" s="45"/>
      <c r="L628" s="45"/>
      <c r="M628" s="45"/>
      <c r="N628" s="45"/>
      <c r="O628" s="45"/>
      <c r="P628" s="45"/>
      <c r="Q628" s="45"/>
      <c r="R628" s="202"/>
      <c r="S628" s="45"/>
    </row>
    <row r="629">
      <c r="A629" s="78"/>
      <c r="B629" s="78"/>
      <c r="C629" s="78"/>
      <c r="D629" s="78"/>
      <c r="E629" s="78"/>
      <c r="F629" s="78"/>
      <c r="G629" s="78"/>
      <c r="H629" s="78"/>
      <c r="I629" s="45"/>
      <c r="J629" s="45"/>
      <c r="K629" s="45"/>
      <c r="L629" s="45"/>
      <c r="M629" s="45"/>
      <c r="N629" s="45"/>
      <c r="O629" s="45"/>
      <c r="P629" s="45"/>
      <c r="Q629" s="45"/>
      <c r="R629" s="202"/>
      <c r="S629" s="45"/>
    </row>
    <row r="630">
      <c r="A630" s="78"/>
      <c r="B630" s="78"/>
      <c r="C630" s="78"/>
      <c r="D630" s="78"/>
      <c r="E630" s="78"/>
      <c r="F630" s="78"/>
      <c r="G630" s="78"/>
      <c r="H630" s="78"/>
      <c r="I630" s="45"/>
      <c r="J630" s="45"/>
      <c r="K630" s="45"/>
      <c r="L630" s="45"/>
      <c r="M630" s="45"/>
      <c r="N630" s="45"/>
      <c r="O630" s="45"/>
      <c r="P630" s="45"/>
      <c r="Q630" s="45"/>
      <c r="R630" s="202"/>
      <c r="S630" s="45"/>
    </row>
    <row r="631">
      <c r="A631" s="78"/>
      <c r="B631" s="78"/>
      <c r="C631" s="78"/>
      <c r="D631" s="78"/>
      <c r="E631" s="78"/>
      <c r="F631" s="78"/>
      <c r="G631" s="78"/>
      <c r="H631" s="78"/>
      <c r="I631" s="45"/>
      <c r="J631" s="45"/>
      <c r="K631" s="45"/>
      <c r="L631" s="45"/>
      <c r="M631" s="45"/>
      <c r="N631" s="45"/>
      <c r="O631" s="45"/>
      <c r="P631" s="45"/>
      <c r="Q631" s="45"/>
      <c r="R631" s="202"/>
      <c r="S631" s="45"/>
    </row>
    <row r="632">
      <c r="A632" s="78"/>
      <c r="B632" s="78"/>
      <c r="C632" s="78"/>
      <c r="D632" s="78"/>
      <c r="E632" s="78"/>
      <c r="F632" s="78"/>
      <c r="G632" s="78"/>
      <c r="H632" s="78"/>
      <c r="I632" s="45"/>
      <c r="J632" s="45"/>
      <c r="K632" s="45"/>
      <c r="L632" s="45"/>
      <c r="M632" s="45"/>
      <c r="N632" s="45"/>
      <c r="O632" s="45"/>
      <c r="P632" s="45"/>
      <c r="Q632" s="45"/>
      <c r="R632" s="202"/>
      <c r="S632" s="45"/>
    </row>
    <row r="633">
      <c r="A633" s="78"/>
      <c r="B633" s="78"/>
      <c r="C633" s="78"/>
      <c r="D633" s="78"/>
      <c r="E633" s="78"/>
      <c r="F633" s="78"/>
      <c r="G633" s="78"/>
      <c r="H633" s="78"/>
      <c r="I633" s="45"/>
      <c r="J633" s="45"/>
      <c r="K633" s="45"/>
      <c r="L633" s="45"/>
      <c r="M633" s="45"/>
      <c r="N633" s="45"/>
      <c r="O633" s="45"/>
      <c r="P633" s="45"/>
      <c r="Q633" s="45"/>
      <c r="R633" s="202"/>
      <c r="S633" s="45"/>
    </row>
    <row r="634">
      <c r="A634" s="78"/>
      <c r="B634" s="78"/>
      <c r="C634" s="78"/>
      <c r="D634" s="78"/>
      <c r="E634" s="78"/>
      <c r="F634" s="78"/>
      <c r="G634" s="78"/>
      <c r="H634" s="78"/>
      <c r="I634" s="45"/>
      <c r="J634" s="45"/>
      <c r="K634" s="45"/>
      <c r="L634" s="45"/>
      <c r="M634" s="45"/>
      <c r="N634" s="45"/>
      <c r="O634" s="45"/>
      <c r="P634" s="45"/>
      <c r="Q634" s="45"/>
      <c r="R634" s="202"/>
      <c r="S634" s="45"/>
    </row>
    <row r="635">
      <c r="A635" s="78"/>
      <c r="B635" s="78"/>
      <c r="C635" s="78"/>
      <c r="D635" s="78"/>
      <c r="E635" s="78"/>
      <c r="F635" s="78"/>
      <c r="G635" s="78"/>
      <c r="H635" s="78"/>
      <c r="I635" s="45"/>
      <c r="J635" s="45"/>
      <c r="K635" s="45"/>
      <c r="L635" s="45"/>
      <c r="M635" s="45"/>
      <c r="N635" s="45"/>
      <c r="O635" s="45"/>
      <c r="P635" s="45"/>
      <c r="Q635" s="45"/>
      <c r="R635" s="202"/>
      <c r="S635" s="45"/>
    </row>
    <row r="636">
      <c r="A636" s="78"/>
      <c r="B636" s="78"/>
      <c r="C636" s="78"/>
      <c r="D636" s="78"/>
      <c r="E636" s="78"/>
      <c r="F636" s="78"/>
      <c r="G636" s="78"/>
      <c r="H636" s="78"/>
      <c r="I636" s="45"/>
      <c r="J636" s="45"/>
      <c r="K636" s="45"/>
      <c r="L636" s="45"/>
      <c r="M636" s="45"/>
      <c r="N636" s="45"/>
      <c r="O636" s="45"/>
      <c r="P636" s="45"/>
      <c r="Q636" s="45"/>
      <c r="R636" s="202"/>
      <c r="S636" s="45"/>
    </row>
    <row r="637">
      <c r="A637" s="78"/>
      <c r="B637" s="78"/>
      <c r="C637" s="78"/>
      <c r="D637" s="78"/>
      <c r="E637" s="78"/>
      <c r="F637" s="78"/>
      <c r="G637" s="78"/>
      <c r="H637" s="78"/>
      <c r="I637" s="45"/>
      <c r="J637" s="45"/>
      <c r="K637" s="45"/>
      <c r="L637" s="45"/>
      <c r="M637" s="45"/>
      <c r="N637" s="45"/>
      <c r="O637" s="45"/>
      <c r="P637" s="45"/>
      <c r="Q637" s="45"/>
      <c r="R637" s="202"/>
      <c r="S637" s="45"/>
    </row>
    <row r="638">
      <c r="A638" s="78"/>
      <c r="B638" s="78"/>
      <c r="C638" s="78"/>
      <c r="D638" s="78"/>
      <c r="E638" s="78"/>
      <c r="F638" s="78"/>
      <c r="G638" s="78"/>
      <c r="H638" s="78"/>
      <c r="I638" s="45"/>
      <c r="J638" s="45"/>
      <c r="K638" s="45"/>
      <c r="L638" s="45"/>
      <c r="M638" s="45"/>
      <c r="N638" s="45"/>
      <c r="O638" s="45"/>
      <c r="P638" s="45"/>
      <c r="Q638" s="45"/>
      <c r="R638" s="202"/>
      <c r="S638" s="45"/>
    </row>
    <row r="639">
      <c r="A639" s="78"/>
      <c r="B639" s="78"/>
      <c r="C639" s="78"/>
      <c r="D639" s="78"/>
      <c r="E639" s="78"/>
      <c r="F639" s="78"/>
      <c r="G639" s="78"/>
      <c r="H639" s="78"/>
      <c r="I639" s="45"/>
      <c r="J639" s="45"/>
      <c r="K639" s="45"/>
      <c r="L639" s="45"/>
      <c r="M639" s="45"/>
      <c r="N639" s="45"/>
      <c r="O639" s="45"/>
      <c r="P639" s="45"/>
      <c r="Q639" s="45"/>
      <c r="R639" s="202"/>
      <c r="S639" s="45"/>
    </row>
    <row r="640">
      <c r="A640" s="78"/>
      <c r="B640" s="78"/>
      <c r="C640" s="78"/>
      <c r="D640" s="78"/>
      <c r="E640" s="78"/>
      <c r="F640" s="78"/>
      <c r="G640" s="78"/>
      <c r="H640" s="78"/>
      <c r="I640" s="45"/>
      <c r="J640" s="45"/>
      <c r="K640" s="45"/>
      <c r="L640" s="45"/>
      <c r="M640" s="45"/>
      <c r="N640" s="45"/>
      <c r="O640" s="45"/>
      <c r="P640" s="45"/>
      <c r="Q640" s="45"/>
      <c r="R640" s="202"/>
      <c r="S640" s="45"/>
    </row>
    <row r="641">
      <c r="A641" s="78"/>
      <c r="B641" s="78"/>
      <c r="C641" s="78"/>
      <c r="D641" s="78"/>
      <c r="E641" s="78"/>
      <c r="F641" s="78"/>
      <c r="G641" s="78"/>
      <c r="H641" s="78"/>
      <c r="I641" s="45"/>
      <c r="J641" s="45"/>
      <c r="K641" s="45"/>
      <c r="L641" s="45"/>
      <c r="M641" s="45"/>
      <c r="N641" s="45"/>
      <c r="O641" s="45"/>
      <c r="P641" s="45"/>
      <c r="Q641" s="45"/>
      <c r="R641" s="202"/>
      <c r="S641" s="45"/>
    </row>
    <row r="642">
      <c r="A642" s="78"/>
      <c r="B642" s="78"/>
      <c r="C642" s="78"/>
      <c r="D642" s="78"/>
      <c r="E642" s="78"/>
      <c r="F642" s="78"/>
      <c r="G642" s="78"/>
      <c r="H642" s="78"/>
      <c r="I642" s="45"/>
      <c r="J642" s="45"/>
      <c r="K642" s="45"/>
      <c r="L642" s="45"/>
      <c r="M642" s="45"/>
      <c r="N642" s="45"/>
      <c r="O642" s="45"/>
      <c r="P642" s="45"/>
      <c r="Q642" s="45"/>
      <c r="R642" s="202"/>
      <c r="S642" s="45"/>
    </row>
    <row r="643">
      <c r="A643" s="78"/>
      <c r="B643" s="78"/>
      <c r="C643" s="78"/>
      <c r="D643" s="78"/>
      <c r="E643" s="78"/>
      <c r="F643" s="78"/>
      <c r="G643" s="78"/>
      <c r="H643" s="78"/>
      <c r="I643" s="45"/>
      <c r="J643" s="45"/>
      <c r="K643" s="45"/>
      <c r="L643" s="45"/>
      <c r="M643" s="45"/>
      <c r="N643" s="45"/>
      <c r="O643" s="45"/>
      <c r="P643" s="45"/>
      <c r="Q643" s="45"/>
      <c r="R643" s="202"/>
      <c r="S643" s="45"/>
    </row>
    <row r="644">
      <c r="A644" s="78"/>
      <c r="B644" s="78"/>
      <c r="C644" s="78"/>
      <c r="D644" s="78"/>
      <c r="E644" s="78"/>
      <c r="F644" s="78"/>
      <c r="G644" s="78"/>
      <c r="H644" s="78"/>
      <c r="I644" s="45"/>
      <c r="J644" s="45"/>
      <c r="K644" s="45"/>
      <c r="L644" s="45"/>
      <c r="M644" s="45"/>
      <c r="N644" s="45"/>
      <c r="O644" s="45"/>
      <c r="P644" s="45"/>
      <c r="Q644" s="45"/>
      <c r="R644" s="202"/>
      <c r="S644" s="45"/>
    </row>
    <row r="645">
      <c r="A645" s="78"/>
      <c r="B645" s="78"/>
      <c r="C645" s="78"/>
      <c r="D645" s="78"/>
      <c r="E645" s="78"/>
      <c r="F645" s="78"/>
      <c r="G645" s="78"/>
      <c r="H645" s="78"/>
      <c r="I645" s="45"/>
      <c r="J645" s="45"/>
      <c r="K645" s="45"/>
      <c r="L645" s="45"/>
      <c r="M645" s="45"/>
      <c r="N645" s="45"/>
      <c r="O645" s="45"/>
      <c r="P645" s="45"/>
      <c r="Q645" s="45"/>
      <c r="R645" s="202"/>
      <c r="S645" s="45"/>
    </row>
    <row r="646">
      <c r="A646" s="78"/>
      <c r="B646" s="78"/>
      <c r="C646" s="78"/>
      <c r="D646" s="78"/>
      <c r="E646" s="78"/>
      <c r="F646" s="78"/>
      <c r="G646" s="78"/>
      <c r="H646" s="78"/>
      <c r="I646" s="45"/>
      <c r="J646" s="45"/>
      <c r="K646" s="45"/>
      <c r="L646" s="45"/>
      <c r="M646" s="45"/>
      <c r="N646" s="45"/>
      <c r="O646" s="45"/>
      <c r="P646" s="45"/>
      <c r="Q646" s="45"/>
      <c r="R646" s="202"/>
      <c r="S646" s="45"/>
    </row>
    <row r="647">
      <c r="A647" s="78"/>
      <c r="B647" s="78"/>
      <c r="C647" s="78"/>
      <c r="D647" s="78"/>
      <c r="E647" s="78"/>
      <c r="F647" s="78"/>
      <c r="G647" s="78"/>
      <c r="H647" s="78"/>
      <c r="I647" s="45"/>
      <c r="J647" s="45"/>
      <c r="K647" s="45"/>
      <c r="L647" s="45"/>
      <c r="M647" s="45"/>
      <c r="N647" s="45"/>
      <c r="O647" s="45"/>
      <c r="P647" s="45"/>
      <c r="Q647" s="45"/>
      <c r="R647" s="202"/>
      <c r="S647" s="45"/>
    </row>
    <row r="648">
      <c r="A648" s="78"/>
      <c r="B648" s="78"/>
      <c r="C648" s="78"/>
      <c r="D648" s="78"/>
      <c r="E648" s="78"/>
      <c r="F648" s="78"/>
      <c r="G648" s="78"/>
      <c r="H648" s="78"/>
      <c r="I648" s="45"/>
      <c r="J648" s="45"/>
      <c r="K648" s="45"/>
      <c r="L648" s="45"/>
      <c r="M648" s="45"/>
      <c r="N648" s="45"/>
      <c r="O648" s="45"/>
      <c r="P648" s="45"/>
      <c r="Q648" s="45"/>
      <c r="R648" s="202"/>
      <c r="S648" s="45"/>
    </row>
    <row r="649">
      <c r="A649" s="78"/>
      <c r="B649" s="78"/>
      <c r="C649" s="78"/>
      <c r="D649" s="78"/>
      <c r="E649" s="78"/>
      <c r="F649" s="78"/>
      <c r="G649" s="78"/>
      <c r="H649" s="78"/>
      <c r="I649" s="45"/>
      <c r="J649" s="45"/>
      <c r="K649" s="45"/>
      <c r="L649" s="45"/>
      <c r="M649" s="45"/>
      <c r="N649" s="45"/>
      <c r="O649" s="45"/>
      <c r="P649" s="45"/>
      <c r="Q649" s="45"/>
      <c r="R649" s="202"/>
      <c r="S649" s="45"/>
    </row>
    <row r="650">
      <c r="A650" s="78"/>
      <c r="B650" s="78"/>
      <c r="C650" s="78"/>
      <c r="D650" s="78"/>
      <c r="E650" s="78"/>
      <c r="F650" s="78"/>
      <c r="G650" s="78"/>
      <c r="H650" s="78"/>
      <c r="I650" s="45"/>
      <c r="J650" s="45"/>
      <c r="K650" s="45"/>
      <c r="L650" s="45"/>
      <c r="M650" s="45"/>
      <c r="N650" s="45"/>
      <c r="O650" s="45"/>
      <c r="P650" s="45"/>
      <c r="Q650" s="45"/>
      <c r="R650" s="202"/>
      <c r="S650" s="45"/>
    </row>
    <row r="651">
      <c r="A651" s="78"/>
      <c r="B651" s="78"/>
      <c r="C651" s="78"/>
      <c r="D651" s="78"/>
      <c r="E651" s="78"/>
      <c r="F651" s="78"/>
      <c r="G651" s="78"/>
      <c r="H651" s="78"/>
      <c r="I651" s="45"/>
      <c r="J651" s="45"/>
      <c r="K651" s="45"/>
      <c r="L651" s="45"/>
      <c r="M651" s="45"/>
      <c r="N651" s="45"/>
      <c r="O651" s="45"/>
      <c r="P651" s="45"/>
      <c r="Q651" s="45"/>
      <c r="R651" s="202"/>
      <c r="S651" s="45"/>
    </row>
    <row r="652">
      <c r="A652" s="78"/>
      <c r="B652" s="78"/>
      <c r="C652" s="78"/>
      <c r="D652" s="78"/>
      <c r="E652" s="78"/>
      <c r="F652" s="78"/>
      <c r="G652" s="78"/>
      <c r="H652" s="78"/>
      <c r="I652" s="45"/>
      <c r="J652" s="45"/>
      <c r="K652" s="45"/>
      <c r="L652" s="45"/>
      <c r="M652" s="45"/>
      <c r="N652" s="45"/>
      <c r="O652" s="45"/>
      <c r="P652" s="45"/>
      <c r="Q652" s="45"/>
      <c r="R652" s="202"/>
      <c r="S652" s="45"/>
    </row>
    <row r="653">
      <c r="A653" s="78"/>
      <c r="B653" s="78"/>
      <c r="C653" s="78"/>
      <c r="D653" s="78"/>
      <c r="E653" s="78"/>
      <c r="F653" s="78"/>
      <c r="G653" s="78"/>
      <c r="H653" s="78"/>
      <c r="I653" s="45"/>
      <c r="J653" s="45"/>
      <c r="K653" s="45"/>
      <c r="L653" s="45"/>
      <c r="M653" s="45"/>
      <c r="N653" s="45"/>
      <c r="O653" s="45"/>
      <c r="P653" s="45"/>
      <c r="Q653" s="45"/>
      <c r="R653" s="202"/>
      <c r="S653" s="45"/>
    </row>
    <row r="654">
      <c r="A654" s="78"/>
      <c r="B654" s="78"/>
      <c r="C654" s="78"/>
      <c r="D654" s="78"/>
      <c r="E654" s="78"/>
      <c r="F654" s="78"/>
      <c r="G654" s="78"/>
      <c r="H654" s="78"/>
      <c r="I654" s="45"/>
      <c r="J654" s="45"/>
      <c r="K654" s="45"/>
      <c r="L654" s="45"/>
      <c r="M654" s="45"/>
      <c r="N654" s="45"/>
      <c r="O654" s="45"/>
      <c r="P654" s="45"/>
      <c r="Q654" s="45"/>
      <c r="R654" s="202"/>
      <c r="S654" s="45"/>
    </row>
    <row r="655">
      <c r="A655" s="78"/>
      <c r="B655" s="78"/>
      <c r="C655" s="78"/>
      <c r="D655" s="78"/>
      <c r="E655" s="78"/>
      <c r="F655" s="78"/>
      <c r="G655" s="78"/>
      <c r="H655" s="78"/>
      <c r="I655" s="45"/>
      <c r="J655" s="45"/>
      <c r="K655" s="45"/>
      <c r="L655" s="45"/>
      <c r="M655" s="45"/>
      <c r="N655" s="45"/>
      <c r="O655" s="45"/>
      <c r="P655" s="45"/>
      <c r="Q655" s="45"/>
      <c r="R655" s="202"/>
      <c r="S655" s="45"/>
    </row>
    <row r="656">
      <c r="A656" s="78"/>
      <c r="B656" s="78"/>
      <c r="C656" s="78"/>
      <c r="D656" s="78"/>
      <c r="E656" s="78"/>
      <c r="F656" s="78"/>
      <c r="G656" s="78"/>
      <c r="H656" s="78"/>
      <c r="I656" s="45"/>
      <c r="J656" s="45"/>
      <c r="K656" s="45"/>
      <c r="L656" s="45"/>
      <c r="M656" s="45"/>
      <c r="N656" s="45"/>
      <c r="O656" s="45"/>
      <c r="P656" s="45"/>
      <c r="Q656" s="45"/>
      <c r="R656" s="202"/>
      <c r="S656" s="45"/>
    </row>
    <row r="657">
      <c r="A657" s="78"/>
      <c r="B657" s="78"/>
      <c r="C657" s="78"/>
      <c r="D657" s="78"/>
      <c r="E657" s="78"/>
      <c r="F657" s="78"/>
      <c r="G657" s="78"/>
      <c r="H657" s="78"/>
      <c r="I657" s="45"/>
      <c r="J657" s="45"/>
      <c r="K657" s="45"/>
      <c r="L657" s="45"/>
      <c r="M657" s="45"/>
      <c r="N657" s="45"/>
      <c r="O657" s="45"/>
      <c r="P657" s="45"/>
      <c r="Q657" s="45"/>
      <c r="R657" s="202"/>
      <c r="S657" s="45"/>
    </row>
    <row r="658">
      <c r="A658" s="78"/>
      <c r="B658" s="78"/>
      <c r="C658" s="78"/>
      <c r="D658" s="78"/>
      <c r="E658" s="78"/>
      <c r="F658" s="78"/>
      <c r="G658" s="78"/>
      <c r="H658" s="78"/>
      <c r="I658" s="45"/>
      <c r="J658" s="45"/>
      <c r="K658" s="45"/>
      <c r="L658" s="45"/>
      <c r="M658" s="45"/>
      <c r="N658" s="45"/>
      <c r="O658" s="45"/>
      <c r="P658" s="45"/>
      <c r="Q658" s="45"/>
      <c r="R658" s="202"/>
      <c r="S658" s="45"/>
    </row>
    <row r="659">
      <c r="A659" s="78"/>
      <c r="B659" s="78"/>
      <c r="C659" s="78"/>
      <c r="D659" s="78"/>
      <c r="E659" s="78"/>
      <c r="F659" s="78"/>
      <c r="G659" s="78"/>
      <c r="H659" s="78"/>
      <c r="I659" s="45"/>
      <c r="J659" s="45"/>
      <c r="K659" s="45"/>
      <c r="L659" s="45"/>
      <c r="M659" s="45"/>
      <c r="N659" s="45"/>
      <c r="O659" s="45"/>
      <c r="P659" s="45"/>
      <c r="Q659" s="45"/>
      <c r="R659" s="202"/>
      <c r="S659" s="45"/>
    </row>
    <row r="660">
      <c r="A660" s="78"/>
      <c r="B660" s="78"/>
      <c r="C660" s="78"/>
      <c r="D660" s="78"/>
      <c r="E660" s="78"/>
      <c r="F660" s="78"/>
      <c r="G660" s="78"/>
      <c r="H660" s="78"/>
      <c r="I660" s="45"/>
      <c r="J660" s="45"/>
      <c r="K660" s="45"/>
      <c r="L660" s="45"/>
      <c r="M660" s="45"/>
      <c r="N660" s="45"/>
      <c r="O660" s="45"/>
      <c r="P660" s="45"/>
      <c r="Q660" s="45"/>
      <c r="R660" s="202"/>
      <c r="S660" s="45"/>
    </row>
    <row r="661">
      <c r="A661" s="78"/>
      <c r="B661" s="78"/>
      <c r="C661" s="78"/>
      <c r="D661" s="78"/>
      <c r="E661" s="78"/>
      <c r="F661" s="78"/>
      <c r="G661" s="78"/>
      <c r="H661" s="78"/>
      <c r="I661" s="45"/>
      <c r="J661" s="45"/>
      <c r="K661" s="45"/>
      <c r="L661" s="45"/>
      <c r="M661" s="45"/>
      <c r="N661" s="45"/>
      <c r="O661" s="45"/>
      <c r="P661" s="45"/>
      <c r="Q661" s="45"/>
      <c r="R661" s="202"/>
      <c r="S661" s="45"/>
    </row>
    <row r="662">
      <c r="A662" s="78"/>
      <c r="B662" s="78"/>
      <c r="C662" s="78"/>
      <c r="D662" s="78"/>
      <c r="E662" s="78"/>
      <c r="F662" s="78"/>
      <c r="G662" s="78"/>
      <c r="H662" s="78"/>
      <c r="I662" s="45"/>
      <c r="J662" s="45"/>
      <c r="K662" s="45"/>
      <c r="L662" s="45"/>
      <c r="M662" s="45"/>
      <c r="N662" s="45"/>
      <c r="O662" s="45"/>
      <c r="P662" s="45"/>
      <c r="Q662" s="45"/>
      <c r="R662" s="202"/>
      <c r="S662" s="45"/>
    </row>
    <row r="663">
      <c r="A663" s="78"/>
      <c r="B663" s="78"/>
      <c r="C663" s="78"/>
      <c r="D663" s="78"/>
      <c r="E663" s="78"/>
      <c r="F663" s="78"/>
      <c r="G663" s="78"/>
      <c r="H663" s="78"/>
      <c r="I663" s="45"/>
      <c r="J663" s="45"/>
      <c r="K663" s="45"/>
      <c r="L663" s="45"/>
      <c r="M663" s="45"/>
      <c r="N663" s="45"/>
      <c r="O663" s="45"/>
      <c r="P663" s="45"/>
      <c r="Q663" s="45"/>
      <c r="R663" s="202"/>
      <c r="S663" s="45"/>
    </row>
    <row r="664">
      <c r="A664" s="78"/>
      <c r="B664" s="78"/>
      <c r="C664" s="78"/>
      <c r="D664" s="78"/>
      <c r="E664" s="78"/>
      <c r="F664" s="78"/>
      <c r="G664" s="78"/>
      <c r="H664" s="78"/>
      <c r="I664" s="45"/>
      <c r="J664" s="45"/>
      <c r="K664" s="45"/>
      <c r="L664" s="45"/>
      <c r="M664" s="45"/>
      <c r="N664" s="45"/>
      <c r="O664" s="45"/>
      <c r="P664" s="45"/>
      <c r="Q664" s="45"/>
      <c r="R664" s="202"/>
      <c r="S664" s="45"/>
    </row>
    <row r="665">
      <c r="A665" s="78"/>
      <c r="B665" s="78"/>
      <c r="C665" s="78"/>
      <c r="D665" s="78"/>
      <c r="E665" s="78"/>
      <c r="F665" s="78"/>
      <c r="G665" s="78"/>
      <c r="H665" s="78"/>
      <c r="I665" s="45"/>
      <c r="J665" s="45"/>
      <c r="K665" s="45"/>
      <c r="L665" s="45"/>
      <c r="M665" s="45"/>
      <c r="N665" s="45"/>
      <c r="O665" s="45"/>
      <c r="P665" s="45"/>
      <c r="Q665" s="45"/>
      <c r="R665" s="202"/>
      <c r="S665" s="45"/>
    </row>
    <row r="666">
      <c r="A666" s="78"/>
      <c r="B666" s="78"/>
      <c r="C666" s="78"/>
      <c r="D666" s="78"/>
      <c r="E666" s="78"/>
      <c r="F666" s="78"/>
      <c r="G666" s="78"/>
      <c r="H666" s="78"/>
      <c r="I666" s="45"/>
      <c r="J666" s="45"/>
      <c r="K666" s="45"/>
      <c r="L666" s="45"/>
      <c r="M666" s="45"/>
      <c r="N666" s="45"/>
      <c r="O666" s="45"/>
      <c r="P666" s="45"/>
      <c r="Q666" s="45"/>
      <c r="R666" s="202"/>
      <c r="S666" s="45"/>
    </row>
    <row r="667">
      <c r="A667" s="78"/>
      <c r="B667" s="78"/>
      <c r="C667" s="78"/>
      <c r="D667" s="78"/>
      <c r="E667" s="78"/>
      <c r="F667" s="78"/>
      <c r="G667" s="78"/>
      <c r="H667" s="78"/>
      <c r="I667" s="45"/>
      <c r="J667" s="45"/>
      <c r="K667" s="45"/>
      <c r="L667" s="45"/>
      <c r="M667" s="45"/>
      <c r="N667" s="45"/>
      <c r="O667" s="45"/>
      <c r="P667" s="45"/>
      <c r="Q667" s="45"/>
      <c r="R667" s="202"/>
      <c r="S667" s="45"/>
    </row>
    <row r="668">
      <c r="A668" s="78"/>
      <c r="B668" s="78"/>
      <c r="C668" s="78"/>
      <c r="D668" s="78"/>
      <c r="E668" s="78"/>
      <c r="F668" s="78"/>
      <c r="G668" s="78"/>
      <c r="H668" s="78"/>
      <c r="I668" s="45"/>
      <c r="J668" s="45"/>
      <c r="K668" s="45"/>
      <c r="L668" s="45"/>
      <c r="M668" s="45"/>
      <c r="N668" s="45"/>
      <c r="O668" s="45"/>
      <c r="P668" s="45"/>
      <c r="Q668" s="45"/>
      <c r="R668" s="202"/>
      <c r="S668" s="45"/>
    </row>
    <row r="669">
      <c r="A669" s="78"/>
      <c r="B669" s="78"/>
      <c r="C669" s="78"/>
      <c r="D669" s="78"/>
      <c r="E669" s="78"/>
      <c r="F669" s="78"/>
      <c r="G669" s="78"/>
      <c r="H669" s="78"/>
      <c r="I669" s="45"/>
      <c r="J669" s="45"/>
      <c r="K669" s="45"/>
      <c r="L669" s="45"/>
      <c r="M669" s="45"/>
      <c r="N669" s="45"/>
      <c r="O669" s="45"/>
      <c r="P669" s="45"/>
      <c r="Q669" s="45"/>
      <c r="R669" s="202"/>
      <c r="S669" s="45"/>
    </row>
    <row r="670">
      <c r="A670" s="78"/>
      <c r="B670" s="78"/>
      <c r="C670" s="78"/>
      <c r="D670" s="78"/>
      <c r="E670" s="78"/>
      <c r="F670" s="78"/>
      <c r="G670" s="78"/>
      <c r="H670" s="78"/>
      <c r="I670" s="45"/>
      <c r="J670" s="45"/>
      <c r="K670" s="45"/>
      <c r="L670" s="45"/>
      <c r="M670" s="45"/>
      <c r="N670" s="45"/>
      <c r="O670" s="45"/>
      <c r="P670" s="45"/>
      <c r="Q670" s="45"/>
      <c r="R670" s="202"/>
      <c r="S670" s="45"/>
    </row>
    <row r="671">
      <c r="A671" s="78"/>
      <c r="B671" s="78"/>
      <c r="C671" s="78"/>
      <c r="D671" s="78"/>
      <c r="E671" s="78"/>
      <c r="F671" s="78"/>
      <c r="G671" s="78"/>
      <c r="H671" s="78"/>
      <c r="I671" s="45"/>
      <c r="J671" s="45"/>
      <c r="K671" s="45"/>
      <c r="L671" s="45"/>
      <c r="M671" s="45"/>
      <c r="N671" s="45"/>
      <c r="O671" s="45"/>
      <c r="P671" s="45"/>
      <c r="Q671" s="45"/>
      <c r="R671" s="202"/>
      <c r="S671" s="45"/>
    </row>
    <row r="672">
      <c r="A672" s="78"/>
      <c r="B672" s="78"/>
      <c r="C672" s="78"/>
      <c r="D672" s="78"/>
      <c r="E672" s="78"/>
      <c r="F672" s="78"/>
      <c r="G672" s="78"/>
      <c r="H672" s="78"/>
      <c r="I672" s="45"/>
      <c r="J672" s="45"/>
      <c r="K672" s="45"/>
      <c r="L672" s="45"/>
      <c r="M672" s="45"/>
      <c r="N672" s="45"/>
      <c r="O672" s="45"/>
      <c r="P672" s="45"/>
      <c r="Q672" s="45"/>
      <c r="R672" s="202"/>
      <c r="S672" s="45"/>
    </row>
    <row r="673">
      <c r="A673" s="78"/>
      <c r="B673" s="78"/>
      <c r="C673" s="78"/>
      <c r="D673" s="78"/>
      <c r="E673" s="78"/>
      <c r="F673" s="78"/>
      <c r="G673" s="78"/>
      <c r="H673" s="78"/>
      <c r="I673" s="45"/>
      <c r="J673" s="45"/>
      <c r="K673" s="45"/>
      <c r="L673" s="45"/>
      <c r="M673" s="45"/>
      <c r="N673" s="45"/>
      <c r="O673" s="45"/>
      <c r="P673" s="45"/>
      <c r="Q673" s="45"/>
      <c r="R673" s="202"/>
      <c r="S673" s="45"/>
    </row>
    <row r="674">
      <c r="A674" s="78"/>
      <c r="B674" s="78"/>
      <c r="C674" s="78"/>
      <c r="D674" s="78"/>
      <c r="E674" s="78"/>
      <c r="F674" s="78"/>
      <c r="G674" s="78"/>
      <c r="H674" s="78"/>
      <c r="I674" s="45"/>
      <c r="J674" s="45"/>
      <c r="K674" s="45"/>
      <c r="L674" s="45"/>
      <c r="M674" s="45"/>
      <c r="N674" s="45"/>
      <c r="O674" s="45"/>
      <c r="P674" s="45"/>
      <c r="Q674" s="45"/>
      <c r="R674" s="202"/>
      <c r="S674" s="45"/>
    </row>
    <row r="675">
      <c r="A675" s="78"/>
      <c r="B675" s="78"/>
      <c r="C675" s="78"/>
      <c r="D675" s="78"/>
      <c r="E675" s="78"/>
      <c r="F675" s="78"/>
      <c r="G675" s="78"/>
      <c r="H675" s="78"/>
      <c r="I675" s="45"/>
      <c r="J675" s="45"/>
      <c r="K675" s="45"/>
      <c r="L675" s="45"/>
      <c r="M675" s="45"/>
      <c r="N675" s="45"/>
      <c r="O675" s="45"/>
      <c r="P675" s="45"/>
      <c r="Q675" s="45"/>
      <c r="R675" s="202"/>
      <c r="S675" s="45"/>
    </row>
    <row r="676">
      <c r="A676" s="78"/>
      <c r="B676" s="78"/>
      <c r="C676" s="78"/>
      <c r="D676" s="78"/>
      <c r="E676" s="78"/>
      <c r="F676" s="78"/>
      <c r="G676" s="78"/>
      <c r="H676" s="78"/>
      <c r="I676" s="45"/>
      <c r="J676" s="45"/>
      <c r="K676" s="45"/>
      <c r="L676" s="45"/>
      <c r="M676" s="45"/>
      <c r="N676" s="45"/>
      <c r="O676" s="45"/>
      <c r="P676" s="45"/>
      <c r="Q676" s="45"/>
      <c r="R676" s="202"/>
      <c r="S676" s="45"/>
    </row>
    <row r="677">
      <c r="A677" s="78"/>
      <c r="B677" s="78"/>
      <c r="C677" s="78"/>
      <c r="D677" s="78"/>
      <c r="E677" s="78"/>
      <c r="F677" s="78"/>
      <c r="G677" s="78"/>
      <c r="H677" s="78"/>
      <c r="I677" s="45"/>
      <c r="J677" s="45"/>
      <c r="K677" s="45"/>
      <c r="L677" s="45"/>
      <c r="M677" s="45"/>
      <c r="N677" s="45"/>
      <c r="O677" s="45"/>
      <c r="P677" s="45"/>
      <c r="Q677" s="45"/>
      <c r="R677" s="202"/>
      <c r="S677" s="45"/>
    </row>
    <row r="678">
      <c r="A678" s="78"/>
      <c r="B678" s="78"/>
      <c r="C678" s="78"/>
      <c r="D678" s="78"/>
      <c r="E678" s="78"/>
      <c r="F678" s="78"/>
      <c r="G678" s="78"/>
      <c r="H678" s="78"/>
      <c r="I678" s="45"/>
      <c r="J678" s="45"/>
      <c r="K678" s="45"/>
      <c r="L678" s="45"/>
      <c r="M678" s="45"/>
      <c r="N678" s="45"/>
      <c r="O678" s="45"/>
      <c r="P678" s="45"/>
      <c r="Q678" s="45"/>
      <c r="R678" s="202"/>
      <c r="S678" s="45"/>
    </row>
    <row r="679">
      <c r="A679" s="78"/>
      <c r="B679" s="78"/>
      <c r="C679" s="78"/>
      <c r="D679" s="78"/>
      <c r="E679" s="78"/>
      <c r="F679" s="78"/>
      <c r="G679" s="78"/>
      <c r="H679" s="78"/>
      <c r="I679" s="45"/>
      <c r="J679" s="45"/>
      <c r="K679" s="45"/>
      <c r="L679" s="45"/>
      <c r="M679" s="45"/>
      <c r="N679" s="45"/>
      <c r="O679" s="45"/>
      <c r="P679" s="45"/>
      <c r="Q679" s="45"/>
      <c r="R679" s="202"/>
      <c r="S679" s="45"/>
    </row>
    <row r="680">
      <c r="A680" s="78"/>
      <c r="B680" s="78"/>
      <c r="C680" s="78"/>
      <c r="D680" s="78"/>
      <c r="E680" s="78"/>
      <c r="F680" s="78"/>
      <c r="G680" s="78"/>
      <c r="H680" s="78"/>
      <c r="I680" s="45"/>
      <c r="J680" s="45"/>
      <c r="K680" s="45"/>
      <c r="L680" s="45"/>
      <c r="M680" s="45"/>
      <c r="N680" s="45"/>
      <c r="O680" s="45"/>
      <c r="P680" s="45"/>
      <c r="Q680" s="45"/>
      <c r="R680" s="202"/>
      <c r="S680" s="45"/>
    </row>
    <row r="681">
      <c r="A681" s="78"/>
      <c r="B681" s="78"/>
      <c r="C681" s="78"/>
      <c r="D681" s="78"/>
      <c r="E681" s="78"/>
      <c r="F681" s="78"/>
      <c r="G681" s="78"/>
      <c r="H681" s="78"/>
      <c r="I681" s="45"/>
      <c r="J681" s="45"/>
      <c r="K681" s="45"/>
      <c r="L681" s="45"/>
      <c r="M681" s="45"/>
      <c r="N681" s="45"/>
      <c r="O681" s="45"/>
      <c r="P681" s="45"/>
      <c r="Q681" s="45"/>
      <c r="R681" s="202"/>
      <c r="S681" s="45"/>
    </row>
    <row r="682">
      <c r="A682" s="78"/>
      <c r="B682" s="78"/>
      <c r="C682" s="78"/>
      <c r="D682" s="78"/>
      <c r="E682" s="78"/>
      <c r="F682" s="78"/>
      <c r="G682" s="78"/>
      <c r="H682" s="78"/>
      <c r="I682" s="45"/>
      <c r="J682" s="45"/>
      <c r="K682" s="45"/>
      <c r="L682" s="45"/>
      <c r="M682" s="45"/>
      <c r="N682" s="45"/>
      <c r="O682" s="45"/>
      <c r="P682" s="45"/>
      <c r="Q682" s="45"/>
      <c r="R682" s="202"/>
      <c r="S682" s="45"/>
    </row>
    <row r="683">
      <c r="A683" s="78"/>
      <c r="B683" s="78"/>
      <c r="C683" s="78"/>
      <c r="D683" s="78"/>
      <c r="E683" s="78"/>
      <c r="F683" s="78"/>
      <c r="G683" s="78"/>
      <c r="H683" s="78"/>
      <c r="I683" s="45"/>
      <c r="J683" s="45"/>
      <c r="K683" s="45"/>
      <c r="L683" s="45"/>
      <c r="M683" s="45"/>
      <c r="N683" s="45"/>
      <c r="O683" s="45"/>
      <c r="P683" s="45"/>
      <c r="Q683" s="45"/>
      <c r="R683" s="202"/>
      <c r="S683" s="45"/>
    </row>
    <row r="684">
      <c r="A684" s="78"/>
      <c r="B684" s="78"/>
      <c r="C684" s="78"/>
      <c r="D684" s="78"/>
      <c r="E684" s="78"/>
      <c r="F684" s="78"/>
      <c r="G684" s="78"/>
      <c r="H684" s="78"/>
      <c r="I684" s="45"/>
      <c r="J684" s="45"/>
      <c r="K684" s="45"/>
      <c r="L684" s="45"/>
      <c r="M684" s="45"/>
      <c r="N684" s="45"/>
      <c r="O684" s="45"/>
      <c r="P684" s="45"/>
      <c r="Q684" s="45"/>
      <c r="R684" s="202"/>
      <c r="S684" s="45"/>
    </row>
    <row r="685">
      <c r="A685" s="78"/>
      <c r="B685" s="78"/>
      <c r="C685" s="78"/>
      <c r="D685" s="78"/>
      <c r="E685" s="78"/>
      <c r="F685" s="78"/>
      <c r="G685" s="78"/>
      <c r="H685" s="78"/>
      <c r="I685" s="45"/>
      <c r="J685" s="45"/>
      <c r="K685" s="45"/>
      <c r="L685" s="45"/>
      <c r="M685" s="45"/>
      <c r="N685" s="45"/>
      <c r="O685" s="45"/>
      <c r="P685" s="45"/>
      <c r="Q685" s="45"/>
      <c r="R685" s="202"/>
      <c r="S685" s="45"/>
    </row>
    <row r="686">
      <c r="A686" s="78"/>
      <c r="B686" s="78"/>
      <c r="C686" s="78"/>
      <c r="D686" s="78"/>
      <c r="E686" s="78"/>
      <c r="F686" s="78"/>
      <c r="G686" s="78"/>
      <c r="H686" s="78"/>
      <c r="I686" s="45"/>
      <c r="J686" s="45"/>
      <c r="K686" s="45"/>
      <c r="L686" s="45"/>
      <c r="M686" s="45"/>
      <c r="N686" s="45"/>
      <c r="O686" s="45"/>
      <c r="P686" s="45"/>
      <c r="Q686" s="45"/>
      <c r="R686" s="202"/>
      <c r="S686" s="45"/>
    </row>
    <row r="687">
      <c r="A687" s="78"/>
      <c r="B687" s="78"/>
      <c r="C687" s="78"/>
      <c r="D687" s="78"/>
      <c r="E687" s="78"/>
      <c r="F687" s="78"/>
      <c r="G687" s="78"/>
      <c r="H687" s="78"/>
      <c r="I687" s="45"/>
      <c r="J687" s="45"/>
      <c r="K687" s="45"/>
      <c r="L687" s="45"/>
      <c r="M687" s="45"/>
      <c r="N687" s="45"/>
      <c r="O687" s="45"/>
      <c r="P687" s="45"/>
      <c r="Q687" s="45"/>
      <c r="R687" s="202"/>
      <c r="S687" s="45"/>
    </row>
    <row r="688">
      <c r="A688" s="78"/>
      <c r="B688" s="78"/>
      <c r="C688" s="78"/>
      <c r="D688" s="78"/>
      <c r="E688" s="78"/>
      <c r="F688" s="78"/>
      <c r="G688" s="78"/>
      <c r="H688" s="78"/>
      <c r="I688" s="45"/>
      <c r="J688" s="45"/>
      <c r="K688" s="45"/>
      <c r="L688" s="45"/>
      <c r="M688" s="45"/>
      <c r="N688" s="45"/>
      <c r="O688" s="45"/>
      <c r="P688" s="45"/>
      <c r="Q688" s="45"/>
      <c r="R688" s="45"/>
      <c r="S688" s="45"/>
    </row>
    <row r="689">
      <c r="A689" s="78"/>
      <c r="B689" s="78"/>
      <c r="C689" s="78"/>
      <c r="D689" s="78"/>
      <c r="E689" s="78"/>
      <c r="F689" s="78"/>
      <c r="G689" s="78"/>
      <c r="H689" s="78"/>
      <c r="I689" s="45"/>
      <c r="J689" s="45"/>
      <c r="K689" s="45"/>
      <c r="L689" s="45"/>
      <c r="M689" s="45"/>
      <c r="N689" s="45"/>
      <c r="O689" s="45"/>
      <c r="P689" s="45"/>
      <c r="Q689" s="45"/>
      <c r="R689" s="45"/>
      <c r="S689" s="45"/>
    </row>
    <row r="690">
      <c r="A690" s="78"/>
      <c r="B690" s="78"/>
      <c r="C690" s="78"/>
      <c r="D690" s="78"/>
      <c r="E690" s="78"/>
      <c r="F690" s="78"/>
      <c r="G690" s="78"/>
      <c r="H690" s="78"/>
      <c r="I690" s="45"/>
      <c r="J690" s="45"/>
      <c r="K690" s="45"/>
      <c r="L690" s="45"/>
      <c r="M690" s="45"/>
      <c r="N690" s="45"/>
      <c r="O690" s="45"/>
      <c r="P690" s="45"/>
      <c r="Q690" s="45"/>
      <c r="R690" s="45"/>
      <c r="S690" s="45"/>
    </row>
    <row r="691">
      <c r="A691" s="78"/>
      <c r="B691" s="78"/>
      <c r="C691" s="78"/>
      <c r="D691" s="78"/>
      <c r="E691" s="78"/>
      <c r="F691" s="78"/>
      <c r="G691" s="78"/>
      <c r="H691" s="78"/>
      <c r="I691" s="45"/>
      <c r="J691" s="45"/>
      <c r="K691" s="45"/>
      <c r="L691" s="45"/>
      <c r="M691" s="45"/>
      <c r="N691" s="45"/>
      <c r="O691" s="45"/>
      <c r="P691" s="45"/>
      <c r="Q691" s="45"/>
      <c r="R691" s="45"/>
      <c r="S691" s="45"/>
    </row>
    <row r="692">
      <c r="A692" s="78"/>
      <c r="B692" s="78"/>
      <c r="C692" s="78"/>
      <c r="D692" s="78"/>
      <c r="E692" s="78"/>
      <c r="F692" s="78"/>
      <c r="G692" s="78"/>
      <c r="H692" s="78"/>
      <c r="I692" s="45"/>
      <c r="J692" s="45"/>
      <c r="K692" s="45"/>
      <c r="L692" s="45"/>
      <c r="M692" s="45"/>
      <c r="N692" s="45"/>
      <c r="O692" s="45"/>
      <c r="P692" s="45"/>
      <c r="Q692" s="45"/>
      <c r="R692" s="45"/>
      <c r="S692" s="45"/>
    </row>
    <row r="693">
      <c r="A693" s="78"/>
      <c r="B693" s="78"/>
      <c r="C693" s="78"/>
      <c r="D693" s="78"/>
      <c r="E693" s="78"/>
      <c r="F693" s="78"/>
      <c r="G693" s="78"/>
      <c r="H693" s="78"/>
      <c r="I693" s="45"/>
      <c r="J693" s="45"/>
      <c r="K693" s="45"/>
      <c r="L693" s="45"/>
      <c r="M693" s="45"/>
      <c r="N693" s="45"/>
      <c r="O693" s="45"/>
      <c r="P693" s="45"/>
      <c r="Q693" s="45"/>
      <c r="R693" s="45"/>
      <c r="S693" s="45"/>
    </row>
    <row r="694">
      <c r="A694" s="78"/>
      <c r="B694" s="78"/>
      <c r="C694" s="78"/>
      <c r="D694" s="78"/>
      <c r="E694" s="78"/>
      <c r="F694" s="78"/>
      <c r="G694" s="78"/>
      <c r="H694" s="78"/>
      <c r="I694" s="45"/>
      <c r="J694" s="45"/>
      <c r="K694" s="45"/>
      <c r="L694" s="45"/>
      <c r="M694" s="45"/>
      <c r="N694" s="45"/>
      <c r="O694" s="45"/>
      <c r="P694" s="45"/>
      <c r="Q694" s="45"/>
      <c r="R694" s="45"/>
      <c r="S694" s="45"/>
    </row>
    <row r="695">
      <c r="A695" s="78"/>
      <c r="B695" s="78"/>
      <c r="C695" s="78"/>
      <c r="D695" s="78"/>
      <c r="E695" s="78"/>
      <c r="F695" s="78"/>
      <c r="G695" s="78"/>
      <c r="H695" s="78"/>
      <c r="I695" s="45"/>
      <c r="J695" s="45"/>
      <c r="K695" s="45"/>
      <c r="L695" s="45"/>
      <c r="M695" s="45"/>
      <c r="N695" s="45"/>
      <c r="O695" s="45"/>
      <c r="P695" s="45"/>
      <c r="Q695" s="45"/>
      <c r="R695" s="45"/>
      <c r="S695" s="45"/>
    </row>
    <row r="696">
      <c r="A696" s="78"/>
      <c r="B696" s="78"/>
      <c r="C696" s="78"/>
      <c r="D696" s="78"/>
      <c r="E696" s="78"/>
      <c r="F696" s="78"/>
      <c r="G696" s="78"/>
      <c r="H696" s="78"/>
      <c r="I696" s="45"/>
      <c r="J696" s="45"/>
      <c r="K696" s="45"/>
      <c r="L696" s="45"/>
      <c r="M696" s="45"/>
      <c r="N696" s="45"/>
      <c r="O696" s="45"/>
      <c r="P696" s="45"/>
      <c r="Q696" s="45"/>
      <c r="R696" s="45"/>
      <c r="S696" s="45"/>
    </row>
    <row r="697">
      <c r="A697" s="78"/>
      <c r="B697" s="78"/>
      <c r="C697" s="78"/>
      <c r="D697" s="78"/>
      <c r="E697" s="78"/>
      <c r="F697" s="78"/>
      <c r="G697" s="78"/>
      <c r="H697" s="78"/>
      <c r="I697" s="45"/>
      <c r="J697" s="45"/>
      <c r="K697" s="45"/>
      <c r="L697" s="45"/>
      <c r="M697" s="45"/>
      <c r="N697" s="45"/>
      <c r="O697" s="45"/>
      <c r="P697" s="45"/>
      <c r="Q697" s="45"/>
      <c r="R697" s="45"/>
      <c r="S697" s="45"/>
    </row>
    <row r="698">
      <c r="A698" s="78"/>
      <c r="B698" s="78"/>
      <c r="C698" s="78"/>
      <c r="D698" s="78"/>
      <c r="E698" s="78"/>
      <c r="F698" s="78"/>
      <c r="G698" s="78"/>
      <c r="H698" s="78"/>
      <c r="I698" s="45"/>
      <c r="J698" s="45"/>
      <c r="K698" s="45"/>
      <c r="L698" s="45"/>
      <c r="M698" s="45"/>
      <c r="N698" s="45"/>
      <c r="O698" s="45"/>
      <c r="P698" s="45"/>
      <c r="Q698" s="45"/>
      <c r="R698" s="45"/>
      <c r="S698" s="45"/>
    </row>
    <row r="699">
      <c r="A699" s="78"/>
      <c r="B699" s="78"/>
      <c r="C699" s="78"/>
      <c r="D699" s="78"/>
      <c r="E699" s="78"/>
      <c r="F699" s="78"/>
      <c r="G699" s="78"/>
      <c r="H699" s="78"/>
      <c r="I699" s="45"/>
      <c r="J699" s="45"/>
      <c r="K699" s="45"/>
      <c r="L699" s="45"/>
      <c r="M699" s="45"/>
      <c r="N699" s="45"/>
      <c r="O699" s="45"/>
      <c r="P699" s="45"/>
      <c r="Q699" s="45"/>
      <c r="R699" s="45"/>
      <c r="S699" s="45"/>
    </row>
    <row r="700">
      <c r="A700" s="78"/>
      <c r="B700" s="78"/>
      <c r="C700" s="78"/>
      <c r="D700" s="78"/>
      <c r="E700" s="78"/>
      <c r="F700" s="78"/>
      <c r="G700" s="78"/>
      <c r="H700" s="78"/>
      <c r="I700" s="45"/>
      <c r="J700" s="45"/>
      <c r="K700" s="45"/>
      <c r="L700" s="45"/>
      <c r="M700" s="45"/>
      <c r="N700" s="45"/>
      <c r="O700" s="45"/>
      <c r="P700" s="45"/>
      <c r="Q700" s="45"/>
      <c r="R700" s="45"/>
      <c r="S700" s="45"/>
    </row>
    <row r="701">
      <c r="A701" s="78"/>
      <c r="B701" s="78"/>
      <c r="C701" s="78"/>
      <c r="D701" s="78"/>
      <c r="E701" s="78"/>
      <c r="F701" s="78"/>
      <c r="G701" s="78"/>
      <c r="H701" s="78"/>
      <c r="I701" s="45"/>
      <c r="J701" s="45"/>
      <c r="K701" s="45"/>
      <c r="L701" s="45"/>
      <c r="M701" s="45"/>
      <c r="N701" s="45"/>
      <c r="O701" s="45"/>
      <c r="P701" s="45"/>
      <c r="Q701" s="45"/>
      <c r="R701" s="45"/>
      <c r="S701" s="45"/>
    </row>
    <row r="702">
      <c r="A702" s="78"/>
      <c r="B702" s="78"/>
      <c r="C702" s="78"/>
      <c r="D702" s="78"/>
      <c r="E702" s="78"/>
      <c r="F702" s="78"/>
      <c r="G702" s="78"/>
      <c r="H702" s="78"/>
      <c r="I702" s="45"/>
      <c r="J702" s="45"/>
      <c r="K702" s="45"/>
      <c r="L702" s="45"/>
      <c r="M702" s="45"/>
      <c r="N702" s="45"/>
      <c r="O702" s="45"/>
      <c r="P702" s="45"/>
      <c r="Q702" s="45"/>
      <c r="R702" s="45"/>
      <c r="S702" s="45"/>
    </row>
    <row r="703">
      <c r="A703" s="78"/>
      <c r="B703" s="78"/>
      <c r="C703" s="78"/>
      <c r="D703" s="78"/>
      <c r="E703" s="78"/>
      <c r="F703" s="78"/>
      <c r="G703" s="78"/>
      <c r="H703" s="78"/>
      <c r="I703" s="45"/>
      <c r="J703" s="45"/>
      <c r="K703" s="45"/>
      <c r="L703" s="45"/>
      <c r="M703" s="45"/>
      <c r="N703" s="45"/>
      <c r="O703" s="45"/>
      <c r="P703" s="45"/>
      <c r="Q703" s="45"/>
      <c r="R703" s="45"/>
      <c r="S703" s="45"/>
    </row>
    <row r="704">
      <c r="A704" s="78"/>
      <c r="B704" s="78"/>
      <c r="C704" s="78"/>
      <c r="D704" s="78"/>
      <c r="E704" s="78"/>
      <c r="F704" s="78"/>
      <c r="G704" s="78"/>
      <c r="H704" s="78"/>
      <c r="I704" s="45"/>
      <c r="J704" s="45"/>
      <c r="K704" s="45"/>
      <c r="L704" s="45"/>
      <c r="M704" s="45"/>
      <c r="N704" s="45"/>
      <c r="O704" s="45"/>
      <c r="P704" s="45"/>
      <c r="Q704" s="45"/>
      <c r="R704" s="45"/>
      <c r="S704" s="45"/>
    </row>
    <row r="705">
      <c r="A705" s="78"/>
      <c r="B705" s="78"/>
      <c r="C705" s="78"/>
      <c r="D705" s="78"/>
      <c r="E705" s="78"/>
      <c r="F705" s="78"/>
      <c r="G705" s="78"/>
      <c r="H705" s="78"/>
      <c r="I705" s="45"/>
      <c r="J705" s="45"/>
      <c r="K705" s="45"/>
      <c r="L705" s="45"/>
      <c r="M705" s="45"/>
      <c r="N705" s="45"/>
      <c r="O705" s="45"/>
      <c r="P705" s="45"/>
      <c r="Q705" s="45"/>
      <c r="R705" s="45"/>
      <c r="S705" s="45"/>
    </row>
    <row r="706">
      <c r="A706" s="78"/>
      <c r="B706" s="78"/>
      <c r="C706" s="78"/>
      <c r="D706" s="78"/>
      <c r="E706" s="78"/>
      <c r="F706" s="78"/>
      <c r="G706" s="78"/>
      <c r="H706" s="78"/>
      <c r="I706" s="45"/>
      <c r="J706" s="45"/>
      <c r="K706" s="45"/>
      <c r="L706" s="45"/>
      <c r="M706" s="45"/>
      <c r="N706" s="45"/>
      <c r="O706" s="45"/>
      <c r="P706" s="45"/>
      <c r="Q706" s="45"/>
      <c r="R706" s="45"/>
      <c r="S706" s="45"/>
    </row>
    <row r="707">
      <c r="A707" s="78"/>
      <c r="B707" s="78"/>
      <c r="C707" s="78"/>
      <c r="D707" s="78"/>
      <c r="E707" s="78"/>
      <c r="F707" s="78"/>
      <c r="G707" s="78"/>
      <c r="H707" s="78"/>
      <c r="I707" s="45"/>
      <c r="J707" s="45"/>
      <c r="K707" s="45"/>
      <c r="L707" s="45"/>
      <c r="M707" s="45"/>
      <c r="N707" s="45"/>
      <c r="O707" s="45"/>
      <c r="P707" s="45"/>
      <c r="Q707" s="45"/>
      <c r="R707" s="45"/>
      <c r="S707" s="45"/>
    </row>
    <row r="708">
      <c r="A708" s="78"/>
      <c r="B708" s="78"/>
      <c r="C708" s="78"/>
      <c r="D708" s="78"/>
      <c r="E708" s="78"/>
      <c r="F708" s="78"/>
      <c r="G708" s="78"/>
      <c r="H708" s="78"/>
      <c r="I708" s="45"/>
      <c r="J708" s="45"/>
      <c r="K708" s="45"/>
      <c r="L708" s="45"/>
      <c r="M708" s="45"/>
      <c r="N708" s="45"/>
      <c r="O708" s="45"/>
      <c r="P708" s="45"/>
      <c r="Q708" s="45"/>
      <c r="R708" s="45"/>
      <c r="S708" s="45"/>
    </row>
    <row r="709">
      <c r="A709" s="78"/>
      <c r="B709" s="78"/>
      <c r="C709" s="78"/>
      <c r="D709" s="78"/>
      <c r="E709" s="78"/>
      <c r="F709" s="78"/>
      <c r="G709" s="78"/>
      <c r="H709" s="78"/>
      <c r="I709" s="45"/>
      <c r="J709" s="45"/>
      <c r="K709" s="45"/>
      <c r="L709" s="45"/>
      <c r="M709" s="45"/>
      <c r="N709" s="45"/>
      <c r="O709" s="45"/>
      <c r="P709" s="45"/>
      <c r="Q709" s="45"/>
      <c r="R709" s="45"/>
      <c r="S709" s="45"/>
    </row>
    <row r="710">
      <c r="A710" s="78"/>
      <c r="B710" s="78"/>
      <c r="C710" s="78"/>
      <c r="D710" s="78"/>
      <c r="E710" s="78"/>
      <c r="F710" s="78"/>
      <c r="G710" s="78"/>
      <c r="H710" s="78"/>
      <c r="I710" s="45"/>
      <c r="J710" s="45"/>
      <c r="K710" s="45"/>
      <c r="L710" s="45"/>
      <c r="M710" s="45"/>
      <c r="N710" s="45"/>
      <c r="O710" s="45"/>
      <c r="P710" s="45"/>
      <c r="Q710" s="45"/>
      <c r="R710" s="45"/>
      <c r="S710" s="45"/>
    </row>
    <row r="711">
      <c r="A711" s="78"/>
      <c r="B711" s="78"/>
      <c r="C711" s="78"/>
      <c r="D711" s="78"/>
      <c r="E711" s="78"/>
      <c r="F711" s="78"/>
      <c r="G711" s="78"/>
      <c r="H711" s="78"/>
      <c r="I711" s="45"/>
      <c r="J711" s="45"/>
      <c r="K711" s="45"/>
      <c r="L711" s="45"/>
      <c r="M711" s="45"/>
      <c r="N711" s="45"/>
      <c r="O711" s="45"/>
      <c r="P711" s="45"/>
      <c r="Q711" s="45"/>
      <c r="R711" s="45"/>
      <c r="S711" s="45"/>
    </row>
    <row r="712">
      <c r="A712" s="78"/>
      <c r="B712" s="78"/>
      <c r="C712" s="78"/>
      <c r="D712" s="78"/>
      <c r="E712" s="78"/>
      <c r="F712" s="78"/>
      <c r="G712" s="78"/>
      <c r="H712" s="78"/>
      <c r="I712" s="45"/>
      <c r="J712" s="45"/>
      <c r="K712" s="45"/>
      <c r="L712" s="45"/>
      <c r="M712" s="45"/>
      <c r="N712" s="45"/>
      <c r="O712" s="45"/>
      <c r="P712" s="45"/>
      <c r="Q712" s="45"/>
      <c r="R712" s="45"/>
      <c r="S712" s="45"/>
    </row>
    <row r="713">
      <c r="A713" s="78"/>
      <c r="B713" s="78"/>
      <c r="C713" s="78"/>
      <c r="D713" s="78"/>
      <c r="E713" s="78"/>
      <c r="F713" s="78"/>
      <c r="G713" s="78"/>
      <c r="H713" s="78"/>
      <c r="I713" s="45"/>
      <c r="J713" s="45"/>
      <c r="K713" s="45"/>
      <c r="L713" s="45"/>
      <c r="M713" s="45"/>
      <c r="N713" s="45"/>
      <c r="O713" s="45"/>
      <c r="P713" s="45"/>
      <c r="Q713" s="45"/>
      <c r="R713" s="45"/>
      <c r="S713" s="45"/>
    </row>
    <row r="714">
      <c r="A714" s="78"/>
      <c r="B714" s="78"/>
      <c r="C714" s="78"/>
      <c r="D714" s="78"/>
      <c r="E714" s="78"/>
      <c r="F714" s="78"/>
      <c r="G714" s="78"/>
      <c r="H714" s="78"/>
      <c r="I714" s="45"/>
      <c r="J714" s="45"/>
      <c r="K714" s="45"/>
      <c r="L714" s="45"/>
      <c r="M714" s="45"/>
      <c r="N714" s="45"/>
      <c r="O714" s="45"/>
      <c r="P714" s="45"/>
      <c r="Q714" s="45"/>
      <c r="R714" s="45"/>
      <c r="S714" s="45"/>
    </row>
    <row r="715">
      <c r="A715" s="78"/>
      <c r="B715" s="78"/>
      <c r="C715" s="78"/>
      <c r="D715" s="78"/>
      <c r="E715" s="78"/>
      <c r="F715" s="78"/>
      <c r="G715" s="78"/>
      <c r="H715" s="78"/>
      <c r="I715" s="45"/>
      <c r="J715" s="45"/>
      <c r="K715" s="45"/>
      <c r="L715" s="45"/>
      <c r="M715" s="45"/>
      <c r="N715" s="45"/>
      <c r="O715" s="45"/>
      <c r="P715" s="45"/>
      <c r="Q715" s="45"/>
      <c r="R715" s="45"/>
      <c r="S715" s="45"/>
    </row>
    <row r="716">
      <c r="A716" s="78"/>
      <c r="B716" s="78"/>
      <c r="C716" s="78"/>
      <c r="D716" s="78"/>
      <c r="E716" s="78"/>
      <c r="F716" s="78"/>
      <c r="G716" s="78"/>
      <c r="H716" s="78"/>
      <c r="I716" s="45"/>
      <c r="J716" s="45"/>
      <c r="K716" s="45"/>
      <c r="L716" s="45"/>
      <c r="M716" s="45"/>
      <c r="N716" s="45"/>
      <c r="O716" s="45"/>
      <c r="P716" s="45"/>
      <c r="Q716" s="45"/>
      <c r="R716" s="45"/>
      <c r="S716" s="45"/>
    </row>
    <row r="717">
      <c r="A717" s="78"/>
      <c r="B717" s="78"/>
      <c r="C717" s="78"/>
      <c r="D717" s="78"/>
      <c r="E717" s="78"/>
      <c r="F717" s="78"/>
      <c r="G717" s="78"/>
      <c r="H717" s="78"/>
      <c r="I717" s="45"/>
      <c r="J717" s="45"/>
      <c r="K717" s="45"/>
      <c r="L717" s="45"/>
      <c r="M717" s="45"/>
      <c r="N717" s="45"/>
      <c r="O717" s="45"/>
      <c r="P717" s="45"/>
      <c r="Q717" s="45"/>
      <c r="R717" s="45"/>
      <c r="S717" s="45"/>
    </row>
    <row r="718">
      <c r="A718" s="78"/>
      <c r="B718" s="78"/>
      <c r="C718" s="78"/>
      <c r="D718" s="78"/>
      <c r="E718" s="78"/>
      <c r="F718" s="78"/>
      <c r="G718" s="78"/>
      <c r="H718" s="78"/>
      <c r="I718" s="45"/>
      <c r="J718" s="45"/>
      <c r="K718" s="45"/>
      <c r="L718" s="45"/>
      <c r="M718" s="45"/>
      <c r="N718" s="45"/>
      <c r="O718" s="45"/>
      <c r="P718" s="45"/>
      <c r="Q718" s="45"/>
      <c r="R718" s="45"/>
      <c r="S718" s="45"/>
    </row>
    <row r="719">
      <c r="A719" s="78"/>
      <c r="B719" s="78"/>
      <c r="C719" s="78"/>
      <c r="D719" s="78"/>
      <c r="E719" s="78"/>
      <c r="F719" s="78"/>
      <c r="G719" s="78"/>
      <c r="H719" s="78"/>
      <c r="I719" s="45"/>
      <c r="J719" s="45"/>
      <c r="K719" s="45"/>
      <c r="L719" s="45"/>
      <c r="M719" s="45"/>
      <c r="N719" s="45"/>
      <c r="O719" s="45"/>
      <c r="P719" s="45"/>
      <c r="Q719" s="45"/>
      <c r="R719" s="45"/>
      <c r="S719" s="45"/>
    </row>
    <row r="720">
      <c r="A720" s="78"/>
      <c r="B720" s="78"/>
      <c r="C720" s="78"/>
      <c r="D720" s="78"/>
      <c r="E720" s="78"/>
      <c r="F720" s="78"/>
      <c r="G720" s="78"/>
      <c r="H720" s="78"/>
      <c r="I720" s="45"/>
      <c r="J720" s="45"/>
      <c r="K720" s="45"/>
      <c r="L720" s="45"/>
      <c r="M720" s="45"/>
      <c r="N720" s="45"/>
      <c r="O720" s="45"/>
      <c r="P720" s="45"/>
      <c r="Q720" s="45"/>
      <c r="R720" s="45"/>
      <c r="S720" s="45"/>
    </row>
    <row r="721">
      <c r="A721" s="78"/>
      <c r="B721" s="78"/>
      <c r="C721" s="78"/>
      <c r="D721" s="78"/>
      <c r="E721" s="78"/>
      <c r="F721" s="78"/>
      <c r="G721" s="78"/>
      <c r="H721" s="78"/>
      <c r="I721" s="45"/>
      <c r="J721" s="45"/>
      <c r="K721" s="45"/>
      <c r="L721" s="45"/>
      <c r="M721" s="45"/>
      <c r="N721" s="45"/>
      <c r="O721" s="45"/>
      <c r="P721" s="45"/>
      <c r="Q721" s="45"/>
      <c r="R721" s="45"/>
      <c r="S721" s="45"/>
    </row>
    <row r="722">
      <c r="A722" s="78"/>
      <c r="B722" s="78"/>
      <c r="C722" s="78"/>
      <c r="D722" s="78"/>
      <c r="E722" s="78"/>
      <c r="F722" s="78"/>
      <c r="G722" s="78"/>
      <c r="H722" s="78"/>
      <c r="I722" s="45"/>
      <c r="J722" s="45"/>
      <c r="K722" s="45"/>
      <c r="L722" s="45"/>
      <c r="M722" s="45"/>
      <c r="N722" s="45"/>
      <c r="O722" s="45"/>
      <c r="P722" s="45"/>
      <c r="Q722" s="45"/>
      <c r="R722" s="45"/>
      <c r="S722" s="45"/>
    </row>
    <row r="723">
      <c r="A723" s="78"/>
      <c r="B723" s="78"/>
      <c r="C723" s="78"/>
      <c r="D723" s="78"/>
      <c r="E723" s="78"/>
      <c r="F723" s="78"/>
      <c r="G723" s="78"/>
      <c r="H723" s="78"/>
      <c r="I723" s="45"/>
      <c r="J723" s="45"/>
      <c r="K723" s="45"/>
      <c r="L723" s="45"/>
      <c r="M723" s="45"/>
      <c r="N723" s="45"/>
      <c r="O723" s="45"/>
      <c r="P723" s="45"/>
      <c r="Q723" s="45"/>
      <c r="R723" s="45"/>
      <c r="S723" s="45"/>
    </row>
    <row r="724">
      <c r="A724" s="78"/>
      <c r="B724" s="78"/>
      <c r="C724" s="78"/>
      <c r="D724" s="78"/>
      <c r="E724" s="78"/>
      <c r="F724" s="78"/>
      <c r="G724" s="78"/>
      <c r="H724" s="78"/>
      <c r="I724" s="45"/>
      <c r="J724" s="45"/>
      <c r="K724" s="45"/>
      <c r="L724" s="45"/>
      <c r="M724" s="45"/>
      <c r="N724" s="45"/>
      <c r="O724" s="45"/>
      <c r="P724" s="45"/>
      <c r="Q724" s="45"/>
      <c r="R724" s="45"/>
      <c r="S724" s="45"/>
    </row>
    <row r="725">
      <c r="A725" s="78"/>
      <c r="B725" s="78"/>
      <c r="C725" s="78"/>
      <c r="D725" s="78"/>
      <c r="E725" s="78"/>
      <c r="F725" s="78"/>
      <c r="G725" s="78"/>
      <c r="H725" s="78"/>
      <c r="I725" s="45"/>
      <c r="J725" s="45"/>
      <c r="K725" s="45"/>
      <c r="L725" s="45"/>
      <c r="M725" s="45"/>
      <c r="N725" s="45"/>
      <c r="O725" s="45"/>
      <c r="P725" s="45"/>
      <c r="Q725" s="45"/>
      <c r="R725" s="45"/>
      <c r="S725" s="45"/>
    </row>
    <row r="726">
      <c r="A726" s="78"/>
      <c r="B726" s="78"/>
      <c r="C726" s="78"/>
      <c r="D726" s="78"/>
      <c r="E726" s="78"/>
      <c r="F726" s="78"/>
      <c r="G726" s="78"/>
      <c r="H726" s="78"/>
      <c r="I726" s="45"/>
      <c r="J726" s="45"/>
      <c r="K726" s="45"/>
      <c r="L726" s="45"/>
      <c r="M726" s="45"/>
      <c r="N726" s="45"/>
      <c r="O726" s="45"/>
      <c r="P726" s="45"/>
      <c r="Q726" s="45"/>
      <c r="R726" s="45"/>
      <c r="S726" s="45"/>
    </row>
    <row r="727">
      <c r="A727" s="78"/>
      <c r="B727" s="78"/>
      <c r="C727" s="78"/>
      <c r="D727" s="78"/>
      <c r="E727" s="78"/>
      <c r="F727" s="78"/>
      <c r="G727" s="78"/>
      <c r="H727" s="78"/>
      <c r="I727" s="45"/>
      <c r="J727" s="45"/>
      <c r="K727" s="45"/>
      <c r="L727" s="45"/>
      <c r="M727" s="45"/>
      <c r="N727" s="45"/>
      <c r="O727" s="45"/>
      <c r="P727" s="45"/>
      <c r="Q727" s="45"/>
      <c r="R727" s="45"/>
      <c r="S727" s="45"/>
    </row>
    <row r="728">
      <c r="A728" s="78"/>
      <c r="B728" s="78"/>
      <c r="C728" s="78"/>
      <c r="D728" s="78"/>
      <c r="E728" s="78"/>
      <c r="F728" s="78"/>
      <c r="G728" s="78"/>
      <c r="H728" s="78"/>
      <c r="I728" s="45"/>
      <c r="J728" s="45"/>
      <c r="K728" s="45"/>
      <c r="L728" s="45"/>
      <c r="M728" s="45"/>
      <c r="N728" s="45"/>
      <c r="O728" s="45"/>
      <c r="P728" s="45"/>
      <c r="Q728" s="45"/>
      <c r="R728" s="45"/>
      <c r="S728" s="45"/>
    </row>
    <row r="729">
      <c r="A729" s="78"/>
      <c r="B729" s="78"/>
      <c r="C729" s="78"/>
      <c r="D729" s="78"/>
      <c r="E729" s="78"/>
      <c r="F729" s="78"/>
      <c r="G729" s="78"/>
      <c r="H729" s="78"/>
      <c r="I729" s="45"/>
      <c r="J729" s="45"/>
      <c r="K729" s="45"/>
      <c r="L729" s="45"/>
      <c r="M729" s="45"/>
      <c r="N729" s="45"/>
      <c r="O729" s="45"/>
      <c r="P729" s="45"/>
      <c r="Q729" s="45"/>
      <c r="R729" s="45"/>
      <c r="S729" s="45"/>
    </row>
    <row r="730">
      <c r="A730" s="78"/>
      <c r="B730" s="78"/>
      <c r="C730" s="78"/>
      <c r="D730" s="78"/>
      <c r="E730" s="78"/>
      <c r="F730" s="78"/>
      <c r="G730" s="78"/>
      <c r="H730" s="78"/>
      <c r="I730" s="45"/>
      <c r="J730" s="45"/>
      <c r="K730" s="45"/>
      <c r="L730" s="45"/>
      <c r="M730" s="45"/>
      <c r="N730" s="45"/>
      <c r="O730" s="45"/>
      <c r="P730" s="45"/>
      <c r="Q730" s="45"/>
      <c r="R730" s="45"/>
      <c r="S730" s="45"/>
    </row>
    <row r="731">
      <c r="A731" s="78"/>
      <c r="B731" s="78"/>
      <c r="C731" s="78"/>
      <c r="D731" s="78"/>
      <c r="E731" s="78"/>
      <c r="F731" s="78"/>
      <c r="G731" s="78"/>
      <c r="H731" s="78"/>
      <c r="I731" s="45"/>
      <c r="J731" s="45"/>
      <c r="K731" s="45"/>
      <c r="L731" s="45"/>
      <c r="M731" s="45"/>
      <c r="N731" s="45"/>
      <c r="O731" s="45"/>
      <c r="P731" s="45"/>
      <c r="Q731" s="45"/>
      <c r="R731" s="45"/>
      <c r="S731" s="45"/>
    </row>
    <row r="732">
      <c r="A732" s="78"/>
      <c r="B732" s="78"/>
      <c r="C732" s="78"/>
      <c r="D732" s="78"/>
      <c r="E732" s="78"/>
      <c r="F732" s="78"/>
      <c r="G732" s="78"/>
      <c r="H732" s="78"/>
      <c r="I732" s="45"/>
      <c r="J732" s="45"/>
      <c r="K732" s="45"/>
      <c r="L732" s="45"/>
      <c r="M732" s="45"/>
      <c r="N732" s="45"/>
      <c r="O732" s="45"/>
      <c r="P732" s="45"/>
      <c r="Q732" s="45"/>
      <c r="R732" s="45"/>
      <c r="S732" s="45"/>
    </row>
    <row r="733">
      <c r="A733" s="78"/>
      <c r="B733" s="78"/>
      <c r="C733" s="78"/>
      <c r="D733" s="78"/>
      <c r="E733" s="78"/>
      <c r="F733" s="78"/>
      <c r="G733" s="78"/>
      <c r="H733" s="78"/>
      <c r="I733" s="45"/>
      <c r="J733" s="45"/>
      <c r="K733" s="45"/>
      <c r="L733" s="45"/>
      <c r="M733" s="45"/>
      <c r="N733" s="45"/>
      <c r="O733" s="45"/>
      <c r="P733" s="45"/>
      <c r="Q733" s="45"/>
      <c r="R733" s="45"/>
      <c r="S733" s="45"/>
    </row>
    <row r="734">
      <c r="A734" s="78"/>
      <c r="B734" s="78"/>
      <c r="C734" s="78"/>
      <c r="D734" s="78"/>
      <c r="E734" s="78"/>
      <c r="F734" s="78"/>
      <c r="G734" s="78"/>
      <c r="H734" s="78"/>
      <c r="I734" s="45"/>
      <c r="J734" s="45"/>
      <c r="K734" s="45"/>
      <c r="L734" s="45"/>
      <c r="M734" s="45"/>
      <c r="N734" s="45"/>
      <c r="O734" s="45"/>
      <c r="P734" s="45"/>
      <c r="Q734" s="45"/>
      <c r="R734" s="45"/>
      <c r="S734" s="45"/>
    </row>
    <row r="735">
      <c r="A735" s="78"/>
      <c r="B735" s="78"/>
      <c r="C735" s="78"/>
      <c r="D735" s="78"/>
      <c r="E735" s="78"/>
      <c r="F735" s="78"/>
      <c r="G735" s="78"/>
      <c r="H735" s="78"/>
      <c r="I735" s="45"/>
      <c r="J735" s="45"/>
      <c r="K735" s="45"/>
      <c r="L735" s="45"/>
      <c r="M735" s="45"/>
      <c r="N735" s="45"/>
      <c r="O735" s="45"/>
      <c r="P735" s="45"/>
      <c r="Q735" s="45"/>
      <c r="R735" s="45"/>
      <c r="S735" s="45"/>
    </row>
    <row r="736">
      <c r="A736" s="78"/>
      <c r="B736" s="78"/>
      <c r="C736" s="78"/>
      <c r="D736" s="78"/>
      <c r="E736" s="78"/>
      <c r="F736" s="78"/>
      <c r="G736" s="78"/>
      <c r="H736" s="78"/>
      <c r="I736" s="45"/>
      <c r="J736" s="45"/>
      <c r="K736" s="45"/>
      <c r="L736" s="45"/>
      <c r="M736" s="45"/>
      <c r="N736" s="45"/>
      <c r="O736" s="45"/>
      <c r="P736" s="45"/>
      <c r="Q736" s="45"/>
      <c r="R736" s="45"/>
      <c r="S736" s="45"/>
    </row>
    <row r="737">
      <c r="A737" s="78"/>
      <c r="B737" s="78"/>
      <c r="C737" s="78"/>
      <c r="D737" s="78"/>
      <c r="E737" s="78"/>
      <c r="F737" s="78"/>
      <c r="G737" s="78"/>
      <c r="H737" s="78"/>
      <c r="I737" s="45"/>
      <c r="J737" s="45"/>
      <c r="K737" s="45"/>
      <c r="L737" s="45"/>
      <c r="M737" s="45"/>
      <c r="N737" s="45"/>
      <c r="O737" s="45"/>
      <c r="P737" s="45"/>
      <c r="Q737" s="45"/>
      <c r="R737" s="45"/>
      <c r="S737" s="45"/>
    </row>
    <row r="738">
      <c r="A738" s="78"/>
      <c r="B738" s="78"/>
      <c r="C738" s="78"/>
      <c r="D738" s="78"/>
      <c r="E738" s="78"/>
      <c r="F738" s="78"/>
      <c r="G738" s="78"/>
      <c r="H738" s="78"/>
      <c r="I738" s="45"/>
      <c r="J738" s="45"/>
      <c r="K738" s="45"/>
      <c r="L738" s="45"/>
      <c r="M738" s="45"/>
      <c r="N738" s="45"/>
      <c r="O738" s="45"/>
      <c r="P738" s="45"/>
      <c r="Q738" s="45"/>
      <c r="R738" s="45"/>
      <c r="S738" s="45"/>
    </row>
    <row r="739">
      <c r="A739" s="78"/>
      <c r="B739" s="78"/>
      <c r="C739" s="78"/>
      <c r="D739" s="78"/>
      <c r="E739" s="78"/>
      <c r="F739" s="78"/>
      <c r="G739" s="78"/>
      <c r="H739" s="78"/>
      <c r="I739" s="45"/>
      <c r="J739" s="45"/>
      <c r="K739" s="45"/>
      <c r="L739" s="45"/>
      <c r="M739" s="45"/>
      <c r="N739" s="45"/>
      <c r="O739" s="45"/>
      <c r="P739" s="45"/>
      <c r="Q739" s="45"/>
      <c r="R739" s="45"/>
      <c r="S739" s="45"/>
    </row>
    <row r="740">
      <c r="A740" s="78"/>
      <c r="B740" s="78"/>
      <c r="C740" s="78"/>
      <c r="D740" s="78"/>
      <c r="E740" s="78"/>
      <c r="F740" s="78"/>
      <c r="G740" s="78"/>
      <c r="H740" s="78"/>
      <c r="I740" s="45"/>
      <c r="J740" s="45"/>
      <c r="K740" s="45"/>
      <c r="L740" s="45"/>
      <c r="M740" s="45"/>
      <c r="N740" s="45"/>
      <c r="O740" s="45"/>
      <c r="P740" s="45"/>
      <c r="Q740" s="45"/>
      <c r="R740" s="45"/>
      <c r="S740" s="45"/>
    </row>
    <row r="741">
      <c r="A741" s="78"/>
      <c r="B741" s="78"/>
      <c r="C741" s="78"/>
      <c r="D741" s="78"/>
      <c r="E741" s="78"/>
      <c r="F741" s="78"/>
      <c r="G741" s="78"/>
      <c r="H741" s="78"/>
      <c r="I741" s="45"/>
      <c r="J741" s="45"/>
      <c r="K741" s="45"/>
      <c r="L741" s="45"/>
      <c r="M741" s="45"/>
      <c r="N741" s="45"/>
      <c r="O741" s="45"/>
      <c r="P741" s="45"/>
      <c r="Q741" s="45"/>
      <c r="R741" s="45"/>
      <c r="S741" s="45"/>
    </row>
    <row r="742">
      <c r="A742" s="78"/>
      <c r="B742" s="78"/>
      <c r="C742" s="78"/>
      <c r="D742" s="78"/>
      <c r="E742" s="78"/>
      <c r="F742" s="78"/>
      <c r="G742" s="78"/>
      <c r="H742" s="78"/>
      <c r="I742" s="45"/>
      <c r="J742" s="45"/>
      <c r="K742" s="45"/>
      <c r="L742" s="45"/>
      <c r="M742" s="45"/>
      <c r="N742" s="45"/>
      <c r="O742" s="45"/>
      <c r="P742" s="45"/>
      <c r="Q742" s="45"/>
      <c r="R742" s="45"/>
      <c r="S742" s="45"/>
    </row>
    <row r="743">
      <c r="A743" s="78"/>
      <c r="B743" s="78"/>
      <c r="C743" s="78"/>
      <c r="D743" s="78"/>
      <c r="E743" s="78"/>
      <c r="F743" s="78"/>
      <c r="G743" s="78"/>
      <c r="H743" s="78"/>
      <c r="I743" s="45"/>
      <c r="J743" s="45"/>
      <c r="K743" s="45"/>
      <c r="L743" s="45"/>
      <c r="M743" s="45"/>
      <c r="N743" s="45"/>
      <c r="O743" s="45"/>
      <c r="P743" s="45"/>
      <c r="Q743" s="45"/>
      <c r="R743" s="45"/>
      <c r="S743" s="45"/>
    </row>
    <row r="744">
      <c r="A744" s="78"/>
      <c r="B744" s="78"/>
      <c r="C744" s="78"/>
      <c r="D744" s="78"/>
      <c r="E744" s="78"/>
      <c r="F744" s="78"/>
      <c r="G744" s="78"/>
      <c r="H744" s="78"/>
      <c r="I744" s="45"/>
      <c r="J744" s="45"/>
      <c r="K744" s="45"/>
      <c r="L744" s="45"/>
      <c r="M744" s="45"/>
      <c r="N744" s="45"/>
      <c r="O744" s="45"/>
      <c r="P744" s="45"/>
      <c r="Q744" s="45"/>
      <c r="R744" s="45"/>
      <c r="S744" s="45"/>
    </row>
    <row r="745">
      <c r="A745" s="78"/>
      <c r="B745" s="78"/>
      <c r="C745" s="78"/>
      <c r="D745" s="78"/>
      <c r="E745" s="78"/>
      <c r="F745" s="78"/>
      <c r="G745" s="78"/>
      <c r="H745" s="78"/>
      <c r="I745" s="45"/>
      <c r="J745" s="45"/>
      <c r="K745" s="45"/>
      <c r="L745" s="45"/>
      <c r="M745" s="45"/>
      <c r="N745" s="45"/>
      <c r="O745" s="45"/>
      <c r="P745" s="45"/>
      <c r="Q745" s="45"/>
      <c r="R745" s="45"/>
      <c r="S745" s="45"/>
    </row>
    <row r="746">
      <c r="A746" s="78"/>
      <c r="B746" s="78"/>
      <c r="C746" s="78"/>
      <c r="D746" s="78"/>
      <c r="E746" s="78"/>
      <c r="F746" s="78"/>
      <c r="G746" s="78"/>
      <c r="H746" s="78"/>
      <c r="I746" s="45"/>
      <c r="J746" s="45"/>
      <c r="K746" s="45"/>
      <c r="L746" s="45"/>
      <c r="M746" s="45"/>
      <c r="N746" s="45"/>
      <c r="O746" s="45"/>
      <c r="P746" s="45"/>
      <c r="Q746" s="45"/>
      <c r="R746" s="45"/>
      <c r="S746" s="45"/>
    </row>
    <row r="747">
      <c r="A747" s="78"/>
      <c r="B747" s="78"/>
      <c r="C747" s="78"/>
      <c r="D747" s="78"/>
      <c r="E747" s="78"/>
      <c r="F747" s="78"/>
      <c r="G747" s="78"/>
      <c r="H747" s="78"/>
      <c r="I747" s="45"/>
      <c r="J747" s="45"/>
      <c r="K747" s="45"/>
      <c r="L747" s="45"/>
      <c r="M747" s="45"/>
      <c r="N747" s="45"/>
      <c r="O747" s="45"/>
      <c r="P747" s="45"/>
      <c r="Q747" s="45"/>
      <c r="R747" s="45"/>
      <c r="S747" s="45"/>
    </row>
    <row r="748">
      <c r="A748" s="78"/>
      <c r="B748" s="78"/>
      <c r="C748" s="78"/>
      <c r="D748" s="78"/>
      <c r="E748" s="78"/>
      <c r="F748" s="78"/>
      <c r="G748" s="78"/>
      <c r="H748" s="78"/>
      <c r="I748" s="45"/>
      <c r="J748" s="45"/>
      <c r="K748" s="45"/>
      <c r="L748" s="45"/>
      <c r="M748" s="45"/>
      <c r="N748" s="45"/>
      <c r="O748" s="45"/>
      <c r="P748" s="45"/>
      <c r="Q748" s="45"/>
      <c r="R748" s="45"/>
      <c r="S748" s="45"/>
    </row>
    <row r="749">
      <c r="A749" s="78"/>
      <c r="B749" s="78"/>
      <c r="C749" s="78"/>
      <c r="D749" s="78"/>
      <c r="E749" s="78"/>
      <c r="F749" s="78"/>
      <c r="G749" s="78"/>
      <c r="H749" s="78"/>
      <c r="I749" s="45"/>
      <c r="J749" s="45"/>
      <c r="K749" s="45"/>
      <c r="L749" s="45"/>
      <c r="M749" s="45"/>
      <c r="N749" s="45"/>
      <c r="O749" s="45"/>
      <c r="P749" s="45"/>
      <c r="Q749" s="45"/>
      <c r="R749" s="45"/>
      <c r="S749" s="45"/>
    </row>
    <row r="750">
      <c r="A750" s="78"/>
      <c r="B750" s="78"/>
      <c r="C750" s="78"/>
      <c r="D750" s="78"/>
      <c r="E750" s="78"/>
      <c r="F750" s="78"/>
      <c r="G750" s="78"/>
      <c r="H750" s="78"/>
      <c r="I750" s="45"/>
      <c r="J750" s="45"/>
      <c r="K750" s="45"/>
      <c r="L750" s="45"/>
      <c r="M750" s="45"/>
      <c r="N750" s="45"/>
      <c r="O750" s="45"/>
      <c r="P750" s="45"/>
      <c r="Q750" s="45"/>
      <c r="R750" s="45"/>
      <c r="S750" s="45"/>
    </row>
    <row r="751">
      <c r="A751" s="78"/>
      <c r="B751" s="78"/>
      <c r="C751" s="78"/>
      <c r="D751" s="78"/>
      <c r="E751" s="78"/>
      <c r="F751" s="78"/>
      <c r="G751" s="78"/>
      <c r="H751" s="78"/>
      <c r="I751" s="45"/>
      <c r="J751" s="45"/>
      <c r="K751" s="45"/>
      <c r="L751" s="45"/>
      <c r="M751" s="45"/>
      <c r="N751" s="45"/>
      <c r="O751" s="45"/>
      <c r="P751" s="45"/>
      <c r="Q751" s="45"/>
      <c r="R751" s="45"/>
      <c r="S751" s="45"/>
    </row>
    <row r="752">
      <c r="A752" s="78"/>
      <c r="B752" s="78"/>
      <c r="C752" s="78"/>
      <c r="D752" s="78"/>
      <c r="E752" s="78"/>
      <c r="F752" s="78"/>
      <c r="G752" s="78"/>
      <c r="H752" s="78"/>
      <c r="I752" s="45"/>
      <c r="J752" s="45"/>
      <c r="K752" s="45"/>
      <c r="L752" s="45"/>
      <c r="M752" s="45"/>
      <c r="N752" s="45"/>
      <c r="O752" s="45"/>
      <c r="P752" s="45"/>
      <c r="Q752" s="45"/>
      <c r="R752" s="45"/>
      <c r="S752" s="45"/>
    </row>
    <row r="753">
      <c r="A753" s="78"/>
      <c r="B753" s="78"/>
      <c r="C753" s="78"/>
      <c r="D753" s="78"/>
      <c r="E753" s="78"/>
      <c r="F753" s="78"/>
      <c r="G753" s="78"/>
      <c r="H753" s="78"/>
      <c r="I753" s="45"/>
      <c r="J753" s="45"/>
      <c r="K753" s="45"/>
      <c r="L753" s="45"/>
      <c r="M753" s="45"/>
      <c r="N753" s="45"/>
      <c r="O753" s="45"/>
      <c r="P753" s="45"/>
      <c r="Q753" s="45"/>
      <c r="R753" s="45"/>
      <c r="S753" s="45"/>
    </row>
    <row r="754">
      <c r="A754" s="78"/>
      <c r="B754" s="78"/>
      <c r="C754" s="78"/>
      <c r="D754" s="78"/>
      <c r="E754" s="78"/>
      <c r="F754" s="78"/>
      <c r="G754" s="78"/>
      <c r="H754" s="78"/>
      <c r="I754" s="45"/>
      <c r="J754" s="45"/>
      <c r="K754" s="45"/>
      <c r="L754" s="45"/>
      <c r="M754" s="45"/>
      <c r="N754" s="45"/>
      <c r="O754" s="45"/>
      <c r="P754" s="45"/>
      <c r="Q754" s="45"/>
      <c r="R754" s="45"/>
      <c r="S754" s="45"/>
    </row>
    <row r="755">
      <c r="A755" s="78"/>
      <c r="B755" s="78"/>
      <c r="C755" s="78"/>
      <c r="D755" s="78"/>
      <c r="E755" s="78"/>
      <c r="F755" s="78"/>
      <c r="G755" s="78"/>
      <c r="H755" s="78"/>
      <c r="I755" s="45"/>
      <c r="J755" s="45"/>
      <c r="K755" s="45"/>
      <c r="L755" s="45"/>
      <c r="M755" s="45"/>
      <c r="N755" s="45"/>
      <c r="O755" s="45"/>
      <c r="P755" s="45"/>
      <c r="Q755" s="45"/>
      <c r="R755" s="45"/>
      <c r="S755" s="45"/>
    </row>
    <row r="756">
      <c r="A756" s="78"/>
      <c r="B756" s="78"/>
      <c r="C756" s="78"/>
      <c r="D756" s="78"/>
      <c r="E756" s="78"/>
      <c r="F756" s="78"/>
      <c r="G756" s="78"/>
      <c r="H756" s="78"/>
      <c r="I756" s="45"/>
      <c r="J756" s="45"/>
      <c r="K756" s="45"/>
      <c r="L756" s="45"/>
      <c r="M756" s="45"/>
      <c r="N756" s="45"/>
      <c r="O756" s="45"/>
      <c r="P756" s="45"/>
      <c r="Q756" s="45"/>
      <c r="R756" s="45"/>
      <c r="S756" s="45"/>
    </row>
    <row r="757">
      <c r="A757" s="78"/>
      <c r="B757" s="78"/>
      <c r="C757" s="78"/>
      <c r="D757" s="78"/>
      <c r="E757" s="78"/>
      <c r="F757" s="78"/>
      <c r="G757" s="78"/>
      <c r="H757" s="78"/>
      <c r="I757" s="45"/>
      <c r="J757" s="45"/>
      <c r="K757" s="45"/>
      <c r="L757" s="45"/>
      <c r="M757" s="45"/>
      <c r="N757" s="45"/>
      <c r="O757" s="45"/>
      <c r="P757" s="45"/>
      <c r="Q757" s="45"/>
      <c r="R757" s="45"/>
      <c r="S757" s="45"/>
    </row>
    <row r="758">
      <c r="A758" s="78"/>
      <c r="B758" s="78"/>
      <c r="C758" s="78"/>
      <c r="D758" s="78"/>
      <c r="E758" s="78"/>
      <c r="F758" s="78"/>
      <c r="G758" s="78"/>
      <c r="H758" s="78"/>
      <c r="I758" s="45"/>
      <c r="J758" s="45"/>
      <c r="K758" s="45"/>
      <c r="L758" s="45"/>
      <c r="M758" s="45"/>
      <c r="N758" s="45"/>
      <c r="O758" s="45"/>
      <c r="P758" s="45"/>
      <c r="Q758" s="45"/>
      <c r="R758" s="45"/>
      <c r="S758" s="45"/>
    </row>
    <row r="759">
      <c r="A759" s="78"/>
      <c r="B759" s="78"/>
      <c r="C759" s="78"/>
      <c r="D759" s="78"/>
      <c r="E759" s="78"/>
      <c r="F759" s="78"/>
      <c r="G759" s="78"/>
      <c r="H759" s="78"/>
      <c r="I759" s="45"/>
      <c r="J759" s="45"/>
      <c r="K759" s="45"/>
      <c r="L759" s="45"/>
      <c r="M759" s="45"/>
      <c r="N759" s="45"/>
      <c r="O759" s="45"/>
      <c r="P759" s="45"/>
      <c r="Q759" s="45"/>
      <c r="R759" s="45"/>
      <c r="S759" s="45"/>
    </row>
    <row r="760">
      <c r="A760" s="78"/>
      <c r="B760" s="78"/>
      <c r="C760" s="78"/>
      <c r="D760" s="78"/>
      <c r="E760" s="78"/>
      <c r="F760" s="78"/>
      <c r="G760" s="78"/>
      <c r="H760" s="78"/>
      <c r="I760" s="45"/>
      <c r="J760" s="45"/>
      <c r="K760" s="45"/>
      <c r="L760" s="45"/>
      <c r="M760" s="45"/>
      <c r="N760" s="45"/>
      <c r="O760" s="45"/>
      <c r="P760" s="45"/>
      <c r="Q760" s="45"/>
      <c r="R760" s="45"/>
      <c r="S760" s="45"/>
    </row>
    <row r="761">
      <c r="A761" s="78"/>
      <c r="B761" s="78"/>
      <c r="C761" s="78"/>
      <c r="D761" s="78"/>
      <c r="E761" s="78"/>
      <c r="F761" s="78"/>
      <c r="G761" s="78"/>
      <c r="H761" s="78"/>
      <c r="I761" s="45"/>
      <c r="J761" s="45"/>
      <c r="K761" s="45"/>
      <c r="L761" s="45"/>
      <c r="M761" s="45"/>
      <c r="N761" s="45"/>
      <c r="O761" s="45"/>
      <c r="P761" s="45"/>
      <c r="Q761" s="45"/>
      <c r="R761" s="45"/>
      <c r="S761" s="45"/>
    </row>
    <row r="762">
      <c r="A762" s="78"/>
      <c r="B762" s="78"/>
      <c r="C762" s="78"/>
      <c r="D762" s="78"/>
      <c r="E762" s="78"/>
      <c r="F762" s="78"/>
      <c r="G762" s="78"/>
      <c r="H762" s="78"/>
      <c r="I762" s="45"/>
      <c r="J762" s="45"/>
      <c r="K762" s="45"/>
      <c r="L762" s="45"/>
      <c r="M762" s="45"/>
      <c r="N762" s="45"/>
      <c r="O762" s="45"/>
      <c r="P762" s="45"/>
      <c r="Q762" s="45"/>
      <c r="R762" s="45"/>
      <c r="S762" s="45"/>
    </row>
    <row r="763">
      <c r="A763" s="78"/>
      <c r="B763" s="78"/>
      <c r="C763" s="78"/>
      <c r="D763" s="78"/>
      <c r="E763" s="78"/>
      <c r="F763" s="78"/>
      <c r="G763" s="78"/>
      <c r="H763" s="78"/>
      <c r="I763" s="45"/>
      <c r="J763" s="45"/>
      <c r="K763" s="45"/>
      <c r="L763" s="45"/>
      <c r="M763" s="45"/>
      <c r="N763" s="45"/>
      <c r="O763" s="45"/>
      <c r="P763" s="45"/>
      <c r="Q763" s="45"/>
      <c r="R763" s="45"/>
      <c r="S763" s="45"/>
    </row>
    <row r="764">
      <c r="A764" s="78"/>
      <c r="B764" s="78"/>
      <c r="C764" s="78"/>
      <c r="D764" s="78"/>
      <c r="E764" s="78"/>
      <c r="F764" s="78"/>
      <c r="G764" s="78"/>
      <c r="H764" s="78"/>
      <c r="I764" s="45"/>
      <c r="J764" s="45"/>
      <c r="K764" s="45"/>
      <c r="L764" s="45"/>
      <c r="M764" s="45"/>
      <c r="N764" s="45"/>
      <c r="O764" s="45"/>
      <c r="P764" s="45"/>
      <c r="Q764" s="45"/>
      <c r="R764" s="45"/>
      <c r="S764" s="45"/>
    </row>
    <row r="765">
      <c r="A765" s="78"/>
      <c r="B765" s="78"/>
      <c r="C765" s="78"/>
      <c r="D765" s="78"/>
      <c r="E765" s="78"/>
      <c r="F765" s="78"/>
      <c r="G765" s="78"/>
      <c r="H765" s="78"/>
      <c r="I765" s="45"/>
      <c r="J765" s="45"/>
      <c r="K765" s="45"/>
      <c r="L765" s="45"/>
      <c r="M765" s="45"/>
      <c r="N765" s="45"/>
      <c r="O765" s="45"/>
      <c r="P765" s="45"/>
      <c r="Q765" s="45"/>
      <c r="R765" s="45"/>
      <c r="S765" s="45"/>
    </row>
    <row r="766">
      <c r="A766" s="78"/>
      <c r="B766" s="78"/>
      <c r="C766" s="78"/>
      <c r="D766" s="78"/>
      <c r="E766" s="78"/>
      <c r="F766" s="78"/>
      <c r="G766" s="78"/>
      <c r="H766" s="78"/>
      <c r="I766" s="45"/>
      <c r="J766" s="45"/>
      <c r="K766" s="45"/>
      <c r="L766" s="45"/>
      <c r="M766" s="45"/>
      <c r="N766" s="45"/>
      <c r="O766" s="45"/>
      <c r="P766" s="45"/>
      <c r="Q766" s="45"/>
      <c r="R766" s="45"/>
      <c r="S766" s="45"/>
    </row>
    <row r="767">
      <c r="A767" s="78"/>
      <c r="B767" s="78"/>
      <c r="C767" s="78"/>
      <c r="D767" s="78"/>
      <c r="E767" s="78"/>
      <c r="F767" s="78"/>
      <c r="G767" s="78"/>
      <c r="H767" s="78"/>
      <c r="I767" s="45"/>
      <c r="J767" s="45"/>
      <c r="K767" s="45"/>
      <c r="L767" s="45"/>
      <c r="M767" s="45"/>
      <c r="N767" s="45"/>
      <c r="O767" s="45"/>
      <c r="P767" s="45"/>
      <c r="Q767" s="45"/>
      <c r="R767" s="45"/>
      <c r="S767" s="45"/>
    </row>
    <row r="768">
      <c r="A768" s="78"/>
      <c r="B768" s="78"/>
      <c r="C768" s="78"/>
      <c r="D768" s="78"/>
      <c r="E768" s="78"/>
      <c r="F768" s="78"/>
      <c r="G768" s="78"/>
      <c r="H768" s="78"/>
      <c r="I768" s="45"/>
      <c r="J768" s="45"/>
      <c r="K768" s="45"/>
      <c r="L768" s="45"/>
      <c r="M768" s="45"/>
      <c r="N768" s="45"/>
      <c r="O768" s="45"/>
      <c r="P768" s="45"/>
      <c r="Q768" s="45"/>
      <c r="R768" s="45"/>
      <c r="S768" s="45"/>
    </row>
    <row r="769">
      <c r="A769" s="78"/>
      <c r="B769" s="78"/>
      <c r="C769" s="78"/>
      <c r="D769" s="78"/>
      <c r="E769" s="78"/>
      <c r="F769" s="78"/>
      <c r="G769" s="78"/>
      <c r="H769" s="78"/>
      <c r="I769" s="45"/>
      <c r="J769" s="45"/>
      <c r="K769" s="45"/>
      <c r="L769" s="45"/>
      <c r="M769" s="45"/>
      <c r="N769" s="45"/>
      <c r="O769" s="45"/>
      <c r="P769" s="45"/>
      <c r="Q769" s="45"/>
      <c r="R769" s="45"/>
      <c r="S769" s="45"/>
    </row>
    <row r="770">
      <c r="A770" s="78"/>
      <c r="B770" s="78"/>
      <c r="C770" s="78"/>
      <c r="D770" s="78"/>
      <c r="E770" s="78"/>
      <c r="F770" s="78"/>
      <c r="G770" s="78"/>
      <c r="H770" s="78"/>
      <c r="I770" s="45"/>
      <c r="J770" s="45"/>
      <c r="K770" s="45"/>
      <c r="L770" s="45"/>
      <c r="M770" s="45"/>
      <c r="N770" s="45"/>
      <c r="O770" s="45"/>
      <c r="P770" s="45"/>
      <c r="Q770" s="45"/>
      <c r="R770" s="45"/>
      <c r="S770" s="45"/>
    </row>
    <row r="771">
      <c r="A771" s="78"/>
      <c r="B771" s="78"/>
      <c r="C771" s="78"/>
      <c r="D771" s="78"/>
      <c r="E771" s="78"/>
      <c r="F771" s="78"/>
      <c r="G771" s="78"/>
      <c r="H771" s="78"/>
      <c r="I771" s="45"/>
      <c r="J771" s="45"/>
      <c r="K771" s="45"/>
      <c r="L771" s="45"/>
      <c r="M771" s="45"/>
      <c r="N771" s="45"/>
      <c r="O771" s="45"/>
      <c r="P771" s="45"/>
      <c r="Q771" s="45"/>
      <c r="R771" s="45"/>
      <c r="S771" s="45"/>
    </row>
    <row r="772">
      <c r="A772" s="78"/>
      <c r="B772" s="78"/>
      <c r="C772" s="78"/>
      <c r="D772" s="78"/>
      <c r="E772" s="78"/>
      <c r="F772" s="78"/>
      <c r="G772" s="78"/>
      <c r="H772" s="78"/>
      <c r="I772" s="45"/>
      <c r="J772" s="45"/>
      <c r="K772" s="45"/>
      <c r="L772" s="45"/>
      <c r="M772" s="45"/>
      <c r="N772" s="45"/>
      <c r="O772" s="45"/>
      <c r="P772" s="45"/>
      <c r="Q772" s="45"/>
      <c r="R772" s="45"/>
      <c r="S772" s="45"/>
    </row>
    <row r="773">
      <c r="A773" s="78"/>
      <c r="B773" s="78"/>
      <c r="C773" s="78"/>
      <c r="D773" s="78"/>
      <c r="E773" s="78"/>
      <c r="F773" s="78"/>
      <c r="G773" s="78"/>
      <c r="H773" s="78"/>
      <c r="I773" s="45"/>
      <c r="J773" s="45"/>
      <c r="K773" s="45"/>
      <c r="L773" s="45"/>
      <c r="M773" s="45"/>
      <c r="N773" s="45"/>
      <c r="O773" s="45"/>
      <c r="P773" s="45"/>
      <c r="Q773" s="45"/>
      <c r="R773" s="45"/>
      <c r="S773" s="45"/>
    </row>
    <row r="774">
      <c r="A774" s="78"/>
      <c r="B774" s="78"/>
      <c r="C774" s="78"/>
      <c r="D774" s="78"/>
      <c r="E774" s="78"/>
      <c r="F774" s="78"/>
      <c r="G774" s="78"/>
      <c r="H774" s="78"/>
      <c r="I774" s="45"/>
      <c r="J774" s="45"/>
      <c r="K774" s="45"/>
      <c r="L774" s="45"/>
      <c r="M774" s="45"/>
      <c r="N774" s="45"/>
      <c r="O774" s="45"/>
      <c r="P774" s="45"/>
      <c r="Q774" s="45"/>
      <c r="R774" s="45"/>
      <c r="S774" s="45"/>
    </row>
    <row r="775">
      <c r="A775" s="78"/>
      <c r="B775" s="78"/>
      <c r="C775" s="78"/>
      <c r="D775" s="78"/>
      <c r="E775" s="78"/>
      <c r="F775" s="78"/>
      <c r="G775" s="78"/>
      <c r="H775" s="78"/>
      <c r="I775" s="45"/>
      <c r="J775" s="45"/>
      <c r="K775" s="45"/>
      <c r="L775" s="45"/>
      <c r="M775" s="45"/>
      <c r="N775" s="45"/>
      <c r="O775" s="45"/>
      <c r="P775" s="45"/>
      <c r="Q775" s="45"/>
      <c r="R775" s="45"/>
      <c r="S775" s="45"/>
    </row>
    <row r="776">
      <c r="A776" s="78"/>
      <c r="B776" s="78"/>
      <c r="C776" s="78"/>
      <c r="D776" s="78"/>
      <c r="E776" s="78"/>
      <c r="F776" s="78"/>
      <c r="G776" s="78"/>
      <c r="H776" s="78"/>
      <c r="I776" s="45"/>
      <c r="J776" s="45"/>
      <c r="K776" s="45"/>
      <c r="L776" s="45"/>
      <c r="M776" s="45"/>
      <c r="N776" s="45"/>
      <c r="O776" s="45"/>
      <c r="P776" s="45"/>
      <c r="Q776" s="45"/>
      <c r="R776" s="45"/>
      <c r="S776" s="45"/>
    </row>
    <row r="777">
      <c r="A777" s="78"/>
      <c r="B777" s="78"/>
      <c r="C777" s="78"/>
      <c r="D777" s="78"/>
      <c r="E777" s="78"/>
      <c r="F777" s="78"/>
      <c r="G777" s="78"/>
      <c r="H777" s="78"/>
      <c r="I777" s="45"/>
      <c r="J777" s="45"/>
      <c r="K777" s="45"/>
      <c r="L777" s="45"/>
      <c r="M777" s="45"/>
      <c r="N777" s="45"/>
      <c r="O777" s="45"/>
      <c r="P777" s="45"/>
      <c r="Q777" s="45"/>
      <c r="R777" s="45"/>
      <c r="S777" s="45"/>
    </row>
    <row r="778">
      <c r="A778" s="78"/>
      <c r="B778" s="78"/>
      <c r="C778" s="78"/>
      <c r="D778" s="78"/>
      <c r="E778" s="78"/>
      <c r="F778" s="78"/>
      <c r="G778" s="78"/>
      <c r="H778" s="78"/>
      <c r="I778" s="45"/>
      <c r="J778" s="45"/>
      <c r="K778" s="45"/>
      <c r="L778" s="45"/>
      <c r="M778" s="45"/>
      <c r="N778" s="45"/>
      <c r="O778" s="45"/>
      <c r="P778" s="45"/>
      <c r="Q778" s="45"/>
      <c r="R778" s="45"/>
      <c r="S778" s="45"/>
    </row>
    <row r="779">
      <c r="A779" s="78"/>
      <c r="B779" s="78"/>
      <c r="C779" s="78"/>
      <c r="D779" s="78"/>
      <c r="E779" s="78"/>
      <c r="F779" s="78"/>
      <c r="G779" s="78"/>
      <c r="H779" s="78"/>
      <c r="I779" s="45"/>
      <c r="J779" s="45"/>
      <c r="K779" s="45"/>
      <c r="L779" s="45"/>
      <c r="M779" s="45"/>
      <c r="N779" s="45"/>
      <c r="O779" s="45"/>
      <c r="P779" s="45"/>
      <c r="Q779" s="45"/>
      <c r="R779" s="45"/>
      <c r="S779" s="45"/>
    </row>
    <row r="780">
      <c r="A780" s="78"/>
      <c r="B780" s="78"/>
      <c r="C780" s="78"/>
      <c r="D780" s="78"/>
      <c r="E780" s="78"/>
      <c r="F780" s="78"/>
      <c r="G780" s="78"/>
      <c r="H780" s="78"/>
      <c r="I780" s="45"/>
      <c r="J780" s="45"/>
      <c r="K780" s="45"/>
      <c r="L780" s="45"/>
      <c r="M780" s="45"/>
      <c r="N780" s="45"/>
      <c r="O780" s="45"/>
      <c r="P780" s="45"/>
      <c r="Q780" s="45"/>
      <c r="R780" s="45"/>
      <c r="S780" s="45"/>
    </row>
    <row r="781">
      <c r="A781" s="78"/>
      <c r="B781" s="78"/>
      <c r="C781" s="78"/>
      <c r="D781" s="78"/>
      <c r="E781" s="78"/>
      <c r="F781" s="78"/>
      <c r="G781" s="78"/>
      <c r="H781" s="78"/>
      <c r="I781" s="45"/>
      <c r="J781" s="45"/>
      <c r="K781" s="45"/>
      <c r="L781" s="45"/>
      <c r="M781" s="45"/>
      <c r="N781" s="45"/>
      <c r="O781" s="45"/>
      <c r="P781" s="45"/>
      <c r="Q781" s="45"/>
      <c r="R781" s="45"/>
      <c r="S781" s="45"/>
    </row>
    <row r="782">
      <c r="A782" s="78"/>
      <c r="B782" s="78"/>
      <c r="C782" s="78"/>
      <c r="D782" s="78"/>
      <c r="E782" s="78"/>
      <c r="F782" s="78"/>
      <c r="G782" s="78"/>
      <c r="H782" s="78"/>
      <c r="I782" s="45"/>
      <c r="J782" s="45"/>
      <c r="K782" s="45"/>
      <c r="L782" s="45"/>
      <c r="M782" s="45"/>
      <c r="N782" s="45"/>
      <c r="O782" s="45"/>
      <c r="P782" s="45"/>
      <c r="Q782" s="45"/>
      <c r="R782" s="45"/>
      <c r="S782" s="45"/>
    </row>
    <row r="783">
      <c r="A783" s="78"/>
      <c r="B783" s="78"/>
      <c r="C783" s="78"/>
      <c r="D783" s="78"/>
      <c r="E783" s="78"/>
      <c r="F783" s="78"/>
      <c r="G783" s="78"/>
      <c r="H783" s="78"/>
      <c r="I783" s="45"/>
      <c r="J783" s="45"/>
      <c r="K783" s="45"/>
      <c r="L783" s="45"/>
      <c r="M783" s="45"/>
      <c r="N783" s="45"/>
      <c r="O783" s="45"/>
      <c r="P783" s="45"/>
      <c r="Q783" s="45"/>
      <c r="R783" s="45"/>
      <c r="S783" s="45"/>
    </row>
    <row r="784">
      <c r="A784" s="78"/>
      <c r="B784" s="78"/>
      <c r="C784" s="78"/>
      <c r="D784" s="78"/>
      <c r="E784" s="78"/>
      <c r="F784" s="78"/>
      <c r="G784" s="78"/>
      <c r="H784" s="78"/>
      <c r="I784" s="45"/>
      <c r="J784" s="45"/>
      <c r="K784" s="45"/>
      <c r="L784" s="45"/>
      <c r="M784" s="45"/>
      <c r="N784" s="45"/>
      <c r="O784" s="45"/>
      <c r="P784" s="45"/>
      <c r="Q784" s="45"/>
      <c r="R784" s="45"/>
      <c r="S784" s="45"/>
    </row>
    <row r="785">
      <c r="A785" s="78"/>
      <c r="B785" s="78"/>
      <c r="C785" s="78"/>
      <c r="D785" s="78"/>
      <c r="E785" s="78"/>
      <c r="F785" s="78"/>
      <c r="G785" s="78"/>
      <c r="H785" s="78"/>
      <c r="I785" s="45"/>
      <c r="J785" s="45"/>
      <c r="K785" s="45"/>
      <c r="L785" s="45"/>
      <c r="M785" s="45"/>
      <c r="N785" s="45"/>
      <c r="O785" s="45"/>
      <c r="P785" s="45"/>
      <c r="Q785" s="45"/>
      <c r="R785" s="45"/>
      <c r="S785" s="45"/>
    </row>
    <row r="786">
      <c r="A786" s="78"/>
      <c r="B786" s="78"/>
      <c r="C786" s="78"/>
      <c r="D786" s="78"/>
      <c r="E786" s="78"/>
      <c r="F786" s="78"/>
      <c r="G786" s="78"/>
      <c r="H786" s="78"/>
      <c r="I786" s="45"/>
      <c r="J786" s="45"/>
      <c r="K786" s="45"/>
      <c r="L786" s="45"/>
      <c r="M786" s="45"/>
      <c r="N786" s="45"/>
      <c r="O786" s="45"/>
      <c r="P786" s="45"/>
      <c r="Q786" s="45"/>
      <c r="R786" s="45"/>
      <c r="S786" s="45"/>
    </row>
    <row r="787">
      <c r="A787" s="78"/>
      <c r="B787" s="78"/>
      <c r="C787" s="78"/>
      <c r="D787" s="78"/>
      <c r="E787" s="78"/>
      <c r="F787" s="78"/>
      <c r="G787" s="78"/>
      <c r="H787" s="78"/>
      <c r="I787" s="45"/>
      <c r="J787" s="45"/>
      <c r="K787" s="45"/>
      <c r="L787" s="45"/>
      <c r="M787" s="45"/>
      <c r="N787" s="45"/>
      <c r="O787" s="45"/>
      <c r="P787" s="45"/>
      <c r="Q787" s="45"/>
      <c r="R787" s="45"/>
      <c r="S787" s="45"/>
    </row>
    <row r="788">
      <c r="A788" s="78"/>
      <c r="B788" s="78"/>
      <c r="C788" s="78"/>
      <c r="D788" s="78"/>
      <c r="E788" s="78"/>
      <c r="F788" s="78"/>
      <c r="G788" s="78"/>
      <c r="H788" s="78"/>
      <c r="I788" s="45"/>
      <c r="J788" s="45"/>
      <c r="K788" s="45"/>
      <c r="L788" s="45"/>
      <c r="M788" s="45"/>
      <c r="N788" s="45"/>
      <c r="O788" s="45"/>
      <c r="P788" s="45"/>
      <c r="Q788" s="45"/>
      <c r="R788" s="45"/>
      <c r="S788" s="45"/>
    </row>
    <row r="789">
      <c r="A789" s="78"/>
      <c r="B789" s="78"/>
      <c r="C789" s="78"/>
      <c r="D789" s="78"/>
      <c r="E789" s="78"/>
      <c r="F789" s="78"/>
      <c r="G789" s="78"/>
      <c r="H789" s="78"/>
      <c r="I789" s="45"/>
      <c r="J789" s="45"/>
      <c r="K789" s="45"/>
      <c r="L789" s="45"/>
      <c r="M789" s="45"/>
      <c r="N789" s="45"/>
      <c r="O789" s="45"/>
      <c r="P789" s="45"/>
      <c r="Q789" s="45"/>
      <c r="R789" s="45"/>
      <c r="S789" s="45"/>
    </row>
    <row r="790">
      <c r="A790" s="78"/>
      <c r="B790" s="78"/>
      <c r="C790" s="78"/>
      <c r="D790" s="78"/>
      <c r="E790" s="78"/>
      <c r="F790" s="78"/>
      <c r="G790" s="78"/>
      <c r="H790" s="78"/>
      <c r="I790" s="45"/>
      <c r="J790" s="45"/>
      <c r="K790" s="45"/>
      <c r="L790" s="45"/>
      <c r="M790" s="45"/>
      <c r="N790" s="45"/>
      <c r="O790" s="45"/>
      <c r="P790" s="45"/>
      <c r="Q790" s="45"/>
      <c r="R790" s="45"/>
      <c r="S790" s="45"/>
    </row>
    <row r="791">
      <c r="A791" s="78"/>
      <c r="B791" s="78"/>
      <c r="C791" s="78"/>
      <c r="D791" s="78"/>
      <c r="E791" s="78"/>
      <c r="F791" s="78"/>
      <c r="G791" s="78"/>
      <c r="H791" s="78"/>
      <c r="I791" s="45"/>
      <c r="J791" s="45"/>
      <c r="K791" s="45"/>
      <c r="L791" s="45"/>
      <c r="M791" s="45"/>
      <c r="N791" s="45"/>
      <c r="O791" s="45"/>
      <c r="P791" s="45"/>
      <c r="Q791" s="45"/>
      <c r="R791" s="45"/>
      <c r="S791" s="45"/>
    </row>
    <row r="792">
      <c r="A792" s="78"/>
      <c r="B792" s="78"/>
      <c r="C792" s="78"/>
      <c r="D792" s="78"/>
      <c r="E792" s="78"/>
      <c r="F792" s="78"/>
      <c r="G792" s="78"/>
      <c r="H792" s="78"/>
      <c r="I792" s="45"/>
      <c r="J792" s="45"/>
      <c r="K792" s="45"/>
      <c r="L792" s="45"/>
      <c r="M792" s="45"/>
      <c r="N792" s="45"/>
      <c r="O792" s="45"/>
      <c r="P792" s="45"/>
      <c r="Q792" s="45"/>
      <c r="R792" s="45"/>
      <c r="S792" s="45"/>
    </row>
    <row r="793">
      <c r="A793" s="78"/>
      <c r="B793" s="78"/>
      <c r="C793" s="78"/>
      <c r="D793" s="78"/>
      <c r="E793" s="78"/>
      <c r="F793" s="78"/>
      <c r="G793" s="78"/>
      <c r="H793" s="78"/>
      <c r="I793" s="45"/>
      <c r="J793" s="45"/>
      <c r="K793" s="45"/>
      <c r="L793" s="45"/>
      <c r="M793" s="45"/>
      <c r="N793" s="45"/>
      <c r="O793" s="45"/>
      <c r="P793" s="45"/>
      <c r="Q793" s="45"/>
      <c r="R793" s="45"/>
      <c r="S793" s="45"/>
    </row>
    <row r="794">
      <c r="A794" s="78"/>
      <c r="B794" s="78"/>
      <c r="C794" s="78"/>
      <c r="D794" s="78"/>
      <c r="E794" s="78"/>
      <c r="F794" s="78"/>
      <c r="G794" s="78"/>
      <c r="H794" s="78"/>
      <c r="I794" s="45"/>
      <c r="J794" s="45"/>
      <c r="K794" s="45"/>
      <c r="L794" s="45"/>
      <c r="M794" s="45"/>
      <c r="N794" s="45"/>
      <c r="O794" s="45"/>
      <c r="P794" s="45"/>
      <c r="Q794" s="45"/>
      <c r="R794" s="45"/>
      <c r="S794" s="45"/>
    </row>
    <row r="795">
      <c r="A795" s="78"/>
      <c r="B795" s="78"/>
      <c r="C795" s="78"/>
      <c r="D795" s="78"/>
      <c r="E795" s="78"/>
      <c r="F795" s="78"/>
      <c r="G795" s="78"/>
      <c r="H795" s="78"/>
      <c r="I795" s="45"/>
      <c r="J795" s="45"/>
      <c r="K795" s="45"/>
      <c r="L795" s="45"/>
      <c r="M795" s="45"/>
      <c r="N795" s="45"/>
      <c r="O795" s="45"/>
      <c r="P795" s="45"/>
      <c r="Q795" s="45"/>
      <c r="R795" s="45"/>
      <c r="S795" s="45"/>
    </row>
    <row r="796">
      <c r="A796" s="78"/>
      <c r="B796" s="78"/>
      <c r="C796" s="78"/>
      <c r="D796" s="78"/>
      <c r="E796" s="78"/>
      <c r="F796" s="78"/>
      <c r="G796" s="78"/>
      <c r="H796" s="78"/>
      <c r="I796" s="45"/>
      <c r="J796" s="45"/>
      <c r="K796" s="45"/>
      <c r="L796" s="45"/>
      <c r="M796" s="45"/>
      <c r="N796" s="45"/>
      <c r="O796" s="45"/>
      <c r="P796" s="45"/>
      <c r="Q796" s="45"/>
      <c r="R796" s="45"/>
      <c r="S796" s="45"/>
    </row>
    <row r="797">
      <c r="A797" s="78"/>
      <c r="B797" s="78"/>
      <c r="C797" s="78"/>
      <c r="D797" s="78"/>
      <c r="E797" s="78"/>
      <c r="F797" s="78"/>
      <c r="G797" s="78"/>
      <c r="H797" s="78"/>
      <c r="I797" s="45"/>
      <c r="J797" s="45"/>
      <c r="K797" s="45"/>
      <c r="L797" s="45"/>
      <c r="M797" s="45"/>
      <c r="N797" s="45"/>
      <c r="O797" s="45"/>
      <c r="P797" s="45"/>
      <c r="Q797" s="45"/>
      <c r="R797" s="45"/>
      <c r="S797" s="45"/>
    </row>
    <row r="798">
      <c r="A798" s="78"/>
      <c r="B798" s="78"/>
      <c r="C798" s="78"/>
      <c r="D798" s="78"/>
      <c r="E798" s="78"/>
      <c r="F798" s="78"/>
      <c r="G798" s="78"/>
      <c r="H798" s="78"/>
      <c r="I798" s="45"/>
      <c r="J798" s="45"/>
      <c r="K798" s="45"/>
      <c r="L798" s="45"/>
      <c r="M798" s="45"/>
      <c r="N798" s="45"/>
      <c r="O798" s="45"/>
      <c r="P798" s="45"/>
      <c r="Q798" s="45"/>
      <c r="R798" s="45"/>
      <c r="S798" s="45"/>
    </row>
    <row r="799">
      <c r="A799" s="78"/>
      <c r="B799" s="78"/>
      <c r="C799" s="78"/>
      <c r="D799" s="78"/>
      <c r="E799" s="78"/>
      <c r="F799" s="78"/>
      <c r="G799" s="78"/>
      <c r="H799" s="78"/>
      <c r="I799" s="45"/>
      <c r="J799" s="45"/>
      <c r="K799" s="45"/>
      <c r="L799" s="45"/>
      <c r="M799" s="45"/>
      <c r="N799" s="45"/>
      <c r="O799" s="45"/>
      <c r="P799" s="45"/>
      <c r="Q799" s="45"/>
      <c r="R799" s="45"/>
      <c r="S799" s="45"/>
    </row>
    <row r="800">
      <c r="A800" s="78"/>
      <c r="B800" s="78"/>
      <c r="C800" s="78"/>
      <c r="D800" s="78"/>
      <c r="E800" s="78"/>
      <c r="F800" s="78"/>
      <c r="G800" s="78"/>
      <c r="H800" s="78"/>
      <c r="I800" s="45"/>
      <c r="J800" s="45"/>
      <c r="K800" s="45"/>
      <c r="L800" s="45"/>
      <c r="M800" s="45"/>
      <c r="N800" s="45"/>
      <c r="O800" s="45"/>
      <c r="P800" s="45"/>
      <c r="Q800" s="45"/>
      <c r="R800" s="45"/>
      <c r="S800" s="45"/>
    </row>
    <row r="801">
      <c r="A801" s="78"/>
      <c r="B801" s="78"/>
      <c r="C801" s="78"/>
      <c r="D801" s="78"/>
      <c r="E801" s="78"/>
      <c r="F801" s="78"/>
      <c r="G801" s="78"/>
      <c r="H801" s="78"/>
      <c r="I801" s="45"/>
      <c r="J801" s="45"/>
      <c r="K801" s="45"/>
      <c r="L801" s="45"/>
      <c r="M801" s="45"/>
      <c r="N801" s="45"/>
      <c r="O801" s="45"/>
      <c r="P801" s="45"/>
      <c r="Q801" s="45"/>
      <c r="R801" s="45"/>
      <c r="S801" s="45"/>
    </row>
    <row r="802">
      <c r="A802" s="78"/>
      <c r="B802" s="78"/>
      <c r="C802" s="78"/>
      <c r="D802" s="78"/>
      <c r="E802" s="78"/>
      <c r="F802" s="78"/>
      <c r="G802" s="78"/>
      <c r="H802" s="78"/>
      <c r="I802" s="45"/>
      <c r="J802" s="45"/>
      <c r="K802" s="45"/>
      <c r="L802" s="45"/>
      <c r="M802" s="45"/>
      <c r="N802" s="45"/>
      <c r="O802" s="45"/>
      <c r="P802" s="45"/>
      <c r="Q802" s="45"/>
      <c r="R802" s="45"/>
      <c r="S802" s="45"/>
    </row>
    <row r="803">
      <c r="A803" s="78"/>
      <c r="B803" s="78"/>
      <c r="C803" s="78"/>
      <c r="D803" s="78"/>
      <c r="E803" s="78"/>
      <c r="F803" s="78"/>
      <c r="G803" s="78"/>
      <c r="H803" s="78"/>
      <c r="I803" s="45"/>
      <c r="J803" s="45"/>
      <c r="K803" s="45"/>
      <c r="L803" s="45"/>
      <c r="M803" s="45"/>
      <c r="N803" s="45"/>
      <c r="O803" s="45"/>
      <c r="P803" s="45"/>
      <c r="Q803" s="45"/>
      <c r="R803" s="45"/>
      <c r="S803" s="45"/>
    </row>
    <row r="804">
      <c r="A804" s="78"/>
      <c r="B804" s="78"/>
      <c r="C804" s="78"/>
      <c r="D804" s="78"/>
      <c r="E804" s="78"/>
      <c r="F804" s="78"/>
      <c r="G804" s="78"/>
      <c r="H804" s="78"/>
      <c r="I804" s="45"/>
      <c r="J804" s="45"/>
      <c r="K804" s="45"/>
      <c r="L804" s="45"/>
      <c r="M804" s="45"/>
      <c r="N804" s="45"/>
      <c r="O804" s="45"/>
      <c r="P804" s="45"/>
      <c r="Q804" s="45"/>
      <c r="R804" s="45"/>
      <c r="S804" s="45"/>
    </row>
    <row r="805">
      <c r="A805" s="78"/>
      <c r="B805" s="78"/>
      <c r="C805" s="78"/>
      <c r="D805" s="78"/>
      <c r="E805" s="78"/>
      <c r="F805" s="78"/>
      <c r="G805" s="78"/>
      <c r="H805" s="78"/>
      <c r="I805" s="45"/>
      <c r="J805" s="45"/>
      <c r="K805" s="45"/>
      <c r="L805" s="45"/>
      <c r="M805" s="45"/>
      <c r="N805" s="45"/>
      <c r="O805" s="45"/>
      <c r="P805" s="45"/>
      <c r="Q805" s="45"/>
      <c r="R805" s="45"/>
      <c r="S805" s="45"/>
    </row>
    <row r="806">
      <c r="A806" s="78"/>
      <c r="B806" s="78"/>
      <c r="C806" s="78"/>
      <c r="D806" s="78"/>
      <c r="E806" s="78"/>
      <c r="F806" s="78"/>
      <c r="G806" s="78"/>
      <c r="H806" s="78"/>
      <c r="I806" s="45"/>
      <c r="J806" s="45"/>
      <c r="K806" s="45"/>
      <c r="L806" s="45"/>
      <c r="M806" s="45"/>
      <c r="N806" s="45"/>
      <c r="O806" s="45"/>
      <c r="P806" s="45"/>
      <c r="Q806" s="45"/>
      <c r="R806" s="45"/>
      <c r="S806" s="45"/>
    </row>
    <row r="807">
      <c r="A807" s="78"/>
      <c r="B807" s="78"/>
      <c r="C807" s="78"/>
      <c r="D807" s="78"/>
      <c r="E807" s="78"/>
      <c r="F807" s="78"/>
      <c r="G807" s="78"/>
      <c r="H807" s="78"/>
      <c r="I807" s="45"/>
      <c r="J807" s="45"/>
      <c r="K807" s="45"/>
      <c r="L807" s="45"/>
      <c r="M807" s="45"/>
      <c r="N807" s="45"/>
      <c r="O807" s="45"/>
      <c r="P807" s="45"/>
      <c r="Q807" s="45"/>
      <c r="R807" s="45"/>
      <c r="S807" s="45"/>
    </row>
    <row r="808">
      <c r="A808" s="78"/>
      <c r="B808" s="78"/>
      <c r="C808" s="78"/>
      <c r="D808" s="78"/>
      <c r="E808" s="78"/>
      <c r="F808" s="78"/>
      <c r="G808" s="78"/>
      <c r="H808" s="78"/>
      <c r="I808" s="45"/>
      <c r="J808" s="45"/>
      <c r="K808" s="45"/>
      <c r="L808" s="45"/>
      <c r="M808" s="45"/>
      <c r="N808" s="45"/>
      <c r="O808" s="45"/>
      <c r="P808" s="45"/>
      <c r="Q808" s="45"/>
      <c r="R808" s="45"/>
      <c r="S808" s="45"/>
    </row>
    <row r="809">
      <c r="A809" s="78"/>
      <c r="B809" s="78"/>
      <c r="C809" s="78"/>
      <c r="D809" s="78"/>
      <c r="E809" s="78"/>
      <c r="F809" s="78"/>
      <c r="G809" s="78"/>
      <c r="H809" s="78"/>
      <c r="I809" s="45"/>
      <c r="J809" s="45"/>
      <c r="K809" s="45"/>
      <c r="L809" s="45"/>
      <c r="M809" s="45"/>
      <c r="N809" s="45"/>
      <c r="O809" s="45"/>
      <c r="P809" s="45"/>
      <c r="Q809" s="45"/>
      <c r="R809" s="45"/>
      <c r="S809" s="45"/>
    </row>
    <row r="810">
      <c r="A810" s="78"/>
      <c r="B810" s="78"/>
      <c r="C810" s="78"/>
      <c r="D810" s="78"/>
      <c r="E810" s="78"/>
      <c r="F810" s="78"/>
      <c r="G810" s="78"/>
      <c r="H810" s="78"/>
      <c r="I810" s="45"/>
      <c r="J810" s="45"/>
      <c r="K810" s="45"/>
      <c r="L810" s="45"/>
      <c r="M810" s="45"/>
      <c r="N810" s="45"/>
      <c r="O810" s="45"/>
      <c r="P810" s="45"/>
      <c r="Q810" s="45"/>
      <c r="R810" s="45"/>
      <c r="S810" s="45"/>
    </row>
    <row r="811">
      <c r="A811" s="78"/>
      <c r="B811" s="78"/>
      <c r="C811" s="78"/>
      <c r="D811" s="78"/>
      <c r="E811" s="78"/>
      <c r="F811" s="78"/>
      <c r="G811" s="78"/>
      <c r="H811" s="78"/>
      <c r="I811" s="45"/>
      <c r="J811" s="45"/>
      <c r="K811" s="45"/>
      <c r="L811" s="45"/>
      <c r="M811" s="45"/>
      <c r="N811" s="45"/>
      <c r="O811" s="45"/>
      <c r="P811" s="45"/>
      <c r="Q811" s="45"/>
      <c r="R811" s="45"/>
      <c r="S811" s="45"/>
    </row>
    <row r="812">
      <c r="A812" s="78"/>
      <c r="B812" s="78"/>
      <c r="C812" s="78"/>
      <c r="D812" s="78"/>
      <c r="E812" s="78"/>
      <c r="F812" s="78"/>
      <c r="G812" s="78"/>
      <c r="H812" s="78"/>
      <c r="I812" s="45"/>
      <c r="J812" s="45"/>
      <c r="K812" s="45"/>
      <c r="L812" s="45"/>
      <c r="M812" s="45"/>
      <c r="N812" s="45"/>
      <c r="O812" s="45"/>
      <c r="P812" s="45"/>
      <c r="Q812" s="45"/>
      <c r="R812" s="45"/>
      <c r="S812" s="45"/>
    </row>
    <row r="813">
      <c r="A813" s="78"/>
      <c r="B813" s="78"/>
      <c r="C813" s="78"/>
      <c r="D813" s="78"/>
      <c r="E813" s="78"/>
      <c r="F813" s="78"/>
      <c r="G813" s="78"/>
      <c r="H813" s="78"/>
      <c r="I813" s="45"/>
      <c r="J813" s="45"/>
      <c r="K813" s="45"/>
      <c r="L813" s="45"/>
      <c r="M813" s="45"/>
      <c r="N813" s="45"/>
      <c r="O813" s="45"/>
      <c r="P813" s="45"/>
      <c r="Q813" s="45"/>
      <c r="R813" s="45"/>
      <c r="S813" s="45"/>
    </row>
    <row r="814">
      <c r="A814" s="78"/>
      <c r="B814" s="78"/>
      <c r="C814" s="78"/>
      <c r="D814" s="78"/>
      <c r="E814" s="78"/>
      <c r="F814" s="78"/>
      <c r="G814" s="78"/>
      <c r="H814" s="78"/>
      <c r="I814" s="45"/>
      <c r="J814" s="45"/>
      <c r="K814" s="45"/>
      <c r="L814" s="45"/>
      <c r="M814" s="45"/>
      <c r="N814" s="45"/>
      <c r="O814" s="45"/>
      <c r="P814" s="45"/>
      <c r="Q814" s="45"/>
      <c r="R814" s="45"/>
      <c r="S814" s="45"/>
    </row>
    <row r="815">
      <c r="A815" s="78"/>
      <c r="B815" s="78"/>
      <c r="C815" s="78"/>
      <c r="D815" s="78"/>
      <c r="E815" s="78"/>
      <c r="F815" s="78"/>
      <c r="G815" s="78"/>
      <c r="H815" s="78"/>
      <c r="I815" s="45"/>
      <c r="J815" s="45"/>
      <c r="K815" s="45"/>
      <c r="L815" s="45"/>
      <c r="M815" s="45"/>
      <c r="N815" s="45"/>
      <c r="O815" s="45"/>
      <c r="P815" s="45"/>
      <c r="Q815" s="45"/>
      <c r="R815" s="45"/>
      <c r="S815" s="45"/>
    </row>
    <row r="816">
      <c r="A816" s="78"/>
      <c r="B816" s="78"/>
      <c r="C816" s="78"/>
      <c r="D816" s="78"/>
      <c r="E816" s="78"/>
      <c r="F816" s="78"/>
      <c r="G816" s="78"/>
      <c r="H816" s="78"/>
      <c r="I816" s="45"/>
      <c r="J816" s="45"/>
      <c r="K816" s="45"/>
      <c r="L816" s="45"/>
      <c r="M816" s="45"/>
      <c r="N816" s="45"/>
      <c r="O816" s="45"/>
      <c r="P816" s="45"/>
      <c r="Q816" s="45"/>
      <c r="R816" s="45"/>
      <c r="S816" s="45"/>
    </row>
    <row r="817">
      <c r="A817" s="78"/>
      <c r="B817" s="78"/>
      <c r="C817" s="78"/>
      <c r="D817" s="78"/>
      <c r="E817" s="78"/>
      <c r="F817" s="78"/>
      <c r="G817" s="78"/>
      <c r="H817" s="78"/>
      <c r="I817" s="45"/>
      <c r="J817" s="45"/>
      <c r="K817" s="45"/>
      <c r="L817" s="45"/>
      <c r="M817" s="45"/>
      <c r="N817" s="45"/>
      <c r="O817" s="45"/>
      <c r="P817" s="45"/>
      <c r="Q817" s="45"/>
      <c r="R817" s="45"/>
      <c r="S817" s="45"/>
    </row>
    <row r="818">
      <c r="A818" s="78"/>
      <c r="B818" s="78"/>
      <c r="C818" s="78"/>
      <c r="D818" s="78"/>
      <c r="E818" s="78"/>
      <c r="F818" s="78"/>
      <c r="G818" s="78"/>
      <c r="H818" s="78"/>
      <c r="I818" s="45"/>
      <c r="J818" s="45"/>
      <c r="K818" s="45"/>
      <c r="L818" s="45"/>
      <c r="M818" s="45"/>
      <c r="N818" s="45"/>
      <c r="O818" s="45"/>
      <c r="P818" s="45"/>
      <c r="Q818" s="45"/>
      <c r="R818" s="45"/>
      <c r="S818" s="45"/>
    </row>
    <row r="819">
      <c r="A819" s="78"/>
      <c r="B819" s="78"/>
      <c r="C819" s="78"/>
      <c r="D819" s="78"/>
      <c r="E819" s="78"/>
      <c r="F819" s="78"/>
      <c r="G819" s="78"/>
      <c r="H819" s="78"/>
      <c r="I819" s="45"/>
      <c r="J819" s="45"/>
      <c r="K819" s="45"/>
      <c r="L819" s="45"/>
      <c r="M819" s="45"/>
      <c r="N819" s="45"/>
      <c r="O819" s="45"/>
      <c r="P819" s="45"/>
      <c r="Q819" s="45"/>
      <c r="R819" s="45"/>
      <c r="S819" s="45"/>
    </row>
    <row r="820">
      <c r="A820" s="78"/>
      <c r="B820" s="78"/>
      <c r="C820" s="78"/>
      <c r="D820" s="78"/>
      <c r="E820" s="78"/>
      <c r="F820" s="78"/>
      <c r="G820" s="78"/>
      <c r="H820" s="78"/>
      <c r="I820" s="45"/>
      <c r="J820" s="45"/>
      <c r="K820" s="45"/>
      <c r="L820" s="45"/>
      <c r="M820" s="45"/>
      <c r="N820" s="45"/>
      <c r="O820" s="45"/>
      <c r="P820" s="45"/>
      <c r="Q820" s="45"/>
      <c r="R820" s="45"/>
      <c r="S820" s="45"/>
    </row>
    <row r="821">
      <c r="A821" s="78"/>
      <c r="B821" s="78"/>
      <c r="C821" s="78"/>
      <c r="D821" s="78"/>
      <c r="E821" s="78"/>
      <c r="F821" s="78"/>
      <c r="G821" s="78"/>
      <c r="H821" s="78"/>
      <c r="I821" s="45"/>
      <c r="J821" s="45"/>
      <c r="K821" s="45"/>
      <c r="L821" s="45"/>
      <c r="M821" s="45"/>
      <c r="N821" s="45"/>
      <c r="O821" s="45"/>
      <c r="P821" s="45"/>
      <c r="Q821" s="45"/>
      <c r="R821" s="45"/>
      <c r="S821" s="45"/>
    </row>
    <row r="822">
      <c r="A822" s="78"/>
      <c r="B822" s="78"/>
      <c r="C822" s="78"/>
      <c r="D822" s="78"/>
      <c r="E822" s="78"/>
      <c r="F822" s="78"/>
      <c r="G822" s="78"/>
      <c r="H822" s="78"/>
      <c r="I822" s="45"/>
      <c r="J822" s="45"/>
      <c r="K822" s="45"/>
      <c r="L822" s="45"/>
      <c r="M822" s="45"/>
      <c r="N822" s="45"/>
      <c r="O822" s="45"/>
      <c r="P822" s="45"/>
      <c r="Q822" s="45"/>
      <c r="R822" s="45"/>
      <c r="S822" s="45"/>
    </row>
    <row r="823">
      <c r="A823" s="78"/>
      <c r="B823" s="78"/>
      <c r="C823" s="78"/>
      <c r="D823" s="78"/>
      <c r="E823" s="78"/>
      <c r="F823" s="78"/>
      <c r="G823" s="78"/>
      <c r="H823" s="78"/>
      <c r="I823" s="45"/>
      <c r="J823" s="45"/>
      <c r="K823" s="45"/>
      <c r="L823" s="45"/>
      <c r="M823" s="45"/>
      <c r="N823" s="45"/>
      <c r="O823" s="45"/>
      <c r="P823" s="45"/>
      <c r="Q823" s="45"/>
      <c r="R823" s="45"/>
      <c r="S823" s="45"/>
    </row>
    <row r="824">
      <c r="A824" s="78"/>
      <c r="B824" s="78"/>
      <c r="C824" s="78"/>
      <c r="D824" s="78"/>
      <c r="E824" s="78"/>
      <c r="F824" s="78"/>
      <c r="G824" s="78"/>
      <c r="H824" s="78"/>
      <c r="I824" s="45"/>
      <c r="J824" s="45"/>
      <c r="K824" s="45"/>
      <c r="L824" s="45"/>
      <c r="M824" s="45"/>
      <c r="N824" s="45"/>
      <c r="O824" s="45"/>
      <c r="P824" s="45"/>
      <c r="Q824" s="45"/>
      <c r="R824" s="45"/>
      <c r="S824" s="45"/>
    </row>
    <row r="825">
      <c r="A825" s="78"/>
      <c r="B825" s="78"/>
      <c r="C825" s="78"/>
      <c r="D825" s="78"/>
      <c r="E825" s="78"/>
      <c r="F825" s="78"/>
      <c r="G825" s="78"/>
      <c r="H825" s="78"/>
      <c r="I825" s="45"/>
      <c r="J825" s="45"/>
      <c r="K825" s="45"/>
      <c r="L825" s="45"/>
      <c r="M825" s="45"/>
      <c r="N825" s="45"/>
      <c r="O825" s="45"/>
      <c r="P825" s="45"/>
      <c r="Q825" s="45"/>
      <c r="R825" s="45"/>
      <c r="S825" s="45"/>
    </row>
    <row r="826">
      <c r="A826" s="78"/>
      <c r="B826" s="78"/>
      <c r="C826" s="78"/>
      <c r="D826" s="78"/>
      <c r="E826" s="78"/>
      <c r="F826" s="78"/>
      <c r="G826" s="78"/>
      <c r="H826" s="78"/>
      <c r="I826" s="45"/>
      <c r="J826" s="45"/>
      <c r="K826" s="45"/>
      <c r="L826" s="45"/>
      <c r="M826" s="45"/>
      <c r="N826" s="45"/>
      <c r="O826" s="45"/>
      <c r="P826" s="45"/>
      <c r="Q826" s="45"/>
      <c r="R826" s="45"/>
      <c r="S826" s="45"/>
    </row>
    <row r="827">
      <c r="A827" s="78"/>
      <c r="B827" s="78"/>
      <c r="C827" s="78"/>
      <c r="D827" s="78"/>
      <c r="E827" s="78"/>
      <c r="F827" s="78"/>
      <c r="G827" s="78"/>
      <c r="H827" s="78"/>
      <c r="I827" s="45"/>
      <c r="J827" s="45"/>
      <c r="K827" s="45"/>
      <c r="L827" s="45"/>
      <c r="M827" s="45"/>
      <c r="N827" s="45"/>
      <c r="O827" s="45"/>
      <c r="P827" s="45"/>
      <c r="Q827" s="45"/>
      <c r="R827" s="45"/>
      <c r="S827" s="45"/>
    </row>
    <row r="828">
      <c r="A828" s="78"/>
      <c r="B828" s="78"/>
      <c r="C828" s="78"/>
      <c r="D828" s="78"/>
      <c r="E828" s="78"/>
      <c r="F828" s="78"/>
      <c r="G828" s="78"/>
      <c r="H828" s="78"/>
      <c r="I828" s="45"/>
      <c r="J828" s="45"/>
      <c r="K828" s="45"/>
      <c r="L828" s="45"/>
      <c r="M828" s="45"/>
      <c r="N828" s="45"/>
      <c r="O828" s="45"/>
      <c r="P828" s="45"/>
      <c r="Q828" s="45"/>
      <c r="R828" s="45"/>
      <c r="S828" s="45"/>
    </row>
    <row r="829">
      <c r="A829" s="78"/>
      <c r="B829" s="78"/>
      <c r="C829" s="78"/>
      <c r="D829" s="78"/>
      <c r="E829" s="78"/>
      <c r="F829" s="78"/>
      <c r="G829" s="78"/>
      <c r="H829" s="78"/>
      <c r="I829" s="45"/>
      <c r="J829" s="45"/>
      <c r="K829" s="45"/>
      <c r="L829" s="45"/>
      <c r="M829" s="45"/>
      <c r="N829" s="45"/>
      <c r="O829" s="45"/>
      <c r="P829" s="45"/>
      <c r="Q829" s="45"/>
      <c r="R829" s="45"/>
      <c r="S829" s="45"/>
    </row>
    <row r="830">
      <c r="A830" s="78"/>
      <c r="B830" s="78"/>
      <c r="C830" s="78"/>
      <c r="D830" s="78"/>
      <c r="E830" s="78"/>
      <c r="F830" s="78"/>
      <c r="G830" s="78"/>
      <c r="H830" s="78"/>
      <c r="I830" s="45"/>
      <c r="J830" s="45"/>
      <c r="K830" s="45"/>
      <c r="L830" s="45"/>
      <c r="M830" s="45"/>
      <c r="N830" s="45"/>
      <c r="O830" s="45"/>
      <c r="P830" s="45"/>
      <c r="Q830" s="45"/>
      <c r="R830" s="45"/>
      <c r="S830" s="45"/>
    </row>
    <row r="831">
      <c r="A831" s="78"/>
      <c r="B831" s="78"/>
      <c r="C831" s="78"/>
      <c r="D831" s="78"/>
      <c r="E831" s="78"/>
      <c r="F831" s="78"/>
      <c r="G831" s="78"/>
      <c r="H831" s="78"/>
      <c r="I831" s="45"/>
      <c r="J831" s="45"/>
      <c r="K831" s="45"/>
      <c r="L831" s="45"/>
      <c r="M831" s="45"/>
      <c r="N831" s="45"/>
      <c r="O831" s="45"/>
      <c r="P831" s="45"/>
      <c r="Q831" s="45"/>
      <c r="R831" s="45"/>
      <c r="S831" s="45"/>
    </row>
    <row r="832">
      <c r="A832" s="78"/>
      <c r="B832" s="78"/>
      <c r="C832" s="78"/>
      <c r="D832" s="78"/>
      <c r="E832" s="78"/>
      <c r="F832" s="78"/>
      <c r="G832" s="78"/>
      <c r="H832" s="78"/>
      <c r="I832" s="45"/>
      <c r="J832" s="45"/>
      <c r="K832" s="45"/>
      <c r="L832" s="45"/>
      <c r="M832" s="45"/>
      <c r="N832" s="45"/>
      <c r="O832" s="45"/>
      <c r="P832" s="45"/>
      <c r="Q832" s="45"/>
      <c r="R832" s="45"/>
      <c r="S832" s="45"/>
    </row>
    <row r="833">
      <c r="A833" s="78"/>
      <c r="B833" s="78"/>
      <c r="C833" s="78"/>
      <c r="D833" s="78"/>
      <c r="E833" s="78"/>
      <c r="F833" s="78"/>
      <c r="G833" s="78"/>
      <c r="H833" s="78"/>
      <c r="I833" s="45"/>
      <c r="J833" s="45"/>
      <c r="K833" s="45"/>
      <c r="L833" s="45"/>
      <c r="M833" s="45"/>
      <c r="N833" s="45"/>
      <c r="O833" s="45"/>
      <c r="P833" s="45"/>
      <c r="Q833" s="45"/>
      <c r="R833" s="45"/>
      <c r="S833" s="45"/>
    </row>
    <row r="834">
      <c r="A834" s="78"/>
      <c r="B834" s="78"/>
      <c r="C834" s="78"/>
      <c r="D834" s="78"/>
      <c r="E834" s="78"/>
      <c r="F834" s="78"/>
      <c r="G834" s="78"/>
      <c r="H834" s="78"/>
      <c r="I834" s="45"/>
      <c r="J834" s="45"/>
      <c r="K834" s="45"/>
      <c r="L834" s="45"/>
      <c r="M834" s="45"/>
      <c r="N834" s="45"/>
      <c r="O834" s="45"/>
      <c r="P834" s="45"/>
      <c r="Q834" s="45"/>
      <c r="R834" s="45"/>
      <c r="S834" s="45"/>
    </row>
    <row r="835">
      <c r="A835" s="78"/>
      <c r="B835" s="78"/>
      <c r="C835" s="78"/>
      <c r="D835" s="78"/>
      <c r="E835" s="78"/>
      <c r="F835" s="78"/>
      <c r="G835" s="78"/>
      <c r="H835" s="78"/>
      <c r="I835" s="45"/>
      <c r="J835" s="45"/>
      <c r="K835" s="45"/>
      <c r="L835" s="45"/>
      <c r="M835" s="45"/>
      <c r="N835" s="45"/>
      <c r="O835" s="45"/>
      <c r="P835" s="45"/>
      <c r="Q835" s="45"/>
      <c r="R835" s="45"/>
      <c r="S835" s="45"/>
    </row>
    <row r="836">
      <c r="A836" s="78"/>
      <c r="B836" s="78"/>
      <c r="C836" s="78"/>
      <c r="D836" s="78"/>
      <c r="E836" s="78"/>
      <c r="F836" s="78"/>
      <c r="G836" s="78"/>
      <c r="H836" s="78"/>
      <c r="I836" s="45"/>
      <c r="J836" s="45"/>
      <c r="K836" s="45"/>
      <c r="L836" s="45"/>
      <c r="M836" s="45"/>
      <c r="N836" s="45"/>
      <c r="O836" s="45"/>
      <c r="P836" s="45"/>
      <c r="Q836" s="45"/>
      <c r="R836" s="45"/>
      <c r="S836" s="45"/>
    </row>
    <row r="837">
      <c r="A837" s="78"/>
      <c r="B837" s="78"/>
      <c r="C837" s="78"/>
      <c r="D837" s="78"/>
      <c r="E837" s="78"/>
      <c r="F837" s="78"/>
      <c r="G837" s="78"/>
      <c r="H837" s="78"/>
      <c r="I837" s="45"/>
      <c r="J837" s="45"/>
      <c r="K837" s="45"/>
      <c r="L837" s="45"/>
      <c r="M837" s="45"/>
      <c r="N837" s="45"/>
      <c r="O837" s="45"/>
      <c r="P837" s="45"/>
      <c r="Q837" s="45"/>
      <c r="R837" s="45"/>
      <c r="S837" s="45"/>
    </row>
    <row r="838">
      <c r="A838" s="78"/>
      <c r="B838" s="78"/>
      <c r="C838" s="78"/>
      <c r="D838" s="78"/>
      <c r="E838" s="78"/>
      <c r="F838" s="78"/>
      <c r="G838" s="78"/>
      <c r="H838" s="78"/>
      <c r="I838" s="45"/>
      <c r="J838" s="45"/>
      <c r="K838" s="45"/>
      <c r="L838" s="45"/>
      <c r="M838" s="45"/>
      <c r="N838" s="45"/>
      <c r="O838" s="45"/>
      <c r="P838" s="45"/>
      <c r="Q838" s="45"/>
      <c r="R838" s="45"/>
      <c r="S838" s="45"/>
    </row>
    <row r="839">
      <c r="A839" s="78"/>
      <c r="B839" s="78"/>
      <c r="C839" s="78"/>
      <c r="D839" s="78"/>
      <c r="E839" s="78"/>
      <c r="F839" s="78"/>
      <c r="G839" s="78"/>
      <c r="H839" s="78"/>
      <c r="I839" s="45"/>
      <c r="J839" s="45"/>
      <c r="K839" s="45"/>
      <c r="L839" s="45"/>
      <c r="M839" s="45"/>
      <c r="N839" s="45"/>
      <c r="O839" s="45"/>
      <c r="P839" s="45"/>
      <c r="Q839" s="45"/>
      <c r="R839" s="45"/>
      <c r="S839" s="45"/>
    </row>
    <row r="840">
      <c r="A840" s="78"/>
      <c r="B840" s="78"/>
      <c r="C840" s="78"/>
      <c r="D840" s="78"/>
      <c r="E840" s="78"/>
      <c r="F840" s="78"/>
      <c r="G840" s="78"/>
      <c r="H840" s="78"/>
      <c r="I840" s="45"/>
      <c r="J840" s="45"/>
      <c r="K840" s="45"/>
      <c r="L840" s="45"/>
      <c r="M840" s="45"/>
      <c r="N840" s="45"/>
      <c r="O840" s="45"/>
      <c r="P840" s="45"/>
      <c r="Q840" s="45"/>
      <c r="R840" s="45"/>
      <c r="S840" s="45"/>
    </row>
    <row r="841">
      <c r="A841" s="78"/>
      <c r="B841" s="78"/>
      <c r="C841" s="78"/>
      <c r="D841" s="78"/>
      <c r="E841" s="78"/>
      <c r="F841" s="78"/>
      <c r="G841" s="78"/>
      <c r="H841" s="78"/>
      <c r="I841" s="45"/>
      <c r="J841" s="45"/>
      <c r="K841" s="45"/>
      <c r="L841" s="45"/>
      <c r="M841" s="45"/>
      <c r="N841" s="45"/>
      <c r="O841" s="45"/>
      <c r="P841" s="45"/>
      <c r="Q841" s="45"/>
      <c r="R841" s="45"/>
      <c r="S841" s="45"/>
    </row>
    <row r="842">
      <c r="A842" s="78"/>
      <c r="B842" s="78"/>
      <c r="C842" s="78"/>
      <c r="D842" s="78"/>
      <c r="E842" s="78"/>
      <c r="F842" s="78"/>
      <c r="G842" s="78"/>
      <c r="H842" s="78"/>
      <c r="I842" s="45"/>
      <c r="J842" s="45"/>
      <c r="K842" s="45"/>
      <c r="L842" s="45"/>
      <c r="M842" s="45"/>
      <c r="N842" s="45"/>
      <c r="O842" s="45"/>
      <c r="P842" s="45"/>
      <c r="Q842" s="45"/>
      <c r="R842" s="45"/>
      <c r="S842" s="45"/>
    </row>
    <row r="843">
      <c r="A843" s="78"/>
      <c r="B843" s="78"/>
      <c r="C843" s="78"/>
      <c r="D843" s="78"/>
      <c r="E843" s="78"/>
      <c r="F843" s="78"/>
      <c r="G843" s="78"/>
      <c r="H843" s="78"/>
      <c r="I843" s="45"/>
      <c r="J843" s="45"/>
      <c r="K843" s="45"/>
      <c r="L843" s="45"/>
      <c r="M843" s="45"/>
      <c r="N843" s="45"/>
      <c r="O843" s="45"/>
      <c r="P843" s="45"/>
      <c r="Q843" s="45"/>
      <c r="R843" s="45"/>
      <c r="S843" s="45"/>
    </row>
    <row r="844">
      <c r="A844" s="78"/>
      <c r="B844" s="78"/>
      <c r="C844" s="78"/>
      <c r="D844" s="78"/>
      <c r="E844" s="78"/>
      <c r="F844" s="78"/>
      <c r="G844" s="78"/>
      <c r="H844" s="78"/>
      <c r="I844" s="45"/>
      <c r="J844" s="45"/>
      <c r="K844" s="45"/>
      <c r="L844" s="45"/>
      <c r="M844" s="45"/>
      <c r="N844" s="45"/>
      <c r="O844" s="45"/>
      <c r="P844" s="45"/>
      <c r="Q844" s="45"/>
      <c r="R844" s="45"/>
      <c r="S844" s="45"/>
    </row>
    <row r="845">
      <c r="A845" s="78"/>
      <c r="B845" s="78"/>
      <c r="C845" s="78"/>
      <c r="D845" s="78"/>
      <c r="E845" s="78"/>
      <c r="F845" s="78"/>
      <c r="G845" s="78"/>
      <c r="H845" s="78"/>
      <c r="I845" s="45"/>
      <c r="J845" s="45"/>
      <c r="K845" s="45"/>
      <c r="L845" s="45"/>
      <c r="M845" s="45"/>
      <c r="N845" s="45"/>
      <c r="O845" s="45"/>
      <c r="P845" s="45"/>
      <c r="Q845" s="45"/>
      <c r="R845" s="45"/>
      <c r="S845" s="45"/>
    </row>
    <row r="846">
      <c r="A846" s="78"/>
      <c r="B846" s="78"/>
      <c r="C846" s="78"/>
      <c r="D846" s="78"/>
      <c r="E846" s="78"/>
      <c r="F846" s="78"/>
      <c r="G846" s="78"/>
      <c r="H846" s="78"/>
      <c r="I846" s="45"/>
      <c r="J846" s="45"/>
      <c r="K846" s="45"/>
      <c r="L846" s="45"/>
      <c r="M846" s="45"/>
      <c r="N846" s="45"/>
      <c r="O846" s="45"/>
      <c r="P846" s="45"/>
      <c r="Q846" s="45"/>
      <c r="R846" s="45"/>
      <c r="S846" s="45"/>
    </row>
    <row r="847">
      <c r="A847" s="78"/>
      <c r="B847" s="78"/>
      <c r="C847" s="78"/>
      <c r="D847" s="78"/>
      <c r="E847" s="78"/>
      <c r="F847" s="78"/>
      <c r="G847" s="78"/>
      <c r="H847" s="78"/>
      <c r="I847" s="45"/>
      <c r="J847" s="45"/>
      <c r="K847" s="45"/>
      <c r="L847" s="45"/>
      <c r="M847" s="45"/>
      <c r="N847" s="45"/>
      <c r="O847" s="45"/>
      <c r="P847" s="45"/>
      <c r="Q847" s="45"/>
      <c r="R847" s="45"/>
      <c r="S847" s="45"/>
    </row>
    <row r="848">
      <c r="A848" s="78"/>
      <c r="B848" s="78"/>
      <c r="C848" s="78"/>
      <c r="D848" s="78"/>
      <c r="E848" s="78"/>
      <c r="F848" s="78"/>
      <c r="G848" s="78"/>
      <c r="H848" s="78"/>
      <c r="I848" s="45"/>
      <c r="J848" s="45"/>
      <c r="K848" s="45"/>
      <c r="L848" s="45"/>
      <c r="M848" s="45"/>
      <c r="N848" s="45"/>
      <c r="O848" s="45"/>
      <c r="P848" s="45"/>
      <c r="Q848" s="45"/>
      <c r="R848" s="45"/>
      <c r="S848" s="45"/>
    </row>
    <row r="849">
      <c r="A849" s="78"/>
      <c r="B849" s="78"/>
      <c r="C849" s="78"/>
      <c r="D849" s="78"/>
      <c r="E849" s="78"/>
      <c r="F849" s="78"/>
      <c r="G849" s="78"/>
      <c r="H849" s="78"/>
      <c r="I849" s="45"/>
      <c r="J849" s="45"/>
      <c r="K849" s="45"/>
      <c r="L849" s="45"/>
      <c r="M849" s="45"/>
      <c r="N849" s="45"/>
      <c r="O849" s="45"/>
      <c r="P849" s="45"/>
      <c r="Q849" s="45"/>
      <c r="R849" s="45"/>
      <c r="S849" s="45"/>
    </row>
    <row r="850">
      <c r="A850" s="78"/>
      <c r="B850" s="78"/>
      <c r="C850" s="78"/>
      <c r="D850" s="78"/>
      <c r="E850" s="78"/>
      <c r="F850" s="78"/>
      <c r="G850" s="78"/>
      <c r="H850" s="78"/>
      <c r="I850" s="45"/>
      <c r="J850" s="45"/>
      <c r="K850" s="45"/>
      <c r="L850" s="45"/>
      <c r="M850" s="45"/>
      <c r="N850" s="45"/>
      <c r="O850" s="45"/>
      <c r="P850" s="45"/>
      <c r="Q850" s="45"/>
      <c r="R850" s="45"/>
      <c r="S850" s="45"/>
    </row>
    <row r="851">
      <c r="A851" s="78"/>
      <c r="B851" s="78"/>
      <c r="C851" s="78"/>
      <c r="D851" s="78"/>
      <c r="E851" s="78"/>
      <c r="F851" s="78"/>
      <c r="G851" s="78"/>
      <c r="H851" s="78"/>
      <c r="I851" s="45"/>
      <c r="J851" s="45"/>
      <c r="K851" s="45"/>
      <c r="L851" s="45"/>
      <c r="M851" s="45"/>
      <c r="N851" s="45"/>
      <c r="O851" s="45"/>
      <c r="P851" s="45"/>
      <c r="Q851" s="45"/>
      <c r="R851" s="45"/>
      <c r="S851" s="45"/>
    </row>
    <row r="852">
      <c r="A852" s="78"/>
      <c r="B852" s="78"/>
      <c r="C852" s="78"/>
      <c r="D852" s="78"/>
      <c r="E852" s="78"/>
      <c r="F852" s="78"/>
      <c r="G852" s="78"/>
      <c r="H852" s="78"/>
      <c r="I852" s="45"/>
      <c r="J852" s="45"/>
      <c r="K852" s="45"/>
      <c r="L852" s="45"/>
      <c r="M852" s="45"/>
      <c r="N852" s="45"/>
      <c r="O852" s="45"/>
      <c r="P852" s="45"/>
      <c r="Q852" s="45"/>
      <c r="R852" s="45"/>
      <c r="S852" s="45"/>
    </row>
    <row r="853">
      <c r="A853" s="78"/>
      <c r="B853" s="78"/>
      <c r="C853" s="78"/>
      <c r="D853" s="78"/>
      <c r="E853" s="78"/>
      <c r="F853" s="78"/>
      <c r="G853" s="78"/>
      <c r="H853" s="78"/>
      <c r="I853" s="45"/>
      <c r="J853" s="45"/>
      <c r="K853" s="45"/>
      <c r="L853" s="45"/>
      <c r="M853" s="45"/>
      <c r="N853" s="45"/>
      <c r="O853" s="45"/>
      <c r="P853" s="45"/>
      <c r="Q853" s="45"/>
      <c r="R853" s="45"/>
      <c r="S853" s="45"/>
    </row>
    <row r="854">
      <c r="A854" s="78"/>
      <c r="B854" s="78"/>
      <c r="C854" s="78"/>
      <c r="D854" s="78"/>
      <c r="E854" s="78"/>
      <c r="F854" s="78"/>
      <c r="G854" s="78"/>
      <c r="H854" s="78"/>
      <c r="I854" s="45"/>
      <c r="J854" s="45"/>
      <c r="K854" s="45"/>
      <c r="L854" s="45"/>
      <c r="M854" s="45"/>
      <c r="N854" s="45"/>
      <c r="O854" s="45"/>
      <c r="P854" s="45"/>
      <c r="Q854" s="45"/>
      <c r="R854" s="45"/>
      <c r="S854" s="45"/>
    </row>
    <row r="855">
      <c r="A855" s="78"/>
      <c r="B855" s="78"/>
      <c r="C855" s="78"/>
      <c r="D855" s="78"/>
      <c r="E855" s="78"/>
      <c r="F855" s="78"/>
      <c r="G855" s="78"/>
      <c r="H855" s="78"/>
      <c r="I855" s="45"/>
      <c r="J855" s="45"/>
      <c r="K855" s="45"/>
      <c r="L855" s="45"/>
      <c r="M855" s="45"/>
      <c r="N855" s="45"/>
      <c r="O855" s="45"/>
      <c r="P855" s="45"/>
      <c r="Q855" s="45"/>
      <c r="R855" s="45"/>
      <c r="S855" s="45"/>
    </row>
    <row r="856">
      <c r="A856" s="78"/>
      <c r="B856" s="78"/>
      <c r="C856" s="78"/>
      <c r="D856" s="78"/>
      <c r="E856" s="78"/>
      <c r="F856" s="78"/>
      <c r="G856" s="78"/>
      <c r="H856" s="78"/>
      <c r="I856" s="45"/>
      <c r="J856" s="45"/>
      <c r="K856" s="45"/>
      <c r="L856" s="45"/>
      <c r="M856" s="45"/>
      <c r="N856" s="45"/>
      <c r="O856" s="45"/>
      <c r="P856" s="45"/>
      <c r="Q856" s="45"/>
      <c r="R856" s="45"/>
      <c r="S856" s="45"/>
    </row>
    <row r="857">
      <c r="A857" s="78"/>
      <c r="B857" s="78"/>
      <c r="C857" s="78"/>
      <c r="D857" s="78"/>
      <c r="E857" s="78"/>
      <c r="F857" s="78"/>
      <c r="G857" s="78"/>
      <c r="H857" s="78"/>
      <c r="I857" s="45"/>
      <c r="J857" s="45"/>
      <c r="K857" s="45"/>
      <c r="L857" s="45"/>
      <c r="M857" s="45"/>
      <c r="N857" s="45"/>
      <c r="O857" s="45"/>
      <c r="P857" s="45"/>
      <c r="Q857" s="45"/>
      <c r="R857" s="45"/>
      <c r="S857" s="45"/>
    </row>
    <row r="858">
      <c r="A858" s="78"/>
      <c r="B858" s="78"/>
      <c r="C858" s="78"/>
      <c r="D858" s="78"/>
      <c r="E858" s="78"/>
      <c r="F858" s="78"/>
      <c r="G858" s="78"/>
      <c r="H858" s="78"/>
      <c r="I858" s="45"/>
      <c r="J858" s="45"/>
      <c r="K858" s="45"/>
      <c r="L858" s="45"/>
      <c r="M858" s="45"/>
      <c r="N858" s="45"/>
      <c r="O858" s="45"/>
      <c r="P858" s="45"/>
      <c r="Q858" s="45"/>
      <c r="R858" s="45"/>
      <c r="S858" s="45"/>
    </row>
    <row r="859">
      <c r="A859" s="78"/>
      <c r="B859" s="78"/>
      <c r="C859" s="78"/>
      <c r="D859" s="78"/>
      <c r="E859" s="78"/>
      <c r="F859" s="78"/>
      <c r="G859" s="78"/>
      <c r="H859" s="78"/>
      <c r="I859" s="45"/>
      <c r="J859" s="45"/>
      <c r="K859" s="45"/>
      <c r="L859" s="45"/>
      <c r="M859" s="45"/>
      <c r="N859" s="45"/>
      <c r="O859" s="45"/>
      <c r="P859" s="45"/>
      <c r="Q859" s="45"/>
      <c r="R859" s="45"/>
      <c r="S859" s="45"/>
    </row>
    <row r="860">
      <c r="A860" s="78"/>
      <c r="B860" s="78"/>
      <c r="C860" s="78"/>
      <c r="D860" s="78"/>
      <c r="E860" s="78"/>
      <c r="F860" s="78"/>
      <c r="G860" s="78"/>
      <c r="H860" s="78"/>
      <c r="I860" s="45"/>
      <c r="J860" s="45"/>
      <c r="K860" s="45"/>
      <c r="L860" s="45"/>
      <c r="M860" s="45"/>
      <c r="N860" s="45"/>
      <c r="O860" s="45"/>
      <c r="P860" s="45"/>
      <c r="Q860" s="45"/>
      <c r="R860" s="45"/>
      <c r="S860" s="45"/>
    </row>
    <row r="861">
      <c r="A861" s="78"/>
      <c r="B861" s="78"/>
      <c r="C861" s="78"/>
      <c r="D861" s="78"/>
      <c r="E861" s="78"/>
      <c r="F861" s="78"/>
      <c r="G861" s="78"/>
      <c r="H861" s="78"/>
      <c r="I861" s="45"/>
      <c r="J861" s="45"/>
      <c r="K861" s="45"/>
      <c r="L861" s="45"/>
      <c r="M861" s="45"/>
      <c r="N861" s="45"/>
      <c r="O861" s="45"/>
      <c r="P861" s="45"/>
      <c r="Q861" s="45"/>
      <c r="R861" s="45"/>
      <c r="S861" s="45"/>
    </row>
    <row r="862">
      <c r="A862" s="78"/>
      <c r="B862" s="78"/>
      <c r="C862" s="78"/>
      <c r="D862" s="78"/>
      <c r="E862" s="78"/>
      <c r="F862" s="78"/>
      <c r="G862" s="78"/>
      <c r="H862" s="78"/>
      <c r="I862" s="45"/>
      <c r="J862" s="45"/>
      <c r="K862" s="45"/>
      <c r="L862" s="45"/>
      <c r="M862" s="45"/>
      <c r="N862" s="45"/>
      <c r="O862" s="45"/>
      <c r="P862" s="45"/>
      <c r="Q862" s="45"/>
      <c r="R862" s="45"/>
      <c r="S862" s="45"/>
    </row>
    <row r="863">
      <c r="A863" s="78"/>
      <c r="B863" s="78"/>
      <c r="C863" s="78"/>
      <c r="D863" s="78"/>
      <c r="E863" s="78"/>
      <c r="F863" s="78"/>
      <c r="G863" s="78"/>
      <c r="H863" s="78"/>
      <c r="I863" s="45"/>
      <c r="J863" s="45"/>
      <c r="K863" s="45"/>
      <c r="L863" s="45"/>
      <c r="M863" s="45"/>
      <c r="N863" s="45"/>
      <c r="O863" s="45"/>
      <c r="P863" s="45"/>
      <c r="Q863" s="45"/>
      <c r="R863" s="45"/>
      <c r="S863" s="45"/>
    </row>
    <row r="864">
      <c r="A864" s="78"/>
      <c r="B864" s="78"/>
      <c r="C864" s="78"/>
      <c r="D864" s="78"/>
      <c r="E864" s="78"/>
      <c r="F864" s="78"/>
      <c r="G864" s="78"/>
      <c r="H864" s="78"/>
      <c r="I864" s="45"/>
      <c r="J864" s="45"/>
      <c r="K864" s="45"/>
      <c r="L864" s="45"/>
      <c r="M864" s="45"/>
      <c r="N864" s="45"/>
      <c r="O864" s="45"/>
      <c r="P864" s="45"/>
      <c r="Q864" s="45"/>
      <c r="R864" s="45"/>
      <c r="S864" s="45"/>
    </row>
    <row r="865">
      <c r="A865" s="78"/>
      <c r="B865" s="78"/>
      <c r="C865" s="78"/>
      <c r="D865" s="78"/>
      <c r="E865" s="78"/>
      <c r="F865" s="78"/>
      <c r="G865" s="78"/>
      <c r="H865" s="78"/>
      <c r="I865" s="45"/>
      <c r="J865" s="45"/>
      <c r="K865" s="45"/>
      <c r="L865" s="45"/>
      <c r="M865" s="45"/>
      <c r="N865" s="45"/>
      <c r="O865" s="45"/>
      <c r="P865" s="45"/>
      <c r="Q865" s="45"/>
      <c r="R865" s="45"/>
      <c r="S865" s="45"/>
    </row>
    <row r="866">
      <c r="A866" s="78"/>
      <c r="B866" s="78"/>
      <c r="C866" s="78"/>
      <c r="D866" s="78"/>
      <c r="E866" s="78"/>
      <c r="F866" s="78"/>
      <c r="G866" s="78"/>
      <c r="H866" s="78"/>
      <c r="I866" s="45"/>
      <c r="J866" s="45"/>
      <c r="K866" s="45"/>
      <c r="L866" s="45"/>
      <c r="M866" s="45"/>
      <c r="N866" s="45"/>
      <c r="O866" s="45"/>
      <c r="P866" s="45"/>
      <c r="Q866" s="45"/>
      <c r="R866" s="45"/>
      <c r="S866" s="45"/>
    </row>
    <row r="867">
      <c r="A867" s="78"/>
      <c r="B867" s="78"/>
      <c r="C867" s="78"/>
      <c r="D867" s="78"/>
      <c r="E867" s="78"/>
      <c r="F867" s="78"/>
      <c r="G867" s="78"/>
      <c r="H867" s="78"/>
      <c r="I867" s="45"/>
      <c r="J867" s="45"/>
      <c r="K867" s="45"/>
      <c r="L867" s="45"/>
      <c r="M867" s="45"/>
      <c r="N867" s="45"/>
      <c r="O867" s="45"/>
      <c r="P867" s="45"/>
      <c r="Q867" s="45"/>
      <c r="R867" s="45"/>
      <c r="S867" s="45"/>
    </row>
    <row r="868">
      <c r="A868" s="78"/>
      <c r="B868" s="78"/>
      <c r="C868" s="78"/>
      <c r="D868" s="78"/>
      <c r="E868" s="78"/>
      <c r="F868" s="78"/>
      <c r="G868" s="78"/>
      <c r="H868" s="78"/>
      <c r="I868" s="45"/>
      <c r="J868" s="45"/>
      <c r="K868" s="45"/>
      <c r="L868" s="45"/>
      <c r="M868" s="45"/>
      <c r="N868" s="45"/>
      <c r="O868" s="45"/>
      <c r="P868" s="45"/>
      <c r="Q868" s="45"/>
      <c r="R868" s="45"/>
      <c r="S868" s="45"/>
    </row>
    <row r="869">
      <c r="A869" s="78"/>
      <c r="B869" s="78"/>
      <c r="C869" s="78"/>
      <c r="D869" s="78"/>
      <c r="E869" s="78"/>
      <c r="F869" s="78"/>
      <c r="G869" s="78"/>
      <c r="H869" s="78"/>
      <c r="I869" s="45"/>
      <c r="J869" s="45"/>
      <c r="K869" s="45"/>
      <c r="L869" s="45"/>
      <c r="M869" s="45"/>
      <c r="N869" s="45"/>
      <c r="O869" s="45"/>
      <c r="P869" s="45"/>
      <c r="Q869" s="45"/>
      <c r="R869" s="45"/>
      <c r="S869" s="45"/>
    </row>
    <row r="870">
      <c r="A870" s="78"/>
      <c r="B870" s="78"/>
      <c r="C870" s="78"/>
      <c r="D870" s="78"/>
      <c r="E870" s="78"/>
      <c r="F870" s="78"/>
      <c r="G870" s="78"/>
      <c r="H870" s="78"/>
      <c r="I870" s="45"/>
      <c r="J870" s="45"/>
      <c r="K870" s="45"/>
      <c r="L870" s="45"/>
      <c r="M870" s="45"/>
      <c r="N870" s="45"/>
      <c r="O870" s="45"/>
      <c r="P870" s="45"/>
      <c r="Q870" s="45"/>
      <c r="R870" s="45"/>
      <c r="S870" s="45"/>
    </row>
    <row r="871">
      <c r="A871" s="78"/>
      <c r="B871" s="78"/>
      <c r="C871" s="78"/>
      <c r="D871" s="78"/>
      <c r="E871" s="78"/>
      <c r="F871" s="78"/>
      <c r="G871" s="78"/>
      <c r="H871" s="78"/>
      <c r="I871" s="45"/>
      <c r="J871" s="45"/>
      <c r="K871" s="45"/>
      <c r="L871" s="45"/>
      <c r="M871" s="45"/>
      <c r="N871" s="45"/>
      <c r="O871" s="45"/>
      <c r="P871" s="45"/>
      <c r="Q871" s="45"/>
      <c r="R871" s="45"/>
      <c r="S871" s="45"/>
    </row>
    <row r="872">
      <c r="A872" s="78"/>
      <c r="B872" s="78"/>
      <c r="C872" s="78"/>
      <c r="D872" s="78"/>
      <c r="E872" s="78"/>
      <c r="F872" s="78"/>
      <c r="G872" s="78"/>
      <c r="H872" s="78"/>
      <c r="I872" s="45"/>
      <c r="J872" s="45"/>
      <c r="K872" s="45"/>
      <c r="L872" s="45"/>
      <c r="M872" s="45"/>
      <c r="N872" s="45"/>
      <c r="O872" s="45"/>
      <c r="P872" s="45"/>
      <c r="Q872" s="45"/>
      <c r="R872" s="45"/>
      <c r="S872" s="45"/>
    </row>
    <row r="873">
      <c r="A873" s="78"/>
      <c r="B873" s="78"/>
      <c r="C873" s="78"/>
      <c r="D873" s="78"/>
      <c r="E873" s="78"/>
      <c r="F873" s="78"/>
      <c r="G873" s="78"/>
      <c r="H873" s="78"/>
      <c r="I873" s="45"/>
      <c r="J873" s="45"/>
      <c r="K873" s="45"/>
      <c r="L873" s="45"/>
      <c r="M873" s="45"/>
      <c r="N873" s="45"/>
      <c r="O873" s="45"/>
      <c r="P873" s="45"/>
      <c r="Q873" s="45"/>
      <c r="R873" s="45"/>
      <c r="S873" s="45"/>
    </row>
    <row r="874">
      <c r="A874" s="78"/>
      <c r="B874" s="78"/>
      <c r="C874" s="78"/>
      <c r="D874" s="78"/>
      <c r="E874" s="78"/>
      <c r="F874" s="78"/>
      <c r="G874" s="78"/>
      <c r="H874" s="78"/>
      <c r="I874" s="45"/>
      <c r="J874" s="45"/>
      <c r="K874" s="45"/>
      <c r="L874" s="45"/>
      <c r="M874" s="45"/>
      <c r="N874" s="45"/>
      <c r="O874" s="45"/>
      <c r="P874" s="45"/>
      <c r="Q874" s="45"/>
      <c r="R874" s="45"/>
      <c r="S874" s="45"/>
    </row>
    <row r="875">
      <c r="A875" s="78"/>
      <c r="B875" s="78"/>
      <c r="C875" s="78"/>
      <c r="D875" s="78"/>
      <c r="E875" s="78"/>
      <c r="F875" s="78"/>
      <c r="G875" s="78"/>
      <c r="H875" s="78"/>
      <c r="I875" s="45"/>
      <c r="J875" s="45"/>
      <c r="K875" s="45"/>
      <c r="L875" s="45"/>
      <c r="M875" s="45"/>
      <c r="N875" s="45"/>
      <c r="O875" s="45"/>
      <c r="P875" s="45"/>
      <c r="Q875" s="45"/>
      <c r="R875" s="45"/>
      <c r="S875" s="45"/>
    </row>
    <row r="876">
      <c r="A876" s="78"/>
      <c r="B876" s="78"/>
      <c r="C876" s="78"/>
      <c r="D876" s="78"/>
      <c r="E876" s="78"/>
      <c r="F876" s="78"/>
      <c r="G876" s="78"/>
      <c r="H876" s="78"/>
      <c r="I876" s="45"/>
      <c r="J876" s="45"/>
      <c r="K876" s="45"/>
      <c r="L876" s="45"/>
      <c r="M876" s="45"/>
      <c r="N876" s="45"/>
      <c r="O876" s="45"/>
      <c r="P876" s="45"/>
      <c r="Q876" s="45"/>
      <c r="R876" s="45"/>
      <c r="S876" s="45"/>
    </row>
    <row r="877">
      <c r="A877" s="78"/>
      <c r="B877" s="78"/>
      <c r="C877" s="78"/>
      <c r="D877" s="78"/>
      <c r="E877" s="78"/>
      <c r="F877" s="78"/>
      <c r="G877" s="78"/>
      <c r="H877" s="78"/>
      <c r="I877" s="45"/>
      <c r="J877" s="45"/>
      <c r="K877" s="45"/>
      <c r="L877" s="45"/>
      <c r="M877" s="45"/>
      <c r="N877" s="45"/>
      <c r="O877" s="45"/>
      <c r="P877" s="45"/>
      <c r="Q877" s="45"/>
      <c r="R877" s="45"/>
      <c r="S877" s="45"/>
    </row>
    <row r="878">
      <c r="A878" s="78"/>
      <c r="B878" s="78"/>
      <c r="C878" s="78"/>
      <c r="D878" s="78"/>
      <c r="E878" s="78"/>
      <c r="F878" s="78"/>
      <c r="G878" s="78"/>
      <c r="H878" s="78"/>
      <c r="I878" s="45"/>
      <c r="J878" s="45"/>
      <c r="K878" s="45"/>
      <c r="L878" s="45"/>
      <c r="M878" s="45"/>
      <c r="N878" s="45"/>
      <c r="O878" s="45"/>
      <c r="P878" s="45"/>
      <c r="Q878" s="45"/>
      <c r="R878" s="45"/>
      <c r="S878" s="45"/>
    </row>
    <row r="879">
      <c r="A879" s="78"/>
      <c r="B879" s="78"/>
      <c r="C879" s="78"/>
      <c r="D879" s="78"/>
      <c r="E879" s="78"/>
      <c r="F879" s="78"/>
      <c r="G879" s="78"/>
      <c r="H879" s="78"/>
      <c r="I879" s="45"/>
      <c r="J879" s="45"/>
      <c r="K879" s="45"/>
      <c r="L879" s="45"/>
      <c r="M879" s="45"/>
      <c r="N879" s="45"/>
      <c r="O879" s="45"/>
      <c r="P879" s="45"/>
      <c r="Q879" s="45"/>
      <c r="R879" s="45"/>
      <c r="S879" s="45"/>
    </row>
    <row r="880">
      <c r="A880" s="78"/>
      <c r="B880" s="78"/>
      <c r="C880" s="78"/>
      <c r="D880" s="78"/>
      <c r="E880" s="78"/>
      <c r="F880" s="78"/>
      <c r="G880" s="78"/>
      <c r="H880" s="78"/>
      <c r="I880" s="45"/>
      <c r="J880" s="45"/>
      <c r="K880" s="45"/>
      <c r="L880" s="45"/>
      <c r="M880" s="45"/>
      <c r="N880" s="45"/>
      <c r="O880" s="45"/>
      <c r="P880" s="45"/>
      <c r="Q880" s="45"/>
      <c r="R880" s="45"/>
      <c r="S880" s="45"/>
    </row>
    <row r="881">
      <c r="A881" s="78"/>
      <c r="B881" s="78"/>
      <c r="C881" s="78"/>
      <c r="D881" s="78"/>
      <c r="E881" s="78"/>
      <c r="F881" s="78"/>
      <c r="G881" s="78"/>
      <c r="H881" s="78"/>
      <c r="I881" s="45"/>
      <c r="J881" s="45"/>
      <c r="K881" s="45"/>
      <c r="L881" s="45"/>
      <c r="M881" s="45"/>
      <c r="N881" s="45"/>
      <c r="O881" s="45"/>
      <c r="P881" s="45"/>
      <c r="Q881" s="45"/>
      <c r="R881" s="45"/>
      <c r="S881" s="45"/>
    </row>
    <row r="882">
      <c r="A882" s="78"/>
      <c r="B882" s="78"/>
      <c r="C882" s="78"/>
      <c r="D882" s="78"/>
      <c r="E882" s="78"/>
      <c r="F882" s="78"/>
      <c r="G882" s="78"/>
      <c r="H882" s="78"/>
      <c r="I882" s="45"/>
      <c r="J882" s="45"/>
      <c r="K882" s="45"/>
      <c r="L882" s="45"/>
      <c r="M882" s="45"/>
      <c r="N882" s="45"/>
      <c r="O882" s="45"/>
      <c r="P882" s="45"/>
      <c r="Q882" s="45"/>
      <c r="R882" s="45"/>
      <c r="S882" s="45"/>
    </row>
    <row r="883">
      <c r="A883" s="78"/>
      <c r="B883" s="78"/>
      <c r="C883" s="78"/>
      <c r="D883" s="78"/>
      <c r="E883" s="78"/>
      <c r="F883" s="78"/>
      <c r="G883" s="78"/>
      <c r="H883" s="78"/>
      <c r="I883" s="45"/>
      <c r="J883" s="45"/>
      <c r="K883" s="45"/>
      <c r="L883" s="45"/>
      <c r="M883" s="45"/>
      <c r="N883" s="45"/>
      <c r="O883" s="45"/>
      <c r="P883" s="45"/>
      <c r="Q883" s="45"/>
      <c r="R883" s="45"/>
      <c r="S883" s="45"/>
    </row>
    <row r="884">
      <c r="A884" s="78"/>
      <c r="B884" s="78"/>
      <c r="C884" s="78"/>
      <c r="D884" s="78"/>
      <c r="E884" s="78"/>
      <c r="F884" s="78"/>
      <c r="G884" s="78"/>
      <c r="H884" s="78"/>
      <c r="I884" s="45"/>
      <c r="J884" s="45"/>
      <c r="K884" s="45"/>
      <c r="L884" s="45"/>
      <c r="M884" s="45"/>
      <c r="N884" s="45"/>
      <c r="O884" s="45"/>
      <c r="P884" s="45"/>
      <c r="Q884" s="45"/>
      <c r="R884" s="45"/>
      <c r="S884" s="45"/>
    </row>
    <row r="885">
      <c r="A885" s="78"/>
      <c r="B885" s="78"/>
      <c r="C885" s="78"/>
      <c r="D885" s="78"/>
      <c r="E885" s="78"/>
      <c r="F885" s="78"/>
      <c r="G885" s="78"/>
      <c r="H885" s="78"/>
      <c r="I885" s="45"/>
      <c r="J885" s="45"/>
      <c r="K885" s="45"/>
      <c r="L885" s="45"/>
      <c r="M885" s="45"/>
      <c r="N885" s="45"/>
      <c r="O885" s="45"/>
      <c r="P885" s="45"/>
      <c r="Q885" s="45"/>
      <c r="R885" s="45"/>
      <c r="S885" s="45"/>
    </row>
    <row r="886">
      <c r="A886" s="78"/>
      <c r="B886" s="78"/>
      <c r="C886" s="78"/>
      <c r="D886" s="78"/>
      <c r="E886" s="78"/>
      <c r="F886" s="78"/>
      <c r="G886" s="78"/>
      <c r="H886" s="78"/>
      <c r="I886" s="45"/>
      <c r="J886" s="45"/>
      <c r="K886" s="45"/>
      <c r="L886" s="45"/>
      <c r="M886" s="45"/>
      <c r="N886" s="45"/>
      <c r="O886" s="45"/>
      <c r="P886" s="45"/>
      <c r="Q886" s="45"/>
      <c r="R886" s="45"/>
      <c r="S886" s="45"/>
    </row>
    <row r="887">
      <c r="A887" s="78"/>
      <c r="B887" s="78"/>
      <c r="C887" s="78"/>
      <c r="D887" s="78"/>
      <c r="E887" s="78"/>
      <c r="F887" s="78"/>
      <c r="G887" s="78"/>
      <c r="H887" s="78"/>
      <c r="I887" s="45"/>
      <c r="J887" s="45"/>
      <c r="K887" s="45"/>
      <c r="L887" s="45"/>
      <c r="M887" s="45"/>
      <c r="N887" s="45"/>
      <c r="O887" s="45"/>
      <c r="P887" s="45"/>
      <c r="Q887" s="45"/>
      <c r="R887" s="45"/>
      <c r="S887" s="45"/>
    </row>
    <row r="888">
      <c r="A888" s="78"/>
      <c r="B888" s="78"/>
      <c r="C888" s="78"/>
      <c r="D888" s="78"/>
      <c r="E888" s="78"/>
      <c r="F888" s="78"/>
      <c r="G888" s="78"/>
      <c r="H888" s="78"/>
      <c r="I888" s="45"/>
      <c r="J888" s="45"/>
      <c r="K888" s="45"/>
      <c r="L888" s="45"/>
      <c r="M888" s="45"/>
      <c r="N888" s="45"/>
      <c r="O888" s="45"/>
      <c r="P888" s="45"/>
      <c r="Q888" s="45"/>
      <c r="R888" s="45"/>
      <c r="S888" s="45"/>
    </row>
    <row r="889">
      <c r="A889" s="78"/>
      <c r="B889" s="78"/>
      <c r="C889" s="78"/>
      <c r="D889" s="78"/>
      <c r="E889" s="78"/>
      <c r="F889" s="78"/>
      <c r="G889" s="78"/>
      <c r="H889" s="78"/>
      <c r="I889" s="45"/>
      <c r="J889" s="45"/>
      <c r="K889" s="45"/>
      <c r="L889" s="45"/>
      <c r="M889" s="45"/>
      <c r="N889" s="45"/>
      <c r="O889" s="45"/>
      <c r="P889" s="45"/>
      <c r="Q889" s="45"/>
      <c r="R889" s="45"/>
      <c r="S889" s="45"/>
    </row>
    <row r="890">
      <c r="A890" s="78"/>
      <c r="B890" s="78"/>
      <c r="C890" s="78"/>
      <c r="D890" s="78"/>
      <c r="E890" s="78"/>
      <c r="F890" s="78"/>
      <c r="G890" s="78"/>
      <c r="H890" s="78"/>
      <c r="I890" s="45"/>
      <c r="J890" s="45"/>
      <c r="K890" s="45"/>
      <c r="L890" s="45"/>
      <c r="M890" s="45"/>
      <c r="N890" s="45"/>
      <c r="O890" s="45"/>
      <c r="P890" s="45"/>
      <c r="Q890" s="45"/>
      <c r="R890" s="45"/>
      <c r="S890" s="45"/>
    </row>
    <row r="891">
      <c r="A891" s="78"/>
      <c r="B891" s="78"/>
      <c r="C891" s="78"/>
      <c r="D891" s="78"/>
      <c r="E891" s="78"/>
      <c r="F891" s="78"/>
      <c r="G891" s="78"/>
      <c r="H891" s="78"/>
      <c r="I891" s="45"/>
      <c r="J891" s="45"/>
      <c r="K891" s="45"/>
      <c r="L891" s="45"/>
      <c r="M891" s="45"/>
      <c r="N891" s="45"/>
      <c r="O891" s="45"/>
      <c r="P891" s="45"/>
      <c r="Q891" s="45"/>
      <c r="R891" s="45"/>
      <c r="S891" s="45"/>
    </row>
    <row r="892">
      <c r="A892" s="78"/>
      <c r="B892" s="78"/>
      <c r="C892" s="78"/>
      <c r="D892" s="78"/>
      <c r="E892" s="78"/>
      <c r="F892" s="78"/>
      <c r="G892" s="78"/>
      <c r="H892" s="78"/>
      <c r="I892" s="45"/>
      <c r="J892" s="45"/>
      <c r="K892" s="45"/>
      <c r="L892" s="45"/>
      <c r="M892" s="45"/>
      <c r="N892" s="45"/>
      <c r="O892" s="45"/>
      <c r="P892" s="45"/>
      <c r="Q892" s="45"/>
      <c r="R892" s="45"/>
      <c r="S892" s="45"/>
    </row>
    <row r="893">
      <c r="A893" s="78"/>
      <c r="B893" s="78"/>
      <c r="C893" s="78"/>
      <c r="D893" s="78"/>
      <c r="E893" s="78"/>
      <c r="F893" s="78"/>
      <c r="G893" s="78"/>
      <c r="H893" s="78"/>
      <c r="I893" s="45"/>
      <c r="J893" s="45"/>
      <c r="K893" s="45"/>
      <c r="L893" s="45"/>
      <c r="M893" s="45"/>
      <c r="N893" s="45"/>
      <c r="O893" s="45"/>
      <c r="P893" s="45"/>
      <c r="Q893" s="45"/>
      <c r="R893" s="45"/>
      <c r="S893" s="45"/>
    </row>
    <row r="894">
      <c r="A894" s="78"/>
      <c r="B894" s="78"/>
      <c r="C894" s="78"/>
      <c r="D894" s="78"/>
      <c r="E894" s="78"/>
      <c r="F894" s="78"/>
      <c r="G894" s="78"/>
      <c r="H894" s="78"/>
      <c r="I894" s="45"/>
      <c r="J894" s="45"/>
      <c r="K894" s="45"/>
      <c r="L894" s="45"/>
      <c r="M894" s="45"/>
      <c r="N894" s="45"/>
      <c r="O894" s="45"/>
      <c r="P894" s="45"/>
      <c r="Q894" s="45"/>
      <c r="R894" s="45"/>
      <c r="S894" s="45"/>
    </row>
    <row r="895">
      <c r="A895" s="78"/>
      <c r="B895" s="78"/>
      <c r="C895" s="78"/>
      <c r="D895" s="78"/>
      <c r="E895" s="78"/>
      <c r="F895" s="78"/>
      <c r="G895" s="78"/>
      <c r="H895" s="78"/>
      <c r="I895" s="45"/>
      <c r="J895" s="45"/>
      <c r="K895" s="45"/>
      <c r="L895" s="45"/>
      <c r="M895" s="45"/>
      <c r="N895" s="45"/>
      <c r="O895" s="45"/>
      <c r="P895" s="45"/>
      <c r="Q895" s="45"/>
      <c r="R895" s="45"/>
      <c r="S895" s="45"/>
    </row>
    <row r="896">
      <c r="A896" s="78"/>
      <c r="B896" s="78"/>
      <c r="C896" s="78"/>
      <c r="D896" s="78"/>
      <c r="E896" s="78"/>
      <c r="F896" s="78"/>
      <c r="G896" s="78"/>
      <c r="H896" s="78"/>
      <c r="I896" s="45"/>
      <c r="J896" s="45"/>
      <c r="K896" s="45"/>
      <c r="L896" s="45"/>
      <c r="M896" s="45"/>
      <c r="N896" s="45"/>
      <c r="O896" s="45"/>
      <c r="P896" s="45"/>
      <c r="Q896" s="45"/>
      <c r="R896" s="45"/>
      <c r="S896" s="45"/>
    </row>
    <row r="897">
      <c r="A897" s="78"/>
      <c r="B897" s="78"/>
      <c r="C897" s="78"/>
      <c r="D897" s="78"/>
      <c r="E897" s="78"/>
      <c r="F897" s="78"/>
      <c r="G897" s="78"/>
      <c r="H897" s="78"/>
      <c r="I897" s="45"/>
      <c r="J897" s="45"/>
      <c r="K897" s="45"/>
      <c r="L897" s="45"/>
      <c r="M897" s="45"/>
      <c r="N897" s="45"/>
      <c r="O897" s="45"/>
      <c r="P897" s="45"/>
      <c r="Q897" s="45"/>
      <c r="R897" s="45"/>
      <c r="S897" s="45"/>
    </row>
    <row r="898">
      <c r="A898" s="78"/>
      <c r="B898" s="78"/>
      <c r="C898" s="78"/>
      <c r="D898" s="78"/>
      <c r="E898" s="78"/>
      <c r="F898" s="78"/>
      <c r="G898" s="78"/>
      <c r="H898" s="78"/>
      <c r="I898" s="45"/>
      <c r="J898" s="45"/>
      <c r="K898" s="45"/>
      <c r="L898" s="45"/>
      <c r="M898" s="45"/>
      <c r="N898" s="45"/>
      <c r="O898" s="45"/>
      <c r="P898" s="45"/>
      <c r="Q898" s="45"/>
      <c r="R898" s="45"/>
      <c r="S898" s="45"/>
    </row>
    <row r="899">
      <c r="A899" s="78"/>
      <c r="B899" s="78"/>
      <c r="C899" s="78"/>
      <c r="D899" s="78"/>
      <c r="E899" s="78"/>
      <c r="F899" s="78"/>
      <c r="G899" s="78"/>
      <c r="H899" s="78"/>
      <c r="I899" s="45"/>
      <c r="J899" s="45"/>
      <c r="K899" s="45"/>
      <c r="L899" s="45"/>
      <c r="M899" s="45"/>
      <c r="N899" s="45"/>
      <c r="O899" s="45"/>
      <c r="P899" s="45"/>
      <c r="Q899" s="45"/>
      <c r="R899" s="45"/>
      <c r="S899" s="45"/>
    </row>
    <row r="900">
      <c r="A900" s="78"/>
      <c r="B900" s="78"/>
      <c r="C900" s="78"/>
      <c r="D900" s="78"/>
      <c r="E900" s="78"/>
      <c r="F900" s="78"/>
      <c r="G900" s="78"/>
      <c r="H900" s="78"/>
      <c r="I900" s="45"/>
      <c r="J900" s="45"/>
      <c r="K900" s="45"/>
      <c r="L900" s="45"/>
      <c r="M900" s="45"/>
      <c r="N900" s="45"/>
      <c r="O900" s="45"/>
      <c r="P900" s="45"/>
      <c r="Q900" s="45"/>
      <c r="R900" s="45"/>
      <c r="S900" s="45"/>
    </row>
    <row r="901">
      <c r="A901" s="78"/>
      <c r="B901" s="78"/>
      <c r="C901" s="78"/>
      <c r="D901" s="78"/>
      <c r="E901" s="78"/>
      <c r="F901" s="78"/>
      <c r="G901" s="78"/>
      <c r="H901" s="78"/>
      <c r="I901" s="45"/>
      <c r="J901" s="45"/>
      <c r="K901" s="45"/>
      <c r="L901" s="45"/>
      <c r="M901" s="45"/>
      <c r="N901" s="45"/>
      <c r="O901" s="45"/>
      <c r="P901" s="45"/>
      <c r="Q901" s="45"/>
      <c r="R901" s="45"/>
      <c r="S901" s="45"/>
    </row>
    <row r="902">
      <c r="A902" s="78"/>
      <c r="B902" s="78"/>
      <c r="C902" s="78"/>
      <c r="D902" s="78"/>
      <c r="E902" s="78"/>
      <c r="F902" s="78"/>
      <c r="G902" s="78"/>
      <c r="H902" s="78"/>
      <c r="I902" s="45"/>
      <c r="J902" s="45"/>
      <c r="K902" s="45"/>
      <c r="L902" s="45"/>
      <c r="M902" s="45"/>
      <c r="N902" s="45"/>
      <c r="O902" s="45"/>
      <c r="P902" s="45"/>
      <c r="Q902" s="45"/>
      <c r="R902" s="45"/>
      <c r="S902" s="45"/>
    </row>
    <row r="903">
      <c r="A903" s="78"/>
      <c r="B903" s="78"/>
      <c r="C903" s="78"/>
      <c r="D903" s="78"/>
      <c r="E903" s="78"/>
      <c r="F903" s="78"/>
      <c r="G903" s="78"/>
      <c r="H903" s="78"/>
      <c r="I903" s="45"/>
      <c r="J903" s="45"/>
      <c r="K903" s="45"/>
      <c r="L903" s="45"/>
      <c r="M903" s="45"/>
      <c r="N903" s="45"/>
      <c r="O903" s="45"/>
      <c r="P903" s="45"/>
      <c r="Q903" s="45"/>
      <c r="R903" s="45"/>
      <c r="S903" s="45"/>
    </row>
    <row r="904">
      <c r="A904" s="78"/>
      <c r="B904" s="78"/>
      <c r="C904" s="78"/>
      <c r="D904" s="78"/>
      <c r="E904" s="78"/>
      <c r="F904" s="78"/>
      <c r="G904" s="78"/>
      <c r="H904" s="78"/>
      <c r="I904" s="45"/>
      <c r="J904" s="45"/>
      <c r="K904" s="45"/>
      <c r="L904" s="45"/>
      <c r="M904" s="45"/>
      <c r="N904" s="45"/>
      <c r="O904" s="45"/>
      <c r="P904" s="45"/>
      <c r="Q904" s="45"/>
      <c r="R904" s="45"/>
      <c r="S904" s="45"/>
    </row>
    <row r="905">
      <c r="A905" s="78"/>
      <c r="B905" s="78"/>
      <c r="C905" s="78"/>
      <c r="D905" s="78"/>
      <c r="E905" s="78"/>
      <c r="F905" s="78"/>
      <c r="G905" s="78"/>
      <c r="H905" s="78"/>
      <c r="I905" s="45"/>
      <c r="J905" s="45"/>
      <c r="K905" s="45"/>
      <c r="L905" s="45"/>
      <c r="M905" s="45"/>
      <c r="N905" s="45"/>
      <c r="O905" s="45"/>
      <c r="P905" s="45"/>
      <c r="Q905" s="45"/>
      <c r="R905" s="45"/>
      <c r="S905" s="45"/>
    </row>
    <row r="906">
      <c r="A906" s="78"/>
      <c r="B906" s="78"/>
      <c r="C906" s="78"/>
      <c r="D906" s="78"/>
      <c r="E906" s="78"/>
      <c r="F906" s="78"/>
      <c r="G906" s="78"/>
      <c r="H906" s="78"/>
      <c r="I906" s="45"/>
      <c r="J906" s="45"/>
      <c r="K906" s="45"/>
      <c r="L906" s="45"/>
      <c r="M906" s="45"/>
      <c r="N906" s="45"/>
      <c r="O906" s="45"/>
      <c r="P906" s="45"/>
      <c r="Q906" s="45"/>
      <c r="R906" s="45"/>
      <c r="S906" s="45"/>
    </row>
    <row r="907">
      <c r="A907" s="78"/>
      <c r="B907" s="78"/>
      <c r="C907" s="78"/>
      <c r="D907" s="78"/>
      <c r="E907" s="78"/>
      <c r="F907" s="78"/>
      <c r="G907" s="78"/>
      <c r="H907" s="78"/>
      <c r="I907" s="45"/>
      <c r="J907" s="45"/>
      <c r="K907" s="45"/>
      <c r="L907" s="45"/>
      <c r="M907" s="45"/>
      <c r="N907" s="45"/>
      <c r="O907" s="45"/>
      <c r="P907" s="45"/>
      <c r="Q907" s="45"/>
      <c r="R907" s="45"/>
      <c r="S907" s="45"/>
    </row>
    <row r="908">
      <c r="A908" s="78"/>
      <c r="B908" s="78"/>
      <c r="C908" s="78"/>
      <c r="D908" s="78"/>
      <c r="E908" s="78"/>
      <c r="F908" s="78"/>
      <c r="G908" s="78"/>
      <c r="H908" s="78"/>
      <c r="I908" s="45"/>
      <c r="J908" s="45"/>
      <c r="K908" s="45"/>
      <c r="L908" s="45"/>
      <c r="M908" s="45"/>
      <c r="N908" s="45"/>
      <c r="O908" s="45"/>
      <c r="P908" s="45"/>
      <c r="Q908" s="45"/>
      <c r="R908" s="45"/>
      <c r="S908" s="45"/>
    </row>
    <row r="909">
      <c r="A909" s="78"/>
      <c r="B909" s="78"/>
      <c r="C909" s="78"/>
      <c r="D909" s="78"/>
      <c r="E909" s="78"/>
      <c r="F909" s="78"/>
      <c r="G909" s="78"/>
      <c r="H909" s="78"/>
      <c r="I909" s="45"/>
      <c r="J909" s="45"/>
      <c r="K909" s="45"/>
      <c r="L909" s="45"/>
      <c r="M909" s="45"/>
      <c r="N909" s="45"/>
      <c r="O909" s="45"/>
      <c r="P909" s="45"/>
      <c r="Q909" s="45"/>
      <c r="R909" s="45"/>
      <c r="S909" s="45"/>
    </row>
    <row r="910">
      <c r="A910" s="78"/>
      <c r="B910" s="78"/>
      <c r="C910" s="78"/>
      <c r="D910" s="78"/>
      <c r="E910" s="78"/>
      <c r="F910" s="78"/>
      <c r="G910" s="78"/>
      <c r="H910" s="78"/>
      <c r="I910" s="45"/>
      <c r="J910" s="45"/>
      <c r="K910" s="45"/>
      <c r="L910" s="45"/>
      <c r="M910" s="45"/>
      <c r="N910" s="45"/>
      <c r="O910" s="45"/>
      <c r="P910" s="45"/>
      <c r="Q910" s="45"/>
      <c r="R910" s="45"/>
      <c r="S910" s="45"/>
    </row>
    <row r="911">
      <c r="A911" s="78"/>
      <c r="B911" s="78"/>
      <c r="C911" s="78"/>
      <c r="D911" s="78"/>
      <c r="E911" s="78"/>
      <c r="F911" s="78"/>
      <c r="G911" s="78"/>
      <c r="H911" s="78"/>
      <c r="I911" s="45"/>
      <c r="J911" s="45"/>
      <c r="K911" s="45"/>
      <c r="L911" s="45"/>
      <c r="M911" s="45"/>
      <c r="N911" s="45"/>
      <c r="O911" s="45"/>
      <c r="P911" s="45"/>
      <c r="Q911" s="45"/>
      <c r="R911" s="45"/>
      <c r="S911" s="45"/>
    </row>
    <row r="912">
      <c r="A912" s="78"/>
      <c r="B912" s="78"/>
      <c r="C912" s="78"/>
      <c r="D912" s="78"/>
      <c r="E912" s="78"/>
      <c r="F912" s="78"/>
      <c r="G912" s="78"/>
      <c r="H912" s="78"/>
      <c r="I912" s="45"/>
      <c r="J912" s="45"/>
      <c r="K912" s="45"/>
      <c r="L912" s="45"/>
      <c r="M912" s="45"/>
      <c r="N912" s="45"/>
      <c r="O912" s="45"/>
      <c r="P912" s="45"/>
      <c r="Q912" s="45"/>
      <c r="R912" s="45"/>
      <c r="S912" s="45"/>
    </row>
    <row r="913">
      <c r="A913" s="78"/>
      <c r="B913" s="78"/>
      <c r="C913" s="78"/>
      <c r="D913" s="78"/>
      <c r="E913" s="78"/>
      <c r="F913" s="78"/>
      <c r="G913" s="78"/>
      <c r="H913" s="78"/>
      <c r="I913" s="45"/>
      <c r="J913" s="45"/>
      <c r="K913" s="45"/>
      <c r="L913" s="45"/>
      <c r="M913" s="45"/>
      <c r="N913" s="45"/>
      <c r="O913" s="45"/>
      <c r="P913" s="45"/>
      <c r="Q913" s="45"/>
      <c r="R913" s="45"/>
      <c r="S913" s="45"/>
    </row>
    <row r="914">
      <c r="A914" s="78"/>
      <c r="B914" s="78"/>
      <c r="C914" s="78"/>
      <c r="D914" s="78"/>
      <c r="E914" s="78"/>
      <c r="F914" s="78"/>
      <c r="G914" s="78"/>
      <c r="H914" s="78"/>
      <c r="I914" s="45"/>
      <c r="J914" s="45"/>
      <c r="K914" s="45"/>
      <c r="L914" s="45"/>
      <c r="M914" s="45"/>
      <c r="N914" s="45"/>
      <c r="O914" s="45"/>
      <c r="P914" s="45"/>
      <c r="Q914" s="45"/>
      <c r="R914" s="45"/>
      <c r="S914" s="45"/>
    </row>
    <row r="915">
      <c r="A915" s="78"/>
      <c r="B915" s="78"/>
      <c r="C915" s="78"/>
      <c r="D915" s="78"/>
      <c r="E915" s="78"/>
      <c r="F915" s="78"/>
      <c r="G915" s="78"/>
      <c r="H915" s="78"/>
      <c r="I915" s="45"/>
      <c r="J915" s="45"/>
      <c r="K915" s="45"/>
      <c r="L915" s="45"/>
      <c r="M915" s="45"/>
      <c r="N915" s="45"/>
      <c r="O915" s="45"/>
      <c r="P915" s="45"/>
      <c r="Q915" s="45"/>
      <c r="R915" s="45"/>
      <c r="S915" s="45"/>
    </row>
    <row r="916">
      <c r="A916" s="78"/>
      <c r="B916" s="78"/>
      <c r="C916" s="78"/>
      <c r="D916" s="78"/>
      <c r="E916" s="78"/>
      <c r="F916" s="78"/>
      <c r="G916" s="78"/>
      <c r="H916" s="78"/>
      <c r="I916" s="45"/>
      <c r="J916" s="45"/>
      <c r="K916" s="45"/>
      <c r="L916" s="45"/>
      <c r="M916" s="45"/>
      <c r="N916" s="45"/>
      <c r="O916" s="45"/>
      <c r="P916" s="45"/>
      <c r="Q916" s="45"/>
      <c r="R916" s="45"/>
      <c r="S916" s="45"/>
    </row>
    <row r="917">
      <c r="A917" s="78"/>
      <c r="B917" s="78"/>
      <c r="C917" s="78"/>
      <c r="D917" s="78"/>
      <c r="E917" s="78"/>
      <c r="F917" s="78"/>
      <c r="G917" s="78"/>
      <c r="H917" s="78"/>
      <c r="I917" s="45"/>
      <c r="J917" s="45"/>
      <c r="K917" s="45"/>
      <c r="L917" s="45"/>
      <c r="M917" s="45"/>
      <c r="N917" s="45"/>
      <c r="O917" s="45"/>
      <c r="P917" s="45"/>
      <c r="Q917" s="45"/>
      <c r="R917" s="45"/>
      <c r="S917" s="45"/>
    </row>
    <row r="918">
      <c r="A918" s="78"/>
      <c r="B918" s="78"/>
      <c r="C918" s="78"/>
      <c r="D918" s="78"/>
      <c r="E918" s="78"/>
      <c r="F918" s="78"/>
      <c r="G918" s="78"/>
      <c r="H918" s="78"/>
      <c r="I918" s="45"/>
      <c r="J918" s="45"/>
      <c r="K918" s="45"/>
      <c r="L918" s="45"/>
      <c r="M918" s="45"/>
      <c r="N918" s="45"/>
      <c r="O918" s="45"/>
      <c r="P918" s="45"/>
      <c r="Q918" s="45"/>
      <c r="R918" s="45"/>
      <c r="S918" s="45"/>
    </row>
    <row r="919">
      <c r="A919" s="78"/>
      <c r="B919" s="78"/>
      <c r="C919" s="78"/>
      <c r="D919" s="78"/>
      <c r="E919" s="78"/>
      <c r="F919" s="78"/>
      <c r="G919" s="78"/>
      <c r="H919" s="78"/>
      <c r="I919" s="45"/>
      <c r="J919" s="45"/>
      <c r="K919" s="45"/>
      <c r="L919" s="45"/>
      <c r="M919" s="45"/>
      <c r="N919" s="45"/>
      <c r="O919" s="45"/>
      <c r="P919" s="45"/>
      <c r="Q919" s="45"/>
      <c r="R919" s="45"/>
      <c r="S919" s="45"/>
    </row>
    <row r="920">
      <c r="A920" s="78"/>
      <c r="B920" s="78"/>
      <c r="C920" s="78"/>
      <c r="D920" s="78"/>
      <c r="E920" s="78"/>
      <c r="F920" s="78"/>
      <c r="G920" s="78"/>
      <c r="H920" s="78"/>
      <c r="I920" s="45"/>
      <c r="J920" s="45"/>
      <c r="K920" s="45"/>
      <c r="L920" s="45"/>
      <c r="M920" s="45"/>
      <c r="N920" s="45"/>
      <c r="O920" s="45"/>
      <c r="P920" s="45"/>
      <c r="Q920" s="45"/>
      <c r="R920" s="45"/>
      <c r="S920" s="45"/>
    </row>
    <row r="921">
      <c r="A921" s="78"/>
      <c r="B921" s="78"/>
      <c r="C921" s="78"/>
      <c r="D921" s="78"/>
      <c r="E921" s="78"/>
      <c r="F921" s="78"/>
      <c r="G921" s="78"/>
      <c r="H921" s="78"/>
      <c r="I921" s="45"/>
      <c r="J921" s="45"/>
      <c r="K921" s="45"/>
      <c r="L921" s="45"/>
      <c r="M921" s="45"/>
      <c r="N921" s="45"/>
      <c r="O921" s="45"/>
      <c r="P921" s="45"/>
      <c r="Q921" s="45"/>
      <c r="R921" s="45"/>
      <c r="S921" s="45"/>
    </row>
    <row r="922">
      <c r="A922" s="78"/>
      <c r="B922" s="78"/>
      <c r="C922" s="78"/>
      <c r="D922" s="78"/>
      <c r="E922" s="78"/>
      <c r="F922" s="78"/>
      <c r="G922" s="78"/>
      <c r="H922" s="78"/>
      <c r="I922" s="45"/>
      <c r="J922" s="45"/>
      <c r="K922" s="45"/>
      <c r="L922" s="45"/>
      <c r="M922" s="45"/>
      <c r="N922" s="45"/>
      <c r="O922" s="45"/>
      <c r="P922" s="45"/>
      <c r="Q922" s="45"/>
      <c r="R922" s="45"/>
      <c r="S922" s="45"/>
    </row>
    <row r="923">
      <c r="A923" s="78"/>
      <c r="B923" s="78"/>
      <c r="C923" s="78"/>
      <c r="D923" s="78"/>
      <c r="E923" s="78"/>
      <c r="F923" s="78"/>
      <c r="G923" s="78"/>
      <c r="H923" s="78"/>
      <c r="I923" s="45"/>
      <c r="J923" s="45"/>
      <c r="K923" s="45"/>
      <c r="L923" s="45"/>
      <c r="M923" s="45"/>
      <c r="N923" s="45"/>
      <c r="O923" s="45"/>
      <c r="P923" s="45"/>
      <c r="Q923" s="45"/>
      <c r="R923" s="45"/>
      <c r="S923" s="45"/>
    </row>
    <row r="924">
      <c r="A924" s="78"/>
      <c r="B924" s="78"/>
      <c r="C924" s="78"/>
      <c r="D924" s="78"/>
      <c r="E924" s="78"/>
      <c r="F924" s="78"/>
      <c r="G924" s="78"/>
      <c r="H924" s="78"/>
      <c r="I924" s="45"/>
      <c r="J924" s="45"/>
      <c r="K924" s="45"/>
      <c r="L924" s="45"/>
      <c r="M924" s="45"/>
      <c r="N924" s="45"/>
      <c r="O924" s="45"/>
      <c r="P924" s="45"/>
      <c r="Q924" s="45"/>
      <c r="R924" s="45"/>
      <c r="S924" s="45"/>
    </row>
    <row r="925">
      <c r="A925" s="78"/>
      <c r="B925" s="78"/>
      <c r="C925" s="78"/>
      <c r="D925" s="78"/>
      <c r="E925" s="78"/>
      <c r="F925" s="78"/>
      <c r="G925" s="78"/>
      <c r="H925" s="78"/>
      <c r="I925" s="45"/>
      <c r="J925" s="45"/>
      <c r="K925" s="45"/>
      <c r="L925" s="45"/>
      <c r="M925" s="45"/>
      <c r="N925" s="45"/>
      <c r="O925" s="45"/>
      <c r="P925" s="45"/>
      <c r="Q925" s="45"/>
      <c r="R925" s="45"/>
      <c r="S925" s="45"/>
    </row>
    <row r="926">
      <c r="A926" s="78"/>
      <c r="B926" s="78"/>
      <c r="C926" s="78"/>
      <c r="D926" s="78"/>
      <c r="E926" s="78"/>
      <c r="F926" s="78"/>
      <c r="G926" s="78"/>
      <c r="H926" s="78"/>
      <c r="I926" s="45"/>
      <c r="J926" s="45"/>
      <c r="K926" s="45"/>
      <c r="L926" s="45"/>
      <c r="M926" s="45"/>
      <c r="N926" s="45"/>
      <c r="O926" s="45"/>
      <c r="P926" s="45"/>
      <c r="Q926" s="45"/>
      <c r="R926" s="45"/>
      <c r="S926" s="45"/>
    </row>
    <row r="927">
      <c r="A927" s="78"/>
      <c r="B927" s="78"/>
      <c r="C927" s="78"/>
      <c r="D927" s="78"/>
      <c r="E927" s="78"/>
      <c r="F927" s="78"/>
      <c r="G927" s="78"/>
      <c r="H927" s="78"/>
      <c r="I927" s="45"/>
      <c r="J927" s="45"/>
      <c r="K927" s="45"/>
      <c r="L927" s="45"/>
      <c r="M927" s="45"/>
      <c r="N927" s="45"/>
      <c r="O927" s="45"/>
      <c r="P927" s="45"/>
      <c r="Q927" s="45"/>
      <c r="R927" s="45"/>
      <c r="S927" s="45"/>
    </row>
    <row r="928">
      <c r="A928" s="78"/>
      <c r="B928" s="78"/>
      <c r="C928" s="78"/>
      <c r="D928" s="78"/>
      <c r="E928" s="78"/>
      <c r="F928" s="78"/>
      <c r="G928" s="78"/>
      <c r="H928" s="78"/>
      <c r="I928" s="45"/>
      <c r="J928" s="45"/>
      <c r="K928" s="45"/>
      <c r="L928" s="45"/>
      <c r="M928" s="45"/>
      <c r="N928" s="45"/>
      <c r="O928" s="45"/>
      <c r="P928" s="45"/>
      <c r="Q928" s="45"/>
      <c r="R928" s="45"/>
      <c r="S928" s="45"/>
    </row>
    <row r="929">
      <c r="A929" s="78"/>
      <c r="B929" s="78"/>
      <c r="C929" s="78"/>
      <c r="D929" s="78"/>
      <c r="E929" s="78"/>
      <c r="F929" s="78"/>
      <c r="G929" s="78"/>
      <c r="H929" s="78"/>
      <c r="I929" s="45"/>
      <c r="J929" s="45"/>
      <c r="K929" s="45"/>
      <c r="L929" s="45"/>
      <c r="M929" s="45"/>
      <c r="N929" s="45"/>
      <c r="O929" s="45"/>
      <c r="P929" s="45"/>
      <c r="Q929" s="45"/>
      <c r="R929" s="45"/>
      <c r="S929" s="45"/>
    </row>
    <row r="930">
      <c r="A930" s="78"/>
      <c r="B930" s="78"/>
      <c r="C930" s="78"/>
      <c r="D930" s="78"/>
      <c r="E930" s="78"/>
      <c r="F930" s="78"/>
      <c r="G930" s="78"/>
      <c r="H930" s="78"/>
      <c r="I930" s="45"/>
      <c r="J930" s="45"/>
      <c r="K930" s="45"/>
      <c r="L930" s="45"/>
      <c r="M930" s="45"/>
      <c r="N930" s="45"/>
      <c r="O930" s="45"/>
      <c r="P930" s="45"/>
      <c r="Q930" s="45"/>
      <c r="R930" s="45"/>
      <c r="S930" s="45"/>
    </row>
    <row r="931">
      <c r="A931" s="78"/>
      <c r="B931" s="78"/>
      <c r="C931" s="78"/>
      <c r="D931" s="78"/>
      <c r="E931" s="78"/>
      <c r="F931" s="78"/>
      <c r="G931" s="78"/>
      <c r="H931" s="78"/>
      <c r="I931" s="45"/>
      <c r="J931" s="45"/>
      <c r="K931" s="45"/>
      <c r="L931" s="45"/>
      <c r="M931" s="45"/>
      <c r="N931" s="45"/>
      <c r="O931" s="45"/>
      <c r="P931" s="45"/>
      <c r="Q931" s="45"/>
      <c r="R931" s="45"/>
      <c r="S931" s="45"/>
    </row>
    <row r="932">
      <c r="A932" s="78"/>
      <c r="B932" s="78"/>
      <c r="C932" s="78"/>
      <c r="D932" s="78"/>
      <c r="E932" s="78"/>
      <c r="F932" s="78"/>
      <c r="G932" s="78"/>
      <c r="H932" s="78"/>
      <c r="I932" s="45"/>
      <c r="J932" s="45"/>
      <c r="K932" s="45"/>
      <c r="L932" s="45"/>
      <c r="M932" s="45"/>
      <c r="N932" s="45"/>
      <c r="O932" s="45"/>
      <c r="P932" s="45"/>
      <c r="Q932" s="45"/>
      <c r="R932" s="45"/>
      <c r="S932" s="45"/>
    </row>
    <row r="933">
      <c r="A933" s="78"/>
      <c r="B933" s="78"/>
      <c r="C933" s="78"/>
      <c r="D933" s="78"/>
      <c r="E933" s="78"/>
      <c r="F933" s="78"/>
      <c r="G933" s="78"/>
      <c r="H933" s="78"/>
      <c r="I933" s="45"/>
      <c r="J933" s="45"/>
      <c r="K933" s="45"/>
      <c r="L933" s="45"/>
      <c r="M933" s="45"/>
      <c r="N933" s="45"/>
      <c r="O933" s="45"/>
      <c r="P933" s="45"/>
      <c r="Q933" s="45"/>
      <c r="R933" s="45"/>
      <c r="S933" s="45"/>
    </row>
    <row r="934">
      <c r="A934" s="78"/>
      <c r="B934" s="78"/>
      <c r="C934" s="78"/>
      <c r="D934" s="78"/>
      <c r="E934" s="78"/>
      <c r="F934" s="78"/>
      <c r="G934" s="78"/>
      <c r="H934" s="78"/>
      <c r="I934" s="45"/>
      <c r="J934" s="45"/>
      <c r="K934" s="45"/>
      <c r="L934" s="45"/>
      <c r="M934" s="45"/>
      <c r="N934" s="45"/>
      <c r="O934" s="45"/>
      <c r="P934" s="45"/>
      <c r="Q934" s="45"/>
      <c r="R934" s="45"/>
      <c r="S934" s="45"/>
    </row>
    <row r="935">
      <c r="A935" s="78"/>
      <c r="B935" s="78"/>
      <c r="C935" s="78"/>
      <c r="D935" s="78"/>
      <c r="E935" s="78"/>
      <c r="F935" s="78"/>
      <c r="G935" s="78"/>
      <c r="H935" s="78"/>
      <c r="I935" s="45"/>
      <c r="J935" s="45"/>
      <c r="K935" s="45"/>
      <c r="L935" s="45"/>
      <c r="M935" s="45"/>
      <c r="N935" s="45"/>
      <c r="O935" s="45"/>
      <c r="P935" s="45"/>
      <c r="Q935" s="45"/>
      <c r="R935" s="45"/>
      <c r="S935" s="45"/>
    </row>
    <row r="936">
      <c r="A936" s="78"/>
      <c r="B936" s="78"/>
      <c r="C936" s="78"/>
      <c r="D936" s="78"/>
      <c r="E936" s="78"/>
      <c r="F936" s="78"/>
      <c r="G936" s="78"/>
      <c r="H936" s="78"/>
      <c r="I936" s="45"/>
      <c r="J936" s="45"/>
      <c r="K936" s="45"/>
      <c r="L936" s="45"/>
      <c r="M936" s="45"/>
      <c r="N936" s="45"/>
      <c r="O936" s="45"/>
      <c r="P936" s="45"/>
      <c r="Q936" s="45"/>
      <c r="R936" s="45"/>
      <c r="S936" s="45"/>
    </row>
    <row r="937">
      <c r="A937" s="78"/>
      <c r="B937" s="78"/>
      <c r="C937" s="78"/>
      <c r="D937" s="78"/>
      <c r="E937" s="78"/>
      <c r="F937" s="78"/>
      <c r="G937" s="78"/>
      <c r="H937" s="78"/>
      <c r="I937" s="45"/>
      <c r="J937" s="45"/>
      <c r="K937" s="45"/>
      <c r="L937" s="45"/>
      <c r="M937" s="45"/>
      <c r="N937" s="45"/>
      <c r="O937" s="45"/>
      <c r="P937" s="45"/>
      <c r="Q937" s="45"/>
      <c r="R937" s="45"/>
      <c r="S937" s="45"/>
    </row>
    <row r="938">
      <c r="A938" s="78"/>
      <c r="B938" s="78"/>
      <c r="C938" s="78"/>
      <c r="D938" s="78"/>
      <c r="E938" s="78"/>
      <c r="F938" s="78"/>
      <c r="G938" s="78"/>
      <c r="H938" s="78"/>
      <c r="I938" s="45"/>
      <c r="J938" s="45"/>
      <c r="K938" s="45"/>
      <c r="L938" s="45"/>
      <c r="M938" s="45"/>
      <c r="N938" s="45"/>
      <c r="O938" s="45"/>
      <c r="P938" s="45"/>
      <c r="Q938" s="45"/>
      <c r="R938" s="45"/>
      <c r="S938" s="45"/>
    </row>
    <row r="939">
      <c r="A939" s="78"/>
      <c r="B939" s="78"/>
      <c r="C939" s="78"/>
      <c r="D939" s="78"/>
      <c r="E939" s="78"/>
      <c r="F939" s="78"/>
      <c r="G939" s="78"/>
      <c r="H939" s="78"/>
      <c r="I939" s="45"/>
      <c r="J939" s="45"/>
      <c r="K939" s="45"/>
      <c r="L939" s="45"/>
      <c r="M939" s="45"/>
      <c r="N939" s="45"/>
      <c r="O939" s="45"/>
      <c r="P939" s="45"/>
      <c r="Q939" s="45"/>
      <c r="R939" s="45"/>
      <c r="S939" s="45"/>
    </row>
    <row r="940">
      <c r="A940" s="78"/>
      <c r="B940" s="78"/>
      <c r="C940" s="78"/>
      <c r="D940" s="78"/>
      <c r="E940" s="78"/>
      <c r="F940" s="78"/>
      <c r="G940" s="78"/>
      <c r="H940" s="78"/>
      <c r="I940" s="45"/>
      <c r="J940" s="45"/>
      <c r="K940" s="45"/>
      <c r="L940" s="45"/>
      <c r="M940" s="45"/>
      <c r="N940" s="45"/>
      <c r="O940" s="45"/>
      <c r="P940" s="45"/>
      <c r="Q940" s="45"/>
      <c r="R940" s="45"/>
      <c r="S940" s="45"/>
    </row>
    <row r="941">
      <c r="A941" s="78"/>
      <c r="B941" s="78"/>
      <c r="C941" s="78"/>
      <c r="D941" s="78"/>
      <c r="E941" s="78"/>
      <c r="F941" s="78"/>
      <c r="G941" s="78"/>
      <c r="H941" s="78"/>
      <c r="I941" s="45"/>
      <c r="J941" s="45"/>
      <c r="K941" s="45"/>
      <c r="L941" s="45"/>
      <c r="M941" s="45"/>
      <c r="N941" s="45"/>
      <c r="O941" s="45"/>
      <c r="P941" s="45"/>
      <c r="Q941" s="45"/>
      <c r="R941" s="45"/>
      <c r="S941" s="45"/>
    </row>
    <row r="942">
      <c r="A942" s="78"/>
      <c r="B942" s="78"/>
      <c r="C942" s="78"/>
      <c r="D942" s="78"/>
      <c r="E942" s="78"/>
      <c r="F942" s="78"/>
      <c r="G942" s="78"/>
      <c r="H942" s="78"/>
      <c r="I942" s="45"/>
      <c r="J942" s="45"/>
      <c r="K942" s="45"/>
      <c r="L942" s="45"/>
      <c r="M942" s="45"/>
      <c r="N942" s="45"/>
      <c r="O942" s="45"/>
      <c r="P942" s="45"/>
      <c r="Q942" s="45"/>
      <c r="R942" s="45"/>
      <c r="S942" s="45"/>
    </row>
    <row r="943">
      <c r="A943" s="78"/>
      <c r="B943" s="78"/>
      <c r="C943" s="78"/>
      <c r="D943" s="78"/>
      <c r="E943" s="78"/>
      <c r="F943" s="78"/>
      <c r="G943" s="78"/>
      <c r="H943" s="78"/>
      <c r="I943" s="45"/>
      <c r="J943" s="45"/>
      <c r="K943" s="45"/>
      <c r="L943" s="45"/>
      <c r="M943" s="45"/>
      <c r="N943" s="45"/>
      <c r="O943" s="45"/>
      <c r="P943" s="45"/>
      <c r="Q943" s="45"/>
      <c r="R943" s="45"/>
      <c r="S943" s="45"/>
    </row>
    <row r="944">
      <c r="A944" s="78"/>
      <c r="B944" s="78"/>
      <c r="C944" s="78"/>
      <c r="D944" s="78"/>
      <c r="E944" s="78"/>
      <c r="F944" s="78"/>
      <c r="G944" s="78"/>
      <c r="H944" s="78"/>
      <c r="I944" s="45"/>
      <c r="J944" s="45"/>
      <c r="K944" s="45"/>
      <c r="L944" s="45"/>
      <c r="M944" s="45"/>
      <c r="N944" s="45"/>
      <c r="O944" s="45"/>
      <c r="P944" s="45"/>
      <c r="Q944" s="45"/>
      <c r="R944" s="45"/>
      <c r="S944" s="45"/>
    </row>
    <row r="945">
      <c r="A945" s="78"/>
      <c r="B945" s="78"/>
      <c r="C945" s="78"/>
      <c r="D945" s="78"/>
      <c r="E945" s="78"/>
      <c r="F945" s="78"/>
      <c r="G945" s="78"/>
      <c r="H945" s="78"/>
      <c r="I945" s="45"/>
      <c r="J945" s="45"/>
      <c r="K945" s="45"/>
      <c r="L945" s="45"/>
      <c r="M945" s="45"/>
      <c r="N945" s="45"/>
      <c r="O945" s="45"/>
      <c r="P945" s="45"/>
      <c r="Q945" s="45"/>
      <c r="R945" s="45"/>
      <c r="S945" s="45"/>
    </row>
    <row r="946">
      <c r="A946" s="78"/>
      <c r="B946" s="78"/>
      <c r="C946" s="78"/>
      <c r="D946" s="78"/>
      <c r="E946" s="78"/>
      <c r="F946" s="78"/>
      <c r="G946" s="78"/>
      <c r="H946" s="78"/>
      <c r="I946" s="45"/>
      <c r="J946" s="45"/>
      <c r="K946" s="45"/>
      <c r="L946" s="45"/>
      <c r="M946" s="45"/>
      <c r="N946" s="45"/>
      <c r="O946" s="45"/>
      <c r="P946" s="45"/>
      <c r="Q946" s="45"/>
      <c r="R946" s="45"/>
      <c r="S946" s="45"/>
    </row>
    <row r="947">
      <c r="A947" s="78"/>
      <c r="B947" s="78"/>
      <c r="C947" s="78"/>
      <c r="D947" s="78"/>
      <c r="E947" s="78"/>
      <c r="F947" s="78"/>
      <c r="G947" s="78"/>
      <c r="H947" s="78"/>
      <c r="I947" s="45"/>
      <c r="J947" s="45"/>
      <c r="K947" s="45"/>
      <c r="L947" s="45"/>
      <c r="M947" s="45"/>
      <c r="N947" s="45"/>
      <c r="O947" s="45"/>
      <c r="P947" s="45"/>
      <c r="Q947" s="45"/>
      <c r="R947" s="45"/>
      <c r="S947" s="45"/>
    </row>
    <row r="948">
      <c r="A948" s="78"/>
      <c r="B948" s="78"/>
      <c r="C948" s="78"/>
      <c r="D948" s="78"/>
      <c r="E948" s="78"/>
      <c r="F948" s="78"/>
      <c r="G948" s="78"/>
      <c r="H948" s="78"/>
      <c r="I948" s="45"/>
      <c r="J948" s="45"/>
      <c r="K948" s="45"/>
      <c r="L948" s="45"/>
      <c r="M948" s="45"/>
      <c r="N948" s="45"/>
      <c r="O948" s="45"/>
      <c r="P948" s="45"/>
      <c r="Q948" s="45"/>
      <c r="R948" s="45"/>
      <c r="S948" s="45"/>
    </row>
    <row r="949">
      <c r="A949" s="78"/>
      <c r="B949" s="78"/>
      <c r="C949" s="78"/>
      <c r="D949" s="78"/>
      <c r="E949" s="78"/>
      <c r="F949" s="78"/>
      <c r="G949" s="78"/>
      <c r="H949" s="78"/>
      <c r="I949" s="45"/>
      <c r="J949" s="45"/>
      <c r="K949" s="45"/>
      <c r="L949" s="45"/>
      <c r="M949" s="45"/>
      <c r="N949" s="45"/>
      <c r="O949" s="45"/>
      <c r="P949" s="45"/>
      <c r="Q949" s="45"/>
      <c r="R949" s="45"/>
      <c r="S949" s="45"/>
    </row>
    <row r="950">
      <c r="A950" s="78"/>
      <c r="B950" s="78"/>
      <c r="C950" s="78"/>
      <c r="D950" s="78"/>
      <c r="E950" s="78"/>
      <c r="F950" s="78"/>
      <c r="G950" s="78"/>
      <c r="H950" s="78"/>
      <c r="I950" s="45"/>
      <c r="J950" s="45"/>
      <c r="K950" s="45"/>
      <c r="L950" s="45"/>
      <c r="M950" s="45"/>
      <c r="N950" s="45"/>
      <c r="O950" s="45"/>
      <c r="P950" s="45"/>
      <c r="Q950" s="45"/>
      <c r="R950" s="45"/>
      <c r="S950" s="45"/>
    </row>
    <row r="951">
      <c r="A951" s="78"/>
      <c r="B951" s="78"/>
      <c r="C951" s="78"/>
      <c r="D951" s="78"/>
      <c r="E951" s="78"/>
      <c r="F951" s="78"/>
      <c r="G951" s="78"/>
      <c r="H951" s="78"/>
      <c r="I951" s="45"/>
      <c r="J951" s="45"/>
      <c r="K951" s="45"/>
      <c r="L951" s="45"/>
      <c r="M951" s="45"/>
      <c r="N951" s="45"/>
      <c r="O951" s="45"/>
      <c r="P951" s="45"/>
      <c r="Q951" s="45"/>
      <c r="R951" s="45"/>
      <c r="S951" s="45"/>
    </row>
    <row r="952">
      <c r="A952" s="78"/>
      <c r="B952" s="78"/>
      <c r="C952" s="78"/>
      <c r="D952" s="78"/>
      <c r="E952" s="78"/>
      <c r="F952" s="78"/>
      <c r="G952" s="78"/>
      <c r="H952" s="78"/>
      <c r="I952" s="45"/>
      <c r="J952" s="45"/>
      <c r="K952" s="45"/>
      <c r="L952" s="45"/>
      <c r="M952" s="45"/>
      <c r="N952" s="45"/>
      <c r="O952" s="45"/>
      <c r="P952" s="45"/>
      <c r="Q952" s="45"/>
      <c r="R952" s="45"/>
      <c r="S952" s="45"/>
    </row>
    <row r="953">
      <c r="A953" s="78"/>
      <c r="B953" s="78"/>
      <c r="C953" s="78"/>
      <c r="D953" s="78"/>
      <c r="E953" s="78"/>
      <c r="F953" s="78"/>
      <c r="G953" s="78"/>
      <c r="H953" s="78"/>
      <c r="I953" s="45"/>
      <c r="J953" s="45"/>
      <c r="K953" s="45"/>
      <c r="L953" s="45"/>
      <c r="M953" s="45"/>
      <c r="N953" s="45"/>
      <c r="O953" s="45"/>
      <c r="P953" s="45"/>
      <c r="Q953" s="45"/>
      <c r="R953" s="45"/>
      <c r="S953" s="45"/>
    </row>
    <row r="954">
      <c r="A954" s="78"/>
      <c r="B954" s="78"/>
      <c r="C954" s="78"/>
      <c r="D954" s="78"/>
      <c r="E954" s="78"/>
      <c r="F954" s="78"/>
      <c r="G954" s="78"/>
      <c r="H954" s="78"/>
      <c r="I954" s="45"/>
      <c r="J954" s="45"/>
      <c r="K954" s="45"/>
      <c r="L954" s="45"/>
      <c r="M954" s="45"/>
      <c r="N954" s="45"/>
      <c r="O954" s="45"/>
      <c r="P954" s="45"/>
      <c r="Q954" s="45"/>
      <c r="R954" s="45"/>
      <c r="S954" s="45"/>
    </row>
    <row r="955">
      <c r="A955" s="78"/>
      <c r="B955" s="78"/>
      <c r="C955" s="78"/>
      <c r="D955" s="78"/>
      <c r="E955" s="78"/>
      <c r="F955" s="78"/>
      <c r="G955" s="78"/>
      <c r="H955" s="78"/>
      <c r="I955" s="45"/>
      <c r="J955" s="45"/>
      <c r="K955" s="45"/>
      <c r="L955" s="45"/>
      <c r="M955" s="45"/>
      <c r="N955" s="45"/>
      <c r="O955" s="45"/>
      <c r="P955" s="45"/>
      <c r="Q955" s="45"/>
      <c r="R955" s="45"/>
      <c r="S955" s="45"/>
    </row>
    <row r="956">
      <c r="A956" s="78"/>
      <c r="B956" s="78"/>
      <c r="C956" s="78"/>
      <c r="D956" s="78"/>
      <c r="E956" s="78"/>
      <c r="F956" s="78"/>
      <c r="G956" s="78"/>
      <c r="H956" s="78"/>
      <c r="I956" s="45"/>
      <c r="J956" s="45"/>
      <c r="K956" s="45"/>
      <c r="L956" s="45"/>
      <c r="M956" s="45"/>
      <c r="N956" s="45"/>
      <c r="O956" s="45"/>
      <c r="P956" s="45"/>
      <c r="Q956" s="45"/>
      <c r="R956" s="45"/>
      <c r="S956" s="45"/>
    </row>
    <row r="957">
      <c r="A957" s="78"/>
      <c r="B957" s="78"/>
      <c r="C957" s="78"/>
      <c r="D957" s="78"/>
      <c r="E957" s="78"/>
      <c r="F957" s="78"/>
      <c r="G957" s="78"/>
      <c r="H957" s="78"/>
      <c r="I957" s="45"/>
      <c r="J957" s="45"/>
      <c r="K957" s="45"/>
      <c r="L957" s="45"/>
      <c r="M957" s="45"/>
      <c r="N957" s="45"/>
      <c r="O957" s="45"/>
      <c r="P957" s="45"/>
      <c r="Q957" s="45"/>
      <c r="R957" s="45"/>
      <c r="S957" s="45"/>
    </row>
    <row r="958">
      <c r="A958" s="78"/>
      <c r="B958" s="78"/>
      <c r="C958" s="78"/>
      <c r="D958" s="78"/>
      <c r="E958" s="78"/>
      <c r="F958" s="78"/>
      <c r="G958" s="78"/>
      <c r="H958" s="78"/>
      <c r="I958" s="45"/>
      <c r="J958" s="45"/>
      <c r="K958" s="45"/>
      <c r="L958" s="45"/>
      <c r="M958" s="45"/>
      <c r="N958" s="45"/>
      <c r="O958" s="45"/>
      <c r="P958" s="45"/>
      <c r="Q958" s="45"/>
      <c r="R958" s="45"/>
      <c r="S958" s="45"/>
    </row>
    <row r="959">
      <c r="A959" s="78"/>
      <c r="B959" s="78"/>
      <c r="C959" s="78"/>
      <c r="D959" s="78"/>
      <c r="E959" s="78"/>
      <c r="F959" s="78"/>
      <c r="G959" s="78"/>
      <c r="H959" s="78"/>
      <c r="I959" s="45"/>
      <c r="J959" s="45"/>
      <c r="K959" s="45"/>
      <c r="L959" s="45"/>
      <c r="M959" s="45"/>
      <c r="N959" s="45"/>
      <c r="O959" s="45"/>
      <c r="P959" s="45"/>
      <c r="Q959" s="45"/>
      <c r="R959" s="45"/>
      <c r="S959" s="45"/>
    </row>
    <row r="960">
      <c r="A960" s="78"/>
      <c r="B960" s="78"/>
      <c r="C960" s="78"/>
      <c r="D960" s="78"/>
      <c r="E960" s="78"/>
      <c r="F960" s="78"/>
      <c r="G960" s="78"/>
      <c r="H960" s="78"/>
      <c r="I960" s="45"/>
      <c r="J960" s="45"/>
      <c r="K960" s="45"/>
      <c r="L960" s="45"/>
      <c r="M960" s="45"/>
      <c r="N960" s="45"/>
      <c r="O960" s="45"/>
      <c r="P960" s="45"/>
      <c r="Q960" s="45"/>
      <c r="R960" s="45"/>
      <c r="S960" s="45"/>
    </row>
    <row r="961">
      <c r="A961" s="78"/>
      <c r="B961" s="78"/>
      <c r="C961" s="78"/>
      <c r="D961" s="78"/>
      <c r="E961" s="78"/>
      <c r="F961" s="78"/>
      <c r="G961" s="78"/>
      <c r="H961" s="78"/>
      <c r="I961" s="45"/>
      <c r="J961" s="45"/>
      <c r="K961" s="45"/>
      <c r="L961" s="45"/>
      <c r="M961" s="45"/>
      <c r="N961" s="45"/>
      <c r="O961" s="45"/>
      <c r="P961" s="45"/>
      <c r="Q961" s="45"/>
      <c r="R961" s="45"/>
      <c r="S961" s="45"/>
    </row>
    <row r="962">
      <c r="A962" s="78"/>
      <c r="B962" s="78"/>
      <c r="C962" s="78"/>
      <c r="D962" s="78"/>
      <c r="E962" s="78"/>
      <c r="F962" s="78"/>
      <c r="G962" s="78"/>
      <c r="H962" s="78"/>
      <c r="I962" s="45"/>
      <c r="J962" s="45"/>
      <c r="K962" s="45"/>
      <c r="L962" s="45"/>
      <c r="M962" s="45"/>
      <c r="N962" s="45"/>
      <c r="O962" s="45"/>
      <c r="P962" s="45"/>
      <c r="Q962" s="45"/>
      <c r="R962" s="45"/>
      <c r="S962" s="45"/>
    </row>
    <row r="963">
      <c r="A963" s="78"/>
      <c r="B963" s="78"/>
      <c r="C963" s="78"/>
      <c r="D963" s="78"/>
      <c r="E963" s="78"/>
      <c r="F963" s="78"/>
      <c r="G963" s="78"/>
      <c r="H963" s="78"/>
      <c r="I963" s="45"/>
      <c r="J963" s="45"/>
      <c r="K963" s="45"/>
      <c r="L963" s="45"/>
      <c r="M963" s="45"/>
      <c r="N963" s="45"/>
      <c r="O963" s="45"/>
      <c r="P963" s="45"/>
      <c r="Q963" s="45"/>
      <c r="R963" s="45"/>
      <c r="S963" s="45"/>
    </row>
    <row r="964">
      <c r="A964" s="78"/>
      <c r="B964" s="78"/>
      <c r="C964" s="78"/>
      <c r="D964" s="78"/>
      <c r="E964" s="78"/>
      <c r="F964" s="78"/>
      <c r="G964" s="78"/>
      <c r="H964" s="78"/>
      <c r="I964" s="45"/>
      <c r="J964" s="45"/>
      <c r="K964" s="45"/>
      <c r="L964" s="45"/>
      <c r="M964" s="45"/>
      <c r="N964" s="45"/>
      <c r="O964" s="45"/>
      <c r="P964" s="45"/>
      <c r="Q964" s="45"/>
      <c r="R964" s="45"/>
      <c r="S964" s="45"/>
    </row>
    <row r="965">
      <c r="A965" s="78"/>
      <c r="B965" s="78"/>
      <c r="C965" s="78"/>
      <c r="D965" s="78"/>
      <c r="E965" s="78"/>
      <c r="F965" s="78"/>
      <c r="G965" s="78"/>
      <c r="H965" s="78"/>
      <c r="I965" s="45"/>
      <c r="J965" s="45"/>
      <c r="K965" s="45"/>
      <c r="L965" s="45"/>
      <c r="M965" s="45"/>
      <c r="N965" s="45"/>
      <c r="O965" s="45"/>
      <c r="P965" s="45"/>
      <c r="Q965" s="45"/>
      <c r="R965" s="45"/>
      <c r="S965" s="45"/>
    </row>
    <row r="966">
      <c r="A966" s="78"/>
      <c r="B966" s="78"/>
      <c r="C966" s="78"/>
      <c r="D966" s="78"/>
      <c r="E966" s="78"/>
      <c r="F966" s="78"/>
      <c r="G966" s="78"/>
      <c r="H966" s="78"/>
      <c r="I966" s="45"/>
      <c r="J966" s="45"/>
      <c r="K966" s="45"/>
      <c r="L966" s="45"/>
      <c r="M966" s="45"/>
      <c r="N966" s="45"/>
      <c r="O966" s="45"/>
      <c r="P966" s="45"/>
      <c r="Q966" s="45"/>
      <c r="R966" s="45"/>
      <c r="S966" s="45"/>
    </row>
    <row r="967">
      <c r="A967" s="78"/>
      <c r="B967" s="78"/>
      <c r="C967" s="78"/>
      <c r="D967" s="78"/>
      <c r="E967" s="78"/>
      <c r="F967" s="78"/>
      <c r="G967" s="78"/>
      <c r="H967" s="78"/>
      <c r="I967" s="45"/>
      <c r="J967" s="45"/>
      <c r="K967" s="45"/>
      <c r="L967" s="45"/>
      <c r="M967" s="45"/>
      <c r="N967" s="45"/>
      <c r="O967" s="45"/>
      <c r="P967" s="45"/>
      <c r="Q967" s="45"/>
      <c r="R967" s="45"/>
      <c r="S967" s="45"/>
    </row>
    <row r="968">
      <c r="A968" s="78"/>
      <c r="B968" s="78"/>
      <c r="C968" s="78"/>
      <c r="D968" s="78"/>
      <c r="E968" s="78"/>
      <c r="F968" s="78"/>
      <c r="G968" s="78"/>
      <c r="H968" s="78"/>
      <c r="I968" s="45"/>
      <c r="J968" s="45"/>
      <c r="K968" s="45"/>
      <c r="L968" s="45"/>
      <c r="M968" s="45"/>
      <c r="N968" s="45"/>
      <c r="O968" s="45"/>
      <c r="P968" s="45"/>
      <c r="Q968" s="45"/>
      <c r="R968" s="45"/>
      <c r="S968" s="45"/>
    </row>
    <row r="969">
      <c r="A969" s="78"/>
      <c r="B969" s="78"/>
      <c r="C969" s="78"/>
      <c r="D969" s="78"/>
      <c r="E969" s="78"/>
      <c r="F969" s="78"/>
      <c r="G969" s="78"/>
      <c r="H969" s="78"/>
      <c r="I969" s="45"/>
      <c r="J969" s="45"/>
      <c r="K969" s="45"/>
      <c r="L969" s="45"/>
      <c r="M969" s="45"/>
      <c r="N969" s="45"/>
      <c r="O969" s="45"/>
      <c r="P969" s="45"/>
      <c r="Q969" s="45"/>
      <c r="R969" s="45"/>
      <c r="S969" s="45"/>
    </row>
    <row r="970">
      <c r="A970" s="78"/>
      <c r="B970" s="78"/>
      <c r="C970" s="78"/>
      <c r="D970" s="78"/>
      <c r="E970" s="78"/>
      <c r="F970" s="78"/>
      <c r="G970" s="78"/>
      <c r="H970" s="78"/>
      <c r="I970" s="45"/>
      <c r="J970" s="45"/>
      <c r="K970" s="45"/>
      <c r="L970" s="45"/>
      <c r="M970" s="45"/>
      <c r="N970" s="45"/>
      <c r="O970" s="45"/>
      <c r="P970" s="45"/>
      <c r="Q970" s="45"/>
      <c r="R970" s="45"/>
      <c r="S970" s="45"/>
    </row>
    <row r="971">
      <c r="A971" s="78"/>
      <c r="B971" s="78"/>
      <c r="C971" s="78"/>
      <c r="D971" s="78"/>
      <c r="E971" s="78"/>
      <c r="F971" s="78"/>
      <c r="G971" s="78"/>
      <c r="H971" s="78"/>
      <c r="I971" s="45"/>
      <c r="J971" s="45"/>
      <c r="K971" s="45"/>
      <c r="L971" s="45"/>
      <c r="M971" s="45"/>
      <c r="N971" s="45"/>
      <c r="O971" s="45"/>
      <c r="P971" s="45"/>
      <c r="Q971" s="45"/>
      <c r="R971" s="45"/>
      <c r="S971" s="45"/>
    </row>
    <row r="972">
      <c r="A972" s="78"/>
      <c r="B972" s="78"/>
      <c r="C972" s="78"/>
      <c r="D972" s="78"/>
      <c r="E972" s="78"/>
      <c r="F972" s="78"/>
      <c r="G972" s="78"/>
      <c r="H972" s="78"/>
      <c r="I972" s="45"/>
      <c r="J972" s="45"/>
      <c r="K972" s="45"/>
      <c r="L972" s="45"/>
      <c r="M972" s="45"/>
      <c r="N972" s="45"/>
      <c r="O972" s="45"/>
      <c r="P972" s="45"/>
      <c r="Q972" s="45"/>
      <c r="R972" s="45"/>
      <c r="S972" s="45"/>
    </row>
    <row r="973">
      <c r="A973" s="78"/>
      <c r="B973" s="78"/>
      <c r="C973" s="78"/>
      <c r="D973" s="78"/>
      <c r="E973" s="78"/>
      <c r="F973" s="78"/>
      <c r="G973" s="78"/>
      <c r="H973" s="78"/>
      <c r="I973" s="45"/>
      <c r="J973" s="45"/>
      <c r="K973" s="45"/>
      <c r="L973" s="45"/>
      <c r="M973" s="45"/>
      <c r="N973" s="45"/>
      <c r="O973" s="45"/>
      <c r="P973" s="45"/>
      <c r="Q973" s="45"/>
      <c r="R973" s="45"/>
      <c r="S973" s="45"/>
    </row>
    <row r="974">
      <c r="A974" s="78"/>
      <c r="B974" s="78"/>
      <c r="C974" s="78"/>
      <c r="D974" s="78"/>
      <c r="E974" s="78"/>
      <c r="F974" s="78"/>
      <c r="G974" s="78"/>
      <c r="H974" s="78"/>
      <c r="I974" s="45"/>
      <c r="J974" s="45"/>
      <c r="K974" s="45"/>
      <c r="L974" s="45"/>
      <c r="M974" s="45"/>
      <c r="N974" s="45"/>
      <c r="O974" s="45"/>
      <c r="P974" s="45"/>
      <c r="Q974" s="45"/>
      <c r="R974" s="45"/>
      <c r="S974" s="45"/>
    </row>
    <row r="975">
      <c r="A975" s="78"/>
      <c r="B975" s="78"/>
      <c r="C975" s="78"/>
      <c r="D975" s="78"/>
      <c r="E975" s="78"/>
      <c r="F975" s="78"/>
      <c r="G975" s="78"/>
      <c r="H975" s="78"/>
      <c r="I975" s="45"/>
      <c r="J975" s="45"/>
      <c r="K975" s="45"/>
      <c r="L975" s="45"/>
      <c r="M975" s="45"/>
      <c r="N975" s="45"/>
      <c r="O975" s="45"/>
      <c r="P975" s="45"/>
      <c r="Q975" s="45"/>
      <c r="R975" s="45"/>
      <c r="S975" s="45"/>
    </row>
    <row r="976">
      <c r="A976" s="78"/>
      <c r="B976" s="78"/>
      <c r="C976" s="78"/>
      <c r="D976" s="78"/>
      <c r="E976" s="78"/>
      <c r="F976" s="78"/>
      <c r="G976" s="78"/>
      <c r="H976" s="78"/>
      <c r="I976" s="45"/>
      <c r="J976" s="45"/>
      <c r="K976" s="45"/>
      <c r="L976" s="45"/>
      <c r="M976" s="45"/>
      <c r="N976" s="45"/>
      <c r="O976" s="45"/>
      <c r="P976" s="45"/>
      <c r="Q976" s="45"/>
      <c r="R976" s="45"/>
      <c r="S976" s="45"/>
    </row>
    <row r="977">
      <c r="A977" s="78"/>
      <c r="B977" s="78"/>
      <c r="C977" s="78"/>
      <c r="D977" s="78"/>
      <c r="E977" s="78"/>
      <c r="F977" s="78"/>
      <c r="G977" s="78"/>
      <c r="H977" s="78"/>
      <c r="I977" s="45"/>
      <c r="J977" s="45"/>
      <c r="K977" s="45"/>
      <c r="L977" s="45"/>
      <c r="M977" s="45"/>
      <c r="N977" s="45"/>
      <c r="O977" s="45"/>
      <c r="P977" s="45"/>
      <c r="Q977" s="45"/>
      <c r="R977" s="45"/>
      <c r="S977" s="45"/>
    </row>
    <row r="978">
      <c r="A978" s="78"/>
      <c r="B978" s="78"/>
      <c r="C978" s="78"/>
      <c r="D978" s="78"/>
      <c r="E978" s="78"/>
      <c r="F978" s="78"/>
      <c r="G978" s="78"/>
      <c r="H978" s="78"/>
      <c r="I978" s="45"/>
      <c r="J978" s="45"/>
      <c r="K978" s="45"/>
      <c r="L978" s="45"/>
      <c r="M978" s="45"/>
      <c r="N978" s="45"/>
      <c r="O978" s="45"/>
      <c r="P978" s="45"/>
      <c r="Q978" s="45"/>
      <c r="R978" s="45"/>
      <c r="S978" s="45"/>
    </row>
    <row r="979">
      <c r="A979" s="78"/>
      <c r="B979" s="78"/>
      <c r="C979" s="78"/>
      <c r="D979" s="78"/>
      <c r="E979" s="78"/>
      <c r="F979" s="78"/>
      <c r="G979" s="78"/>
      <c r="H979" s="78"/>
      <c r="I979" s="45"/>
      <c r="J979" s="45"/>
      <c r="K979" s="45"/>
      <c r="L979" s="45"/>
      <c r="M979" s="45"/>
      <c r="N979" s="45"/>
      <c r="O979" s="45"/>
      <c r="P979" s="45"/>
      <c r="Q979" s="45"/>
      <c r="R979" s="45"/>
      <c r="S979" s="45"/>
    </row>
    <row r="980">
      <c r="A980" s="78"/>
      <c r="B980" s="78"/>
      <c r="C980" s="78"/>
      <c r="D980" s="78"/>
      <c r="E980" s="78"/>
      <c r="F980" s="78"/>
      <c r="G980" s="78"/>
      <c r="H980" s="78"/>
      <c r="I980" s="45"/>
      <c r="J980" s="45"/>
      <c r="K980" s="45"/>
      <c r="L980" s="45"/>
      <c r="M980" s="45"/>
      <c r="N980" s="45"/>
      <c r="O980" s="45"/>
      <c r="P980" s="45"/>
      <c r="Q980" s="45"/>
      <c r="R980" s="45"/>
      <c r="S980" s="45"/>
    </row>
    <row r="981">
      <c r="A981" s="78"/>
      <c r="B981" s="78"/>
      <c r="C981" s="78"/>
      <c r="D981" s="78"/>
      <c r="E981" s="78"/>
      <c r="F981" s="78"/>
      <c r="G981" s="78"/>
      <c r="H981" s="78"/>
      <c r="I981" s="45"/>
      <c r="J981" s="45"/>
      <c r="K981" s="45"/>
      <c r="L981" s="45"/>
      <c r="M981" s="45"/>
      <c r="N981" s="45"/>
      <c r="O981" s="45"/>
      <c r="P981" s="45"/>
      <c r="Q981" s="45"/>
      <c r="R981" s="45"/>
      <c r="S981" s="45"/>
    </row>
  </sheetData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3.5"/>
    <col customWidth="1" min="3" max="3" width="71.63"/>
    <col customWidth="1" min="4" max="4" width="20.75"/>
    <col customWidth="1" min="5" max="5" width="27.88"/>
    <col customWidth="1" min="7" max="7" width="20.75"/>
    <col customWidth="1" hidden="1" min="8" max="8" width="13.5"/>
    <col hidden="1" min="9" max="14" width="12.63"/>
  </cols>
  <sheetData>
    <row r="1">
      <c r="A1" s="358" t="s">
        <v>44</v>
      </c>
      <c r="B1" s="712" t="s">
        <v>20578</v>
      </c>
      <c r="C1" s="57" t="s">
        <v>294</v>
      </c>
      <c r="D1" s="55" t="s">
        <v>248</v>
      </c>
      <c r="E1" s="348" t="s">
        <v>249</v>
      </c>
      <c r="F1" s="349" t="s">
        <v>250</v>
      </c>
      <c r="G1" s="10"/>
      <c r="H1" s="713" t="s">
        <v>1654</v>
      </c>
      <c r="I1" s="713" t="s">
        <v>20578</v>
      </c>
      <c r="J1" s="10"/>
      <c r="K1" s="10"/>
      <c r="L1" s="10"/>
      <c r="M1" s="10"/>
      <c r="N1" s="10"/>
    </row>
    <row r="2">
      <c r="A2" s="714" t="s">
        <v>20579</v>
      </c>
      <c r="B2" s="134">
        <v>6109.0</v>
      </c>
      <c r="C2" s="297" t="s">
        <v>20580</v>
      </c>
      <c r="D2" s="715">
        <v>0.8</v>
      </c>
      <c r="E2" s="715">
        <v>0.8</v>
      </c>
      <c r="F2" s="348" t="s">
        <v>1656</v>
      </c>
      <c r="G2" s="10"/>
      <c r="H2" s="716" t="s">
        <v>20579</v>
      </c>
      <c r="I2" s="717">
        <v>6109.0</v>
      </c>
      <c r="J2" s="718">
        <v>3345.0</v>
      </c>
      <c r="K2" s="10" t="str">
        <f t="shared" ref="K2:K284" si="1">VLOOKUP(A2,$M$2:$N$128,2,)</f>
        <v>#N/A</v>
      </c>
      <c r="L2" s="10"/>
      <c r="M2" s="141" t="s">
        <v>20581</v>
      </c>
      <c r="N2" s="9">
        <v>1.0</v>
      </c>
    </row>
    <row r="3">
      <c r="A3" s="714" t="s">
        <v>20582</v>
      </c>
      <c r="B3" s="719">
        <v>6132.0</v>
      </c>
      <c r="C3" s="297" t="s">
        <v>20580</v>
      </c>
      <c r="D3" s="715">
        <v>0.8</v>
      </c>
      <c r="E3" s="715">
        <v>0.8</v>
      </c>
      <c r="F3" s="348" t="s">
        <v>1656</v>
      </c>
      <c r="G3" s="10"/>
      <c r="H3" s="716" t="s">
        <v>20582</v>
      </c>
      <c r="I3" s="720">
        <v>6132.0</v>
      </c>
      <c r="J3" s="512">
        <v>897.0</v>
      </c>
      <c r="K3" s="10">
        <f t="shared" si="1"/>
        <v>1</v>
      </c>
      <c r="L3" s="10"/>
      <c r="M3" s="141" t="s">
        <v>20583</v>
      </c>
      <c r="N3" s="9">
        <v>1.0</v>
      </c>
    </row>
    <row r="4">
      <c r="A4" s="714" t="s">
        <v>20584</v>
      </c>
      <c r="B4" s="719">
        <v>942.0</v>
      </c>
      <c r="C4" s="297" t="s">
        <v>20580</v>
      </c>
      <c r="D4" s="715">
        <v>0.8</v>
      </c>
      <c r="E4" s="715">
        <v>0.8</v>
      </c>
      <c r="F4" s="348" t="s">
        <v>1656</v>
      </c>
      <c r="G4" s="10"/>
      <c r="H4" s="716" t="s">
        <v>20584</v>
      </c>
      <c r="I4" s="720">
        <v>942.0</v>
      </c>
      <c r="J4" s="10"/>
      <c r="K4" s="10">
        <f t="shared" si="1"/>
        <v>1</v>
      </c>
      <c r="L4" s="10"/>
      <c r="M4" s="141" t="s">
        <v>20585</v>
      </c>
      <c r="N4" s="9">
        <v>1.0</v>
      </c>
    </row>
    <row r="5">
      <c r="A5" s="714" t="s">
        <v>20586</v>
      </c>
      <c r="B5" s="719">
        <v>189.0</v>
      </c>
      <c r="C5" s="297" t="s">
        <v>20580</v>
      </c>
      <c r="D5" s="715">
        <v>0.91</v>
      </c>
      <c r="E5" s="715">
        <v>0.91</v>
      </c>
      <c r="F5" s="348" t="s">
        <v>1656</v>
      </c>
      <c r="G5" s="10"/>
      <c r="H5" s="716" t="s">
        <v>20586</v>
      </c>
      <c r="I5" s="720">
        <v>189.0</v>
      </c>
      <c r="J5" s="10"/>
      <c r="K5" s="10">
        <f t="shared" si="1"/>
        <v>1</v>
      </c>
      <c r="L5" s="10"/>
      <c r="M5" s="141" t="s">
        <v>20587</v>
      </c>
      <c r="N5" s="9">
        <v>1.0</v>
      </c>
    </row>
    <row r="6">
      <c r="A6" s="714" t="s">
        <v>20588</v>
      </c>
      <c r="B6" s="719">
        <v>669.0</v>
      </c>
      <c r="C6" s="297" t="s">
        <v>20580</v>
      </c>
      <c r="D6" s="715">
        <v>0.8</v>
      </c>
      <c r="E6" s="715">
        <v>0.8</v>
      </c>
      <c r="F6" s="348" t="s">
        <v>1656</v>
      </c>
      <c r="G6" s="10"/>
      <c r="H6" s="716" t="s">
        <v>20588</v>
      </c>
      <c r="I6" s="720">
        <v>669.0</v>
      </c>
      <c r="J6" s="10"/>
      <c r="K6" s="10" t="str">
        <f t="shared" si="1"/>
        <v>#N/A</v>
      </c>
      <c r="L6" s="10"/>
      <c r="M6" s="141" t="s">
        <v>20589</v>
      </c>
      <c r="N6" s="9">
        <v>1.0</v>
      </c>
    </row>
    <row r="7">
      <c r="A7" s="714" t="s">
        <v>20590</v>
      </c>
      <c r="B7" s="719">
        <v>669.0</v>
      </c>
      <c r="C7" s="297" t="s">
        <v>20580</v>
      </c>
      <c r="D7" s="715">
        <v>0.8</v>
      </c>
      <c r="E7" s="715">
        <v>0.8</v>
      </c>
      <c r="F7" s="348" t="s">
        <v>1656</v>
      </c>
      <c r="G7" s="10"/>
      <c r="H7" s="716" t="s">
        <v>20590</v>
      </c>
      <c r="I7" s="720">
        <v>669.0</v>
      </c>
      <c r="J7" s="10"/>
      <c r="K7" s="10">
        <f t="shared" si="1"/>
        <v>1</v>
      </c>
      <c r="L7" s="10"/>
      <c r="M7" s="141" t="s">
        <v>20591</v>
      </c>
      <c r="N7" s="9">
        <v>1.0</v>
      </c>
    </row>
    <row r="8">
      <c r="A8" s="714" t="s">
        <v>20592</v>
      </c>
      <c r="B8" s="719">
        <v>189.0</v>
      </c>
      <c r="C8" s="297" t="s">
        <v>20580</v>
      </c>
      <c r="D8" s="715">
        <v>0.91</v>
      </c>
      <c r="E8" s="715">
        <v>0.91</v>
      </c>
      <c r="F8" s="348" t="s">
        <v>1656</v>
      </c>
      <c r="G8" s="10"/>
      <c r="H8" s="716" t="s">
        <v>20592</v>
      </c>
      <c r="I8" s="720">
        <v>189.0</v>
      </c>
      <c r="J8" s="10"/>
      <c r="K8" s="10">
        <f t="shared" si="1"/>
        <v>1</v>
      </c>
      <c r="L8" s="10"/>
      <c r="M8" s="141" t="s">
        <v>20593</v>
      </c>
      <c r="N8" s="9">
        <v>1.0</v>
      </c>
    </row>
    <row r="9">
      <c r="A9" s="714" t="s">
        <v>20594</v>
      </c>
      <c r="B9" s="719">
        <v>3418.0</v>
      </c>
      <c r="C9" s="297" t="s">
        <v>20580</v>
      </c>
      <c r="D9" s="715">
        <v>0.8</v>
      </c>
      <c r="E9" s="715">
        <v>0.8</v>
      </c>
      <c r="F9" s="348" t="s">
        <v>1656</v>
      </c>
      <c r="G9" s="10"/>
      <c r="H9" s="716" t="s">
        <v>20594</v>
      </c>
      <c r="I9" s="720">
        <v>3418.0</v>
      </c>
      <c r="J9" s="10"/>
      <c r="K9" s="10" t="str">
        <f t="shared" si="1"/>
        <v>#N/A</v>
      </c>
      <c r="L9" s="10"/>
      <c r="M9" s="141" t="s">
        <v>20595</v>
      </c>
      <c r="N9" s="9">
        <v>1.0</v>
      </c>
    </row>
    <row r="10">
      <c r="A10" s="714" t="s">
        <v>20596</v>
      </c>
      <c r="B10" s="719">
        <v>1334.0</v>
      </c>
      <c r="C10" s="297" t="s">
        <v>20580</v>
      </c>
      <c r="D10" s="715">
        <v>0.8</v>
      </c>
      <c r="E10" s="715">
        <v>0.8</v>
      </c>
      <c r="F10" s="348" t="s">
        <v>1656</v>
      </c>
      <c r="G10" s="10"/>
      <c r="H10" s="721" t="s">
        <v>20596</v>
      </c>
      <c r="I10" s="722">
        <v>1334.0</v>
      </c>
      <c r="J10" s="722">
        <v>1360.0</v>
      </c>
      <c r="K10" s="10">
        <f t="shared" si="1"/>
        <v>1</v>
      </c>
      <c r="L10" s="10"/>
      <c r="M10" s="141" t="s">
        <v>20597</v>
      </c>
      <c r="N10" s="9">
        <v>1.0</v>
      </c>
    </row>
    <row r="11">
      <c r="A11" s="714" t="s">
        <v>20598</v>
      </c>
      <c r="B11" s="719">
        <v>6109.0</v>
      </c>
      <c r="C11" s="297" t="s">
        <v>20580</v>
      </c>
      <c r="D11" s="715">
        <v>0.8</v>
      </c>
      <c r="E11" s="715">
        <v>0.8</v>
      </c>
      <c r="F11" s="348" t="s">
        <v>1656</v>
      </c>
      <c r="G11" s="10"/>
      <c r="H11" s="716" t="s">
        <v>20598</v>
      </c>
      <c r="I11" s="720">
        <v>6109.0</v>
      </c>
      <c r="J11" s="718">
        <v>82.0</v>
      </c>
      <c r="K11" s="10" t="str">
        <f t="shared" si="1"/>
        <v>#N/A</v>
      </c>
      <c r="L11" s="10"/>
      <c r="M11" s="141" t="s">
        <v>20599</v>
      </c>
      <c r="N11" s="9">
        <v>1.0</v>
      </c>
    </row>
    <row r="12">
      <c r="A12" s="714" t="s">
        <v>20600</v>
      </c>
      <c r="B12" s="719">
        <v>5421.0</v>
      </c>
      <c r="C12" s="297" t="s">
        <v>20580</v>
      </c>
      <c r="D12" s="715">
        <v>0.8</v>
      </c>
      <c r="E12" s="715">
        <v>0.8</v>
      </c>
      <c r="F12" s="348" t="s">
        <v>1656</v>
      </c>
      <c r="G12" s="10"/>
      <c r="H12" s="716" t="s">
        <v>20600</v>
      </c>
      <c r="I12" s="720">
        <v>5421.0</v>
      </c>
      <c r="J12" s="10"/>
      <c r="K12" s="10">
        <f t="shared" si="1"/>
        <v>1</v>
      </c>
      <c r="L12" s="10"/>
      <c r="M12" s="141" t="s">
        <v>20601</v>
      </c>
      <c r="N12" s="9">
        <v>1.0</v>
      </c>
    </row>
    <row r="13">
      <c r="A13" s="714" t="s">
        <v>20602</v>
      </c>
      <c r="B13" s="719">
        <v>189.0</v>
      </c>
      <c r="C13" s="297" t="s">
        <v>20580</v>
      </c>
      <c r="D13" s="715">
        <v>0.91</v>
      </c>
      <c r="E13" s="715">
        <v>0.91</v>
      </c>
      <c r="F13" s="348" t="s">
        <v>1656</v>
      </c>
      <c r="G13" s="10"/>
      <c r="H13" s="716" t="s">
        <v>20602</v>
      </c>
      <c r="I13" s="720">
        <v>189.0</v>
      </c>
      <c r="J13" s="9">
        <v>1334.0</v>
      </c>
      <c r="K13" s="10">
        <f t="shared" si="1"/>
        <v>1</v>
      </c>
      <c r="L13" s="10"/>
      <c r="M13" s="141" t="s">
        <v>20603</v>
      </c>
      <c r="N13" s="9">
        <v>1.0</v>
      </c>
    </row>
    <row r="14">
      <c r="A14" s="714" t="s">
        <v>20604</v>
      </c>
      <c r="B14" s="134">
        <v>6977.0</v>
      </c>
      <c r="C14" s="297" t="s">
        <v>20580</v>
      </c>
      <c r="D14" s="715">
        <v>0.8</v>
      </c>
      <c r="E14" s="715">
        <v>0.8</v>
      </c>
      <c r="F14" s="348" t="s">
        <v>1656</v>
      </c>
      <c r="G14" s="10"/>
      <c r="H14" s="716" t="s">
        <v>20604</v>
      </c>
      <c r="I14" s="717">
        <v>6977.0</v>
      </c>
      <c r="J14" s="718">
        <v>986.0</v>
      </c>
      <c r="K14" s="10">
        <f t="shared" si="1"/>
        <v>1</v>
      </c>
      <c r="L14" s="10"/>
      <c r="M14" s="141" t="s">
        <v>20605</v>
      </c>
      <c r="N14" s="9">
        <v>1.0</v>
      </c>
    </row>
    <row r="15">
      <c r="A15" s="714" t="s">
        <v>20606</v>
      </c>
      <c r="B15" s="719">
        <v>4126.0</v>
      </c>
      <c r="C15" s="297" t="s">
        <v>20580</v>
      </c>
      <c r="D15" s="715">
        <v>0.8</v>
      </c>
      <c r="E15" s="715">
        <v>0.8</v>
      </c>
      <c r="F15" s="348" t="s">
        <v>1656</v>
      </c>
      <c r="G15" s="10"/>
      <c r="H15" s="716" t="s">
        <v>20606</v>
      </c>
      <c r="I15" s="720">
        <v>4126.0</v>
      </c>
      <c r="J15" s="10"/>
      <c r="K15" s="10" t="str">
        <f t="shared" si="1"/>
        <v>#N/A</v>
      </c>
      <c r="L15" s="10"/>
      <c r="M15" s="141" t="s">
        <v>20607</v>
      </c>
      <c r="N15" s="9">
        <v>1.0</v>
      </c>
    </row>
    <row r="16">
      <c r="A16" s="714" t="s">
        <v>20608</v>
      </c>
      <c r="B16" s="719">
        <v>8560.0</v>
      </c>
      <c r="C16" s="297" t="s">
        <v>20580</v>
      </c>
      <c r="D16" s="715">
        <v>0.8</v>
      </c>
      <c r="E16" s="715">
        <v>0.8</v>
      </c>
      <c r="F16" s="348" t="s">
        <v>1656</v>
      </c>
      <c r="G16" s="10"/>
      <c r="H16" s="716" t="s">
        <v>20608</v>
      </c>
      <c r="I16" s="720">
        <v>8560.0</v>
      </c>
      <c r="J16" s="718">
        <v>897.0</v>
      </c>
      <c r="K16" s="10" t="str">
        <f t="shared" si="1"/>
        <v>#N/A</v>
      </c>
      <c r="L16" s="10"/>
      <c r="M16" s="141" t="s">
        <v>20609</v>
      </c>
      <c r="N16" s="9">
        <v>1.0</v>
      </c>
    </row>
    <row r="17">
      <c r="A17" s="714" t="s">
        <v>20610</v>
      </c>
      <c r="B17" s="719">
        <v>5421.0</v>
      </c>
      <c r="C17" s="297" t="s">
        <v>20580</v>
      </c>
      <c r="D17" s="715">
        <v>0.8</v>
      </c>
      <c r="E17" s="715">
        <v>0.8</v>
      </c>
      <c r="F17" s="348" t="s">
        <v>1656</v>
      </c>
      <c r="G17" s="10"/>
      <c r="H17" s="716" t="s">
        <v>20610</v>
      </c>
      <c r="I17" s="720">
        <v>5421.0</v>
      </c>
      <c r="J17" s="9"/>
      <c r="K17" s="10">
        <f t="shared" si="1"/>
        <v>1</v>
      </c>
      <c r="L17" s="10"/>
      <c r="M17" s="141" t="s">
        <v>20611</v>
      </c>
      <c r="N17" s="9">
        <v>1.0</v>
      </c>
    </row>
    <row r="18">
      <c r="A18" s="714" t="s">
        <v>20612</v>
      </c>
      <c r="B18" s="719">
        <v>6092.0</v>
      </c>
      <c r="C18" s="297" t="s">
        <v>20580</v>
      </c>
      <c r="D18" s="715">
        <v>0.8</v>
      </c>
      <c r="E18" s="715">
        <v>0.8</v>
      </c>
      <c r="F18" s="348" t="s">
        <v>1656</v>
      </c>
      <c r="G18" s="10"/>
      <c r="H18" s="716" t="s">
        <v>20612</v>
      </c>
      <c r="I18" s="720">
        <v>6092.0</v>
      </c>
      <c r="J18" s="9"/>
      <c r="K18" s="10" t="str">
        <f t="shared" si="1"/>
        <v>#N/A</v>
      </c>
      <c r="L18" s="10"/>
      <c r="M18" s="141" t="s">
        <v>20613</v>
      </c>
      <c r="N18" s="9">
        <v>1.0</v>
      </c>
    </row>
    <row r="19">
      <c r="A19" s="714" t="s">
        <v>20614</v>
      </c>
      <c r="B19" s="719">
        <v>189.0</v>
      </c>
      <c r="C19" s="297" t="s">
        <v>20580</v>
      </c>
      <c r="D19" s="715">
        <v>0.91</v>
      </c>
      <c r="E19" s="715">
        <v>0.91</v>
      </c>
      <c r="F19" s="348" t="s">
        <v>1656</v>
      </c>
      <c r="G19" s="10"/>
      <c r="H19" s="716" t="s">
        <v>20614</v>
      </c>
      <c r="I19" s="720">
        <v>189.0</v>
      </c>
      <c r="J19" s="10"/>
      <c r="K19" s="10">
        <f t="shared" si="1"/>
        <v>1</v>
      </c>
      <c r="L19" s="10"/>
      <c r="M19" s="141" t="s">
        <v>20615</v>
      </c>
      <c r="N19" s="9">
        <v>1.0</v>
      </c>
    </row>
    <row r="20">
      <c r="A20" s="714" t="s">
        <v>20616</v>
      </c>
      <c r="B20" s="719">
        <v>2345.0</v>
      </c>
      <c r="C20" s="297" t="s">
        <v>20580</v>
      </c>
      <c r="D20" s="723">
        <v>0.9</v>
      </c>
      <c r="E20" s="723">
        <v>0.9</v>
      </c>
      <c r="F20" s="348" t="s">
        <v>1656</v>
      </c>
      <c r="G20" s="10"/>
      <c r="H20" s="716" t="s">
        <v>20616</v>
      </c>
      <c r="I20" s="720">
        <v>2345.0</v>
      </c>
      <c r="J20" s="512">
        <v>1360.0</v>
      </c>
      <c r="K20" s="10">
        <f t="shared" si="1"/>
        <v>1</v>
      </c>
      <c r="L20" s="10"/>
      <c r="M20" s="141" t="s">
        <v>4751</v>
      </c>
      <c r="N20" s="9">
        <v>1.0</v>
      </c>
    </row>
    <row r="21">
      <c r="A21" s="714" t="s">
        <v>20617</v>
      </c>
      <c r="B21" s="719">
        <v>1360.0</v>
      </c>
      <c r="C21" s="297" t="s">
        <v>20580</v>
      </c>
      <c r="D21" s="715">
        <v>0.8</v>
      </c>
      <c r="E21" s="715">
        <v>0.8</v>
      </c>
      <c r="F21" s="348" t="s">
        <v>1656</v>
      </c>
      <c r="G21" s="10"/>
      <c r="H21" s="716" t="s">
        <v>20617</v>
      </c>
      <c r="I21" s="720">
        <v>1360.0</v>
      </c>
      <c r="J21" s="10"/>
      <c r="K21" s="10" t="str">
        <f t="shared" si="1"/>
        <v>#N/A</v>
      </c>
      <c r="L21" s="10"/>
      <c r="M21" s="141" t="s">
        <v>20618</v>
      </c>
      <c r="N21" s="9">
        <v>1.0</v>
      </c>
    </row>
    <row r="22">
      <c r="A22" s="714" t="s">
        <v>20619</v>
      </c>
      <c r="B22" s="719">
        <v>505.0</v>
      </c>
      <c r="C22" s="297" t="s">
        <v>20580</v>
      </c>
      <c r="D22" s="715">
        <v>0.8</v>
      </c>
      <c r="E22" s="715">
        <v>0.8</v>
      </c>
      <c r="F22" s="348" t="s">
        <v>1656</v>
      </c>
      <c r="G22" s="10"/>
      <c r="H22" s="716" t="s">
        <v>20619</v>
      </c>
      <c r="I22" s="720">
        <v>505.0</v>
      </c>
      <c r="J22" s="512">
        <v>1334.0</v>
      </c>
      <c r="K22" s="10">
        <f t="shared" si="1"/>
        <v>1</v>
      </c>
      <c r="L22" s="10"/>
      <c r="M22" s="141" t="s">
        <v>20620</v>
      </c>
      <c r="N22" s="9">
        <v>1.0</v>
      </c>
    </row>
    <row r="23">
      <c r="A23" s="714" t="s">
        <v>20621</v>
      </c>
      <c r="B23" s="719">
        <v>6143.0</v>
      </c>
      <c r="C23" s="297" t="s">
        <v>20580</v>
      </c>
      <c r="D23" s="723">
        <v>0.8</v>
      </c>
      <c r="E23" s="723">
        <v>0.8</v>
      </c>
      <c r="F23" s="348" t="s">
        <v>1656</v>
      </c>
      <c r="G23" s="10"/>
      <c r="H23" s="716" t="s">
        <v>20621</v>
      </c>
      <c r="I23" s="720">
        <v>6143.0</v>
      </c>
      <c r="J23" s="512">
        <v>663.0</v>
      </c>
      <c r="K23" s="10" t="str">
        <f t="shared" si="1"/>
        <v>#N/A</v>
      </c>
      <c r="L23" s="10"/>
      <c r="M23" s="141" t="s">
        <v>20622</v>
      </c>
      <c r="N23" s="9">
        <v>1.0</v>
      </c>
    </row>
    <row r="24">
      <c r="A24" s="714" t="s">
        <v>20623</v>
      </c>
      <c r="B24" s="719">
        <v>6995.0</v>
      </c>
      <c r="C24" s="297" t="s">
        <v>20580</v>
      </c>
      <c r="D24" s="715">
        <v>0.8</v>
      </c>
      <c r="E24" s="715">
        <v>0.8</v>
      </c>
      <c r="F24" s="348" t="s">
        <v>1656</v>
      </c>
      <c r="G24" s="10"/>
      <c r="H24" s="716" t="s">
        <v>20623</v>
      </c>
      <c r="I24" s="720">
        <v>6995.0</v>
      </c>
      <c r="J24" s="9">
        <v>986.0</v>
      </c>
      <c r="K24" s="10">
        <f t="shared" si="1"/>
        <v>1</v>
      </c>
      <c r="L24" s="10"/>
      <c r="M24" s="141" t="s">
        <v>20624</v>
      </c>
      <c r="N24" s="9">
        <v>1.0</v>
      </c>
    </row>
    <row r="25">
      <c r="A25" s="714" t="s">
        <v>20625</v>
      </c>
      <c r="B25" s="719">
        <v>3456.0</v>
      </c>
      <c r="C25" s="297" t="s">
        <v>20580</v>
      </c>
      <c r="D25" s="715">
        <v>0.8</v>
      </c>
      <c r="E25" s="715">
        <v>0.8</v>
      </c>
      <c r="F25" s="348" t="s">
        <v>1656</v>
      </c>
      <c r="G25" s="10"/>
      <c r="H25" s="716" t="s">
        <v>20625</v>
      </c>
      <c r="I25" s="720">
        <v>3456.0</v>
      </c>
      <c r="J25" s="10"/>
      <c r="K25" s="10" t="str">
        <f t="shared" si="1"/>
        <v>#N/A</v>
      </c>
      <c r="L25" s="10"/>
      <c r="M25" s="141" t="s">
        <v>20626</v>
      </c>
      <c r="N25" s="9">
        <v>1.0</v>
      </c>
    </row>
    <row r="26">
      <c r="A26" s="714" t="s">
        <v>20627</v>
      </c>
      <c r="B26" s="134">
        <v>9363.0</v>
      </c>
      <c r="C26" s="297" t="s">
        <v>20580</v>
      </c>
      <c r="D26" s="715">
        <v>0.8</v>
      </c>
      <c r="E26" s="715">
        <v>0.8</v>
      </c>
      <c r="F26" s="348" t="s">
        <v>1656</v>
      </c>
      <c r="G26" s="10"/>
      <c r="H26" s="716" t="s">
        <v>20627</v>
      </c>
      <c r="I26" s="717">
        <v>9363.0</v>
      </c>
      <c r="J26" s="718">
        <v>669.0</v>
      </c>
      <c r="K26" s="10">
        <f t="shared" si="1"/>
        <v>1</v>
      </c>
      <c r="L26" s="10"/>
      <c r="M26" s="141" t="s">
        <v>20628</v>
      </c>
      <c r="N26" s="9">
        <v>1.0</v>
      </c>
    </row>
    <row r="27">
      <c r="A27" s="714" t="s">
        <v>20629</v>
      </c>
      <c r="B27" s="719">
        <v>5365.0</v>
      </c>
      <c r="C27" s="297" t="s">
        <v>20580</v>
      </c>
      <c r="D27" s="715">
        <v>0.8</v>
      </c>
      <c r="E27" s="715">
        <v>0.8</v>
      </c>
      <c r="F27" s="348" t="s">
        <v>1656</v>
      </c>
      <c r="G27" s="10"/>
      <c r="H27" s="716" t="s">
        <v>20629</v>
      </c>
      <c r="I27" s="720">
        <v>5365.0</v>
      </c>
      <c r="J27" s="10"/>
      <c r="K27" s="10" t="str">
        <f t="shared" si="1"/>
        <v>#N/A</v>
      </c>
      <c r="L27" s="10"/>
      <c r="M27" s="141" t="s">
        <v>20630</v>
      </c>
      <c r="N27" s="9">
        <v>1.0</v>
      </c>
    </row>
    <row r="28">
      <c r="A28" s="714" t="s">
        <v>20631</v>
      </c>
      <c r="B28" s="719">
        <v>2345.0</v>
      </c>
      <c r="C28" s="297" t="s">
        <v>20580</v>
      </c>
      <c r="D28" s="723">
        <v>0.9</v>
      </c>
      <c r="E28" s="723">
        <v>0.9</v>
      </c>
      <c r="F28" s="348" t="s">
        <v>1656</v>
      </c>
      <c r="G28" s="10"/>
      <c r="H28" s="716" t="s">
        <v>20631</v>
      </c>
      <c r="I28" s="720">
        <v>2345.0</v>
      </c>
      <c r="J28" s="9">
        <v>897.0</v>
      </c>
      <c r="K28" s="10">
        <f t="shared" si="1"/>
        <v>1</v>
      </c>
      <c r="L28" s="10"/>
      <c r="M28" s="141" t="s">
        <v>20632</v>
      </c>
      <c r="N28" s="9">
        <v>1.0</v>
      </c>
    </row>
    <row r="29">
      <c r="A29" s="714" t="s">
        <v>20633</v>
      </c>
      <c r="B29" s="134">
        <v>3920.0</v>
      </c>
      <c r="C29" s="297" t="s">
        <v>20580</v>
      </c>
      <c r="D29" s="715">
        <v>0.8</v>
      </c>
      <c r="E29" s="715">
        <v>0.8</v>
      </c>
      <c r="F29" s="348" t="s">
        <v>1656</v>
      </c>
      <c r="G29" s="10"/>
      <c r="H29" s="716" t="s">
        <v>20633</v>
      </c>
      <c r="I29" s="717">
        <v>3920.0</v>
      </c>
      <c r="J29" s="718">
        <v>986.0</v>
      </c>
      <c r="K29" s="10">
        <f t="shared" si="1"/>
        <v>1</v>
      </c>
      <c r="L29" s="10"/>
      <c r="M29" s="141" t="s">
        <v>20634</v>
      </c>
      <c r="N29" s="9">
        <v>1.0</v>
      </c>
    </row>
    <row r="30">
      <c r="A30" s="714" t="s">
        <v>20635</v>
      </c>
      <c r="B30" s="134">
        <v>6772.0</v>
      </c>
      <c r="C30" s="297" t="s">
        <v>20580</v>
      </c>
      <c r="D30" s="715">
        <v>0.8</v>
      </c>
      <c r="E30" s="715">
        <v>0.8</v>
      </c>
      <c r="F30" s="348" t="s">
        <v>1656</v>
      </c>
      <c r="G30" s="10"/>
      <c r="H30" s="716" t="s">
        <v>20635</v>
      </c>
      <c r="I30" s="717">
        <v>6772.0</v>
      </c>
      <c r="J30" s="718">
        <v>986.0</v>
      </c>
      <c r="K30" s="10">
        <f t="shared" si="1"/>
        <v>1</v>
      </c>
      <c r="L30" s="10"/>
      <c r="M30" s="141" t="s">
        <v>20636</v>
      </c>
      <c r="N30" s="9">
        <v>1.0</v>
      </c>
    </row>
    <row r="31">
      <c r="A31" s="714" t="s">
        <v>20637</v>
      </c>
      <c r="B31" s="134">
        <v>7010.0</v>
      </c>
      <c r="C31" s="297" t="s">
        <v>20580</v>
      </c>
      <c r="D31" s="723">
        <v>0.85</v>
      </c>
      <c r="E31" s="723">
        <v>0.85</v>
      </c>
      <c r="F31" s="348" t="s">
        <v>1656</v>
      </c>
      <c r="G31" s="10"/>
      <c r="H31" s="716" t="s">
        <v>20637</v>
      </c>
      <c r="I31" s="717">
        <v>7010.0</v>
      </c>
      <c r="J31" s="718">
        <v>986.0</v>
      </c>
      <c r="K31" s="10">
        <f t="shared" si="1"/>
        <v>1</v>
      </c>
      <c r="L31" s="10"/>
      <c r="M31" s="141" t="s">
        <v>20638</v>
      </c>
      <c r="N31" s="9">
        <v>1.0</v>
      </c>
    </row>
    <row r="32">
      <c r="A32" s="714" t="s">
        <v>20639</v>
      </c>
      <c r="B32" s="134">
        <v>6530.0</v>
      </c>
      <c r="C32" s="297" t="s">
        <v>20580</v>
      </c>
      <c r="D32" s="715">
        <v>0.8</v>
      </c>
      <c r="E32" s="715">
        <v>0.8</v>
      </c>
      <c r="F32" s="348" t="s">
        <v>1656</v>
      </c>
      <c r="G32" s="10"/>
      <c r="H32" s="716" t="s">
        <v>20639</v>
      </c>
      <c r="I32" s="717">
        <v>6530.0</v>
      </c>
      <c r="J32" s="141">
        <v>5421.0</v>
      </c>
      <c r="K32" s="10" t="str">
        <f t="shared" si="1"/>
        <v>#N/A</v>
      </c>
      <c r="L32" s="10"/>
      <c r="M32" s="141" t="s">
        <v>20640</v>
      </c>
      <c r="N32" s="9">
        <v>1.0</v>
      </c>
    </row>
    <row r="33">
      <c r="A33" s="714" t="s">
        <v>20641</v>
      </c>
      <c r="B33" s="719">
        <v>5421.0</v>
      </c>
      <c r="C33" s="297" t="s">
        <v>20580</v>
      </c>
      <c r="D33" s="715">
        <v>0.8</v>
      </c>
      <c r="E33" s="715">
        <v>0.8</v>
      </c>
      <c r="F33" s="348" t="s">
        <v>1656</v>
      </c>
      <c r="G33" s="10"/>
      <c r="H33" s="716" t="s">
        <v>20641</v>
      </c>
      <c r="I33" s="720">
        <v>5421.0</v>
      </c>
      <c r="J33" s="10"/>
      <c r="K33" s="10">
        <f t="shared" si="1"/>
        <v>1</v>
      </c>
      <c r="L33" s="10"/>
      <c r="M33" s="141" t="s">
        <v>20642</v>
      </c>
      <c r="N33" s="9">
        <v>1.0</v>
      </c>
    </row>
    <row r="34">
      <c r="A34" s="714" t="s">
        <v>20643</v>
      </c>
      <c r="B34" s="719">
        <v>82.0</v>
      </c>
      <c r="C34" s="297" t="s">
        <v>20580</v>
      </c>
      <c r="D34" s="715">
        <v>0.8</v>
      </c>
      <c r="E34" s="715">
        <v>0.8</v>
      </c>
      <c r="F34" s="348" t="s">
        <v>1656</v>
      </c>
      <c r="G34" s="10"/>
      <c r="H34" s="716" t="s">
        <v>20643</v>
      </c>
      <c r="I34" s="720">
        <v>82.0</v>
      </c>
      <c r="J34" s="724"/>
      <c r="K34" s="10" t="str">
        <f t="shared" si="1"/>
        <v>#N/A</v>
      </c>
      <c r="L34" s="10"/>
      <c r="M34" s="141" t="s">
        <v>9479</v>
      </c>
      <c r="N34" s="9">
        <v>1.0</v>
      </c>
    </row>
    <row r="35">
      <c r="A35" s="714" t="s">
        <v>20644</v>
      </c>
      <c r="B35" s="134">
        <v>6143.0</v>
      </c>
      <c r="C35" s="297" t="s">
        <v>20580</v>
      </c>
      <c r="D35" s="723">
        <v>0.8</v>
      </c>
      <c r="E35" s="723">
        <v>0.8</v>
      </c>
      <c r="F35" s="348" t="s">
        <v>1656</v>
      </c>
      <c r="G35" s="10"/>
      <c r="H35" s="716" t="s">
        <v>20644</v>
      </c>
      <c r="I35" s="717">
        <v>6143.0</v>
      </c>
      <c r="J35" s="718">
        <v>4514.0</v>
      </c>
      <c r="K35" s="10">
        <f t="shared" si="1"/>
        <v>1</v>
      </c>
      <c r="L35" s="10"/>
      <c r="M35" s="141" t="s">
        <v>20645</v>
      </c>
      <c r="N35" s="9">
        <v>1.0</v>
      </c>
    </row>
    <row r="36">
      <c r="A36" s="714" t="s">
        <v>20646</v>
      </c>
      <c r="B36" s="719">
        <v>6143.0</v>
      </c>
      <c r="C36" s="297" t="s">
        <v>20580</v>
      </c>
      <c r="D36" s="723">
        <v>0.8</v>
      </c>
      <c r="E36" s="723">
        <v>0.8</v>
      </c>
      <c r="F36" s="348" t="s">
        <v>1656</v>
      </c>
      <c r="G36" s="10"/>
      <c r="H36" s="716" t="s">
        <v>20646</v>
      </c>
      <c r="I36" s="720">
        <v>6143.0</v>
      </c>
      <c r="J36" s="141">
        <v>4876.0</v>
      </c>
      <c r="K36" s="10" t="str">
        <f t="shared" si="1"/>
        <v>#N/A</v>
      </c>
      <c r="L36" s="10"/>
      <c r="M36" s="141" t="s">
        <v>20647</v>
      </c>
      <c r="N36" s="9">
        <v>1.0</v>
      </c>
    </row>
    <row r="37">
      <c r="A37" s="714" t="s">
        <v>20648</v>
      </c>
      <c r="B37" s="719">
        <v>6106.0</v>
      </c>
      <c r="C37" s="297" t="s">
        <v>20580</v>
      </c>
      <c r="D37" s="715">
        <v>0.8</v>
      </c>
      <c r="E37" s="715">
        <v>0.8</v>
      </c>
      <c r="F37" s="348" t="s">
        <v>1656</v>
      </c>
      <c r="G37" s="10"/>
      <c r="H37" s="721" t="s">
        <v>20648</v>
      </c>
      <c r="I37" s="722">
        <v>6106.0</v>
      </c>
      <c r="J37" s="300">
        <v>669.0</v>
      </c>
      <c r="K37" s="10">
        <f t="shared" si="1"/>
        <v>1</v>
      </c>
      <c r="L37" s="10"/>
      <c r="M37" s="141" t="s">
        <v>20649</v>
      </c>
      <c r="N37" s="9">
        <v>1.0</v>
      </c>
    </row>
    <row r="38">
      <c r="A38" s="714" t="s">
        <v>20650</v>
      </c>
      <c r="B38" s="719">
        <v>7031.0</v>
      </c>
      <c r="C38" s="297" t="s">
        <v>20580</v>
      </c>
      <c r="D38" s="715">
        <v>0.8</v>
      </c>
      <c r="E38" s="715">
        <v>0.8</v>
      </c>
      <c r="F38" s="348" t="s">
        <v>1656</v>
      </c>
      <c r="G38" s="10"/>
      <c r="H38" s="721" t="s">
        <v>20650</v>
      </c>
      <c r="I38" s="722">
        <v>7031.0</v>
      </c>
      <c r="J38" s="111">
        <v>986.0</v>
      </c>
      <c r="K38" s="10">
        <f t="shared" si="1"/>
        <v>1</v>
      </c>
      <c r="L38" s="10"/>
      <c r="M38" s="141" t="s">
        <v>20651</v>
      </c>
      <c r="N38" s="9">
        <v>1.0</v>
      </c>
    </row>
    <row r="39">
      <c r="A39" s="714" t="s">
        <v>9571</v>
      </c>
      <c r="B39" s="719">
        <v>189.0</v>
      </c>
      <c r="C39" s="297" t="s">
        <v>20580</v>
      </c>
      <c r="D39" s="715">
        <v>0.91</v>
      </c>
      <c r="E39" s="715">
        <v>0.91</v>
      </c>
      <c r="F39" s="348" t="s">
        <v>1656</v>
      </c>
      <c r="G39" s="10"/>
      <c r="H39" s="716" t="s">
        <v>9571</v>
      </c>
      <c r="I39" s="720">
        <v>189.0</v>
      </c>
      <c r="J39" s="141">
        <v>5125.0</v>
      </c>
      <c r="K39" s="10">
        <f t="shared" si="1"/>
        <v>1</v>
      </c>
      <c r="L39" s="10"/>
      <c r="M39" s="141" t="s">
        <v>20652</v>
      </c>
      <c r="N39" s="9">
        <v>1.0</v>
      </c>
    </row>
    <row r="40">
      <c r="A40" s="714" t="s">
        <v>20653</v>
      </c>
      <c r="B40" s="719">
        <v>5125.0</v>
      </c>
      <c r="C40" s="297" t="s">
        <v>20580</v>
      </c>
      <c r="D40" s="715">
        <v>0.8</v>
      </c>
      <c r="E40" s="715">
        <v>0.8</v>
      </c>
      <c r="F40" s="348" t="s">
        <v>1656</v>
      </c>
      <c r="G40" s="10"/>
      <c r="H40" s="716" t="s">
        <v>20653</v>
      </c>
      <c r="I40" s="720">
        <v>5125.0</v>
      </c>
      <c r="J40" s="10"/>
      <c r="K40" s="10" t="str">
        <f t="shared" si="1"/>
        <v>#N/A</v>
      </c>
      <c r="L40" s="10"/>
      <c r="M40" s="141" t="s">
        <v>20654</v>
      </c>
      <c r="N40" s="9">
        <v>1.0</v>
      </c>
    </row>
    <row r="41">
      <c r="A41" s="714" t="s">
        <v>20655</v>
      </c>
      <c r="B41" s="719">
        <v>5458.0</v>
      </c>
      <c r="C41" s="297" t="s">
        <v>20580</v>
      </c>
      <c r="D41" s="723">
        <v>0.85</v>
      </c>
      <c r="E41" s="723">
        <v>0.85</v>
      </c>
      <c r="F41" s="348" t="s">
        <v>1656</v>
      </c>
      <c r="G41" s="10"/>
      <c r="H41" s="716" t="s">
        <v>20655</v>
      </c>
      <c r="I41" s="720">
        <v>5458.0</v>
      </c>
      <c r="J41" s="718">
        <v>283.0</v>
      </c>
      <c r="K41" s="10" t="str">
        <f t="shared" si="1"/>
        <v>#N/A</v>
      </c>
      <c r="L41" s="10"/>
      <c r="M41" s="141" t="s">
        <v>20656</v>
      </c>
      <c r="N41" s="9">
        <v>1.0</v>
      </c>
    </row>
    <row r="42">
      <c r="A42" s="714" t="s">
        <v>20657</v>
      </c>
      <c r="B42" s="719">
        <v>2345.0</v>
      </c>
      <c r="C42" s="297" t="s">
        <v>20580</v>
      </c>
      <c r="D42" s="723">
        <v>0.9</v>
      </c>
      <c r="E42" s="723">
        <v>0.9</v>
      </c>
      <c r="F42" s="348" t="s">
        <v>1656</v>
      </c>
      <c r="G42" s="10"/>
      <c r="H42" s="721" t="s">
        <v>20657</v>
      </c>
      <c r="I42" s="722">
        <v>2345.0</v>
      </c>
      <c r="J42" s="303"/>
      <c r="K42" s="10">
        <f t="shared" si="1"/>
        <v>1</v>
      </c>
      <c r="L42" s="10"/>
      <c r="M42" s="141" t="s">
        <v>20658</v>
      </c>
      <c r="N42" s="9">
        <v>1.0</v>
      </c>
    </row>
    <row r="43">
      <c r="A43" s="714" t="s">
        <v>20659</v>
      </c>
      <c r="B43" s="134">
        <v>6530.0</v>
      </c>
      <c r="C43" s="297" t="s">
        <v>20580</v>
      </c>
      <c r="D43" s="715">
        <v>0.8</v>
      </c>
      <c r="E43" s="715">
        <v>0.8</v>
      </c>
      <c r="F43" s="348" t="s">
        <v>1656</v>
      </c>
      <c r="G43" s="10"/>
      <c r="H43" s="716" t="s">
        <v>20659</v>
      </c>
      <c r="I43" s="717">
        <v>6530.0</v>
      </c>
      <c r="J43" s="718">
        <v>411.0</v>
      </c>
      <c r="K43" s="10" t="str">
        <f t="shared" si="1"/>
        <v>#N/A</v>
      </c>
      <c r="L43" s="10"/>
      <c r="M43" s="141" t="s">
        <v>20660</v>
      </c>
      <c r="N43" s="9">
        <v>1.0</v>
      </c>
    </row>
    <row r="44">
      <c r="A44" s="714" t="s">
        <v>20661</v>
      </c>
      <c r="B44" s="719">
        <v>7033.0</v>
      </c>
      <c r="C44" s="297" t="s">
        <v>20580</v>
      </c>
      <c r="D44" s="715">
        <v>0.8</v>
      </c>
      <c r="E44" s="715">
        <v>0.8</v>
      </c>
      <c r="F44" s="348" t="s">
        <v>1656</v>
      </c>
      <c r="G44" s="10"/>
      <c r="H44" s="716" t="s">
        <v>20661</v>
      </c>
      <c r="I44" s="720">
        <v>7033.0</v>
      </c>
      <c r="J44" s="9">
        <v>986.0</v>
      </c>
      <c r="K44" s="10">
        <f t="shared" si="1"/>
        <v>1</v>
      </c>
      <c r="L44" s="10"/>
      <c r="M44" s="141" t="s">
        <v>20662</v>
      </c>
      <c r="N44" s="9">
        <v>1.0</v>
      </c>
    </row>
    <row r="45">
      <c r="A45" s="714" t="s">
        <v>20663</v>
      </c>
      <c r="B45" s="719">
        <v>6109.0</v>
      </c>
      <c r="C45" s="297" t="s">
        <v>20580</v>
      </c>
      <c r="D45" s="715">
        <v>0.8</v>
      </c>
      <c r="E45" s="715">
        <v>0.8</v>
      </c>
      <c r="F45" s="348" t="s">
        <v>1656</v>
      </c>
      <c r="G45" s="10"/>
      <c r="H45" s="716" t="s">
        <v>20663</v>
      </c>
      <c r="I45" s="720">
        <v>6109.0</v>
      </c>
      <c r="J45" s="718">
        <v>5488.0</v>
      </c>
      <c r="K45" s="10" t="str">
        <f t="shared" si="1"/>
        <v>#N/A</v>
      </c>
      <c r="L45" s="10"/>
      <c r="M45" s="141" t="s">
        <v>20664</v>
      </c>
      <c r="N45" s="9">
        <v>1.0</v>
      </c>
    </row>
    <row r="46">
      <c r="A46" s="714" t="s">
        <v>20665</v>
      </c>
      <c r="B46" s="134">
        <v>5458.0</v>
      </c>
      <c r="C46" s="297" t="s">
        <v>20580</v>
      </c>
      <c r="D46" s="723">
        <v>0.85</v>
      </c>
      <c r="E46" s="723">
        <v>0.85</v>
      </c>
      <c r="F46" s="348" t="s">
        <v>1656</v>
      </c>
      <c r="G46" s="10"/>
      <c r="H46" s="716" t="s">
        <v>20665</v>
      </c>
      <c r="I46" s="717">
        <v>5458.0</v>
      </c>
      <c r="J46" s="718">
        <v>1334.0</v>
      </c>
      <c r="K46" s="10" t="str">
        <f t="shared" si="1"/>
        <v>#N/A</v>
      </c>
      <c r="L46" s="10"/>
      <c r="M46" s="141" t="s">
        <v>20666</v>
      </c>
      <c r="N46" s="9">
        <v>1.0</v>
      </c>
    </row>
    <row r="47">
      <c r="A47" s="714" t="s">
        <v>20667</v>
      </c>
      <c r="B47" s="719">
        <v>5125.0</v>
      </c>
      <c r="C47" s="297" t="s">
        <v>20580</v>
      </c>
      <c r="D47" s="715">
        <v>0.8</v>
      </c>
      <c r="E47" s="715">
        <v>0.8</v>
      </c>
      <c r="F47" s="348" t="s">
        <v>1656</v>
      </c>
      <c r="G47" s="10"/>
      <c r="H47" s="721" t="s">
        <v>20667</v>
      </c>
      <c r="I47" s="722">
        <v>5125.0</v>
      </c>
      <c r="J47" s="303"/>
      <c r="K47" s="10">
        <f t="shared" si="1"/>
        <v>1</v>
      </c>
      <c r="L47" s="10"/>
      <c r="M47" s="141" t="s">
        <v>20668</v>
      </c>
      <c r="N47" s="9">
        <v>1.0</v>
      </c>
    </row>
    <row r="48">
      <c r="A48" s="714" t="s">
        <v>20669</v>
      </c>
      <c r="B48" s="134">
        <v>9363.0</v>
      </c>
      <c r="C48" s="297" t="s">
        <v>20580</v>
      </c>
      <c r="D48" s="715">
        <v>0.8</v>
      </c>
      <c r="E48" s="715">
        <v>0.8</v>
      </c>
      <c r="F48" s="348" t="s">
        <v>1656</v>
      </c>
      <c r="G48" s="10"/>
      <c r="H48" s="716" t="s">
        <v>20669</v>
      </c>
      <c r="I48" s="717">
        <v>9363.0</v>
      </c>
      <c r="J48" s="718">
        <v>986.0</v>
      </c>
      <c r="K48" s="10" t="str">
        <f t="shared" si="1"/>
        <v>#N/A</v>
      </c>
      <c r="L48" s="10"/>
      <c r="M48" s="141" t="s">
        <v>20670</v>
      </c>
      <c r="N48" s="9">
        <v>1.0</v>
      </c>
    </row>
    <row r="49">
      <c r="A49" s="714" t="s">
        <v>20671</v>
      </c>
      <c r="B49" s="719">
        <v>3307.0</v>
      </c>
      <c r="C49" s="297" t="s">
        <v>20580</v>
      </c>
      <c r="D49" s="715">
        <v>0.8</v>
      </c>
      <c r="E49" s="715">
        <v>0.8</v>
      </c>
      <c r="F49" s="348" t="s">
        <v>1656</v>
      </c>
      <c r="G49" s="10"/>
      <c r="H49" s="716" t="s">
        <v>20671</v>
      </c>
      <c r="I49" s="720">
        <v>3307.0</v>
      </c>
      <c r="J49" s="718">
        <v>986.0</v>
      </c>
      <c r="K49" s="10">
        <f t="shared" si="1"/>
        <v>1</v>
      </c>
      <c r="L49" s="10"/>
      <c r="M49" s="141" t="s">
        <v>20672</v>
      </c>
      <c r="N49" s="9">
        <v>1.0</v>
      </c>
    </row>
    <row r="50">
      <c r="A50" s="714" t="s">
        <v>6285</v>
      </c>
      <c r="B50" s="719">
        <v>5125.0</v>
      </c>
      <c r="C50" s="297" t="s">
        <v>20580</v>
      </c>
      <c r="D50" s="715">
        <v>0.8</v>
      </c>
      <c r="E50" s="715">
        <v>0.8</v>
      </c>
      <c r="F50" s="348" t="s">
        <v>1656</v>
      </c>
      <c r="G50" s="10"/>
      <c r="H50" s="721" t="s">
        <v>6285</v>
      </c>
      <c r="I50" s="722">
        <v>5125.0</v>
      </c>
      <c r="J50" s="303"/>
      <c r="K50" s="10">
        <f t="shared" si="1"/>
        <v>1</v>
      </c>
      <c r="L50" s="10"/>
      <c r="M50" s="141" t="s">
        <v>20673</v>
      </c>
      <c r="N50" s="9">
        <v>1.0</v>
      </c>
    </row>
    <row r="51">
      <c r="A51" s="714" t="s">
        <v>20674</v>
      </c>
      <c r="B51" s="719">
        <v>5125.0</v>
      </c>
      <c r="C51" s="297" t="s">
        <v>20580</v>
      </c>
      <c r="D51" s="715">
        <v>0.8</v>
      </c>
      <c r="E51" s="715">
        <v>0.8</v>
      </c>
      <c r="F51" s="348" t="s">
        <v>1656</v>
      </c>
      <c r="G51" s="10"/>
      <c r="H51" s="721" t="s">
        <v>20674</v>
      </c>
      <c r="I51" s="722">
        <v>5125.0</v>
      </c>
      <c r="J51" s="303"/>
      <c r="K51" s="10">
        <f t="shared" si="1"/>
        <v>1</v>
      </c>
      <c r="L51" s="10"/>
      <c r="M51" s="141" t="s">
        <v>20675</v>
      </c>
      <c r="N51" s="9">
        <v>1.0</v>
      </c>
    </row>
    <row r="52">
      <c r="A52" s="725" t="s">
        <v>21</v>
      </c>
      <c r="B52" s="726">
        <v>14298.0</v>
      </c>
      <c r="C52" s="297" t="s">
        <v>20580</v>
      </c>
      <c r="D52" s="723">
        <v>0.8</v>
      </c>
      <c r="E52" s="723">
        <v>0.8</v>
      </c>
      <c r="F52" s="348" t="s">
        <v>1656</v>
      </c>
      <c r="G52" s="726" t="s">
        <v>20676</v>
      </c>
      <c r="H52" s="716" t="s">
        <v>21</v>
      </c>
      <c r="I52" s="720">
        <v>5125.0</v>
      </c>
      <c r="J52" s="10"/>
      <c r="K52" s="10">
        <f t="shared" si="1"/>
        <v>1</v>
      </c>
      <c r="L52" s="10"/>
      <c r="M52" s="141" t="s">
        <v>20677</v>
      </c>
      <c r="N52" s="9">
        <v>1.0</v>
      </c>
    </row>
    <row r="53">
      <c r="A53" s="714" t="s">
        <v>20678</v>
      </c>
      <c r="B53" s="719">
        <v>5421.0</v>
      </c>
      <c r="C53" s="297" t="s">
        <v>20580</v>
      </c>
      <c r="D53" s="715">
        <v>0.8</v>
      </c>
      <c r="E53" s="715">
        <v>0.8</v>
      </c>
      <c r="F53" s="348" t="s">
        <v>1656</v>
      </c>
      <c r="G53" s="10"/>
      <c r="H53" s="716" t="s">
        <v>20678</v>
      </c>
      <c r="I53" s="720">
        <v>5421.0</v>
      </c>
      <c r="J53" s="10"/>
      <c r="K53" s="10">
        <f t="shared" si="1"/>
        <v>1</v>
      </c>
      <c r="L53" s="10"/>
      <c r="M53" s="141" t="s">
        <v>20679</v>
      </c>
      <c r="N53" s="9">
        <v>1.0</v>
      </c>
    </row>
    <row r="54">
      <c r="A54" s="714" t="s">
        <v>20680</v>
      </c>
      <c r="B54" s="719">
        <v>6104.0</v>
      </c>
      <c r="C54" s="297" t="s">
        <v>20580</v>
      </c>
      <c r="D54" s="715">
        <v>0.8</v>
      </c>
      <c r="E54" s="715">
        <v>0.8</v>
      </c>
      <c r="F54" s="348" t="s">
        <v>1656</v>
      </c>
      <c r="G54" s="10"/>
      <c r="H54" s="716" t="s">
        <v>20680</v>
      </c>
      <c r="I54" s="720">
        <v>6104.0</v>
      </c>
      <c r="J54" s="10"/>
      <c r="K54" s="10" t="str">
        <f t="shared" si="1"/>
        <v>#N/A</v>
      </c>
      <c r="L54" s="10"/>
      <c r="M54" s="141" t="s">
        <v>20681</v>
      </c>
      <c r="N54" s="9">
        <v>1.0</v>
      </c>
    </row>
    <row r="55">
      <c r="A55" s="714" t="s">
        <v>20682</v>
      </c>
      <c r="B55" s="719">
        <v>6297.0</v>
      </c>
      <c r="C55" s="297" t="s">
        <v>20580</v>
      </c>
      <c r="D55" s="715">
        <v>0.8</v>
      </c>
      <c r="E55" s="715">
        <v>0.8</v>
      </c>
      <c r="F55" s="348" t="s">
        <v>1656</v>
      </c>
      <c r="G55" s="10"/>
      <c r="H55" s="716" t="s">
        <v>20682</v>
      </c>
      <c r="I55" s="720">
        <v>6297.0</v>
      </c>
      <c r="J55" s="10"/>
      <c r="K55" s="10" t="str">
        <f t="shared" si="1"/>
        <v>#N/A</v>
      </c>
      <c r="L55" s="10"/>
      <c r="M55" s="141" t="s">
        <v>20683</v>
      </c>
      <c r="N55" s="9">
        <v>1.0</v>
      </c>
    </row>
    <row r="56">
      <c r="A56" s="714" t="s">
        <v>20684</v>
      </c>
      <c r="B56" s="719">
        <v>1360.0</v>
      </c>
      <c r="C56" s="297" t="s">
        <v>20580</v>
      </c>
      <c r="D56" s="715">
        <v>0.8</v>
      </c>
      <c r="E56" s="715">
        <v>0.8</v>
      </c>
      <c r="F56" s="348" t="s">
        <v>1656</v>
      </c>
      <c r="G56" s="10"/>
      <c r="H56" s="716" t="s">
        <v>20684</v>
      </c>
      <c r="I56" s="720">
        <v>1360.0</v>
      </c>
      <c r="J56" s="10"/>
      <c r="K56" s="10" t="str">
        <f t="shared" si="1"/>
        <v>#N/A</v>
      </c>
      <c r="L56" s="10"/>
      <c r="M56" s="141" t="s">
        <v>20685</v>
      </c>
      <c r="N56" s="9">
        <v>1.0</v>
      </c>
    </row>
    <row r="57">
      <c r="A57" s="714" t="s">
        <v>20686</v>
      </c>
      <c r="B57" s="719">
        <v>505.0</v>
      </c>
      <c r="C57" s="297" t="s">
        <v>20580</v>
      </c>
      <c r="D57" s="715">
        <v>0.8</v>
      </c>
      <c r="E57" s="715">
        <v>0.8</v>
      </c>
      <c r="F57" s="348" t="s">
        <v>1656</v>
      </c>
      <c r="G57" s="10"/>
      <c r="H57" s="716" t="s">
        <v>20686</v>
      </c>
      <c r="I57" s="720">
        <v>505.0</v>
      </c>
      <c r="J57" s="10"/>
      <c r="K57" s="10" t="str">
        <f t="shared" si="1"/>
        <v>#N/A</v>
      </c>
      <c r="L57" s="10"/>
      <c r="M57" s="141" t="s">
        <v>20687</v>
      </c>
      <c r="N57" s="9">
        <v>1.0</v>
      </c>
    </row>
    <row r="58">
      <c r="A58" s="714" t="s">
        <v>20688</v>
      </c>
      <c r="B58" s="719">
        <v>9645.0</v>
      </c>
      <c r="C58" s="297" t="s">
        <v>20580</v>
      </c>
      <c r="D58" s="715">
        <v>0.8</v>
      </c>
      <c r="E58" s="715">
        <v>0.8</v>
      </c>
      <c r="F58" s="348" t="s">
        <v>1656</v>
      </c>
      <c r="G58" s="10"/>
      <c r="H58" s="716" t="s">
        <v>20688</v>
      </c>
      <c r="I58" s="720">
        <v>9645.0</v>
      </c>
      <c r="J58" s="718">
        <v>909.0</v>
      </c>
      <c r="K58" s="10" t="str">
        <f t="shared" si="1"/>
        <v>#N/A</v>
      </c>
      <c r="L58" s="10"/>
      <c r="M58" s="141" t="s">
        <v>20689</v>
      </c>
      <c r="N58" s="9">
        <v>1.0</v>
      </c>
    </row>
    <row r="59">
      <c r="A59" s="714" t="s">
        <v>20690</v>
      </c>
      <c r="B59" s="719">
        <v>1360.0</v>
      </c>
      <c r="C59" s="297" t="s">
        <v>20580</v>
      </c>
      <c r="D59" s="715">
        <v>0.8</v>
      </c>
      <c r="E59" s="715">
        <v>0.8</v>
      </c>
      <c r="F59" s="348" t="s">
        <v>1656</v>
      </c>
      <c r="G59" s="10"/>
      <c r="H59" s="716" t="s">
        <v>20690</v>
      </c>
      <c r="I59" s="720">
        <v>1360.0</v>
      </c>
      <c r="J59" s="10"/>
      <c r="K59" s="10" t="str">
        <f t="shared" si="1"/>
        <v>#N/A</v>
      </c>
      <c r="L59" s="10"/>
      <c r="M59" s="141" t="s">
        <v>20691</v>
      </c>
      <c r="N59" s="9">
        <v>1.0</v>
      </c>
    </row>
    <row r="60">
      <c r="A60" s="714" t="s">
        <v>20692</v>
      </c>
      <c r="B60" s="719">
        <v>6141.0</v>
      </c>
      <c r="C60" s="297" t="s">
        <v>20580</v>
      </c>
      <c r="D60" s="715">
        <v>0.8</v>
      </c>
      <c r="E60" s="715">
        <v>0.8</v>
      </c>
      <c r="F60" s="348" t="s">
        <v>1656</v>
      </c>
      <c r="G60" s="10"/>
      <c r="H60" s="716" t="s">
        <v>20692</v>
      </c>
      <c r="I60" s="720">
        <v>6141.0</v>
      </c>
      <c r="J60" s="10"/>
      <c r="K60" s="10" t="str">
        <f t="shared" si="1"/>
        <v>#N/A</v>
      </c>
      <c r="L60" s="10"/>
      <c r="M60" s="141" t="s">
        <v>20693</v>
      </c>
      <c r="N60" s="9">
        <v>1.0</v>
      </c>
    </row>
    <row r="61">
      <c r="A61" s="714" t="s">
        <v>20694</v>
      </c>
      <c r="B61" s="719">
        <v>663.0</v>
      </c>
      <c r="C61" s="297" t="s">
        <v>20580</v>
      </c>
      <c r="D61" s="723">
        <v>0.85</v>
      </c>
      <c r="E61" s="723">
        <v>0.85</v>
      </c>
      <c r="F61" s="348" t="s">
        <v>1656</v>
      </c>
      <c r="G61" s="10"/>
      <c r="H61" s="716" t="s">
        <v>20694</v>
      </c>
      <c r="I61" s="720">
        <v>663.0</v>
      </c>
      <c r="J61" s="10"/>
      <c r="K61" s="10" t="str">
        <f t="shared" si="1"/>
        <v>#N/A</v>
      </c>
      <c r="L61" s="10"/>
      <c r="M61" s="141" t="s">
        <v>20695</v>
      </c>
      <c r="N61" s="9">
        <v>1.0</v>
      </c>
    </row>
    <row r="62">
      <c r="A62" s="714" t="s">
        <v>20696</v>
      </c>
      <c r="B62" s="719">
        <v>6109.0</v>
      </c>
      <c r="C62" s="297" t="s">
        <v>20580</v>
      </c>
      <c r="D62" s="715">
        <v>0.8</v>
      </c>
      <c r="E62" s="715">
        <v>0.8</v>
      </c>
      <c r="F62" s="348" t="s">
        <v>1656</v>
      </c>
      <c r="G62" s="10"/>
      <c r="H62" s="716" t="s">
        <v>20696</v>
      </c>
      <c r="I62" s="720">
        <v>6109.0</v>
      </c>
      <c r="J62" s="10"/>
      <c r="K62" s="10" t="str">
        <f t="shared" si="1"/>
        <v>#N/A</v>
      </c>
      <c r="L62" s="10"/>
      <c r="M62" s="141" t="s">
        <v>20697</v>
      </c>
      <c r="N62" s="9">
        <v>1.0</v>
      </c>
    </row>
    <row r="63">
      <c r="A63" s="714" t="s">
        <v>20698</v>
      </c>
      <c r="B63" s="719">
        <v>6237.0</v>
      </c>
      <c r="C63" s="297" t="s">
        <v>20580</v>
      </c>
      <c r="D63" s="715">
        <v>0.8</v>
      </c>
      <c r="E63" s="715">
        <v>0.8</v>
      </c>
      <c r="F63" s="348" t="s">
        <v>1656</v>
      </c>
      <c r="G63" s="10"/>
      <c r="H63" s="716" t="s">
        <v>20698</v>
      </c>
      <c r="I63" s="720">
        <v>6237.0</v>
      </c>
      <c r="J63" s="10"/>
      <c r="K63" s="10" t="str">
        <f t="shared" si="1"/>
        <v>#N/A</v>
      </c>
      <c r="L63" s="10"/>
      <c r="M63" s="141" t="s">
        <v>20699</v>
      </c>
      <c r="N63" s="9">
        <v>1.0</v>
      </c>
    </row>
    <row r="64">
      <c r="A64" s="714" t="s">
        <v>20700</v>
      </c>
      <c r="B64" s="719">
        <v>6107.0</v>
      </c>
      <c r="C64" s="297" t="s">
        <v>20580</v>
      </c>
      <c r="D64" s="715">
        <v>0.8</v>
      </c>
      <c r="E64" s="715">
        <v>0.8</v>
      </c>
      <c r="F64" s="348" t="s">
        <v>1656</v>
      </c>
      <c r="G64" s="10"/>
      <c r="H64" s="716" t="s">
        <v>20700</v>
      </c>
      <c r="I64" s="720">
        <v>6107.0</v>
      </c>
      <c r="J64" s="10"/>
      <c r="K64" s="10" t="str">
        <f t="shared" si="1"/>
        <v>#N/A</v>
      </c>
      <c r="L64" s="10"/>
      <c r="M64" s="141" t="s">
        <v>20701</v>
      </c>
      <c r="N64" s="9">
        <v>1.0</v>
      </c>
    </row>
    <row r="65">
      <c r="A65" s="714" t="s">
        <v>20702</v>
      </c>
      <c r="B65" s="719">
        <v>6678.0</v>
      </c>
      <c r="C65" s="297" t="s">
        <v>20580</v>
      </c>
      <c r="D65" s="715">
        <v>0.8</v>
      </c>
      <c r="E65" s="715">
        <v>0.8</v>
      </c>
      <c r="F65" s="348" t="s">
        <v>1656</v>
      </c>
      <c r="G65" s="10"/>
      <c r="H65" s="716" t="s">
        <v>20702</v>
      </c>
      <c r="I65" s="720">
        <v>6678.0</v>
      </c>
      <c r="J65" s="718">
        <v>1610.0</v>
      </c>
      <c r="K65" s="10" t="str">
        <f t="shared" si="1"/>
        <v>#N/A</v>
      </c>
      <c r="L65" s="10"/>
      <c r="M65" s="141" t="s">
        <v>20703</v>
      </c>
      <c r="N65" s="9">
        <v>1.0</v>
      </c>
    </row>
    <row r="66">
      <c r="A66" s="714" t="s">
        <v>20704</v>
      </c>
      <c r="B66" s="719">
        <v>3312.0</v>
      </c>
      <c r="C66" s="297" t="s">
        <v>20580</v>
      </c>
      <c r="D66" s="715">
        <v>0.8</v>
      </c>
      <c r="E66" s="715">
        <v>0.8</v>
      </c>
      <c r="F66" s="348" t="s">
        <v>1656</v>
      </c>
      <c r="G66" s="10"/>
      <c r="H66" s="716" t="s">
        <v>20704</v>
      </c>
      <c r="I66" s="720">
        <v>3312.0</v>
      </c>
      <c r="J66" s="10"/>
      <c r="K66" s="10" t="str">
        <f t="shared" si="1"/>
        <v>#N/A</v>
      </c>
      <c r="L66" s="10"/>
      <c r="M66" s="141" t="s">
        <v>20705</v>
      </c>
      <c r="N66" s="9">
        <v>1.0</v>
      </c>
    </row>
    <row r="67">
      <c r="A67" s="714" t="s">
        <v>20706</v>
      </c>
      <c r="B67" s="719">
        <v>6669.0</v>
      </c>
      <c r="C67" s="297" t="s">
        <v>20580</v>
      </c>
      <c r="D67" s="715">
        <v>0.8</v>
      </c>
      <c r="E67" s="715">
        <v>0.8</v>
      </c>
      <c r="F67" s="348" t="s">
        <v>1656</v>
      </c>
      <c r="G67" s="10"/>
      <c r="H67" s="716" t="s">
        <v>20706</v>
      </c>
      <c r="I67" s="720">
        <v>6669.0</v>
      </c>
      <c r="J67" s="9">
        <v>1610.0</v>
      </c>
      <c r="K67" s="10" t="str">
        <f t="shared" si="1"/>
        <v>#N/A</v>
      </c>
      <c r="L67" s="10"/>
      <c r="M67" s="141" t="s">
        <v>20707</v>
      </c>
      <c r="N67" s="9">
        <v>1.0</v>
      </c>
    </row>
    <row r="68">
      <c r="A68" s="714" t="s">
        <v>20708</v>
      </c>
      <c r="B68" s="719">
        <v>6109.0</v>
      </c>
      <c r="C68" s="297" t="s">
        <v>20580</v>
      </c>
      <c r="D68" s="715">
        <v>0.8</v>
      </c>
      <c r="E68" s="715">
        <v>0.8</v>
      </c>
      <c r="F68" s="348" t="s">
        <v>1656</v>
      </c>
      <c r="G68" s="10"/>
      <c r="H68" s="716" t="s">
        <v>20708</v>
      </c>
      <c r="I68" s="720">
        <v>6109.0</v>
      </c>
      <c r="J68" s="10"/>
      <c r="K68" s="10" t="str">
        <f t="shared" si="1"/>
        <v>#N/A</v>
      </c>
      <c r="L68" s="10"/>
      <c r="M68" s="141" t="s">
        <v>20709</v>
      </c>
      <c r="N68" s="9">
        <v>1.0</v>
      </c>
    </row>
    <row r="69">
      <c r="A69" s="714" t="s">
        <v>20710</v>
      </c>
      <c r="B69" s="719">
        <v>6143.0</v>
      </c>
      <c r="C69" s="297" t="s">
        <v>20580</v>
      </c>
      <c r="D69" s="723">
        <v>0.8</v>
      </c>
      <c r="E69" s="723">
        <v>0.8</v>
      </c>
      <c r="F69" s="348" t="s">
        <v>1656</v>
      </c>
      <c r="G69" s="10"/>
      <c r="H69" s="716" t="s">
        <v>20710</v>
      </c>
      <c r="I69" s="720">
        <v>6143.0</v>
      </c>
      <c r="J69" s="10"/>
      <c r="K69" s="10" t="str">
        <f t="shared" si="1"/>
        <v>#N/A</v>
      </c>
      <c r="L69" s="10"/>
      <c r="M69" s="141" t="s">
        <v>20711</v>
      </c>
      <c r="N69" s="9">
        <v>1.0</v>
      </c>
    </row>
    <row r="70">
      <c r="A70" s="714" t="s">
        <v>20712</v>
      </c>
      <c r="B70" s="719">
        <v>3312.0</v>
      </c>
      <c r="C70" s="297" t="s">
        <v>20580</v>
      </c>
      <c r="D70" s="715">
        <v>0.8</v>
      </c>
      <c r="E70" s="715">
        <v>0.8</v>
      </c>
      <c r="F70" s="348" t="s">
        <v>1656</v>
      </c>
      <c r="G70" s="10"/>
      <c r="H70" s="716" t="s">
        <v>20712</v>
      </c>
      <c r="I70" s="720">
        <v>3312.0</v>
      </c>
      <c r="J70" s="10"/>
      <c r="K70" s="10" t="str">
        <f t="shared" si="1"/>
        <v>#N/A</v>
      </c>
      <c r="L70" s="10"/>
      <c r="M70" s="141" t="s">
        <v>20713</v>
      </c>
      <c r="N70" s="9">
        <v>1.0</v>
      </c>
    </row>
    <row r="71">
      <c r="A71" s="714" t="s">
        <v>20714</v>
      </c>
      <c r="B71" s="719">
        <v>189.0</v>
      </c>
      <c r="C71" s="297" t="s">
        <v>20580</v>
      </c>
      <c r="D71" s="715">
        <v>0.91</v>
      </c>
      <c r="E71" s="715">
        <v>0.91</v>
      </c>
      <c r="F71" s="348" t="s">
        <v>1656</v>
      </c>
      <c r="G71" s="10"/>
      <c r="H71" s="716" t="s">
        <v>20714</v>
      </c>
      <c r="I71" s="720">
        <v>189.0</v>
      </c>
      <c r="J71" s="10"/>
      <c r="K71" s="10">
        <f t="shared" si="1"/>
        <v>1</v>
      </c>
      <c r="L71" s="10"/>
      <c r="M71" s="141" t="s">
        <v>20715</v>
      </c>
      <c r="N71" s="9">
        <v>1.0</v>
      </c>
    </row>
    <row r="72">
      <c r="A72" s="714" t="s">
        <v>20716</v>
      </c>
      <c r="B72" s="719">
        <v>5421.0</v>
      </c>
      <c r="C72" s="297" t="s">
        <v>20580</v>
      </c>
      <c r="D72" s="715">
        <v>0.8</v>
      </c>
      <c r="E72" s="715">
        <v>0.8</v>
      </c>
      <c r="F72" s="348" t="s">
        <v>1656</v>
      </c>
      <c r="G72" s="10"/>
      <c r="H72" s="716" t="s">
        <v>20716</v>
      </c>
      <c r="I72" s="720">
        <v>5421.0</v>
      </c>
      <c r="J72" s="10"/>
      <c r="K72" s="10">
        <f t="shared" si="1"/>
        <v>1</v>
      </c>
      <c r="L72" s="10"/>
      <c r="M72" s="141" t="s">
        <v>20717</v>
      </c>
      <c r="N72" s="9">
        <v>1.0</v>
      </c>
    </row>
    <row r="73">
      <c r="A73" s="714" t="s">
        <v>20718</v>
      </c>
      <c r="B73" s="719">
        <v>5421.0</v>
      </c>
      <c r="C73" s="297" t="s">
        <v>20580</v>
      </c>
      <c r="D73" s="715">
        <v>0.8</v>
      </c>
      <c r="E73" s="715">
        <v>0.8</v>
      </c>
      <c r="F73" s="348" t="s">
        <v>1656</v>
      </c>
      <c r="G73" s="10"/>
      <c r="H73" s="716" t="s">
        <v>20718</v>
      </c>
      <c r="I73" s="720">
        <v>5421.0</v>
      </c>
      <c r="J73" s="10"/>
      <c r="K73" s="10">
        <f t="shared" si="1"/>
        <v>1</v>
      </c>
      <c r="L73" s="10"/>
      <c r="M73" s="141" t="s">
        <v>20719</v>
      </c>
      <c r="N73" s="9">
        <v>1.0</v>
      </c>
    </row>
    <row r="74">
      <c r="A74" s="714" t="s">
        <v>20720</v>
      </c>
      <c r="B74" s="719">
        <v>5421.0</v>
      </c>
      <c r="C74" s="297" t="s">
        <v>20580</v>
      </c>
      <c r="D74" s="715">
        <v>0.8</v>
      </c>
      <c r="E74" s="715">
        <v>0.8</v>
      </c>
      <c r="F74" s="348" t="s">
        <v>1656</v>
      </c>
      <c r="G74" s="10"/>
      <c r="H74" s="716" t="s">
        <v>20720</v>
      </c>
      <c r="I74" s="720">
        <v>5421.0</v>
      </c>
      <c r="J74" s="10"/>
      <c r="K74" s="10">
        <f t="shared" si="1"/>
        <v>1</v>
      </c>
      <c r="L74" s="10"/>
      <c r="M74" s="141" t="s">
        <v>20721</v>
      </c>
      <c r="N74" s="9">
        <v>1.0</v>
      </c>
    </row>
    <row r="75">
      <c r="A75" s="714" t="s">
        <v>20722</v>
      </c>
      <c r="B75" s="719">
        <v>5421.0</v>
      </c>
      <c r="C75" s="297" t="s">
        <v>20580</v>
      </c>
      <c r="D75" s="715">
        <v>0.8</v>
      </c>
      <c r="E75" s="715">
        <v>0.8</v>
      </c>
      <c r="F75" s="348" t="s">
        <v>1656</v>
      </c>
      <c r="G75" s="10"/>
      <c r="H75" s="716" t="s">
        <v>20722</v>
      </c>
      <c r="I75" s="720">
        <v>5421.0</v>
      </c>
      <c r="J75" s="10"/>
      <c r="K75" s="10">
        <f t="shared" si="1"/>
        <v>1</v>
      </c>
      <c r="L75" s="10"/>
      <c r="M75" s="141" t="s">
        <v>20723</v>
      </c>
      <c r="N75" s="9">
        <v>1.0</v>
      </c>
    </row>
    <row r="76">
      <c r="A76" s="714" t="s">
        <v>20724</v>
      </c>
      <c r="B76" s="719">
        <v>669.0</v>
      </c>
      <c r="C76" s="297" t="s">
        <v>20580</v>
      </c>
      <c r="D76" s="715">
        <v>0.8</v>
      </c>
      <c r="E76" s="715">
        <v>0.8</v>
      </c>
      <c r="F76" s="348" t="s">
        <v>1656</v>
      </c>
      <c r="G76" s="10"/>
      <c r="H76" s="716" t="s">
        <v>20724</v>
      </c>
      <c r="I76" s="720">
        <v>669.0</v>
      </c>
      <c r="J76" s="10"/>
      <c r="K76" s="10" t="str">
        <f t="shared" si="1"/>
        <v>#N/A</v>
      </c>
      <c r="L76" s="10"/>
      <c r="M76" s="141" t="s">
        <v>20725</v>
      </c>
      <c r="N76" s="9">
        <v>1.0</v>
      </c>
    </row>
    <row r="77">
      <c r="A77" s="714" t="s">
        <v>20726</v>
      </c>
      <c r="B77" s="134">
        <v>7055.0</v>
      </c>
      <c r="C77" s="297" t="s">
        <v>20580</v>
      </c>
      <c r="D77" s="715">
        <v>0.8</v>
      </c>
      <c r="E77" s="715">
        <v>0.8</v>
      </c>
      <c r="F77" s="348" t="s">
        <v>1656</v>
      </c>
      <c r="G77" s="10"/>
      <c r="H77" s="716" t="s">
        <v>20726</v>
      </c>
      <c r="I77" s="717">
        <v>7055.0</v>
      </c>
      <c r="J77" s="718">
        <v>986.0</v>
      </c>
      <c r="K77" s="10">
        <f t="shared" si="1"/>
        <v>1</v>
      </c>
      <c r="L77" s="10"/>
      <c r="M77" s="141" t="s">
        <v>20727</v>
      </c>
      <c r="N77" s="9">
        <v>1.0</v>
      </c>
    </row>
    <row r="78">
      <c r="A78" s="714" t="s">
        <v>20728</v>
      </c>
      <c r="B78" s="719">
        <v>2345.0</v>
      </c>
      <c r="C78" s="297" t="s">
        <v>20580</v>
      </c>
      <c r="D78" s="723">
        <v>0.9</v>
      </c>
      <c r="E78" s="723">
        <v>0.9</v>
      </c>
      <c r="F78" s="348" t="s">
        <v>1656</v>
      </c>
      <c r="G78" s="10"/>
      <c r="H78" s="716" t="s">
        <v>20728</v>
      </c>
      <c r="I78" s="720">
        <v>2345.0</v>
      </c>
      <c r="J78" s="10"/>
      <c r="K78" s="10">
        <f t="shared" si="1"/>
        <v>1</v>
      </c>
      <c r="L78" s="10"/>
      <c r="M78" s="141" t="s">
        <v>20729</v>
      </c>
      <c r="N78" s="9">
        <v>1.0</v>
      </c>
    </row>
    <row r="79">
      <c r="A79" s="714" t="s">
        <v>20730</v>
      </c>
      <c r="B79" s="719">
        <v>6463.0</v>
      </c>
      <c r="C79" s="297" t="s">
        <v>20580</v>
      </c>
      <c r="D79" s="715">
        <v>0.8</v>
      </c>
      <c r="E79" s="715">
        <v>0.8</v>
      </c>
      <c r="F79" s="348" t="s">
        <v>1656</v>
      </c>
      <c r="G79" s="10"/>
      <c r="H79" s="716" t="s">
        <v>20730</v>
      </c>
      <c r="I79" s="720">
        <v>6463.0</v>
      </c>
      <c r="J79" s="10"/>
      <c r="K79" s="10" t="str">
        <f t="shared" si="1"/>
        <v>#N/A</v>
      </c>
      <c r="L79" s="10"/>
      <c r="M79" s="141" t="s">
        <v>20731</v>
      </c>
      <c r="N79" s="9">
        <v>1.0</v>
      </c>
    </row>
    <row r="80">
      <c r="A80" s="714" t="s">
        <v>20732</v>
      </c>
      <c r="B80" s="719">
        <v>6107.0</v>
      </c>
      <c r="C80" s="297" t="s">
        <v>20580</v>
      </c>
      <c r="D80" s="715">
        <v>0.8</v>
      </c>
      <c r="E80" s="715">
        <v>0.8</v>
      </c>
      <c r="F80" s="348" t="s">
        <v>1656</v>
      </c>
      <c r="G80" s="10"/>
      <c r="H80" s="716" t="s">
        <v>20732</v>
      </c>
      <c r="I80" s="720">
        <v>6107.0</v>
      </c>
      <c r="J80" s="10"/>
      <c r="K80" s="10" t="str">
        <f t="shared" si="1"/>
        <v>#N/A</v>
      </c>
      <c r="L80" s="10"/>
      <c r="M80" s="141" t="s">
        <v>20733</v>
      </c>
      <c r="N80" s="9">
        <v>1.0</v>
      </c>
    </row>
    <row r="81">
      <c r="A81" s="714" t="s">
        <v>20734</v>
      </c>
      <c r="B81" s="719">
        <v>2345.0</v>
      </c>
      <c r="C81" s="297" t="s">
        <v>20580</v>
      </c>
      <c r="D81" s="723">
        <v>0.9</v>
      </c>
      <c r="E81" s="723">
        <v>0.9</v>
      </c>
      <c r="F81" s="348" t="s">
        <v>1656</v>
      </c>
      <c r="G81" s="10"/>
      <c r="H81" s="721" t="s">
        <v>20734</v>
      </c>
      <c r="I81" s="722">
        <v>2345.0</v>
      </c>
      <c r="J81" s="303"/>
      <c r="K81" s="10">
        <f t="shared" si="1"/>
        <v>1</v>
      </c>
      <c r="L81" s="10"/>
      <c r="M81" s="141" t="s">
        <v>20735</v>
      </c>
      <c r="N81" s="9">
        <v>1.0</v>
      </c>
    </row>
    <row r="82">
      <c r="A82" s="714" t="s">
        <v>20736</v>
      </c>
      <c r="B82" s="719">
        <v>3312.0</v>
      </c>
      <c r="C82" s="297" t="s">
        <v>20580</v>
      </c>
      <c r="D82" s="715">
        <v>0.8</v>
      </c>
      <c r="E82" s="715">
        <v>0.8</v>
      </c>
      <c r="F82" s="348" t="s">
        <v>1656</v>
      </c>
      <c r="G82" s="9"/>
      <c r="H82" s="716" t="s">
        <v>20736</v>
      </c>
      <c r="I82" s="720">
        <v>3312.0</v>
      </c>
      <c r="J82" s="10"/>
      <c r="K82" s="10" t="str">
        <f t="shared" si="1"/>
        <v>#N/A</v>
      </c>
      <c r="L82" s="10"/>
      <c r="M82" s="141" t="s">
        <v>20737</v>
      </c>
      <c r="N82" s="9">
        <v>1.0</v>
      </c>
    </row>
    <row r="83">
      <c r="A83" s="714" t="s">
        <v>20738</v>
      </c>
      <c r="B83" s="134">
        <v>2345.0</v>
      </c>
      <c r="C83" s="297" t="s">
        <v>20580</v>
      </c>
      <c r="D83" s="723">
        <v>0.9</v>
      </c>
      <c r="E83" s="723">
        <v>0.9</v>
      </c>
      <c r="F83" s="348" t="s">
        <v>1656</v>
      </c>
      <c r="G83" s="9"/>
      <c r="H83" s="716" t="s">
        <v>20738</v>
      </c>
      <c r="I83" s="717">
        <v>2345.0</v>
      </c>
      <c r="J83" s="10"/>
      <c r="K83" s="10">
        <f t="shared" si="1"/>
        <v>1</v>
      </c>
      <c r="L83" s="10"/>
      <c r="M83" s="141" t="s">
        <v>20739</v>
      </c>
      <c r="N83" s="9">
        <v>1.0</v>
      </c>
    </row>
    <row r="84">
      <c r="A84" s="714" t="s">
        <v>20740</v>
      </c>
      <c r="B84" s="719">
        <v>283.0</v>
      </c>
      <c r="C84" s="297" t="s">
        <v>20580</v>
      </c>
      <c r="D84" s="715">
        <v>0.8</v>
      </c>
      <c r="E84" s="715">
        <v>0.8</v>
      </c>
      <c r="F84" s="348" t="s">
        <v>1656</v>
      </c>
      <c r="G84" s="9"/>
      <c r="H84" s="716" t="s">
        <v>20740</v>
      </c>
      <c r="I84" s="720">
        <v>283.0</v>
      </c>
      <c r="J84" s="10"/>
      <c r="K84" s="10" t="str">
        <f t="shared" si="1"/>
        <v>#N/A</v>
      </c>
      <c r="L84" s="10"/>
      <c r="M84" s="141" t="s">
        <v>20741</v>
      </c>
      <c r="N84" s="9">
        <v>1.0</v>
      </c>
    </row>
    <row r="85">
      <c r="A85" s="714" t="s">
        <v>20742</v>
      </c>
      <c r="B85" s="719">
        <v>3312.0</v>
      </c>
      <c r="C85" s="297" t="s">
        <v>20580</v>
      </c>
      <c r="D85" s="715">
        <v>0.8</v>
      </c>
      <c r="E85" s="715">
        <v>0.8</v>
      </c>
      <c r="F85" s="348" t="s">
        <v>1656</v>
      </c>
      <c r="G85" s="9"/>
      <c r="H85" s="716" t="s">
        <v>20742</v>
      </c>
      <c r="I85" s="720">
        <v>3312.0</v>
      </c>
      <c r="J85" s="10"/>
      <c r="K85" s="10" t="str">
        <f t="shared" si="1"/>
        <v>#N/A</v>
      </c>
      <c r="L85" s="10"/>
      <c r="M85" s="141" t="s">
        <v>20743</v>
      </c>
      <c r="N85" s="9">
        <v>1.0</v>
      </c>
    </row>
    <row r="86">
      <c r="A86" s="714" t="s">
        <v>1793</v>
      </c>
      <c r="B86" s="719">
        <v>283.0</v>
      </c>
      <c r="C86" s="297" t="s">
        <v>20580</v>
      </c>
      <c r="D86" s="715">
        <v>0.8</v>
      </c>
      <c r="E86" s="715">
        <v>0.8</v>
      </c>
      <c r="F86" s="348" t="s">
        <v>1656</v>
      </c>
      <c r="G86" s="9"/>
      <c r="H86" s="716" t="s">
        <v>1793</v>
      </c>
      <c r="I86" s="720">
        <v>283.0</v>
      </c>
      <c r="J86" s="10"/>
      <c r="K86" s="10" t="str">
        <f t="shared" si="1"/>
        <v>#N/A</v>
      </c>
      <c r="L86" s="10"/>
      <c r="M86" s="141" t="s">
        <v>20744</v>
      </c>
      <c r="N86" s="9">
        <v>1.0</v>
      </c>
    </row>
    <row r="87">
      <c r="A87" s="714" t="s">
        <v>4622</v>
      </c>
      <c r="B87" s="727">
        <v>6728.0</v>
      </c>
      <c r="C87" s="297" t="s">
        <v>20580</v>
      </c>
      <c r="D87" s="715">
        <v>0.8</v>
      </c>
      <c r="E87" s="715">
        <v>0.8</v>
      </c>
      <c r="F87" s="348" t="s">
        <v>1656</v>
      </c>
      <c r="G87" s="9"/>
      <c r="H87" s="721" t="s">
        <v>4622</v>
      </c>
      <c r="I87" s="728">
        <v>6728.0</v>
      </c>
      <c r="J87" s="111">
        <v>986.0</v>
      </c>
      <c r="K87" s="10">
        <f t="shared" si="1"/>
        <v>1</v>
      </c>
      <c r="L87" s="10"/>
      <c r="M87" s="141" t="s">
        <v>20745</v>
      </c>
      <c r="N87" s="9">
        <v>1.0</v>
      </c>
    </row>
    <row r="88">
      <c r="A88" s="714" t="s">
        <v>15342</v>
      </c>
      <c r="B88" s="719">
        <v>7040.0</v>
      </c>
      <c r="C88" s="297" t="s">
        <v>20580</v>
      </c>
      <c r="D88" s="715">
        <v>0.8</v>
      </c>
      <c r="E88" s="715">
        <v>0.8</v>
      </c>
      <c r="F88" s="348" t="s">
        <v>1656</v>
      </c>
      <c r="G88" s="9"/>
      <c r="H88" s="716" t="s">
        <v>15342</v>
      </c>
      <c r="I88" s="720">
        <v>7040.0</v>
      </c>
      <c r="J88" s="9">
        <v>986.0</v>
      </c>
      <c r="K88" s="10">
        <f t="shared" si="1"/>
        <v>1</v>
      </c>
      <c r="L88" s="10"/>
      <c r="M88" s="141" t="s">
        <v>20746</v>
      </c>
      <c r="N88" s="9">
        <v>1.0</v>
      </c>
    </row>
    <row r="89">
      <c r="A89" s="145" t="s">
        <v>19116</v>
      </c>
      <c r="B89" s="297">
        <v>7142.0</v>
      </c>
      <c r="C89" s="297" t="s">
        <v>20580</v>
      </c>
      <c r="D89" s="715">
        <v>0.8</v>
      </c>
      <c r="E89" s="715">
        <v>0.8</v>
      </c>
      <c r="F89" s="348" t="s">
        <v>1656</v>
      </c>
      <c r="G89" s="9"/>
      <c r="H89" s="1" t="s">
        <v>19116</v>
      </c>
      <c r="I89" s="9">
        <v>7142.0</v>
      </c>
      <c r="J89" s="718">
        <v>669.0</v>
      </c>
      <c r="K89" s="10">
        <f t="shared" si="1"/>
        <v>1</v>
      </c>
      <c r="L89" s="10"/>
      <c r="M89" s="141" t="s">
        <v>20747</v>
      </c>
      <c r="N89" s="9">
        <v>1.0</v>
      </c>
    </row>
    <row r="90">
      <c r="A90" s="714" t="s">
        <v>20748</v>
      </c>
      <c r="B90" s="719">
        <v>489.0</v>
      </c>
      <c r="C90" s="297" t="s">
        <v>20580</v>
      </c>
      <c r="D90" s="715">
        <v>0.8</v>
      </c>
      <c r="E90" s="715">
        <v>0.8</v>
      </c>
      <c r="F90" s="348" t="s">
        <v>1656</v>
      </c>
      <c r="G90" s="9"/>
      <c r="H90" s="716" t="s">
        <v>20748</v>
      </c>
      <c r="I90" s="720">
        <v>489.0</v>
      </c>
      <c r="J90" s="10"/>
      <c r="K90" s="10">
        <f t="shared" si="1"/>
        <v>1</v>
      </c>
      <c r="L90" s="10"/>
      <c r="M90" s="141" t="s">
        <v>20749</v>
      </c>
      <c r="N90" s="9">
        <v>1.0</v>
      </c>
    </row>
    <row r="91">
      <c r="A91" s="538" t="s">
        <v>19124</v>
      </c>
      <c r="B91" s="466"/>
      <c r="C91" s="297" t="s">
        <v>20580</v>
      </c>
      <c r="D91" s="715">
        <v>0.8</v>
      </c>
      <c r="E91" s="715">
        <v>0.8</v>
      </c>
      <c r="F91" s="348" t="s">
        <v>1656</v>
      </c>
      <c r="G91" s="9"/>
      <c r="H91" s="721" t="s">
        <v>19124</v>
      </c>
      <c r="I91" s="722">
        <v>189.0</v>
      </c>
      <c r="J91" s="303"/>
      <c r="K91" s="10">
        <f t="shared" si="1"/>
        <v>1</v>
      </c>
      <c r="L91" s="10"/>
      <c r="M91" s="141" t="s">
        <v>20750</v>
      </c>
      <c r="N91" s="9">
        <v>1.0</v>
      </c>
    </row>
    <row r="92">
      <c r="A92" s="538" t="s">
        <v>19126</v>
      </c>
      <c r="B92" s="466"/>
      <c r="C92" s="297" t="s">
        <v>20580</v>
      </c>
      <c r="D92" s="715">
        <v>0.8</v>
      </c>
      <c r="E92" s="715">
        <v>0.8</v>
      </c>
      <c r="F92" s="348" t="s">
        <v>1656</v>
      </c>
      <c r="G92" s="9"/>
      <c r="H92" s="721" t="s">
        <v>19126</v>
      </c>
      <c r="I92" s="722">
        <v>2345.0</v>
      </c>
      <c r="J92" s="303"/>
      <c r="K92" s="10">
        <f t="shared" si="1"/>
        <v>1</v>
      </c>
      <c r="L92" s="10"/>
      <c r="M92" s="141" t="s">
        <v>20751</v>
      </c>
      <c r="N92" s="9">
        <v>1.0</v>
      </c>
    </row>
    <row r="93">
      <c r="A93" s="145" t="s">
        <v>19128</v>
      </c>
      <c r="B93" s="729">
        <v>2345.0</v>
      </c>
      <c r="C93" s="297" t="s">
        <v>20580</v>
      </c>
      <c r="D93" s="723">
        <v>0.9</v>
      </c>
      <c r="E93" s="723">
        <v>0.9</v>
      </c>
      <c r="F93" s="348" t="s">
        <v>1656</v>
      </c>
      <c r="G93" s="10"/>
      <c r="H93" s="1" t="s">
        <v>19128</v>
      </c>
      <c r="I93" s="718">
        <v>2345.0</v>
      </c>
      <c r="J93" s="10"/>
      <c r="K93" s="10">
        <f t="shared" si="1"/>
        <v>1</v>
      </c>
      <c r="L93" s="10"/>
      <c r="M93" s="141" t="s">
        <v>20752</v>
      </c>
      <c r="N93" s="9">
        <v>1.0</v>
      </c>
    </row>
    <row r="94">
      <c r="A94" s="714" t="s">
        <v>19138</v>
      </c>
      <c r="B94" s="719">
        <v>189.0</v>
      </c>
      <c r="C94" s="297" t="s">
        <v>20580</v>
      </c>
      <c r="D94" s="715">
        <v>0.91</v>
      </c>
      <c r="E94" s="715">
        <v>0.91</v>
      </c>
      <c r="F94" s="348" t="s">
        <v>1656</v>
      </c>
      <c r="G94" s="10"/>
      <c r="H94" s="716" t="s">
        <v>19138</v>
      </c>
      <c r="I94" s="720">
        <v>189.0</v>
      </c>
      <c r="J94" s="10"/>
      <c r="K94" s="10">
        <f t="shared" si="1"/>
        <v>1</v>
      </c>
      <c r="L94" s="10"/>
      <c r="M94" s="141" t="s">
        <v>20753</v>
      </c>
      <c r="N94" s="9">
        <v>1.0</v>
      </c>
    </row>
    <row r="95">
      <c r="A95" s="134" t="s">
        <v>20754</v>
      </c>
      <c r="B95" s="134">
        <v>6580.0</v>
      </c>
      <c r="C95" s="297" t="s">
        <v>20580</v>
      </c>
      <c r="D95" s="715">
        <v>0.8</v>
      </c>
      <c r="E95" s="715">
        <v>0.8</v>
      </c>
      <c r="F95" s="348" t="s">
        <v>1656</v>
      </c>
      <c r="G95" s="10"/>
      <c r="H95" s="717" t="s">
        <v>20754</v>
      </c>
      <c r="I95" s="717">
        <v>6580.0</v>
      </c>
      <c r="J95" s="10"/>
      <c r="K95" s="10" t="str">
        <f t="shared" si="1"/>
        <v>#N/A</v>
      </c>
      <c r="L95" s="10"/>
      <c r="M95" s="141" t="s">
        <v>20755</v>
      </c>
      <c r="N95" s="9">
        <v>1.0</v>
      </c>
    </row>
    <row r="96">
      <c r="A96" s="134" t="s">
        <v>20756</v>
      </c>
      <c r="B96" s="134">
        <v>7083.0</v>
      </c>
      <c r="C96" s="297" t="s">
        <v>20580</v>
      </c>
      <c r="D96" s="715">
        <v>0.8</v>
      </c>
      <c r="E96" s="715">
        <v>0.8</v>
      </c>
      <c r="F96" s="348" t="s">
        <v>1656</v>
      </c>
      <c r="G96" s="10"/>
      <c r="H96" s="717" t="s">
        <v>20756</v>
      </c>
      <c r="I96" s="717">
        <v>7083.0</v>
      </c>
      <c r="J96" s="9">
        <v>1360.0</v>
      </c>
      <c r="K96" s="10">
        <f t="shared" si="1"/>
        <v>1</v>
      </c>
      <c r="L96" s="10"/>
      <c r="M96" s="141" t="s">
        <v>20757</v>
      </c>
      <c r="N96" s="9">
        <v>1.0</v>
      </c>
    </row>
    <row r="97">
      <c r="A97" s="134" t="s">
        <v>20758</v>
      </c>
      <c r="B97" s="134">
        <v>5125.0</v>
      </c>
      <c r="C97" s="297" t="s">
        <v>20580</v>
      </c>
      <c r="D97" s="715">
        <v>0.8</v>
      </c>
      <c r="E97" s="715">
        <v>0.8</v>
      </c>
      <c r="F97" s="348" t="s">
        <v>1656</v>
      </c>
      <c r="G97" s="10"/>
      <c r="H97" s="717" t="s">
        <v>20758</v>
      </c>
      <c r="I97" s="717">
        <v>5125.0</v>
      </c>
      <c r="J97" s="10"/>
      <c r="K97" s="10">
        <f t="shared" si="1"/>
        <v>1</v>
      </c>
      <c r="L97" s="10"/>
      <c r="M97" s="141" t="s">
        <v>20759</v>
      </c>
      <c r="N97" s="9">
        <v>1.0</v>
      </c>
    </row>
    <row r="98">
      <c r="A98" s="134" t="s">
        <v>14190</v>
      </c>
      <c r="B98" s="134">
        <v>2345.0</v>
      </c>
      <c r="C98" s="297" t="s">
        <v>20580</v>
      </c>
      <c r="D98" s="723">
        <v>0.9</v>
      </c>
      <c r="E98" s="723">
        <v>0.9</v>
      </c>
      <c r="F98" s="348" t="s">
        <v>1656</v>
      </c>
      <c r="G98" s="10"/>
      <c r="H98" s="717" t="s">
        <v>14190</v>
      </c>
      <c r="I98" s="717">
        <v>2345.0</v>
      </c>
      <c r="J98" s="10"/>
      <c r="K98" s="10">
        <f t="shared" si="1"/>
        <v>1</v>
      </c>
      <c r="L98" s="10"/>
      <c r="M98" s="141" t="s">
        <v>20760</v>
      </c>
      <c r="N98" s="9">
        <v>1.0</v>
      </c>
    </row>
    <row r="99">
      <c r="A99" s="134" t="s">
        <v>14193</v>
      </c>
      <c r="B99" s="134">
        <v>2345.0</v>
      </c>
      <c r="C99" s="297" t="s">
        <v>20580</v>
      </c>
      <c r="D99" s="723">
        <v>0.9</v>
      </c>
      <c r="E99" s="723">
        <v>0.9</v>
      </c>
      <c r="F99" s="348" t="s">
        <v>1656</v>
      </c>
      <c r="G99" s="10"/>
      <c r="H99" s="717" t="s">
        <v>14193</v>
      </c>
      <c r="I99" s="717">
        <v>2345.0</v>
      </c>
      <c r="J99" s="10"/>
      <c r="K99" s="10">
        <f t="shared" si="1"/>
        <v>1</v>
      </c>
      <c r="L99" s="10"/>
      <c r="M99" s="141" t="s">
        <v>20761</v>
      </c>
      <c r="N99" s="9">
        <v>1.0</v>
      </c>
    </row>
    <row r="100">
      <c r="A100" s="134" t="s">
        <v>20762</v>
      </c>
      <c r="B100" s="134">
        <v>5389.0</v>
      </c>
      <c r="C100" s="297" t="s">
        <v>20580</v>
      </c>
      <c r="D100" s="715">
        <v>0.8</v>
      </c>
      <c r="E100" s="715">
        <v>0.8</v>
      </c>
      <c r="F100" s="348" t="s">
        <v>1656</v>
      </c>
      <c r="G100" s="10"/>
      <c r="H100" s="717" t="s">
        <v>20762</v>
      </c>
      <c r="I100" s="717">
        <v>5389.0</v>
      </c>
      <c r="J100" s="10"/>
      <c r="K100" s="10">
        <f t="shared" si="1"/>
        <v>1</v>
      </c>
      <c r="L100" s="10"/>
      <c r="M100" s="141" t="s">
        <v>20763</v>
      </c>
      <c r="N100" s="9">
        <v>1.0</v>
      </c>
    </row>
    <row r="101">
      <c r="A101" s="134" t="s">
        <v>7919</v>
      </c>
      <c r="B101" s="134">
        <v>2345.0</v>
      </c>
      <c r="C101" s="297" t="s">
        <v>20580</v>
      </c>
      <c r="D101" s="723">
        <v>0.9</v>
      </c>
      <c r="E101" s="723">
        <v>0.9</v>
      </c>
      <c r="F101" s="348" t="s">
        <v>1656</v>
      </c>
      <c r="G101" s="10"/>
      <c r="H101" s="717" t="s">
        <v>7919</v>
      </c>
      <c r="I101" s="717">
        <v>2345.0</v>
      </c>
      <c r="J101" s="10"/>
      <c r="K101" s="10" t="str">
        <f t="shared" si="1"/>
        <v>#N/A</v>
      </c>
      <c r="L101" s="10"/>
      <c r="M101" s="141" t="s">
        <v>20764</v>
      </c>
      <c r="N101" s="9">
        <v>1.0</v>
      </c>
    </row>
    <row r="102">
      <c r="A102" s="134" t="s">
        <v>14195</v>
      </c>
      <c r="B102" s="134">
        <v>2345.0</v>
      </c>
      <c r="C102" s="297" t="s">
        <v>20580</v>
      </c>
      <c r="D102" s="723">
        <v>0.9</v>
      </c>
      <c r="E102" s="723">
        <v>0.9</v>
      </c>
      <c r="F102" s="348" t="s">
        <v>1656</v>
      </c>
      <c r="G102" s="10"/>
      <c r="H102" s="717" t="s">
        <v>14195</v>
      </c>
      <c r="I102" s="717">
        <v>2345.0</v>
      </c>
      <c r="J102" s="10"/>
      <c r="K102" s="10">
        <f t="shared" si="1"/>
        <v>1</v>
      </c>
      <c r="L102" s="10"/>
      <c r="M102" s="141" t="s">
        <v>20765</v>
      </c>
      <c r="N102" s="9">
        <v>1.0</v>
      </c>
    </row>
    <row r="103">
      <c r="A103" s="134" t="s">
        <v>14200</v>
      </c>
      <c r="B103" s="134">
        <v>6143.0</v>
      </c>
      <c r="C103" s="297" t="s">
        <v>20580</v>
      </c>
      <c r="D103" s="723">
        <v>0.8</v>
      </c>
      <c r="E103" s="723">
        <v>0.8</v>
      </c>
      <c r="F103" s="348" t="s">
        <v>1656</v>
      </c>
      <c r="G103" s="10"/>
      <c r="H103" s="717" t="s">
        <v>14200</v>
      </c>
      <c r="I103" s="717">
        <v>6143.0</v>
      </c>
      <c r="J103" s="10"/>
      <c r="K103" s="10">
        <f t="shared" si="1"/>
        <v>1</v>
      </c>
      <c r="L103" s="10"/>
      <c r="M103" s="141" t="s">
        <v>20766</v>
      </c>
      <c r="N103" s="9">
        <v>1.0</v>
      </c>
    </row>
    <row r="104">
      <c r="A104" s="134" t="s">
        <v>7953</v>
      </c>
      <c r="B104" s="134">
        <v>986.0</v>
      </c>
      <c r="C104" s="297" t="s">
        <v>20580</v>
      </c>
      <c r="D104" s="715">
        <v>0.8</v>
      </c>
      <c r="E104" s="715">
        <v>0.8</v>
      </c>
      <c r="F104" s="348" t="s">
        <v>1656</v>
      </c>
      <c r="G104" s="10"/>
      <c r="H104" s="717" t="s">
        <v>7953</v>
      </c>
      <c r="I104" s="717">
        <v>986.0</v>
      </c>
      <c r="J104" s="10"/>
      <c r="K104" s="10" t="str">
        <f t="shared" si="1"/>
        <v>#N/A</v>
      </c>
      <c r="L104" s="10"/>
      <c r="M104" s="141" t="s">
        <v>20767</v>
      </c>
      <c r="N104" s="9">
        <v>1.0</v>
      </c>
    </row>
    <row r="105">
      <c r="A105" s="134" t="s">
        <v>20768</v>
      </c>
      <c r="B105" s="134">
        <v>283.0</v>
      </c>
      <c r="C105" s="297" t="s">
        <v>20580</v>
      </c>
      <c r="D105" s="715">
        <v>0.8</v>
      </c>
      <c r="E105" s="715">
        <v>0.8</v>
      </c>
      <c r="F105" s="348" t="s">
        <v>1656</v>
      </c>
      <c r="G105" s="10"/>
      <c r="H105" s="717" t="s">
        <v>20768</v>
      </c>
      <c r="I105" s="717">
        <v>283.0</v>
      </c>
      <c r="J105" s="10"/>
      <c r="K105" s="10" t="str">
        <f t="shared" si="1"/>
        <v>#N/A</v>
      </c>
      <c r="L105" s="10"/>
      <c r="M105" s="141" t="s">
        <v>20769</v>
      </c>
      <c r="N105" s="9">
        <v>1.0</v>
      </c>
    </row>
    <row r="106">
      <c r="A106" s="134" t="s">
        <v>20770</v>
      </c>
      <c r="B106" s="134">
        <v>283.0</v>
      </c>
      <c r="C106" s="297" t="s">
        <v>20580</v>
      </c>
      <c r="D106" s="715">
        <v>0.8</v>
      </c>
      <c r="E106" s="715">
        <v>0.8</v>
      </c>
      <c r="F106" s="348" t="s">
        <v>1656</v>
      </c>
      <c r="G106" s="10"/>
      <c r="H106" s="717" t="s">
        <v>20770</v>
      </c>
      <c r="I106" s="717">
        <v>283.0</v>
      </c>
      <c r="J106" s="10"/>
      <c r="K106" s="10">
        <f t="shared" si="1"/>
        <v>1</v>
      </c>
      <c r="L106" s="10"/>
      <c r="M106" s="141" t="s">
        <v>20771</v>
      </c>
      <c r="N106" s="9">
        <v>1.0</v>
      </c>
    </row>
    <row r="107">
      <c r="A107" s="134" t="s">
        <v>20772</v>
      </c>
      <c r="B107" s="134">
        <v>7747.0</v>
      </c>
      <c r="C107" s="297" t="s">
        <v>20580</v>
      </c>
      <c r="D107" s="715">
        <v>0.8</v>
      </c>
      <c r="E107" s="715">
        <v>0.8</v>
      </c>
      <c r="F107" s="348" t="s">
        <v>1656</v>
      </c>
      <c r="G107" s="10"/>
      <c r="H107" s="717" t="s">
        <v>20772</v>
      </c>
      <c r="I107" s="717">
        <v>7747.0</v>
      </c>
      <c r="J107" s="9">
        <v>2095.0</v>
      </c>
      <c r="K107" s="10">
        <f t="shared" si="1"/>
        <v>1</v>
      </c>
      <c r="L107" s="10"/>
      <c r="M107" s="141" t="s">
        <v>20773</v>
      </c>
      <c r="N107" s="9">
        <v>1.0</v>
      </c>
    </row>
    <row r="108">
      <c r="A108" s="134" t="s">
        <v>20774</v>
      </c>
      <c r="B108" s="134">
        <v>283.0</v>
      </c>
      <c r="C108" s="297" t="s">
        <v>20580</v>
      </c>
      <c r="D108" s="715">
        <v>0.8</v>
      </c>
      <c r="E108" s="715">
        <v>0.8</v>
      </c>
      <c r="F108" s="348" t="s">
        <v>1656</v>
      </c>
      <c r="G108" s="10"/>
      <c r="H108" s="717" t="s">
        <v>20774</v>
      </c>
      <c r="I108" s="717">
        <v>283.0</v>
      </c>
      <c r="J108" s="10"/>
      <c r="K108" s="10">
        <f t="shared" si="1"/>
        <v>1</v>
      </c>
      <c r="L108" s="10"/>
      <c r="M108" s="141" t="s">
        <v>20775</v>
      </c>
      <c r="N108" s="9">
        <v>1.0</v>
      </c>
    </row>
    <row r="109">
      <c r="A109" s="134" t="s">
        <v>20776</v>
      </c>
      <c r="B109" s="134">
        <v>189.0</v>
      </c>
      <c r="C109" s="297" t="s">
        <v>20580</v>
      </c>
      <c r="D109" s="715">
        <v>0.91</v>
      </c>
      <c r="E109" s="715">
        <v>0.91</v>
      </c>
      <c r="F109" s="348" t="s">
        <v>1656</v>
      </c>
      <c r="G109" s="10"/>
      <c r="H109" s="717" t="s">
        <v>20776</v>
      </c>
      <c r="I109" s="717">
        <v>189.0</v>
      </c>
      <c r="J109" s="10"/>
      <c r="K109" s="10">
        <f t="shared" si="1"/>
        <v>1</v>
      </c>
      <c r="L109" s="10"/>
      <c r="M109" s="141" t="s">
        <v>20777</v>
      </c>
      <c r="N109" s="9">
        <v>1.0</v>
      </c>
    </row>
    <row r="110">
      <c r="A110" s="134" t="s">
        <v>20778</v>
      </c>
      <c r="B110" s="134">
        <v>283.0</v>
      </c>
      <c r="C110" s="297" t="s">
        <v>20580</v>
      </c>
      <c r="D110" s="715">
        <v>0.8</v>
      </c>
      <c r="E110" s="715">
        <v>0.8</v>
      </c>
      <c r="F110" s="348" t="s">
        <v>1656</v>
      </c>
      <c r="G110" s="10"/>
      <c r="H110" s="717" t="s">
        <v>20778</v>
      </c>
      <c r="I110" s="717">
        <v>283.0</v>
      </c>
      <c r="J110" s="10"/>
      <c r="K110" s="10" t="str">
        <f t="shared" si="1"/>
        <v>#N/A</v>
      </c>
      <c r="L110" s="10"/>
      <c r="M110" s="141" t="s">
        <v>20779</v>
      </c>
      <c r="N110" s="9">
        <v>1.0</v>
      </c>
    </row>
    <row r="111">
      <c r="A111" s="134" t="s">
        <v>20780</v>
      </c>
      <c r="B111" s="134">
        <v>283.0</v>
      </c>
      <c r="C111" s="297" t="s">
        <v>20580</v>
      </c>
      <c r="D111" s="715">
        <v>0.8</v>
      </c>
      <c r="E111" s="715">
        <v>0.8</v>
      </c>
      <c r="F111" s="348" t="s">
        <v>1656</v>
      </c>
      <c r="G111" s="10"/>
      <c r="H111" s="717" t="s">
        <v>20780</v>
      </c>
      <c r="I111" s="717">
        <v>283.0</v>
      </c>
      <c r="J111" s="10"/>
      <c r="K111" s="10">
        <f t="shared" si="1"/>
        <v>1</v>
      </c>
      <c r="L111" s="10"/>
      <c r="M111" s="141" t="s">
        <v>20781</v>
      </c>
      <c r="N111" s="9">
        <v>1.0</v>
      </c>
    </row>
    <row r="112">
      <c r="A112" s="134" t="s">
        <v>20782</v>
      </c>
      <c r="B112" s="134">
        <v>6729.0</v>
      </c>
      <c r="C112" s="297" t="s">
        <v>20580</v>
      </c>
      <c r="D112" s="723">
        <v>0.85</v>
      </c>
      <c r="E112" s="723">
        <v>0.85</v>
      </c>
      <c r="F112" s="348" t="s">
        <v>1656</v>
      </c>
      <c r="G112" s="10"/>
      <c r="H112" s="111" t="s">
        <v>20782</v>
      </c>
      <c r="I112" s="111">
        <v>6729.0</v>
      </c>
      <c r="J112" s="303"/>
      <c r="K112" s="10" t="str">
        <f t="shared" si="1"/>
        <v>#N/A</v>
      </c>
      <c r="L112" s="10"/>
      <c r="M112" s="141" t="s">
        <v>20783</v>
      </c>
      <c r="N112" s="9">
        <v>1.0</v>
      </c>
    </row>
    <row r="113">
      <c r="A113" s="134" t="s">
        <v>20784</v>
      </c>
      <c r="B113" s="134">
        <v>6671.0</v>
      </c>
      <c r="C113" s="297" t="s">
        <v>20580</v>
      </c>
      <c r="D113" s="715">
        <v>0.8</v>
      </c>
      <c r="E113" s="715">
        <v>0.8</v>
      </c>
      <c r="F113" s="348" t="s">
        <v>1656</v>
      </c>
      <c r="G113" s="10"/>
      <c r="H113" s="717" t="s">
        <v>20784</v>
      </c>
      <c r="I113" s="717">
        <v>6671.0</v>
      </c>
      <c r="J113" s="10"/>
      <c r="K113" s="10">
        <f t="shared" si="1"/>
        <v>1</v>
      </c>
      <c r="L113" s="10"/>
      <c r="M113" s="141" t="s">
        <v>20785</v>
      </c>
      <c r="N113" s="9">
        <v>1.0</v>
      </c>
    </row>
    <row r="114">
      <c r="A114" s="134" t="s">
        <v>20786</v>
      </c>
      <c r="B114" s="134">
        <v>189.0</v>
      </c>
      <c r="C114" s="297" t="s">
        <v>20580</v>
      </c>
      <c r="D114" s="715">
        <v>0.91</v>
      </c>
      <c r="E114" s="715">
        <v>0.91</v>
      </c>
      <c r="F114" s="348" t="s">
        <v>1656</v>
      </c>
      <c r="G114" s="10"/>
      <c r="H114" s="717" t="s">
        <v>20786</v>
      </c>
      <c r="I114" s="717">
        <v>189.0</v>
      </c>
      <c r="J114" s="10"/>
      <c r="K114" s="10">
        <f t="shared" si="1"/>
        <v>1</v>
      </c>
      <c r="L114" s="10"/>
      <c r="M114" s="141" t="s">
        <v>20787</v>
      </c>
      <c r="N114" s="9">
        <v>1.0</v>
      </c>
    </row>
    <row r="115">
      <c r="A115" s="134" t="s">
        <v>20788</v>
      </c>
      <c r="B115" s="134">
        <v>6658.0</v>
      </c>
      <c r="C115" s="297" t="s">
        <v>20580</v>
      </c>
      <c r="D115" s="723">
        <v>0.85</v>
      </c>
      <c r="E115" s="723">
        <v>0.85</v>
      </c>
      <c r="F115" s="348" t="s">
        <v>1656</v>
      </c>
      <c r="G115" s="10"/>
      <c r="H115" s="717" t="s">
        <v>20788</v>
      </c>
      <c r="I115" s="717">
        <v>6658.0</v>
      </c>
      <c r="J115" s="9"/>
      <c r="K115" s="10">
        <f t="shared" si="1"/>
        <v>1</v>
      </c>
      <c r="L115" s="10"/>
      <c r="M115" s="141" t="s">
        <v>20789</v>
      </c>
      <c r="N115" s="9">
        <v>1.0</v>
      </c>
    </row>
    <row r="116">
      <c r="A116" s="134" t="s">
        <v>20790</v>
      </c>
      <c r="B116" s="134">
        <v>6658.0</v>
      </c>
      <c r="C116" s="297" t="s">
        <v>20580</v>
      </c>
      <c r="D116" s="723">
        <v>0.85</v>
      </c>
      <c r="E116" s="723">
        <v>0.85</v>
      </c>
      <c r="F116" s="348" t="s">
        <v>1656</v>
      </c>
      <c r="G116" s="10"/>
      <c r="H116" s="111" t="s">
        <v>20790</v>
      </c>
      <c r="I116" s="111">
        <v>6658.0</v>
      </c>
      <c r="J116" s="303"/>
      <c r="K116" s="10">
        <f t="shared" si="1"/>
        <v>1</v>
      </c>
      <c r="L116" s="10"/>
      <c r="M116" s="141" t="s">
        <v>20791</v>
      </c>
      <c r="N116" s="9">
        <v>1.0</v>
      </c>
    </row>
    <row r="117">
      <c r="A117" s="134" t="s">
        <v>20792</v>
      </c>
      <c r="B117" s="134">
        <v>909.0</v>
      </c>
      <c r="C117" s="297" t="s">
        <v>20580</v>
      </c>
      <c r="D117" s="715">
        <v>0.8</v>
      </c>
      <c r="E117" s="715">
        <v>0.8</v>
      </c>
      <c r="F117" s="348" t="s">
        <v>1656</v>
      </c>
      <c r="G117" s="10"/>
      <c r="H117" s="717" t="s">
        <v>20792</v>
      </c>
      <c r="I117" s="717">
        <v>909.0</v>
      </c>
      <c r="J117" s="10"/>
      <c r="K117" s="10">
        <f t="shared" si="1"/>
        <v>1</v>
      </c>
      <c r="L117" s="10"/>
      <c r="M117" s="141" t="s">
        <v>20793</v>
      </c>
      <c r="N117" s="9">
        <v>1.0</v>
      </c>
    </row>
    <row r="118">
      <c r="A118" s="134" t="s">
        <v>20794</v>
      </c>
      <c r="B118" s="134">
        <v>6671.0</v>
      </c>
      <c r="C118" s="297" t="s">
        <v>20580</v>
      </c>
      <c r="D118" s="715">
        <v>0.8</v>
      </c>
      <c r="E118" s="715">
        <v>0.8</v>
      </c>
      <c r="F118" s="348" t="s">
        <v>1656</v>
      </c>
      <c r="G118" s="10"/>
      <c r="H118" s="717" t="s">
        <v>20794</v>
      </c>
      <c r="I118" s="717">
        <v>6671.0</v>
      </c>
      <c r="J118" s="10"/>
      <c r="K118" s="10" t="str">
        <f t="shared" si="1"/>
        <v>#N/A</v>
      </c>
      <c r="L118" s="10"/>
      <c r="M118" s="141" t="s">
        <v>20795</v>
      </c>
      <c r="N118" s="9">
        <v>1.0</v>
      </c>
    </row>
    <row r="119">
      <c r="A119" s="134" t="s">
        <v>20796</v>
      </c>
      <c r="B119" s="134">
        <v>6660.0</v>
      </c>
      <c r="C119" s="297" t="s">
        <v>20580</v>
      </c>
      <c r="D119" s="715">
        <v>0.8</v>
      </c>
      <c r="E119" s="715">
        <v>0.8</v>
      </c>
      <c r="F119" s="348" t="s">
        <v>1656</v>
      </c>
      <c r="G119" s="10"/>
      <c r="H119" s="717" t="s">
        <v>20796</v>
      </c>
      <c r="I119" s="717">
        <v>6660.0</v>
      </c>
      <c r="J119" s="10"/>
      <c r="K119" s="10">
        <f t="shared" si="1"/>
        <v>1</v>
      </c>
      <c r="L119" s="10"/>
      <c r="M119" s="141" t="s">
        <v>20797</v>
      </c>
      <c r="N119" s="9">
        <v>1.0</v>
      </c>
    </row>
    <row r="120">
      <c r="A120" s="730" t="s">
        <v>20798</v>
      </c>
      <c r="B120" s="134">
        <v>777.0</v>
      </c>
      <c r="C120" s="297" t="s">
        <v>20580</v>
      </c>
      <c r="D120" s="715">
        <v>0.8</v>
      </c>
      <c r="E120" s="715">
        <v>0.8</v>
      </c>
      <c r="F120" s="348" t="s">
        <v>1656</v>
      </c>
      <c r="G120" s="10"/>
      <c r="H120" s="731" t="s">
        <v>20798</v>
      </c>
      <c r="I120" s="717">
        <v>777.0</v>
      </c>
      <c r="J120" s="10"/>
      <c r="K120" s="10" t="str">
        <f t="shared" si="1"/>
        <v>#N/A</v>
      </c>
      <c r="L120" s="10"/>
      <c r="M120" s="141" t="s">
        <v>20799</v>
      </c>
      <c r="N120" s="9">
        <v>1.0</v>
      </c>
    </row>
    <row r="121">
      <c r="A121" s="730" t="s">
        <v>20800</v>
      </c>
      <c r="B121" s="134">
        <v>3616.0</v>
      </c>
      <c r="C121" s="297" t="s">
        <v>20580</v>
      </c>
      <c r="D121" s="715">
        <v>0.8</v>
      </c>
      <c r="E121" s="715">
        <v>0.8</v>
      </c>
      <c r="F121" s="348" t="s">
        <v>1656</v>
      </c>
      <c r="G121" s="10"/>
      <c r="H121" s="731" t="s">
        <v>20800</v>
      </c>
      <c r="I121" s="717">
        <v>3616.0</v>
      </c>
      <c r="J121" s="10"/>
      <c r="K121" s="10" t="str">
        <f t="shared" si="1"/>
        <v>#N/A</v>
      </c>
      <c r="L121" s="10"/>
      <c r="M121" s="141" t="s">
        <v>20801</v>
      </c>
      <c r="N121" s="9">
        <v>1.0</v>
      </c>
    </row>
    <row r="122">
      <c r="A122" s="730" t="s">
        <v>20802</v>
      </c>
      <c r="B122" s="134">
        <v>663.0</v>
      </c>
      <c r="C122" s="297" t="s">
        <v>20580</v>
      </c>
      <c r="D122" s="723">
        <v>0.85</v>
      </c>
      <c r="E122" s="723">
        <v>0.85</v>
      </c>
      <c r="F122" s="348" t="s">
        <v>1656</v>
      </c>
      <c r="G122" s="10"/>
      <c r="H122" s="731" t="s">
        <v>20802</v>
      </c>
      <c r="I122" s="717">
        <v>663.0</v>
      </c>
      <c r="J122" s="10"/>
      <c r="K122" s="10" t="str">
        <f t="shared" si="1"/>
        <v>#N/A</v>
      </c>
      <c r="L122" s="10"/>
      <c r="M122" s="141" t="s">
        <v>20803</v>
      </c>
      <c r="N122" s="9">
        <v>1.0</v>
      </c>
    </row>
    <row r="123">
      <c r="A123" s="730" t="s">
        <v>20804</v>
      </c>
      <c r="B123" s="134">
        <v>6694.0</v>
      </c>
      <c r="C123" s="297" t="s">
        <v>20580</v>
      </c>
      <c r="D123" s="715">
        <v>0.8</v>
      </c>
      <c r="E123" s="715">
        <v>0.8</v>
      </c>
      <c r="F123" s="348" t="s">
        <v>1656</v>
      </c>
      <c r="G123" s="10"/>
      <c r="H123" s="731" t="s">
        <v>20804</v>
      </c>
      <c r="I123" s="717">
        <v>6694.0</v>
      </c>
      <c r="J123" s="10"/>
      <c r="K123" s="10" t="str">
        <f t="shared" si="1"/>
        <v>#N/A</v>
      </c>
      <c r="L123" s="10"/>
      <c r="M123" s="141" t="s">
        <v>20805</v>
      </c>
      <c r="N123" s="9">
        <v>1.0</v>
      </c>
    </row>
    <row r="124">
      <c r="A124" s="730" t="s">
        <v>20806</v>
      </c>
      <c r="B124" s="134">
        <v>6694.0</v>
      </c>
      <c r="C124" s="297" t="s">
        <v>20580</v>
      </c>
      <c r="D124" s="715">
        <v>0.8</v>
      </c>
      <c r="E124" s="715">
        <v>0.8</v>
      </c>
      <c r="F124" s="348" t="s">
        <v>1656</v>
      </c>
      <c r="G124" s="10"/>
      <c r="H124" s="731" t="s">
        <v>20806</v>
      </c>
      <c r="I124" s="717">
        <v>6694.0</v>
      </c>
      <c r="J124" s="10"/>
      <c r="K124" s="10" t="str">
        <f t="shared" si="1"/>
        <v>#N/A</v>
      </c>
      <c r="L124" s="10"/>
      <c r="M124" s="141" t="s">
        <v>20807</v>
      </c>
      <c r="N124" s="9">
        <v>1.0</v>
      </c>
    </row>
    <row r="125">
      <c r="A125" s="730" t="s">
        <v>20808</v>
      </c>
      <c r="B125" s="134">
        <v>6694.0</v>
      </c>
      <c r="C125" s="297" t="s">
        <v>20580</v>
      </c>
      <c r="D125" s="715">
        <v>0.8</v>
      </c>
      <c r="E125" s="715">
        <v>0.8</v>
      </c>
      <c r="F125" s="348" t="s">
        <v>1656</v>
      </c>
      <c r="G125" s="10"/>
      <c r="H125" s="731" t="s">
        <v>20808</v>
      </c>
      <c r="I125" s="717">
        <v>6694.0</v>
      </c>
      <c r="J125" s="10"/>
      <c r="K125" s="10" t="str">
        <f t="shared" si="1"/>
        <v>#N/A</v>
      </c>
      <c r="L125" s="10"/>
      <c r="M125" s="141" t="s">
        <v>20809</v>
      </c>
      <c r="N125" s="9">
        <v>1.0</v>
      </c>
    </row>
    <row r="126">
      <c r="A126" s="730" t="s">
        <v>20810</v>
      </c>
      <c r="B126" s="134">
        <v>467.0</v>
      </c>
      <c r="C126" s="297" t="s">
        <v>20580</v>
      </c>
      <c r="D126" s="715">
        <v>0.8</v>
      </c>
      <c r="E126" s="715">
        <v>0.8</v>
      </c>
      <c r="F126" s="348" t="s">
        <v>1656</v>
      </c>
      <c r="G126" s="10"/>
      <c r="H126" s="731" t="s">
        <v>20810</v>
      </c>
      <c r="I126" s="717">
        <v>467.0</v>
      </c>
      <c r="J126" s="10"/>
      <c r="K126" s="10" t="str">
        <f t="shared" si="1"/>
        <v>#N/A</v>
      </c>
      <c r="L126" s="10"/>
      <c r="M126" s="141" t="s">
        <v>20811</v>
      </c>
      <c r="N126" s="9">
        <v>1.0</v>
      </c>
    </row>
    <row r="127">
      <c r="A127" s="730" t="s">
        <v>20812</v>
      </c>
      <c r="B127" s="134">
        <v>499.0</v>
      </c>
      <c r="C127" s="297" t="s">
        <v>20580</v>
      </c>
      <c r="D127" s="715">
        <v>0.8</v>
      </c>
      <c r="E127" s="715">
        <v>0.8</v>
      </c>
      <c r="F127" s="348" t="s">
        <v>1656</v>
      </c>
      <c r="G127" s="10"/>
      <c r="H127" s="731" t="s">
        <v>20812</v>
      </c>
      <c r="I127" s="717">
        <v>499.0</v>
      </c>
      <c r="J127" s="10"/>
      <c r="K127" s="10" t="str">
        <f t="shared" si="1"/>
        <v>#N/A</v>
      </c>
      <c r="L127" s="10"/>
      <c r="M127" s="141" t="s">
        <v>20813</v>
      </c>
      <c r="N127" s="9">
        <v>1.0</v>
      </c>
    </row>
    <row r="128">
      <c r="A128" s="730" t="s">
        <v>20814</v>
      </c>
      <c r="B128" s="134">
        <v>6141.0</v>
      </c>
      <c r="C128" s="297" t="s">
        <v>20580</v>
      </c>
      <c r="D128" s="715">
        <v>0.8</v>
      </c>
      <c r="E128" s="715">
        <v>0.8</v>
      </c>
      <c r="F128" s="348" t="s">
        <v>1656</v>
      </c>
      <c r="G128" s="10"/>
      <c r="H128" s="731" t="s">
        <v>20814</v>
      </c>
      <c r="I128" s="717">
        <v>6141.0</v>
      </c>
      <c r="J128" s="10"/>
      <c r="K128" s="10" t="str">
        <f t="shared" si="1"/>
        <v>#N/A</v>
      </c>
      <c r="L128" s="10"/>
      <c r="M128" s="141" t="s">
        <v>4729</v>
      </c>
      <c r="N128" s="9">
        <v>1.0</v>
      </c>
    </row>
    <row r="129">
      <c r="A129" s="730" t="s">
        <v>20815</v>
      </c>
      <c r="B129" s="134">
        <v>283.0</v>
      </c>
      <c r="C129" s="297" t="s">
        <v>20580</v>
      </c>
      <c r="D129" s="715">
        <v>0.8</v>
      </c>
      <c r="E129" s="715">
        <v>0.8</v>
      </c>
      <c r="F129" s="348" t="s">
        <v>1656</v>
      </c>
      <c r="G129" s="10"/>
      <c r="H129" s="731" t="s">
        <v>20815</v>
      </c>
      <c r="I129" s="717">
        <v>283.0</v>
      </c>
      <c r="J129" s="9">
        <v>2712.0</v>
      </c>
      <c r="K129" s="10" t="str">
        <f t="shared" si="1"/>
        <v>#N/A</v>
      </c>
      <c r="L129" s="10"/>
      <c r="M129" s="10"/>
      <c r="N129" s="10"/>
    </row>
    <row r="130">
      <c r="A130" s="730" t="s">
        <v>20816</v>
      </c>
      <c r="B130" s="134">
        <v>283.0</v>
      </c>
      <c r="C130" s="297" t="s">
        <v>20580</v>
      </c>
      <c r="D130" s="715">
        <v>0.8</v>
      </c>
      <c r="E130" s="715">
        <v>0.8</v>
      </c>
      <c r="F130" s="348" t="s">
        <v>1656</v>
      </c>
      <c r="G130" s="10"/>
      <c r="H130" s="731" t="s">
        <v>20816</v>
      </c>
      <c r="I130" s="717">
        <v>283.0</v>
      </c>
      <c r="J130" s="9">
        <v>2712.0</v>
      </c>
      <c r="K130" s="10" t="str">
        <f t="shared" si="1"/>
        <v>#N/A</v>
      </c>
      <c r="L130" s="10"/>
      <c r="M130" s="10"/>
      <c r="N130" s="10"/>
    </row>
    <row r="131">
      <c r="A131" s="730" t="s">
        <v>20817</v>
      </c>
      <c r="B131" s="134">
        <v>283.0</v>
      </c>
      <c r="C131" s="297" t="s">
        <v>20580</v>
      </c>
      <c r="D131" s="715">
        <v>0.8</v>
      </c>
      <c r="E131" s="715">
        <v>0.8</v>
      </c>
      <c r="F131" s="348" t="s">
        <v>1656</v>
      </c>
      <c r="G131" s="10"/>
      <c r="H131" s="731" t="s">
        <v>20817</v>
      </c>
      <c r="I131" s="717">
        <v>283.0</v>
      </c>
      <c r="J131" s="9">
        <v>2712.0</v>
      </c>
      <c r="K131" s="10" t="str">
        <f t="shared" si="1"/>
        <v>#N/A</v>
      </c>
      <c r="L131" s="10"/>
      <c r="M131" s="10"/>
      <c r="N131" s="10"/>
    </row>
    <row r="132">
      <c r="A132" s="730" t="s">
        <v>20818</v>
      </c>
      <c r="B132" s="134">
        <v>2095.0</v>
      </c>
      <c r="C132" s="297" t="s">
        <v>20580</v>
      </c>
      <c r="D132" s="715">
        <v>0.8</v>
      </c>
      <c r="E132" s="715">
        <v>0.8</v>
      </c>
      <c r="F132" s="348" t="s">
        <v>1656</v>
      </c>
      <c r="G132" s="10"/>
      <c r="H132" s="731" t="s">
        <v>20818</v>
      </c>
      <c r="I132" s="717">
        <v>2095.0</v>
      </c>
      <c r="J132" s="9">
        <v>2712.0</v>
      </c>
      <c r="K132" s="10" t="str">
        <f t="shared" si="1"/>
        <v>#N/A</v>
      </c>
      <c r="L132" s="10"/>
      <c r="M132" s="10"/>
      <c r="N132" s="10"/>
    </row>
    <row r="133">
      <c r="A133" s="730" t="s">
        <v>20819</v>
      </c>
      <c r="B133" s="134">
        <v>4933.0</v>
      </c>
      <c r="C133" s="297" t="s">
        <v>20580</v>
      </c>
      <c r="D133" s="715">
        <v>0.8</v>
      </c>
      <c r="E133" s="715">
        <v>0.8</v>
      </c>
      <c r="F133" s="348" t="s">
        <v>1656</v>
      </c>
      <c r="G133" s="10"/>
      <c r="H133" s="731" t="s">
        <v>20819</v>
      </c>
      <c r="I133" s="717">
        <v>4933.0</v>
      </c>
      <c r="J133" s="10"/>
      <c r="K133" s="10" t="str">
        <f t="shared" si="1"/>
        <v>#N/A</v>
      </c>
      <c r="L133" s="10"/>
      <c r="M133" s="10"/>
      <c r="N133" s="10"/>
    </row>
    <row r="134">
      <c r="A134" s="730" t="s">
        <v>20820</v>
      </c>
      <c r="B134" s="134">
        <v>6688.0</v>
      </c>
      <c r="C134" s="297" t="s">
        <v>20580</v>
      </c>
      <c r="D134" s="715">
        <v>0.8</v>
      </c>
      <c r="E134" s="715">
        <v>0.8</v>
      </c>
      <c r="F134" s="348" t="s">
        <v>1656</v>
      </c>
      <c r="G134" s="10"/>
      <c r="H134" s="731" t="s">
        <v>20820</v>
      </c>
      <c r="I134" s="717">
        <v>6688.0</v>
      </c>
      <c r="J134" s="10"/>
      <c r="K134" s="10" t="str">
        <f t="shared" si="1"/>
        <v>#N/A</v>
      </c>
      <c r="L134" s="10"/>
      <c r="M134" s="10"/>
      <c r="N134" s="10"/>
    </row>
    <row r="135">
      <c r="A135" s="704" t="s">
        <v>20821</v>
      </c>
      <c r="B135" s="134">
        <v>6732.0</v>
      </c>
      <c r="C135" s="297" t="s">
        <v>20580</v>
      </c>
      <c r="D135" s="723">
        <v>0.85</v>
      </c>
      <c r="E135" s="723">
        <v>0.85</v>
      </c>
      <c r="F135" s="348" t="s">
        <v>1656</v>
      </c>
      <c r="G135" s="10"/>
      <c r="H135" s="732" t="s">
        <v>20821</v>
      </c>
      <c r="I135" s="717">
        <v>6732.0</v>
      </c>
      <c r="J135" s="10"/>
      <c r="K135" s="10" t="str">
        <f t="shared" si="1"/>
        <v>#N/A</v>
      </c>
      <c r="L135" s="10"/>
      <c r="M135" s="10"/>
      <c r="N135" s="10"/>
    </row>
    <row r="136">
      <c r="A136" s="141" t="s">
        <v>20822</v>
      </c>
      <c r="B136" s="297">
        <v>5458.0</v>
      </c>
      <c r="C136" s="297" t="s">
        <v>20580</v>
      </c>
      <c r="D136" s="723">
        <v>0.85</v>
      </c>
      <c r="E136" s="723">
        <v>0.85</v>
      </c>
      <c r="F136" s="348" t="s">
        <v>1656</v>
      </c>
      <c r="G136" s="10"/>
      <c r="H136" s="141" t="s">
        <v>20822</v>
      </c>
      <c r="I136" s="9">
        <v>5458.0</v>
      </c>
      <c r="J136" s="10"/>
      <c r="K136" s="10">
        <f t="shared" si="1"/>
        <v>1</v>
      </c>
      <c r="L136" s="10"/>
      <c r="M136" s="10"/>
      <c r="N136" s="10"/>
    </row>
    <row r="137">
      <c r="A137" s="704" t="s">
        <v>20823</v>
      </c>
      <c r="B137" s="134">
        <v>986.0</v>
      </c>
      <c r="C137" s="297" t="s">
        <v>20580</v>
      </c>
      <c r="D137" s="715">
        <v>0.8</v>
      </c>
      <c r="E137" s="715">
        <v>0.8</v>
      </c>
      <c r="F137" s="348" t="s">
        <v>1656</v>
      </c>
      <c r="G137" s="10"/>
      <c r="H137" s="732" t="s">
        <v>20823</v>
      </c>
      <c r="I137" s="717">
        <v>986.0</v>
      </c>
      <c r="J137" s="10"/>
      <c r="K137" s="10" t="str">
        <f t="shared" si="1"/>
        <v>#N/A</v>
      </c>
      <c r="L137" s="10"/>
      <c r="M137" s="10"/>
      <c r="N137" s="10"/>
    </row>
    <row r="138">
      <c r="A138" s="704" t="s">
        <v>20824</v>
      </c>
      <c r="B138" s="134">
        <v>986.0</v>
      </c>
      <c r="C138" s="297" t="s">
        <v>20580</v>
      </c>
      <c r="D138" s="715">
        <v>0.8</v>
      </c>
      <c r="E138" s="715">
        <v>0.8</v>
      </c>
      <c r="F138" s="348" t="s">
        <v>1656</v>
      </c>
      <c r="G138" s="10"/>
      <c r="H138" s="732" t="s">
        <v>20824</v>
      </c>
      <c r="I138" s="717">
        <v>986.0</v>
      </c>
      <c r="J138" s="10"/>
      <c r="K138" s="10" t="str">
        <f t="shared" si="1"/>
        <v>#N/A</v>
      </c>
      <c r="L138" s="10"/>
      <c r="M138" s="10"/>
      <c r="N138" s="10"/>
    </row>
    <row r="139">
      <c r="A139" s="704" t="s">
        <v>20825</v>
      </c>
      <c r="B139" s="134">
        <v>6735.0</v>
      </c>
      <c r="C139" s="297" t="s">
        <v>20580</v>
      </c>
      <c r="D139" s="715">
        <v>0.8</v>
      </c>
      <c r="E139" s="715">
        <v>0.8</v>
      </c>
      <c r="F139" s="348" t="s">
        <v>1656</v>
      </c>
      <c r="G139" s="10"/>
      <c r="H139" s="732" t="s">
        <v>20825</v>
      </c>
      <c r="I139" s="717">
        <v>6735.0</v>
      </c>
      <c r="J139" s="10"/>
      <c r="K139" s="10" t="str">
        <f t="shared" si="1"/>
        <v>#N/A</v>
      </c>
      <c r="L139" s="10"/>
      <c r="M139" s="10"/>
      <c r="N139" s="10"/>
    </row>
    <row r="140">
      <c r="A140" s="704" t="s">
        <v>20826</v>
      </c>
      <c r="B140" s="134">
        <v>189.0</v>
      </c>
      <c r="C140" s="297" t="s">
        <v>20580</v>
      </c>
      <c r="D140" s="715">
        <v>0.91</v>
      </c>
      <c r="E140" s="715">
        <v>0.91</v>
      </c>
      <c r="F140" s="348" t="s">
        <v>1656</v>
      </c>
      <c r="G140" s="10"/>
      <c r="H140" s="732" t="s">
        <v>20826</v>
      </c>
      <c r="I140" s="717">
        <v>189.0</v>
      </c>
      <c r="J140" s="10"/>
      <c r="K140" s="10">
        <f t="shared" si="1"/>
        <v>1</v>
      </c>
      <c r="L140" s="10"/>
      <c r="M140" s="10"/>
      <c r="N140" s="10"/>
    </row>
    <row r="141">
      <c r="A141" s="141" t="s">
        <v>20827</v>
      </c>
      <c r="B141" s="297">
        <v>6675.0</v>
      </c>
      <c r="C141" s="297" t="s">
        <v>20580</v>
      </c>
      <c r="D141" s="723">
        <v>0.9</v>
      </c>
      <c r="E141" s="723">
        <v>0.9</v>
      </c>
      <c r="F141" s="348" t="s">
        <v>1656</v>
      </c>
      <c r="G141" s="10"/>
      <c r="H141" s="141" t="s">
        <v>20827</v>
      </c>
      <c r="I141" s="9">
        <v>6675.0</v>
      </c>
      <c r="J141" s="10"/>
      <c r="K141" s="10" t="str">
        <f t="shared" si="1"/>
        <v>#N/A</v>
      </c>
      <c r="L141" s="10"/>
      <c r="M141" s="10"/>
      <c r="N141" s="10"/>
    </row>
    <row r="142">
      <c r="A142" s="704" t="s">
        <v>20828</v>
      </c>
      <c r="B142" s="134">
        <v>6727.0</v>
      </c>
      <c r="C142" s="297" t="s">
        <v>20580</v>
      </c>
      <c r="D142" s="715">
        <v>0.8</v>
      </c>
      <c r="E142" s="715">
        <v>0.8</v>
      </c>
      <c r="F142" s="348" t="s">
        <v>1656</v>
      </c>
      <c r="G142" s="10"/>
      <c r="H142" s="732" t="s">
        <v>20828</v>
      </c>
      <c r="I142" s="717">
        <v>6727.0</v>
      </c>
      <c r="J142" s="10"/>
      <c r="K142" s="10">
        <f t="shared" si="1"/>
        <v>1</v>
      </c>
      <c r="L142" s="10"/>
      <c r="M142" s="10"/>
      <c r="N142" s="10"/>
    </row>
    <row r="143">
      <c r="A143" s="704" t="s">
        <v>20829</v>
      </c>
      <c r="B143" s="134">
        <v>986.0</v>
      </c>
      <c r="C143" s="297" t="s">
        <v>20580</v>
      </c>
      <c r="D143" s="715">
        <v>0.8</v>
      </c>
      <c r="E143" s="715">
        <v>0.8</v>
      </c>
      <c r="F143" s="348" t="s">
        <v>1656</v>
      </c>
      <c r="G143" s="10"/>
      <c r="H143" s="732" t="s">
        <v>20829</v>
      </c>
      <c r="I143" s="717">
        <v>986.0</v>
      </c>
      <c r="J143" s="10"/>
      <c r="K143" s="10">
        <f t="shared" si="1"/>
        <v>1</v>
      </c>
      <c r="L143" s="10"/>
      <c r="M143" s="10"/>
      <c r="N143" s="10"/>
    </row>
    <row r="144">
      <c r="A144" s="704" t="s">
        <v>20830</v>
      </c>
      <c r="B144" s="134">
        <v>189.0</v>
      </c>
      <c r="C144" s="297" t="s">
        <v>20580</v>
      </c>
      <c r="D144" s="715">
        <v>0.91</v>
      </c>
      <c r="E144" s="715">
        <v>0.91</v>
      </c>
      <c r="F144" s="348" t="s">
        <v>1656</v>
      </c>
      <c r="G144" s="10"/>
      <c r="H144" s="732" t="s">
        <v>20830</v>
      </c>
      <c r="I144" s="717">
        <v>189.0</v>
      </c>
      <c r="J144" s="10"/>
      <c r="K144" s="10">
        <f t="shared" si="1"/>
        <v>1</v>
      </c>
      <c r="L144" s="10"/>
      <c r="M144" s="10"/>
      <c r="N144" s="10"/>
    </row>
    <row r="145">
      <c r="A145" s="704" t="s">
        <v>20831</v>
      </c>
      <c r="B145" s="134">
        <v>189.0</v>
      </c>
      <c r="C145" s="297" t="s">
        <v>20580</v>
      </c>
      <c r="D145" s="715">
        <v>0.91</v>
      </c>
      <c r="E145" s="715">
        <v>0.91</v>
      </c>
      <c r="F145" s="348" t="s">
        <v>1656</v>
      </c>
      <c r="G145" s="10"/>
      <c r="H145" s="732" t="s">
        <v>20831</v>
      </c>
      <c r="I145" s="717">
        <v>189.0</v>
      </c>
      <c r="J145" s="10"/>
      <c r="K145" s="10">
        <f t="shared" si="1"/>
        <v>1</v>
      </c>
      <c r="L145" s="10"/>
      <c r="M145" s="10"/>
      <c r="N145" s="10"/>
    </row>
    <row r="146">
      <c r="A146" s="704" t="s">
        <v>20832</v>
      </c>
      <c r="B146" s="134">
        <v>5458.0</v>
      </c>
      <c r="C146" s="297" t="s">
        <v>20580</v>
      </c>
      <c r="D146" s="723">
        <v>0.85</v>
      </c>
      <c r="E146" s="723">
        <v>0.85</v>
      </c>
      <c r="F146" s="348" t="s">
        <v>1656</v>
      </c>
      <c r="G146" s="10"/>
      <c r="H146" s="300" t="s">
        <v>20832</v>
      </c>
      <c r="I146" s="111">
        <v>5458.0</v>
      </c>
      <c r="J146" s="303"/>
      <c r="K146" s="10">
        <f t="shared" si="1"/>
        <v>1</v>
      </c>
      <c r="L146" s="10"/>
      <c r="M146" s="10"/>
      <c r="N146" s="10"/>
    </row>
    <row r="147">
      <c r="A147" s="704" t="s">
        <v>20833</v>
      </c>
      <c r="B147" s="134">
        <v>189.0</v>
      </c>
      <c r="C147" s="297" t="s">
        <v>20580</v>
      </c>
      <c r="D147" s="715">
        <v>0.91</v>
      </c>
      <c r="E147" s="715">
        <v>0.91</v>
      </c>
      <c r="F147" s="348" t="s">
        <v>1656</v>
      </c>
      <c r="G147" s="10"/>
      <c r="H147" s="732" t="s">
        <v>20833</v>
      </c>
      <c r="I147" s="717">
        <v>189.0</v>
      </c>
      <c r="J147" s="10"/>
      <c r="K147" s="10">
        <f t="shared" si="1"/>
        <v>1</v>
      </c>
      <c r="L147" s="10"/>
      <c r="M147" s="10"/>
      <c r="N147" s="10"/>
    </row>
    <row r="148">
      <c r="A148" s="704" t="s">
        <v>20834</v>
      </c>
      <c r="B148" s="134">
        <v>6700.0</v>
      </c>
      <c r="C148" s="297" t="s">
        <v>20580</v>
      </c>
      <c r="D148" s="715">
        <v>0.8</v>
      </c>
      <c r="E148" s="715">
        <v>0.8</v>
      </c>
      <c r="F148" s="348" t="s">
        <v>1656</v>
      </c>
      <c r="G148" s="10"/>
      <c r="H148" s="732" t="s">
        <v>20834</v>
      </c>
      <c r="I148" s="717">
        <v>6700.0</v>
      </c>
      <c r="J148" s="10"/>
      <c r="K148" s="10" t="str">
        <f t="shared" si="1"/>
        <v>#N/A</v>
      </c>
      <c r="L148" s="10"/>
      <c r="M148" s="10"/>
      <c r="N148" s="10"/>
    </row>
    <row r="149">
      <c r="A149" s="704" t="s">
        <v>20835</v>
      </c>
      <c r="B149" s="134">
        <v>986.0</v>
      </c>
      <c r="C149" s="297" t="s">
        <v>20580</v>
      </c>
      <c r="D149" s="715">
        <v>0.8</v>
      </c>
      <c r="E149" s="715">
        <v>0.8</v>
      </c>
      <c r="F149" s="348" t="s">
        <v>1656</v>
      </c>
      <c r="G149" s="10"/>
      <c r="H149" s="732" t="s">
        <v>20835</v>
      </c>
      <c r="I149" s="717">
        <v>986.0</v>
      </c>
      <c r="J149" s="10"/>
      <c r="K149" s="10" t="str">
        <f t="shared" si="1"/>
        <v>#N/A</v>
      </c>
      <c r="L149" s="10"/>
      <c r="M149" s="10"/>
      <c r="N149" s="10"/>
    </row>
    <row r="150">
      <c r="A150" s="704" t="s">
        <v>20836</v>
      </c>
      <c r="B150" s="733">
        <v>6831.0</v>
      </c>
      <c r="C150" s="297" t="s">
        <v>20580</v>
      </c>
      <c r="D150" s="715">
        <v>0.8</v>
      </c>
      <c r="E150" s="715">
        <v>0.8</v>
      </c>
      <c r="F150" s="348" t="s">
        <v>1656</v>
      </c>
      <c r="G150" s="10"/>
      <c r="H150" s="732" t="s">
        <v>20836</v>
      </c>
      <c r="I150" s="734">
        <v>6831.0</v>
      </c>
      <c r="J150" s="10"/>
      <c r="K150" s="10">
        <f t="shared" si="1"/>
        <v>1</v>
      </c>
      <c r="L150" s="10"/>
      <c r="M150" s="10"/>
      <c r="N150" s="10"/>
    </row>
    <row r="151">
      <c r="A151" s="704" t="s">
        <v>20837</v>
      </c>
      <c r="B151" s="134">
        <v>134.0</v>
      </c>
      <c r="C151" s="297" t="s">
        <v>20580</v>
      </c>
      <c r="D151" s="715">
        <v>0.8</v>
      </c>
      <c r="E151" s="715">
        <v>0.8</v>
      </c>
      <c r="F151" s="348" t="s">
        <v>1656</v>
      </c>
      <c r="G151" s="10"/>
      <c r="H151" s="732" t="s">
        <v>20837</v>
      </c>
      <c r="I151" s="717">
        <v>134.0</v>
      </c>
      <c r="J151" s="10"/>
      <c r="K151" s="10" t="str">
        <f t="shared" si="1"/>
        <v>#N/A</v>
      </c>
      <c r="L151" s="10"/>
      <c r="M151" s="10"/>
      <c r="N151" s="10"/>
    </row>
    <row r="152">
      <c r="A152" s="704" t="s">
        <v>20838</v>
      </c>
      <c r="B152" s="134">
        <v>134.0</v>
      </c>
      <c r="C152" s="297" t="s">
        <v>20580</v>
      </c>
      <c r="D152" s="715">
        <v>0.8</v>
      </c>
      <c r="E152" s="715">
        <v>0.8</v>
      </c>
      <c r="F152" s="348" t="s">
        <v>1656</v>
      </c>
      <c r="G152" s="10"/>
      <c r="H152" s="732" t="s">
        <v>20838</v>
      </c>
      <c r="I152" s="717">
        <v>134.0</v>
      </c>
      <c r="J152" s="10"/>
      <c r="K152" s="10" t="str">
        <f t="shared" si="1"/>
        <v>#N/A</v>
      </c>
      <c r="L152" s="10"/>
      <c r="M152" s="10"/>
      <c r="N152" s="10"/>
    </row>
    <row r="153">
      <c r="A153" s="704" t="s">
        <v>20839</v>
      </c>
      <c r="B153" s="134">
        <v>6736.0</v>
      </c>
      <c r="C153" s="297" t="s">
        <v>20580</v>
      </c>
      <c r="D153" s="715">
        <v>0.8</v>
      </c>
      <c r="E153" s="715">
        <v>0.8</v>
      </c>
      <c r="F153" s="348" t="s">
        <v>1656</v>
      </c>
      <c r="G153" s="10"/>
      <c r="H153" s="732" t="s">
        <v>20839</v>
      </c>
      <c r="I153" s="717">
        <v>6736.0</v>
      </c>
      <c r="J153" s="10"/>
      <c r="K153" s="10">
        <f t="shared" si="1"/>
        <v>1</v>
      </c>
      <c r="L153" s="10"/>
      <c r="M153" s="10"/>
      <c r="N153" s="10"/>
    </row>
    <row r="154">
      <c r="A154" s="704" t="s">
        <v>20840</v>
      </c>
      <c r="B154" s="134">
        <v>6722.0</v>
      </c>
      <c r="C154" s="297" t="s">
        <v>20580</v>
      </c>
      <c r="D154" s="715">
        <v>0.8</v>
      </c>
      <c r="E154" s="715">
        <v>0.8</v>
      </c>
      <c r="F154" s="348" t="s">
        <v>1656</v>
      </c>
      <c r="G154" s="10"/>
      <c r="H154" s="732" t="s">
        <v>20840</v>
      </c>
      <c r="I154" s="717">
        <v>6722.0</v>
      </c>
      <c r="J154" s="10"/>
      <c r="K154" s="10">
        <f t="shared" si="1"/>
        <v>1</v>
      </c>
      <c r="L154" s="10"/>
      <c r="M154" s="10"/>
      <c r="N154" s="10"/>
    </row>
    <row r="155">
      <c r="A155" s="704" t="s">
        <v>20841</v>
      </c>
      <c r="B155" s="134">
        <v>6732.0</v>
      </c>
      <c r="C155" s="297" t="s">
        <v>20580</v>
      </c>
      <c r="D155" s="723">
        <v>0.85</v>
      </c>
      <c r="E155" s="723">
        <v>0.85</v>
      </c>
      <c r="F155" s="348" t="s">
        <v>1656</v>
      </c>
      <c r="G155" s="10"/>
      <c r="H155" s="732" t="s">
        <v>20841</v>
      </c>
      <c r="I155" s="717">
        <v>6732.0</v>
      </c>
      <c r="J155" s="10"/>
      <c r="K155" s="10" t="str">
        <f t="shared" si="1"/>
        <v>#N/A</v>
      </c>
      <c r="L155" s="10"/>
      <c r="M155" s="10"/>
      <c r="N155" s="10"/>
    </row>
    <row r="156">
      <c r="A156" s="704" t="s">
        <v>20842</v>
      </c>
      <c r="B156" s="134">
        <v>14337.0</v>
      </c>
      <c r="C156" s="297" t="s">
        <v>20580</v>
      </c>
      <c r="D156" s="715">
        <v>0.8</v>
      </c>
      <c r="E156" s="715">
        <v>0.8</v>
      </c>
      <c r="F156" s="348" t="s">
        <v>1656</v>
      </c>
      <c r="G156" s="10"/>
      <c r="H156" s="300" t="s">
        <v>20842</v>
      </c>
      <c r="I156" s="111">
        <v>14337.0</v>
      </c>
      <c r="J156" s="111">
        <v>6732.0</v>
      </c>
      <c r="K156" s="10">
        <f t="shared" si="1"/>
        <v>1</v>
      </c>
      <c r="L156" s="10"/>
      <c r="M156" s="10"/>
      <c r="N156" s="10"/>
    </row>
    <row r="157">
      <c r="A157" s="704" t="s">
        <v>20843</v>
      </c>
      <c r="B157" s="134">
        <v>6732.0</v>
      </c>
      <c r="C157" s="297" t="s">
        <v>20580</v>
      </c>
      <c r="D157" s="723">
        <v>0.85</v>
      </c>
      <c r="E157" s="723">
        <v>0.85</v>
      </c>
      <c r="F157" s="348" t="s">
        <v>1656</v>
      </c>
      <c r="G157" s="10"/>
      <c r="H157" s="732" t="s">
        <v>20843</v>
      </c>
      <c r="I157" s="717">
        <v>6732.0</v>
      </c>
      <c r="J157" s="10"/>
      <c r="K157" s="10">
        <f t="shared" si="1"/>
        <v>1</v>
      </c>
      <c r="L157" s="10"/>
      <c r="M157" s="10"/>
      <c r="N157" s="10"/>
    </row>
    <row r="158">
      <c r="A158" s="704" t="s">
        <v>20844</v>
      </c>
      <c r="B158" s="134">
        <v>6732.0</v>
      </c>
      <c r="C158" s="297" t="s">
        <v>20580</v>
      </c>
      <c r="D158" s="723">
        <v>0.85</v>
      </c>
      <c r="E158" s="723">
        <v>0.85</v>
      </c>
      <c r="F158" s="348" t="s">
        <v>1656</v>
      </c>
      <c r="G158" s="10"/>
      <c r="H158" s="732" t="s">
        <v>20844</v>
      </c>
      <c r="I158" s="717">
        <v>6732.0</v>
      </c>
      <c r="J158" s="10"/>
      <c r="K158" s="10" t="str">
        <f t="shared" si="1"/>
        <v>#N/A</v>
      </c>
      <c r="L158" s="10"/>
      <c r="M158" s="10"/>
      <c r="N158" s="10"/>
    </row>
    <row r="159">
      <c r="A159" s="704" t="s">
        <v>20845</v>
      </c>
      <c r="B159" s="134">
        <v>6727.0</v>
      </c>
      <c r="C159" s="297" t="s">
        <v>20580</v>
      </c>
      <c r="D159" s="715">
        <v>0.8</v>
      </c>
      <c r="E159" s="715">
        <v>0.8</v>
      </c>
      <c r="F159" s="348" t="s">
        <v>1656</v>
      </c>
      <c r="G159" s="10"/>
      <c r="H159" s="732" t="s">
        <v>20845</v>
      </c>
      <c r="I159" s="717">
        <v>6727.0</v>
      </c>
      <c r="J159" s="9">
        <v>4933.0</v>
      </c>
      <c r="K159" s="10" t="str">
        <f t="shared" si="1"/>
        <v>#N/A</v>
      </c>
      <c r="L159" s="10"/>
      <c r="M159" s="10"/>
      <c r="N159" s="10"/>
    </row>
    <row r="160">
      <c r="A160" s="704" t="s">
        <v>20846</v>
      </c>
      <c r="B160" s="134">
        <v>6727.0</v>
      </c>
      <c r="C160" s="297" t="s">
        <v>20580</v>
      </c>
      <c r="D160" s="715">
        <v>0.8</v>
      </c>
      <c r="E160" s="715">
        <v>0.8</v>
      </c>
      <c r="F160" s="348" t="s">
        <v>1656</v>
      </c>
      <c r="G160" s="10"/>
      <c r="H160" s="732" t="s">
        <v>20846</v>
      </c>
      <c r="I160" s="717">
        <v>6727.0</v>
      </c>
      <c r="J160" s="9">
        <v>4933.0</v>
      </c>
      <c r="K160" s="10" t="str">
        <f t="shared" si="1"/>
        <v>#N/A</v>
      </c>
      <c r="L160" s="10"/>
      <c r="M160" s="10"/>
      <c r="N160" s="10"/>
    </row>
    <row r="161">
      <c r="A161" s="704" t="s">
        <v>20847</v>
      </c>
      <c r="B161" s="134">
        <v>6727.0</v>
      </c>
      <c r="C161" s="297" t="s">
        <v>20580</v>
      </c>
      <c r="D161" s="715">
        <v>0.8</v>
      </c>
      <c r="E161" s="715">
        <v>0.8</v>
      </c>
      <c r="F161" s="348" t="s">
        <v>1656</v>
      </c>
      <c r="G161" s="10"/>
      <c r="H161" s="732" t="s">
        <v>20847</v>
      </c>
      <c r="I161" s="717">
        <v>6727.0</v>
      </c>
      <c r="J161" s="9">
        <v>4933.0</v>
      </c>
      <c r="K161" s="10" t="str">
        <f t="shared" si="1"/>
        <v>#N/A</v>
      </c>
      <c r="L161" s="10"/>
      <c r="M161" s="10"/>
      <c r="N161" s="10"/>
    </row>
    <row r="162">
      <c r="A162" s="704" t="s">
        <v>20848</v>
      </c>
      <c r="B162" s="134">
        <v>6727.0</v>
      </c>
      <c r="C162" s="297" t="s">
        <v>20580</v>
      </c>
      <c r="D162" s="715">
        <v>0.8</v>
      </c>
      <c r="E162" s="715">
        <v>0.8</v>
      </c>
      <c r="F162" s="348" t="s">
        <v>1656</v>
      </c>
      <c r="G162" s="10"/>
      <c r="H162" s="732" t="s">
        <v>20848</v>
      </c>
      <c r="I162" s="717">
        <v>6727.0</v>
      </c>
      <c r="J162" s="9">
        <v>4933.0</v>
      </c>
      <c r="K162" s="10" t="str">
        <f t="shared" si="1"/>
        <v>#N/A</v>
      </c>
      <c r="L162" s="10"/>
      <c r="M162" s="10"/>
      <c r="N162" s="10"/>
    </row>
    <row r="163">
      <c r="A163" s="704" t="s">
        <v>20849</v>
      </c>
      <c r="B163" s="134">
        <v>6727.0</v>
      </c>
      <c r="C163" s="297" t="s">
        <v>20580</v>
      </c>
      <c r="D163" s="715">
        <v>0.8</v>
      </c>
      <c r="E163" s="715">
        <v>0.8</v>
      </c>
      <c r="F163" s="348" t="s">
        <v>1656</v>
      </c>
      <c r="G163" s="10"/>
      <c r="H163" s="732" t="s">
        <v>20849</v>
      </c>
      <c r="I163" s="717">
        <v>6727.0</v>
      </c>
      <c r="J163" s="9">
        <v>4933.0</v>
      </c>
      <c r="K163" s="10" t="str">
        <f t="shared" si="1"/>
        <v>#N/A</v>
      </c>
      <c r="L163" s="10"/>
      <c r="M163" s="10"/>
      <c r="N163" s="10"/>
    </row>
    <row r="164">
      <c r="A164" s="704" t="s">
        <v>20850</v>
      </c>
      <c r="B164" s="134">
        <v>6727.0</v>
      </c>
      <c r="C164" s="297" t="s">
        <v>20580</v>
      </c>
      <c r="D164" s="715">
        <v>0.8</v>
      </c>
      <c r="E164" s="715">
        <v>0.8</v>
      </c>
      <c r="F164" s="348" t="s">
        <v>1656</v>
      </c>
      <c r="G164" s="10"/>
      <c r="H164" s="732" t="s">
        <v>20850</v>
      </c>
      <c r="I164" s="717">
        <v>6727.0</v>
      </c>
      <c r="J164" s="9">
        <v>4933.0</v>
      </c>
      <c r="K164" s="10" t="str">
        <f t="shared" si="1"/>
        <v>#N/A</v>
      </c>
      <c r="L164" s="10"/>
      <c r="M164" s="10"/>
      <c r="N164" s="10"/>
    </row>
    <row r="165">
      <c r="A165" s="704" t="s">
        <v>20851</v>
      </c>
      <c r="B165" s="134">
        <v>6727.0</v>
      </c>
      <c r="C165" s="297" t="s">
        <v>20580</v>
      </c>
      <c r="D165" s="715">
        <v>0.8</v>
      </c>
      <c r="E165" s="715">
        <v>0.8</v>
      </c>
      <c r="F165" s="348" t="s">
        <v>1656</v>
      </c>
      <c r="G165" s="10"/>
      <c r="H165" s="732" t="s">
        <v>20851</v>
      </c>
      <c r="I165" s="717">
        <v>6727.0</v>
      </c>
      <c r="J165" s="9">
        <v>4933.0</v>
      </c>
      <c r="K165" s="10" t="str">
        <f t="shared" si="1"/>
        <v>#N/A</v>
      </c>
      <c r="L165" s="10"/>
      <c r="M165" s="10"/>
      <c r="N165" s="10"/>
    </row>
    <row r="166">
      <c r="A166" s="704" t="s">
        <v>20852</v>
      </c>
      <c r="B166" s="134">
        <v>6727.0</v>
      </c>
      <c r="C166" s="297" t="s">
        <v>20580</v>
      </c>
      <c r="D166" s="715">
        <v>0.8</v>
      </c>
      <c r="E166" s="715">
        <v>0.8</v>
      </c>
      <c r="F166" s="348" t="s">
        <v>1656</v>
      </c>
      <c r="G166" s="10"/>
      <c r="H166" s="732" t="s">
        <v>20852</v>
      </c>
      <c r="I166" s="717">
        <v>6727.0</v>
      </c>
      <c r="J166" s="9">
        <v>4933.0</v>
      </c>
      <c r="K166" s="10" t="str">
        <f t="shared" si="1"/>
        <v>#N/A</v>
      </c>
      <c r="L166" s="10"/>
      <c r="M166" s="10"/>
      <c r="N166" s="10"/>
    </row>
    <row r="167">
      <c r="A167" s="704" t="s">
        <v>20853</v>
      </c>
      <c r="B167" s="134">
        <v>6727.0</v>
      </c>
      <c r="C167" s="297" t="s">
        <v>20580</v>
      </c>
      <c r="D167" s="715">
        <v>0.8</v>
      </c>
      <c r="E167" s="715">
        <v>0.8</v>
      </c>
      <c r="F167" s="348" t="s">
        <v>1656</v>
      </c>
      <c r="G167" s="10"/>
      <c r="H167" s="732" t="s">
        <v>20853</v>
      </c>
      <c r="I167" s="717">
        <v>6727.0</v>
      </c>
      <c r="J167" s="9">
        <v>4933.0</v>
      </c>
      <c r="K167" s="10">
        <f t="shared" si="1"/>
        <v>1</v>
      </c>
      <c r="L167" s="10"/>
      <c r="M167" s="10"/>
      <c r="N167" s="10"/>
    </row>
    <row r="168">
      <c r="A168" s="704" t="s">
        <v>20854</v>
      </c>
      <c r="B168" s="134">
        <v>6727.0</v>
      </c>
      <c r="C168" s="297" t="s">
        <v>20580</v>
      </c>
      <c r="D168" s="715">
        <v>0.8</v>
      </c>
      <c r="E168" s="715">
        <v>0.8</v>
      </c>
      <c r="F168" s="348" t="s">
        <v>1656</v>
      </c>
      <c r="G168" s="10"/>
      <c r="H168" s="732" t="s">
        <v>20854</v>
      </c>
      <c r="I168" s="717">
        <v>6727.0</v>
      </c>
      <c r="J168" s="9">
        <v>4933.0</v>
      </c>
      <c r="K168" s="10" t="str">
        <f t="shared" si="1"/>
        <v>#N/A</v>
      </c>
      <c r="L168" s="10"/>
      <c r="M168" s="10"/>
      <c r="N168" s="10"/>
    </row>
    <row r="169">
      <c r="A169" s="704" t="s">
        <v>20855</v>
      </c>
      <c r="B169" s="134">
        <v>6824.0</v>
      </c>
      <c r="C169" s="297" t="s">
        <v>20580</v>
      </c>
      <c r="D169" s="715">
        <v>0.8</v>
      </c>
      <c r="E169" s="715">
        <v>0.8</v>
      </c>
      <c r="F169" s="348" t="s">
        <v>1656</v>
      </c>
      <c r="G169" s="10"/>
      <c r="H169" s="732" t="s">
        <v>20855</v>
      </c>
      <c r="I169" s="717">
        <v>6824.0</v>
      </c>
      <c r="J169" s="10"/>
      <c r="K169" s="10" t="str">
        <f t="shared" si="1"/>
        <v>#N/A</v>
      </c>
      <c r="L169" s="10"/>
      <c r="M169" s="10"/>
      <c r="N169" s="10"/>
    </row>
    <row r="170">
      <c r="A170" s="704" t="s">
        <v>20856</v>
      </c>
      <c r="B170" s="134">
        <v>6891.0</v>
      </c>
      <c r="C170" s="297" t="s">
        <v>20580</v>
      </c>
      <c r="D170" s="715">
        <v>0.8</v>
      </c>
      <c r="E170" s="715">
        <v>0.8</v>
      </c>
      <c r="F170" s="348" t="s">
        <v>1656</v>
      </c>
      <c r="G170" s="10"/>
      <c r="H170" s="732" t="s">
        <v>20856</v>
      </c>
      <c r="I170" s="717">
        <v>6891.0</v>
      </c>
      <c r="J170" s="10"/>
      <c r="K170" s="10" t="str">
        <f t="shared" si="1"/>
        <v>#N/A</v>
      </c>
      <c r="L170" s="10"/>
      <c r="M170" s="10"/>
      <c r="N170" s="10"/>
    </row>
    <row r="171">
      <c r="A171" s="704" t="s">
        <v>20857</v>
      </c>
      <c r="B171" s="134">
        <v>6732.0</v>
      </c>
      <c r="C171" s="297" t="s">
        <v>20580</v>
      </c>
      <c r="D171" s="723">
        <v>0.85</v>
      </c>
      <c r="E171" s="723">
        <v>0.85</v>
      </c>
      <c r="F171" s="348" t="s">
        <v>1656</v>
      </c>
      <c r="G171" s="10"/>
      <c r="H171" s="732" t="s">
        <v>20857</v>
      </c>
      <c r="I171" s="717">
        <v>6732.0</v>
      </c>
      <c r="J171" s="10"/>
      <c r="K171" s="10" t="str">
        <f t="shared" si="1"/>
        <v>#N/A</v>
      </c>
      <c r="L171" s="10"/>
      <c r="M171" s="10"/>
      <c r="N171" s="10"/>
    </row>
    <row r="172">
      <c r="A172" s="704" t="s">
        <v>20858</v>
      </c>
      <c r="B172" s="134">
        <v>6676.0</v>
      </c>
      <c r="C172" s="297" t="s">
        <v>20580</v>
      </c>
      <c r="D172" s="715">
        <v>0.8</v>
      </c>
      <c r="E172" s="715">
        <v>0.8</v>
      </c>
      <c r="F172" s="348" t="s">
        <v>1656</v>
      </c>
      <c r="G172" s="10"/>
      <c r="H172" s="732" t="s">
        <v>20858</v>
      </c>
      <c r="I172" s="717">
        <v>6676.0</v>
      </c>
      <c r="J172" s="10"/>
      <c r="K172" s="10">
        <f t="shared" si="1"/>
        <v>1</v>
      </c>
      <c r="L172" s="10"/>
      <c r="M172" s="10"/>
      <c r="N172" s="10"/>
    </row>
    <row r="173">
      <c r="A173" s="704" t="s">
        <v>20859</v>
      </c>
      <c r="B173" s="134">
        <v>6891.0</v>
      </c>
      <c r="C173" s="297" t="s">
        <v>20580</v>
      </c>
      <c r="D173" s="715">
        <v>0.8</v>
      </c>
      <c r="E173" s="715">
        <v>0.8</v>
      </c>
      <c r="F173" s="348" t="s">
        <v>1656</v>
      </c>
      <c r="G173" s="10"/>
      <c r="H173" s="732" t="s">
        <v>20859</v>
      </c>
      <c r="I173" s="717">
        <v>6891.0</v>
      </c>
      <c r="J173" s="10"/>
      <c r="K173" s="10" t="str">
        <f t="shared" si="1"/>
        <v>#N/A</v>
      </c>
      <c r="L173" s="10"/>
      <c r="M173" s="10"/>
      <c r="N173" s="10"/>
    </row>
    <row r="174">
      <c r="A174" s="704" t="s">
        <v>20860</v>
      </c>
      <c r="B174" s="134">
        <v>6736.0</v>
      </c>
      <c r="C174" s="297" t="s">
        <v>20580</v>
      </c>
      <c r="D174" s="715">
        <v>0.8</v>
      </c>
      <c r="E174" s="715">
        <v>0.8</v>
      </c>
      <c r="F174" s="348" t="s">
        <v>1656</v>
      </c>
      <c r="G174" s="10"/>
      <c r="H174" s="732" t="s">
        <v>20860</v>
      </c>
      <c r="I174" s="717">
        <v>6736.0</v>
      </c>
      <c r="J174" s="10"/>
      <c r="K174" s="10" t="str">
        <f t="shared" si="1"/>
        <v>#N/A</v>
      </c>
      <c r="L174" s="10"/>
      <c r="M174" s="10"/>
      <c r="N174" s="10"/>
    </row>
    <row r="175">
      <c r="A175" s="704" t="s">
        <v>20861</v>
      </c>
      <c r="B175" s="134">
        <v>6947.0</v>
      </c>
      <c r="C175" s="297" t="s">
        <v>20580</v>
      </c>
      <c r="D175" s="715">
        <v>0.8</v>
      </c>
      <c r="E175" s="715">
        <v>0.8</v>
      </c>
      <c r="F175" s="348" t="s">
        <v>1656</v>
      </c>
      <c r="G175" s="10"/>
      <c r="H175" s="300" t="s">
        <v>20861</v>
      </c>
      <c r="I175" s="111">
        <v>6947.0</v>
      </c>
      <c r="J175" s="111">
        <v>6770.0</v>
      </c>
      <c r="K175" s="10">
        <f t="shared" si="1"/>
        <v>1</v>
      </c>
      <c r="L175" s="10"/>
      <c r="M175" s="10"/>
      <c r="N175" s="10"/>
    </row>
    <row r="176">
      <c r="A176" s="704" t="s">
        <v>20862</v>
      </c>
      <c r="B176" s="134">
        <v>6675.0</v>
      </c>
      <c r="C176" s="297" t="s">
        <v>20580</v>
      </c>
      <c r="D176" s="723">
        <v>0.9</v>
      </c>
      <c r="E176" s="723">
        <v>0.9</v>
      </c>
      <c r="F176" s="348" t="s">
        <v>1656</v>
      </c>
      <c r="G176" s="10"/>
      <c r="H176" s="300" t="s">
        <v>20862</v>
      </c>
      <c r="I176" s="111">
        <v>6675.0</v>
      </c>
      <c r="J176" s="111">
        <v>6770.0</v>
      </c>
      <c r="K176" s="10" t="str">
        <f t="shared" si="1"/>
        <v>#N/A</v>
      </c>
      <c r="L176" s="10"/>
      <c r="M176" s="10"/>
      <c r="N176" s="10"/>
    </row>
    <row r="177">
      <c r="A177" s="704" t="s">
        <v>20863</v>
      </c>
      <c r="B177" s="134">
        <v>2207.0</v>
      </c>
      <c r="C177" s="297" t="s">
        <v>20580</v>
      </c>
      <c r="D177" s="715">
        <v>0.8</v>
      </c>
      <c r="E177" s="715">
        <v>0.8</v>
      </c>
      <c r="F177" s="348" t="s">
        <v>1656</v>
      </c>
      <c r="G177" s="10"/>
      <c r="H177" s="732" t="s">
        <v>20863</v>
      </c>
      <c r="I177" s="717">
        <v>2207.0</v>
      </c>
      <c r="J177" s="9">
        <v>6770.0</v>
      </c>
      <c r="K177" s="10" t="str">
        <f t="shared" si="1"/>
        <v>#N/A</v>
      </c>
      <c r="L177" s="10"/>
      <c r="M177" s="10"/>
      <c r="N177" s="10"/>
    </row>
    <row r="178">
      <c r="A178" s="704" t="s">
        <v>20864</v>
      </c>
      <c r="B178" s="134">
        <v>6969.0</v>
      </c>
      <c r="C178" s="297" t="s">
        <v>20580</v>
      </c>
      <c r="D178" s="715">
        <v>0.8</v>
      </c>
      <c r="E178" s="715">
        <v>0.8</v>
      </c>
      <c r="F178" s="348" t="s">
        <v>1656</v>
      </c>
      <c r="G178" s="10"/>
      <c r="H178" s="732" t="s">
        <v>20864</v>
      </c>
      <c r="I178" s="717">
        <v>6969.0</v>
      </c>
      <c r="J178" s="9">
        <v>6770.0</v>
      </c>
      <c r="K178" s="10" t="str">
        <f t="shared" si="1"/>
        <v>#N/A</v>
      </c>
      <c r="L178" s="10"/>
      <c r="M178" s="10"/>
      <c r="N178" s="10"/>
    </row>
    <row r="179">
      <c r="A179" s="704" t="s">
        <v>20865</v>
      </c>
      <c r="B179" s="134">
        <v>930.0</v>
      </c>
      <c r="C179" s="297" t="s">
        <v>20580</v>
      </c>
      <c r="D179" s="715">
        <v>0.8</v>
      </c>
      <c r="E179" s="715">
        <v>0.8</v>
      </c>
      <c r="F179" s="348" t="s">
        <v>1656</v>
      </c>
      <c r="G179" s="10"/>
      <c r="H179" s="732" t="s">
        <v>20865</v>
      </c>
      <c r="I179" s="717">
        <v>930.0</v>
      </c>
      <c r="J179" s="9">
        <v>6770.0</v>
      </c>
      <c r="K179" s="10" t="str">
        <f t="shared" si="1"/>
        <v>#N/A</v>
      </c>
      <c r="L179" s="10"/>
      <c r="M179" s="10"/>
      <c r="N179" s="10"/>
    </row>
    <row r="180">
      <c r="A180" s="704" t="s">
        <v>20866</v>
      </c>
      <c r="B180" s="134">
        <v>6732.0</v>
      </c>
      <c r="C180" s="297" t="s">
        <v>20580</v>
      </c>
      <c r="D180" s="723">
        <v>0.85</v>
      </c>
      <c r="E180" s="723">
        <v>0.85</v>
      </c>
      <c r="F180" s="348" t="s">
        <v>1656</v>
      </c>
      <c r="G180" s="10"/>
      <c r="H180" s="732" t="s">
        <v>20866</v>
      </c>
      <c r="I180" s="717">
        <v>6732.0</v>
      </c>
      <c r="J180" s="9">
        <v>6770.0</v>
      </c>
      <c r="K180" s="10" t="str">
        <f t="shared" si="1"/>
        <v>#N/A</v>
      </c>
      <c r="L180" s="10"/>
      <c r="M180" s="10"/>
      <c r="N180" s="10"/>
    </row>
    <row r="181">
      <c r="A181" s="704" t="s">
        <v>20867</v>
      </c>
      <c r="B181" s="134">
        <v>2207.0</v>
      </c>
      <c r="C181" s="297" t="s">
        <v>20580</v>
      </c>
      <c r="D181" s="715">
        <v>0.8</v>
      </c>
      <c r="E181" s="715">
        <v>0.8</v>
      </c>
      <c r="F181" s="348" t="s">
        <v>1656</v>
      </c>
      <c r="G181" s="10"/>
      <c r="H181" s="732" t="s">
        <v>20867</v>
      </c>
      <c r="I181" s="717">
        <v>2207.0</v>
      </c>
      <c r="J181" s="9">
        <v>6770.0</v>
      </c>
      <c r="K181" s="10" t="str">
        <f t="shared" si="1"/>
        <v>#N/A</v>
      </c>
      <c r="L181" s="10"/>
      <c r="M181" s="10"/>
      <c r="N181" s="10"/>
    </row>
    <row r="182">
      <c r="A182" s="704" t="s">
        <v>20868</v>
      </c>
      <c r="B182" s="134">
        <v>6463.0</v>
      </c>
      <c r="C182" s="297" t="s">
        <v>20580</v>
      </c>
      <c r="D182" s="715">
        <v>0.8</v>
      </c>
      <c r="E182" s="715">
        <v>0.8</v>
      </c>
      <c r="F182" s="348" t="s">
        <v>1656</v>
      </c>
      <c r="G182" s="10"/>
      <c r="H182" s="732" t="s">
        <v>20868</v>
      </c>
      <c r="I182" s="717">
        <v>6463.0</v>
      </c>
      <c r="J182" s="10"/>
      <c r="K182" s="10" t="str">
        <f t="shared" si="1"/>
        <v>#N/A</v>
      </c>
      <c r="L182" s="10"/>
      <c r="M182" s="10"/>
      <c r="N182" s="10"/>
    </row>
    <row r="183">
      <c r="A183" s="704" t="s">
        <v>20869</v>
      </c>
      <c r="B183" s="134">
        <v>6887.0</v>
      </c>
      <c r="C183" s="297" t="s">
        <v>20580</v>
      </c>
      <c r="D183" s="715">
        <v>0.8</v>
      </c>
      <c r="E183" s="715">
        <v>0.8</v>
      </c>
      <c r="F183" s="348" t="s">
        <v>1656</v>
      </c>
      <c r="G183" s="10"/>
      <c r="H183" s="732" t="s">
        <v>20869</v>
      </c>
      <c r="I183" s="717">
        <v>6887.0</v>
      </c>
      <c r="J183" s="10"/>
      <c r="K183" s="10" t="str">
        <f t="shared" si="1"/>
        <v>#N/A</v>
      </c>
      <c r="L183" s="10"/>
      <c r="M183" s="10"/>
      <c r="N183" s="10"/>
    </row>
    <row r="184">
      <c r="A184" s="704" t="s">
        <v>20870</v>
      </c>
      <c r="B184" s="134">
        <v>6924.0</v>
      </c>
      <c r="C184" s="297" t="s">
        <v>20580</v>
      </c>
      <c r="D184" s="723">
        <v>0.85</v>
      </c>
      <c r="E184" s="723">
        <v>0.85</v>
      </c>
      <c r="F184" s="348" t="s">
        <v>1656</v>
      </c>
      <c r="G184" s="10"/>
      <c r="H184" s="732" t="s">
        <v>20870</v>
      </c>
      <c r="I184" s="717">
        <v>6924.0</v>
      </c>
      <c r="J184" s="10"/>
      <c r="K184" s="10" t="str">
        <f t="shared" si="1"/>
        <v>#N/A</v>
      </c>
      <c r="L184" s="10"/>
      <c r="M184" s="10"/>
      <c r="N184" s="10"/>
    </row>
    <row r="185">
      <c r="A185" s="704" t="s">
        <v>20871</v>
      </c>
      <c r="B185" s="134">
        <v>986.0</v>
      </c>
      <c r="C185" s="297" t="s">
        <v>20580</v>
      </c>
      <c r="D185" s="715">
        <v>0.8</v>
      </c>
      <c r="E185" s="715">
        <v>0.8</v>
      </c>
      <c r="F185" s="348" t="s">
        <v>1656</v>
      </c>
      <c r="G185" s="10"/>
      <c r="H185" s="732" t="s">
        <v>20871</v>
      </c>
      <c r="I185" s="717">
        <v>986.0</v>
      </c>
      <c r="J185" s="10"/>
      <c r="K185" s="10">
        <f t="shared" si="1"/>
        <v>1</v>
      </c>
      <c r="L185" s="10"/>
      <c r="M185" s="10"/>
      <c r="N185" s="10"/>
    </row>
    <row r="186">
      <c r="A186" s="704" t="s">
        <v>20872</v>
      </c>
      <c r="B186" s="134">
        <v>2345.0</v>
      </c>
      <c r="C186" s="297" t="s">
        <v>20580</v>
      </c>
      <c r="D186" s="723">
        <v>0.9</v>
      </c>
      <c r="E186" s="723">
        <v>0.9</v>
      </c>
      <c r="F186" s="348" t="s">
        <v>1656</v>
      </c>
      <c r="G186" s="10"/>
      <c r="H186" s="300" t="s">
        <v>20872</v>
      </c>
      <c r="I186" s="111">
        <v>2345.0</v>
      </c>
      <c r="J186" s="303"/>
      <c r="K186" s="10">
        <f t="shared" si="1"/>
        <v>1</v>
      </c>
      <c r="L186" s="10"/>
      <c r="M186" s="10"/>
      <c r="N186" s="10"/>
    </row>
    <row r="187">
      <c r="A187" s="704" t="s">
        <v>20873</v>
      </c>
      <c r="B187" s="134">
        <v>986.0</v>
      </c>
      <c r="C187" s="297" t="s">
        <v>20580</v>
      </c>
      <c r="D187" s="715">
        <v>0.8</v>
      </c>
      <c r="E187" s="715">
        <v>0.8</v>
      </c>
      <c r="F187" s="348" t="s">
        <v>1656</v>
      </c>
      <c r="G187" s="10"/>
      <c r="H187" s="732" t="s">
        <v>20873</v>
      </c>
      <c r="I187" s="717">
        <v>986.0</v>
      </c>
      <c r="J187" s="10"/>
      <c r="K187" s="10">
        <f t="shared" si="1"/>
        <v>1</v>
      </c>
      <c r="L187" s="10"/>
      <c r="M187" s="10"/>
      <c r="N187" s="10"/>
    </row>
    <row r="188">
      <c r="A188" s="704" t="s">
        <v>20874</v>
      </c>
      <c r="B188" s="134">
        <v>6143.0</v>
      </c>
      <c r="C188" s="297" t="s">
        <v>20580</v>
      </c>
      <c r="D188" s="723">
        <v>0.8</v>
      </c>
      <c r="E188" s="723">
        <v>0.8</v>
      </c>
      <c r="F188" s="348" t="s">
        <v>1656</v>
      </c>
      <c r="G188" s="10"/>
      <c r="H188" s="732" t="s">
        <v>20874</v>
      </c>
      <c r="I188" s="717">
        <v>6143.0</v>
      </c>
      <c r="J188" s="10"/>
      <c r="K188" s="10" t="str">
        <f t="shared" si="1"/>
        <v>#N/A</v>
      </c>
      <c r="L188" s="10"/>
      <c r="M188" s="10"/>
      <c r="N188" s="10"/>
    </row>
    <row r="189">
      <c r="A189" s="704" t="s">
        <v>20875</v>
      </c>
      <c r="B189" s="134">
        <v>6924.0</v>
      </c>
      <c r="C189" s="297" t="s">
        <v>20580</v>
      </c>
      <c r="D189" s="723">
        <v>0.85</v>
      </c>
      <c r="E189" s="723">
        <v>0.85</v>
      </c>
      <c r="F189" s="348" t="s">
        <v>1656</v>
      </c>
      <c r="G189" s="10"/>
      <c r="H189" s="732" t="s">
        <v>20875</v>
      </c>
      <c r="I189" s="717">
        <v>6924.0</v>
      </c>
      <c r="J189" s="10"/>
      <c r="K189" s="10" t="str">
        <f t="shared" si="1"/>
        <v>#N/A</v>
      </c>
      <c r="L189" s="10"/>
      <c r="M189" s="10"/>
      <c r="N189" s="10"/>
    </row>
    <row r="190">
      <c r="A190" s="704" t="s">
        <v>20876</v>
      </c>
      <c r="B190" s="134">
        <v>2345.0</v>
      </c>
      <c r="C190" s="297" t="s">
        <v>20580</v>
      </c>
      <c r="D190" s="723">
        <v>0.9</v>
      </c>
      <c r="E190" s="723">
        <v>0.9</v>
      </c>
      <c r="F190" s="348" t="s">
        <v>1656</v>
      </c>
      <c r="G190" s="10"/>
      <c r="H190" s="732" t="s">
        <v>20876</v>
      </c>
      <c r="I190" s="717">
        <v>2345.0</v>
      </c>
      <c r="J190" s="10"/>
      <c r="K190" s="10" t="str">
        <f t="shared" si="1"/>
        <v>#N/A</v>
      </c>
      <c r="L190" s="10"/>
      <c r="M190" s="10"/>
      <c r="N190" s="10"/>
    </row>
    <row r="191">
      <c r="A191" s="704" t="s">
        <v>20877</v>
      </c>
      <c r="B191" s="134">
        <v>986.0</v>
      </c>
      <c r="C191" s="297" t="s">
        <v>20580</v>
      </c>
      <c r="D191" s="715">
        <v>0.8</v>
      </c>
      <c r="E191" s="715">
        <v>0.8</v>
      </c>
      <c r="F191" s="348" t="s">
        <v>1656</v>
      </c>
      <c r="G191" s="10"/>
      <c r="H191" s="732" t="s">
        <v>20877</v>
      </c>
      <c r="I191" s="717">
        <v>986.0</v>
      </c>
      <c r="J191" s="10"/>
      <c r="K191" s="10">
        <f t="shared" si="1"/>
        <v>1</v>
      </c>
      <c r="L191" s="10"/>
      <c r="M191" s="10"/>
      <c r="N191" s="10"/>
    </row>
    <row r="192">
      <c r="A192" s="704" t="s">
        <v>20878</v>
      </c>
      <c r="B192" s="134">
        <v>6107.0</v>
      </c>
      <c r="C192" s="297" t="s">
        <v>20580</v>
      </c>
      <c r="D192" s="715">
        <v>0.8</v>
      </c>
      <c r="E192" s="715">
        <v>0.8</v>
      </c>
      <c r="F192" s="348" t="s">
        <v>1656</v>
      </c>
      <c r="G192" s="10"/>
      <c r="H192" s="732" t="s">
        <v>20878</v>
      </c>
      <c r="I192" s="717">
        <v>6107.0</v>
      </c>
      <c r="J192" s="10"/>
      <c r="K192" s="10" t="str">
        <f t="shared" si="1"/>
        <v>#N/A</v>
      </c>
      <c r="L192" s="10"/>
      <c r="M192" s="10"/>
      <c r="N192" s="10"/>
    </row>
    <row r="193">
      <c r="A193" s="704" t="s">
        <v>20879</v>
      </c>
      <c r="B193" s="134">
        <v>6107.0</v>
      </c>
      <c r="C193" s="297" t="s">
        <v>20580</v>
      </c>
      <c r="D193" s="715">
        <v>0.8</v>
      </c>
      <c r="E193" s="715">
        <v>0.8</v>
      </c>
      <c r="F193" s="348" t="s">
        <v>1656</v>
      </c>
      <c r="G193" s="10"/>
      <c r="H193" s="732" t="s">
        <v>20879</v>
      </c>
      <c r="I193" s="717">
        <v>6107.0</v>
      </c>
      <c r="J193" s="10"/>
      <c r="K193" s="10" t="str">
        <f t="shared" si="1"/>
        <v>#N/A</v>
      </c>
      <c r="L193" s="10"/>
      <c r="M193" s="10"/>
      <c r="N193" s="10"/>
    </row>
    <row r="194">
      <c r="A194" s="704" t="s">
        <v>3817</v>
      </c>
      <c r="B194" s="151">
        <v>6827.0</v>
      </c>
      <c r="C194" s="297" t="s">
        <v>20580</v>
      </c>
      <c r="D194" s="715">
        <v>0.8</v>
      </c>
      <c r="E194" s="715">
        <v>0.8</v>
      </c>
      <c r="F194" s="348" t="s">
        <v>1656</v>
      </c>
      <c r="G194" s="10"/>
      <c r="H194" s="732" t="s">
        <v>3817</v>
      </c>
      <c r="I194" s="735">
        <v>6827.0</v>
      </c>
      <c r="J194" s="9">
        <v>986.0</v>
      </c>
      <c r="K194" s="10">
        <f t="shared" si="1"/>
        <v>1</v>
      </c>
      <c r="L194" s="10"/>
      <c r="M194" s="10"/>
      <c r="N194" s="10"/>
    </row>
    <row r="195">
      <c r="A195" s="704" t="s">
        <v>20880</v>
      </c>
      <c r="B195" s="134">
        <v>6800.0</v>
      </c>
      <c r="C195" s="297" t="s">
        <v>20580</v>
      </c>
      <c r="D195" s="715">
        <v>0.8</v>
      </c>
      <c r="E195" s="715">
        <v>0.8</v>
      </c>
      <c r="F195" s="348" t="s">
        <v>1656</v>
      </c>
      <c r="G195" s="10"/>
      <c r="H195" s="732" t="s">
        <v>20880</v>
      </c>
      <c r="I195" s="717">
        <v>6800.0</v>
      </c>
      <c r="J195" s="9">
        <v>986.0</v>
      </c>
      <c r="K195" s="10">
        <f t="shared" si="1"/>
        <v>1</v>
      </c>
      <c r="L195" s="10"/>
      <c r="M195" s="10"/>
      <c r="N195" s="10"/>
    </row>
    <row r="196">
      <c r="A196" s="704" t="s">
        <v>20881</v>
      </c>
      <c r="B196" s="134">
        <v>6983.0</v>
      </c>
      <c r="C196" s="297" t="s">
        <v>20580</v>
      </c>
      <c r="D196" s="715">
        <v>0.8</v>
      </c>
      <c r="E196" s="715">
        <v>0.8</v>
      </c>
      <c r="F196" s="348" t="s">
        <v>1656</v>
      </c>
      <c r="G196" s="10"/>
      <c r="H196" s="732" t="s">
        <v>20881</v>
      </c>
      <c r="I196" s="717">
        <v>6983.0</v>
      </c>
      <c r="J196" s="9">
        <v>986.0</v>
      </c>
      <c r="K196" s="10">
        <f t="shared" si="1"/>
        <v>1</v>
      </c>
      <c r="L196" s="10"/>
      <c r="M196" s="10"/>
      <c r="N196" s="10"/>
    </row>
    <row r="197">
      <c r="A197" s="704" t="s">
        <v>20882</v>
      </c>
      <c r="B197" s="134">
        <v>6732.0</v>
      </c>
      <c r="C197" s="297" t="s">
        <v>20580</v>
      </c>
      <c r="D197" s="723">
        <v>0.85</v>
      </c>
      <c r="E197" s="723">
        <v>0.85</v>
      </c>
      <c r="F197" s="348" t="s">
        <v>1656</v>
      </c>
      <c r="G197" s="10"/>
      <c r="H197" s="732" t="s">
        <v>20882</v>
      </c>
      <c r="I197" s="717">
        <v>6732.0</v>
      </c>
      <c r="J197" s="10"/>
      <c r="K197" s="10" t="str">
        <f t="shared" si="1"/>
        <v>#N/A</v>
      </c>
      <c r="L197" s="10"/>
      <c r="M197" s="10"/>
      <c r="N197" s="10"/>
    </row>
    <row r="198">
      <c r="A198" s="704" t="s">
        <v>20883</v>
      </c>
      <c r="B198" s="151">
        <v>6778.0</v>
      </c>
      <c r="C198" s="297" t="s">
        <v>20580</v>
      </c>
      <c r="D198" s="715">
        <v>0.8</v>
      </c>
      <c r="E198" s="715">
        <v>0.8</v>
      </c>
      <c r="F198" s="348" t="s">
        <v>1656</v>
      </c>
      <c r="G198" s="10"/>
      <c r="H198" s="732" t="s">
        <v>20883</v>
      </c>
      <c r="I198" s="735">
        <v>6778.0</v>
      </c>
      <c r="J198" s="10"/>
      <c r="K198" s="10" t="str">
        <f t="shared" si="1"/>
        <v>#N/A</v>
      </c>
      <c r="L198" s="10"/>
      <c r="M198" s="10"/>
      <c r="N198" s="10"/>
    </row>
    <row r="199">
      <c r="A199" s="704" t="s">
        <v>20884</v>
      </c>
      <c r="B199" s="151">
        <v>6778.0</v>
      </c>
      <c r="C199" s="297" t="s">
        <v>20580</v>
      </c>
      <c r="D199" s="715">
        <v>0.8</v>
      </c>
      <c r="E199" s="715">
        <v>0.8</v>
      </c>
      <c r="F199" s="348" t="s">
        <v>1656</v>
      </c>
      <c r="G199" s="10"/>
      <c r="H199" s="732" t="s">
        <v>20884</v>
      </c>
      <c r="I199" s="735">
        <v>6778.0</v>
      </c>
      <c r="J199" s="10"/>
      <c r="K199" s="10" t="str">
        <f t="shared" si="1"/>
        <v>#N/A</v>
      </c>
      <c r="L199" s="10"/>
      <c r="M199" s="10"/>
      <c r="N199" s="10"/>
    </row>
    <row r="200">
      <c r="A200" s="704" t="s">
        <v>20885</v>
      </c>
      <c r="B200" s="134">
        <v>6133.0</v>
      </c>
      <c r="C200" s="297" t="s">
        <v>20580</v>
      </c>
      <c r="D200" s="723">
        <v>0.85</v>
      </c>
      <c r="E200" s="723">
        <v>0.85</v>
      </c>
      <c r="F200" s="348" t="s">
        <v>1656</v>
      </c>
      <c r="G200" s="10"/>
      <c r="H200" s="732" t="s">
        <v>20885</v>
      </c>
      <c r="I200" s="717">
        <v>6133.0</v>
      </c>
      <c r="J200" s="10"/>
      <c r="K200" s="10">
        <f t="shared" si="1"/>
        <v>1</v>
      </c>
      <c r="L200" s="10"/>
      <c r="M200" s="10"/>
      <c r="N200" s="10"/>
    </row>
    <row r="201">
      <c r="A201" s="704" t="s">
        <v>20886</v>
      </c>
      <c r="B201" s="134">
        <v>2207.0</v>
      </c>
      <c r="C201" s="297" t="s">
        <v>20580</v>
      </c>
      <c r="D201" s="715">
        <v>0.8</v>
      </c>
      <c r="E201" s="715">
        <v>0.8</v>
      </c>
      <c r="F201" s="348" t="s">
        <v>1656</v>
      </c>
      <c r="G201" s="10"/>
      <c r="H201" s="732" t="s">
        <v>20886</v>
      </c>
      <c r="I201" s="717">
        <v>2207.0</v>
      </c>
      <c r="J201" s="10"/>
      <c r="K201" s="10" t="str">
        <f t="shared" si="1"/>
        <v>#N/A</v>
      </c>
      <c r="L201" s="10"/>
      <c r="M201" s="10"/>
      <c r="N201" s="10"/>
    </row>
    <row r="202">
      <c r="A202" s="704" t="s">
        <v>20887</v>
      </c>
      <c r="B202" s="134">
        <v>6675.0</v>
      </c>
      <c r="C202" s="297" t="s">
        <v>20580</v>
      </c>
      <c r="D202" s="723">
        <v>0.9</v>
      </c>
      <c r="E202" s="723">
        <v>0.9</v>
      </c>
      <c r="F202" s="348" t="s">
        <v>1656</v>
      </c>
      <c r="G202" s="10"/>
      <c r="H202" s="732" t="s">
        <v>20887</v>
      </c>
      <c r="I202" s="717">
        <v>6675.0</v>
      </c>
      <c r="J202" s="10"/>
      <c r="K202" s="10" t="str">
        <f t="shared" si="1"/>
        <v>#N/A</v>
      </c>
      <c r="L202" s="10"/>
      <c r="M202" s="10"/>
      <c r="N202" s="10"/>
    </row>
    <row r="203">
      <c r="A203" s="704">
        <v>465.0</v>
      </c>
      <c r="B203" s="134">
        <v>7183.0</v>
      </c>
      <c r="C203" s="297" t="s">
        <v>20580</v>
      </c>
      <c r="D203" s="715">
        <v>0.8</v>
      </c>
      <c r="E203" s="715">
        <v>0.8</v>
      </c>
      <c r="F203" s="348" t="s">
        <v>1656</v>
      </c>
      <c r="G203" s="10"/>
      <c r="H203" s="732">
        <v>465.0</v>
      </c>
      <c r="I203" s="717">
        <v>7183.0</v>
      </c>
      <c r="J203" s="10"/>
      <c r="K203" s="10" t="str">
        <f t="shared" si="1"/>
        <v>#N/A</v>
      </c>
      <c r="L203" s="10"/>
      <c r="M203" s="10"/>
      <c r="N203" s="10"/>
    </row>
    <row r="204">
      <c r="A204" s="704" t="s">
        <v>20888</v>
      </c>
      <c r="B204" s="134">
        <v>7186.0</v>
      </c>
      <c r="C204" s="297" t="s">
        <v>20580</v>
      </c>
      <c r="D204" s="715">
        <v>0.8</v>
      </c>
      <c r="E204" s="715">
        <v>0.8</v>
      </c>
      <c r="F204" s="348" t="s">
        <v>1656</v>
      </c>
      <c r="G204" s="10"/>
      <c r="H204" s="732" t="s">
        <v>20888</v>
      </c>
      <c r="I204" s="717">
        <v>7186.0</v>
      </c>
      <c r="J204" s="10"/>
      <c r="K204" s="10" t="str">
        <f t="shared" si="1"/>
        <v>#N/A</v>
      </c>
      <c r="L204" s="10"/>
      <c r="M204" s="10"/>
      <c r="N204" s="10"/>
    </row>
    <row r="205">
      <c r="A205" s="704" t="s">
        <v>4888</v>
      </c>
      <c r="B205" s="134">
        <v>7055.0</v>
      </c>
      <c r="C205" s="297" t="s">
        <v>20580</v>
      </c>
      <c r="D205" s="715">
        <v>0.8</v>
      </c>
      <c r="E205" s="715">
        <v>0.8</v>
      </c>
      <c r="F205" s="348" t="s">
        <v>1656</v>
      </c>
      <c r="G205" s="10"/>
      <c r="H205" s="732" t="s">
        <v>4888</v>
      </c>
      <c r="I205" s="717">
        <v>7055.0</v>
      </c>
      <c r="J205" s="9">
        <v>3231.0</v>
      </c>
      <c r="K205" s="10" t="str">
        <f t="shared" si="1"/>
        <v>#N/A</v>
      </c>
      <c r="L205" s="10"/>
      <c r="M205" s="10"/>
      <c r="N205" s="10"/>
    </row>
    <row r="206">
      <c r="A206" s="704" t="s">
        <v>20889</v>
      </c>
      <c r="B206" s="134">
        <v>6732.0</v>
      </c>
      <c r="C206" s="297" t="s">
        <v>20580</v>
      </c>
      <c r="D206" s="723">
        <v>0.85</v>
      </c>
      <c r="E206" s="723">
        <v>0.85</v>
      </c>
      <c r="F206" s="348" t="s">
        <v>1656</v>
      </c>
      <c r="G206" s="10"/>
      <c r="H206" s="732" t="s">
        <v>20889</v>
      </c>
      <c r="I206" s="717">
        <v>6732.0</v>
      </c>
      <c r="J206" s="10"/>
      <c r="K206" s="10" t="str">
        <f t="shared" si="1"/>
        <v>#N/A</v>
      </c>
      <c r="L206" s="10"/>
      <c r="M206" s="10"/>
      <c r="N206" s="10"/>
    </row>
    <row r="207">
      <c r="A207" s="704" t="s">
        <v>20890</v>
      </c>
      <c r="B207" s="134">
        <v>6133.0</v>
      </c>
      <c r="C207" s="297" t="s">
        <v>20580</v>
      </c>
      <c r="D207" s="723">
        <v>0.85</v>
      </c>
      <c r="E207" s="723">
        <v>0.85</v>
      </c>
      <c r="F207" s="348" t="s">
        <v>1656</v>
      </c>
      <c r="G207" s="10"/>
      <c r="H207" s="732" t="s">
        <v>20890</v>
      </c>
      <c r="I207" s="717">
        <v>6133.0</v>
      </c>
      <c r="J207" s="10"/>
      <c r="K207" s="10" t="str">
        <f t="shared" si="1"/>
        <v>#N/A</v>
      </c>
      <c r="L207" s="10"/>
      <c r="M207" s="10"/>
      <c r="N207" s="10"/>
    </row>
    <row r="208">
      <c r="A208" s="704" t="s">
        <v>20891</v>
      </c>
      <c r="B208" s="134">
        <v>6133.0</v>
      </c>
      <c r="C208" s="297" t="s">
        <v>20580</v>
      </c>
      <c r="D208" s="723">
        <v>0.85</v>
      </c>
      <c r="E208" s="723">
        <v>0.85</v>
      </c>
      <c r="F208" s="348" t="s">
        <v>1656</v>
      </c>
      <c r="G208" s="10"/>
      <c r="H208" s="732" t="s">
        <v>20891</v>
      </c>
      <c r="I208" s="717">
        <v>6133.0</v>
      </c>
      <c r="J208" s="10"/>
      <c r="K208" s="10" t="str">
        <f t="shared" si="1"/>
        <v>#N/A</v>
      </c>
      <c r="L208" s="10"/>
      <c r="M208" s="10"/>
      <c r="N208" s="10"/>
    </row>
    <row r="209">
      <c r="A209" s="704" t="s">
        <v>20892</v>
      </c>
      <c r="B209" s="134">
        <v>6732.0</v>
      </c>
      <c r="C209" s="297" t="s">
        <v>20580</v>
      </c>
      <c r="D209" s="723">
        <v>0.85</v>
      </c>
      <c r="E209" s="723">
        <v>0.85</v>
      </c>
      <c r="F209" s="348" t="s">
        <v>1656</v>
      </c>
      <c r="G209" s="10"/>
      <c r="H209" s="732" t="s">
        <v>20892</v>
      </c>
      <c r="I209" s="717">
        <v>6732.0</v>
      </c>
      <c r="J209" s="10"/>
      <c r="K209" s="10" t="str">
        <f t="shared" si="1"/>
        <v>#N/A</v>
      </c>
      <c r="L209" s="10"/>
      <c r="M209" s="10"/>
      <c r="N209" s="10"/>
    </row>
    <row r="210">
      <c r="A210" s="704" t="s">
        <v>20893</v>
      </c>
      <c r="B210" s="134">
        <v>986.0</v>
      </c>
      <c r="C210" s="297" t="s">
        <v>20580</v>
      </c>
      <c r="D210" s="715">
        <v>0.8</v>
      </c>
      <c r="E210" s="715">
        <v>0.8</v>
      </c>
      <c r="F210" s="348" t="s">
        <v>1656</v>
      </c>
      <c r="G210" s="10"/>
      <c r="H210" s="732" t="s">
        <v>20893</v>
      </c>
      <c r="I210" s="717">
        <v>986.0</v>
      </c>
      <c r="J210" s="10"/>
      <c r="K210" s="10" t="str">
        <f t="shared" si="1"/>
        <v>#N/A</v>
      </c>
      <c r="L210" s="10"/>
      <c r="M210" s="10"/>
      <c r="N210" s="10"/>
    </row>
    <row r="211">
      <c r="A211" s="704" t="s">
        <v>20894</v>
      </c>
      <c r="B211" s="134">
        <v>2207.0</v>
      </c>
      <c r="C211" s="297" t="s">
        <v>20580</v>
      </c>
      <c r="D211" s="715">
        <v>0.8</v>
      </c>
      <c r="E211" s="715">
        <v>0.8</v>
      </c>
      <c r="F211" s="348" t="s">
        <v>1656</v>
      </c>
      <c r="G211" s="10"/>
      <c r="H211" s="732" t="s">
        <v>20894</v>
      </c>
      <c r="I211" s="717">
        <v>2207.0</v>
      </c>
      <c r="J211" s="10"/>
      <c r="K211" s="10" t="str">
        <f t="shared" si="1"/>
        <v>#N/A</v>
      </c>
      <c r="L211" s="10"/>
      <c r="M211" s="10"/>
      <c r="N211" s="10"/>
    </row>
    <row r="212">
      <c r="A212" s="704" t="s">
        <v>20895</v>
      </c>
      <c r="B212" s="134">
        <v>2345.0</v>
      </c>
      <c r="C212" s="297" t="s">
        <v>20580</v>
      </c>
      <c r="D212" s="723">
        <v>0.9</v>
      </c>
      <c r="E212" s="723">
        <v>0.9</v>
      </c>
      <c r="F212" s="348" t="s">
        <v>1656</v>
      </c>
      <c r="G212" s="10"/>
      <c r="H212" s="732" t="s">
        <v>20895</v>
      </c>
      <c r="I212" s="717">
        <v>2345.0</v>
      </c>
      <c r="J212" s="10"/>
      <c r="K212" s="10">
        <f t="shared" si="1"/>
        <v>1</v>
      </c>
      <c r="L212" s="10"/>
      <c r="M212" s="10"/>
      <c r="N212" s="10"/>
    </row>
    <row r="213">
      <c r="A213" s="704" t="s">
        <v>20896</v>
      </c>
      <c r="B213" s="134">
        <v>2345.0</v>
      </c>
      <c r="C213" s="297" t="s">
        <v>20580</v>
      </c>
      <c r="D213" s="723">
        <v>0.9</v>
      </c>
      <c r="E213" s="723">
        <v>0.9</v>
      </c>
      <c r="F213" s="348" t="s">
        <v>1656</v>
      </c>
      <c r="G213" s="10"/>
      <c r="H213" s="732" t="s">
        <v>20896</v>
      </c>
      <c r="I213" s="717">
        <v>2345.0</v>
      </c>
      <c r="J213" s="10"/>
      <c r="K213" s="10" t="str">
        <f t="shared" si="1"/>
        <v>#N/A</v>
      </c>
      <c r="L213" s="10"/>
      <c r="M213" s="10"/>
      <c r="N213" s="10"/>
    </row>
    <row r="214">
      <c r="A214" s="704" t="s">
        <v>20897</v>
      </c>
      <c r="B214" s="134">
        <v>2345.0</v>
      </c>
      <c r="C214" s="297" t="s">
        <v>20580</v>
      </c>
      <c r="D214" s="723">
        <v>0.9</v>
      </c>
      <c r="E214" s="723">
        <v>0.9</v>
      </c>
      <c r="F214" s="348" t="s">
        <v>1656</v>
      </c>
      <c r="G214" s="10"/>
      <c r="H214" s="732" t="s">
        <v>20897</v>
      </c>
      <c r="I214" s="717">
        <v>2345.0</v>
      </c>
      <c r="J214" s="10"/>
      <c r="K214" s="10">
        <f t="shared" si="1"/>
        <v>1</v>
      </c>
      <c r="L214" s="10"/>
      <c r="M214" s="10"/>
      <c r="N214" s="10"/>
    </row>
    <row r="215">
      <c r="A215" s="704" t="s">
        <v>20898</v>
      </c>
      <c r="B215" s="134">
        <v>2345.0</v>
      </c>
      <c r="C215" s="297" t="s">
        <v>20580</v>
      </c>
      <c r="D215" s="723">
        <v>0.9</v>
      </c>
      <c r="E215" s="723">
        <v>0.9</v>
      </c>
      <c r="F215" s="348" t="s">
        <v>1656</v>
      </c>
      <c r="G215" s="10"/>
      <c r="H215" s="732" t="s">
        <v>20898</v>
      </c>
      <c r="I215" s="717">
        <v>2345.0</v>
      </c>
      <c r="J215" s="10"/>
      <c r="K215" s="10" t="str">
        <f t="shared" si="1"/>
        <v>#N/A</v>
      </c>
      <c r="L215" s="10"/>
      <c r="M215" s="10"/>
      <c r="N215" s="10"/>
    </row>
    <row r="216">
      <c r="A216" s="704" t="s">
        <v>20899</v>
      </c>
      <c r="B216" s="134">
        <v>2345.0</v>
      </c>
      <c r="C216" s="297" t="s">
        <v>20580</v>
      </c>
      <c r="D216" s="723">
        <v>0.9</v>
      </c>
      <c r="E216" s="723">
        <v>0.9</v>
      </c>
      <c r="F216" s="348" t="s">
        <v>1656</v>
      </c>
      <c r="G216" s="10"/>
      <c r="H216" s="732" t="s">
        <v>20899</v>
      </c>
      <c r="I216" s="717">
        <v>2345.0</v>
      </c>
      <c r="J216" s="10"/>
      <c r="K216" s="10" t="str">
        <f t="shared" si="1"/>
        <v>#N/A</v>
      </c>
      <c r="L216" s="10"/>
      <c r="M216" s="10"/>
      <c r="N216" s="10"/>
    </row>
    <row r="217">
      <c r="A217" s="704" t="s">
        <v>20900</v>
      </c>
      <c r="B217" s="134">
        <v>2345.0</v>
      </c>
      <c r="C217" s="297" t="s">
        <v>20580</v>
      </c>
      <c r="D217" s="723">
        <v>0.9</v>
      </c>
      <c r="E217" s="723">
        <v>0.9</v>
      </c>
      <c r="F217" s="348" t="s">
        <v>1656</v>
      </c>
      <c r="G217" s="10"/>
      <c r="H217" s="732" t="s">
        <v>20900</v>
      </c>
      <c r="I217" s="717">
        <v>2345.0</v>
      </c>
      <c r="J217" s="10"/>
      <c r="K217" s="10" t="str">
        <f t="shared" si="1"/>
        <v>#N/A</v>
      </c>
      <c r="L217" s="10"/>
      <c r="M217" s="10"/>
      <c r="N217" s="10"/>
    </row>
    <row r="218">
      <c r="A218" s="141" t="s">
        <v>20901</v>
      </c>
      <c r="B218" s="297">
        <v>7747.0</v>
      </c>
      <c r="C218" s="297" t="s">
        <v>20580</v>
      </c>
      <c r="D218" s="715">
        <v>0.8</v>
      </c>
      <c r="E218" s="715">
        <v>0.8</v>
      </c>
      <c r="F218" s="348" t="s">
        <v>1656</v>
      </c>
      <c r="G218" s="10"/>
      <c r="H218" s="141" t="s">
        <v>20901</v>
      </c>
      <c r="I218" s="9"/>
      <c r="J218" s="9">
        <v>6557.0</v>
      </c>
      <c r="K218" s="10" t="str">
        <f t="shared" si="1"/>
        <v>#N/A</v>
      </c>
      <c r="L218" s="10"/>
      <c r="M218" s="10"/>
      <c r="N218" s="10"/>
    </row>
    <row r="219">
      <c r="A219" s="704" t="s">
        <v>5637</v>
      </c>
      <c r="B219" s="134">
        <v>6133.0</v>
      </c>
      <c r="C219" s="297" t="s">
        <v>20580</v>
      </c>
      <c r="D219" s="723">
        <v>0.85</v>
      </c>
      <c r="E219" s="723">
        <v>0.85</v>
      </c>
      <c r="F219" s="348" t="s">
        <v>1656</v>
      </c>
      <c r="G219" s="10"/>
      <c r="H219" s="732" t="s">
        <v>5637</v>
      </c>
      <c r="I219" s="717">
        <v>6133.0</v>
      </c>
      <c r="J219" s="10"/>
      <c r="K219" s="10" t="str">
        <f t="shared" si="1"/>
        <v>#N/A</v>
      </c>
      <c r="L219" s="10"/>
      <c r="M219" s="10"/>
      <c r="N219" s="10"/>
    </row>
    <row r="220">
      <c r="A220" s="704" t="s">
        <v>20902</v>
      </c>
      <c r="B220" s="134">
        <v>6732.0</v>
      </c>
      <c r="C220" s="297" t="s">
        <v>20580</v>
      </c>
      <c r="D220" s="723">
        <v>0.85</v>
      </c>
      <c r="E220" s="723">
        <v>0.85</v>
      </c>
      <c r="F220" s="348" t="s">
        <v>1656</v>
      </c>
      <c r="G220" s="10"/>
      <c r="H220" s="732" t="s">
        <v>20902</v>
      </c>
      <c r="I220" s="717">
        <v>6732.0</v>
      </c>
      <c r="J220" s="10"/>
      <c r="K220" s="10" t="str">
        <f t="shared" si="1"/>
        <v>#N/A</v>
      </c>
      <c r="L220" s="10"/>
      <c r="M220" s="10"/>
      <c r="N220" s="10"/>
    </row>
    <row r="221">
      <c r="A221" s="704" t="s">
        <v>20903</v>
      </c>
      <c r="B221" s="134">
        <v>6732.0</v>
      </c>
      <c r="C221" s="297" t="s">
        <v>20580</v>
      </c>
      <c r="D221" s="723">
        <v>0.85</v>
      </c>
      <c r="E221" s="723">
        <v>0.85</v>
      </c>
      <c r="F221" s="348" t="s">
        <v>1656</v>
      </c>
      <c r="G221" s="10"/>
      <c r="H221" s="732" t="s">
        <v>20903</v>
      </c>
      <c r="I221" s="717">
        <v>6732.0</v>
      </c>
      <c r="J221" s="10"/>
      <c r="K221" s="10" t="str">
        <f t="shared" si="1"/>
        <v>#N/A</v>
      </c>
      <c r="L221" s="10"/>
      <c r="M221" s="10"/>
      <c r="N221" s="10"/>
    </row>
    <row r="222">
      <c r="A222" s="704" t="s">
        <v>20904</v>
      </c>
      <c r="B222" s="134">
        <v>6658.0</v>
      </c>
      <c r="C222" s="297" t="s">
        <v>20580</v>
      </c>
      <c r="D222" s="723">
        <v>0.85</v>
      </c>
      <c r="E222" s="723">
        <v>0.85</v>
      </c>
      <c r="F222" s="348" t="s">
        <v>1656</v>
      </c>
      <c r="G222" s="10"/>
      <c r="H222" s="732" t="s">
        <v>20904</v>
      </c>
      <c r="I222" s="717">
        <v>6658.0</v>
      </c>
      <c r="J222" s="9">
        <v>411.0</v>
      </c>
      <c r="K222" s="10" t="str">
        <f t="shared" si="1"/>
        <v>#N/A</v>
      </c>
      <c r="L222" s="10"/>
      <c r="M222" s="10"/>
      <c r="N222" s="10"/>
    </row>
    <row r="223">
      <c r="A223" s="141" t="s">
        <v>20905</v>
      </c>
      <c r="B223" s="297">
        <v>7083.0</v>
      </c>
      <c r="C223" s="297" t="s">
        <v>20580</v>
      </c>
      <c r="D223" s="715">
        <v>0.8</v>
      </c>
      <c r="E223" s="715">
        <v>0.8</v>
      </c>
      <c r="F223" s="348" t="s">
        <v>1656</v>
      </c>
      <c r="G223" s="10"/>
      <c r="H223" s="141" t="s">
        <v>20905</v>
      </c>
      <c r="I223" s="9">
        <v>7083.0</v>
      </c>
      <c r="J223" s="9">
        <v>411.0</v>
      </c>
      <c r="K223" s="10" t="str">
        <f t="shared" si="1"/>
        <v>#N/A</v>
      </c>
      <c r="L223" s="10"/>
      <c r="M223" s="10"/>
      <c r="N223" s="10"/>
    </row>
    <row r="224">
      <c r="A224" s="704" t="s">
        <v>20906</v>
      </c>
      <c r="B224" s="134">
        <v>6658.0</v>
      </c>
      <c r="C224" s="297" t="s">
        <v>20580</v>
      </c>
      <c r="D224" s="723">
        <v>0.85</v>
      </c>
      <c r="E224" s="723">
        <v>0.85</v>
      </c>
      <c r="F224" s="348" t="s">
        <v>1656</v>
      </c>
      <c r="G224" s="10"/>
      <c r="H224" s="732" t="s">
        <v>20906</v>
      </c>
      <c r="I224" s="717">
        <v>6658.0</v>
      </c>
      <c r="J224" s="9">
        <v>411.0</v>
      </c>
      <c r="K224" s="10" t="str">
        <f t="shared" si="1"/>
        <v>#N/A</v>
      </c>
      <c r="L224" s="10"/>
      <c r="M224" s="10"/>
      <c r="N224" s="10"/>
    </row>
    <row r="225">
      <c r="A225" s="704" t="s">
        <v>20907</v>
      </c>
      <c r="B225" s="134">
        <v>5421.0</v>
      </c>
      <c r="C225" s="297" t="s">
        <v>20580</v>
      </c>
      <c r="D225" s="715">
        <v>0.8</v>
      </c>
      <c r="E225" s="715">
        <v>0.8</v>
      </c>
      <c r="F225" s="348" t="s">
        <v>1656</v>
      </c>
      <c r="G225" s="10"/>
      <c r="H225" s="732" t="s">
        <v>20907</v>
      </c>
      <c r="I225" s="717">
        <v>5421.0</v>
      </c>
      <c r="J225" s="10"/>
      <c r="K225" s="10" t="str">
        <f t="shared" si="1"/>
        <v>#N/A</v>
      </c>
      <c r="L225" s="10"/>
      <c r="M225" s="10"/>
      <c r="N225" s="10"/>
    </row>
    <row r="226">
      <c r="A226" s="704" t="s">
        <v>3786</v>
      </c>
      <c r="B226" s="134">
        <v>5421.0</v>
      </c>
      <c r="C226" s="297" t="s">
        <v>20580</v>
      </c>
      <c r="D226" s="715">
        <v>0.8</v>
      </c>
      <c r="E226" s="715">
        <v>0.8</v>
      </c>
      <c r="F226" s="348" t="s">
        <v>1656</v>
      </c>
      <c r="G226" s="10"/>
      <c r="H226" s="732" t="s">
        <v>3786</v>
      </c>
      <c r="I226" s="717">
        <v>5421.0</v>
      </c>
      <c r="J226" s="10"/>
      <c r="K226" s="10">
        <f t="shared" si="1"/>
        <v>1</v>
      </c>
      <c r="L226" s="10"/>
      <c r="M226" s="10"/>
      <c r="N226" s="10"/>
    </row>
    <row r="227">
      <c r="A227" s="704" t="s">
        <v>20908</v>
      </c>
      <c r="B227" s="134">
        <v>5421.0</v>
      </c>
      <c r="C227" s="297" t="s">
        <v>20580</v>
      </c>
      <c r="D227" s="715">
        <v>0.8</v>
      </c>
      <c r="E227" s="715">
        <v>0.8</v>
      </c>
      <c r="F227" s="348" t="s">
        <v>1656</v>
      </c>
      <c r="G227" s="10"/>
      <c r="H227" s="732" t="s">
        <v>20908</v>
      </c>
      <c r="I227" s="717">
        <v>5421.0</v>
      </c>
      <c r="J227" s="10"/>
      <c r="K227" s="10">
        <f t="shared" si="1"/>
        <v>1</v>
      </c>
      <c r="L227" s="10"/>
      <c r="M227" s="10"/>
      <c r="N227" s="10"/>
    </row>
    <row r="228">
      <c r="A228" s="704" t="s">
        <v>20909</v>
      </c>
      <c r="B228" s="134">
        <v>5421.0</v>
      </c>
      <c r="C228" s="297" t="s">
        <v>20580</v>
      </c>
      <c r="D228" s="715">
        <v>0.8</v>
      </c>
      <c r="E228" s="715">
        <v>0.8</v>
      </c>
      <c r="F228" s="348" t="s">
        <v>1656</v>
      </c>
      <c r="G228" s="10"/>
      <c r="H228" s="732" t="s">
        <v>20909</v>
      </c>
      <c r="I228" s="717">
        <v>5421.0</v>
      </c>
      <c r="J228" s="10"/>
      <c r="K228" s="10">
        <f t="shared" si="1"/>
        <v>1</v>
      </c>
      <c r="L228" s="10"/>
      <c r="M228" s="10"/>
      <c r="N228" s="10"/>
    </row>
    <row r="229">
      <c r="A229" s="704" t="s">
        <v>20910</v>
      </c>
      <c r="B229" s="134">
        <v>5421.0</v>
      </c>
      <c r="C229" s="297" t="s">
        <v>20580</v>
      </c>
      <c r="D229" s="715">
        <v>0.8</v>
      </c>
      <c r="E229" s="715">
        <v>0.8</v>
      </c>
      <c r="F229" s="348" t="s">
        <v>1656</v>
      </c>
      <c r="G229" s="10"/>
      <c r="H229" s="732" t="s">
        <v>20910</v>
      </c>
      <c r="I229" s="717">
        <v>5421.0</v>
      </c>
      <c r="J229" s="10"/>
      <c r="K229" s="10">
        <f t="shared" si="1"/>
        <v>1</v>
      </c>
      <c r="L229" s="10"/>
      <c r="M229" s="10"/>
      <c r="N229" s="10"/>
    </row>
    <row r="230">
      <c r="A230" s="704" t="s">
        <v>20911</v>
      </c>
      <c r="B230" s="134">
        <v>5421.0</v>
      </c>
      <c r="C230" s="297" t="s">
        <v>20580</v>
      </c>
      <c r="D230" s="715">
        <v>0.8</v>
      </c>
      <c r="E230" s="715">
        <v>0.8</v>
      </c>
      <c r="F230" s="348" t="s">
        <v>1656</v>
      </c>
      <c r="G230" s="10"/>
      <c r="H230" s="732" t="s">
        <v>20911</v>
      </c>
      <c r="I230" s="717">
        <v>5421.0</v>
      </c>
      <c r="J230" s="10"/>
      <c r="K230" s="10">
        <f t="shared" si="1"/>
        <v>1</v>
      </c>
      <c r="L230" s="10"/>
      <c r="M230" s="10"/>
      <c r="N230" s="10"/>
    </row>
    <row r="231">
      <c r="A231" s="704" t="s">
        <v>20912</v>
      </c>
      <c r="B231" s="134">
        <v>5421.0</v>
      </c>
      <c r="C231" s="297" t="s">
        <v>20580</v>
      </c>
      <c r="D231" s="715">
        <v>0.8</v>
      </c>
      <c r="E231" s="715">
        <v>0.8</v>
      </c>
      <c r="F231" s="348" t="s">
        <v>1656</v>
      </c>
      <c r="G231" s="10"/>
      <c r="H231" s="732" t="s">
        <v>20912</v>
      </c>
      <c r="I231" s="717">
        <v>5421.0</v>
      </c>
      <c r="J231" s="10"/>
      <c r="K231" s="10">
        <f t="shared" si="1"/>
        <v>1</v>
      </c>
      <c r="L231" s="10"/>
      <c r="M231" s="10"/>
      <c r="N231" s="10"/>
    </row>
    <row r="232">
      <c r="A232" s="704" t="s">
        <v>20913</v>
      </c>
      <c r="B232" s="134">
        <v>5421.0</v>
      </c>
      <c r="C232" s="297" t="s">
        <v>20580</v>
      </c>
      <c r="D232" s="715">
        <v>0.8</v>
      </c>
      <c r="E232" s="715">
        <v>0.8</v>
      </c>
      <c r="F232" s="348" t="s">
        <v>1656</v>
      </c>
      <c r="G232" s="10"/>
      <c r="H232" s="732" t="s">
        <v>20913</v>
      </c>
      <c r="I232" s="717">
        <v>5421.0</v>
      </c>
      <c r="J232" s="10"/>
      <c r="K232" s="10">
        <f t="shared" si="1"/>
        <v>1</v>
      </c>
      <c r="L232" s="10"/>
      <c r="M232" s="10"/>
      <c r="N232" s="10"/>
    </row>
    <row r="233">
      <c r="A233" s="704" t="s">
        <v>20914</v>
      </c>
      <c r="B233" s="134">
        <v>5421.0</v>
      </c>
      <c r="C233" s="297" t="s">
        <v>20580</v>
      </c>
      <c r="D233" s="715">
        <v>0.8</v>
      </c>
      <c r="E233" s="715">
        <v>0.8</v>
      </c>
      <c r="F233" s="348" t="s">
        <v>1656</v>
      </c>
      <c r="G233" s="10"/>
      <c r="H233" s="732" t="s">
        <v>20914</v>
      </c>
      <c r="I233" s="717">
        <v>5421.0</v>
      </c>
      <c r="J233" s="10"/>
      <c r="K233" s="10">
        <f t="shared" si="1"/>
        <v>1</v>
      </c>
      <c r="L233" s="10"/>
      <c r="M233" s="10"/>
      <c r="N233" s="10"/>
    </row>
    <row r="234">
      <c r="A234" s="704" t="s">
        <v>20915</v>
      </c>
      <c r="B234" s="134">
        <v>5421.0</v>
      </c>
      <c r="C234" s="297" t="s">
        <v>20580</v>
      </c>
      <c r="D234" s="715">
        <v>0.8</v>
      </c>
      <c r="E234" s="715">
        <v>0.8</v>
      </c>
      <c r="F234" s="348" t="s">
        <v>1656</v>
      </c>
      <c r="G234" s="10"/>
      <c r="H234" s="732" t="s">
        <v>20915</v>
      </c>
      <c r="I234" s="717">
        <v>5421.0</v>
      </c>
      <c r="J234" s="10"/>
      <c r="K234" s="10">
        <f t="shared" si="1"/>
        <v>1</v>
      </c>
      <c r="L234" s="10"/>
      <c r="M234" s="10"/>
      <c r="N234" s="10"/>
    </row>
    <row r="235">
      <c r="A235" s="704" t="s">
        <v>20916</v>
      </c>
      <c r="B235" s="134">
        <v>5421.0</v>
      </c>
      <c r="C235" s="297" t="s">
        <v>20580</v>
      </c>
      <c r="D235" s="715">
        <v>0.8</v>
      </c>
      <c r="E235" s="715">
        <v>0.8</v>
      </c>
      <c r="F235" s="348" t="s">
        <v>1656</v>
      </c>
      <c r="G235" s="10"/>
      <c r="H235" s="732" t="s">
        <v>20916</v>
      </c>
      <c r="I235" s="717">
        <v>5421.0</v>
      </c>
      <c r="J235" s="10"/>
      <c r="K235" s="10">
        <f t="shared" si="1"/>
        <v>1</v>
      </c>
      <c r="L235" s="10"/>
      <c r="M235" s="10"/>
      <c r="N235" s="10"/>
    </row>
    <row r="236">
      <c r="A236" s="704" t="s">
        <v>20917</v>
      </c>
      <c r="B236" s="134">
        <v>5421.0</v>
      </c>
      <c r="C236" s="297" t="s">
        <v>20580</v>
      </c>
      <c r="D236" s="715">
        <v>0.8</v>
      </c>
      <c r="E236" s="715">
        <v>0.8</v>
      </c>
      <c r="F236" s="348" t="s">
        <v>1656</v>
      </c>
      <c r="G236" s="10"/>
      <c r="H236" s="732" t="s">
        <v>20917</v>
      </c>
      <c r="I236" s="717">
        <v>5421.0</v>
      </c>
      <c r="J236" s="10"/>
      <c r="K236" s="10">
        <f t="shared" si="1"/>
        <v>1</v>
      </c>
      <c r="L236" s="10"/>
      <c r="M236" s="10"/>
      <c r="N236" s="10"/>
    </row>
    <row r="237">
      <c r="A237" s="736">
        <v>800000.0</v>
      </c>
      <c r="B237" s="307"/>
      <c r="C237" s="297" t="s">
        <v>20580</v>
      </c>
      <c r="D237" s="715">
        <v>0.8</v>
      </c>
      <c r="E237" s="715">
        <v>0.8</v>
      </c>
      <c r="F237" s="348" t="s">
        <v>1656</v>
      </c>
      <c r="G237" s="10"/>
      <c r="H237" s="736">
        <v>800000.0</v>
      </c>
      <c r="I237" s="10"/>
      <c r="J237" s="10"/>
      <c r="K237" s="10" t="str">
        <f t="shared" si="1"/>
        <v>#N/A</v>
      </c>
      <c r="L237" s="10"/>
      <c r="M237" s="10"/>
      <c r="N237" s="10"/>
    </row>
    <row r="238">
      <c r="A238" s="704" t="s">
        <v>20918</v>
      </c>
      <c r="B238" s="134">
        <v>2345.0</v>
      </c>
      <c r="C238" s="297" t="s">
        <v>20580</v>
      </c>
      <c r="D238" s="723">
        <v>0.9</v>
      </c>
      <c r="E238" s="723">
        <v>0.9</v>
      </c>
      <c r="F238" s="348" t="s">
        <v>1656</v>
      </c>
      <c r="G238" s="10"/>
      <c r="H238" s="732" t="s">
        <v>20918</v>
      </c>
      <c r="I238" s="717">
        <v>2345.0</v>
      </c>
      <c r="J238" s="10"/>
      <c r="K238" s="10">
        <f t="shared" si="1"/>
        <v>1</v>
      </c>
      <c r="L238" s="10"/>
      <c r="M238" s="10"/>
      <c r="N238" s="10"/>
    </row>
    <row r="239">
      <c r="A239" s="704" t="s">
        <v>20919</v>
      </c>
      <c r="B239" s="134">
        <v>5458.0</v>
      </c>
      <c r="C239" s="297" t="s">
        <v>20580</v>
      </c>
      <c r="D239" s="723">
        <v>0.85</v>
      </c>
      <c r="E239" s="723">
        <v>0.85</v>
      </c>
      <c r="F239" s="348" t="s">
        <v>1656</v>
      </c>
      <c r="G239" s="10"/>
      <c r="H239" s="732" t="s">
        <v>20919</v>
      </c>
      <c r="I239" s="717">
        <v>5458.0</v>
      </c>
      <c r="J239" s="10"/>
      <c r="K239" s="10" t="str">
        <f t="shared" si="1"/>
        <v>#N/A</v>
      </c>
      <c r="L239" s="10"/>
      <c r="M239" s="10"/>
      <c r="N239" s="10"/>
    </row>
    <row r="240">
      <c r="A240" s="704" t="s">
        <v>20920</v>
      </c>
      <c r="B240" s="134">
        <v>2345.0</v>
      </c>
      <c r="C240" s="297" t="s">
        <v>20580</v>
      </c>
      <c r="D240" s="723">
        <v>0.9</v>
      </c>
      <c r="E240" s="723">
        <v>0.9</v>
      </c>
      <c r="F240" s="348" t="s">
        <v>1656</v>
      </c>
      <c r="G240" s="10"/>
      <c r="H240" s="732" t="s">
        <v>20920</v>
      </c>
      <c r="I240" s="717">
        <v>2345.0</v>
      </c>
      <c r="J240" s="10"/>
      <c r="K240" s="10" t="str">
        <f t="shared" si="1"/>
        <v>#N/A</v>
      </c>
      <c r="L240" s="10"/>
      <c r="M240" s="10"/>
      <c r="N240" s="10"/>
    </row>
    <row r="241">
      <c r="A241" s="704" t="s">
        <v>20921</v>
      </c>
      <c r="B241" s="134">
        <v>2345.0</v>
      </c>
      <c r="C241" s="297" t="s">
        <v>20580</v>
      </c>
      <c r="D241" s="723">
        <v>0.9</v>
      </c>
      <c r="E241" s="723">
        <v>0.9</v>
      </c>
      <c r="F241" s="348" t="s">
        <v>1656</v>
      </c>
      <c r="G241" s="10"/>
      <c r="H241" s="732" t="s">
        <v>20921</v>
      </c>
      <c r="I241" s="717">
        <v>2345.0</v>
      </c>
      <c r="J241" s="10"/>
      <c r="K241" s="10" t="str">
        <f t="shared" si="1"/>
        <v>#N/A</v>
      </c>
      <c r="L241" s="10"/>
      <c r="M241" s="10"/>
      <c r="N241" s="10"/>
    </row>
    <row r="242">
      <c r="A242" s="704" t="s">
        <v>20922</v>
      </c>
      <c r="B242" s="134">
        <v>2345.0</v>
      </c>
      <c r="C242" s="297" t="s">
        <v>20580</v>
      </c>
      <c r="D242" s="723">
        <v>0.9</v>
      </c>
      <c r="E242" s="723">
        <v>0.9</v>
      </c>
      <c r="F242" s="348" t="s">
        <v>1656</v>
      </c>
      <c r="G242" s="10"/>
      <c r="H242" s="732" t="s">
        <v>20922</v>
      </c>
      <c r="I242" s="717">
        <v>2345.0</v>
      </c>
      <c r="J242" s="10"/>
      <c r="K242" s="10" t="str">
        <f t="shared" si="1"/>
        <v>#N/A</v>
      </c>
      <c r="L242" s="10"/>
      <c r="M242" s="10"/>
      <c r="N242" s="10"/>
    </row>
    <row r="243">
      <c r="A243" s="704" t="s">
        <v>20923</v>
      </c>
      <c r="B243" s="134">
        <v>5458.0</v>
      </c>
      <c r="C243" s="297" t="s">
        <v>20580</v>
      </c>
      <c r="D243" s="723">
        <v>0.85</v>
      </c>
      <c r="E243" s="723">
        <v>0.85</v>
      </c>
      <c r="F243" s="348" t="s">
        <v>1656</v>
      </c>
      <c r="G243" s="10"/>
      <c r="H243" s="732" t="s">
        <v>20923</v>
      </c>
      <c r="I243" s="717">
        <v>5458.0</v>
      </c>
      <c r="J243" s="10"/>
      <c r="K243" s="10" t="str">
        <f t="shared" si="1"/>
        <v>#N/A</v>
      </c>
      <c r="L243" s="10"/>
      <c r="M243" s="10"/>
      <c r="N243" s="10"/>
    </row>
    <row r="244">
      <c r="A244" s="704" t="s">
        <v>20924</v>
      </c>
      <c r="B244" s="134">
        <v>6831.0</v>
      </c>
      <c r="C244" s="297" t="s">
        <v>20580</v>
      </c>
      <c r="D244" s="715">
        <v>0.8</v>
      </c>
      <c r="E244" s="715">
        <v>0.8</v>
      </c>
      <c r="F244" s="348" t="s">
        <v>1656</v>
      </c>
      <c r="G244" s="10"/>
      <c r="H244" s="732" t="s">
        <v>20924</v>
      </c>
      <c r="I244" s="717">
        <v>6831.0</v>
      </c>
      <c r="J244" s="10"/>
      <c r="K244" s="10" t="str">
        <f t="shared" si="1"/>
        <v>#N/A</v>
      </c>
      <c r="L244" s="10"/>
      <c r="M244" s="10"/>
      <c r="N244" s="10"/>
    </row>
    <row r="245">
      <c r="A245" s="704" t="s">
        <v>20925</v>
      </c>
      <c r="B245" s="134">
        <v>2345.0</v>
      </c>
      <c r="C245" s="297" t="s">
        <v>20580</v>
      </c>
      <c r="D245" s="723">
        <v>0.9</v>
      </c>
      <c r="E245" s="723">
        <v>0.9</v>
      </c>
      <c r="F245" s="348" t="s">
        <v>1656</v>
      </c>
      <c r="G245" s="10"/>
      <c r="H245" s="732" t="s">
        <v>20925</v>
      </c>
      <c r="I245" s="717">
        <v>2345.0</v>
      </c>
      <c r="J245" s="9">
        <v>6771.0</v>
      </c>
      <c r="K245" s="10" t="str">
        <f t="shared" si="1"/>
        <v>#N/A</v>
      </c>
      <c r="L245" s="10"/>
      <c r="M245" s="10"/>
      <c r="N245" s="10"/>
    </row>
    <row r="246">
      <c r="A246" s="704" t="s">
        <v>20926</v>
      </c>
      <c r="B246" s="134">
        <v>1334.0</v>
      </c>
      <c r="C246" s="297" t="s">
        <v>20580</v>
      </c>
      <c r="D246" s="715">
        <v>0.8</v>
      </c>
      <c r="E246" s="715">
        <v>0.8</v>
      </c>
      <c r="F246" s="348" t="s">
        <v>1656</v>
      </c>
      <c r="G246" s="10"/>
      <c r="H246" s="732" t="s">
        <v>20926</v>
      </c>
      <c r="I246" s="717">
        <v>1334.0</v>
      </c>
      <c r="J246" s="10"/>
      <c r="K246" s="10">
        <f t="shared" si="1"/>
        <v>1</v>
      </c>
      <c r="L246" s="10"/>
      <c r="M246" s="10"/>
      <c r="N246" s="10"/>
    </row>
    <row r="247">
      <c r="A247" s="704" t="s">
        <v>20927</v>
      </c>
      <c r="B247" s="134">
        <v>6770.0</v>
      </c>
      <c r="C247" s="297" t="s">
        <v>20580</v>
      </c>
      <c r="D247" s="715">
        <v>0.8</v>
      </c>
      <c r="E247" s="715">
        <v>0.8</v>
      </c>
      <c r="F247" s="348" t="s">
        <v>1656</v>
      </c>
      <c r="G247" s="10"/>
      <c r="H247" s="732" t="s">
        <v>20927</v>
      </c>
      <c r="I247" s="717">
        <v>6770.0</v>
      </c>
      <c r="J247" s="10"/>
      <c r="K247" s="10" t="str">
        <f t="shared" si="1"/>
        <v>#N/A</v>
      </c>
      <c r="L247" s="10"/>
      <c r="M247" s="10"/>
      <c r="N247" s="10"/>
    </row>
    <row r="248">
      <c r="A248" s="704" t="s">
        <v>20928</v>
      </c>
      <c r="B248" s="134">
        <v>6972.0</v>
      </c>
      <c r="C248" s="297" t="s">
        <v>20580</v>
      </c>
      <c r="D248" s="715">
        <v>0.8</v>
      </c>
      <c r="E248" s="715">
        <v>0.8</v>
      </c>
      <c r="F248" s="348" t="s">
        <v>1656</v>
      </c>
      <c r="G248" s="10"/>
      <c r="H248" s="732" t="s">
        <v>20928</v>
      </c>
      <c r="I248" s="717">
        <v>6972.0</v>
      </c>
      <c r="J248" s="10"/>
      <c r="K248" s="10" t="str">
        <f t="shared" si="1"/>
        <v>#N/A</v>
      </c>
      <c r="L248" s="10"/>
      <c r="M248" s="10"/>
      <c r="N248" s="10"/>
    </row>
    <row r="249">
      <c r="A249" s="704" t="s">
        <v>20929</v>
      </c>
      <c r="B249" s="134">
        <v>6770.0</v>
      </c>
      <c r="C249" s="297" t="s">
        <v>20580</v>
      </c>
      <c r="D249" s="715">
        <v>0.8</v>
      </c>
      <c r="E249" s="715">
        <v>0.8</v>
      </c>
      <c r="F249" s="348" t="s">
        <v>1656</v>
      </c>
      <c r="G249" s="10"/>
      <c r="H249" s="732" t="s">
        <v>20929</v>
      </c>
      <c r="I249" s="717">
        <v>6770.0</v>
      </c>
      <c r="J249" s="10"/>
      <c r="K249" s="10" t="str">
        <f t="shared" si="1"/>
        <v>#N/A</v>
      </c>
      <c r="L249" s="10"/>
      <c r="M249" s="10"/>
      <c r="N249" s="10"/>
    </row>
    <row r="250">
      <c r="A250" s="704" t="s">
        <v>20930</v>
      </c>
      <c r="B250" s="134">
        <v>2345.0</v>
      </c>
      <c r="C250" s="297" t="s">
        <v>20580</v>
      </c>
      <c r="D250" s="723">
        <v>0.9</v>
      </c>
      <c r="E250" s="723">
        <v>0.9</v>
      </c>
      <c r="F250" s="348" t="s">
        <v>1656</v>
      </c>
      <c r="G250" s="10"/>
      <c r="H250" s="300" t="s">
        <v>20930</v>
      </c>
      <c r="I250" s="111">
        <v>2345.0</v>
      </c>
      <c r="J250" s="111">
        <v>986.0</v>
      </c>
      <c r="K250" s="10" t="str">
        <f t="shared" si="1"/>
        <v>#N/A</v>
      </c>
      <c r="L250" s="10"/>
      <c r="M250" s="10"/>
      <c r="N250" s="10"/>
    </row>
    <row r="251">
      <c r="A251" s="704" t="s">
        <v>20931</v>
      </c>
      <c r="B251" s="134">
        <v>2345.0</v>
      </c>
      <c r="C251" s="297" t="s">
        <v>20580</v>
      </c>
      <c r="D251" s="723">
        <v>0.9</v>
      </c>
      <c r="E251" s="723">
        <v>0.9</v>
      </c>
      <c r="F251" s="348" t="s">
        <v>1656</v>
      </c>
      <c r="G251" s="10"/>
      <c r="H251" s="732" t="s">
        <v>20931</v>
      </c>
      <c r="I251" s="717">
        <v>2345.0</v>
      </c>
      <c r="J251" s="9">
        <v>986.0</v>
      </c>
      <c r="K251" s="10" t="str">
        <f t="shared" si="1"/>
        <v>#N/A</v>
      </c>
      <c r="L251" s="10"/>
      <c r="M251" s="10"/>
      <c r="N251" s="10"/>
    </row>
    <row r="252">
      <c r="A252" s="704" t="s">
        <v>20735</v>
      </c>
      <c r="B252" s="134">
        <v>2345.0</v>
      </c>
      <c r="C252" s="297" t="s">
        <v>20580</v>
      </c>
      <c r="D252" s="723">
        <v>0.9</v>
      </c>
      <c r="E252" s="723">
        <v>0.9</v>
      </c>
      <c r="F252" s="348" t="s">
        <v>1656</v>
      </c>
      <c r="G252" s="10"/>
      <c r="H252" s="732" t="s">
        <v>20735</v>
      </c>
      <c r="I252" s="717">
        <v>2345.0</v>
      </c>
      <c r="J252" s="9">
        <v>986.0</v>
      </c>
      <c r="K252" s="10">
        <f t="shared" si="1"/>
        <v>1</v>
      </c>
      <c r="L252" s="10"/>
      <c r="M252" s="10"/>
      <c r="N252" s="10"/>
    </row>
    <row r="253">
      <c r="A253" s="704" t="s">
        <v>20932</v>
      </c>
      <c r="B253" s="134">
        <v>2345.0</v>
      </c>
      <c r="C253" s="297" t="s">
        <v>20580</v>
      </c>
      <c r="D253" s="723">
        <v>0.9</v>
      </c>
      <c r="E253" s="723">
        <v>0.9</v>
      </c>
      <c r="F253" s="348" t="s">
        <v>1656</v>
      </c>
      <c r="G253" s="10"/>
      <c r="H253" s="732" t="s">
        <v>20932</v>
      </c>
      <c r="I253" s="717">
        <v>2345.0</v>
      </c>
      <c r="J253" s="9">
        <v>986.0</v>
      </c>
      <c r="K253" s="10" t="str">
        <f t="shared" si="1"/>
        <v>#N/A</v>
      </c>
      <c r="L253" s="10"/>
      <c r="M253" s="10"/>
      <c r="N253" s="10"/>
    </row>
    <row r="254">
      <c r="A254" s="704" t="s">
        <v>20759</v>
      </c>
      <c r="B254" s="134">
        <v>2345.0</v>
      </c>
      <c r="C254" s="297" t="s">
        <v>20580</v>
      </c>
      <c r="D254" s="723">
        <v>0.9</v>
      </c>
      <c r="E254" s="723">
        <v>0.9</v>
      </c>
      <c r="F254" s="348" t="s">
        <v>1656</v>
      </c>
      <c r="G254" s="10"/>
      <c r="H254" s="300" t="s">
        <v>20759</v>
      </c>
      <c r="I254" s="111">
        <v>2345.0</v>
      </c>
      <c r="J254" s="111">
        <v>986.0</v>
      </c>
      <c r="K254" s="10">
        <f t="shared" si="1"/>
        <v>1</v>
      </c>
      <c r="L254" s="10"/>
      <c r="M254" s="10"/>
      <c r="N254" s="10"/>
    </row>
    <row r="255">
      <c r="A255" s="704" t="s">
        <v>20589</v>
      </c>
      <c r="B255" s="134">
        <v>1.0</v>
      </c>
      <c r="C255" s="297" t="s">
        <v>20580</v>
      </c>
      <c r="D255" s="715">
        <v>0.8</v>
      </c>
      <c r="E255" s="715">
        <v>0.8</v>
      </c>
      <c r="F255" s="348" t="s">
        <v>1656</v>
      </c>
      <c r="G255" s="10"/>
      <c r="H255" s="732" t="s">
        <v>20589</v>
      </c>
      <c r="I255" s="717">
        <v>1.0</v>
      </c>
      <c r="J255" s="10"/>
      <c r="K255" s="10">
        <f t="shared" si="1"/>
        <v>1</v>
      </c>
      <c r="L255" s="10"/>
      <c r="M255" s="10"/>
      <c r="N255" s="10"/>
    </row>
    <row r="256">
      <c r="A256" s="737" t="s">
        <v>20626</v>
      </c>
      <c r="B256" s="738">
        <v>2345.0</v>
      </c>
      <c r="C256" s="297" t="s">
        <v>20580</v>
      </c>
      <c r="D256" s="723">
        <v>0.9</v>
      </c>
      <c r="E256" s="723">
        <v>0.9</v>
      </c>
      <c r="F256" s="348" t="s">
        <v>1656</v>
      </c>
      <c r="G256" s="726" t="s">
        <v>20676</v>
      </c>
      <c r="H256" s="300" t="s">
        <v>20626</v>
      </c>
      <c r="I256" s="111">
        <v>189.0</v>
      </c>
      <c r="J256" s="111" t="s">
        <v>20933</v>
      </c>
      <c r="K256" s="10">
        <f t="shared" si="1"/>
        <v>1</v>
      </c>
      <c r="L256" s="10"/>
      <c r="M256" s="10"/>
      <c r="N256" s="10"/>
    </row>
    <row r="257">
      <c r="A257" s="141" t="s">
        <v>20613</v>
      </c>
      <c r="B257" s="297">
        <v>189.0</v>
      </c>
      <c r="C257" s="297" t="s">
        <v>20580</v>
      </c>
      <c r="D257" s="715">
        <v>0.91</v>
      </c>
      <c r="E257" s="715">
        <v>0.91</v>
      </c>
      <c r="F257" s="348" t="s">
        <v>1656</v>
      </c>
      <c r="G257" s="10"/>
      <c r="H257" s="141" t="s">
        <v>20613</v>
      </c>
      <c r="I257" s="9">
        <v>189.0</v>
      </c>
      <c r="J257" s="9" t="s">
        <v>20933</v>
      </c>
      <c r="K257" s="10">
        <f t="shared" si="1"/>
        <v>1</v>
      </c>
      <c r="L257" s="10"/>
      <c r="M257" s="10"/>
      <c r="N257" s="10"/>
    </row>
    <row r="258">
      <c r="A258" s="141" t="s">
        <v>20591</v>
      </c>
      <c r="B258" s="297">
        <v>5458.0</v>
      </c>
      <c r="C258" s="297" t="s">
        <v>20580</v>
      </c>
      <c r="D258" s="723">
        <v>0.85</v>
      </c>
      <c r="E258" s="723">
        <v>0.85</v>
      </c>
      <c r="F258" s="348" t="s">
        <v>1656</v>
      </c>
      <c r="G258" s="10"/>
      <c r="H258" s="141" t="s">
        <v>20591</v>
      </c>
      <c r="I258" s="9">
        <v>5458.0</v>
      </c>
      <c r="J258" s="10"/>
      <c r="K258" s="10">
        <f t="shared" si="1"/>
        <v>1</v>
      </c>
      <c r="L258" s="10"/>
      <c r="M258" s="10"/>
      <c r="N258" s="10"/>
    </row>
    <row r="259">
      <c r="A259" s="704" t="s">
        <v>20624</v>
      </c>
      <c r="B259" s="134">
        <v>189.0</v>
      </c>
      <c r="C259" s="297" t="s">
        <v>20580</v>
      </c>
      <c r="D259" s="715">
        <v>0.91</v>
      </c>
      <c r="E259" s="715">
        <v>0.91</v>
      </c>
      <c r="F259" s="348" t="s">
        <v>1656</v>
      </c>
      <c r="G259" s="10"/>
      <c r="H259" s="732" t="s">
        <v>20624</v>
      </c>
      <c r="I259" s="717">
        <v>189.0</v>
      </c>
      <c r="J259" s="10"/>
      <c r="K259" s="10">
        <f t="shared" si="1"/>
        <v>1</v>
      </c>
      <c r="L259" s="10"/>
      <c r="M259" s="10"/>
      <c r="N259" s="10"/>
    </row>
    <row r="260">
      <c r="A260" s="704" t="s">
        <v>20934</v>
      </c>
      <c r="B260" s="134">
        <v>6887.0</v>
      </c>
      <c r="C260" s="297" t="s">
        <v>20580</v>
      </c>
      <c r="D260" s="715">
        <v>0.8</v>
      </c>
      <c r="E260" s="715">
        <v>0.8</v>
      </c>
      <c r="F260" s="348" t="s">
        <v>1656</v>
      </c>
      <c r="G260" s="10"/>
      <c r="H260" s="732" t="s">
        <v>20934</v>
      </c>
      <c r="I260" s="717">
        <v>6887.0</v>
      </c>
      <c r="J260" s="5">
        <v>986.0</v>
      </c>
      <c r="K260" s="10" t="str">
        <f t="shared" si="1"/>
        <v>#N/A</v>
      </c>
      <c r="L260" s="10"/>
      <c r="M260" s="10"/>
      <c r="N260" s="10"/>
    </row>
    <row r="261">
      <c r="A261" s="704" t="s">
        <v>20746</v>
      </c>
      <c r="B261" s="134">
        <v>6797.0</v>
      </c>
      <c r="C261" s="297" t="s">
        <v>20580</v>
      </c>
      <c r="D261" s="715">
        <v>0.8</v>
      </c>
      <c r="E261" s="715">
        <v>0.8</v>
      </c>
      <c r="F261" s="348" t="s">
        <v>1656</v>
      </c>
      <c r="G261" s="10"/>
      <c r="H261" s="300" t="s">
        <v>20746</v>
      </c>
      <c r="I261" s="111">
        <v>6797.0</v>
      </c>
      <c r="J261" s="144"/>
      <c r="K261" s="10">
        <f t="shared" si="1"/>
        <v>1</v>
      </c>
      <c r="L261" s="10"/>
      <c r="M261" s="10"/>
      <c r="N261" s="10"/>
    </row>
    <row r="262">
      <c r="A262" s="704" t="s">
        <v>20785</v>
      </c>
      <c r="B262" s="134">
        <v>2345.0</v>
      </c>
      <c r="C262" s="297" t="s">
        <v>20580</v>
      </c>
      <c r="D262" s="723">
        <v>0.9</v>
      </c>
      <c r="E262" s="723">
        <v>0.9</v>
      </c>
      <c r="F262" s="348" t="s">
        <v>1656</v>
      </c>
      <c r="G262" s="10"/>
      <c r="H262" s="732" t="s">
        <v>20785</v>
      </c>
      <c r="I262" s="717">
        <v>2345.0</v>
      </c>
      <c r="J262" s="9">
        <v>136.0</v>
      </c>
      <c r="K262" s="10">
        <f t="shared" si="1"/>
        <v>1</v>
      </c>
      <c r="L262" s="10"/>
      <c r="M262" s="10"/>
      <c r="N262" s="10"/>
    </row>
    <row r="263">
      <c r="A263" s="704" t="s">
        <v>20935</v>
      </c>
      <c r="B263" s="134">
        <v>6831.0</v>
      </c>
      <c r="C263" s="297" t="s">
        <v>20580</v>
      </c>
      <c r="D263" s="715">
        <v>0.8</v>
      </c>
      <c r="E263" s="715">
        <v>0.8</v>
      </c>
      <c r="F263" s="348" t="s">
        <v>1656</v>
      </c>
      <c r="G263" s="10"/>
      <c r="H263" s="732" t="s">
        <v>20935</v>
      </c>
      <c r="I263" s="717">
        <v>6831.0</v>
      </c>
      <c r="J263" s="10"/>
      <c r="K263" s="10" t="str">
        <f t="shared" si="1"/>
        <v>#N/A</v>
      </c>
      <c r="L263" s="10"/>
      <c r="M263" s="10"/>
      <c r="N263" s="10"/>
    </row>
    <row r="264">
      <c r="A264" s="704" t="s">
        <v>20765</v>
      </c>
      <c r="B264" s="134">
        <v>5389.0</v>
      </c>
      <c r="C264" s="297" t="s">
        <v>20580</v>
      </c>
      <c r="D264" s="715">
        <v>0.8</v>
      </c>
      <c r="E264" s="715">
        <v>0.8</v>
      </c>
      <c r="F264" s="348" t="s">
        <v>1656</v>
      </c>
      <c r="G264" s="10"/>
      <c r="H264" s="300" t="s">
        <v>20765</v>
      </c>
      <c r="I264" s="111">
        <v>5389.0</v>
      </c>
      <c r="J264" s="303"/>
      <c r="K264" s="10">
        <f t="shared" si="1"/>
        <v>1</v>
      </c>
      <c r="L264" s="10"/>
      <c r="M264" s="10"/>
      <c r="N264" s="10"/>
    </row>
    <row r="265">
      <c r="A265" s="704" t="s">
        <v>20779</v>
      </c>
      <c r="B265" s="134">
        <v>4933.0</v>
      </c>
      <c r="C265" s="297" t="s">
        <v>20580</v>
      </c>
      <c r="D265" s="715">
        <v>0.8</v>
      </c>
      <c r="E265" s="715">
        <v>0.8</v>
      </c>
      <c r="F265" s="348" t="s">
        <v>1656</v>
      </c>
      <c r="G265" s="10"/>
      <c r="H265" s="732" t="s">
        <v>20779</v>
      </c>
      <c r="I265" s="717">
        <v>4933.0</v>
      </c>
      <c r="J265" s="9">
        <v>986.0</v>
      </c>
      <c r="K265" s="10">
        <f t="shared" si="1"/>
        <v>1</v>
      </c>
      <c r="L265" s="10"/>
      <c r="M265" s="10"/>
      <c r="N265" s="10"/>
    </row>
    <row r="266">
      <c r="A266" s="739" t="s">
        <v>20936</v>
      </c>
      <c r="B266" s="10"/>
      <c r="C266" s="297" t="s">
        <v>20580</v>
      </c>
      <c r="D266" s="715">
        <v>0.8</v>
      </c>
      <c r="E266" s="715">
        <v>0.8</v>
      </c>
      <c r="F266" s="348" t="s">
        <v>1656</v>
      </c>
      <c r="G266" s="52"/>
      <c r="H266" s="739" t="s">
        <v>20936</v>
      </c>
      <c r="I266" s="649">
        <v>2345.0</v>
      </c>
      <c r="J266" s="649">
        <v>6779.0</v>
      </c>
      <c r="K266" s="466" t="str">
        <f t="shared" si="1"/>
        <v>#N/A</v>
      </c>
      <c r="L266" s="466"/>
      <c r="M266" s="466"/>
      <c r="N266" s="466"/>
    </row>
    <row r="267">
      <c r="A267" s="704" t="s">
        <v>20630</v>
      </c>
      <c r="B267" s="134">
        <v>8244.0</v>
      </c>
      <c r="C267" s="297" t="s">
        <v>20580</v>
      </c>
      <c r="D267" s="715">
        <v>0.8</v>
      </c>
      <c r="E267" s="715">
        <v>0.8</v>
      </c>
      <c r="F267" s="348" t="s">
        <v>1656</v>
      </c>
      <c r="G267" s="10"/>
      <c r="H267" s="732" t="s">
        <v>20630</v>
      </c>
      <c r="I267" s="717">
        <v>8244.0</v>
      </c>
      <c r="J267" s="9">
        <v>6770.0</v>
      </c>
      <c r="K267" s="10">
        <f t="shared" si="1"/>
        <v>1</v>
      </c>
      <c r="L267" s="10"/>
      <c r="M267" s="10"/>
      <c r="N267" s="10"/>
    </row>
    <row r="268">
      <c r="A268" s="704" t="s">
        <v>20737</v>
      </c>
      <c r="B268" s="134">
        <v>930.0</v>
      </c>
      <c r="C268" s="297" t="s">
        <v>20580</v>
      </c>
      <c r="D268" s="715">
        <v>0.8</v>
      </c>
      <c r="E268" s="715">
        <v>0.8</v>
      </c>
      <c r="F268" s="348" t="s">
        <v>1656</v>
      </c>
      <c r="G268" s="10"/>
      <c r="H268" s="732" t="s">
        <v>20737</v>
      </c>
      <c r="I268" s="717">
        <v>930.0</v>
      </c>
      <c r="J268" s="9">
        <v>986.0</v>
      </c>
      <c r="K268" s="10">
        <f t="shared" si="1"/>
        <v>1</v>
      </c>
      <c r="L268" s="10"/>
      <c r="M268" s="10"/>
      <c r="N268" s="10"/>
    </row>
    <row r="269">
      <c r="A269" s="704" t="s">
        <v>20937</v>
      </c>
      <c r="B269" s="134">
        <v>6671.0</v>
      </c>
      <c r="C269" s="297" t="s">
        <v>20580</v>
      </c>
      <c r="D269" s="715">
        <v>0.8</v>
      </c>
      <c r="E269" s="715">
        <v>0.8</v>
      </c>
      <c r="F269" s="348" t="s">
        <v>1656</v>
      </c>
      <c r="G269" s="10"/>
      <c r="H269" s="732" t="s">
        <v>20937</v>
      </c>
      <c r="I269" s="717">
        <v>6671.0</v>
      </c>
      <c r="J269" s="9">
        <v>6770.0</v>
      </c>
      <c r="K269" s="10" t="str">
        <f t="shared" si="1"/>
        <v>#N/A</v>
      </c>
      <c r="L269" s="10"/>
      <c r="M269" s="10"/>
      <c r="N269" s="10"/>
    </row>
    <row r="270">
      <c r="A270" s="134" t="s">
        <v>20938</v>
      </c>
      <c r="B270" s="134">
        <v>6727.0</v>
      </c>
      <c r="C270" s="297" t="s">
        <v>20580</v>
      </c>
      <c r="D270" s="715">
        <v>0.8</v>
      </c>
      <c r="E270" s="715">
        <v>0.8</v>
      </c>
      <c r="F270" s="348" t="s">
        <v>1656</v>
      </c>
      <c r="G270" s="10"/>
      <c r="H270" s="717" t="s">
        <v>20938</v>
      </c>
      <c r="I270" s="717">
        <v>6727.0</v>
      </c>
      <c r="J270" s="10"/>
      <c r="K270" s="10" t="str">
        <f t="shared" si="1"/>
        <v>#N/A</v>
      </c>
      <c r="L270" s="10"/>
      <c r="M270" s="10"/>
      <c r="N270" s="10"/>
    </row>
    <row r="271">
      <c r="A271" s="134" t="s">
        <v>20939</v>
      </c>
      <c r="B271" s="134">
        <v>6727.0</v>
      </c>
      <c r="C271" s="297" t="s">
        <v>20580</v>
      </c>
      <c r="D271" s="715">
        <v>0.8</v>
      </c>
      <c r="E271" s="715">
        <v>0.8</v>
      </c>
      <c r="F271" s="348" t="s">
        <v>1656</v>
      </c>
      <c r="G271" s="10"/>
      <c r="H271" s="717" t="s">
        <v>20939</v>
      </c>
      <c r="I271" s="717">
        <v>6727.0</v>
      </c>
      <c r="J271" s="10"/>
      <c r="K271" s="10" t="str">
        <f t="shared" si="1"/>
        <v>#N/A</v>
      </c>
      <c r="L271" s="10"/>
      <c r="M271" s="10"/>
      <c r="N271" s="10"/>
    </row>
    <row r="272">
      <c r="A272" s="134" t="s">
        <v>20940</v>
      </c>
      <c r="B272" s="134">
        <v>6940.0</v>
      </c>
      <c r="C272" s="297" t="s">
        <v>20580</v>
      </c>
      <c r="D272" s="715">
        <v>0.8</v>
      </c>
      <c r="E272" s="715">
        <v>0.8</v>
      </c>
      <c r="F272" s="348" t="s">
        <v>1656</v>
      </c>
      <c r="G272" s="10"/>
      <c r="H272" s="717" t="s">
        <v>20940</v>
      </c>
      <c r="I272" s="717">
        <v>6940.0</v>
      </c>
      <c r="J272" s="10"/>
      <c r="K272" s="10" t="str">
        <f t="shared" si="1"/>
        <v>#N/A</v>
      </c>
      <c r="L272" s="10"/>
      <c r="M272" s="10"/>
      <c r="N272" s="10"/>
    </row>
    <row r="273">
      <c r="A273" s="134" t="s">
        <v>20941</v>
      </c>
      <c r="B273" s="134">
        <v>6998.0</v>
      </c>
      <c r="C273" s="297" t="s">
        <v>20580</v>
      </c>
      <c r="D273" s="715">
        <v>0.8</v>
      </c>
      <c r="E273" s="715">
        <v>0.8</v>
      </c>
      <c r="F273" s="348" t="s">
        <v>1656</v>
      </c>
      <c r="G273" s="10"/>
      <c r="H273" s="717" t="s">
        <v>20941</v>
      </c>
      <c r="I273" s="717">
        <v>6998.0</v>
      </c>
      <c r="J273" s="10"/>
      <c r="K273" s="10" t="str">
        <f t="shared" si="1"/>
        <v>#N/A</v>
      </c>
      <c r="L273" s="10"/>
      <c r="M273" s="10"/>
      <c r="N273" s="10"/>
    </row>
    <row r="274">
      <c r="A274" s="134" t="s">
        <v>20942</v>
      </c>
      <c r="B274" s="134">
        <v>1360.0</v>
      </c>
      <c r="C274" s="297" t="s">
        <v>20580</v>
      </c>
      <c r="D274" s="715">
        <v>0.8</v>
      </c>
      <c r="E274" s="715">
        <v>0.8</v>
      </c>
      <c r="F274" s="348" t="s">
        <v>1656</v>
      </c>
      <c r="G274" s="10"/>
      <c r="H274" s="717" t="s">
        <v>20942</v>
      </c>
      <c r="I274" s="717">
        <v>1360.0</v>
      </c>
      <c r="J274" s="10"/>
      <c r="K274" s="10" t="str">
        <f t="shared" si="1"/>
        <v>#N/A</v>
      </c>
      <c r="L274" s="10"/>
      <c r="M274" s="10"/>
      <c r="N274" s="10"/>
    </row>
    <row r="275">
      <c r="A275" s="134" t="s">
        <v>20943</v>
      </c>
      <c r="B275" s="134">
        <v>7080.0</v>
      </c>
      <c r="C275" s="297" t="s">
        <v>20580</v>
      </c>
      <c r="D275" s="715">
        <v>0.8</v>
      </c>
      <c r="E275" s="715">
        <v>0.8</v>
      </c>
      <c r="F275" s="348" t="s">
        <v>1656</v>
      </c>
      <c r="G275" s="10"/>
      <c r="H275" s="717" t="s">
        <v>20943</v>
      </c>
      <c r="I275" s="717">
        <v>7080.0</v>
      </c>
      <c r="J275" s="10"/>
      <c r="K275" s="10" t="str">
        <f t="shared" si="1"/>
        <v>#N/A</v>
      </c>
      <c r="L275" s="10"/>
      <c r="M275" s="10"/>
      <c r="N275" s="10"/>
    </row>
    <row r="276">
      <c r="A276" s="134" t="s">
        <v>20944</v>
      </c>
      <c r="B276" s="134">
        <v>7168.0</v>
      </c>
      <c r="C276" s="297" t="s">
        <v>20580</v>
      </c>
      <c r="D276" s="715">
        <v>0.8</v>
      </c>
      <c r="E276" s="715">
        <v>0.8</v>
      </c>
      <c r="F276" s="348" t="s">
        <v>1656</v>
      </c>
      <c r="G276" s="10"/>
      <c r="H276" s="717" t="s">
        <v>20944</v>
      </c>
      <c r="I276" s="717">
        <v>7168.0</v>
      </c>
      <c r="J276" s="9">
        <v>7098.0</v>
      </c>
      <c r="K276" s="10" t="str">
        <f t="shared" si="1"/>
        <v>#N/A</v>
      </c>
      <c r="L276" s="10"/>
      <c r="M276" s="10"/>
      <c r="N276" s="10"/>
    </row>
    <row r="277">
      <c r="A277" s="134" t="s">
        <v>20945</v>
      </c>
      <c r="B277" s="134">
        <v>6727.0</v>
      </c>
      <c r="C277" s="297" t="s">
        <v>20580</v>
      </c>
      <c r="D277" s="715">
        <v>0.8</v>
      </c>
      <c r="E277" s="715">
        <v>0.8</v>
      </c>
      <c r="F277" s="348" t="s">
        <v>1656</v>
      </c>
      <c r="G277" s="10"/>
      <c r="H277" s="717" t="s">
        <v>20945</v>
      </c>
      <c r="I277" s="717">
        <v>6727.0</v>
      </c>
      <c r="J277" s="10"/>
      <c r="K277" s="10" t="str">
        <f t="shared" si="1"/>
        <v>#N/A</v>
      </c>
      <c r="L277" s="10"/>
      <c r="M277" s="10"/>
      <c r="N277" s="10"/>
    </row>
    <row r="278">
      <c r="A278" s="134" t="s">
        <v>20946</v>
      </c>
      <c r="B278" s="134">
        <v>6727.0</v>
      </c>
      <c r="C278" s="297" t="s">
        <v>20580</v>
      </c>
      <c r="D278" s="715">
        <v>0.8</v>
      </c>
      <c r="E278" s="715">
        <v>0.8</v>
      </c>
      <c r="F278" s="348" t="s">
        <v>1656</v>
      </c>
      <c r="G278" s="10"/>
      <c r="H278" s="717" t="s">
        <v>20946</v>
      </c>
      <c r="I278" s="717">
        <v>6727.0</v>
      </c>
      <c r="J278" s="10"/>
      <c r="K278" s="10" t="str">
        <f t="shared" si="1"/>
        <v>#N/A</v>
      </c>
      <c r="L278" s="10"/>
      <c r="M278" s="10"/>
      <c r="N278" s="10"/>
    </row>
    <row r="279">
      <c r="A279" s="134" t="s">
        <v>20947</v>
      </c>
      <c r="B279" s="134">
        <v>6727.0</v>
      </c>
      <c r="C279" s="297" t="s">
        <v>20580</v>
      </c>
      <c r="D279" s="715">
        <v>0.8</v>
      </c>
      <c r="E279" s="715">
        <v>0.8</v>
      </c>
      <c r="F279" s="348" t="s">
        <v>1656</v>
      </c>
      <c r="G279" s="10"/>
      <c r="H279" s="717" t="s">
        <v>20947</v>
      </c>
      <c r="I279" s="717">
        <v>6727.0</v>
      </c>
      <c r="J279" s="10"/>
      <c r="K279" s="10" t="str">
        <f t="shared" si="1"/>
        <v>#N/A</v>
      </c>
      <c r="L279" s="10"/>
      <c r="M279" s="10"/>
      <c r="N279" s="10"/>
    </row>
    <row r="280">
      <c r="A280" s="134" t="s">
        <v>20948</v>
      </c>
      <c r="B280" s="134">
        <v>6727.0</v>
      </c>
      <c r="C280" s="297" t="s">
        <v>20580</v>
      </c>
      <c r="D280" s="715">
        <v>0.8</v>
      </c>
      <c r="E280" s="715">
        <v>0.8</v>
      </c>
      <c r="F280" s="348" t="s">
        <v>1656</v>
      </c>
      <c r="G280" s="10"/>
      <c r="H280" s="717" t="s">
        <v>20948</v>
      </c>
      <c r="I280" s="717">
        <v>6727.0</v>
      </c>
      <c r="J280" s="10"/>
      <c r="K280" s="10" t="str">
        <f t="shared" si="1"/>
        <v>#N/A</v>
      </c>
      <c r="L280" s="10"/>
      <c r="M280" s="10"/>
      <c r="N280" s="10"/>
    </row>
    <row r="281">
      <c r="A281" s="134" t="s">
        <v>20949</v>
      </c>
      <c r="B281" s="134">
        <v>6727.0</v>
      </c>
      <c r="C281" s="297" t="s">
        <v>20580</v>
      </c>
      <c r="D281" s="715">
        <v>0.8</v>
      </c>
      <c r="E281" s="715">
        <v>0.8</v>
      </c>
      <c r="F281" s="348" t="s">
        <v>1656</v>
      </c>
      <c r="G281" s="10"/>
      <c r="H281" s="717" t="s">
        <v>20949</v>
      </c>
      <c r="I281" s="717">
        <v>6727.0</v>
      </c>
      <c r="J281" s="10"/>
      <c r="K281" s="10" t="str">
        <f t="shared" si="1"/>
        <v>#N/A</v>
      </c>
      <c r="L281" s="10"/>
      <c r="M281" s="10"/>
      <c r="N281" s="10"/>
    </row>
    <row r="282">
      <c r="A282" s="134" t="s">
        <v>20950</v>
      </c>
      <c r="B282" s="134">
        <v>6727.0</v>
      </c>
      <c r="C282" s="297" t="s">
        <v>20580</v>
      </c>
      <c r="D282" s="715">
        <v>0.8</v>
      </c>
      <c r="E282" s="715">
        <v>0.8</v>
      </c>
      <c r="F282" s="348" t="s">
        <v>1656</v>
      </c>
      <c r="G282" s="10"/>
      <c r="H282" s="717" t="s">
        <v>20950</v>
      </c>
      <c r="I282" s="717">
        <v>6727.0</v>
      </c>
      <c r="J282" s="10"/>
      <c r="K282" s="10" t="str">
        <f t="shared" si="1"/>
        <v>#N/A</v>
      </c>
      <c r="L282" s="10"/>
      <c r="M282" s="10"/>
      <c r="N282" s="10"/>
    </row>
    <row r="283">
      <c r="A283" s="134" t="s">
        <v>20951</v>
      </c>
      <c r="B283" s="134">
        <v>6727.0</v>
      </c>
      <c r="C283" s="297" t="s">
        <v>20580</v>
      </c>
      <c r="D283" s="715">
        <v>0.8</v>
      </c>
      <c r="E283" s="715">
        <v>0.8</v>
      </c>
      <c r="F283" s="348" t="s">
        <v>1656</v>
      </c>
      <c r="G283" s="10"/>
      <c r="H283" s="717" t="s">
        <v>20951</v>
      </c>
      <c r="I283" s="717">
        <v>6727.0</v>
      </c>
      <c r="J283" s="10"/>
      <c r="K283" s="10" t="str">
        <f t="shared" si="1"/>
        <v>#N/A</v>
      </c>
      <c r="L283" s="10"/>
      <c r="M283" s="10"/>
      <c r="N283" s="10"/>
    </row>
    <row r="284">
      <c r="A284" s="134" t="s">
        <v>20952</v>
      </c>
      <c r="B284" s="134">
        <v>6727.0</v>
      </c>
      <c r="C284" s="297" t="s">
        <v>20580</v>
      </c>
      <c r="D284" s="715">
        <v>0.8</v>
      </c>
      <c r="E284" s="715">
        <v>0.8</v>
      </c>
      <c r="F284" s="348" t="s">
        <v>1656</v>
      </c>
      <c r="G284" s="10"/>
      <c r="H284" s="717" t="s">
        <v>20952</v>
      </c>
      <c r="I284" s="717">
        <v>6727.0</v>
      </c>
      <c r="J284" s="10"/>
      <c r="K284" s="10" t="str">
        <f t="shared" si="1"/>
        <v>#N/A</v>
      </c>
      <c r="L284" s="10"/>
      <c r="M284" s="10"/>
      <c r="N284" s="10"/>
    </row>
    <row r="285">
      <c r="A285" s="740" t="s">
        <v>20953</v>
      </c>
      <c r="B285" s="134">
        <v>7003.0</v>
      </c>
      <c r="C285" s="297" t="s">
        <v>20580</v>
      </c>
      <c r="D285" s="715">
        <v>0.8</v>
      </c>
      <c r="E285" s="715">
        <v>0.8</v>
      </c>
      <c r="F285" s="348" t="s">
        <v>1656</v>
      </c>
      <c r="G285" s="10"/>
      <c r="H285" s="741" t="s">
        <v>20953</v>
      </c>
      <c r="I285" s="717">
        <v>7003.0</v>
      </c>
      <c r="J285" s="10"/>
      <c r="K285" s="10"/>
      <c r="L285" s="10"/>
      <c r="M285" s="10"/>
      <c r="N285" s="10"/>
    </row>
    <row r="286">
      <c r="A286" s="740" t="s">
        <v>20954</v>
      </c>
      <c r="B286" s="134">
        <v>7003.0</v>
      </c>
      <c r="C286" s="297" t="s">
        <v>20580</v>
      </c>
      <c r="D286" s="715">
        <v>0.8</v>
      </c>
      <c r="E286" s="715">
        <v>0.8</v>
      </c>
      <c r="F286" s="348" t="s">
        <v>1656</v>
      </c>
      <c r="G286" s="10"/>
      <c r="H286" s="741" t="s">
        <v>20954</v>
      </c>
      <c r="I286" s="717">
        <v>7003.0</v>
      </c>
      <c r="J286" s="10"/>
      <c r="K286" s="10"/>
      <c r="L286" s="10"/>
      <c r="M286" s="10"/>
      <c r="N286" s="10"/>
    </row>
    <row r="287">
      <c r="A287" s="740" t="s">
        <v>20955</v>
      </c>
      <c r="B287" s="134">
        <v>7003.0</v>
      </c>
      <c r="C287" s="297" t="s">
        <v>20580</v>
      </c>
      <c r="D287" s="715">
        <v>0.8</v>
      </c>
      <c r="E287" s="715">
        <v>0.8</v>
      </c>
      <c r="F287" s="348" t="s">
        <v>1656</v>
      </c>
      <c r="G287" s="10"/>
      <c r="H287" s="741" t="s">
        <v>20955</v>
      </c>
      <c r="I287" s="717">
        <v>7003.0</v>
      </c>
      <c r="J287" s="10"/>
      <c r="K287" s="10"/>
      <c r="L287" s="10"/>
      <c r="M287" s="10"/>
      <c r="N287" s="10"/>
    </row>
    <row r="288">
      <c r="A288" s="740" t="s">
        <v>20956</v>
      </c>
      <c r="B288" s="134">
        <v>7008.0</v>
      </c>
      <c r="C288" s="297" t="s">
        <v>20580</v>
      </c>
      <c r="D288" s="715">
        <v>0.8</v>
      </c>
      <c r="E288" s="715">
        <v>0.8</v>
      </c>
      <c r="F288" s="348" t="s">
        <v>1656</v>
      </c>
      <c r="G288" s="10"/>
      <c r="H288" s="741" t="s">
        <v>20956</v>
      </c>
      <c r="I288" s="717">
        <v>7008.0</v>
      </c>
      <c r="J288" s="10"/>
      <c r="K288" s="10"/>
      <c r="L288" s="10"/>
      <c r="M288" s="10"/>
      <c r="N288" s="10"/>
    </row>
    <row r="289">
      <c r="A289" s="740" t="s">
        <v>20957</v>
      </c>
      <c r="B289" s="134">
        <v>7008.0</v>
      </c>
      <c r="C289" s="297" t="s">
        <v>20580</v>
      </c>
      <c r="D289" s="715">
        <v>0.8</v>
      </c>
      <c r="E289" s="715">
        <v>0.8</v>
      </c>
      <c r="F289" s="348" t="s">
        <v>1656</v>
      </c>
      <c r="G289" s="10"/>
      <c r="H289" s="741" t="s">
        <v>20957</v>
      </c>
      <c r="I289" s="717">
        <v>7008.0</v>
      </c>
      <c r="J289" s="10"/>
      <c r="K289" s="10"/>
      <c r="L289" s="10"/>
      <c r="M289" s="10"/>
      <c r="N289" s="10"/>
    </row>
    <row r="290">
      <c r="A290" s="740" t="s">
        <v>20958</v>
      </c>
      <c r="B290" s="134">
        <v>7023.0</v>
      </c>
      <c r="C290" s="297" t="s">
        <v>20580</v>
      </c>
      <c r="D290" s="715">
        <v>0.8</v>
      </c>
      <c r="E290" s="715">
        <v>0.8</v>
      </c>
      <c r="F290" s="348" t="s">
        <v>1656</v>
      </c>
      <c r="G290" s="10"/>
      <c r="H290" s="741" t="s">
        <v>20958</v>
      </c>
      <c r="I290" s="717">
        <v>7023.0</v>
      </c>
      <c r="J290" s="10"/>
      <c r="K290" s="10"/>
      <c r="L290" s="10"/>
      <c r="M290" s="10"/>
      <c r="N290" s="10"/>
    </row>
    <row r="291">
      <c r="A291" s="740" t="s">
        <v>20959</v>
      </c>
      <c r="B291" s="134">
        <v>7032.0</v>
      </c>
      <c r="C291" s="297" t="s">
        <v>20580</v>
      </c>
      <c r="D291" s="715">
        <v>0.8</v>
      </c>
      <c r="E291" s="715">
        <v>0.8</v>
      </c>
      <c r="F291" s="348" t="s">
        <v>1656</v>
      </c>
      <c r="G291" s="10"/>
      <c r="H291" s="741" t="s">
        <v>20959</v>
      </c>
      <c r="I291" s="717">
        <v>7032.0</v>
      </c>
      <c r="J291" s="10"/>
      <c r="K291" s="10"/>
      <c r="L291" s="10"/>
      <c r="M291" s="10"/>
      <c r="N291" s="10"/>
    </row>
    <row r="292">
      <c r="A292" s="740" t="s">
        <v>20960</v>
      </c>
      <c r="B292" s="134">
        <v>4933.0</v>
      </c>
      <c r="C292" s="297" t="s">
        <v>20580</v>
      </c>
      <c r="D292" s="715">
        <v>0.8</v>
      </c>
      <c r="E292" s="715">
        <v>0.8</v>
      </c>
      <c r="F292" s="348" t="s">
        <v>1656</v>
      </c>
      <c r="G292" s="10"/>
      <c r="H292" s="741" t="s">
        <v>20960</v>
      </c>
      <c r="I292" s="717">
        <v>4933.0</v>
      </c>
      <c r="J292" s="9">
        <v>7055.0</v>
      </c>
      <c r="K292" s="10"/>
      <c r="L292" s="10"/>
      <c r="M292" s="10"/>
      <c r="N292" s="10"/>
    </row>
    <row r="293">
      <c r="A293" s="740" t="s">
        <v>20961</v>
      </c>
      <c r="B293" s="134">
        <v>7046.0</v>
      </c>
      <c r="C293" s="297" t="s">
        <v>20580</v>
      </c>
      <c r="D293" s="715">
        <v>0.8</v>
      </c>
      <c r="E293" s="715">
        <v>0.8</v>
      </c>
      <c r="F293" s="348" t="s">
        <v>1656</v>
      </c>
      <c r="G293" s="10"/>
      <c r="H293" s="741" t="s">
        <v>20961</v>
      </c>
      <c r="I293" s="717">
        <v>7046.0</v>
      </c>
      <c r="J293" s="10"/>
      <c r="K293" s="10"/>
      <c r="L293" s="10"/>
      <c r="M293" s="10"/>
      <c r="N293" s="10"/>
    </row>
    <row r="294">
      <c r="A294" s="740" t="s">
        <v>20962</v>
      </c>
      <c r="B294" s="134">
        <v>7051.0</v>
      </c>
      <c r="C294" s="297" t="s">
        <v>20580</v>
      </c>
      <c r="D294" s="715">
        <v>0.8</v>
      </c>
      <c r="E294" s="715">
        <v>0.8</v>
      </c>
      <c r="F294" s="348" t="s">
        <v>1656</v>
      </c>
      <c r="G294" s="10"/>
      <c r="H294" s="741" t="s">
        <v>20962</v>
      </c>
      <c r="I294" s="717">
        <v>7051.0</v>
      </c>
      <c r="J294" s="10"/>
      <c r="K294" s="10"/>
      <c r="L294" s="10"/>
      <c r="M294" s="10"/>
      <c r="N294" s="10"/>
    </row>
    <row r="295">
      <c r="A295" s="740" t="s">
        <v>20963</v>
      </c>
      <c r="B295" s="134">
        <v>6906.0</v>
      </c>
      <c r="C295" s="297" t="s">
        <v>20580</v>
      </c>
      <c r="D295" s="715">
        <v>0.8</v>
      </c>
      <c r="E295" s="715">
        <v>0.8</v>
      </c>
      <c r="F295" s="348" t="s">
        <v>1656</v>
      </c>
      <c r="G295" s="10"/>
      <c r="H295" s="741" t="s">
        <v>20963</v>
      </c>
      <c r="I295" s="717">
        <v>6906.0</v>
      </c>
      <c r="J295" s="10"/>
      <c r="K295" s="10"/>
      <c r="L295" s="10"/>
      <c r="M295" s="10"/>
      <c r="N295" s="10"/>
    </row>
    <row r="296">
      <c r="A296" s="740" t="s">
        <v>20964</v>
      </c>
      <c r="B296" s="134">
        <v>10141.0</v>
      </c>
      <c r="C296" s="297" t="s">
        <v>20580</v>
      </c>
      <c r="D296" s="715">
        <v>0.8</v>
      </c>
      <c r="E296" s="715">
        <v>0.8</v>
      </c>
      <c r="F296" s="348" t="s">
        <v>1656</v>
      </c>
      <c r="G296" s="10"/>
      <c r="H296" s="741" t="s">
        <v>20964</v>
      </c>
      <c r="I296" s="717">
        <v>10141.0</v>
      </c>
      <c r="J296" s="9">
        <v>7058.0</v>
      </c>
      <c r="K296" s="10"/>
      <c r="L296" s="10"/>
      <c r="M296" s="10"/>
      <c r="N296" s="10"/>
    </row>
    <row r="297">
      <c r="A297" s="740" t="s">
        <v>20965</v>
      </c>
      <c r="B297" s="151">
        <v>6697.0</v>
      </c>
      <c r="C297" s="297" t="s">
        <v>20580</v>
      </c>
      <c r="D297" s="715">
        <v>0.8</v>
      </c>
      <c r="E297" s="715">
        <v>0.8</v>
      </c>
      <c r="F297" s="348" t="s">
        <v>1656</v>
      </c>
      <c r="G297" s="10"/>
      <c r="H297" s="741" t="s">
        <v>20965</v>
      </c>
      <c r="I297" s="735">
        <v>6697.0</v>
      </c>
      <c r="J297" s="10"/>
      <c r="K297" s="10"/>
      <c r="L297" s="10"/>
      <c r="M297" s="10"/>
      <c r="N297" s="10"/>
    </row>
    <row r="298">
      <c r="A298" s="740" t="s">
        <v>20966</v>
      </c>
      <c r="B298" s="134">
        <v>6903.0</v>
      </c>
      <c r="C298" s="297" t="s">
        <v>20580</v>
      </c>
      <c r="D298" s="715">
        <v>0.8</v>
      </c>
      <c r="E298" s="715">
        <v>0.8</v>
      </c>
      <c r="F298" s="348" t="s">
        <v>1656</v>
      </c>
      <c r="G298" s="10"/>
      <c r="H298" s="742" t="s">
        <v>20966</v>
      </c>
      <c r="I298" s="111">
        <v>6903.0</v>
      </c>
      <c r="J298" s="303"/>
      <c r="K298" s="10"/>
      <c r="L298" s="10"/>
      <c r="M298" s="10"/>
      <c r="N298" s="10"/>
    </row>
    <row r="299">
      <c r="A299" s="740" t="s">
        <v>20967</v>
      </c>
      <c r="B299" s="134">
        <v>6928.0</v>
      </c>
      <c r="C299" s="297" t="s">
        <v>20580</v>
      </c>
      <c r="D299" s="715">
        <v>0.8</v>
      </c>
      <c r="E299" s="715">
        <v>0.8</v>
      </c>
      <c r="F299" s="348" t="s">
        <v>1656</v>
      </c>
      <c r="G299" s="10"/>
      <c r="H299" s="741" t="s">
        <v>20967</v>
      </c>
      <c r="I299" s="717">
        <v>6928.0</v>
      </c>
      <c r="J299" s="10"/>
      <c r="K299" s="10"/>
      <c r="L299" s="10"/>
      <c r="M299" s="10"/>
      <c r="N299" s="10"/>
    </row>
    <row r="300">
      <c r="A300" s="740" t="s">
        <v>20968</v>
      </c>
      <c r="B300" s="134">
        <v>6727.0</v>
      </c>
      <c r="C300" s="297" t="s">
        <v>20580</v>
      </c>
      <c r="D300" s="715">
        <v>0.8</v>
      </c>
      <c r="E300" s="715">
        <v>0.8</v>
      </c>
      <c r="F300" s="348" t="s">
        <v>1656</v>
      </c>
      <c r="G300" s="10"/>
      <c r="H300" s="741" t="s">
        <v>20968</v>
      </c>
      <c r="I300" s="717">
        <v>6727.0</v>
      </c>
      <c r="J300" s="10"/>
      <c r="K300" s="10"/>
      <c r="L300" s="10"/>
      <c r="M300" s="10"/>
      <c r="N300" s="10"/>
    </row>
    <row r="301">
      <c r="A301" s="740" t="s">
        <v>20969</v>
      </c>
      <c r="B301" s="134">
        <v>6727.0</v>
      </c>
      <c r="C301" s="297" t="s">
        <v>20580</v>
      </c>
      <c r="D301" s="715">
        <v>0.8</v>
      </c>
      <c r="E301" s="715">
        <v>0.8</v>
      </c>
      <c r="F301" s="348" t="s">
        <v>1656</v>
      </c>
      <c r="G301" s="10"/>
      <c r="H301" s="741" t="s">
        <v>20969</v>
      </c>
      <c r="I301" s="717">
        <v>6727.0</v>
      </c>
      <c r="J301" s="10"/>
      <c r="K301" s="10"/>
      <c r="L301" s="10"/>
      <c r="M301" s="10"/>
      <c r="N301" s="10"/>
    </row>
    <row r="302">
      <c r="A302" s="740" t="s">
        <v>20970</v>
      </c>
      <c r="B302" s="134">
        <v>6727.0</v>
      </c>
      <c r="C302" s="297" t="s">
        <v>20580</v>
      </c>
      <c r="D302" s="715">
        <v>0.8</v>
      </c>
      <c r="E302" s="715">
        <v>0.8</v>
      </c>
      <c r="F302" s="348" t="s">
        <v>1656</v>
      </c>
      <c r="G302" s="10"/>
      <c r="H302" s="741" t="s">
        <v>20970</v>
      </c>
      <c r="I302" s="717">
        <v>6727.0</v>
      </c>
      <c r="J302" s="10"/>
      <c r="K302" s="10"/>
      <c r="L302" s="10"/>
      <c r="M302" s="10"/>
      <c r="N302" s="10"/>
    </row>
    <row r="303">
      <c r="A303" s="740" t="s">
        <v>20971</v>
      </c>
      <c r="B303" s="134">
        <v>6727.0</v>
      </c>
      <c r="C303" s="297" t="s">
        <v>20580</v>
      </c>
      <c r="D303" s="715">
        <v>0.8</v>
      </c>
      <c r="E303" s="715">
        <v>0.8</v>
      </c>
      <c r="F303" s="348" t="s">
        <v>1656</v>
      </c>
      <c r="G303" s="10"/>
      <c r="H303" s="741" t="s">
        <v>20971</v>
      </c>
      <c r="I303" s="717">
        <v>6727.0</v>
      </c>
      <c r="J303" s="10"/>
      <c r="K303" s="10"/>
      <c r="L303" s="10"/>
      <c r="M303" s="10"/>
      <c r="N303" s="10"/>
    </row>
    <row r="304">
      <c r="A304" s="740" t="s">
        <v>20972</v>
      </c>
      <c r="B304" s="134">
        <v>6727.0</v>
      </c>
      <c r="C304" s="297" t="s">
        <v>20580</v>
      </c>
      <c r="D304" s="715">
        <v>0.8</v>
      </c>
      <c r="E304" s="715">
        <v>0.8</v>
      </c>
      <c r="F304" s="348" t="s">
        <v>1656</v>
      </c>
      <c r="G304" s="10"/>
      <c r="H304" s="741" t="s">
        <v>20972</v>
      </c>
      <c r="I304" s="717">
        <v>6727.0</v>
      </c>
      <c r="J304" s="10"/>
      <c r="K304" s="10"/>
      <c r="L304" s="10"/>
      <c r="M304" s="10"/>
      <c r="N304" s="10"/>
    </row>
    <row r="305">
      <c r="A305" s="730" t="s">
        <v>20973</v>
      </c>
      <c r="B305" s="134">
        <v>7083.0</v>
      </c>
      <c r="C305" s="297" t="s">
        <v>20580</v>
      </c>
      <c r="D305" s="715">
        <v>0.8</v>
      </c>
      <c r="E305" s="715">
        <v>0.8</v>
      </c>
      <c r="F305" s="348" t="s">
        <v>1656</v>
      </c>
      <c r="G305" s="10"/>
      <c r="H305" s="743" t="s">
        <v>20973</v>
      </c>
      <c r="I305" s="111">
        <v>7083.0</v>
      </c>
      <c r="J305" s="111">
        <v>3231.0</v>
      </c>
      <c r="K305" s="10"/>
      <c r="L305" s="10"/>
      <c r="M305" s="10"/>
      <c r="N305" s="10"/>
    </row>
    <row r="306">
      <c r="A306" s="730" t="s">
        <v>20974</v>
      </c>
      <c r="B306" s="297">
        <v>663.0</v>
      </c>
      <c r="C306" s="297" t="s">
        <v>20580</v>
      </c>
      <c r="D306" s="723">
        <v>0.85</v>
      </c>
      <c r="E306" s="723">
        <v>0.85</v>
      </c>
      <c r="F306" s="348" t="s">
        <v>1656</v>
      </c>
      <c r="G306" s="10"/>
      <c r="H306" s="744" t="s">
        <v>20974</v>
      </c>
      <c r="I306" s="9">
        <v>663.0</v>
      </c>
      <c r="J306" s="9">
        <v>6802.0</v>
      </c>
      <c r="K306" s="10"/>
      <c r="L306" s="10"/>
      <c r="M306" s="10"/>
      <c r="N306" s="10"/>
    </row>
    <row r="307">
      <c r="A307" s="730" t="s">
        <v>20975</v>
      </c>
      <c r="B307" s="134">
        <v>6829.0</v>
      </c>
      <c r="C307" s="297" t="s">
        <v>20580</v>
      </c>
      <c r="D307" s="715">
        <v>0.8</v>
      </c>
      <c r="E307" s="715">
        <v>0.8</v>
      </c>
      <c r="F307" s="348" t="s">
        <v>1656</v>
      </c>
      <c r="G307" s="10"/>
      <c r="H307" s="731" t="s">
        <v>20975</v>
      </c>
      <c r="I307" s="717">
        <v>6829.0</v>
      </c>
      <c r="J307" s="9"/>
      <c r="K307" s="10"/>
      <c r="L307" s="10"/>
      <c r="M307" s="10"/>
      <c r="N307" s="10"/>
    </row>
    <row r="308">
      <c r="A308" s="730" t="s">
        <v>20976</v>
      </c>
      <c r="B308" s="134">
        <v>7069.0</v>
      </c>
      <c r="C308" s="297" t="s">
        <v>20580</v>
      </c>
      <c r="D308" s="715">
        <v>0.8</v>
      </c>
      <c r="E308" s="715">
        <v>0.8</v>
      </c>
      <c r="F308" s="348" t="s">
        <v>1656</v>
      </c>
      <c r="G308" s="10"/>
      <c r="H308" s="743" t="s">
        <v>20976</v>
      </c>
      <c r="I308" s="111">
        <v>7069.0</v>
      </c>
      <c r="J308" s="111"/>
      <c r="K308" s="10"/>
      <c r="L308" s="10"/>
      <c r="M308" s="10"/>
      <c r="N308" s="10"/>
    </row>
    <row r="309">
      <c r="A309" s="730" t="s">
        <v>20977</v>
      </c>
      <c r="B309" s="134">
        <v>14529.0</v>
      </c>
      <c r="C309" s="297" t="s">
        <v>20580</v>
      </c>
      <c r="D309" s="9">
        <v>7072.0</v>
      </c>
      <c r="E309" s="745"/>
      <c r="F309" s="746"/>
      <c r="G309" s="10"/>
      <c r="H309" s="731" t="s">
        <v>20977</v>
      </c>
      <c r="I309" s="717">
        <v>7072.0</v>
      </c>
      <c r="J309" s="10"/>
      <c r="K309" s="10"/>
      <c r="L309" s="10"/>
      <c r="M309" s="10"/>
      <c r="N309" s="10"/>
    </row>
    <row r="310">
      <c r="A310" s="730" t="s">
        <v>20978</v>
      </c>
      <c r="B310" s="134">
        <v>7072.0</v>
      </c>
      <c r="C310" s="297" t="s">
        <v>20580</v>
      </c>
      <c r="D310" s="715">
        <v>0.8</v>
      </c>
      <c r="E310" s="715">
        <v>0.8</v>
      </c>
      <c r="F310" s="746"/>
      <c r="G310" s="10"/>
      <c r="H310" s="731" t="s">
        <v>20978</v>
      </c>
      <c r="I310" s="717">
        <v>7072.0</v>
      </c>
      <c r="J310" s="10"/>
      <c r="K310" s="10"/>
      <c r="L310" s="10"/>
      <c r="M310" s="10"/>
      <c r="N310" s="10"/>
    </row>
    <row r="311">
      <c r="A311" s="730" t="s">
        <v>20979</v>
      </c>
      <c r="B311" s="151">
        <v>6697.0</v>
      </c>
      <c r="C311" s="297" t="s">
        <v>20580</v>
      </c>
      <c r="D311" s="715">
        <v>0.8</v>
      </c>
      <c r="E311" s="715">
        <v>0.8</v>
      </c>
      <c r="F311" s="746"/>
      <c r="G311" s="10"/>
      <c r="H311" s="731" t="s">
        <v>20979</v>
      </c>
      <c r="I311" s="735">
        <v>6697.0</v>
      </c>
      <c r="J311" s="10"/>
      <c r="K311" s="10"/>
      <c r="L311" s="10"/>
      <c r="M311" s="10"/>
      <c r="N311" s="10"/>
    </row>
    <row r="312">
      <c r="A312" s="730" t="s">
        <v>20980</v>
      </c>
      <c r="B312" s="134">
        <v>7083.0</v>
      </c>
      <c r="C312" s="297" t="s">
        <v>20580</v>
      </c>
      <c r="D312" s="715">
        <v>0.8</v>
      </c>
      <c r="E312" s="715">
        <v>0.8</v>
      </c>
      <c r="F312" s="746"/>
      <c r="G312" s="10"/>
      <c r="H312" s="731" t="s">
        <v>20980</v>
      </c>
      <c r="I312" s="717">
        <v>7083.0</v>
      </c>
      <c r="J312" s="10"/>
      <c r="K312" s="10"/>
      <c r="L312" s="10"/>
      <c r="M312" s="10"/>
      <c r="N312" s="10"/>
    </row>
    <row r="313">
      <c r="A313" s="730" t="s">
        <v>20981</v>
      </c>
      <c r="B313" s="134">
        <v>136.0</v>
      </c>
      <c r="C313" s="297" t="s">
        <v>20580</v>
      </c>
      <c r="D313" s="715">
        <v>0.8</v>
      </c>
      <c r="E313" s="715">
        <v>0.8</v>
      </c>
      <c r="F313" s="746"/>
      <c r="G313" s="10"/>
      <c r="H313" s="731" t="s">
        <v>20981</v>
      </c>
      <c r="I313" s="717">
        <v>136.0</v>
      </c>
      <c r="J313" s="10"/>
      <c r="K313" s="10"/>
      <c r="L313" s="10"/>
      <c r="M313" s="10"/>
      <c r="N313" s="10"/>
    </row>
    <row r="314">
      <c r="A314" s="730" t="s">
        <v>20982</v>
      </c>
      <c r="B314" s="134">
        <v>7070.0</v>
      </c>
      <c r="C314" s="297" t="s">
        <v>20580</v>
      </c>
      <c r="D314" s="723">
        <v>0.85</v>
      </c>
      <c r="E314" s="723">
        <v>0.85</v>
      </c>
      <c r="F314" s="746"/>
      <c r="G314" s="10"/>
      <c r="H314" s="731" t="s">
        <v>20982</v>
      </c>
      <c r="I314" s="717">
        <v>7070.0</v>
      </c>
      <c r="J314" s="10"/>
      <c r="K314" s="10"/>
      <c r="L314" s="10"/>
      <c r="M314" s="10"/>
      <c r="N314" s="10"/>
    </row>
    <row r="315">
      <c r="A315" s="134" t="s">
        <v>1956</v>
      </c>
      <c r="B315" s="134">
        <v>7055.0</v>
      </c>
      <c r="C315" s="297" t="s">
        <v>20580</v>
      </c>
      <c r="D315" s="715">
        <v>0.8</v>
      </c>
      <c r="E315" s="715">
        <v>0.8</v>
      </c>
      <c r="F315" s="746"/>
      <c r="G315" s="10"/>
      <c r="H315" s="717" t="s">
        <v>1956</v>
      </c>
      <c r="I315" s="717">
        <v>7055.0</v>
      </c>
      <c r="J315" s="10"/>
      <c r="K315" s="10"/>
      <c r="L315" s="10"/>
      <c r="M315" s="10"/>
      <c r="N315" s="10"/>
    </row>
    <row r="316">
      <c r="A316" s="297" t="s">
        <v>20983</v>
      </c>
      <c r="B316" s="297">
        <v>2345.0</v>
      </c>
      <c r="C316" s="297" t="s">
        <v>20580</v>
      </c>
      <c r="D316" s="723">
        <v>0.9</v>
      </c>
      <c r="E316" s="723">
        <v>0.9</v>
      </c>
      <c r="F316" s="746"/>
      <c r="G316" s="10"/>
      <c r="H316" s="9" t="s">
        <v>20983</v>
      </c>
      <c r="I316" s="9">
        <v>2345.0</v>
      </c>
      <c r="J316" s="10"/>
      <c r="K316" s="10"/>
      <c r="L316" s="10"/>
      <c r="M316" s="10"/>
      <c r="N316" s="10"/>
    </row>
    <row r="317">
      <c r="A317" s="747" t="s">
        <v>20984</v>
      </c>
      <c r="B317" s="466"/>
      <c r="C317" s="297" t="s">
        <v>20580</v>
      </c>
      <c r="D317" s="715">
        <v>0.8</v>
      </c>
      <c r="E317" s="715">
        <v>0.8</v>
      </c>
      <c r="F317" s="746"/>
      <c r="G317" s="10"/>
      <c r="H317" s="9" t="s">
        <v>20984</v>
      </c>
      <c r="I317" s="9">
        <v>2345.0</v>
      </c>
      <c r="J317" s="10"/>
      <c r="K317" s="10"/>
      <c r="L317" s="10"/>
      <c r="M317" s="10"/>
      <c r="N317" s="10"/>
    </row>
    <row r="318">
      <c r="A318" s="134" t="s">
        <v>20985</v>
      </c>
      <c r="B318" s="134">
        <v>6133.0</v>
      </c>
      <c r="C318" s="297" t="s">
        <v>20580</v>
      </c>
      <c r="D318" s="723">
        <v>0.85</v>
      </c>
      <c r="E318" s="723">
        <v>0.85</v>
      </c>
      <c r="F318" s="746"/>
      <c r="G318" s="10"/>
      <c r="H318" s="717" t="s">
        <v>20985</v>
      </c>
      <c r="I318" s="717">
        <v>6133.0</v>
      </c>
      <c r="J318" s="10"/>
      <c r="K318" s="10"/>
      <c r="L318" s="10"/>
      <c r="M318" s="10"/>
      <c r="N318" s="10"/>
    </row>
    <row r="319">
      <c r="A319" s="134" t="s">
        <v>20986</v>
      </c>
      <c r="B319" s="134">
        <v>6133.0</v>
      </c>
      <c r="C319" s="297" t="s">
        <v>20580</v>
      </c>
      <c r="D319" s="723">
        <v>0.85</v>
      </c>
      <c r="E319" s="723">
        <v>0.85</v>
      </c>
      <c r="F319" s="746"/>
      <c r="G319" s="10"/>
      <c r="H319" s="717" t="s">
        <v>20986</v>
      </c>
      <c r="I319" s="717">
        <v>6133.0</v>
      </c>
      <c r="J319" s="10"/>
      <c r="K319" s="10"/>
      <c r="L319" s="10"/>
      <c r="M319" s="10"/>
      <c r="N319" s="10"/>
    </row>
    <row r="320">
      <c r="A320" s="134" t="s">
        <v>20987</v>
      </c>
      <c r="B320" s="134">
        <v>6133.0</v>
      </c>
      <c r="C320" s="297" t="s">
        <v>20580</v>
      </c>
      <c r="D320" s="723">
        <v>0.85</v>
      </c>
      <c r="E320" s="723">
        <v>0.85</v>
      </c>
      <c r="F320" s="746"/>
      <c r="G320" s="10"/>
      <c r="H320" s="717" t="s">
        <v>20987</v>
      </c>
      <c r="I320" s="717">
        <v>6133.0</v>
      </c>
      <c r="J320" s="10"/>
      <c r="K320" s="10"/>
      <c r="L320" s="10"/>
      <c r="M320" s="10"/>
      <c r="N320" s="10"/>
    </row>
    <row r="321">
      <c r="A321" s="134" t="s">
        <v>20988</v>
      </c>
      <c r="B321" s="134">
        <v>6133.0</v>
      </c>
      <c r="C321" s="297" t="s">
        <v>20580</v>
      </c>
      <c r="D321" s="723">
        <v>0.85</v>
      </c>
      <c r="E321" s="723">
        <v>0.85</v>
      </c>
      <c r="F321" s="746"/>
      <c r="G321" s="10"/>
      <c r="H321" s="717" t="s">
        <v>20988</v>
      </c>
      <c r="I321" s="717">
        <v>6133.0</v>
      </c>
      <c r="J321" s="10"/>
      <c r="K321" s="10"/>
      <c r="L321" s="10"/>
      <c r="M321" s="10"/>
      <c r="N321" s="10"/>
    </row>
    <row r="322">
      <c r="A322" s="134" t="s">
        <v>20989</v>
      </c>
      <c r="B322" s="134">
        <v>6133.0</v>
      </c>
      <c r="C322" s="297" t="s">
        <v>20580</v>
      </c>
      <c r="D322" s="723">
        <v>0.85</v>
      </c>
      <c r="E322" s="723">
        <v>0.85</v>
      </c>
      <c r="F322" s="746"/>
      <c r="G322" s="10"/>
      <c r="H322" s="717" t="s">
        <v>20989</v>
      </c>
      <c r="I322" s="717">
        <v>6133.0</v>
      </c>
      <c r="J322" s="10"/>
      <c r="K322" s="10"/>
      <c r="L322" s="10"/>
      <c r="M322" s="10"/>
      <c r="N322" s="10"/>
    </row>
    <row r="323">
      <c r="A323" s="134" t="s">
        <v>20990</v>
      </c>
      <c r="B323" s="134">
        <v>6671.0</v>
      </c>
      <c r="C323" s="297" t="s">
        <v>20580</v>
      </c>
      <c r="D323" s="715">
        <v>0.8</v>
      </c>
      <c r="E323" s="715">
        <v>0.8</v>
      </c>
      <c r="F323" s="746"/>
      <c r="G323" s="10"/>
      <c r="H323" s="717" t="s">
        <v>20990</v>
      </c>
      <c r="I323" s="717">
        <v>6671.0</v>
      </c>
      <c r="J323" s="10"/>
      <c r="K323" s="10"/>
      <c r="L323" s="10"/>
      <c r="M323" s="10"/>
      <c r="N323" s="10"/>
    </row>
    <row r="324">
      <c r="A324" s="134" t="s">
        <v>1958</v>
      </c>
      <c r="B324" s="134">
        <v>6671.0</v>
      </c>
      <c r="C324" s="297" t="s">
        <v>20580</v>
      </c>
      <c r="D324" s="715">
        <v>0.8</v>
      </c>
      <c r="E324" s="715">
        <v>0.8</v>
      </c>
      <c r="F324" s="746"/>
      <c r="G324" s="10"/>
      <c r="H324" s="111" t="s">
        <v>1958</v>
      </c>
      <c r="I324" s="111">
        <v>6671.0</v>
      </c>
      <c r="J324" s="303"/>
      <c r="K324" s="10"/>
      <c r="L324" s="10"/>
      <c r="M324" s="10"/>
      <c r="N324" s="10"/>
    </row>
    <row r="325">
      <c r="A325" s="134" t="s">
        <v>9</v>
      </c>
      <c r="B325" s="134">
        <v>6671.0</v>
      </c>
      <c r="C325" s="297" t="s">
        <v>20580</v>
      </c>
      <c r="D325" s="715">
        <v>0.8</v>
      </c>
      <c r="E325" s="715">
        <v>0.8</v>
      </c>
      <c r="F325" s="746"/>
      <c r="G325" s="10"/>
      <c r="H325" s="717" t="s">
        <v>9</v>
      </c>
      <c r="I325" s="717">
        <v>6671.0</v>
      </c>
      <c r="J325" s="10"/>
      <c r="K325" s="10"/>
      <c r="L325" s="10"/>
      <c r="M325" s="10"/>
      <c r="N325" s="10"/>
    </row>
    <row r="326">
      <c r="A326" s="748" t="s">
        <v>20991</v>
      </c>
      <c r="B326" s="134">
        <v>6873.0</v>
      </c>
      <c r="C326" s="297" t="s">
        <v>20580</v>
      </c>
      <c r="D326" s="715">
        <v>0.8</v>
      </c>
      <c r="E326" s="715">
        <v>0.8</v>
      </c>
      <c r="F326" s="746"/>
      <c r="G326" s="10"/>
      <c r="H326" s="749" t="s">
        <v>20991</v>
      </c>
      <c r="I326" s="717">
        <v>6873.0</v>
      </c>
      <c r="J326" s="10"/>
      <c r="K326" s="10"/>
      <c r="L326" s="10"/>
      <c r="M326" s="10"/>
      <c r="N326" s="10"/>
    </row>
    <row r="327">
      <c r="A327" s="516" t="s">
        <v>20992</v>
      </c>
      <c r="B327" s="134">
        <v>10923.0</v>
      </c>
      <c r="C327" s="297" t="s">
        <v>20580</v>
      </c>
      <c r="D327" s="715">
        <v>0.8</v>
      </c>
      <c r="E327" s="715">
        <v>0.8</v>
      </c>
      <c r="F327" s="746"/>
      <c r="G327" s="10"/>
      <c r="H327" s="750" t="s">
        <v>20992</v>
      </c>
      <c r="I327" s="717">
        <v>10923.0</v>
      </c>
      <c r="J327" s="10"/>
      <c r="K327" s="10"/>
      <c r="L327" s="10"/>
      <c r="M327" s="10"/>
      <c r="N327" s="10"/>
    </row>
    <row r="328">
      <c r="A328" s="516" t="s">
        <v>20993</v>
      </c>
      <c r="B328" s="134">
        <v>513.0</v>
      </c>
      <c r="C328" s="297" t="s">
        <v>20580</v>
      </c>
      <c r="D328" s="715">
        <v>0.8</v>
      </c>
      <c r="E328" s="715">
        <v>0.8</v>
      </c>
      <c r="F328" s="746"/>
      <c r="G328" s="10"/>
      <c r="H328" s="750" t="s">
        <v>20993</v>
      </c>
      <c r="I328" s="717">
        <v>513.0</v>
      </c>
      <c r="J328" s="10"/>
      <c r="K328" s="10"/>
      <c r="L328" s="10"/>
      <c r="M328" s="10"/>
      <c r="N328" s="10"/>
    </row>
    <row r="329">
      <c r="A329" s="516" t="s">
        <v>20994</v>
      </c>
      <c r="B329" s="134">
        <v>9701.0</v>
      </c>
      <c r="C329" s="297" t="s">
        <v>20580</v>
      </c>
      <c r="D329" s="715">
        <v>0.8</v>
      </c>
      <c r="E329" s="715">
        <v>0.8</v>
      </c>
      <c r="F329" s="746"/>
      <c r="G329" s="10"/>
      <c r="H329" s="750" t="s">
        <v>20994</v>
      </c>
      <c r="I329" s="717">
        <v>9701.0</v>
      </c>
      <c r="J329" s="10"/>
      <c r="K329" s="10"/>
      <c r="L329" s="10"/>
      <c r="M329" s="10"/>
      <c r="N329" s="10"/>
    </row>
    <row r="330">
      <c r="A330" s="516" t="s">
        <v>20995</v>
      </c>
      <c r="B330" s="134">
        <v>7168.0</v>
      </c>
      <c r="C330" s="297" t="s">
        <v>20580</v>
      </c>
      <c r="D330" s="715">
        <v>0.8</v>
      </c>
      <c r="E330" s="715">
        <v>0.8</v>
      </c>
      <c r="F330" s="746"/>
      <c r="G330" s="10"/>
      <c r="H330" s="750" t="s">
        <v>20995</v>
      </c>
      <c r="I330" s="717">
        <v>7168.0</v>
      </c>
      <c r="J330" s="10"/>
      <c r="K330" s="10"/>
      <c r="L330" s="10"/>
      <c r="M330" s="10"/>
      <c r="N330" s="10"/>
    </row>
    <row r="331">
      <c r="A331" s="516" t="s">
        <v>20996</v>
      </c>
      <c r="B331" s="134">
        <v>7158.0</v>
      </c>
      <c r="C331" s="297" t="s">
        <v>20580</v>
      </c>
      <c r="D331" s="715">
        <v>0.8</v>
      </c>
      <c r="E331" s="715">
        <v>0.8</v>
      </c>
      <c r="F331" s="746"/>
      <c r="G331" s="10"/>
      <c r="H331" s="750" t="s">
        <v>20996</v>
      </c>
      <c r="I331" s="717">
        <v>7158.0</v>
      </c>
      <c r="J331" s="10"/>
      <c r="K331" s="10"/>
      <c r="L331" s="10"/>
      <c r="M331" s="10"/>
      <c r="N331" s="10"/>
    </row>
    <row r="332">
      <c r="A332" s="516" t="s">
        <v>20997</v>
      </c>
      <c r="B332" s="134">
        <v>6893.0</v>
      </c>
      <c r="C332" s="297" t="s">
        <v>20580</v>
      </c>
      <c r="D332" s="715">
        <v>0.8</v>
      </c>
      <c r="E332" s="715">
        <v>0.8</v>
      </c>
      <c r="F332" s="746"/>
      <c r="G332" s="10"/>
      <c r="H332" s="750" t="s">
        <v>20997</v>
      </c>
      <c r="I332" s="717">
        <v>6893.0</v>
      </c>
      <c r="J332" s="10"/>
      <c r="K332" s="10"/>
      <c r="L332" s="10"/>
      <c r="M332" s="10"/>
      <c r="N332" s="10"/>
    </row>
    <row r="333">
      <c r="A333" s="516" t="s">
        <v>20998</v>
      </c>
      <c r="B333" s="134">
        <v>7010.0</v>
      </c>
      <c r="C333" s="297" t="s">
        <v>20580</v>
      </c>
      <c r="D333" s="723">
        <v>0.85</v>
      </c>
      <c r="E333" s="723">
        <v>0.85</v>
      </c>
      <c r="F333" s="746"/>
      <c r="G333" s="10"/>
      <c r="H333" s="750" t="s">
        <v>20998</v>
      </c>
      <c r="I333" s="717">
        <v>7010.0</v>
      </c>
      <c r="J333" s="10"/>
      <c r="K333" s="10"/>
      <c r="L333" s="10"/>
      <c r="M333" s="10"/>
      <c r="N333" s="10"/>
    </row>
    <row r="334">
      <c r="A334" s="516">
        <v>499.0</v>
      </c>
      <c r="B334" s="134">
        <v>8199.0</v>
      </c>
      <c r="C334" s="297" t="s">
        <v>20580</v>
      </c>
      <c r="D334" s="715">
        <v>0.8</v>
      </c>
      <c r="E334" s="715">
        <v>0.8</v>
      </c>
      <c r="F334" s="746"/>
      <c r="G334" s="10"/>
      <c r="H334" s="750">
        <v>499.0</v>
      </c>
      <c r="I334" s="717">
        <v>8199.0</v>
      </c>
      <c r="J334" s="10"/>
      <c r="K334" s="10"/>
      <c r="L334" s="10"/>
      <c r="M334" s="10"/>
      <c r="N334" s="10"/>
    </row>
    <row r="335">
      <c r="A335" s="516" t="s">
        <v>20999</v>
      </c>
      <c r="B335" s="134">
        <v>663.0</v>
      </c>
      <c r="C335" s="297" t="s">
        <v>20580</v>
      </c>
      <c r="D335" s="723">
        <v>0.85</v>
      </c>
      <c r="E335" s="723">
        <v>0.85</v>
      </c>
      <c r="F335" s="746"/>
      <c r="G335" s="10"/>
      <c r="H335" s="750" t="s">
        <v>20999</v>
      </c>
      <c r="I335" s="717">
        <v>663.0</v>
      </c>
      <c r="J335" s="9"/>
      <c r="K335" s="10"/>
      <c r="L335" s="10"/>
      <c r="M335" s="10"/>
      <c r="N335" s="10"/>
    </row>
    <row r="336">
      <c r="A336" s="516" t="s">
        <v>21000</v>
      </c>
      <c r="B336" s="134">
        <v>7010.0</v>
      </c>
      <c r="C336" s="297" t="s">
        <v>20580</v>
      </c>
      <c r="D336" s="723">
        <v>0.85</v>
      </c>
      <c r="E336" s="723">
        <v>0.85</v>
      </c>
      <c r="F336" s="746"/>
      <c r="G336" s="10"/>
      <c r="H336" s="750" t="s">
        <v>21000</v>
      </c>
      <c r="I336" s="717">
        <v>7010.0</v>
      </c>
      <c r="J336" s="10"/>
      <c r="K336" s="10"/>
      <c r="L336" s="10"/>
      <c r="M336" s="10"/>
      <c r="N336" s="10"/>
    </row>
    <row r="337">
      <c r="A337" s="516">
        <v>568.0</v>
      </c>
      <c r="B337" s="134">
        <v>6272.0</v>
      </c>
      <c r="C337" s="297" t="s">
        <v>20580</v>
      </c>
      <c r="D337" s="715">
        <v>0.8</v>
      </c>
      <c r="E337" s="715">
        <v>0.8</v>
      </c>
      <c r="F337" s="746"/>
      <c r="G337" s="10"/>
      <c r="H337" s="750">
        <v>568.0</v>
      </c>
      <c r="I337" s="717">
        <v>6272.0</v>
      </c>
      <c r="J337" s="10"/>
      <c r="K337" s="10"/>
      <c r="L337" s="10"/>
      <c r="M337" s="10"/>
      <c r="N337" s="10"/>
    </row>
    <row r="338">
      <c r="A338" s="516" t="s">
        <v>21001</v>
      </c>
      <c r="B338" s="134">
        <v>14248.0</v>
      </c>
      <c r="C338" s="297" t="s">
        <v>20580</v>
      </c>
      <c r="D338" s="715">
        <v>0.8</v>
      </c>
      <c r="E338" s="715">
        <v>0.8</v>
      </c>
      <c r="F338" s="746"/>
      <c r="G338" s="10"/>
      <c r="H338" s="750" t="s">
        <v>21001</v>
      </c>
      <c r="I338" s="717">
        <v>14248.0</v>
      </c>
      <c r="J338" s="10"/>
      <c r="K338" s="10"/>
      <c r="L338" s="10"/>
      <c r="M338" s="10"/>
      <c r="N338" s="10"/>
    </row>
    <row r="339">
      <c r="A339" s="222" t="s">
        <v>21002</v>
      </c>
      <c r="B339" s="9">
        <v>14480.0</v>
      </c>
      <c r="C339" s="297" t="s">
        <v>20580</v>
      </c>
      <c r="D339" s="715">
        <v>0.8</v>
      </c>
      <c r="E339" s="715">
        <v>0.8</v>
      </c>
      <c r="F339" s="746"/>
      <c r="G339" s="10"/>
      <c r="H339" s="222" t="s">
        <v>21002</v>
      </c>
      <c r="I339" s="10"/>
      <c r="J339" s="9">
        <v>3689.0</v>
      </c>
      <c r="K339" s="10"/>
      <c r="L339" s="10"/>
      <c r="M339" s="10"/>
      <c r="N339" s="10"/>
    </row>
    <row r="340">
      <c r="A340" s="516" t="s">
        <v>21003</v>
      </c>
      <c r="B340" s="134">
        <v>6774.0</v>
      </c>
      <c r="C340" s="297" t="s">
        <v>20580</v>
      </c>
      <c r="D340" s="715">
        <v>0.8</v>
      </c>
      <c r="E340" s="715">
        <v>0.8</v>
      </c>
      <c r="F340" s="746"/>
      <c r="G340" s="10"/>
      <c r="H340" s="750" t="s">
        <v>21003</v>
      </c>
      <c r="I340" s="717">
        <v>6774.0</v>
      </c>
      <c r="J340" s="10"/>
      <c r="K340" s="10"/>
      <c r="L340" s="10"/>
      <c r="M340" s="10"/>
      <c r="N340" s="10"/>
    </row>
    <row r="341">
      <c r="A341" s="516" t="s">
        <v>21004</v>
      </c>
      <c r="B341" s="134">
        <v>11708.0</v>
      </c>
      <c r="C341" s="297" t="s">
        <v>20580</v>
      </c>
      <c r="D341" s="715">
        <v>0.8</v>
      </c>
      <c r="E341" s="715">
        <v>0.8</v>
      </c>
      <c r="F341" s="746"/>
      <c r="G341" s="10"/>
      <c r="H341" s="750" t="s">
        <v>21004</v>
      </c>
      <c r="I341" s="717">
        <v>11708.0</v>
      </c>
      <c r="J341" s="10"/>
      <c r="K341" s="10"/>
      <c r="L341" s="10"/>
      <c r="M341" s="10"/>
      <c r="N341" s="10"/>
    </row>
    <row r="342">
      <c r="A342" s="516" t="s">
        <v>21005</v>
      </c>
      <c r="B342" s="134">
        <v>5365.0</v>
      </c>
      <c r="C342" s="297" t="s">
        <v>20580</v>
      </c>
      <c r="D342" s="715">
        <v>0.8</v>
      </c>
      <c r="E342" s="715">
        <v>0.8</v>
      </c>
      <c r="F342" s="746"/>
      <c r="G342" s="10"/>
      <c r="H342" s="751" t="s">
        <v>21005</v>
      </c>
      <c r="I342" s="111">
        <v>5365.0</v>
      </c>
      <c r="J342" s="303"/>
      <c r="K342" s="10"/>
      <c r="L342" s="10"/>
      <c r="M342" s="10"/>
      <c r="N342" s="10"/>
    </row>
    <row r="343">
      <c r="A343" s="516" t="s">
        <v>21006</v>
      </c>
      <c r="B343" s="134">
        <v>7104.0</v>
      </c>
      <c r="C343" s="297" t="s">
        <v>20580</v>
      </c>
      <c r="D343" s="723">
        <v>0.85</v>
      </c>
      <c r="E343" s="723">
        <v>0.85</v>
      </c>
      <c r="F343" s="746"/>
      <c r="G343" s="10"/>
      <c r="H343" s="751" t="s">
        <v>21006</v>
      </c>
      <c r="I343" s="111">
        <v>7104.0</v>
      </c>
      <c r="J343" s="303"/>
      <c r="K343" s="10"/>
      <c r="L343" s="10"/>
      <c r="M343" s="10"/>
      <c r="N343" s="10"/>
    </row>
    <row r="344">
      <c r="A344" s="516" t="s">
        <v>21007</v>
      </c>
      <c r="B344" s="134">
        <v>7129.0</v>
      </c>
      <c r="C344" s="297" t="s">
        <v>20580</v>
      </c>
      <c r="D344" s="715">
        <v>0.8</v>
      </c>
      <c r="E344" s="715">
        <v>0.8</v>
      </c>
      <c r="F344" s="746"/>
      <c r="G344" s="10"/>
      <c r="H344" s="750" t="s">
        <v>21007</v>
      </c>
      <c r="I344" s="717">
        <v>7129.0</v>
      </c>
      <c r="J344" s="10"/>
      <c r="K344" s="10"/>
      <c r="L344" s="10"/>
      <c r="M344" s="10"/>
      <c r="N344" s="10"/>
    </row>
    <row r="345">
      <c r="A345" s="516" t="s">
        <v>21008</v>
      </c>
      <c r="B345" s="134">
        <v>7124.0</v>
      </c>
      <c r="C345" s="297" t="s">
        <v>20580</v>
      </c>
      <c r="D345" s="715">
        <v>0.8</v>
      </c>
      <c r="E345" s="715">
        <v>0.8</v>
      </c>
      <c r="F345" s="746"/>
      <c r="G345" s="10"/>
      <c r="H345" s="750" t="s">
        <v>21008</v>
      </c>
      <c r="I345" s="717">
        <v>7124.0</v>
      </c>
      <c r="J345" s="10"/>
      <c r="K345" s="10"/>
      <c r="L345" s="10"/>
      <c r="M345" s="10"/>
      <c r="N345" s="10"/>
    </row>
    <row r="346">
      <c r="A346" s="516" t="s">
        <v>21009</v>
      </c>
      <c r="B346" s="134">
        <v>4933.0</v>
      </c>
      <c r="C346" s="297" t="s">
        <v>20580</v>
      </c>
      <c r="D346" s="715">
        <v>0.8</v>
      </c>
      <c r="E346" s="715">
        <v>0.8</v>
      </c>
      <c r="F346" s="746"/>
      <c r="G346" s="10"/>
      <c r="H346" s="750" t="s">
        <v>21009</v>
      </c>
      <c r="I346" s="717">
        <v>4933.0</v>
      </c>
      <c r="J346" s="10"/>
      <c r="K346" s="10"/>
      <c r="L346" s="10"/>
      <c r="M346" s="10"/>
      <c r="N346" s="10"/>
    </row>
    <row r="347">
      <c r="A347" s="516" t="s">
        <v>18918</v>
      </c>
      <c r="B347" s="134">
        <v>4933.0</v>
      </c>
      <c r="C347" s="297" t="s">
        <v>20580</v>
      </c>
      <c r="D347" s="715">
        <v>0.8</v>
      </c>
      <c r="E347" s="715">
        <v>0.8</v>
      </c>
      <c r="F347" s="746"/>
      <c r="G347" s="10"/>
      <c r="H347" s="750" t="s">
        <v>18918</v>
      </c>
      <c r="I347" s="717">
        <v>4933.0</v>
      </c>
      <c r="J347" s="10"/>
      <c r="K347" s="10"/>
      <c r="L347" s="10"/>
      <c r="M347" s="10"/>
      <c r="N347" s="10"/>
    </row>
    <row r="348">
      <c r="A348" s="516" t="s">
        <v>21010</v>
      </c>
      <c r="B348" s="134">
        <v>6675.0</v>
      </c>
      <c r="C348" s="297" t="s">
        <v>20580</v>
      </c>
      <c r="D348" s="723">
        <v>0.9</v>
      </c>
      <c r="E348" s="723">
        <v>0.9</v>
      </c>
      <c r="F348" s="746"/>
      <c r="G348" s="10"/>
      <c r="H348" s="750" t="s">
        <v>21010</v>
      </c>
      <c r="I348" s="717">
        <v>6675.0</v>
      </c>
      <c r="J348" s="10"/>
      <c r="K348" s="10"/>
      <c r="L348" s="10"/>
      <c r="M348" s="10"/>
      <c r="N348" s="10"/>
    </row>
    <row r="349">
      <c r="A349" s="516" t="s">
        <v>21011</v>
      </c>
      <c r="B349" s="134">
        <v>7129.0</v>
      </c>
      <c r="C349" s="297" t="s">
        <v>20580</v>
      </c>
      <c r="D349" s="715">
        <v>0.8</v>
      </c>
      <c r="E349" s="715">
        <v>0.8</v>
      </c>
      <c r="F349" s="746"/>
      <c r="G349" s="10"/>
      <c r="H349" s="750" t="s">
        <v>21011</v>
      </c>
      <c r="I349" s="717">
        <v>7129.0</v>
      </c>
      <c r="J349" s="10"/>
      <c r="K349" s="10"/>
      <c r="L349" s="10"/>
      <c r="M349" s="10"/>
      <c r="N349" s="10"/>
    </row>
    <row r="350">
      <c r="A350" s="516" t="s">
        <v>21012</v>
      </c>
      <c r="B350" s="134">
        <v>6875.0</v>
      </c>
      <c r="C350" s="297" t="s">
        <v>20580</v>
      </c>
      <c r="D350" s="715">
        <v>0.8</v>
      </c>
      <c r="E350" s="715">
        <v>0.8</v>
      </c>
      <c r="F350" s="746"/>
      <c r="G350" s="10"/>
      <c r="H350" s="750" t="s">
        <v>21012</v>
      </c>
      <c r="I350" s="717">
        <v>6875.0</v>
      </c>
      <c r="J350" s="10"/>
      <c r="K350" s="10"/>
      <c r="L350" s="10"/>
      <c r="M350" s="10"/>
      <c r="N350" s="10"/>
    </row>
    <row r="351">
      <c r="A351" s="516" t="s">
        <v>21013</v>
      </c>
      <c r="B351" s="134">
        <v>14420.0</v>
      </c>
      <c r="C351" s="297" t="s">
        <v>20580</v>
      </c>
      <c r="D351" s="715">
        <v>0.8</v>
      </c>
      <c r="E351" s="715">
        <v>0.8</v>
      </c>
      <c r="F351" s="746"/>
      <c r="G351" s="10"/>
      <c r="H351" s="750" t="s">
        <v>21013</v>
      </c>
      <c r="I351" s="717">
        <v>14420.0</v>
      </c>
      <c r="J351" s="9">
        <v>4933.0</v>
      </c>
      <c r="K351" s="10"/>
      <c r="L351" s="10"/>
      <c r="M351" s="10"/>
      <c r="N351" s="10"/>
    </row>
    <row r="352">
      <c r="A352" s="516" t="s">
        <v>11345</v>
      </c>
      <c r="B352" s="134">
        <v>3642.0</v>
      </c>
      <c r="C352" s="297" t="s">
        <v>20580</v>
      </c>
      <c r="D352" s="715">
        <v>0.8</v>
      </c>
      <c r="E352" s="715">
        <v>0.8</v>
      </c>
      <c r="F352" s="746"/>
      <c r="G352" s="10"/>
      <c r="H352" s="750" t="s">
        <v>11345</v>
      </c>
      <c r="I352" s="717">
        <v>3642.0</v>
      </c>
      <c r="J352" s="10"/>
      <c r="K352" s="10"/>
      <c r="L352" s="10"/>
      <c r="M352" s="10"/>
      <c r="N352" s="10"/>
    </row>
    <row r="353">
      <c r="A353" s="516" t="s">
        <v>21014</v>
      </c>
      <c r="B353" s="134">
        <v>7100.0</v>
      </c>
      <c r="C353" s="297" t="s">
        <v>20580</v>
      </c>
      <c r="D353" s="723">
        <v>0.85</v>
      </c>
      <c r="E353" s="723">
        <v>0.85</v>
      </c>
      <c r="F353" s="746"/>
      <c r="G353" s="10"/>
      <c r="H353" s="750" t="s">
        <v>21014</v>
      </c>
      <c r="I353" s="717">
        <v>7100.0</v>
      </c>
      <c r="J353" s="10"/>
      <c r="K353" s="10"/>
      <c r="L353" s="10"/>
      <c r="M353" s="10"/>
      <c r="N353" s="10"/>
    </row>
    <row r="354">
      <c r="A354" s="516" t="s">
        <v>21015</v>
      </c>
      <c r="B354" s="134">
        <v>7123.0</v>
      </c>
      <c r="C354" s="297" t="s">
        <v>20580</v>
      </c>
      <c r="D354" s="715">
        <v>0.8</v>
      </c>
      <c r="E354" s="715">
        <v>0.8</v>
      </c>
      <c r="F354" s="746"/>
      <c r="G354" s="10"/>
      <c r="H354" s="750" t="s">
        <v>21015</v>
      </c>
      <c r="I354" s="717">
        <v>7123.0</v>
      </c>
      <c r="J354" s="10"/>
      <c r="K354" s="10"/>
      <c r="L354" s="10"/>
      <c r="M354" s="10"/>
      <c r="N354" s="10"/>
    </row>
    <row r="355">
      <c r="A355" s="516" t="s">
        <v>21016</v>
      </c>
      <c r="B355" s="134">
        <v>3642.0</v>
      </c>
      <c r="C355" s="297" t="s">
        <v>20580</v>
      </c>
      <c r="D355" s="715">
        <v>0.8</v>
      </c>
      <c r="E355" s="715">
        <v>0.8</v>
      </c>
      <c r="F355" s="746"/>
      <c r="G355" s="10"/>
      <c r="H355" s="750" t="s">
        <v>21016</v>
      </c>
      <c r="I355" s="717">
        <v>3642.0</v>
      </c>
      <c r="J355" s="10"/>
      <c r="K355" s="10"/>
      <c r="L355" s="10"/>
      <c r="M355" s="10"/>
      <c r="N355" s="10"/>
    </row>
    <row r="356">
      <c r="A356" s="516" t="s">
        <v>21017</v>
      </c>
      <c r="B356" s="134">
        <v>4933.0</v>
      </c>
      <c r="C356" s="297" t="s">
        <v>20580</v>
      </c>
      <c r="D356" s="715">
        <v>0.8</v>
      </c>
      <c r="E356" s="715">
        <v>0.8</v>
      </c>
      <c r="F356" s="746"/>
      <c r="G356" s="10"/>
      <c r="H356" s="750" t="s">
        <v>21017</v>
      </c>
      <c r="I356" s="717">
        <v>4933.0</v>
      </c>
      <c r="J356" s="10"/>
      <c r="K356" s="10"/>
      <c r="L356" s="10"/>
      <c r="M356" s="10"/>
      <c r="N356" s="10"/>
    </row>
    <row r="357">
      <c r="A357" s="516" t="s">
        <v>21018</v>
      </c>
      <c r="B357" s="134">
        <v>6660.0</v>
      </c>
      <c r="C357" s="297" t="s">
        <v>20580</v>
      </c>
      <c r="D357" s="715">
        <v>0.8</v>
      </c>
      <c r="E357" s="715">
        <v>0.8</v>
      </c>
      <c r="F357" s="746"/>
      <c r="G357" s="10"/>
      <c r="H357" s="750" t="s">
        <v>21018</v>
      </c>
      <c r="I357" s="717">
        <v>6660.0</v>
      </c>
      <c r="J357" s="10"/>
      <c r="K357" s="10"/>
      <c r="L357" s="10"/>
      <c r="M357" s="10"/>
      <c r="N357" s="10"/>
    </row>
    <row r="358">
      <c r="A358" s="516" t="s">
        <v>21019</v>
      </c>
      <c r="B358" s="134">
        <v>6675.0</v>
      </c>
      <c r="C358" s="297" t="s">
        <v>20580</v>
      </c>
      <c r="D358" s="723">
        <v>0.9</v>
      </c>
      <c r="E358" s="723">
        <v>0.9</v>
      </c>
      <c r="F358" s="746"/>
      <c r="G358" s="10"/>
      <c r="H358" s="751" t="s">
        <v>21019</v>
      </c>
      <c r="I358" s="111">
        <v>6675.0</v>
      </c>
      <c r="J358" s="303"/>
      <c r="K358" s="10"/>
      <c r="L358" s="10"/>
      <c r="M358" s="10"/>
      <c r="N358" s="10"/>
    </row>
    <row r="359">
      <c r="A359" s="516" t="s">
        <v>21020</v>
      </c>
      <c r="B359" s="134">
        <v>7073.0</v>
      </c>
      <c r="C359" s="297" t="s">
        <v>20580</v>
      </c>
      <c r="D359" s="715">
        <v>0.8</v>
      </c>
      <c r="E359" s="715">
        <v>0.8</v>
      </c>
      <c r="F359" s="746"/>
      <c r="G359" s="10"/>
      <c r="H359" s="751" t="s">
        <v>21020</v>
      </c>
      <c r="I359" s="111">
        <v>7073.0</v>
      </c>
      <c r="J359" s="303"/>
      <c r="K359" s="10"/>
      <c r="L359" s="10"/>
      <c r="M359" s="10"/>
      <c r="N359" s="10"/>
    </row>
    <row r="360">
      <c r="A360" s="516" t="s">
        <v>21021</v>
      </c>
      <c r="B360" s="134">
        <v>4933.0</v>
      </c>
      <c r="C360" s="297" t="s">
        <v>20580</v>
      </c>
      <c r="D360" s="715">
        <v>0.8</v>
      </c>
      <c r="E360" s="715">
        <v>0.8</v>
      </c>
      <c r="F360" s="746"/>
      <c r="G360" s="10"/>
      <c r="H360" s="750" t="s">
        <v>21021</v>
      </c>
      <c r="I360" s="717">
        <v>4933.0</v>
      </c>
      <c r="J360" s="10"/>
      <c r="K360" s="10"/>
      <c r="L360" s="10"/>
      <c r="M360" s="10"/>
      <c r="N360" s="10"/>
    </row>
    <row r="361">
      <c r="A361" s="222" t="s">
        <v>21022</v>
      </c>
      <c r="B361" s="297">
        <v>6924.0</v>
      </c>
      <c r="C361" s="297" t="s">
        <v>20580</v>
      </c>
      <c r="D361" s="723">
        <v>0.85</v>
      </c>
      <c r="E361" s="723">
        <v>0.85</v>
      </c>
      <c r="F361" s="746"/>
      <c r="G361" s="10"/>
      <c r="H361" s="222" t="s">
        <v>21022</v>
      </c>
      <c r="I361" s="9">
        <v>6924.0</v>
      </c>
      <c r="J361" s="10"/>
      <c r="K361" s="10"/>
      <c r="L361" s="10"/>
      <c r="M361" s="10"/>
      <c r="N361" s="10"/>
    </row>
    <row r="362">
      <c r="A362" s="516" t="s">
        <v>20990</v>
      </c>
      <c r="B362" s="134">
        <v>6671.0</v>
      </c>
      <c r="C362" s="297" t="s">
        <v>20580</v>
      </c>
      <c r="D362" s="715">
        <v>0.8</v>
      </c>
      <c r="E362" s="715">
        <v>0.8</v>
      </c>
      <c r="F362" s="746"/>
      <c r="G362" s="10"/>
      <c r="H362" s="750" t="s">
        <v>20990</v>
      </c>
      <c r="I362" s="717">
        <v>6671.0</v>
      </c>
      <c r="J362" s="10"/>
      <c r="K362" s="10"/>
      <c r="L362" s="10"/>
      <c r="M362" s="10"/>
      <c r="N362" s="10"/>
    </row>
    <row r="363">
      <c r="A363" s="516" t="s">
        <v>21023</v>
      </c>
      <c r="B363" s="134">
        <v>7147.0</v>
      </c>
      <c r="C363" s="297" t="s">
        <v>20580</v>
      </c>
      <c r="D363" s="715">
        <v>0.8</v>
      </c>
      <c r="E363" s="715">
        <v>0.8</v>
      </c>
      <c r="F363" s="746"/>
      <c r="G363" s="10"/>
      <c r="H363" s="750" t="s">
        <v>21023</v>
      </c>
      <c r="I363" s="717">
        <v>7147.0</v>
      </c>
      <c r="J363" s="10"/>
      <c r="K363" s="10"/>
      <c r="L363" s="10"/>
      <c r="M363" s="10"/>
      <c r="N363" s="10"/>
    </row>
    <row r="364">
      <c r="A364" s="516" t="s">
        <v>21024</v>
      </c>
      <c r="B364" s="134">
        <v>6675.0</v>
      </c>
      <c r="C364" s="297" t="s">
        <v>20580</v>
      </c>
      <c r="D364" s="723">
        <v>0.9</v>
      </c>
      <c r="E364" s="723">
        <v>0.9</v>
      </c>
      <c r="F364" s="746"/>
      <c r="G364" s="10"/>
      <c r="H364" s="750" t="s">
        <v>21024</v>
      </c>
      <c r="I364" s="717">
        <v>6675.0</v>
      </c>
      <c r="J364" s="10"/>
      <c r="K364" s="10"/>
      <c r="L364" s="10"/>
      <c r="M364" s="10"/>
      <c r="N364" s="10"/>
    </row>
    <row r="365">
      <c r="A365" s="516" t="s">
        <v>21025</v>
      </c>
      <c r="B365" s="134">
        <v>5458.0</v>
      </c>
      <c r="C365" s="297" t="s">
        <v>20580</v>
      </c>
      <c r="D365" s="723">
        <v>0.85</v>
      </c>
      <c r="E365" s="723">
        <v>0.85</v>
      </c>
      <c r="F365" s="746"/>
      <c r="G365" s="10"/>
      <c r="H365" s="750" t="s">
        <v>21025</v>
      </c>
      <c r="I365" s="717">
        <v>5458.0</v>
      </c>
      <c r="J365" s="9"/>
      <c r="K365" s="10"/>
      <c r="L365" s="10"/>
      <c r="M365" s="10"/>
      <c r="N365" s="10"/>
    </row>
    <row r="366">
      <c r="A366" s="516" t="s">
        <v>9</v>
      </c>
      <c r="B366" s="134">
        <v>6671.0</v>
      </c>
      <c r="C366" s="297" t="s">
        <v>20580</v>
      </c>
      <c r="D366" s="715">
        <v>0.8</v>
      </c>
      <c r="E366" s="715">
        <v>0.8</v>
      </c>
      <c r="F366" s="746"/>
      <c r="G366" s="10"/>
      <c r="H366" s="750" t="s">
        <v>9</v>
      </c>
      <c r="I366" s="717">
        <v>6671.0</v>
      </c>
      <c r="J366" s="10"/>
      <c r="K366" s="10"/>
      <c r="L366" s="10"/>
      <c r="M366" s="10"/>
      <c r="N366" s="10"/>
    </row>
    <row r="367">
      <c r="A367" s="516" t="s">
        <v>12095</v>
      </c>
      <c r="B367" s="134">
        <v>7149.0</v>
      </c>
      <c r="C367" s="297" t="s">
        <v>20580</v>
      </c>
      <c r="D367" s="715">
        <v>0.8</v>
      </c>
      <c r="E367" s="715">
        <v>0.8</v>
      </c>
      <c r="F367" s="746"/>
      <c r="G367" s="10"/>
      <c r="H367" s="751" t="s">
        <v>12095</v>
      </c>
      <c r="I367" s="111">
        <v>7149.0</v>
      </c>
      <c r="J367" s="303"/>
      <c r="K367" s="10"/>
      <c r="L367" s="10"/>
      <c r="M367" s="10"/>
      <c r="N367" s="10"/>
    </row>
    <row r="368">
      <c r="A368" s="516" t="s">
        <v>21026</v>
      </c>
      <c r="B368" s="134">
        <v>6133.0</v>
      </c>
      <c r="C368" s="297" t="s">
        <v>20580</v>
      </c>
      <c r="D368" s="723">
        <v>0.85</v>
      </c>
      <c r="E368" s="723">
        <v>0.85</v>
      </c>
      <c r="F368" s="746"/>
      <c r="G368" s="10"/>
      <c r="H368" s="750" t="s">
        <v>21026</v>
      </c>
      <c r="I368" s="717">
        <v>6133.0</v>
      </c>
      <c r="J368" s="10"/>
      <c r="K368" s="10"/>
      <c r="L368" s="10"/>
      <c r="M368" s="10"/>
      <c r="N368" s="10"/>
    </row>
    <row r="369">
      <c r="A369" s="222" t="s">
        <v>21027</v>
      </c>
      <c r="B369" s="297">
        <v>7083.0</v>
      </c>
      <c r="C369" s="297" t="s">
        <v>20580</v>
      </c>
      <c r="D369" s="715">
        <v>0.8</v>
      </c>
      <c r="E369" s="715">
        <v>0.8</v>
      </c>
      <c r="F369" s="746"/>
      <c r="G369" s="10"/>
      <c r="H369" s="222" t="s">
        <v>21027</v>
      </c>
      <c r="I369" s="9">
        <v>7083.0</v>
      </c>
      <c r="J369" s="9">
        <v>6770.0</v>
      </c>
      <c r="K369" s="10"/>
      <c r="L369" s="10"/>
      <c r="M369" s="10"/>
      <c r="N369" s="10"/>
    </row>
    <row r="370">
      <c r="A370" s="516" t="s">
        <v>21028</v>
      </c>
      <c r="B370" s="134">
        <v>7083.0</v>
      </c>
      <c r="C370" s="297" t="s">
        <v>20580</v>
      </c>
      <c r="D370" s="715">
        <v>0.8</v>
      </c>
      <c r="E370" s="715">
        <v>0.8</v>
      </c>
      <c r="F370" s="746"/>
      <c r="G370" s="10"/>
      <c r="H370" s="750" t="s">
        <v>21028</v>
      </c>
      <c r="I370" s="717">
        <v>7083.0</v>
      </c>
      <c r="J370" s="9">
        <v>6770.0</v>
      </c>
      <c r="K370" s="10"/>
      <c r="L370" s="10"/>
      <c r="M370" s="10"/>
      <c r="N370" s="10"/>
    </row>
    <row r="371">
      <c r="A371" s="516" t="s">
        <v>21029</v>
      </c>
      <c r="B371" s="134">
        <v>14005.0</v>
      </c>
      <c r="C371" s="297" t="s">
        <v>20580</v>
      </c>
      <c r="D371" s="715">
        <v>0.8</v>
      </c>
      <c r="E371" s="715">
        <v>0.8</v>
      </c>
      <c r="F371" s="746"/>
      <c r="G371" s="10"/>
      <c r="H371" s="750" t="s">
        <v>21029</v>
      </c>
      <c r="I371" s="717">
        <v>14005.0</v>
      </c>
      <c r="J371" s="10"/>
      <c r="K371" s="10"/>
      <c r="L371" s="10"/>
      <c r="M371" s="10"/>
      <c r="N371" s="10"/>
    </row>
    <row r="372">
      <c r="A372" s="516" t="s">
        <v>21030</v>
      </c>
      <c r="B372" s="134">
        <v>6780.0</v>
      </c>
      <c r="C372" s="297" t="s">
        <v>20580</v>
      </c>
      <c r="D372" s="715">
        <v>0.8</v>
      </c>
      <c r="E372" s="715">
        <v>0.8</v>
      </c>
      <c r="F372" s="746"/>
      <c r="G372" s="10"/>
      <c r="H372" s="750" t="s">
        <v>21030</v>
      </c>
      <c r="I372" s="717">
        <v>6780.0</v>
      </c>
      <c r="J372" s="10"/>
      <c r="K372" s="10"/>
      <c r="L372" s="10"/>
      <c r="M372" s="10"/>
      <c r="N372" s="10"/>
    </row>
    <row r="373">
      <c r="A373" s="516" t="s">
        <v>21031</v>
      </c>
      <c r="B373" s="134">
        <v>6780.0</v>
      </c>
      <c r="C373" s="297" t="s">
        <v>20580</v>
      </c>
      <c r="D373" s="715">
        <v>0.8</v>
      </c>
      <c r="E373" s="715">
        <v>0.8</v>
      </c>
      <c r="F373" s="746"/>
      <c r="G373" s="10"/>
      <c r="H373" s="750" t="s">
        <v>21031</v>
      </c>
      <c r="I373" s="717">
        <v>6780.0</v>
      </c>
      <c r="J373" s="10"/>
      <c r="K373" s="10"/>
      <c r="L373" s="10"/>
      <c r="M373" s="10"/>
      <c r="N373" s="10"/>
    </row>
    <row r="374">
      <c r="A374" s="134" t="s">
        <v>1959</v>
      </c>
      <c r="B374" s="134">
        <v>7132.0</v>
      </c>
      <c r="C374" s="297" t="s">
        <v>20580</v>
      </c>
      <c r="D374" s="715">
        <v>0.8</v>
      </c>
      <c r="E374" s="715">
        <v>0.8</v>
      </c>
      <c r="F374" s="746"/>
      <c r="G374" s="10"/>
      <c r="H374" s="717" t="s">
        <v>1959</v>
      </c>
      <c r="I374" s="717">
        <v>7132.0</v>
      </c>
      <c r="J374" s="10"/>
      <c r="K374" s="10"/>
      <c r="L374" s="10"/>
      <c r="M374" s="10"/>
      <c r="N374" s="10"/>
    </row>
    <row r="375">
      <c r="A375" s="134" t="s">
        <v>9462</v>
      </c>
      <c r="B375" s="134">
        <v>6893.0</v>
      </c>
      <c r="C375" s="297" t="s">
        <v>20580</v>
      </c>
      <c r="D375" s="715">
        <v>0.8</v>
      </c>
      <c r="E375" s="715">
        <v>0.8</v>
      </c>
      <c r="F375" s="746"/>
      <c r="G375" s="10"/>
      <c r="H375" s="717" t="s">
        <v>9462</v>
      </c>
      <c r="I375" s="717">
        <v>6893.0</v>
      </c>
      <c r="J375" s="10"/>
      <c r="K375" s="10"/>
      <c r="L375" s="10"/>
      <c r="M375" s="10"/>
      <c r="N375" s="10"/>
    </row>
    <row r="376">
      <c r="A376" s="752" t="s">
        <v>11</v>
      </c>
      <c r="B376" s="752">
        <v>6675.0</v>
      </c>
      <c r="C376" s="297" t="s">
        <v>20580</v>
      </c>
      <c r="D376" s="723">
        <v>0.9</v>
      </c>
      <c r="E376" s="723">
        <v>0.9</v>
      </c>
      <c r="F376" s="746"/>
      <c r="G376" s="726" t="s">
        <v>20676</v>
      </c>
      <c r="H376" s="9" t="s">
        <v>11</v>
      </c>
      <c r="I376" s="9">
        <v>6675.0</v>
      </c>
      <c r="J376" s="9"/>
      <c r="K376" s="10"/>
      <c r="L376" s="10"/>
      <c r="M376" s="10"/>
      <c r="N376" s="10"/>
    </row>
    <row r="377">
      <c r="A377" s="516" t="s">
        <v>21032</v>
      </c>
      <c r="B377" s="134">
        <v>6658.0</v>
      </c>
      <c r="C377" s="297" t="s">
        <v>20580</v>
      </c>
      <c r="D377" s="723">
        <v>0.85</v>
      </c>
      <c r="E377" s="723">
        <v>0.85</v>
      </c>
      <c r="F377" s="746"/>
      <c r="G377" s="10"/>
      <c r="H377" s="751" t="s">
        <v>21032</v>
      </c>
      <c r="I377" s="111">
        <v>6658.0</v>
      </c>
      <c r="J377" s="303"/>
      <c r="K377" s="10"/>
      <c r="L377" s="10"/>
      <c r="M377" s="10"/>
      <c r="N377" s="10"/>
    </row>
    <row r="378">
      <c r="A378" s="516" t="s">
        <v>21033</v>
      </c>
      <c r="B378" s="134">
        <v>6658.0</v>
      </c>
      <c r="C378" s="297" t="s">
        <v>20580</v>
      </c>
      <c r="D378" s="723">
        <v>0.85</v>
      </c>
      <c r="E378" s="723">
        <v>0.85</v>
      </c>
      <c r="F378" s="746"/>
      <c r="G378" s="10"/>
      <c r="H378" s="750" t="s">
        <v>21033</v>
      </c>
      <c r="I378" s="717">
        <v>6658.0</v>
      </c>
      <c r="J378" s="10"/>
      <c r="K378" s="10"/>
      <c r="L378" s="10"/>
      <c r="M378" s="10"/>
      <c r="N378" s="10"/>
    </row>
    <row r="379">
      <c r="A379" s="516" t="s">
        <v>21034</v>
      </c>
      <c r="B379" s="134">
        <v>6831.0</v>
      </c>
      <c r="C379" s="297" t="s">
        <v>20580</v>
      </c>
      <c r="D379" s="715">
        <v>0.8</v>
      </c>
      <c r="E379" s="715">
        <v>0.8</v>
      </c>
      <c r="F379" s="746"/>
      <c r="G379" s="10"/>
      <c r="H379" s="750" t="s">
        <v>21034</v>
      </c>
      <c r="I379" s="717">
        <v>6831.0</v>
      </c>
      <c r="J379" s="10"/>
      <c r="K379" s="10"/>
      <c r="L379" s="10"/>
      <c r="M379" s="10"/>
      <c r="N379" s="10"/>
    </row>
    <row r="380">
      <c r="A380" s="516" t="s">
        <v>21035</v>
      </c>
      <c r="B380" s="134">
        <v>4514.0</v>
      </c>
      <c r="C380" s="297" t="s">
        <v>20580</v>
      </c>
      <c r="D380" s="715">
        <v>0.8</v>
      </c>
      <c r="E380" s="715">
        <v>0.8</v>
      </c>
      <c r="F380" s="746"/>
      <c r="G380" s="10"/>
      <c r="H380" s="750" t="s">
        <v>21035</v>
      </c>
      <c r="I380" s="717">
        <v>4514.0</v>
      </c>
      <c r="J380" s="10"/>
      <c r="K380" s="10"/>
      <c r="L380" s="10"/>
      <c r="M380" s="10"/>
      <c r="N380" s="10"/>
    </row>
    <row r="381">
      <c r="A381" s="222" t="s">
        <v>21036</v>
      </c>
      <c r="B381" s="545">
        <v>6924.0</v>
      </c>
      <c r="C381" s="297" t="s">
        <v>20580</v>
      </c>
      <c r="D381" s="723">
        <v>0.85</v>
      </c>
      <c r="E381" s="723">
        <v>0.85</v>
      </c>
      <c r="F381" s="746"/>
      <c r="G381" s="10"/>
      <c r="H381" s="222" t="s">
        <v>21036</v>
      </c>
      <c r="I381" s="545">
        <v>6924.0</v>
      </c>
      <c r="J381" s="9"/>
      <c r="K381" s="10"/>
      <c r="L381" s="10"/>
      <c r="M381" s="10"/>
      <c r="N381" s="10"/>
    </row>
    <row r="382">
      <c r="A382" s="516" t="s">
        <v>21037</v>
      </c>
      <c r="B382" s="134">
        <v>3231.0</v>
      </c>
      <c r="C382" s="297" t="s">
        <v>20580</v>
      </c>
      <c r="D382" s="715">
        <v>0.8</v>
      </c>
      <c r="E382" s="715">
        <v>0.8</v>
      </c>
      <c r="F382" s="746"/>
      <c r="G382" s="10"/>
      <c r="H382" s="750" t="s">
        <v>21037</v>
      </c>
      <c r="I382" s="717">
        <v>3231.0</v>
      </c>
      <c r="J382" s="10"/>
      <c r="K382" s="10"/>
      <c r="L382" s="10"/>
      <c r="M382" s="10"/>
      <c r="N382" s="10"/>
    </row>
    <row r="383">
      <c r="A383" s="516" t="s">
        <v>21038</v>
      </c>
      <c r="B383" s="134">
        <v>6802.0</v>
      </c>
      <c r="C383" s="297" t="s">
        <v>20580</v>
      </c>
      <c r="D383" s="715">
        <v>0.8</v>
      </c>
      <c r="E383" s="715">
        <v>0.8</v>
      </c>
      <c r="F383" s="746"/>
      <c r="G383" s="10"/>
      <c r="H383" s="751" t="s">
        <v>21038</v>
      </c>
      <c r="I383" s="111">
        <v>6802.0</v>
      </c>
      <c r="J383" s="303"/>
      <c r="K383" s="10"/>
      <c r="L383" s="10"/>
      <c r="M383" s="10"/>
      <c r="N383" s="10"/>
    </row>
    <row r="384">
      <c r="A384" s="516" t="s">
        <v>21039</v>
      </c>
      <c r="B384" s="134">
        <v>14065.0</v>
      </c>
      <c r="C384" s="297" t="s">
        <v>20580</v>
      </c>
      <c r="D384" s="715">
        <v>0.8</v>
      </c>
      <c r="E384" s="715">
        <v>0.8</v>
      </c>
      <c r="F384" s="746"/>
      <c r="G384" s="10"/>
      <c r="H384" s="750" t="s">
        <v>21039</v>
      </c>
      <c r="I384" s="717">
        <v>14065.0</v>
      </c>
      <c r="J384" s="10"/>
      <c r="K384" s="10"/>
      <c r="L384" s="10"/>
      <c r="M384" s="10"/>
      <c r="N384" s="10"/>
    </row>
    <row r="385">
      <c r="A385" s="516" t="s">
        <v>21040</v>
      </c>
      <c r="B385" s="134">
        <v>5458.0</v>
      </c>
      <c r="C385" s="297" t="s">
        <v>20580</v>
      </c>
      <c r="D385" s="723">
        <v>0.85</v>
      </c>
      <c r="E385" s="723">
        <v>0.85</v>
      </c>
      <c r="F385" s="746"/>
      <c r="G385" s="10"/>
      <c r="H385" s="750" t="s">
        <v>21040</v>
      </c>
      <c r="I385" s="717">
        <v>5458.0</v>
      </c>
      <c r="J385" s="9">
        <v>7058.0</v>
      </c>
      <c r="K385" s="10"/>
      <c r="L385" s="10"/>
      <c r="M385" s="10"/>
      <c r="N385" s="10"/>
    </row>
    <row r="386">
      <c r="A386" s="516" t="s">
        <v>21041</v>
      </c>
      <c r="B386" s="134">
        <v>5389.0</v>
      </c>
      <c r="C386" s="297" t="s">
        <v>20580</v>
      </c>
      <c r="D386" s="715">
        <v>0.8</v>
      </c>
      <c r="E386" s="715">
        <v>0.8</v>
      </c>
      <c r="F386" s="746"/>
      <c r="G386" s="10"/>
      <c r="H386" s="750" t="s">
        <v>21041</v>
      </c>
      <c r="I386" s="717">
        <v>5389.0</v>
      </c>
      <c r="J386" s="10"/>
      <c r="K386" s="10"/>
      <c r="L386" s="10"/>
      <c r="M386" s="10"/>
      <c r="N386" s="10"/>
    </row>
    <row r="387">
      <c r="A387" s="516" t="s">
        <v>21042</v>
      </c>
      <c r="B387" s="719">
        <v>7055.0</v>
      </c>
      <c r="C387" s="297" t="s">
        <v>20580</v>
      </c>
      <c r="D387" s="715">
        <v>0.8</v>
      </c>
      <c r="E387" s="715">
        <v>0.8</v>
      </c>
      <c r="F387" s="746"/>
      <c r="G387" s="10"/>
      <c r="H387" s="750" t="s">
        <v>21042</v>
      </c>
      <c r="I387" s="753">
        <v>7055.0</v>
      </c>
      <c r="J387" s="9"/>
      <c r="K387" s="10"/>
      <c r="L387" s="10"/>
      <c r="M387" s="10"/>
      <c r="N387" s="10"/>
    </row>
    <row r="388">
      <c r="A388" s="516" t="s">
        <v>21043</v>
      </c>
      <c r="B388" s="134">
        <v>7181.0</v>
      </c>
      <c r="C388" s="297" t="s">
        <v>20580</v>
      </c>
      <c r="D388" s="715">
        <v>0.8</v>
      </c>
      <c r="E388" s="715">
        <v>0.8</v>
      </c>
      <c r="F388" s="746"/>
      <c r="G388" s="10"/>
      <c r="H388" s="750" t="s">
        <v>21043</v>
      </c>
      <c r="I388" s="717">
        <v>7181.0</v>
      </c>
      <c r="J388" s="10"/>
      <c r="K388" s="10"/>
      <c r="L388" s="10"/>
      <c r="M388" s="10"/>
      <c r="N388" s="10"/>
    </row>
    <row r="389">
      <c r="A389" s="222" t="s">
        <v>21044</v>
      </c>
      <c r="B389" s="297">
        <v>8002.0</v>
      </c>
      <c r="C389" s="297" t="s">
        <v>20580</v>
      </c>
      <c r="D389" s="715">
        <v>0.8</v>
      </c>
      <c r="E389" s="715">
        <v>0.8</v>
      </c>
      <c r="F389" s="746"/>
      <c r="G389" s="10"/>
      <c r="H389" s="222" t="s">
        <v>21044</v>
      </c>
      <c r="I389" s="9"/>
      <c r="J389" s="10"/>
      <c r="K389" s="10"/>
      <c r="L389" s="10"/>
      <c r="M389" s="10"/>
      <c r="N389" s="10"/>
    </row>
    <row r="390">
      <c r="A390" s="516" t="s">
        <v>21045</v>
      </c>
      <c r="B390" s="134">
        <v>5458.0</v>
      </c>
      <c r="C390" s="297" t="s">
        <v>20580</v>
      </c>
      <c r="D390" s="723">
        <v>0.85</v>
      </c>
      <c r="E390" s="723">
        <v>0.85</v>
      </c>
      <c r="F390" s="746"/>
      <c r="G390" s="10"/>
      <c r="H390" s="750" t="s">
        <v>21045</v>
      </c>
      <c r="I390" s="717">
        <v>5458.0</v>
      </c>
      <c r="J390" s="10"/>
      <c r="K390" s="10"/>
      <c r="L390" s="10"/>
      <c r="M390" s="10"/>
      <c r="N390" s="10"/>
    </row>
    <row r="391">
      <c r="A391" s="516" t="s">
        <v>21046</v>
      </c>
      <c r="B391" s="134">
        <v>7100.0</v>
      </c>
      <c r="C391" s="297" t="s">
        <v>20580</v>
      </c>
      <c r="D391" s="723">
        <v>0.85</v>
      </c>
      <c r="E391" s="723">
        <v>0.85</v>
      </c>
      <c r="F391" s="746"/>
      <c r="G391" s="10"/>
      <c r="H391" s="750" t="s">
        <v>21046</v>
      </c>
      <c r="I391" s="717">
        <v>7100.0</v>
      </c>
      <c r="J391" s="10"/>
      <c r="K391" s="10"/>
      <c r="L391" s="10"/>
      <c r="M391" s="10"/>
      <c r="N391" s="10"/>
    </row>
    <row r="392">
      <c r="A392" s="516" t="s">
        <v>21047</v>
      </c>
      <c r="B392" s="134">
        <v>3381.0</v>
      </c>
      <c r="C392" s="297" t="s">
        <v>20580</v>
      </c>
      <c r="D392" s="715">
        <v>0.8</v>
      </c>
      <c r="E392" s="715">
        <v>0.8</v>
      </c>
      <c r="F392" s="746"/>
      <c r="G392" s="10"/>
      <c r="H392" s="750" t="s">
        <v>21047</v>
      </c>
      <c r="I392" s="717">
        <v>3381.0</v>
      </c>
      <c r="J392" s="10"/>
      <c r="K392" s="10"/>
      <c r="L392" s="10"/>
      <c r="M392" s="10"/>
      <c r="N392" s="10"/>
    </row>
    <row r="393">
      <c r="A393" s="516" t="s">
        <v>21048</v>
      </c>
      <c r="B393" s="134">
        <v>7416.0</v>
      </c>
      <c r="C393" s="297" t="s">
        <v>20580</v>
      </c>
      <c r="D393" s="715">
        <v>0.8</v>
      </c>
      <c r="E393" s="715">
        <v>0.8</v>
      </c>
      <c r="F393" s="746"/>
      <c r="G393" s="10"/>
      <c r="H393" s="750" t="s">
        <v>21048</v>
      </c>
      <c r="I393" s="717">
        <v>7416.0</v>
      </c>
      <c r="J393" s="10"/>
      <c r="K393" s="10"/>
      <c r="L393" s="10"/>
      <c r="M393" s="10"/>
      <c r="N393" s="10"/>
    </row>
    <row r="394">
      <c r="A394" s="27" t="s">
        <v>21049</v>
      </c>
      <c r="B394" s="719">
        <v>2345.0</v>
      </c>
      <c r="C394" s="297" t="s">
        <v>20580</v>
      </c>
      <c r="D394" s="723">
        <v>0.9</v>
      </c>
      <c r="E394" s="723">
        <v>0.9</v>
      </c>
      <c r="F394" s="746"/>
      <c r="G394" s="10"/>
      <c r="H394" s="754" t="s">
        <v>21049</v>
      </c>
      <c r="I394" s="753">
        <v>2345.0</v>
      </c>
      <c r="J394" s="10"/>
      <c r="K394" s="10"/>
      <c r="L394" s="10"/>
      <c r="M394" s="10"/>
      <c r="N394" s="10"/>
    </row>
    <row r="395">
      <c r="A395" s="516" t="s">
        <v>21050</v>
      </c>
      <c r="B395" s="134">
        <v>7186.0</v>
      </c>
      <c r="C395" s="297" t="s">
        <v>20580</v>
      </c>
      <c r="D395" s="715">
        <v>0.8</v>
      </c>
      <c r="E395" s="715">
        <v>0.8</v>
      </c>
      <c r="F395" s="746"/>
      <c r="G395" s="10"/>
      <c r="H395" s="750" t="s">
        <v>21050</v>
      </c>
      <c r="I395" s="717">
        <v>7186.0</v>
      </c>
      <c r="J395" s="9" t="s">
        <v>21051</v>
      </c>
      <c r="K395" s="10"/>
      <c r="L395" s="10"/>
      <c r="M395" s="10"/>
      <c r="N395" s="10"/>
    </row>
    <row r="396">
      <c r="A396" s="516" t="s">
        <v>21052</v>
      </c>
      <c r="B396" s="134">
        <v>195.0</v>
      </c>
      <c r="C396" s="297" t="s">
        <v>20580</v>
      </c>
      <c r="D396" s="715">
        <v>0.8</v>
      </c>
      <c r="E396" s="715">
        <v>0.8</v>
      </c>
      <c r="F396" s="746"/>
      <c r="G396" s="10"/>
      <c r="H396" s="750" t="s">
        <v>21052</v>
      </c>
      <c r="I396" s="717">
        <v>195.0</v>
      </c>
      <c r="J396" s="10"/>
      <c r="K396" s="10"/>
      <c r="L396" s="10"/>
      <c r="M396" s="10"/>
      <c r="N396" s="10"/>
    </row>
    <row r="397">
      <c r="A397" s="516" t="s">
        <v>21053</v>
      </c>
      <c r="B397" s="134">
        <v>283.0</v>
      </c>
      <c r="C397" s="297" t="s">
        <v>20580</v>
      </c>
      <c r="D397" s="715">
        <v>0.8</v>
      </c>
      <c r="E397" s="715">
        <v>0.8</v>
      </c>
      <c r="F397" s="746"/>
      <c r="G397" s="10"/>
      <c r="H397" s="750" t="s">
        <v>21053</v>
      </c>
      <c r="I397" s="717">
        <v>283.0</v>
      </c>
      <c r="J397" s="10"/>
      <c r="K397" s="10"/>
      <c r="L397" s="10"/>
      <c r="M397" s="10"/>
      <c r="N397" s="10"/>
    </row>
    <row r="398">
      <c r="A398" s="516" t="s">
        <v>21054</v>
      </c>
      <c r="B398" s="134">
        <v>7246.0</v>
      </c>
      <c r="C398" s="297" t="s">
        <v>20580</v>
      </c>
      <c r="D398" s="715">
        <v>0.8</v>
      </c>
      <c r="E398" s="715">
        <v>0.8</v>
      </c>
      <c r="F398" s="746"/>
      <c r="G398" s="10"/>
      <c r="H398" s="750" t="s">
        <v>21054</v>
      </c>
      <c r="I398" s="717">
        <v>7246.0</v>
      </c>
      <c r="J398" s="10"/>
      <c r="K398" s="10"/>
      <c r="L398" s="10"/>
      <c r="M398" s="10"/>
      <c r="N398" s="10"/>
    </row>
    <row r="399">
      <c r="A399" s="516" t="s">
        <v>21055</v>
      </c>
      <c r="B399" s="134">
        <v>7157.0</v>
      </c>
      <c r="C399" s="297" t="s">
        <v>20580</v>
      </c>
      <c r="D399" s="715">
        <v>0.8</v>
      </c>
      <c r="E399" s="715">
        <v>0.8</v>
      </c>
      <c r="F399" s="746"/>
      <c r="G399" s="10"/>
      <c r="H399" s="750" t="s">
        <v>21055</v>
      </c>
      <c r="I399" s="717">
        <v>7157.0</v>
      </c>
      <c r="J399" s="10"/>
      <c r="K399" s="10"/>
      <c r="L399" s="10"/>
      <c r="M399" s="10"/>
      <c r="N399" s="10"/>
    </row>
    <row r="400">
      <c r="A400" s="516" t="s">
        <v>21056</v>
      </c>
      <c r="B400" s="134">
        <v>6936.0</v>
      </c>
      <c r="C400" s="297" t="s">
        <v>20580</v>
      </c>
      <c r="D400" s="715">
        <v>0.8</v>
      </c>
      <c r="E400" s="715">
        <v>0.8</v>
      </c>
      <c r="F400" s="746"/>
      <c r="G400" s="10"/>
      <c r="H400" s="750" t="s">
        <v>21056</v>
      </c>
      <c r="I400" s="717">
        <v>6936.0</v>
      </c>
      <c r="J400" s="10"/>
      <c r="K400" s="10"/>
      <c r="L400" s="10"/>
      <c r="M400" s="10"/>
      <c r="N400" s="10"/>
    </row>
    <row r="401">
      <c r="A401" s="27" t="s">
        <v>21057</v>
      </c>
      <c r="B401" s="134">
        <v>2345.0</v>
      </c>
      <c r="C401" s="297" t="s">
        <v>20580</v>
      </c>
      <c r="D401" s="723">
        <v>0.9</v>
      </c>
      <c r="E401" s="723">
        <v>0.9</v>
      </c>
      <c r="F401" s="746"/>
      <c r="G401" s="10"/>
      <c r="H401" s="754" t="s">
        <v>21057</v>
      </c>
      <c r="I401" s="717">
        <v>2345.0</v>
      </c>
      <c r="J401" s="9"/>
      <c r="K401" s="10"/>
      <c r="L401" s="10"/>
      <c r="M401" s="10"/>
      <c r="N401" s="10"/>
    </row>
    <row r="402">
      <c r="A402" s="516" t="s">
        <v>21058</v>
      </c>
      <c r="B402" s="151">
        <v>3294.0</v>
      </c>
      <c r="C402" s="297" t="s">
        <v>20580</v>
      </c>
      <c r="D402" s="715">
        <v>0.8</v>
      </c>
      <c r="E402" s="715">
        <v>0.8</v>
      </c>
      <c r="F402" s="746"/>
      <c r="G402" s="10"/>
      <c r="H402" s="750" t="s">
        <v>21058</v>
      </c>
      <c r="I402" s="735">
        <v>3294.0</v>
      </c>
      <c r="J402" s="9"/>
      <c r="K402" s="10"/>
      <c r="L402" s="10"/>
      <c r="M402" s="10"/>
      <c r="N402" s="10"/>
    </row>
    <row r="403">
      <c r="A403" s="516" t="s">
        <v>1702</v>
      </c>
      <c r="B403" s="134">
        <v>6133.0</v>
      </c>
      <c r="C403" s="297" t="s">
        <v>20580</v>
      </c>
      <c r="D403" s="723">
        <v>0.85</v>
      </c>
      <c r="E403" s="723">
        <v>0.85</v>
      </c>
      <c r="F403" s="746"/>
      <c r="G403" s="10"/>
      <c r="H403" s="750" t="s">
        <v>1702</v>
      </c>
      <c r="I403" s="717">
        <v>6133.0</v>
      </c>
      <c r="J403" s="10"/>
      <c r="K403" s="10"/>
      <c r="L403" s="10"/>
      <c r="M403" s="10"/>
      <c r="N403" s="10"/>
    </row>
    <row r="404">
      <c r="A404" s="516" t="s">
        <v>21059</v>
      </c>
      <c r="B404" s="134">
        <v>189.0</v>
      </c>
      <c r="C404" s="297" t="s">
        <v>20580</v>
      </c>
      <c r="D404" s="715">
        <v>0.91</v>
      </c>
      <c r="E404" s="715">
        <v>0.91</v>
      </c>
      <c r="F404" s="746"/>
      <c r="G404" s="10"/>
      <c r="H404" s="750" t="s">
        <v>21059</v>
      </c>
      <c r="I404" s="717">
        <v>189.0</v>
      </c>
      <c r="J404" s="10"/>
      <c r="K404" s="10"/>
      <c r="L404" s="10"/>
      <c r="M404" s="10"/>
      <c r="N404" s="10"/>
    </row>
    <row r="405">
      <c r="A405" s="516" t="s">
        <v>21060</v>
      </c>
      <c r="B405" s="134">
        <v>2345.0</v>
      </c>
      <c r="C405" s="297" t="s">
        <v>20580</v>
      </c>
      <c r="D405" s="723">
        <v>0.9</v>
      </c>
      <c r="E405" s="723">
        <v>0.9</v>
      </c>
      <c r="F405" s="746"/>
      <c r="G405" s="10"/>
      <c r="H405" s="750" t="s">
        <v>21060</v>
      </c>
      <c r="I405" s="717">
        <v>2345.0</v>
      </c>
      <c r="J405" s="10"/>
      <c r="K405" s="10"/>
      <c r="L405" s="10"/>
      <c r="M405" s="10"/>
      <c r="N405" s="10"/>
    </row>
    <row r="406">
      <c r="A406" s="516" t="s">
        <v>21061</v>
      </c>
      <c r="B406" s="134">
        <v>2345.0</v>
      </c>
      <c r="C406" s="297" t="s">
        <v>20580</v>
      </c>
      <c r="D406" s="723">
        <v>0.9</v>
      </c>
      <c r="E406" s="723">
        <v>0.9</v>
      </c>
      <c r="F406" s="746"/>
      <c r="G406" s="10"/>
      <c r="H406" s="750" t="s">
        <v>21061</v>
      </c>
      <c r="I406" s="717">
        <v>2345.0</v>
      </c>
      <c r="J406" s="10"/>
      <c r="K406" s="10"/>
      <c r="L406" s="10"/>
      <c r="M406" s="10"/>
      <c r="N406" s="10"/>
    </row>
    <row r="407">
      <c r="A407" s="516" t="s">
        <v>21062</v>
      </c>
      <c r="B407" s="134">
        <v>7876.0</v>
      </c>
      <c r="C407" s="297" t="s">
        <v>20580</v>
      </c>
      <c r="D407" s="715">
        <v>0.8</v>
      </c>
      <c r="E407" s="715">
        <v>0.8</v>
      </c>
      <c r="F407" s="746"/>
      <c r="G407" s="10"/>
      <c r="H407" s="750" t="s">
        <v>21062</v>
      </c>
      <c r="I407" s="717">
        <v>7876.0</v>
      </c>
      <c r="J407" s="10"/>
      <c r="K407" s="10"/>
      <c r="L407" s="10"/>
      <c r="M407" s="10"/>
      <c r="N407" s="10"/>
    </row>
    <row r="408">
      <c r="A408" s="27" t="s">
        <v>21063</v>
      </c>
      <c r="B408" s="134">
        <v>2345.0</v>
      </c>
      <c r="C408" s="297" t="s">
        <v>20580</v>
      </c>
      <c r="D408" s="723">
        <v>0.9</v>
      </c>
      <c r="E408" s="723">
        <v>0.9</v>
      </c>
      <c r="F408" s="746"/>
      <c r="G408" s="10"/>
      <c r="H408" s="755" t="s">
        <v>21063</v>
      </c>
      <c r="I408" s="111">
        <v>2345.0</v>
      </c>
      <c r="J408" s="303"/>
      <c r="K408" s="10"/>
      <c r="L408" s="10"/>
      <c r="M408" s="10"/>
      <c r="N408" s="10"/>
    </row>
    <row r="409">
      <c r="A409" s="516" t="s">
        <v>21064</v>
      </c>
      <c r="B409" s="134">
        <v>195.0</v>
      </c>
      <c r="C409" s="297" t="s">
        <v>20580</v>
      </c>
      <c r="D409" s="715">
        <v>0.8</v>
      </c>
      <c r="E409" s="715">
        <v>0.8</v>
      </c>
      <c r="F409" s="746"/>
      <c r="G409" s="10"/>
      <c r="H409" s="750" t="s">
        <v>21064</v>
      </c>
      <c r="I409" s="717">
        <v>195.0</v>
      </c>
      <c r="J409" s="9"/>
      <c r="K409" s="10"/>
      <c r="L409" s="10"/>
      <c r="M409" s="10"/>
      <c r="N409" s="10"/>
    </row>
    <row r="410">
      <c r="A410" s="516" t="s">
        <v>21065</v>
      </c>
      <c r="B410" s="134">
        <v>195.0</v>
      </c>
      <c r="C410" s="297" t="s">
        <v>20580</v>
      </c>
      <c r="D410" s="715">
        <v>0.8</v>
      </c>
      <c r="E410" s="715">
        <v>0.8</v>
      </c>
      <c r="F410" s="746"/>
      <c r="G410" s="10"/>
      <c r="H410" s="750" t="s">
        <v>21065</v>
      </c>
      <c r="I410" s="717">
        <v>195.0</v>
      </c>
      <c r="J410" s="10"/>
      <c r="K410" s="10"/>
      <c r="L410" s="10"/>
      <c r="M410" s="10"/>
      <c r="N410" s="10"/>
    </row>
    <row r="411">
      <c r="A411" s="516" t="s">
        <v>21066</v>
      </c>
      <c r="B411" s="134">
        <v>195.0</v>
      </c>
      <c r="C411" s="297" t="s">
        <v>20580</v>
      </c>
      <c r="D411" s="715">
        <v>0.8</v>
      </c>
      <c r="E411" s="715">
        <v>0.8</v>
      </c>
      <c r="F411" s="746"/>
      <c r="G411" s="10"/>
      <c r="H411" s="750" t="s">
        <v>21066</v>
      </c>
      <c r="I411" s="717">
        <v>195.0</v>
      </c>
      <c r="J411" s="10"/>
      <c r="K411" s="10"/>
      <c r="L411" s="10"/>
      <c r="M411" s="10"/>
      <c r="N411" s="10"/>
    </row>
    <row r="412">
      <c r="A412" s="516" t="s">
        <v>21067</v>
      </c>
      <c r="B412" s="134">
        <v>195.0</v>
      </c>
      <c r="C412" s="297" t="s">
        <v>20580</v>
      </c>
      <c r="D412" s="715">
        <v>0.8</v>
      </c>
      <c r="E412" s="715">
        <v>0.8</v>
      </c>
      <c r="F412" s="746"/>
      <c r="G412" s="10"/>
      <c r="H412" s="750" t="s">
        <v>21067</v>
      </c>
      <c r="I412" s="717">
        <v>195.0</v>
      </c>
      <c r="J412" s="10"/>
      <c r="K412" s="10"/>
      <c r="L412" s="10"/>
      <c r="M412" s="10"/>
      <c r="N412" s="10"/>
    </row>
    <row r="413">
      <c r="A413" s="134" t="s">
        <v>20721</v>
      </c>
      <c r="B413" s="134">
        <v>499.0</v>
      </c>
      <c r="C413" s="297" t="s">
        <v>20580</v>
      </c>
      <c r="D413" s="715">
        <v>0.8</v>
      </c>
      <c r="E413" s="715">
        <v>0.8</v>
      </c>
      <c r="F413" s="746"/>
      <c r="G413" s="10"/>
      <c r="H413" s="111" t="s">
        <v>20721</v>
      </c>
      <c r="I413" s="111">
        <v>499.0</v>
      </c>
      <c r="J413" s="303"/>
      <c r="K413" s="10"/>
      <c r="L413" s="10"/>
      <c r="M413" s="10"/>
      <c r="N413" s="10"/>
    </row>
    <row r="414">
      <c r="A414" s="756" t="s">
        <v>21068</v>
      </c>
      <c r="B414" s="134">
        <v>7010.0</v>
      </c>
      <c r="C414" s="297" t="s">
        <v>20580</v>
      </c>
      <c r="D414" s="723">
        <v>0.85</v>
      </c>
      <c r="E414" s="723">
        <v>0.85</v>
      </c>
      <c r="F414" s="746"/>
      <c r="G414" s="10"/>
      <c r="H414" s="757" t="s">
        <v>21068</v>
      </c>
      <c r="I414" s="717">
        <v>7010.0</v>
      </c>
      <c r="J414" s="9"/>
      <c r="K414" s="10"/>
      <c r="L414" s="10"/>
      <c r="M414" s="10"/>
      <c r="N414" s="10"/>
    </row>
    <row r="415">
      <c r="A415" s="714" t="s">
        <v>21069</v>
      </c>
      <c r="B415" s="134">
        <v>11708.0</v>
      </c>
      <c r="C415" s="297" t="s">
        <v>20580</v>
      </c>
      <c r="D415" s="715">
        <v>0.8</v>
      </c>
      <c r="E415" s="715">
        <v>0.8</v>
      </c>
      <c r="F415" s="746"/>
      <c r="G415" s="10"/>
      <c r="H415" s="144" t="s">
        <v>21069</v>
      </c>
      <c r="I415" s="111">
        <v>11708.0</v>
      </c>
      <c r="J415" s="303"/>
      <c r="K415" s="10"/>
      <c r="L415" s="10"/>
      <c r="M415" s="10"/>
      <c r="N415" s="10"/>
    </row>
    <row r="416">
      <c r="A416" s="714" t="s">
        <v>21070</v>
      </c>
      <c r="B416" s="134">
        <v>189.0</v>
      </c>
      <c r="C416" s="297" t="s">
        <v>20580</v>
      </c>
      <c r="D416" s="715">
        <v>0.91</v>
      </c>
      <c r="E416" s="715">
        <v>0.91</v>
      </c>
      <c r="F416" s="746"/>
      <c r="G416" s="10"/>
      <c r="H416" s="144" t="s">
        <v>21070</v>
      </c>
      <c r="I416" s="111">
        <v>189.0</v>
      </c>
      <c r="J416" s="303"/>
      <c r="K416" s="10"/>
      <c r="L416" s="10"/>
      <c r="M416" s="10"/>
      <c r="N416" s="10"/>
    </row>
    <row r="417">
      <c r="A417" s="758" t="s">
        <v>21071</v>
      </c>
      <c r="B417" s="134">
        <v>189.0</v>
      </c>
      <c r="C417" s="297" t="s">
        <v>20580</v>
      </c>
      <c r="D417" s="715">
        <v>0.91</v>
      </c>
      <c r="E417" s="715">
        <v>0.91</v>
      </c>
      <c r="F417" s="746"/>
      <c r="G417" s="10"/>
      <c r="H417" s="759" t="s">
        <v>21071</v>
      </c>
      <c r="I417" s="111">
        <v>189.0</v>
      </c>
      <c r="J417" s="303"/>
      <c r="K417" s="10"/>
      <c r="L417" s="10"/>
      <c r="M417" s="10"/>
      <c r="N417" s="10"/>
    </row>
    <row r="418">
      <c r="A418" s="758" t="s">
        <v>21072</v>
      </c>
      <c r="B418" s="134">
        <v>11104.0</v>
      </c>
      <c r="C418" s="297" t="s">
        <v>20580</v>
      </c>
      <c r="D418" s="715">
        <v>0.8</v>
      </c>
      <c r="E418" s="715">
        <v>0.8</v>
      </c>
      <c r="F418" s="746"/>
      <c r="G418" s="10"/>
      <c r="H418" s="760" t="s">
        <v>21072</v>
      </c>
      <c r="I418" s="717">
        <v>11104.0</v>
      </c>
      <c r="J418" s="10"/>
      <c r="K418" s="10"/>
      <c r="L418" s="10"/>
      <c r="M418" s="10"/>
      <c r="N418" s="10"/>
    </row>
    <row r="419">
      <c r="A419" s="758" t="s">
        <v>21073</v>
      </c>
      <c r="B419" s="134">
        <v>189.0</v>
      </c>
      <c r="C419" s="297" t="s">
        <v>20580</v>
      </c>
      <c r="D419" s="715">
        <v>0.91</v>
      </c>
      <c r="E419" s="715">
        <v>0.91</v>
      </c>
      <c r="F419" s="746"/>
      <c r="G419" s="10"/>
      <c r="H419" s="759" t="s">
        <v>21073</v>
      </c>
      <c r="I419" s="111">
        <v>189.0</v>
      </c>
      <c r="J419" s="303"/>
      <c r="K419" s="10"/>
      <c r="L419" s="10"/>
      <c r="M419" s="10"/>
      <c r="N419" s="10"/>
    </row>
    <row r="420">
      <c r="A420" s="714" t="s">
        <v>21074</v>
      </c>
      <c r="B420" s="134">
        <v>9746.0</v>
      </c>
      <c r="C420" s="297" t="s">
        <v>20580</v>
      </c>
      <c r="D420" s="715">
        <v>0.8</v>
      </c>
      <c r="E420" s="715">
        <v>0.8</v>
      </c>
      <c r="F420" s="746"/>
      <c r="G420" s="10"/>
      <c r="H420" s="761" t="s">
        <v>21074</v>
      </c>
      <c r="I420" s="717">
        <v>9746.0</v>
      </c>
      <c r="J420" s="10"/>
      <c r="K420" s="10"/>
      <c r="L420" s="10"/>
      <c r="M420" s="10"/>
      <c r="N420" s="10"/>
    </row>
    <row r="421">
      <c r="A421" s="145" t="s">
        <v>21075</v>
      </c>
      <c r="B421" s="297">
        <v>189.0</v>
      </c>
      <c r="C421" s="297" t="s">
        <v>20580</v>
      </c>
      <c r="D421" s="715">
        <v>0.91</v>
      </c>
      <c r="E421" s="715">
        <v>0.91</v>
      </c>
      <c r="F421" s="746"/>
      <c r="G421" s="10"/>
      <c r="H421" s="5" t="s">
        <v>21075</v>
      </c>
      <c r="I421" s="9">
        <v>189.0</v>
      </c>
      <c r="J421" s="10"/>
      <c r="K421" s="10"/>
      <c r="L421" s="10"/>
      <c r="M421" s="10"/>
      <c r="N421" s="10"/>
    </row>
    <row r="422">
      <c r="A422" s="714" t="s">
        <v>21076</v>
      </c>
      <c r="B422" s="134">
        <v>1.0</v>
      </c>
      <c r="C422" s="297" t="s">
        <v>20580</v>
      </c>
      <c r="D422" s="715">
        <v>0.8</v>
      </c>
      <c r="E422" s="715">
        <v>0.8</v>
      </c>
      <c r="F422" s="746"/>
      <c r="G422" s="10"/>
      <c r="H422" s="761" t="s">
        <v>21076</v>
      </c>
      <c r="I422" s="717">
        <v>1.0</v>
      </c>
      <c r="J422" s="10"/>
      <c r="K422" s="10"/>
      <c r="L422" s="10"/>
      <c r="M422" s="10"/>
      <c r="N422" s="10"/>
    </row>
    <row r="423">
      <c r="A423" s="714" t="s">
        <v>21077</v>
      </c>
      <c r="B423" s="134">
        <v>12609.0</v>
      </c>
      <c r="C423" s="297" t="s">
        <v>20580</v>
      </c>
      <c r="D423" s="715">
        <v>0.8</v>
      </c>
      <c r="E423" s="715">
        <v>0.8</v>
      </c>
      <c r="F423" s="746"/>
      <c r="G423" s="10"/>
      <c r="H423" s="761" t="s">
        <v>21077</v>
      </c>
      <c r="I423" s="717">
        <v>12609.0</v>
      </c>
      <c r="J423" s="10"/>
      <c r="K423" s="10"/>
      <c r="L423" s="10"/>
      <c r="M423" s="10"/>
      <c r="N423" s="10"/>
    </row>
    <row r="424">
      <c r="A424" s="714" t="s">
        <v>21078</v>
      </c>
      <c r="B424" s="134">
        <v>189.0</v>
      </c>
      <c r="C424" s="297" t="s">
        <v>20580</v>
      </c>
      <c r="D424" s="715">
        <v>0.91</v>
      </c>
      <c r="E424" s="715">
        <v>0.91</v>
      </c>
      <c r="F424" s="746"/>
      <c r="G424" s="10"/>
      <c r="H424" s="144" t="s">
        <v>21078</v>
      </c>
      <c r="I424" s="111">
        <v>189.0</v>
      </c>
      <c r="J424" s="303"/>
      <c r="K424" s="10"/>
      <c r="L424" s="10"/>
      <c r="M424" s="10"/>
      <c r="N424" s="10"/>
    </row>
    <row r="425">
      <c r="A425" s="714" t="s">
        <v>21079</v>
      </c>
      <c r="B425" s="134">
        <v>189.0</v>
      </c>
      <c r="C425" s="297" t="s">
        <v>20580</v>
      </c>
      <c r="D425" s="715">
        <v>0.91</v>
      </c>
      <c r="E425" s="715">
        <v>0.91</v>
      </c>
      <c r="F425" s="746"/>
      <c r="G425" s="10"/>
      <c r="H425" s="761" t="s">
        <v>21079</v>
      </c>
      <c r="I425" s="717">
        <v>189.0</v>
      </c>
      <c r="J425" s="10"/>
      <c r="K425" s="10"/>
      <c r="L425" s="10"/>
      <c r="M425" s="10"/>
      <c r="N425" s="10"/>
    </row>
    <row r="426">
      <c r="A426" s="145" t="s">
        <v>21080</v>
      </c>
      <c r="B426" s="297">
        <v>189.0</v>
      </c>
      <c r="C426" s="297" t="s">
        <v>20580</v>
      </c>
      <c r="D426" s="715">
        <v>0.91</v>
      </c>
      <c r="E426" s="715">
        <v>0.91</v>
      </c>
      <c r="F426" s="746"/>
      <c r="G426" s="10"/>
      <c r="H426" s="5" t="s">
        <v>21080</v>
      </c>
      <c r="I426" s="9">
        <v>189.0</v>
      </c>
      <c r="J426" s="10"/>
      <c r="K426" s="10"/>
      <c r="L426" s="10"/>
      <c r="M426" s="10"/>
      <c r="N426" s="10"/>
    </row>
    <row r="427">
      <c r="A427" s="714" t="s">
        <v>21081</v>
      </c>
      <c r="B427" s="134">
        <v>7040.0</v>
      </c>
      <c r="C427" s="297" t="s">
        <v>20580</v>
      </c>
      <c r="D427" s="715">
        <v>0.8</v>
      </c>
      <c r="E427" s="715">
        <v>0.8</v>
      </c>
      <c r="F427" s="746"/>
      <c r="G427" s="10"/>
      <c r="H427" s="761" t="s">
        <v>21081</v>
      </c>
      <c r="I427" s="717">
        <v>7040.0</v>
      </c>
      <c r="J427" s="10"/>
      <c r="K427" s="10"/>
      <c r="L427" s="10"/>
      <c r="M427" s="10"/>
      <c r="N427" s="10"/>
    </row>
    <row r="428">
      <c r="A428" s="714" t="s">
        <v>21082</v>
      </c>
      <c r="B428" s="134">
        <v>6706.0</v>
      </c>
      <c r="C428" s="297" t="s">
        <v>20580</v>
      </c>
      <c r="D428" s="723">
        <v>0.8</v>
      </c>
      <c r="E428" s="723">
        <v>0.8</v>
      </c>
      <c r="F428" s="746"/>
      <c r="G428" s="10"/>
      <c r="H428" s="761" t="s">
        <v>21082</v>
      </c>
      <c r="I428" s="717">
        <v>6706.0</v>
      </c>
      <c r="J428" s="10"/>
      <c r="K428" s="10"/>
      <c r="L428" s="10"/>
      <c r="M428" s="10"/>
      <c r="N428" s="10"/>
    </row>
    <row r="429">
      <c r="A429" s="714" t="s">
        <v>21083</v>
      </c>
      <c r="B429" s="134">
        <v>14030.0</v>
      </c>
      <c r="C429" s="297" t="s">
        <v>20580</v>
      </c>
      <c r="D429" s="715">
        <v>0.8</v>
      </c>
      <c r="E429" s="715">
        <v>0.8</v>
      </c>
      <c r="F429" s="746"/>
      <c r="G429" s="10"/>
      <c r="H429" s="761" t="s">
        <v>21083</v>
      </c>
      <c r="I429" s="717">
        <v>14030.0</v>
      </c>
      <c r="J429" s="10"/>
      <c r="K429" s="10"/>
      <c r="L429" s="10"/>
      <c r="M429" s="10"/>
      <c r="N429" s="10"/>
    </row>
    <row r="430">
      <c r="A430" s="714" t="s">
        <v>21084</v>
      </c>
      <c r="B430" s="134">
        <v>7040.0</v>
      </c>
      <c r="C430" s="297" t="s">
        <v>20580</v>
      </c>
      <c r="D430" s="715">
        <v>0.8</v>
      </c>
      <c r="E430" s="715">
        <v>0.8</v>
      </c>
      <c r="F430" s="746"/>
      <c r="G430" s="10"/>
      <c r="H430" s="761" t="s">
        <v>21084</v>
      </c>
      <c r="I430" s="717">
        <v>7040.0</v>
      </c>
      <c r="J430" s="10"/>
      <c r="K430" s="10"/>
      <c r="L430" s="10"/>
      <c r="M430" s="10"/>
      <c r="N430" s="10"/>
    </row>
    <row r="431">
      <c r="A431" s="725" t="s">
        <v>21085</v>
      </c>
      <c r="B431" s="752">
        <v>8486.0</v>
      </c>
      <c r="C431" s="297" t="s">
        <v>20580</v>
      </c>
      <c r="D431" s="723">
        <v>0.85</v>
      </c>
      <c r="E431" s="723">
        <v>1.0</v>
      </c>
      <c r="F431" s="746"/>
      <c r="G431" s="726" t="s">
        <v>20676</v>
      </c>
      <c r="H431" s="5" t="s">
        <v>21085</v>
      </c>
      <c r="I431" s="9">
        <v>8486.0</v>
      </c>
      <c r="J431" s="10"/>
      <c r="K431" s="10"/>
      <c r="L431" s="10"/>
      <c r="M431" s="10"/>
      <c r="N431" s="10"/>
    </row>
    <row r="432">
      <c r="A432" s="725" t="s">
        <v>21086</v>
      </c>
      <c r="B432" s="752">
        <v>8486.0</v>
      </c>
      <c r="C432" s="297" t="s">
        <v>20580</v>
      </c>
      <c r="D432" s="723">
        <v>0.85</v>
      </c>
      <c r="E432" s="723">
        <v>1.0</v>
      </c>
      <c r="F432" s="746"/>
      <c r="G432" s="726" t="s">
        <v>20676</v>
      </c>
      <c r="H432" s="5" t="s">
        <v>21086</v>
      </c>
      <c r="I432" s="9">
        <v>8486.0</v>
      </c>
      <c r="J432" s="10"/>
      <c r="K432" s="10"/>
      <c r="L432" s="10"/>
      <c r="M432" s="10"/>
      <c r="N432" s="10"/>
    </row>
    <row r="433">
      <c r="A433" s="714" t="s">
        <v>21087</v>
      </c>
      <c r="B433" s="134">
        <v>315.0</v>
      </c>
      <c r="C433" s="297" t="s">
        <v>20580</v>
      </c>
      <c r="D433" s="715">
        <v>0.8</v>
      </c>
      <c r="E433" s="715">
        <v>0.8</v>
      </c>
      <c r="F433" s="746"/>
      <c r="G433" s="52"/>
      <c r="H433" s="761" t="s">
        <v>21087</v>
      </c>
      <c r="I433" s="717">
        <v>315.0</v>
      </c>
      <c r="J433" s="10"/>
      <c r="K433" s="10"/>
      <c r="L433" s="10"/>
      <c r="M433" s="10"/>
      <c r="N433" s="10"/>
    </row>
    <row r="434">
      <c r="A434" s="725" t="s">
        <v>21088</v>
      </c>
      <c r="B434" s="725">
        <v>6706.0</v>
      </c>
      <c r="C434" s="297" t="s">
        <v>20580</v>
      </c>
      <c r="D434" s="723">
        <v>0.8</v>
      </c>
      <c r="E434" s="723">
        <v>0.8</v>
      </c>
      <c r="F434" s="746"/>
      <c r="G434" s="726" t="s">
        <v>20676</v>
      </c>
      <c r="H434" s="5" t="s">
        <v>21088</v>
      </c>
      <c r="I434" s="5">
        <v>6706.0</v>
      </c>
      <c r="J434" s="10"/>
      <c r="K434" s="10"/>
      <c r="L434" s="10"/>
      <c r="M434" s="10"/>
      <c r="N434" s="10"/>
    </row>
    <row r="435">
      <c r="A435" s="714" t="s">
        <v>21089</v>
      </c>
      <c r="B435" s="134">
        <v>12932.0</v>
      </c>
      <c r="C435" s="297" t="s">
        <v>20580</v>
      </c>
      <c r="D435" s="715">
        <v>0.8</v>
      </c>
      <c r="E435" s="715">
        <v>0.8</v>
      </c>
      <c r="F435" s="746"/>
      <c r="G435" s="10"/>
      <c r="H435" s="761" t="s">
        <v>21089</v>
      </c>
      <c r="I435" s="717">
        <v>12932.0</v>
      </c>
      <c r="J435" s="10"/>
      <c r="K435" s="10"/>
      <c r="L435" s="10"/>
      <c r="M435" s="10"/>
      <c r="N435" s="10"/>
    </row>
    <row r="436">
      <c r="A436" s="714" t="s">
        <v>21090</v>
      </c>
      <c r="B436" s="134">
        <v>7137.0</v>
      </c>
      <c r="C436" s="297" t="s">
        <v>20580</v>
      </c>
      <c r="D436" s="715">
        <v>0.8</v>
      </c>
      <c r="E436" s="715">
        <v>0.8</v>
      </c>
      <c r="F436" s="746"/>
      <c r="G436" s="10"/>
      <c r="H436" s="761" t="s">
        <v>21090</v>
      </c>
      <c r="I436" s="717">
        <v>7137.0</v>
      </c>
      <c r="J436" s="10"/>
      <c r="K436" s="10"/>
      <c r="L436" s="10"/>
      <c r="M436" s="10"/>
      <c r="N436" s="10"/>
    </row>
    <row r="437">
      <c r="A437" s="714" t="s">
        <v>21091</v>
      </c>
      <c r="B437" s="134">
        <v>13204.0</v>
      </c>
      <c r="C437" s="297" t="s">
        <v>20580</v>
      </c>
      <c r="D437" s="715">
        <v>0.8</v>
      </c>
      <c r="E437" s="715">
        <v>0.8</v>
      </c>
      <c r="F437" s="746"/>
      <c r="G437" s="10"/>
      <c r="H437" s="761" t="s">
        <v>21091</v>
      </c>
      <c r="I437" s="717">
        <v>13204.0</v>
      </c>
      <c r="J437" s="10"/>
      <c r="K437" s="10"/>
      <c r="L437" s="10"/>
      <c r="M437" s="10"/>
      <c r="N437" s="10"/>
    </row>
    <row r="438">
      <c r="A438" s="714" t="s">
        <v>21092</v>
      </c>
      <c r="B438" s="134">
        <v>6706.0</v>
      </c>
      <c r="C438" s="297" t="s">
        <v>20580</v>
      </c>
      <c r="D438" s="723">
        <v>0.8</v>
      </c>
      <c r="E438" s="723">
        <v>0.8</v>
      </c>
      <c r="F438" s="746"/>
      <c r="G438" s="10"/>
      <c r="H438" s="761" t="s">
        <v>21092</v>
      </c>
      <c r="I438" s="717">
        <v>6706.0</v>
      </c>
      <c r="J438" s="10"/>
      <c r="K438" s="10"/>
      <c r="L438" s="10"/>
      <c r="M438" s="10"/>
      <c r="N438" s="10"/>
    </row>
    <row r="439">
      <c r="A439" s="714" t="s">
        <v>21093</v>
      </c>
      <c r="B439" s="134">
        <v>13951.0</v>
      </c>
      <c r="C439" s="297" t="s">
        <v>20580</v>
      </c>
      <c r="D439" s="715">
        <v>0.8</v>
      </c>
      <c r="E439" s="715">
        <v>0.8</v>
      </c>
      <c r="F439" s="746"/>
      <c r="G439" s="10"/>
      <c r="H439" s="761" t="s">
        <v>21093</v>
      </c>
      <c r="I439" s="717">
        <v>13951.0</v>
      </c>
      <c r="J439" s="10"/>
      <c r="K439" s="10"/>
      <c r="L439" s="10"/>
      <c r="M439" s="10"/>
      <c r="N439" s="10"/>
    </row>
    <row r="440">
      <c r="A440" s="714" t="s">
        <v>5646</v>
      </c>
      <c r="B440" s="134">
        <v>13829.0</v>
      </c>
      <c r="C440" s="297" t="s">
        <v>20580</v>
      </c>
      <c r="D440" s="715">
        <v>0.8</v>
      </c>
      <c r="E440" s="715">
        <v>0.8</v>
      </c>
      <c r="F440" s="746"/>
      <c r="G440" s="10"/>
      <c r="H440" s="761" t="s">
        <v>5646</v>
      </c>
      <c r="I440" s="717">
        <v>13829.0</v>
      </c>
      <c r="J440" s="10"/>
      <c r="K440" s="10"/>
      <c r="L440" s="10"/>
      <c r="M440" s="10"/>
      <c r="N440" s="10"/>
    </row>
    <row r="441">
      <c r="A441" s="714" t="s">
        <v>21094</v>
      </c>
      <c r="B441" s="134">
        <v>12262.0</v>
      </c>
      <c r="C441" s="297" t="s">
        <v>20580</v>
      </c>
      <c r="D441" s="715">
        <v>0.8</v>
      </c>
      <c r="E441" s="715">
        <v>0.8</v>
      </c>
      <c r="F441" s="746"/>
      <c r="G441" s="10"/>
      <c r="H441" s="761" t="s">
        <v>21094</v>
      </c>
      <c r="I441" s="717">
        <v>12262.0</v>
      </c>
      <c r="J441" s="10"/>
      <c r="K441" s="10"/>
      <c r="L441" s="10"/>
      <c r="M441" s="10"/>
      <c r="N441" s="10"/>
    </row>
    <row r="442">
      <c r="A442" s="714" t="s">
        <v>21095</v>
      </c>
      <c r="B442" s="134">
        <v>6924.0</v>
      </c>
      <c r="C442" s="297" t="s">
        <v>20580</v>
      </c>
      <c r="D442" s="723">
        <v>0.85</v>
      </c>
      <c r="E442" s="723">
        <v>0.85</v>
      </c>
      <c r="F442" s="746"/>
      <c r="G442" s="10"/>
      <c r="H442" s="761" t="s">
        <v>21095</v>
      </c>
      <c r="I442" s="717">
        <v>6675.0</v>
      </c>
      <c r="J442" s="10"/>
      <c r="K442" s="10"/>
      <c r="L442" s="10"/>
      <c r="M442" s="10"/>
      <c r="N442" s="10"/>
    </row>
    <row r="443">
      <c r="A443" s="714" t="s">
        <v>21096</v>
      </c>
      <c r="B443" s="134">
        <v>13864.0</v>
      </c>
      <c r="C443" s="297" t="s">
        <v>20580</v>
      </c>
      <c r="D443" s="715">
        <v>0.8</v>
      </c>
      <c r="E443" s="715">
        <v>0.8</v>
      </c>
      <c r="F443" s="746"/>
      <c r="G443" s="10"/>
      <c r="H443" s="144" t="s">
        <v>21096</v>
      </c>
      <c r="I443" s="111">
        <v>13864.0</v>
      </c>
      <c r="J443" s="303"/>
      <c r="K443" s="10"/>
      <c r="L443" s="10"/>
      <c r="M443" s="10"/>
      <c r="N443" s="10"/>
    </row>
    <row r="444">
      <c r="A444" s="145" t="s">
        <v>21097</v>
      </c>
      <c r="B444" s="153">
        <v>14646.0</v>
      </c>
      <c r="C444" s="297" t="s">
        <v>20580</v>
      </c>
      <c r="D444" s="715">
        <v>0.8</v>
      </c>
      <c r="E444" s="715">
        <v>0.8</v>
      </c>
      <c r="F444" s="746"/>
      <c r="G444" s="10"/>
      <c r="H444" s="5" t="s">
        <v>21097</v>
      </c>
      <c r="I444" s="10"/>
      <c r="J444" s="10"/>
      <c r="K444" s="10"/>
      <c r="L444" s="10"/>
      <c r="M444" s="10"/>
      <c r="N444" s="10"/>
    </row>
    <row r="445">
      <c r="A445" s="725" t="s">
        <v>21098</v>
      </c>
      <c r="B445" s="752">
        <v>6706.0</v>
      </c>
      <c r="C445" s="297" t="s">
        <v>20580</v>
      </c>
      <c r="D445" s="723">
        <v>0.8</v>
      </c>
      <c r="E445" s="723">
        <v>0.8</v>
      </c>
      <c r="F445" s="746"/>
      <c r="G445" s="726" t="s">
        <v>20676</v>
      </c>
      <c r="H445" s="5" t="s">
        <v>21098</v>
      </c>
      <c r="I445" s="9">
        <v>6706.0</v>
      </c>
      <c r="J445" s="10"/>
      <c r="K445" s="10"/>
      <c r="L445" s="10"/>
      <c r="M445" s="10"/>
      <c r="N445" s="10"/>
    </row>
    <row r="446">
      <c r="A446" s="134" t="s">
        <v>21099</v>
      </c>
      <c r="B446" s="134">
        <v>12078.0</v>
      </c>
      <c r="C446" s="297" t="s">
        <v>20580</v>
      </c>
      <c r="D446" s="715">
        <v>0.8</v>
      </c>
      <c r="E446" s="715">
        <v>0.8</v>
      </c>
      <c r="F446" s="746"/>
      <c r="G446" s="10"/>
      <c r="H446" s="717" t="s">
        <v>21099</v>
      </c>
      <c r="I446" s="717">
        <v>12078.0</v>
      </c>
      <c r="J446" s="10"/>
      <c r="K446" s="10"/>
      <c r="L446" s="10"/>
      <c r="M446" s="10"/>
      <c r="N446" s="10"/>
    </row>
    <row r="447">
      <c r="A447" s="134" t="s">
        <v>2011</v>
      </c>
      <c r="B447" s="134">
        <v>3689.0</v>
      </c>
      <c r="C447" s="297" t="s">
        <v>20580</v>
      </c>
      <c r="D447" s="715">
        <v>0.8</v>
      </c>
      <c r="E447" s="715">
        <v>0.8</v>
      </c>
      <c r="F447" s="746"/>
      <c r="G447" s="10"/>
      <c r="H447" s="717" t="s">
        <v>2011</v>
      </c>
      <c r="I447" s="717">
        <v>3689.0</v>
      </c>
      <c r="J447" s="10"/>
      <c r="K447" s="10"/>
      <c r="L447" s="10"/>
      <c r="M447" s="10"/>
      <c r="N447" s="10"/>
    </row>
    <row r="448">
      <c r="A448" s="297" t="s">
        <v>21100</v>
      </c>
      <c r="B448" s="297">
        <v>6706.0</v>
      </c>
      <c r="C448" s="297" t="s">
        <v>20580</v>
      </c>
      <c r="D448" s="723">
        <v>0.8</v>
      </c>
      <c r="E448" s="723">
        <v>0.8</v>
      </c>
      <c r="F448" s="746"/>
      <c r="G448" s="10"/>
      <c r="H448" s="9" t="s">
        <v>21100</v>
      </c>
      <c r="I448" s="9">
        <v>6706.0</v>
      </c>
      <c r="J448" s="10"/>
      <c r="K448" s="10"/>
      <c r="L448" s="10"/>
      <c r="M448" s="10"/>
      <c r="N448" s="10"/>
    </row>
    <row r="449">
      <c r="A449" s="134" t="s">
        <v>21101</v>
      </c>
      <c r="B449" s="134">
        <v>6706.0</v>
      </c>
      <c r="C449" s="297" t="s">
        <v>20580</v>
      </c>
      <c r="D449" s="723">
        <v>0.8</v>
      </c>
      <c r="E449" s="723">
        <v>0.8</v>
      </c>
      <c r="F449" s="746"/>
      <c r="G449" s="10"/>
      <c r="H449" s="111" t="s">
        <v>21101</v>
      </c>
      <c r="I449" s="111">
        <v>6706.0</v>
      </c>
      <c r="J449" s="303"/>
      <c r="K449" s="10"/>
      <c r="L449" s="10"/>
      <c r="M449" s="10"/>
      <c r="N449" s="10"/>
    </row>
    <row r="450">
      <c r="A450" s="134" t="s">
        <v>21102</v>
      </c>
      <c r="B450" s="134">
        <v>13858.0</v>
      </c>
      <c r="C450" s="297" t="s">
        <v>20580</v>
      </c>
      <c r="D450" s="715">
        <v>0.8</v>
      </c>
      <c r="E450" s="715">
        <v>0.8</v>
      </c>
      <c r="F450" s="746"/>
      <c r="G450" s="10"/>
      <c r="H450" s="717" t="s">
        <v>21102</v>
      </c>
      <c r="I450" s="717">
        <v>13858.0</v>
      </c>
      <c r="J450" s="10"/>
      <c r="K450" s="10"/>
      <c r="L450" s="10"/>
      <c r="M450" s="10"/>
      <c r="N450" s="10"/>
    </row>
    <row r="451">
      <c r="A451" s="752" t="s">
        <v>21103</v>
      </c>
      <c r="B451" s="752">
        <v>6706.0</v>
      </c>
      <c r="C451" s="297" t="s">
        <v>20580</v>
      </c>
      <c r="D451" s="723">
        <v>0.8</v>
      </c>
      <c r="E451" s="723">
        <v>0.8</v>
      </c>
      <c r="F451" s="746"/>
      <c r="G451" s="726" t="s">
        <v>20676</v>
      </c>
      <c r="H451" s="9" t="s">
        <v>21103</v>
      </c>
      <c r="I451" s="9">
        <v>6706.0</v>
      </c>
      <c r="J451" s="10"/>
      <c r="K451" s="10"/>
      <c r="L451" s="10"/>
      <c r="M451" s="10"/>
      <c r="N451" s="10"/>
    </row>
    <row r="452">
      <c r="A452" s="134" t="s">
        <v>21104</v>
      </c>
      <c r="B452" s="134">
        <v>6706.0</v>
      </c>
      <c r="C452" s="297" t="s">
        <v>20580</v>
      </c>
      <c r="D452" s="723">
        <v>0.8</v>
      </c>
      <c r="E452" s="723">
        <v>0.8</v>
      </c>
      <c r="F452" s="746"/>
      <c r="G452" s="10"/>
      <c r="H452" s="717" t="s">
        <v>21104</v>
      </c>
      <c r="I452" s="717">
        <v>6706.0</v>
      </c>
      <c r="J452" s="10"/>
      <c r="K452" s="10"/>
      <c r="L452" s="10"/>
      <c r="M452" s="10"/>
      <c r="N452" s="10"/>
    </row>
    <row r="453">
      <c r="A453" s="134" t="s">
        <v>21105</v>
      </c>
      <c r="B453" s="134">
        <v>6706.0</v>
      </c>
      <c r="C453" s="297" t="s">
        <v>20580</v>
      </c>
      <c r="D453" s="723">
        <v>0.8</v>
      </c>
      <c r="E453" s="723">
        <v>0.8</v>
      </c>
      <c r="F453" s="746"/>
      <c r="G453" s="10"/>
      <c r="H453" s="111" t="s">
        <v>21105</v>
      </c>
      <c r="I453" s="111">
        <v>6706.0</v>
      </c>
      <c r="J453" s="303"/>
      <c r="K453" s="10"/>
      <c r="L453" s="10"/>
      <c r="M453" s="10"/>
      <c r="N453" s="10"/>
    </row>
    <row r="454">
      <c r="A454" s="134" t="s">
        <v>21106</v>
      </c>
      <c r="B454" s="134">
        <v>6873.0</v>
      </c>
      <c r="C454" s="297" t="s">
        <v>20580</v>
      </c>
      <c r="D454" s="715">
        <v>0.8</v>
      </c>
      <c r="E454" s="715">
        <v>0.8</v>
      </c>
      <c r="F454" s="746"/>
      <c r="G454" s="10"/>
      <c r="H454" s="717" t="s">
        <v>21106</v>
      </c>
      <c r="I454" s="717">
        <v>6873.0</v>
      </c>
      <c r="J454" s="10"/>
      <c r="K454" s="10"/>
      <c r="L454" s="10"/>
      <c r="M454" s="10"/>
      <c r="N454" s="10"/>
    </row>
    <row r="455">
      <c r="A455" s="134" t="s">
        <v>21107</v>
      </c>
      <c r="B455" s="134">
        <v>6891.0</v>
      </c>
      <c r="C455" s="297" t="s">
        <v>20580</v>
      </c>
      <c r="D455" s="715">
        <v>0.8</v>
      </c>
      <c r="E455" s="715">
        <v>0.8</v>
      </c>
      <c r="F455" s="746"/>
      <c r="G455" s="10"/>
      <c r="H455" s="717" t="s">
        <v>21107</v>
      </c>
      <c r="I455" s="717">
        <v>6891.0</v>
      </c>
      <c r="J455" s="10"/>
      <c r="K455" s="10"/>
      <c r="L455" s="10"/>
      <c r="M455" s="10"/>
      <c r="N455" s="10"/>
    </row>
    <row r="456">
      <c r="A456" s="134" t="s">
        <v>17406</v>
      </c>
      <c r="B456" s="153">
        <v>12553.0</v>
      </c>
      <c r="C456" s="297" t="s">
        <v>20580</v>
      </c>
      <c r="D456" s="715">
        <v>0.8</v>
      </c>
      <c r="E456" s="715">
        <v>0.8</v>
      </c>
      <c r="F456" s="746"/>
      <c r="G456" s="10"/>
      <c r="H456" s="111" t="s">
        <v>17406</v>
      </c>
      <c r="I456" s="301">
        <v>12553.0</v>
      </c>
      <c r="J456" s="303"/>
      <c r="K456" s="10"/>
      <c r="L456" s="10"/>
      <c r="M456" s="10"/>
      <c r="N456" s="10"/>
    </row>
    <row r="457">
      <c r="A457" s="134" t="s">
        <v>17408</v>
      </c>
      <c r="B457" s="134">
        <v>6106.0</v>
      </c>
      <c r="C457" s="297" t="s">
        <v>20580</v>
      </c>
      <c r="D457" s="715">
        <v>0.8</v>
      </c>
      <c r="E457" s="715">
        <v>0.8</v>
      </c>
      <c r="F457" s="746"/>
      <c r="G457" s="10"/>
      <c r="H457" s="717" t="s">
        <v>17408</v>
      </c>
      <c r="I457" s="717">
        <v>6106.0</v>
      </c>
      <c r="J457" s="10"/>
      <c r="K457" s="10"/>
      <c r="L457" s="10"/>
      <c r="M457" s="10"/>
      <c r="N457" s="10"/>
    </row>
    <row r="458">
      <c r="A458" s="134" t="s">
        <v>17409</v>
      </c>
      <c r="B458" s="134">
        <v>10856.0</v>
      </c>
      <c r="C458" s="297" t="s">
        <v>20580</v>
      </c>
      <c r="D458" s="715">
        <v>0.8</v>
      </c>
      <c r="E458" s="715">
        <v>0.8</v>
      </c>
      <c r="F458" s="746"/>
      <c r="G458" s="10"/>
      <c r="H458" s="111" t="s">
        <v>17409</v>
      </c>
      <c r="I458" s="111">
        <v>10856.0</v>
      </c>
      <c r="J458" s="303"/>
      <c r="K458" s="10"/>
      <c r="L458" s="10"/>
      <c r="M458" s="10"/>
      <c r="N458" s="10"/>
    </row>
    <row r="459">
      <c r="A459" s="134" t="s">
        <v>17410</v>
      </c>
      <c r="B459" s="134">
        <v>6629.0</v>
      </c>
      <c r="C459" s="297" t="s">
        <v>20580</v>
      </c>
      <c r="D459" s="715">
        <v>0.8</v>
      </c>
      <c r="E459" s="715">
        <v>0.8</v>
      </c>
      <c r="F459" s="746"/>
      <c r="G459" s="10"/>
      <c r="H459" s="111" t="s">
        <v>17410</v>
      </c>
      <c r="I459" s="111">
        <v>6629.0</v>
      </c>
      <c r="J459" s="303"/>
      <c r="K459" s="10"/>
      <c r="L459" s="10"/>
      <c r="M459" s="10"/>
      <c r="N459" s="10"/>
    </row>
    <row r="460">
      <c r="A460" s="134" t="s">
        <v>17412</v>
      </c>
      <c r="B460" s="134">
        <v>14482.0</v>
      </c>
      <c r="C460" s="297" t="s">
        <v>20580</v>
      </c>
      <c r="D460" s="715">
        <v>0.8</v>
      </c>
      <c r="E460" s="715">
        <v>0.8</v>
      </c>
      <c r="F460" s="746"/>
      <c r="G460" s="10"/>
      <c r="H460" s="717" t="s">
        <v>17412</v>
      </c>
      <c r="I460" s="717">
        <v>4193.0</v>
      </c>
      <c r="J460" s="10"/>
      <c r="K460" s="10"/>
      <c r="L460" s="10"/>
      <c r="M460" s="10"/>
      <c r="N460" s="10"/>
    </row>
    <row r="461">
      <c r="A461" s="134" t="s">
        <v>17413</v>
      </c>
      <c r="B461" s="134">
        <v>13862.0</v>
      </c>
      <c r="C461" s="297" t="s">
        <v>20580</v>
      </c>
      <c r="D461" s="715">
        <v>0.8</v>
      </c>
      <c r="E461" s="715">
        <v>0.8</v>
      </c>
      <c r="F461" s="746"/>
      <c r="G461" s="10"/>
      <c r="H461" s="717" t="s">
        <v>17413</v>
      </c>
      <c r="I461" s="717">
        <v>13862.0</v>
      </c>
      <c r="J461" s="10"/>
      <c r="K461" s="10"/>
      <c r="L461" s="10"/>
      <c r="M461" s="10"/>
      <c r="N461" s="10"/>
    </row>
    <row r="462">
      <c r="A462" s="134" t="s">
        <v>17414</v>
      </c>
      <c r="B462" s="134">
        <v>13952.0</v>
      </c>
      <c r="C462" s="297" t="s">
        <v>20580</v>
      </c>
      <c r="D462" s="715">
        <v>0.8</v>
      </c>
      <c r="E462" s="715">
        <v>0.8</v>
      </c>
      <c r="F462" s="746"/>
      <c r="G462" s="10"/>
      <c r="H462" s="111" t="s">
        <v>17414</v>
      </c>
      <c r="I462" s="111">
        <v>13952.0</v>
      </c>
      <c r="J462" s="303"/>
      <c r="K462" s="10"/>
      <c r="L462" s="10"/>
      <c r="M462" s="10"/>
      <c r="N462" s="10"/>
    </row>
    <row r="463">
      <c r="A463" s="134" t="s">
        <v>17415</v>
      </c>
      <c r="B463" s="134">
        <v>942.0</v>
      </c>
      <c r="C463" s="297" t="s">
        <v>20580</v>
      </c>
      <c r="D463" s="715">
        <v>0.8</v>
      </c>
      <c r="E463" s="715">
        <v>0.8</v>
      </c>
      <c r="F463" s="746"/>
      <c r="G463" s="10"/>
      <c r="H463" s="717" t="s">
        <v>17415</v>
      </c>
      <c r="I463" s="717">
        <v>942.0</v>
      </c>
      <c r="J463" s="10"/>
      <c r="K463" s="10"/>
      <c r="L463" s="10"/>
      <c r="M463" s="10"/>
      <c r="N463" s="10"/>
    </row>
    <row r="464">
      <c r="A464" s="134" t="s">
        <v>17416</v>
      </c>
      <c r="B464" s="134">
        <v>942.0</v>
      </c>
      <c r="C464" s="297" t="s">
        <v>20580</v>
      </c>
      <c r="D464" s="715">
        <v>0.8</v>
      </c>
      <c r="E464" s="715">
        <v>0.8</v>
      </c>
      <c r="F464" s="746"/>
      <c r="G464" s="10"/>
      <c r="H464" s="717" t="s">
        <v>17416</v>
      </c>
      <c r="I464" s="717">
        <v>942.0</v>
      </c>
      <c r="J464" s="10"/>
      <c r="K464" s="10"/>
      <c r="L464" s="10"/>
      <c r="M464" s="10"/>
      <c r="N464" s="10"/>
    </row>
    <row r="465">
      <c r="A465" s="297" t="s">
        <v>21108</v>
      </c>
      <c r="B465" s="297">
        <v>11049.0</v>
      </c>
      <c r="C465" s="297" t="s">
        <v>20580</v>
      </c>
      <c r="D465" s="715">
        <v>0.8</v>
      </c>
      <c r="E465" s="715">
        <v>0.8</v>
      </c>
      <c r="F465" s="746"/>
      <c r="G465" s="10"/>
      <c r="H465" s="9" t="s">
        <v>21108</v>
      </c>
      <c r="I465" s="10"/>
      <c r="J465" s="10"/>
      <c r="K465" s="10"/>
      <c r="L465" s="10"/>
      <c r="M465" s="10"/>
      <c r="N465" s="10"/>
    </row>
    <row r="466">
      <c r="A466" s="297" t="s">
        <v>21109</v>
      </c>
      <c r="B466" s="297">
        <v>11049.0</v>
      </c>
      <c r="C466" s="297" t="s">
        <v>20580</v>
      </c>
      <c r="D466" s="715">
        <v>0.8</v>
      </c>
      <c r="E466" s="715">
        <v>0.8</v>
      </c>
      <c r="F466" s="746"/>
      <c r="G466" s="10"/>
      <c r="H466" s="9" t="s">
        <v>21109</v>
      </c>
      <c r="I466" s="10"/>
      <c r="J466" s="10"/>
      <c r="K466" s="10"/>
      <c r="L466" s="10"/>
      <c r="M466" s="10"/>
      <c r="N466" s="10"/>
    </row>
    <row r="467">
      <c r="A467" s="297" t="s">
        <v>21110</v>
      </c>
      <c r="B467" s="297">
        <v>11049.0</v>
      </c>
      <c r="C467" s="297" t="s">
        <v>20580</v>
      </c>
      <c r="D467" s="715">
        <v>0.8</v>
      </c>
      <c r="E467" s="715">
        <v>0.8</v>
      </c>
      <c r="F467" s="746"/>
      <c r="G467" s="10"/>
      <c r="H467" s="9" t="s">
        <v>21110</v>
      </c>
      <c r="I467" s="10"/>
      <c r="J467" s="10"/>
      <c r="K467" s="10"/>
      <c r="L467" s="10"/>
      <c r="M467" s="10"/>
      <c r="N467" s="10"/>
    </row>
    <row r="468">
      <c r="A468" s="297" t="s">
        <v>21111</v>
      </c>
      <c r="B468" s="297">
        <v>11049.0</v>
      </c>
      <c r="C468" s="297" t="s">
        <v>20580</v>
      </c>
      <c r="D468" s="715">
        <v>0.8</v>
      </c>
      <c r="E468" s="715">
        <v>0.8</v>
      </c>
      <c r="F468" s="746"/>
      <c r="G468" s="10"/>
      <c r="H468" s="9" t="s">
        <v>21111</v>
      </c>
      <c r="I468" s="10"/>
      <c r="J468" s="10"/>
      <c r="K468" s="10"/>
      <c r="L468" s="10"/>
      <c r="M468" s="10"/>
      <c r="N468" s="10"/>
    </row>
    <row r="469">
      <c r="A469" s="297" t="s">
        <v>21112</v>
      </c>
      <c r="B469" s="297">
        <v>11049.0</v>
      </c>
      <c r="C469" s="297" t="s">
        <v>20580</v>
      </c>
      <c r="D469" s="715">
        <v>0.8</v>
      </c>
      <c r="E469" s="715">
        <v>0.8</v>
      </c>
      <c r="F469" s="746"/>
      <c r="G469" s="10"/>
      <c r="H469" s="9" t="s">
        <v>21112</v>
      </c>
      <c r="I469" s="10"/>
      <c r="J469" s="10"/>
      <c r="K469" s="10"/>
      <c r="L469" s="10"/>
      <c r="M469" s="10"/>
      <c r="N469" s="10"/>
    </row>
    <row r="470">
      <c r="A470" s="297" t="s">
        <v>21113</v>
      </c>
      <c r="B470" s="297">
        <v>11049.0</v>
      </c>
      <c r="C470" s="297" t="s">
        <v>20580</v>
      </c>
      <c r="D470" s="715">
        <v>0.8</v>
      </c>
      <c r="E470" s="715">
        <v>0.8</v>
      </c>
      <c r="F470" s="746"/>
      <c r="G470" s="10"/>
      <c r="H470" s="9" t="s">
        <v>21113</v>
      </c>
      <c r="I470" s="10"/>
      <c r="J470" s="10"/>
      <c r="K470" s="10"/>
      <c r="L470" s="10"/>
      <c r="M470" s="10"/>
      <c r="N470" s="10"/>
    </row>
    <row r="471">
      <c r="A471" s="297" t="s">
        <v>21114</v>
      </c>
      <c r="B471" s="297">
        <v>11049.0</v>
      </c>
      <c r="C471" s="297" t="s">
        <v>20580</v>
      </c>
      <c r="D471" s="715">
        <v>0.8</v>
      </c>
      <c r="E471" s="715">
        <v>0.8</v>
      </c>
      <c r="F471" s="746"/>
      <c r="G471" s="10"/>
      <c r="H471" s="9" t="s">
        <v>21114</v>
      </c>
      <c r="I471" s="10"/>
      <c r="J471" s="10"/>
      <c r="K471" s="10"/>
      <c r="L471" s="10"/>
      <c r="M471" s="10"/>
      <c r="N471" s="10"/>
    </row>
    <row r="472">
      <c r="A472" s="297" t="s">
        <v>21115</v>
      </c>
      <c r="B472" s="297">
        <v>11049.0</v>
      </c>
      <c r="C472" s="297" t="s">
        <v>20580</v>
      </c>
      <c r="D472" s="715">
        <v>0.8</v>
      </c>
      <c r="E472" s="715">
        <v>0.8</v>
      </c>
      <c r="F472" s="746"/>
      <c r="G472" s="10"/>
      <c r="H472" s="9" t="s">
        <v>21115</v>
      </c>
      <c r="I472" s="10"/>
      <c r="J472" s="10"/>
      <c r="K472" s="10"/>
      <c r="L472" s="10"/>
      <c r="M472" s="10"/>
      <c r="N472" s="10"/>
    </row>
    <row r="473">
      <c r="A473" s="297" t="s">
        <v>21116</v>
      </c>
      <c r="B473" s="297">
        <v>11049.0</v>
      </c>
      <c r="C473" s="297" t="s">
        <v>20580</v>
      </c>
      <c r="D473" s="715">
        <v>0.8</v>
      </c>
      <c r="E473" s="715">
        <v>0.8</v>
      </c>
      <c r="F473" s="746"/>
      <c r="G473" s="10"/>
      <c r="H473" s="9" t="s">
        <v>21116</v>
      </c>
      <c r="I473" s="10"/>
      <c r="J473" s="10"/>
      <c r="K473" s="10"/>
      <c r="L473" s="10"/>
      <c r="M473" s="10"/>
      <c r="N473" s="10"/>
    </row>
    <row r="474">
      <c r="A474" s="297" t="s">
        <v>21117</v>
      </c>
      <c r="B474" s="297">
        <v>11049.0</v>
      </c>
      <c r="C474" s="297" t="s">
        <v>20580</v>
      </c>
      <c r="D474" s="715">
        <v>0.8</v>
      </c>
      <c r="E474" s="715">
        <v>0.8</v>
      </c>
      <c r="F474" s="746"/>
      <c r="G474" s="10"/>
      <c r="H474" s="9" t="s">
        <v>21117</v>
      </c>
      <c r="I474" s="10"/>
      <c r="J474" s="10"/>
      <c r="K474" s="10"/>
      <c r="L474" s="10"/>
      <c r="M474" s="10"/>
      <c r="N474" s="10"/>
    </row>
    <row r="475">
      <c r="A475" s="297" t="s">
        <v>21118</v>
      </c>
      <c r="B475" s="297">
        <v>11049.0</v>
      </c>
      <c r="C475" s="297" t="s">
        <v>20580</v>
      </c>
      <c r="D475" s="715">
        <v>0.8</v>
      </c>
      <c r="E475" s="715">
        <v>0.8</v>
      </c>
      <c r="F475" s="746"/>
      <c r="G475" s="10"/>
      <c r="H475" s="9" t="s">
        <v>21118</v>
      </c>
      <c r="I475" s="10"/>
      <c r="J475" s="10"/>
      <c r="K475" s="10"/>
      <c r="L475" s="10"/>
      <c r="M475" s="10"/>
      <c r="N475" s="10"/>
    </row>
    <row r="476">
      <c r="A476" s="297" t="s">
        <v>21119</v>
      </c>
      <c r="B476" s="297">
        <v>11049.0</v>
      </c>
      <c r="C476" s="297" t="s">
        <v>20580</v>
      </c>
      <c r="D476" s="715">
        <v>0.8</v>
      </c>
      <c r="E476" s="715">
        <v>0.8</v>
      </c>
      <c r="F476" s="746"/>
      <c r="G476" s="10"/>
      <c r="H476" s="9" t="s">
        <v>21119</v>
      </c>
      <c r="I476" s="10"/>
      <c r="J476" s="10"/>
      <c r="K476" s="10"/>
      <c r="L476" s="10"/>
      <c r="M476" s="10"/>
      <c r="N476" s="10"/>
    </row>
    <row r="477">
      <c r="A477" s="297" t="s">
        <v>21120</v>
      </c>
      <c r="B477" s="297">
        <v>11049.0</v>
      </c>
      <c r="C477" s="297" t="s">
        <v>20580</v>
      </c>
      <c r="D477" s="715">
        <v>0.8</v>
      </c>
      <c r="E477" s="715">
        <v>0.8</v>
      </c>
      <c r="F477" s="746"/>
      <c r="G477" s="10"/>
      <c r="H477" s="9" t="s">
        <v>21120</v>
      </c>
      <c r="I477" s="10"/>
      <c r="J477" s="10"/>
      <c r="K477" s="10"/>
      <c r="L477" s="10"/>
      <c r="M477" s="10"/>
      <c r="N477" s="10"/>
    </row>
    <row r="478">
      <c r="A478" s="297">
        <v>5457.0</v>
      </c>
      <c r="B478" s="297">
        <v>11049.0</v>
      </c>
      <c r="C478" s="297" t="s">
        <v>20580</v>
      </c>
      <c r="D478" s="715">
        <v>0.8</v>
      </c>
      <c r="E478" s="715">
        <v>0.8</v>
      </c>
      <c r="F478" s="746"/>
      <c r="G478" s="10"/>
      <c r="H478" s="9">
        <v>5457.0</v>
      </c>
      <c r="I478" s="10"/>
      <c r="J478" s="10"/>
      <c r="K478" s="10"/>
      <c r="L478" s="10"/>
      <c r="M478" s="10"/>
      <c r="N478" s="10"/>
    </row>
    <row r="479">
      <c r="A479" s="297" t="s">
        <v>21121</v>
      </c>
      <c r="B479" s="297">
        <v>11049.0</v>
      </c>
      <c r="C479" s="297" t="s">
        <v>20580</v>
      </c>
      <c r="D479" s="715">
        <v>0.8</v>
      </c>
      <c r="E479" s="715">
        <v>0.8</v>
      </c>
      <c r="F479" s="746"/>
      <c r="G479" s="10"/>
      <c r="H479" s="9" t="s">
        <v>21121</v>
      </c>
      <c r="I479" s="10"/>
      <c r="J479" s="10"/>
      <c r="K479" s="10"/>
      <c r="L479" s="10"/>
      <c r="M479" s="10"/>
      <c r="N479" s="10"/>
    </row>
    <row r="480">
      <c r="A480" s="297" t="s">
        <v>21122</v>
      </c>
      <c r="B480" s="297">
        <v>11049.0</v>
      </c>
      <c r="C480" s="297" t="s">
        <v>20580</v>
      </c>
      <c r="D480" s="715">
        <v>0.8</v>
      </c>
      <c r="E480" s="715">
        <v>0.8</v>
      </c>
      <c r="F480" s="746"/>
      <c r="G480" s="10"/>
      <c r="H480" s="9" t="s">
        <v>21122</v>
      </c>
      <c r="I480" s="10"/>
      <c r="J480" s="10"/>
      <c r="K480" s="10"/>
      <c r="L480" s="10"/>
      <c r="M480" s="10"/>
      <c r="N480" s="10"/>
    </row>
    <row r="481">
      <c r="A481" s="297" t="s">
        <v>21123</v>
      </c>
      <c r="B481" s="297">
        <v>11049.0</v>
      </c>
      <c r="C481" s="297" t="s">
        <v>20580</v>
      </c>
      <c r="D481" s="715">
        <v>0.8</v>
      </c>
      <c r="E481" s="715">
        <v>0.8</v>
      </c>
      <c r="F481" s="746"/>
      <c r="G481" s="10"/>
      <c r="H481" s="9" t="s">
        <v>21123</v>
      </c>
      <c r="I481" s="10"/>
      <c r="J481" s="10"/>
      <c r="K481" s="10"/>
      <c r="L481" s="10"/>
      <c r="M481" s="10"/>
      <c r="N481" s="10"/>
    </row>
    <row r="482">
      <c r="A482" s="297" t="s">
        <v>21124</v>
      </c>
      <c r="B482" s="297">
        <v>11049.0</v>
      </c>
      <c r="C482" s="297" t="s">
        <v>20580</v>
      </c>
      <c r="D482" s="715">
        <v>0.8</v>
      </c>
      <c r="E482" s="715">
        <v>0.8</v>
      </c>
      <c r="F482" s="746"/>
      <c r="G482" s="10"/>
      <c r="H482" s="9" t="s">
        <v>21124</v>
      </c>
      <c r="I482" s="10"/>
      <c r="J482" s="10"/>
      <c r="K482" s="10"/>
      <c r="L482" s="10"/>
      <c r="M482" s="10"/>
      <c r="N482" s="10"/>
    </row>
    <row r="483">
      <c r="A483" s="297" t="s">
        <v>21125</v>
      </c>
      <c r="B483" s="297">
        <v>11049.0</v>
      </c>
      <c r="C483" s="297" t="s">
        <v>20580</v>
      </c>
      <c r="D483" s="715">
        <v>0.8</v>
      </c>
      <c r="E483" s="715">
        <v>0.8</v>
      </c>
      <c r="F483" s="746"/>
      <c r="G483" s="10"/>
      <c r="H483" s="9" t="s">
        <v>21125</v>
      </c>
      <c r="I483" s="10"/>
      <c r="J483" s="10"/>
      <c r="K483" s="10"/>
      <c r="L483" s="10"/>
      <c r="M483" s="10"/>
      <c r="N483" s="10"/>
    </row>
    <row r="484">
      <c r="A484" s="297" t="s">
        <v>21126</v>
      </c>
      <c r="B484" s="297">
        <v>11049.0</v>
      </c>
      <c r="C484" s="297" t="s">
        <v>20580</v>
      </c>
      <c r="D484" s="715">
        <v>0.8</v>
      </c>
      <c r="E484" s="715">
        <v>0.8</v>
      </c>
      <c r="F484" s="746"/>
      <c r="G484" s="10"/>
      <c r="H484" s="9" t="s">
        <v>21126</v>
      </c>
      <c r="I484" s="10"/>
      <c r="J484" s="10"/>
      <c r="K484" s="10"/>
      <c r="L484" s="10"/>
      <c r="M484" s="10"/>
      <c r="N484" s="10"/>
    </row>
    <row r="485">
      <c r="A485" s="297" t="s">
        <v>21127</v>
      </c>
      <c r="B485" s="297">
        <v>11049.0</v>
      </c>
      <c r="C485" s="297" t="s">
        <v>20580</v>
      </c>
      <c r="D485" s="715">
        <v>0.8</v>
      </c>
      <c r="E485" s="715">
        <v>0.8</v>
      </c>
      <c r="F485" s="746"/>
      <c r="G485" s="10"/>
      <c r="H485" s="9" t="s">
        <v>21127</v>
      </c>
      <c r="I485" s="10"/>
      <c r="J485" s="10"/>
      <c r="K485" s="10"/>
      <c r="L485" s="10"/>
      <c r="M485" s="10"/>
      <c r="N485" s="10"/>
    </row>
    <row r="486">
      <c r="A486" s="297" t="s">
        <v>21128</v>
      </c>
      <c r="B486" s="297">
        <v>11049.0</v>
      </c>
      <c r="C486" s="297" t="s">
        <v>20580</v>
      </c>
      <c r="D486" s="715">
        <v>0.8</v>
      </c>
      <c r="E486" s="715">
        <v>0.8</v>
      </c>
      <c r="F486" s="746"/>
      <c r="G486" s="10"/>
      <c r="H486" s="9" t="s">
        <v>21128</v>
      </c>
      <c r="I486" s="10"/>
      <c r="J486" s="10"/>
      <c r="K486" s="10"/>
      <c r="L486" s="10"/>
      <c r="M486" s="10"/>
      <c r="N486" s="10"/>
    </row>
    <row r="487">
      <c r="A487" s="297" t="s">
        <v>21129</v>
      </c>
      <c r="B487" s="297">
        <v>11049.0</v>
      </c>
      <c r="C487" s="297" t="s">
        <v>20580</v>
      </c>
      <c r="D487" s="715">
        <v>0.8</v>
      </c>
      <c r="E487" s="715">
        <v>0.8</v>
      </c>
      <c r="F487" s="746"/>
      <c r="G487" s="10"/>
      <c r="H487" s="9" t="s">
        <v>21129</v>
      </c>
      <c r="I487" s="10"/>
      <c r="J487" s="10"/>
      <c r="K487" s="10"/>
      <c r="L487" s="10"/>
      <c r="M487" s="10"/>
      <c r="N487" s="10"/>
    </row>
    <row r="488">
      <c r="A488" s="297" t="s">
        <v>21130</v>
      </c>
      <c r="B488" s="297">
        <v>11049.0</v>
      </c>
      <c r="C488" s="297" t="s">
        <v>20580</v>
      </c>
      <c r="D488" s="715">
        <v>0.8</v>
      </c>
      <c r="E488" s="715">
        <v>0.8</v>
      </c>
      <c r="F488" s="746"/>
      <c r="G488" s="10"/>
      <c r="H488" s="9" t="s">
        <v>21130</v>
      </c>
      <c r="I488" s="10"/>
      <c r="J488" s="10"/>
      <c r="K488" s="10"/>
      <c r="L488" s="10"/>
      <c r="M488" s="10"/>
      <c r="N488" s="10"/>
    </row>
    <row r="489">
      <c r="A489" s="297" t="s">
        <v>21131</v>
      </c>
      <c r="B489" s="297">
        <v>11049.0</v>
      </c>
      <c r="C489" s="297" t="s">
        <v>20580</v>
      </c>
      <c r="D489" s="715">
        <v>0.8</v>
      </c>
      <c r="E489" s="715">
        <v>0.8</v>
      </c>
      <c r="F489" s="746"/>
      <c r="G489" s="10"/>
      <c r="H489" s="9" t="s">
        <v>21131</v>
      </c>
      <c r="I489" s="10"/>
      <c r="J489" s="10"/>
      <c r="K489" s="10"/>
      <c r="L489" s="10"/>
      <c r="M489" s="10"/>
      <c r="N489" s="10"/>
    </row>
    <row r="490">
      <c r="A490" s="297" t="s">
        <v>21132</v>
      </c>
      <c r="B490" s="297">
        <v>11049.0</v>
      </c>
      <c r="C490" s="297" t="s">
        <v>20580</v>
      </c>
      <c r="D490" s="715">
        <v>0.8</v>
      </c>
      <c r="E490" s="715">
        <v>0.8</v>
      </c>
      <c r="F490" s="746"/>
      <c r="G490" s="10"/>
      <c r="H490" s="9" t="s">
        <v>21132</v>
      </c>
      <c r="I490" s="10"/>
      <c r="J490" s="10"/>
      <c r="K490" s="10"/>
      <c r="L490" s="10"/>
      <c r="M490" s="10"/>
      <c r="N490" s="10"/>
    </row>
    <row r="491">
      <c r="A491" s="297" t="s">
        <v>21133</v>
      </c>
      <c r="B491" s="297">
        <v>11049.0</v>
      </c>
      <c r="C491" s="297" t="s">
        <v>20580</v>
      </c>
      <c r="D491" s="715">
        <v>0.8</v>
      </c>
      <c r="E491" s="715">
        <v>0.8</v>
      </c>
      <c r="F491" s="746"/>
      <c r="G491" s="10"/>
      <c r="H491" s="9" t="s">
        <v>21133</v>
      </c>
      <c r="I491" s="10"/>
      <c r="J491" s="10"/>
      <c r="K491" s="10"/>
      <c r="L491" s="10"/>
      <c r="M491" s="10"/>
      <c r="N491" s="10"/>
    </row>
    <row r="492">
      <c r="A492" s="297" t="s">
        <v>21134</v>
      </c>
      <c r="B492" s="297">
        <v>11049.0</v>
      </c>
      <c r="C492" s="297" t="s">
        <v>20580</v>
      </c>
      <c r="D492" s="715">
        <v>0.8</v>
      </c>
      <c r="E492" s="715">
        <v>0.8</v>
      </c>
      <c r="F492" s="746"/>
      <c r="G492" s="10"/>
      <c r="H492" s="9" t="s">
        <v>21134</v>
      </c>
      <c r="I492" s="10"/>
      <c r="J492" s="10"/>
      <c r="K492" s="10"/>
      <c r="L492" s="10"/>
      <c r="M492" s="10"/>
      <c r="N492" s="10"/>
    </row>
    <row r="493">
      <c r="A493" s="297" t="s">
        <v>21135</v>
      </c>
      <c r="B493" s="297">
        <v>11049.0</v>
      </c>
      <c r="C493" s="297" t="s">
        <v>20580</v>
      </c>
      <c r="D493" s="715">
        <v>0.8</v>
      </c>
      <c r="E493" s="715">
        <v>0.8</v>
      </c>
      <c r="F493" s="746"/>
      <c r="G493" s="10"/>
      <c r="H493" s="9" t="s">
        <v>21135</v>
      </c>
      <c r="I493" s="10"/>
      <c r="J493" s="10"/>
      <c r="K493" s="10"/>
      <c r="L493" s="10"/>
      <c r="M493" s="10"/>
      <c r="N493" s="10"/>
    </row>
    <row r="494">
      <c r="A494" s="297" t="s">
        <v>21136</v>
      </c>
      <c r="B494" s="297">
        <v>11049.0</v>
      </c>
      <c r="C494" s="297" t="s">
        <v>20580</v>
      </c>
      <c r="D494" s="715">
        <v>0.8</v>
      </c>
      <c r="E494" s="715">
        <v>0.8</v>
      </c>
      <c r="F494" s="746"/>
      <c r="G494" s="10"/>
      <c r="H494" s="9" t="s">
        <v>21136</v>
      </c>
      <c r="I494" s="10"/>
      <c r="J494" s="10"/>
      <c r="K494" s="10"/>
      <c r="L494" s="10"/>
      <c r="M494" s="10"/>
      <c r="N494" s="10"/>
    </row>
    <row r="495">
      <c r="A495" s="297" t="s">
        <v>21137</v>
      </c>
      <c r="B495" s="297">
        <v>14659.0</v>
      </c>
      <c r="C495" s="297" t="s">
        <v>20580</v>
      </c>
      <c r="D495" s="715">
        <v>0.8</v>
      </c>
      <c r="E495" s="715">
        <v>0.8</v>
      </c>
      <c r="F495" s="746"/>
      <c r="G495" s="10"/>
      <c r="H495" s="9" t="s">
        <v>21137</v>
      </c>
      <c r="I495" s="10"/>
      <c r="J495" s="10"/>
      <c r="K495" s="10"/>
      <c r="L495" s="10"/>
      <c r="M495" s="10"/>
      <c r="N495" s="10"/>
    </row>
    <row r="496">
      <c r="A496" s="297" t="s">
        <v>21138</v>
      </c>
      <c r="B496" s="297">
        <v>14672.0</v>
      </c>
      <c r="C496" s="297" t="s">
        <v>20580</v>
      </c>
      <c r="D496" s="715">
        <v>0.8</v>
      </c>
      <c r="E496" s="715">
        <v>0.8</v>
      </c>
      <c r="F496" s="746"/>
      <c r="G496" s="10"/>
      <c r="H496" s="9" t="s">
        <v>21138</v>
      </c>
      <c r="I496" s="10"/>
      <c r="J496" s="10"/>
      <c r="K496" s="10"/>
      <c r="L496" s="10"/>
      <c r="M496" s="10"/>
      <c r="N496" s="10"/>
    </row>
    <row r="497">
      <c r="A497" s="297" t="s">
        <v>21139</v>
      </c>
      <c r="B497" s="16">
        <v>14734.0</v>
      </c>
      <c r="C497" s="297" t="s">
        <v>20580</v>
      </c>
      <c r="D497" s="715">
        <v>0.8</v>
      </c>
      <c r="E497" s="715">
        <v>0.8</v>
      </c>
      <c r="F497" s="746"/>
      <c r="G497" s="10"/>
      <c r="H497" s="9" t="s">
        <v>21139</v>
      </c>
      <c r="I497" s="10"/>
      <c r="J497" s="10"/>
      <c r="K497" s="10"/>
      <c r="L497" s="10"/>
      <c r="M497" s="10"/>
      <c r="N497" s="10"/>
    </row>
    <row r="498">
      <c r="A498" s="297" t="s">
        <v>21140</v>
      </c>
      <c r="B498" s="297">
        <v>14516.0</v>
      </c>
      <c r="C498" s="297" t="s">
        <v>20580</v>
      </c>
      <c r="D498" s="715">
        <v>0.8</v>
      </c>
      <c r="E498" s="715">
        <v>0.8</v>
      </c>
      <c r="F498" s="746"/>
      <c r="G498" s="10"/>
      <c r="H498" s="9" t="s">
        <v>21140</v>
      </c>
      <c r="I498" s="10"/>
      <c r="J498" s="10"/>
      <c r="K498" s="10"/>
      <c r="L498" s="10"/>
      <c r="M498" s="10"/>
      <c r="N498" s="10"/>
    </row>
    <row r="499">
      <c r="A499" s="297" t="s">
        <v>21141</v>
      </c>
      <c r="B499" s="307"/>
      <c r="C499" s="297" t="s">
        <v>20580</v>
      </c>
      <c r="D499" s="715">
        <v>0.8</v>
      </c>
      <c r="E499" s="715">
        <v>0.8</v>
      </c>
      <c r="F499" s="746"/>
      <c r="G499" s="10"/>
      <c r="H499" s="9" t="s">
        <v>21141</v>
      </c>
      <c r="I499" s="10"/>
      <c r="J499" s="10"/>
      <c r="K499" s="10"/>
      <c r="L499" s="10"/>
      <c r="M499" s="10"/>
      <c r="N499" s="10"/>
    </row>
    <row r="500">
      <c r="A500" s="297" t="s">
        <v>21142</v>
      </c>
      <c r="B500" s="297"/>
      <c r="C500" s="297" t="s">
        <v>20580</v>
      </c>
      <c r="D500" s="715">
        <v>0.8</v>
      </c>
      <c r="E500" s="715">
        <v>0.8</v>
      </c>
      <c r="F500" s="746"/>
      <c r="G500" s="10"/>
      <c r="H500" s="9" t="s">
        <v>21142</v>
      </c>
      <c r="I500" s="10"/>
      <c r="J500" s="10"/>
      <c r="K500" s="10"/>
      <c r="L500" s="10"/>
      <c r="M500" s="10"/>
      <c r="N500" s="10"/>
    </row>
    <row r="501">
      <c r="A501" s="297" t="s">
        <v>21143</v>
      </c>
      <c r="B501" s="307"/>
      <c r="C501" s="297" t="s">
        <v>20580</v>
      </c>
      <c r="D501" s="715">
        <v>0.8</v>
      </c>
      <c r="E501" s="715">
        <v>0.8</v>
      </c>
      <c r="F501" s="746"/>
      <c r="G501" s="10"/>
      <c r="H501" s="9" t="s">
        <v>21143</v>
      </c>
      <c r="I501" s="10"/>
      <c r="J501" s="10"/>
      <c r="K501" s="10"/>
      <c r="L501" s="10"/>
      <c r="M501" s="10"/>
      <c r="N501" s="10"/>
    </row>
    <row r="502">
      <c r="A502" s="297" t="s">
        <v>21144</v>
      </c>
      <c r="B502" s="297">
        <v>7619.0</v>
      </c>
      <c r="C502" s="297" t="s">
        <v>20580</v>
      </c>
      <c r="D502" s="715">
        <v>0.8</v>
      </c>
      <c r="E502" s="715">
        <v>0.8</v>
      </c>
      <c r="F502" s="746"/>
      <c r="G502" s="10"/>
      <c r="H502" s="9" t="s">
        <v>21144</v>
      </c>
      <c r="I502" s="10"/>
      <c r="J502" s="10"/>
      <c r="K502" s="10"/>
      <c r="L502" s="10"/>
      <c r="M502" s="10"/>
      <c r="N502" s="10"/>
    </row>
    <row r="503">
      <c r="A503" s="297" t="s">
        <v>21145</v>
      </c>
      <c r="B503" s="297">
        <v>6678.0</v>
      </c>
      <c r="C503" s="297" t="s">
        <v>20580</v>
      </c>
      <c r="D503" s="715">
        <v>0.8</v>
      </c>
      <c r="E503" s="715">
        <v>0.8</v>
      </c>
      <c r="F503" s="746"/>
      <c r="G503" s="10"/>
      <c r="H503" s="9" t="s">
        <v>21145</v>
      </c>
      <c r="I503" s="10"/>
      <c r="J503" s="10"/>
      <c r="K503" s="10"/>
      <c r="L503" s="10"/>
      <c r="M503" s="10"/>
      <c r="N503" s="10"/>
    </row>
    <row r="504">
      <c r="A504" s="297" t="s">
        <v>21146</v>
      </c>
      <c r="B504" s="307"/>
      <c r="C504" s="297" t="s">
        <v>20580</v>
      </c>
      <c r="D504" s="715">
        <v>0.8</v>
      </c>
      <c r="E504" s="715">
        <v>0.8</v>
      </c>
      <c r="F504" s="746"/>
      <c r="G504" s="10"/>
      <c r="H504" s="9" t="s">
        <v>21146</v>
      </c>
      <c r="I504" s="10"/>
      <c r="J504" s="10"/>
      <c r="K504" s="10"/>
      <c r="L504" s="10"/>
      <c r="M504" s="10"/>
      <c r="N504" s="10"/>
    </row>
    <row r="505">
      <c r="A505" s="297" t="s">
        <v>21147</v>
      </c>
      <c r="B505" s="307"/>
      <c r="C505" s="297" t="s">
        <v>20580</v>
      </c>
      <c r="D505" s="715">
        <v>0.8</v>
      </c>
      <c r="E505" s="715">
        <v>0.8</v>
      </c>
      <c r="F505" s="746"/>
      <c r="G505" s="10"/>
      <c r="H505" s="9" t="s">
        <v>21147</v>
      </c>
      <c r="I505" s="10"/>
      <c r="J505" s="10"/>
      <c r="K505" s="10"/>
      <c r="L505" s="10"/>
      <c r="M505" s="10"/>
      <c r="N505" s="10"/>
    </row>
    <row r="506">
      <c r="A506" s="297" t="s">
        <v>21148</v>
      </c>
      <c r="B506" s="307"/>
      <c r="C506" s="297" t="s">
        <v>20580</v>
      </c>
      <c r="D506" s="715">
        <v>0.8</v>
      </c>
      <c r="E506" s="715">
        <v>0.8</v>
      </c>
      <c r="F506" s="746"/>
      <c r="G506" s="10"/>
      <c r="H506" s="9" t="s">
        <v>21148</v>
      </c>
      <c r="I506" s="10"/>
      <c r="J506" s="10"/>
      <c r="K506" s="10"/>
      <c r="L506" s="10"/>
      <c r="M506" s="10"/>
      <c r="N506" s="10"/>
    </row>
    <row r="507">
      <c r="A507" s="297" t="s">
        <v>21149</v>
      </c>
      <c r="B507" s="307"/>
      <c r="C507" s="297" t="s">
        <v>20580</v>
      </c>
      <c r="D507" s="715">
        <v>0.8</v>
      </c>
      <c r="E507" s="715">
        <v>0.8</v>
      </c>
      <c r="F507" s="746"/>
      <c r="G507" s="10"/>
      <c r="H507" s="9" t="s">
        <v>21149</v>
      </c>
      <c r="I507" s="10"/>
      <c r="J507" s="10"/>
      <c r="K507" s="10"/>
      <c r="L507" s="10"/>
      <c r="M507" s="10"/>
      <c r="N507" s="10"/>
    </row>
    <row r="508">
      <c r="A508" s="297" t="s">
        <v>21150</v>
      </c>
      <c r="B508" s="307"/>
      <c r="C508" s="297" t="s">
        <v>20580</v>
      </c>
      <c r="D508" s="715">
        <v>0.8</v>
      </c>
      <c r="E508" s="715">
        <v>0.8</v>
      </c>
      <c r="F508" s="746"/>
      <c r="G508" s="10"/>
      <c r="H508" s="9" t="s">
        <v>21150</v>
      </c>
      <c r="I508" s="10"/>
      <c r="J508" s="10"/>
      <c r="K508" s="10"/>
      <c r="L508" s="10"/>
      <c r="M508" s="10"/>
      <c r="N508" s="10"/>
    </row>
    <row r="509">
      <c r="A509" s="297" t="s">
        <v>21151</v>
      </c>
      <c r="B509" s="307"/>
      <c r="C509" s="297" t="s">
        <v>20580</v>
      </c>
      <c r="D509" s="715">
        <v>0.8</v>
      </c>
      <c r="E509" s="715">
        <v>0.8</v>
      </c>
      <c r="F509" s="746"/>
      <c r="G509" s="10"/>
      <c r="H509" s="9" t="s">
        <v>21151</v>
      </c>
      <c r="I509" s="10"/>
      <c r="J509" s="10"/>
      <c r="K509" s="10"/>
      <c r="L509" s="10"/>
      <c r="M509" s="10"/>
      <c r="N509" s="10"/>
    </row>
    <row r="510">
      <c r="A510" s="297" t="s">
        <v>21152</v>
      </c>
      <c r="B510" s="297">
        <v>14507.0</v>
      </c>
      <c r="C510" s="297" t="s">
        <v>20580</v>
      </c>
      <c r="D510" s="715">
        <v>0.8</v>
      </c>
      <c r="E510" s="715">
        <v>0.8</v>
      </c>
      <c r="F510" s="746"/>
      <c r="G510" s="10"/>
      <c r="H510" s="9" t="s">
        <v>21152</v>
      </c>
      <c r="I510" s="10"/>
      <c r="J510" s="10"/>
      <c r="K510" s="10"/>
      <c r="L510" s="10"/>
      <c r="M510" s="10"/>
      <c r="N510" s="10"/>
    </row>
    <row r="511">
      <c r="A511" s="297" t="s">
        <v>21153</v>
      </c>
      <c r="B511" s="307"/>
      <c r="C511" s="297" t="s">
        <v>20580</v>
      </c>
      <c r="D511" s="715">
        <v>0.8</v>
      </c>
      <c r="E511" s="715">
        <v>0.8</v>
      </c>
      <c r="F511" s="746"/>
      <c r="G511" s="10"/>
      <c r="H511" s="9" t="s">
        <v>21153</v>
      </c>
      <c r="I511" s="10"/>
      <c r="J511" s="10"/>
      <c r="K511" s="10"/>
      <c r="L511" s="10"/>
      <c r="M511" s="10"/>
      <c r="N511" s="10"/>
    </row>
    <row r="512">
      <c r="A512" s="297" t="s">
        <v>17568</v>
      </c>
      <c r="B512" s="307"/>
      <c r="C512" s="297" t="s">
        <v>20580</v>
      </c>
      <c r="D512" s="715">
        <v>0.8</v>
      </c>
      <c r="E512" s="715">
        <v>0.8</v>
      </c>
      <c r="F512" s="746"/>
      <c r="G512" s="10"/>
      <c r="H512" s="9" t="s">
        <v>17568</v>
      </c>
      <c r="I512" s="10"/>
      <c r="J512" s="10"/>
      <c r="K512" s="10"/>
      <c r="L512" s="10"/>
      <c r="M512" s="10"/>
      <c r="N512" s="10"/>
    </row>
    <row r="513">
      <c r="A513" s="297" t="s">
        <v>21154</v>
      </c>
      <c r="B513" s="297">
        <v>2205.0</v>
      </c>
      <c r="C513" s="297" t="s">
        <v>20580</v>
      </c>
      <c r="D513" s="715">
        <v>0.8</v>
      </c>
      <c r="E513" s="715">
        <v>0.8</v>
      </c>
      <c r="F513" s="746"/>
      <c r="G513" s="10"/>
      <c r="H513" s="9" t="s">
        <v>21154</v>
      </c>
      <c r="I513" s="10"/>
      <c r="J513" s="10"/>
      <c r="K513" s="10"/>
      <c r="L513" s="10"/>
      <c r="M513" s="10"/>
      <c r="N513" s="10"/>
    </row>
    <row r="514">
      <c r="A514" s="297" t="s">
        <v>21155</v>
      </c>
      <c r="B514" s="307"/>
      <c r="C514" s="297" t="s">
        <v>20580</v>
      </c>
      <c r="D514" s="715">
        <v>0.8</v>
      </c>
      <c r="E514" s="715">
        <v>0.8</v>
      </c>
      <c r="F514" s="746"/>
      <c r="G514" s="10"/>
      <c r="H514" s="9" t="s">
        <v>21155</v>
      </c>
      <c r="I514" s="10"/>
      <c r="J514" s="10"/>
      <c r="K514" s="10"/>
      <c r="L514" s="10"/>
      <c r="M514" s="10"/>
      <c r="N514" s="10"/>
    </row>
    <row r="515">
      <c r="A515" s="297" t="s">
        <v>21156</v>
      </c>
      <c r="B515" s="297">
        <v>14580.0</v>
      </c>
      <c r="C515" s="297" t="s">
        <v>20580</v>
      </c>
      <c r="D515" s="715">
        <v>0.8</v>
      </c>
      <c r="E515" s="715">
        <v>0.8</v>
      </c>
      <c r="F515" s="746"/>
      <c r="G515" s="10"/>
      <c r="H515" s="9" t="s">
        <v>21156</v>
      </c>
      <c r="I515" s="10"/>
      <c r="J515" s="10"/>
      <c r="K515" s="10"/>
      <c r="L515" s="10"/>
      <c r="M515" s="10"/>
      <c r="N515" s="10"/>
    </row>
    <row r="516">
      <c r="A516" s="297" t="s">
        <v>21157</v>
      </c>
      <c r="B516" s="297">
        <v>14478.0</v>
      </c>
      <c r="C516" s="297" t="s">
        <v>20580</v>
      </c>
      <c r="D516" s="715">
        <v>0.8</v>
      </c>
      <c r="E516" s="715">
        <v>0.8</v>
      </c>
      <c r="F516" s="746"/>
      <c r="G516" s="10"/>
      <c r="H516" s="9" t="s">
        <v>21157</v>
      </c>
      <c r="I516" s="10"/>
      <c r="J516" s="10"/>
      <c r="K516" s="10"/>
      <c r="L516" s="10"/>
      <c r="M516" s="10"/>
      <c r="N516" s="10"/>
    </row>
    <row r="517">
      <c r="A517" s="297" t="s">
        <v>21158</v>
      </c>
      <c r="B517" s="307"/>
      <c r="C517" s="297" t="s">
        <v>20580</v>
      </c>
      <c r="D517" s="715">
        <v>0.8</v>
      </c>
      <c r="E517" s="715">
        <v>0.8</v>
      </c>
      <c r="F517" s="746"/>
      <c r="G517" s="10"/>
      <c r="H517" s="9" t="s">
        <v>21158</v>
      </c>
      <c r="I517" s="10"/>
      <c r="J517" s="10"/>
      <c r="K517" s="10"/>
      <c r="L517" s="10"/>
      <c r="M517" s="10"/>
      <c r="N517" s="10"/>
    </row>
    <row r="518">
      <c r="A518" s="297" t="s">
        <v>21159</v>
      </c>
      <c r="B518" s="297"/>
      <c r="C518" s="297" t="s">
        <v>20580</v>
      </c>
      <c r="D518" s="715">
        <v>0.8</v>
      </c>
      <c r="E518" s="715">
        <v>0.8</v>
      </c>
      <c r="F518" s="746"/>
      <c r="G518" s="10"/>
      <c r="H518" s="9" t="s">
        <v>21159</v>
      </c>
      <c r="I518" s="10"/>
      <c r="J518" s="10"/>
      <c r="K518" s="10"/>
      <c r="L518" s="10"/>
      <c r="M518" s="10"/>
      <c r="N518" s="10"/>
    </row>
    <row r="519">
      <c r="A519" s="297" t="s">
        <v>21160</v>
      </c>
      <c r="B519" s="307"/>
      <c r="C519" s="297" t="s">
        <v>20580</v>
      </c>
      <c r="D519" s="715">
        <v>0.8</v>
      </c>
      <c r="E519" s="715">
        <v>0.8</v>
      </c>
      <c r="F519" s="746"/>
      <c r="G519" s="10"/>
      <c r="H519" s="9" t="s">
        <v>21160</v>
      </c>
      <c r="I519" s="10"/>
      <c r="J519" s="10"/>
      <c r="K519" s="10"/>
      <c r="L519" s="10"/>
      <c r="M519" s="10"/>
      <c r="N519" s="10"/>
    </row>
    <row r="520">
      <c r="A520" s="297" t="s">
        <v>21161</v>
      </c>
      <c r="B520" s="307"/>
      <c r="C520" s="297" t="s">
        <v>20580</v>
      </c>
      <c r="D520" s="715">
        <v>0.8</v>
      </c>
      <c r="E520" s="715">
        <v>0.8</v>
      </c>
      <c r="F520" s="746"/>
      <c r="G520" s="10"/>
      <c r="H520" s="9" t="s">
        <v>21161</v>
      </c>
      <c r="I520" s="10"/>
      <c r="J520" s="10"/>
      <c r="K520" s="10"/>
      <c r="L520" s="10"/>
      <c r="M520" s="10"/>
      <c r="N520" s="10"/>
    </row>
    <row r="521">
      <c r="A521" s="297" t="s">
        <v>21162</v>
      </c>
      <c r="B521" s="307"/>
      <c r="C521" s="297" t="s">
        <v>20580</v>
      </c>
      <c r="D521" s="715">
        <v>0.8</v>
      </c>
      <c r="E521" s="715">
        <v>0.8</v>
      </c>
      <c r="F521" s="746"/>
      <c r="G521" s="10"/>
      <c r="H521" s="9" t="s">
        <v>21162</v>
      </c>
      <c r="I521" s="10"/>
      <c r="J521" s="10"/>
      <c r="K521" s="10"/>
      <c r="L521" s="10"/>
      <c r="M521" s="10"/>
      <c r="N521" s="10"/>
    </row>
    <row r="522">
      <c r="A522" s="297" t="s">
        <v>21163</v>
      </c>
      <c r="B522" s="297">
        <v>14594.0</v>
      </c>
      <c r="C522" s="297" t="s">
        <v>20580</v>
      </c>
      <c r="D522" s="715">
        <v>0.8</v>
      </c>
      <c r="E522" s="715">
        <v>0.8</v>
      </c>
      <c r="F522" s="746"/>
      <c r="G522" s="10"/>
      <c r="H522" s="9" t="s">
        <v>21163</v>
      </c>
      <c r="I522" s="10"/>
      <c r="J522" s="10"/>
      <c r="K522" s="10"/>
      <c r="L522" s="10"/>
      <c r="M522" s="10"/>
      <c r="N522" s="10"/>
    </row>
    <row r="523">
      <c r="A523" s="297" t="s">
        <v>21164</v>
      </c>
      <c r="B523" s="307"/>
      <c r="C523" s="297" t="s">
        <v>20580</v>
      </c>
      <c r="D523" s="715">
        <v>0.8</v>
      </c>
      <c r="E523" s="715">
        <v>0.8</v>
      </c>
      <c r="F523" s="746"/>
      <c r="G523" s="10"/>
      <c r="H523" s="9" t="s">
        <v>21164</v>
      </c>
      <c r="I523" s="10"/>
      <c r="J523" s="10"/>
      <c r="K523" s="10"/>
      <c r="L523" s="10"/>
      <c r="M523" s="10"/>
      <c r="N523" s="10"/>
    </row>
    <row r="524">
      <c r="A524" s="297" t="s">
        <v>21165</v>
      </c>
      <c r="B524" s="307"/>
      <c r="C524" s="297" t="s">
        <v>20580</v>
      </c>
      <c r="D524" s="715">
        <v>0.8</v>
      </c>
      <c r="E524" s="715">
        <v>0.8</v>
      </c>
      <c r="F524" s="746"/>
      <c r="G524" s="10"/>
      <c r="H524" s="9" t="s">
        <v>21165</v>
      </c>
      <c r="I524" s="10"/>
      <c r="J524" s="10"/>
      <c r="K524" s="10"/>
      <c r="L524" s="10"/>
      <c r="M524" s="10"/>
      <c r="N524" s="10"/>
    </row>
    <row r="525">
      <c r="A525" s="297" t="s">
        <v>21166</v>
      </c>
      <c r="B525" s="307"/>
      <c r="C525" s="297" t="s">
        <v>20580</v>
      </c>
      <c r="D525" s="715">
        <v>0.8</v>
      </c>
      <c r="E525" s="715">
        <v>0.8</v>
      </c>
      <c r="F525" s="746"/>
      <c r="G525" s="10"/>
      <c r="H525" s="9" t="s">
        <v>21166</v>
      </c>
      <c r="I525" s="10"/>
      <c r="J525" s="10"/>
      <c r="K525" s="10"/>
      <c r="L525" s="10"/>
      <c r="M525" s="10"/>
      <c r="N525" s="10"/>
    </row>
    <row r="526">
      <c r="A526" s="297" t="s">
        <v>21167</v>
      </c>
      <c r="B526" s="307"/>
      <c r="C526" s="297" t="s">
        <v>20580</v>
      </c>
      <c r="D526" s="715">
        <v>0.8</v>
      </c>
      <c r="E526" s="715">
        <v>0.8</v>
      </c>
      <c r="F526" s="746"/>
      <c r="G526" s="10"/>
      <c r="H526" s="9" t="s">
        <v>21167</v>
      </c>
      <c r="I526" s="10"/>
      <c r="J526" s="10"/>
      <c r="K526" s="10"/>
      <c r="L526" s="10"/>
      <c r="M526" s="10"/>
      <c r="N526" s="10"/>
    </row>
    <row r="527">
      <c r="A527" s="297" t="s">
        <v>21168</v>
      </c>
      <c r="B527" s="307"/>
      <c r="C527" s="297" t="s">
        <v>20580</v>
      </c>
      <c r="D527" s="715">
        <v>0.8</v>
      </c>
      <c r="E527" s="715">
        <v>0.8</v>
      </c>
      <c r="F527" s="746"/>
      <c r="G527" s="10"/>
      <c r="H527" s="9" t="s">
        <v>21168</v>
      </c>
      <c r="I527" s="10"/>
      <c r="J527" s="10"/>
      <c r="K527" s="10"/>
      <c r="L527" s="10"/>
      <c r="M527" s="10"/>
      <c r="N527" s="10"/>
    </row>
    <row r="528">
      <c r="A528" s="297" t="s">
        <v>21169</v>
      </c>
      <c r="B528" s="307"/>
      <c r="C528" s="297" t="s">
        <v>20580</v>
      </c>
      <c r="D528" s="715">
        <v>0.8</v>
      </c>
      <c r="E528" s="715">
        <v>0.8</v>
      </c>
      <c r="F528" s="746"/>
      <c r="G528" s="10"/>
      <c r="H528" s="9" t="s">
        <v>21169</v>
      </c>
      <c r="I528" s="10"/>
      <c r="J528" s="10"/>
      <c r="K528" s="10"/>
      <c r="L528" s="10"/>
      <c r="M528" s="10"/>
      <c r="N528" s="10"/>
    </row>
    <row r="529">
      <c r="A529" s="297" t="s">
        <v>21170</v>
      </c>
      <c r="B529" s="307"/>
      <c r="C529" s="297" t="s">
        <v>20580</v>
      </c>
      <c r="D529" s="715">
        <v>0.8</v>
      </c>
      <c r="E529" s="715">
        <v>0.8</v>
      </c>
      <c r="F529" s="746"/>
      <c r="G529" s="10"/>
      <c r="H529" s="9" t="s">
        <v>21170</v>
      </c>
      <c r="I529" s="10"/>
      <c r="J529" s="10"/>
      <c r="K529" s="10"/>
      <c r="L529" s="10"/>
      <c r="M529" s="10"/>
      <c r="N529" s="10"/>
    </row>
    <row r="530">
      <c r="A530" s="297" t="s">
        <v>21171</v>
      </c>
      <c r="B530" s="297">
        <v>3404.0</v>
      </c>
      <c r="C530" s="297" t="s">
        <v>20580</v>
      </c>
      <c r="D530" s="715">
        <v>0.8</v>
      </c>
      <c r="E530" s="715">
        <v>0.8</v>
      </c>
      <c r="F530" s="746"/>
      <c r="G530" s="10"/>
      <c r="H530" s="9" t="s">
        <v>21171</v>
      </c>
      <c r="I530" s="10"/>
      <c r="J530" s="10"/>
      <c r="K530" s="10"/>
      <c r="L530" s="10"/>
      <c r="M530" s="10"/>
      <c r="N530" s="10"/>
    </row>
    <row r="531">
      <c r="A531" s="297" t="s">
        <v>21172</v>
      </c>
      <c r="B531" s="297">
        <v>12388.0</v>
      </c>
      <c r="C531" s="297" t="s">
        <v>20580</v>
      </c>
      <c r="D531" s="715">
        <v>0.8</v>
      </c>
      <c r="E531" s="715">
        <v>0.8</v>
      </c>
      <c r="F531" s="746"/>
      <c r="G531" s="10"/>
      <c r="H531" s="9" t="s">
        <v>21172</v>
      </c>
      <c r="I531" s="10"/>
      <c r="J531" s="10"/>
      <c r="K531" s="10"/>
      <c r="L531" s="10"/>
      <c r="M531" s="10"/>
      <c r="N531" s="10"/>
    </row>
    <row r="532">
      <c r="A532" s="297" t="s">
        <v>21173</v>
      </c>
      <c r="B532" s="307"/>
      <c r="C532" s="297" t="s">
        <v>20580</v>
      </c>
      <c r="D532" s="715">
        <v>0.8</v>
      </c>
      <c r="E532" s="715">
        <v>0.8</v>
      </c>
      <c r="F532" s="746"/>
      <c r="G532" s="10"/>
      <c r="H532" s="9" t="s">
        <v>21173</v>
      </c>
      <c r="I532" s="10"/>
      <c r="J532" s="10"/>
      <c r="K532" s="10"/>
      <c r="L532" s="10"/>
      <c r="M532" s="10"/>
      <c r="N532" s="10"/>
    </row>
    <row r="533">
      <c r="A533" s="297" t="s">
        <v>21174</v>
      </c>
      <c r="B533" s="307"/>
      <c r="C533" s="297" t="s">
        <v>20580</v>
      </c>
      <c r="D533" s="715">
        <v>0.8</v>
      </c>
      <c r="E533" s="715">
        <v>0.8</v>
      </c>
      <c r="F533" s="746"/>
      <c r="G533" s="10"/>
      <c r="H533" s="9" t="s">
        <v>21174</v>
      </c>
      <c r="I533" s="10"/>
      <c r="J533" s="10"/>
      <c r="K533" s="10"/>
      <c r="L533" s="10"/>
      <c r="M533" s="10"/>
      <c r="N533" s="10"/>
    </row>
    <row r="534">
      <c r="A534" s="297" t="s">
        <v>21175</v>
      </c>
      <c r="B534" s="307"/>
      <c r="C534" s="297" t="s">
        <v>20580</v>
      </c>
      <c r="D534" s="715">
        <v>0.8</v>
      </c>
      <c r="E534" s="715">
        <v>0.8</v>
      </c>
      <c r="F534" s="746"/>
      <c r="G534" s="10"/>
      <c r="H534" s="9" t="s">
        <v>21175</v>
      </c>
      <c r="I534" s="10"/>
      <c r="J534" s="10"/>
      <c r="K534" s="10"/>
      <c r="L534" s="10"/>
      <c r="M534" s="10"/>
      <c r="N534" s="10"/>
    </row>
    <row r="535">
      <c r="A535" s="297" t="s">
        <v>21176</v>
      </c>
      <c r="B535" s="297">
        <v>14771.0</v>
      </c>
      <c r="C535" s="297" t="s">
        <v>20580</v>
      </c>
      <c r="D535" s="715">
        <v>0.8</v>
      </c>
      <c r="E535" s="715">
        <v>0.8</v>
      </c>
      <c r="F535" s="746"/>
      <c r="G535" s="10"/>
      <c r="H535" s="9" t="s">
        <v>21176</v>
      </c>
      <c r="I535" s="10"/>
      <c r="J535" s="10"/>
      <c r="K535" s="10"/>
      <c r="L535" s="10"/>
      <c r="M535" s="10"/>
      <c r="N535" s="10"/>
    </row>
    <row r="536">
      <c r="A536" s="297" t="s">
        <v>21177</v>
      </c>
      <c r="B536" s="307"/>
      <c r="C536" s="297" t="s">
        <v>20580</v>
      </c>
      <c r="D536" s="715">
        <v>0.8</v>
      </c>
      <c r="E536" s="715">
        <v>0.8</v>
      </c>
      <c r="F536" s="746"/>
      <c r="G536" s="10"/>
      <c r="H536" s="9" t="s">
        <v>21177</v>
      </c>
      <c r="I536" s="10"/>
      <c r="J536" s="10"/>
      <c r="K536" s="10"/>
      <c r="L536" s="10"/>
      <c r="M536" s="10"/>
      <c r="N536" s="10"/>
    </row>
    <row r="537">
      <c r="A537" s="297" t="s">
        <v>21178</v>
      </c>
      <c r="B537" s="307"/>
      <c r="C537" s="297" t="s">
        <v>20580</v>
      </c>
      <c r="D537" s="715">
        <v>0.8</v>
      </c>
      <c r="E537" s="715">
        <v>0.8</v>
      </c>
      <c r="F537" s="746"/>
      <c r="G537" s="10"/>
      <c r="H537" s="9" t="s">
        <v>21178</v>
      </c>
      <c r="I537" s="10"/>
      <c r="J537" s="10"/>
      <c r="K537" s="10"/>
      <c r="L537" s="10"/>
      <c r="M537" s="10"/>
      <c r="N537" s="10"/>
    </row>
    <row r="538">
      <c r="A538" s="297" t="s">
        <v>21179</v>
      </c>
      <c r="B538" s="307"/>
      <c r="C538" s="297" t="s">
        <v>20580</v>
      </c>
      <c r="D538" s="715">
        <v>0.8</v>
      </c>
      <c r="E538" s="715">
        <v>0.8</v>
      </c>
      <c r="F538" s="746"/>
      <c r="G538" s="10"/>
      <c r="H538" s="9" t="s">
        <v>21179</v>
      </c>
      <c r="I538" s="10"/>
      <c r="J538" s="10"/>
      <c r="K538" s="10"/>
      <c r="L538" s="10"/>
      <c r="M538" s="10"/>
      <c r="N538" s="10"/>
    </row>
    <row r="539">
      <c r="A539" s="297" t="s">
        <v>21180</v>
      </c>
      <c r="B539" s="307"/>
      <c r="C539" s="297" t="s">
        <v>20580</v>
      </c>
      <c r="D539" s="715">
        <v>0.8</v>
      </c>
      <c r="E539" s="715">
        <v>0.8</v>
      </c>
      <c r="F539" s="746"/>
      <c r="G539" s="10"/>
      <c r="H539" s="9" t="s">
        <v>21180</v>
      </c>
      <c r="I539" s="10"/>
      <c r="J539" s="10"/>
      <c r="K539" s="10"/>
      <c r="L539" s="10"/>
      <c r="M539" s="10"/>
      <c r="N539" s="10"/>
    </row>
    <row r="540">
      <c r="A540" s="297" t="s">
        <v>21181</v>
      </c>
      <c r="B540" s="297">
        <v>12774.0</v>
      </c>
      <c r="C540" s="297" t="s">
        <v>20580</v>
      </c>
      <c r="D540" s="715">
        <v>0.8</v>
      </c>
      <c r="E540" s="715">
        <v>0.8</v>
      </c>
      <c r="F540" s="746"/>
      <c r="G540" s="10"/>
      <c r="H540" s="9" t="s">
        <v>21181</v>
      </c>
      <c r="I540" s="10"/>
      <c r="J540" s="10"/>
      <c r="K540" s="10"/>
      <c r="L540" s="10"/>
      <c r="M540" s="10"/>
      <c r="N540" s="10"/>
    </row>
    <row r="541">
      <c r="A541" s="297" t="s">
        <v>21182</v>
      </c>
      <c r="B541" s="307"/>
      <c r="C541" s="297" t="s">
        <v>20580</v>
      </c>
      <c r="D541" s="715">
        <v>0.8</v>
      </c>
      <c r="E541" s="715">
        <v>0.8</v>
      </c>
      <c r="F541" s="746"/>
      <c r="G541" s="10"/>
      <c r="H541" s="9" t="s">
        <v>21182</v>
      </c>
      <c r="I541" s="10"/>
      <c r="J541" s="10"/>
      <c r="K541" s="10"/>
      <c r="L541" s="10"/>
      <c r="M541" s="10"/>
      <c r="N541" s="10"/>
    </row>
    <row r="542">
      <c r="A542" s="297" t="s">
        <v>21183</v>
      </c>
      <c r="B542" s="297">
        <v>6668.0</v>
      </c>
      <c r="C542" s="297" t="s">
        <v>20580</v>
      </c>
      <c r="D542" s="715">
        <v>0.8</v>
      </c>
      <c r="E542" s="715">
        <v>0.8</v>
      </c>
      <c r="F542" s="746"/>
      <c r="G542" s="10"/>
      <c r="H542" s="9" t="s">
        <v>21183</v>
      </c>
      <c r="I542" s="10"/>
      <c r="J542" s="10"/>
      <c r="K542" s="10"/>
      <c r="L542" s="10"/>
      <c r="M542" s="10"/>
      <c r="N542" s="10"/>
    </row>
    <row r="543">
      <c r="A543" s="297" t="s">
        <v>21184</v>
      </c>
      <c r="B543" s="307"/>
      <c r="C543" s="297" t="s">
        <v>20580</v>
      </c>
      <c r="D543" s="715">
        <v>0.8</v>
      </c>
      <c r="E543" s="715">
        <v>0.8</v>
      </c>
      <c r="F543" s="746"/>
      <c r="G543" s="10"/>
      <c r="H543" s="9" t="s">
        <v>21184</v>
      </c>
      <c r="I543" s="10"/>
      <c r="J543" s="10"/>
      <c r="K543" s="10"/>
      <c r="L543" s="10"/>
      <c r="M543" s="10"/>
      <c r="N543" s="10"/>
    </row>
    <row r="544">
      <c r="A544" s="297" t="s">
        <v>21185</v>
      </c>
      <c r="B544" s="297">
        <v>6668.0</v>
      </c>
      <c r="C544" s="297" t="s">
        <v>20580</v>
      </c>
      <c r="D544" s="715">
        <v>0.8</v>
      </c>
      <c r="E544" s="715">
        <v>0.8</v>
      </c>
      <c r="F544" s="746"/>
      <c r="G544" s="10"/>
      <c r="H544" s="9" t="s">
        <v>21185</v>
      </c>
      <c r="I544" s="10"/>
      <c r="J544" s="10"/>
      <c r="K544" s="10"/>
      <c r="L544" s="10"/>
      <c r="M544" s="10"/>
      <c r="N544" s="10"/>
    </row>
    <row r="545">
      <c r="A545" s="297" t="s">
        <v>21186</v>
      </c>
      <c r="B545" s="297">
        <v>14575.0</v>
      </c>
      <c r="C545" s="297" t="s">
        <v>20580</v>
      </c>
      <c r="D545" s="723">
        <v>0.85</v>
      </c>
      <c r="E545" s="723">
        <v>0.85</v>
      </c>
      <c r="F545" s="746"/>
      <c r="G545" s="10"/>
      <c r="H545" s="9" t="s">
        <v>21186</v>
      </c>
      <c r="I545" s="10"/>
      <c r="J545" s="10"/>
      <c r="K545" s="10"/>
      <c r="L545" s="10"/>
      <c r="M545" s="10"/>
      <c r="N545" s="10"/>
    </row>
    <row r="546">
      <c r="A546" s="297" t="s">
        <v>21187</v>
      </c>
      <c r="B546" s="307"/>
      <c r="C546" s="297" t="s">
        <v>20580</v>
      </c>
      <c r="D546" s="715">
        <v>0.8</v>
      </c>
      <c r="E546" s="715">
        <v>0.8</v>
      </c>
      <c r="F546" s="746"/>
      <c r="G546" s="10"/>
      <c r="H546" s="9" t="s">
        <v>21187</v>
      </c>
      <c r="I546" s="10"/>
      <c r="J546" s="10"/>
      <c r="K546" s="10"/>
      <c r="L546" s="10"/>
      <c r="M546" s="10"/>
      <c r="N546" s="10"/>
    </row>
    <row r="547">
      <c r="A547" s="297" t="s">
        <v>21188</v>
      </c>
      <c r="B547" s="307"/>
      <c r="C547" s="297" t="s">
        <v>20580</v>
      </c>
      <c r="D547" s="715">
        <v>0.8</v>
      </c>
      <c r="E547" s="715">
        <v>0.8</v>
      </c>
      <c r="F547" s="746"/>
      <c r="G547" s="10"/>
      <c r="H547" s="9" t="s">
        <v>21188</v>
      </c>
      <c r="I547" s="10"/>
      <c r="J547" s="10"/>
      <c r="K547" s="10"/>
      <c r="L547" s="10"/>
      <c r="M547" s="10"/>
      <c r="N547" s="10"/>
    </row>
    <row r="548">
      <c r="A548" s="297" t="s">
        <v>21189</v>
      </c>
      <c r="B548" s="307"/>
      <c r="C548" s="297" t="s">
        <v>20580</v>
      </c>
      <c r="D548" s="715">
        <v>0.8</v>
      </c>
      <c r="E548" s="715">
        <v>0.8</v>
      </c>
      <c r="F548" s="746"/>
      <c r="G548" s="10"/>
      <c r="H548" s="9" t="s">
        <v>21189</v>
      </c>
      <c r="I548" s="10"/>
      <c r="J548" s="10"/>
      <c r="K548" s="10"/>
      <c r="L548" s="10"/>
      <c r="M548" s="10"/>
      <c r="N548" s="10"/>
    </row>
    <row r="549">
      <c r="A549" s="297" t="s">
        <v>21190</v>
      </c>
      <c r="B549" s="307"/>
      <c r="C549" s="297" t="s">
        <v>20580</v>
      </c>
      <c r="D549" s="715">
        <v>0.8</v>
      </c>
      <c r="E549" s="715">
        <v>0.8</v>
      </c>
      <c r="F549" s="746"/>
      <c r="G549" s="10"/>
      <c r="H549" s="9" t="s">
        <v>21190</v>
      </c>
      <c r="I549" s="10"/>
      <c r="J549" s="10"/>
      <c r="K549" s="10"/>
      <c r="L549" s="10"/>
      <c r="M549" s="10"/>
      <c r="N549" s="10"/>
    </row>
    <row r="550">
      <c r="A550" s="297" t="s">
        <v>21191</v>
      </c>
      <c r="B550" s="297">
        <v>11875.0</v>
      </c>
      <c r="C550" s="297" t="s">
        <v>20580</v>
      </c>
      <c r="D550" s="715">
        <v>0.8</v>
      </c>
      <c r="E550" s="715">
        <v>0.8</v>
      </c>
      <c r="F550" s="746"/>
      <c r="G550" s="10"/>
      <c r="H550" s="9" t="s">
        <v>21191</v>
      </c>
      <c r="I550" s="10"/>
      <c r="J550" s="10"/>
      <c r="K550" s="10"/>
      <c r="L550" s="10"/>
      <c r="M550" s="10"/>
      <c r="N550" s="10"/>
    </row>
    <row r="551">
      <c r="A551" s="297" t="s">
        <v>21192</v>
      </c>
      <c r="B551" s="307"/>
      <c r="C551" s="297" t="s">
        <v>20580</v>
      </c>
      <c r="D551" s="715">
        <v>0.8</v>
      </c>
      <c r="E551" s="715">
        <v>0.8</v>
      </c>
      <c r="F551" s="746"/>
      <c r="G551" s="10"/>
      <c r="H551" s="9" t="s">
        <v>21192</v>
      </c>
      <c r="I551" s="10"/>
      <c r="J551" s="10"/>
      <c r="K551" s="10"/>
      <c r="L551" s="10"/>
      <c r="M551" s="10"/>
      <c r="N551" s="10"/>
    </row>
    <row r="552">
      <c r="A552" s="297" t="s">
        <v>21193</v>
      </c>
      <c r="B552" s="307"/>
      <c r="C552" s="297" t="s">
        <v>20580</v>
      </c>
      <c r="D552" s="715">
        <v>0.8</v>
      </c>
      <c r="E552" s="715">
        <v>0.8</v>
      </c>
      <c r="F552" s="746"/>
      <c r="G552" s="10"/>
      <c r="H552" s="9" t="s">
        <v>21193</v>
      </c>
      <c r="I552" s="10"/>
      <c r="J552" s="10"/>
      <c r="K552" s="10"/>
      <c r="L552" s="10"/>
      <c r="M552" s="10"/>
      <c r="N552" s="10"/>
    </row>
    <row r="553">
      <c r="A553" s="297" t="s">
        <v>21194</v>
      </c>
      <c r="B553" s="307"/>
      <c r="C553" s="297" t="s">
        <v>20580</v>
      </c>
      <c r="D553" s="715">
        <v>0.8</v>
      </c>
      <c r="E553" s="715">
        <v>0.8</v>
      </c>
      <c r="F553" s="746"/>
      <c r="G553" s="10"/>
      <c r="H553" s="9" t="s">
        <v>21194</v>
      </c>
      <c r="I553" s="10"/>
      <c r="J553" s="10"/>
      <c r="K553" s="10"/>
      <c r="L553" s="10"/>
      <c r="M553" s="10"/>
      <c r="N553" s="10"/>
    </row>
    <row r="554">
      <c r="A554" s="297" t="s">
        <v>21195</v>
      </c>
      <c r="B554" s="307"/>
      <c r="C554" s="297" t="s">
        <v>20580</v>
      </c>
      <c r="D554" s="715">
        <v>0.8</v>
      </c>
      <c r="E554" s="715">
        <v>0.8</v>
      </c>
      <c r="F554" s="746"/>
      <c r="G554" s="10"/>
      <c r="H554" s="9" t="s">
        <v>21195</v>
      </c>
      <c r="I554" s="10"/>
      <c r="J554" s="10"/>
      <c r="K554" s="10"/>
      <c r="L554" s="10"/>
      <c r="M554" s="10"/>
      <c r="N554" s="10"/>
    </row>
    <row r="555">
      <c r="A555" s="297" t="s">
        <v>21196</v>
      </c>
      <c r="B555" s="307"/>
      <c r="C555" s="297" t="s">
        <v>20580</v>
      </c>
      <c r="D555" s="715">
        <v>0.8</v>
      </c>
      <c r="E555" s="715">
        <v>0.8</v>
      </c>
      <c r="F555" s="746"/>
      <c r="G555" s="10"/>
      <c r="H555" s="9" t="s">
        <v>21196</v>
      </c>
      <c r="I555" s="10"/>
      <c r="J555" s="10"/>
      <c r="K555" s="10"/>
      <c r="L555" s="10"/>
      <c r="M555" s="10"/>
      <c r="N555" s="10"/>
    </row>
    <row r="556">
      <c r="A556" s="297" t="s">
        <v>21197</v>
      </c>
      <c r="B556" s="307"/>
      <c r="C556" s="297" t="s">
        <v>20580</v>
      </c>
      <c r="D556" s="715">
        <v>0.8</v>
      </c>
      <c r="E556" s="715">
        <v>0.8</v>
      </c>
      <c r="F556" s="746"/>
      <c r="G556" s="10"/>
      <c r="H556" s="9" t="s">
        <v>21197</v>
      </c>
      <c r="I556" s="10"/>
      <c r="J556" s="10"/>
      <c r="K556" s="10"/>
      <c r="L556" s="10"/>
      <c r="M556" s="10"/>
      <c r="N556" s="10"/>
    </row>
    <row r="557">
      <c r="A557" s="297" t="s">
        <v>1065</v>
      </c>
      <c r="B557" s="307"/>
      <c r="C557" s="297" t="s">
        <v>20580</v>
      </c>
      <c r="D557" s="715">
        <v>0.8</v>
      </c>
      <c r="E557" s="715">
        <v>0.8</v>
      </c>
      <c r="F557" s="746"/>
      <c r="G557" s="10"/>
      <c r="H557" s="9" t="s">
        <v>1065</v>
      </c>
      <c r="I557" s="10"/>
      <c r="J557" s="10"/>
      <c r="K557" s="10"/>
      <c r="L557" s="10"/>
      <c r="M557" s="10"/>
      <c r="N557" s="10"/>
    </row>
    <row r="558">
      <c r="A558" s="297" t="s">
        <v>21198</v>
      </c>
      <c r="B558" s="307"/>
      <c r="C558" s="297" t="s">
        <v>20580</v>
      </c>
      <c r="D558" s="715">
        <v>0.8</v>
      </c>
      <c r="E558" s="715">
        <v>0.8</v>
      </c>
      <c r="F558" s="746"/>
      <c r="G558" s="10"/>
      <c r="H558" s="9" t="s">
        <v>21198</v>
      </c>
      <c r="I558" s="10"/>
      <c r="J558" s="10"/>
      <c r="K558" s="10"/>
      <c r="L558" s="10"/>
      <c r="M558" s="10"/>
      <c r="N558" s="10"/>
    </row>
    <row r="559">
      <c r="A559" s="297" t="s">
        <v>21199</v>
      </c>
      <c r="B559" s="307"/>
      <c r="C559" s="297" t="s">
        <v>20580</v>
      </c>
      <c r="D559" s="715">
        <v>0.8</v>
      </c>
      <c r="E559" s="715">
        <v>0.8</v>
      </c>
      <c r="F559" s="746"/>
      <c r="G559" s="10"/>
      <c r="H559" s="9" t="s">
        <v>21199</v>
      </c>
      <c r="I559" s="10"/>
      <c r="J559" s="10"/>
      <c r="K559" s="10"/>
      <c r="L559" s="10"/>
      <c r="M559" s="10"/>
      <c r="N559" s="10"/>
    </row>
    <row r="560">
      <c r="A560" s="297" t="s">
        <v>21200</v>
      </c>
      <c r="B560" s="307"/>
      <c r="C560" s="297" t="s">
        <v>20580</v>
      </c>
      <c r="D560" s="715">
        <v>0.8</v>
      </c>
      <c r="E560" s="715">
        <v>0.8</v>
      </c>
      <c r="F560" s="746"/>
      <c r="G560" s="10"/>
      <c r="H560" s="9" t="s">
        <v>21200</v>
      </c>
      <c r="I560" s="10"/>
      <c r="J560" s="10"/>
      <c r="K560" s="10"/>
      <c r="L560" s="10"/>
      <c r="M560" s="10"/>
      <c r="N560" s="10"/>
    </row>
    <row r="561">
      <c r="A561" s="297" t="s">
        <v>21201</v>
      </c>
      <c r="B561" s="307"/>
      <c r="C561" s="297" t="s">
        <v>20580</v>
      </c>
      <c r="D561" s="715">
        <v>0.8</v>
      </c>
      <c r="E561" s="715">
        <v>0.8</v>
      </c>
      <c r="F561" s="746"/>
      <c r="G561" s="10"/>
      <c r="H561" s="9" t="s">
        <v>21201</v>
      </c>
      <c r="I561" s="10"/>
      <c r="J561" s="10"/>
      <c r="K561" s="10"/>
      <c r="L561" s="10"/>
      <c r="M561" s="10"/>
      <c r="N561" s="10"/>
    </row>
    <row r="562">
      <c r="A562" s="297" t="s">
        <v>21202</v>
      </c>
      <c r="B562" s="307"/>
      <c r="C562" s="297" t="s">
        <v>20580</v>
      </c>
      <c r="D562" s="715">
        <v>0.8</v>
      </c>
      <c r="E562" s="715">
        <v>0.8</v>
      </c>
      <c r="F562" s="746"/>
      <c r="G562" s="10"/>
      <c r="H562" s="9" t="s">
        <v>21202</v>
      </c>
      <c r="I562" s="10"/>
      <c r="J562" s="10"/>
      <c r="K562" s="10"/>
      <c r="L562" s="10"/>
      <c r="M562" s="10"/>
      <c r="N562" s="10"/>
    </row>
    <row r="563">
      <c r="A563" s="297" t="s">
        <v>21203</v>
      </c>
      <c r="B563" s="307"/>
      <c r="C563" s="297" t="s">
        <v>20580</v>
      </c>
      <c r="D563" s="715">
        <v>0.8</v>
      </c>
      <c r="E563" s="715">
        <v>0.8</v>
      </c>
      <c r="F563" s="746"/>
      <c r="G563" s="10"/>
      <c r="H563" s="9" t="s">
        <v>21203</v>
      </c>
      <c r="I563" s="10"/>
      <c r="J563" s="10"/>
      <c r="K563" s="10"/>
      <c r="L563" s="10"/>
      <c r="M563" s="10"/>
      <c r="N563" s="10"/>
    </row>
    <row r="564">
      <c r="A564" s="297" t="s">
        <v>21204</v>
      </c>
      <c r="B564" s="307"/>
      <c r="C564" s="297" t="s">
        <v>20580</v>
      </c>
      <c r="D564" s="715">
        <v>0.8</v>
      </c>
      <c r="E564" s="715">
        <v>0.8</v>
      </c>
      <c r="F564" s="746"/>
      <c r="G564" s="10"/>
      <c r="H564" s="9" t="s">
        <v>21204</v>
      </c>
      <c r="I564" s="10"/>
      <c r="J564" s="10"/>
      <c r="K564" s="10"/>
      <c r="L564" s="10"/>
      <c r="M564" s="10"/>
      <c r="N564" s="10"/>
    </row>
    <row r="565">
      <c r="A565" s="297" t="s">
        <v>21205</v>
      </c>
      <c r="B565" s="307"/>
      <c r="C565" s="297" t="s">
        <v>20580</v>
      </c>
      <c r="D565" s="715">
        <v>0.8</v>
      </c>
      <c r="E565" s="715">
        <v>0.8</v>
      </c>
      <c r="F565" s="746"/>
      <c r="G565" s="10"/>
      <c r="H565" s="9" t="s">
        <v>21205</v>
      </c>
      <c r="I565" s="10"/>
      <c r="J565" s="10"/>
      <c r="K565" s="10"/>
      <c r="L565" s="10"/>
      <c r="M565" s="10"/>
      <c r="N565" s="10"/>
    </row>
    <row r="566">
      <c r="A566" s="297" t="s">
        <v>21206</v>
      </c>
      <c r="B566" s="307"/>
      <c r="C566" s="297" t="s">
        <v>20580</v>
      </c>
      <c r="D566" s="715">
        <v>0.8</v>
      </c>
      <c r="E566" s="715">
        <v>0.8</v>
      </c>
      <c r="F566" s="746"/>
      <c r="G566" s="10"/>
      <c r="H566" s="9" t="s">
        <v>21206</v>
      </c>
      <c r="I566" s="10"/>
      <c r="J566" s="10"/>
      <c r="K566" s="10"/>
      <c r="L566" s="10"/>
      <c r="M566" s="10"/>
      <c r="N566" s="10"/>
    </row>
    <row r="567">
      <c r="A567" s="297" t="s">
        <v>21207</v>
      </c>
      <c r="B567" s="307"/>
      <c r="C567" s="297" t="s">
        <v>20580</v>
      </c>
      <c r="D567" s="715">
        <v>0.8</v>
      </c>
      <c r="E567" s="715">
        <v>0.8</v>
      </c>
      <c r="F567" s="746"/>
      <c r="G567" s="10"/>
      <c r="H567" s="9" t="s">
        <v>21207</v>
      </c>
      <c r="I567" s="10"/>
      <c r="J567" s="10"/>
      <c r="K567" s="10"/>
      <c r="L567" s="10"/>
      <c r="M567" s="10"/>
      <c r="N567" s="10"/>
    </row>
    <row r="568">
      <c r="A568" s="297" t="s">
        <v>21208</v>
      </c>
      <c r="B568" s="307"/>
      <c r="C568" s="297" t="s">
        <v>20580</v>
      </c>
      <c r="D568" s="715">
        <v>0.8</v>
      </c>
      <c r="E568" s="715">
        <v>0.8</v>
      </c>
      <c r="F568" s="746"/>
      <c r="G568" s="10"/>
      <c r="H568" s="9" t="s">
        <v>21208</v>
      </c>
      <c r="I568" s="10"/>
      <c r="J568" s="10"/>
      <c r="K568" s="10"/>
      <c r="L568" s="10"/>
      <c r="M568" s="10"/>
      <c r="N568" s="10"/>
    </row>
    <row r="569">
      <c r="A569" s="297" t="s">
        <v>21209</v>
      </c>
      <c r="B569" s="307"/>
      <c r="C569" s="297" t="s">
        <v>20580</v>
      </c>
      <c r="D569" s="715">
        <v>0.8</v>
      </c>
      <c r="E569" s="715">
        <v>0.8</v>
      </c>
      <c r="F569" s="746"/>
      <c r="G569" s="10"/>
      <c r="H569" s="9" t="s">
        <v>21209</v>
      </c>
      <c r="I569" s="10"/>
      <c r="J569" s="10"/>
      <c r="K569" s="10"/>
      <c r="L569" s="10"/>
      <c r="M569" s="10"/>
      <c r="N569" s="10"/>
    </row>
    <row r="570">
      <c r="A570" s="297" t="s">
        <v>21210</v>
      </c>
      <c r="B570" s="307"/>
      <c r="C570" s="297" t="s">
        <v>20580</v>
      </c>
      <c r="D570" s="715">
        <v>0.8</v>
      </c>
      <c r="E570" s="715">
        <v>0.8</v>
      </c>
      <c r="F570" s="746"/>
      <c r="G570" s="10"/>
      <c r="H570" s="9" t="s">
        <v>21210</v>
      </c>
      <c r="I570" s="10"/>
      <c r="J570" s="10"/>
      <c r="K570" s="10"/>
      <c r="L570" s="10"/>
      <c r="M570" s="10"/>
      <c r="N570" s="10"/>
    </row>
    <row r="571">
      <c r="A571" s="297" t="s">
        <v>21211</v>
      </c>
      <c r="B571" s="307"/>
      <c r="C571" s="297" t="s">
        <v>20580</v>
      </c>
      <c r="D571" s="715">
        <v>0.8</v>
      </c>
      <c r="E571" s="715">
        <v>0.8</v>
      </c>
      <c r="F571" s="746"/>
      <c r="G571" s="10"/>
      <c r="H571" s="9" t="s">
        <v>21211</v>
      </c>
      <c r="I571" s="10"/>
      <c r="J571" s="10"/>
      <c r="K571" s="10"/>
      <c r="L571" s="10"/>
      <c r="M571" s="10"/>
      <c r="N571" s="10"/>
    </row>
    <row r="572">
      <c r="A572" s="297" t="s">
        <v>21212</v>
      </c>
      <c r="B572" s="307"/>
      <c r="C572" s="297" t="s">
        <v>20580</v>
      </c>
      <c r="D572" s="715">
        <v>0.8</v>
      </c>
      <c r="E572" s="715">
        <v>0.8</v>
      </c>
      <c r="F572" s="746"/>
      <c r="G572" s="10"/>
      <c r="H572" s="9" t="s">
        <v>21212</v>
      </c>
      <c r="I572" s="10"/>
      <c r="J572" s="10"/>
      <c r="K572" s="10"/>
      <c r="L572" s="10"/>
      <c r="M572" s="10"/>
      <c r="N572" s="10"/>
    </row>
    <row r="573">
      <c r="A573" s="297" t="s">
        <v>21213</v>
      </c>
      <c r="B573" s="307"/>
      <c r="C573" s="297" t="s">
        <v>20580</v>
      </c>
      <c r="D573" s="715">
        <v>0.8</v>
      </c>
      <c r="E573" s="715">
        <v>0.8</v>
      </c>
      <c r="F573" s="746"/>
      <c r="G573" s="10"/>
      <c r="H573" s="9" t="s">
        <v>21213</v>
      </c>
      <c r="I573" s="10"/>
      <c r="J573" s="10"/>
      <c r="K573" s="10"/>
      <c r="L573" s="10"/>
      <c r="M573" s="10"/>
      <c r="N573" s="10"/>
    </row>
    <row r="574">
      <c r="A574" s="297" t="s">
        <v>21214</v>
      </c>
      <c r="B574" s="307"/>
      <c r="C574" s="297" t="s">
        <v>20580</v>
      </c>
      <c r="D574" s="715">
        <v>0.8</v>
      </c>
      <c r="E574" s="715">
        <v>0.8</v>
      </c>
      <c r="F574" s="746"/>
      <c r="G574" s="10"/>
      <c r="H574" s="9" t="s">
        <v>21214</v>
      </c>
      <c r="I574" s="10"/>
      <c r="J574" s="10"/>
      <c r="K574" s="10"/>
      <c r="L574" s="10"/>
      <c r="M574" s="10"/>
      <c r="N574" s="10"/>
    </row>
    <row r="575">
      <c r="A575" s="297" t="s">
        <v>21215</v>
      </c>
      <c r="B575" s="307"/>
      <c r="C575" s="297" t="s">
        <v>20580</v>
      </c>
      <c r="D575" s="715">
        <v>0.8</v>
      </c>
      <c r="E575" s="715">
        <v>0.8</v>
      </c>
      <c r="F575" s="746"/>
      <c r="G575" s="10"/>
      <c r="H575" s="9" t="s">
        <v>21215</v>
      </c>
      <c r="I575" s="10"/>
      <c r="J575" s="10"/>
      <c r="K575" s="10"/>
      <c r="L575" s="10"/>
      <c r="M575" s="10"/>
      <c r="N575" s="10"/>
    </row>
    <row r="576">
      <c r="A576" s="297" t="s">
        <v>21216</v>
      </c>
      <c r="B576" s="307"/>
      <c r="C576" s="297" t="s">
        <v>20580</v>
      </c>
      <c r="D576" s="715">
        <v>0.8</v>
      </c>
      <c r="E576" s="715">
        <v>0.8</v>
      </c>
      <c r="F576" s="746"/>
      <c r="G576" s="10"/>
      <c r="H576" s="9" t="s">
        <v>21216</v>
      </c>
      <c r="I576" s="10"/>
      <c r="J576" s="10"/>
      <c r="K576" s="10"/>
      <c r="L576" s="10"/>
      <c r="M576" s="10"/>
      <c r="N576" s="10"/>
    </row>
    <row r="577">
      <c r="A577" s="297" t="s">
        <v>21217</v>
      </c>
      <c r="B577" s="307"/>
      <c r="C577" s="297" t="s">
        <v>20580</v>
      </c>
      <c r="D577" s="715">
        <v>0.8</v>
      </c>
      <c r="E577" s="715">
        <v>0.8</v>
      </c>
      <c r="F577" s="746"/>
      <c r="G577" s="10"/>
      <c r="H577" s="9" t="s">
        <v>21217</v>
      </c>
      <c r="I577" s="10"/>
      <c r="J577" s="10"/>
      <c r="K577" s="10"/>
      <c r="L577" s="10"/>
      <c r="M577" s="10"/>
      <c r="N577" s="10"/>
    </row>
    <row r="578">
      <c r="A578" s="297" t="s">
        <v>21218</v>
      </c>
      <c r="B578" s="297">
        <v>14536.0</v>
      </c>
      <c r="C578" s="297" t="s">
        <v>20580</v>
      </c>
      <c r="D578" s="715">
        <v>0.8</v>
      </c>
      <c r="E578" s="715">
        <v>0.8</v>
      </c>
      <c r="F578" s="746"/>
      <c r="G578" s="10"/>
      <c r="H578" s="9" t="s">
        <v>21218</v>
      </c>
      <c r="I578" s="10"/>
      <c r="J578" s="10"/>
      <c r="K578" s="10"/>
      <c r="L578" s="10"/>
      <c r="M578" s="10"/>
      <c r="N578" s="10"/>
    </row>
    <row r="579">
      <c r="A579" s="297" t="s">
        <v>21219</v>
      </c>
      <c r="B579" s="307"/>
      <c r="C579" s="297" t="s">
        <v>20580</v>
      </c>
      <c r="D579" s="715">
        <v>0.8</v>
      </c>
      <c r="E579" s="715">
        <v>0.8</v>
      </c>
      <c r="F579" s="746"/>
      <c r="G579" s="10"/>
      <c r="H579" s="9" t="s">
        <v>21219</v>
      </c>
      <c r="I579" s="10"/>
      <c r="J579" s="10"/>
      <c r="K579" s="10"/>
      <c r="L579" s="10"/>
      <c r="M579" s="10"/>
      <c r="N579" s="10"/>
    </row>
    <row r="580">
      <c r="A580" s="297" t="s">
        <v>21220</v>
      </c>
      <c r="B580" s="307"/>
      <c r="C580" s="297" t="s">
        <v>20580</v>
      </c>
      <c r="D580" s="715">
        <v>0.8</v>
      </c>
      <c r="E580" s="715">
        <v>0.8</v>
      </c>
      <c r="F580" s="746"/>
      <c r="G580" s="10"/>
      <c r="H580" s="9" t="s">
        <v>21220</v>
      </c>
      <c r="I580" s="10"/>
      <c r="J580" s="10"/>
      <c r="K580" s="10"/>
      <c r="L580" s="10"/>
      <c r="M580" s="10"/>
      <c r="N580" s="10"/>
    </row>
    <row r="581">
      <c r="A581" s="297" t="s">
        <v>21221</v>
      </c>
      <c r="B581" s="307"/>
      <c r="C581" s="297" t="s">
        <v>20580</v>
      </c>
      <c r="D581" s="715">
        <v>0.8</v>
      </c>
      <c r="E581" s="715">
        <v>0.8</v>
      </c>
      <c r="F581" s="746"/>
      <c r="G581" s="10"/>
      <c r="H581" s="9" t="s">
        <v>21221</v>
      </c>
      <c r="I581" s="10"/>
      <c r="J581" s="10"/>
      <c r="K581" s="10"/>
      <c r="L581" s="10"/>
      <c r="M581" s="10"/>
      <c r="N581" s="10"/>
    </row>
    <row r="582">
      <c r="A582" s="297" t="s">
        <v>21222</v>
      </c>
      <c r="B582" s="307"/>
      <c r="C582" s="297" t="s">
        <v>20580</v>
      </c>
      <c r="D582" s="715">
        <v>0.8</v>
      </c>
      <c r="E582" s="715">
        <v>0.8</v>
      </c>
      <c r="F582" s="746"/>
      <c r="G582" s="10"/>
      <c r="H582" s="9" t="s">
        <v>21222</v>
      </c>
      <c r="I582" s="10"/>
      <c r="J582" s="10"/>
      <c r="K582" s="10"/>
      <c r="L582" s="10"/>
      <c r="M582" s="10"/>
      <c r="N582" s="10"/>
    </row>
    <row r="583">
      <c r="A583" s="297" t="s">
        <v>21223</v>
      </c>
      <c r="B583" s="307"/>
      <c r="C583" s="297" t="s">
        <v>20580</v>
      </c>
      <c r="D583" s="715">
        <v>0.8</v>
      </c>
      <c r="E583" s="715">
        <v>0.8</v>
      </c>
      <c r="F583" s="746"/>
      <c r="G583" s="10"/>
      <c r="H583" s="9" t="s">
        <v>21223</v>
      </c>
      <c r="I583" s="10"/>
      <c r="J583" s="10"/>
      <c r="K583" s="10"/>
      <c r="L583" s="10"/>
      <c r="M583" s="10"/>
      <c r="N583" s="10"/>
    </row>
    <row r="584">
      <c r="A584" s="297" t="s">
        <v>21224</v>
      </c>
      <c r="B584" s="307"/>
      <c r="C584" s="297" t="s">
        <v>20580</v>
      </c>
      <c r="D584" s="715">
        <v>0.8</v>
      </c>
      <c r="E584" s="715">
        <v>0.8</v>
      </c>
      <c r="F584" s="746"/>
      <c r="G584" s="10"/>
      <c r="H584" s="9" t="s">
        <v>21224</v>
      </c>
      <c r="I584" s="10"/>
      <c r="J584" s="10"/>
      <c r="K584" s="10"/>
      <c r="L584" s="10"/>
      <c r="M584" s="10"/>
      <c r="N584" s="10"/>
    </row>
    <row r="585">
      <c r="A585" s="752" t="s">
        <v>21225</v>
      </c>
      <c r="B585" s="762">
        <v>14465.0</v>
      </c>
      <c r="C585" s="297" t="s">
        <v>20580</v>
      </c>
      <c r="D585" s="723">
        <v>0.9</v>
      </c>
      <c r="E585" s="723">
        <v>0.9</v>
      </c>
      <c r="F585" s="746"/>
      <c r="G585" s="726" t="s">
        <v>20676</v>
      </c>
      <c r="H585" s="9" t="s">
        <v>21225</v>
      </c>
      <c r="I585" s="10"/>
      <c r="J585" s="10"/>
      <c r="K585" s="10"/>
      <c r="L585" s="10"/>
      <c r="M585" s="10"/>
      <c r="N585" s="10"/>
    </row>
    <row r="586">
      <c r="A586" s="297" t="s">
        <v>21226</v>
      </c>
      <c r="B586" s="307"/>
      <c r="C586" s="297" t="s">
        <v>20580</v>
      </c>
      <c r="D586" s="715">
        <v>0.8</v>
      </c>
      <c r="E586" s="715">
        <v>0.8</v>
      </c>
      <c r="F586" s="746"/>
      <c r="G586" s="10"/>
      <c r="H586" s="9" t="s">
        <v>21226</v>
      </c>
      <c r="I586" s="10"/>
      <c r="J586" s="10"/>
      <c r="K586" s="10"/>
      <c r="L586" s="10"/>
      <c r="M586" s="10"/>
      <c r="N586" s="10"/>
    </row>
    <row r="587">
      <c r="A587" s="297" t="s">
        <v>21227</v>
      </c>
      <c r="B587" s="297">
        <v>6802.0</v>
      </c>
      <c r="C587" s="297" t="s">
        <v>20580</v>
      </c>
      <c r="D587" s="715">
        <v>0.8</v>
      </c>
      <c r="E587" s="715">
        <v>0.8</v>
      </c>
      <c r="F587" s="746"/>
      <c r="G587" s="10"/>
      <c r="H587" s="9" t="s">
        <v>21227</v>
      </c>
      <c r="I587" s="10"/>
      <c r="J587" s="10"/>
      <c r="K587" s="10"/>
      <c r="L587" s="10"/>
      <c r="M587" s="10"/>
      <c r="N587" s="10"/>
    </row>
    <row r="588">
      <c r="A588" s="297" t="s">
        <v>21228</v>
      </c>
      <c r="B588" s="307"/>
      <c r="C588" s="297" t="s">
        <v>20580</v>
      </c>
      <c r="D588" s="715">
        <v>0.8</v>
      </c>
      <c r="E588" s="715">
        <v>0.8</v>
      </c>
      <c r="F588" s="746"/>
      <c r="G588" s="10"/>
      <c r="H588" s="9" t="s">
        <v>21228</v>
      </c>
      <c r="I588" s="10"/>
      <c r="J588" s="10"/>
      <c r="K588" s="10"/>
      <c r="L588" s="10"/>
      <c r="M588" s="10"/>
      <c r="N588" s="10"/>
    </row>
    <row r="589">
      <c r="A589" s="297" t="s">
        <v>21229</v>
      </c>
      <c r="B589" s="307"/>
      <c r="C589" s="297" t="s">
        <v>20580</v>
      </c>
      <c r="D589" s="715">
        <v>0.8</v>
      </c>
      <c r="E589" s="715">
        <v>0.8</v>
      </c>
      <c r="F589" s="746"/>
      <c r="G589" s="10"/>
      <c r="H589" s="9" t="s">
        <v>21229</v>
      </c>
      <c r="I589" s="10"/>
      <c r="J589" s="10"/>
      <c r="K589" s="10"/>
      <c r="L589" s="10"/>
      <c r="M589" s="10"/>
      <c r="N589" s="10"/>
    </row>
    <row r="590">
      <c r="A590" s="297" t="s">
        <v>21230</v>
      </c>
      <c r="B590" s="307"/>
      <c r="C590" s="297" t="s">
        <v>20580</v>
      </c>
      <c r="D590" s="715">
        <v>0.8</v>
      </c>
      <c r="E590" s="715">
        <v>0.8</v>
      </c>
      <c r="F590" s="746"/>
      <c r="G590" s="10"/>
      <c r="H590" s="9" t="s">
        <v>21230</v>
      </c>
      <c r="I590" s="10"/>
      <c r="J590" s="10"/>
      <c r="K590" s="10"/>
      <c r="L590" s="10"/>
      <c r="M590" s="10"/>
      <c r="N590" s="10"/>
    </row>
    <row r="591">
      <c r="A591" s="297" t="s">
        <v>21231</v>
      </c>
      <c r="B591" s="307"/>
      <c r="C591" s="297" t="s">
        <v>20580</v>
      </c>
      <c r="D591" s="715">
        <v>0.8</v>
      </c>
      <c r="E591" s="715">
        <v>0.8</v>
      </c>
      <c r="F591" s="746"/>
      <c r="G591" s="10"/>
      <c r="H591" s="9" t="s">
        <v>21231</v>
      </c>
      <c r="I591" s="10"/>
      <c r="J591" s="10"/>
      <c r="K591" s="10"/>
      <c r="L591" s="10"/>
      <c r="M591" s="10"/>
      <c r="N591" s="10"/>
    </row>
    <row r="592">
      <c r="A592" s="297" t="s">
        <v>21232</v>
      </c>
      <c r="B592" s="307"/>
      <c r="C592" s="297" t="s">
        <v>20580</v>
      </c>
      <c r="D592" s="715">
        <v>0.8</v>
      </c>
      <c r="E592" s="715">
        <v>0.8</v>
      </c>
      <c r="F592" s="746"/>
      <c r="G592" s="10"/>
      <c r="H592" s="9" t="s">
        <v>21232</v>
      </c>
      <c r="I592" s="10"/>
      <c r="J592" s="10"/>
      <c r="K592" s="10"/>
      <c r="L592" s="10"/>
      <c r="M592" s="10"/>
      <c r="N592" s="10"/>
    </row>
    <row r="593">
      <c r="A593" s="297" t="s">
        <v>21233</v>
      </c>
      <c r="B593" s="297">
        <v>9307.0</v>
      </c>
      <c r="C593" s="297" t="s">
        <v>20580</v>
      </c>
      <c r="D593" s="715">
        <v>0.8</v>
      </c>
      <c r="E593" s="715">
        <v>0.8</v>
      </c>
      <c r="F593" s="746"/>
      <c r="G593" s="10"/>
      <c r="H593" s="9" t="s">
        <v>21233</v>
      </c>
      <c r="I593" s="10"/>
      <c r="J593" s="10"/>
      <c r="K593" s="10"/>
      <c r="L593" s="10"/>
      <c r="M593" s="10"/>
      <c r="N593" s="10"/>
    </row>
    <row r="594">
      <c r="A594" s="297" t="s">
        <v>21234</v>
      </c>
      <c r="B594" s="307"/>
      <c r="C594" s="297" t="s">
        <v>20580</v>
      </c>
      <c r="D594" s="715">
        <v>0.8</v>
      </c>
      <c r="E594" s="715">
        <v>0.8</v>
      </c>
      <c r="F594" s="746"/>
      <c r="G594" s="10"/>
      <c r="H594" s="9" t="s">
        <v>21234</v>
      </c>
      <c r="I594" s="10"/>
      <c r="J594" s="10"/>
      <c r="K594" s="10"/>
      <c r="L594" s="10"/>
      <c r="M594" s="10"/>
      <c r="N594" s="10"/>
    </row>
    <row r="595">
      <c r="A595" s="297" t="s">
        <v>21235</v>
      </c>
      <c r="B595" s="297">
        <v>6767.0</v>
      </c>
      <c r="C595" s="297" t="s">
        <v>20580</v>
      </c>
      <c r="D595" s="715">
        <v>0.8</v>
      </c>
      <c r="E595" s="715">
        <v>0.8</v>
      </c>
      <c r="F595" s="746"/>
      <c r="G595" s="10"/>
      <c r="H595" s="9" t="s">
        <v>21235</v>
      </c>
      <c r="I595" s="10"/>
      <c r="J595" s="10"/>
      <c r="K595" s="10"/>
      <c r="L595" s="10"/>
      <c r="M595" s="10"/>
      <c r="N595" s="10"/>
    </row>
    <row r="596">
      <c r="A596" s="297" t="s">
        <v>21236</v>
      </c>
      <c r="B596" s="307"/>
      <c r="C596" s="297" t="s">
        <v>20580</v>
      </c>
      <c r="D596" s="715">
        <v>0.8</v>
      </c>
      <c r="E596" s="715">
        <v>0.8</v>
      </c>
      <c r="F596" s="746"/>
      <c r="G596" s="10"/>
      <c r="H596" s="9" t="s">
        <v>21236</v>
      </c>
      <c r="I596" s="10"/>
      <c r="J596" s="10"/>
      <c r="K596" s="10"/>
      <c r="L596" s="10"/>
      <c r="M596" s="10"/>
      <c r="N596" s="10"/>
    </row>
    <row r="597">
      <c r="A597" s="297" t="s">
        <v>21237</v>
      </c>
      <c r="B597" s="307"/>
      <c r="C597" s="297" t="s">
        <v>20580</v>
      </c>
      <c r="D597" s="715">
        <v>0.8</v>
      </c>
      <c r="E597" s="715">
        <v>0.8</v>
      </c>
      <c r="F597" s="746"/>
      <c r="G597" s="10"/>
      <c r="H597" s="9" t="s">
        <v>21237</v>
      </c>
      <c r="I597" s="10"/>
      <c r="J597" s="10"/>
      <c r="K597" s="10"/>
      <c r="L597" s="10"/>
      <c r="M597" s="10"/>
      <c r="N597" s="10"/>
    </row>
    <row r="598">
      <c r="A598" s="297" t="s">
        <v>21238</v>
      </c>
      <c r="B598" s="307"/>
      <c r="C598" s="297" t="s">
        <v>20580</v>
      </c>
      <c r="D598" s="715">
        <v>0.8</v>
      </c>
      <c r="E598" s="715">
        <v>0.8</v>
      </c>
      <c r="F598" s="746"/>
      <c r="G598" s="10"/>
      <c r="H598" s="9" t="s">
        <v>21238</v>
      </c>
      <c r="I598" s="10"/>
      <c r="J598" s="10"/>
      <c r="K598" s="10"/>
      <c r="L598" s="10"/>
      <c r="M598" s="10"/>
      <c r="N598" s="10"/>
    </row>
    <row r="599">
      <c r="A599" s="297" t="s">
        <v>21239</v>
      </c>
      <c r="B599" s="307"/>
      <c r="C599" s="297" t="s">
        <v>20580</v>
      </c>
      <c r="D599" s="715">
        <v>0.8</v>
      </c>
      <c r="E599" s="715">
        <v>0.8</v>
      </c>
      <c r="F599" s="746"/>
      <c r="G599" s="10"/>
      <c r="H599" s="9" t="s">
        <v>21239</v>
      </c>
      <c r="I599" s="10"/>
      <c r="J599" s="10"/>
      <c r="K599" s="10"/>
      <c r="L599" s="10"/>
      <c r="M599" s="10"/>
      <c r="N599" s="10"/>
    </row>
    <row r="600">
      <c r="A600" s="297" t="s">
        <v>21240</v>
      </c>
      <c r="B600" s="297">
        <v>9307.0</v>
      </c>
      <c r="C600" s="297" t="s">
        <v>20580</v>
      </c>
      <c r="D600" s="715">
        <v>0.8</v>
      </c>
      <c r="E600" s="715">
        <v>0.8</v>
      </c>
      <c r="F600" s="746"/>
      <c r="G600" s="10"/>
      <c r="H600" s="9" t="s">
        <v>21240</v>
      </c>
      <c r="I600" s="10"/>
      <c r="J600" s="10"/>
      <c r="K600" s="10"/>
      <c r="L600" s="10"/>
      <c r="M600" s="10"/>
      <c r="N600" s="10"/>
    </row>
    <row r="601">
      <c r="A601" s="134" t="s">
        <v>21241</v>
      </c>
      <c r="B601" s="134">
        <v>909.0</v>
      </c>
      <c r="C601" s="297" t="s">
        <v>20580</v>
      </c>
      <c r="D601" s="715">
        <v>0.8</v>
      </c>
      <c r="E601" s="715">
        <v>0.8</v>
      </c>
      <c r="F601" s="746"/>
      <c r="G601" s="10"/>
      <c r="H601" s="717" t="s">
        <v>21241</v>
      </c>
      <c r="I601" s="717">
        <v>909.0</v>
      </c>
      <c r="J601" s="10"/>
      <c r="K601" s="10"/>
      <c r="L601" s="10"/>
      <c r="M601" s="10"/>
      <c r="N601" s="10"/>
    </row>
    <row r="602">
      <c r="A602" s="297" t="s">
        <v>21242</v>
      </c>
      <c r="B602" s="307"/>
      <c r="C602" s="297" t="s">
        <v>20580</v>
      </c>
      <c r="D602" s="715">
        <v>0.8</v>
      </c>
      <c r="E602" s="715">
        <v>0.8</v>
      </c>
      <c r="F602" s="746"/>
      <c r="G602" s="10"/>
      <c r="H602" s="9" t="s">
        <v>21242</v>
      </c>
      <c r="I602" s="10"/>
      <c r="J602" s="10"/>
      <c r="K602" s="10"/>
      <c r="L602" s="10"/>
      <c r="M602" s="10"/>
      <c r="N602" s="10"/>
    </row>
    <row r="603">
      <c r="A603" s="297" t="s">
        <v>21243</v>
      </c>
      <c r="B603" s="297">
        <v>9307.0</v>
      </c>
      <c r="C603" s="297" t="s">
        <v>20580</v>
      </c>
      <c r="D603" s="715">
        <v>0.8</v>
      </c>
      <c r="E603" s="715">
        <v>0.8</v>
      </c>
      <c r="F603" s="746"/>
      <c r="G603" s="10"/>
      <c r="H603" s="9" t="s">
        <v>21243</v>
      </c>
      <c r="I603" s="10"/>
      <c r="J603" s="10"/>
      <c r="K603" s="10"/>
      <c r="L603" s="10"/>
      <c r="M603" s="10"/>
      <c r="N603" s="10"/>
    </row>
    <row r="604">
      <c r="A604" s="297" t="s">
        <v>21244</v>
      </c>
      <c r="B604" s="307"/>
      <c r="C604" s="297" t="s">
        <v>20580</v>
      </c>
      <c r="D604" s="715">
        <v>0.8</v>
      </c>
      <c r="E604" s="715">
        <v>0.8</v>
      </c>
      <c r="F604" s="746"/>
      <c r="G604" s="10"/>
      <c r="H604" s="9" t="s">
        <v>21244</v>
      </c>
      <c r="I604" s="10"/>
      <c r="J604" s="10"/>
      <c r="K604" s="10"/>
      <c r="L604" s="10"/>
      <c r="M604" s="10"/>
      <c r="N604" s="10"/>
    </row>
    <row r="605">
      <c r="A605" s="134" t="s">
        <v>21245</v>
      </c>
      <c r="B605" s="134">
        <v>7003.0</v>
      </c>
      <c r="C605" s="297" t="s">
        <v>20580</v>
      </c>
      <c r="D605" s="715">
        <v>0.8</v>
      </c>
      <c r="E605" s="715">
        <v>0.8</v>
      </c>
      <c r="F605" s="746"/>
      <c r="G605" s="10"/>
      <c r="H605" s="717" t="s">
        <v>21245</v>
      </c>
      <c r="I605" s="717">
        <v>7003.0</v>
      </c>
      <c r="J605" s="10"/>
      <c r="K605" s="10"/>
      <c r="L605" s="10"/>
      <c r="M605" s="10"/>
      <c r="N605" s="10"/>
    </row>
    <row r="606">
      <c r="A606" s="297" t="s">
        <v>21246</v>
      </c>
      <c r="B606" s="307"/>
      <c r="C606" s="297" t="s">
        <v>20580</v>
      </c>
      <c r="D606" s="715">
        <v>0.8</v>
      </c>
      <c r="E606" s="715">
        <v>0.8</v>
      </c>
      <c r="F606" s="746"/>
      <c r="G606" s="10"/>
      <c r="H606" s="9" t="s">
        <v>21246</v>
      </c>
      <c r="I606" s="10"/>
      <c r="J606" s="10"/>
      <c r="K606" s="10"/>
      <c r="L606" s="10"/>
      <c r="M606" s="10"/>
      <c r="N606" s="10"/>
    </row>
    <row r="607">
      <c r="A607" s="297" t="s">
        <v>21247</v>
      </c>
      <c r="B607" s="307"/>
      <c r="C607" s="297" t="s">
        <v>20580</v>
      </c>
      <c r="D607" s="715">
        <v>0.8</v>
      </c>
      <c r="E607" s="715">
        <v>0.8</v>
      </c>
      <c r="F607" s="746"/>
      <c r="G607" s="10"/>
      <c r="H607" s="9" t="s">
        <v>21247</v>
      </c>
      <c r="I607" s="10"/>
      <c r="J607" s="10"/>
      <c r="K607" s="10"/>
      <c r="L607" s="10"/>
      <c r="M607" s="10"/>
      <c r="N607" s="10"/>
    </row>
    <row r="608">
      <c r="A608" s="297" t="s">
        <v>21248</v>
      </c>
      <c r="B608" s="307"/>
      <c r="C608" s="297" t="s">
        <v>20580</v>
      </c>
      <c r="D608" s="715">
        <v>0.8</v>
      </c>
      <c r="E608" s="715">
        <v>0.8</v>
      </c>
      <c r="F608" s="746"/>
      <c r="G608" s="10"/>
      <c r="H608" s="9" t="s">
        <v>21248</v>
      </c>
      <c r="I608" s="10"/>
      <c r="J608" s="10"/>
      <c r="K608" s="10"/>
      <c r="L608" s="10"/>
      <c r="M608" s="10"/>
      <c r="N608" s="10"/>
    </row>
    <row r="609">
      <c r="A609" s="297" t="s">
        <v>21249</v>
      </c>
      <c r="B609" s="307"/>
      <c r="C609" s="297" t="s">
        <v>20580</v>
      </c>
      <c r="D609" s="715">
        <v>0.8</v>
      </c>
      <c r="E609" s="715">
        <v>0.8</v>
      </c>
      <c r="F609" s="746"/>
      <c r="G609" s="10"/>
      <c r="H609" s="9" t="s">
        <v>21249</v>
      </c>
      <c r="I609" s="10"/>
      <c r="J609" s="10"/>
      <c r="K609" s="10"/>
      <c r="L609" s="10"/>
      <c r="M609" s="10"/>
      <c r="N609" s="10"/>
    </row>
    <row r="610">
      <c r="A610" s="297" t="s">
        <v>21250</v>
      </c>
      <c r="B610" s="307"/>
      <c r="C610" s="297" t="s">
        <v>20580</v>
      </c>
      <c r="D610" s="715">
        <v>0.8</v>
      </c>
      <c r="E610" s="715">
        <v>0.8</v>
      </c>
      <c r="F610" s="746"/>
      <c r="G610" s="10"/>
      <c r="H610" s="9" t="s">
        <v>21250</v>
      </c>
      <c r="I610" s="10"/>
      <c r="J610" s="10"/>
      <c r="K610" s="10"/>
      <c r="L610" s="10"/>
      <c r="M610" s="10"/>
      <c r="N610" s="10"/>
    </row>
    <row r="611">
      <c r="A611" s="297" t="s">
        <v>21251</v>
      </c>
      <c r="B611" s="307"/>
      <c r="C611" s="297" t="s">
        <v>20580</v>
      </c>
      <c r="D611" s="715">
        <v>0.8</v>
      </c>
      <c r="E611" s="715">
        <v>0.8</v>
      </c>
      <c r="F611" s="746"/>
      <c r="G611" s="10"/>
      <c r="H611" s="9" t="s">
        <v>21251</v>
      </c>
      <c r="I611" s="10"/>
      <c r="J611" s="10"/>
      <c r="K611" s="10"/>
      <c r="L611" s="10"/>
      <c r="M611" s="10"/>
      <c r="N611" s="10"/>
    </row>
    <row r="612">
      <c r="A612" s="297" t="s">
        <v>21252</v>
      </c>
      <c r="B612" s="307"/>
      <c r="C612" s="297" t="s">
        <v>20580</v>
      </c>
      <c r="D612" s="715">
        <v>0.8</v>
      </c>
      <c r="E612" s="715">
        <v>0.8</v>
      </c>
      <c r="F612" s="746"/>
      <c r="G612" s="10"/>
      <c r="H612" s="9" t="s">
        <v>21252</v>
      </c>
      <c r="I612" s="10"/>
      <c r="J612" s="10"/>
      <c r="K612" s="10"/>
      <c r="L612" s="10"/>
      <c r="M612" s="10"/>
      <c r="N612" s="10"/>
    </row>
    <row r="613">
      <c r="A613" s="297" t="s">
        <v>21253</v>
      </c>
      <c r="B613" s="297">
        <v>14638.0</v>
      </c>
      <c r="C613" s="297" t="s">
        <v>20580</v>
      </c>
      <c r="D613" s="715">
        <v>0.8</v>
      </c>
      <c r="E613" s="715">
        <v>0.8</v>
      </c>
      <c r="F613" s="746"/>
      <c r="G613" s="10"/>
      <c r="H613" s="9" t="s">
        <v>21253</v>
      </c>
      <c r="I613" s="10"/>
      <c r="J613" s="10"/>
      <c r="K613" s="10"/>
      <c r="L613" s="10"/>
      <c r="M613" s="10"/>
      <c r="N613" s="10"/>
    </row>
    <row r="614">
      <c r="A614" s="297" t="s">
        <v>21254</v>
      </c>
      <c r="B614" s="297"/>
      <c r="C614" s="297" t="s">
        <v>20580</v>
      </c>
      <c r="D614" s="715">
        <v>0.8</v>
      </c>
      <c r="E614" s="715">
        <v>0.8</v>
      </c>
      <c r="F614" s="746"/>
      <c r="G614" s="10"/>
      <c r="H614" s="9" t="s">
        <v>21254</v>
      </c>
      <c r="I614" s="10"/>
      <c r="J614" s="10"/>
      <c r="K614" s="10"/>
      <c r="L614" s="10"/>
      <c r="M614" s="10"/>
      <c r="N614" s="10"/>
    </row>
    <row r="615">
      <c r="A615" s="297" t="s">
        <v>21255</v>
      </c>
      <c r="B615" s="307"/>
      <c r="C615" s="297" t="s">
        <v>20580</v>
      </c>
      <c r="D615" s="715">
        <v>0.8</v>
      </c>
      <c r="E615" s="715">
        <v>0.8</v>
      </c>
      <c r="F615" s="746"/>
      <c r="G615" s="10"/>
      <c r="H615" s="9" t="s">
        <v>21255</v>
      </c>
      <c r="I615" s="10"/>
      <c r="J615" s="10"/>
      <c r="K615" s="10"/>
      <c r="L615" s="10"/>
      <c r="M615" s="10"/>
      <c r="N615" s="10"/>
    </row>
    <row r="616">
      <c r="A616" s="297" t="s">
        <v>21256</v>
      </c>
      <c r="B616" s="297">
        <v>14752.0</v>
      </c>
      <c r="C616" s="297" t="s">
        <v>20580</v>
      </c>
      <c r="D616" s="715">
        <v>0.8</v>
      </c>
      <c r="E616" s="715">
        <v>0.8</v>
      </c>
      <c r="F616" s="746"/>
      <c r="G616" s="10"/>
      <c r="H616" s="9" t="s">
        <v>21256</v>
      </c>
      <c r="I616" s="10"/>
      <c r="J616" s="10"/>
      <c r="K616" s="10"/>
      <c r="L616" s="10"/>
      <c r="M616" s="10"/>
      <c r="N616" s="10"/>
    </row>
    <row r="617">
      <c r="A617" s="297" t="s">
        <v>21257</v>
      </c>
      <c r="B617" s="307"/>
      <c r="C617" s="297" t="s">
        <v>20580</v>
      </c>
      <c r="D617" s="715">
        <v>0.8</v>
      </c>
      <c r="E617" s="715">
        <v>0.8</v>
      </c>
      <c r="F617" s="746"/>
      <c r="G617" s="10"/>
      <c r="H617" s="9" t="s">
        <v>21257</v>
      </c>
      <c r="I617" s="10"/>
      <c r="J617" s="10"/>
      <c r="K617" s="10"/>
      <c r="L617" s="10"/>
      <c r="M617" s="10"/>
      <c r="N617" s="10"/>
    </row>
    <row r="618">
      <c r="A618" s="297" t="s">
        <v>21258</v>
      </c>
      <c r="B618" s="307"/>
      <c r="C618" s="297" t="s">
        <v>20580</v>
      </c>
      <c r="D618" s="715">
        <v>0.8</v>
      </c>
      <c r="E618" s="715">
        <v>0.8</v>
      </c>
      <c r="F618" s="746"/>
      <c r="G618" s="10"/>
      <c r="H618" s="9" t="s">
        <v>21258</v>
      </c>
      <c r="I618" s="10"/>
      <c r="J618" s="10"/>
      <c r="K618" s="10"/>
      <c r="L618" s="10"/>
      <c r="M618" s="10"/>
      <c r="N618" s="10"/>
    </row>
    <row r="619">
      <c r="A619" s="297" t="s">
        <v>21259</v>
      </c>
      <c r="B619" s="307"/>
      <c r="C619" s="297" t="s">
        <v>20580</v>
      </c>
      <c r="D619" s="715">
        <v>0.8</v>
      </c>
      <c r="E619" s="715">
        <v>0.8</v>
      </c>
      <c r="F619" s="746"/>
      <c r="G619" s="10"/>
      <c r="H619" s="9" t="s">
        <v>21259</v>
      </c>
      <c r="I619" s="10"/>
      <c r="J619" s="10"/>
      <c r="K619" s="10"/>
      <c r="L619" s="10"/>
      <c r="M619" s="10"/>
      <c r="N619" s="10"/>
    </row>
    <row r="620">
      <c r="A620" s="297" t="s">
        <v>21260</v>
      </c>
      <c r="B620" s="307"/>
      <c r="C620" s="297" t="s">
        <v>20580</v>
      </c>
      <c r="D620" s="715">
        <v>0.8</v>
      </c>
      <c r="E620" s="715">
        <v>0.8</v>
      </c>
      <c r="F620" s="746"/>
      <c r="G620" s="10"/>
      <c r="H620" s="9" t="s">
        <v>21260</v>
      </c>
      <c r="I620" s="10"/>
      <c r="J620" s="10"/>
      <c r="K620" s="10"/>
      <c r="L620" s="10"/>
      <c r="M620" s="10"/>
      <c r="N620" s="10"/>
    </row>
    <row r="621">
      <c r="A621" s="297" t="s">
        <v>21261</v>
      </c>
      <c r="B621" s="307"/>
      <c r="C621" s="297" t="s">
        <v>20580</v>
      </c>
      <c r="D621" s="715">
        <v>0.8</v>
      </c>
      <c r="E621" s="715">
        <v>0.8</v>
      </c>
      <c r="F621" s="746"/>
      <c r="G621" s="10"/>
      <c r="H621" s="9" t="s">
        <v>21261</v>
      </c>
      <c r="I621" s="10"/>
      <c r="J621" s="10"/>
      <c r="K621" s="10"/>
      <c r="L621" s="10"/>
      <c r="M621" s="10"/>
      <c r="N621" s="10"/>
    </row>
    <row r="622">
      <c r="A622" s="297" t="s">
        <v>21262</v>
      </c>
      <c r="B622" s="307"/>
      <c r="C622" s="297" t="s">
        <v>20580</v>
      </c>
      <c r="D622" s="715">
        <v>0.8</v>
      </c>
      <c r="E622" s="715">
        <v>0.8</v>
      </c>
      <c r="F622" s="746"/>
      <c r="G622" s="10"/>
      <c r="H622" s="9" t="s">
        <v>21262</v>
      </c>
      <c r="I622" s="10"/>
      <c r="J622" s="10"/>
      <c r="K622" s="10"/>
      <c r="L622" s="10"/>
      <c r="M622" s="10"/>
      <c r="N622" s="10"/>
    </row>
    <row r="623">
      <c r="A623" s="297" t="s">
        <v>21263</v>
      </c>
      <c r="B623" s="307"/>
      <c r="C623" s="297" t="s">
        <v>20580</v>
      </c>
      <c r="D623" s="715">
        <v>0.8</v>
      </c>
      <c r="E623" s="715">
        <v>0.8</v>
      </c>
      <c r="F623" s="746"/>
      <c r="G623" s="10"/>
      <c r="H623" s="9" t="s">
        <v>21263</v>
      </c>
      <c r="I623" s="10"/>
      <c r="J623" s="10"/>
      <c r="K623" s="10"/>
      <c r="L623" s="10"/>
      <c r="M623" s="10"/>
      <c r="N623" s="10"/>
    </row>
    <row r="624">
      <c r="A624" s="297" t="s">
        <v>21264</v>
      </c>
      <c r="B624" s="307"/>
      <c r="C624" s="297" t="s">
        <v>20580</v>
      </c>
      <c r="D624" s="715">
        <v>0.8</v>
      </c>
      <c r="E624" s="715">
        <v>0.8</v>
      </c>
      <c r="F624" s="746"/>
      <c r="G624" s="10"/>
      <c r="H624" s="9" t="s">
        <v>21264</v>
      </c>
      <c r="I624" s="10"/>
      <c r="J624" s="10"/>
      <c r="K624" s="10"/>
      <c r="L624" s="10"/>
      <c r="M624" s="10"/>
      <c r="N624" s="10"/>
    </row>
    <row r="625">
      <c r="A625" s="297" t="s">
        <v>21265</v>
      </c>
      <c r="B625" s="307"/>
      <c r="C625" s="297" t="s">
        <v>20580</v>
      </c>
      <c r="D625" s="715">
        <v>0.8</v>
      </c>
      <c r="E625" s="715">
        <v>0.8</v>
      </c>
      <c r="F625" s="746"/>
      <c r="G625" s="10"/>
      <c r="H625" s="9" t="s">
        <v>21265</v>
      </c>
      <c r="I625" s="10"/>
      <c r="J625" s="10"/>
      <c r="K625" s="10"/>
      <c r="L625" s="10"/>
      <c r="M625" s="10"/>
      <c r="N625" s="10"/>
    </row>
    <row r="626">
      <c r="A626" s="297" t="s">
        <v>21266</v>
      </c>
      <c r="B626" s="307"/>
      <c r="C626" s="297" t="s">
        <v>20580</v>
      </c>
      <c r="D626" s="715">
        <v>0.8</v>
      </c>
      <c r="E626" s="715">
        <v>0.8</v>
      </c>
      <c r="F626" s="746"/>
      <c r="G626" s="10"/>
      <c r="H626" s="9" t="s">
        <v>21266</v>
      </c>
      <c r="I626" s="10"/>
      <c r="J626" s="10"/>
      <c r="K626" s="10"/>
      <c r="L626" s="10"/>
      <c r="M626" s="10"/>
      <c r="N626" s="10"/>
    </row>
    <row r="627">
      <c r="A627" s="297" t="s">
        <v>21267</v>
      </c>
      <c r="B627" s="307"/>
      <c r="C627" s="297" t="s">
        <v>20580</v>
      </c>
      <c r="D627" s="715">
        <v>0.8</v>
      </c>
      <c r="E627" s="715">
        <v>0.8</v>
      </c>
      <c r="F627" s="746"/>
      <c r="G627" s="10"/>
      <c r="H627" s="9" t="s">
        <v>21267</v>
      </c>
      <c r="I627" s="10"/>
      <c r="J627" s="10"/>
      <c r="K627" s="10"/>
      <c r="L627" s="10"/>
      <c r="M627" s="10"/>
      <c r="N627" s="10"/>
    </row>
    <row r="628">
      <c r="A628" s="297" t="s">
        <v>21268</v>
      </c>
      <c r="B628" s="307"/>
      <c r="C628" s="297" t="s">
        <v>20580</v>
      </c>
      <c r="D628" s="715">
        <v>0.8</v>
      </c>
      <c r="E628" s="715">
        <v>0.8</v>
      </c>
      <c r="F628" s="746"/>
      <c r="G628" s="10"/>
      <c r="H628" s="9" t="s">
        <v>21268</v>
      </c>
      <c r="I628" s="10"/>
      <c r="J628" s="10"/>
      <c r="K628" s="10"/>
      <c r="L628" s="10"/>
      <c r="M628" s="10"/>
      <c r="N628" s="10"/>
    </row>
    <row r="629">
      <c r="A629" s="297" t="s">
        <v>21269</v>
      </c>
      <c r="B629" s="307"/>
      <c r="C629" s="297" t="s">
        <v>20580</v>
      </c>
      <c r="D629" s="715">
        <v>0.8</v>
      </c>
      <c r="E629" s="715">
        <v>0.8</v>
      </c>
      <c r="F629" s="746"/>
      <c r="G629" s="10"/>
      <c r="H629" s="9" t="s">
        <v>21269</v>
      </c>
      <c r="I629" s="10"/>
      <c r="J629" s="10"/>
      <c r="K629" s="10"/>
      <c r="L629" s="10"/>
      <c r="M629" s="10"/>
      <c r="N629" s="10"/>
    </row>
    <row r="630">
      <c r="A630" s="297" t="s">
        <v>21270</v>
      </c>
      <c r="B630" s="307"/>
      <c r="C630" s="297" t="s">
        <v>20580</v>
      </c>
      <c r="D630" s="715">
        <v>0.8</v>
      </c>
      <c r="E630" s="715">
        <v>0.8</v>
      </c>
      <c r="F630" s="746"/>
      <c r="G630" s="10"/>
      <c r="H630" s="9" t="s">
        <v>21270</v>
      </c>
      <c r="I630" s="10"/>
      <c r="J630" s="10"/>
      <c r="K630" s="10"/>
      <c r="L630" s="10"/>
      <c r="M630" s="10"/>
      <c r="N630" s="10"/>
    </row>
    <row r="631">
      <c r="A631" s="297" t="s">
        <v>21271</v>
      </c>
      <c r="B631" s="307"/>
      <c r="C631" s="297" t="s">
        <v>20580</v>
      </c>
      <c r="D631" s="715">
        <v>0.8</v>
      </c>
      <c r="E631" s="715">
        <v>0.8</v>
      </c>
      <c r="F631" s="746"/>
      <c r="G631" s="10"/>
      <c r="H631" s="9" t="s">
        <v>21271</v>
      </c>
      <c r="I631" s="10"/>
      <c r="J631" s="10"/>
      <c r="K631" s="10"/>
      <c r="L631" s="10"/>
      <c r="M631" s="10"/>
      <c r="N631" s="10"/>
    </row>
    <row r="632">
      <c r="A632" s="297" t="s">
        <v>21272</v>
      </c>
      <c r="B632" s="307"/>
      <c r="C632" s="297" t="s">
        <v>20580</v>
      </c>
      <c r="D632" s="715">
        <v>0.8</v>
      </c>
      <c r="E632" s="715">
        <v>0.8</v>
      </c>
      <c r="F632" s="746"/>
      <c r="G632" s="10"/>
      <c r="H632" s="9" t="s">
        <v>21272</v>
      </c>
      <c r="I632" s="10"/>
      <c r="J632" s="10"/>
      <c r="K632" s="10"/>
      <c r="L632" s="10"/>
      <c r="M632" s="10"/>
      <c r="N632" s="10"/>
    </row>
    <row r="633">
      <c r="A633" s="297" t="s">
        <v>21273</v>
      </c>
      <c r="B633" s="307"/>
      <c r="C633" s="297" t="s">
        <v>20580</v>
      </c>
      <c r="D633" s="715">
        <v>0.8</v>
      </c>
      <c r="E633" s="715">
        <v>0.8</v>
      </c>
      <c r="F633" s="746"/>
      <c r="G633" s="10"/>
      <c r="H633" s="9" t="s">
        <v>21273</v>
      </c>
      <c r="I633" s="10"/>
      <c r="J633" s="10"/>
      <c r="K633" s="10"/>
      <c r="L633" s="10"/>
      <c r="M633" s="10"/>
      <c r="N633" s="10"/>
    </row>
    <row r="634">
      <c r="A634" s="297" t="s">
        <v>21274</v>
      </c>
      <c r="B634" s="307"/>
      <c r="C634" s="297" t="s">
        <v>20580</v>
      </c>
      <c r="D634" s="715">
        <v>0.8</v>
      </c>
      <c r="E634" s="715">
        <v>0.8</v>
      </c>
      <c r="F634" s="746"/>
      <c r="G634" s="10"/>
      <c r="H634" s="9" t="s">
        <v>21274</v>
      </c>
      <c r="I634" s="10"/>
      <c r="J634" s="10"/>
      <c r="K634" s="10"/>
      <c r="L634" s="10"/>
      <c r="M634" s="10"/>
      <c r="N634" s="10"/>
    </row>
    <row r="635">
      <c r="A635" s="297" t="s">
        <v>21275</v>
      </c>
      <c r="B635" s="307"/>
      <c r="C635" s="297" t="s">
        <v>20580</v>
      </c>
      <c r="D635" s="715">
        <v>0.8</v>
      </c>
      <c r="E635" s="715">
        <v>0.8</v>
      </c>
      <c r="F635" s="746"/>
      <c r="G635" s="10"/>
      <c r="H635" s="9" t="s">
        <v>21275</v>
      </c>
      <c r="I635" s="10"/>
      <c r="J635" s="10"/>
      <c r="K635" s="10"/>
      <c r="L635" s="10"/>
      <c r="M635" s="10"/>
      <c r="N635" s="10"/>
    </row>
    <row r="636">
      <c r="A636" s="297" t="s">
        <v>21276</v>
      </c>
      <c r="B636" s="307"/>
      <c r="C636" s="297" t="s">
        <v>20580</v>
      </c>
      <c r="D636" s="715">
        <v>0.8</v>
      </c>
      <c r="E636" s="715">
        <v>0.8</v>
      </c>
      <c r="F636" s="746"/>
      <c r="G636" s="10"/>
      <c r="H636" s="9" t="s">
        <v>21276</v>
      </c>
      <c r="I636" s="10"/>
      <c r="J636" s="10"/>
      <c r="K636" s="10"/>
      <c r="L636" s="10"/>
      <c r="M636" s="10"/>
      <c r="N636" s="10"/>
    </row>
    <row r="637">
      <c r="A637" s="297" t="s">
        <v>21277</v>
      </c>
      <c r="B637" s="307"/>
      <c r="C637" s="297" t="s">
        <v>20580</v>
      </c>
      <c r="D637" s="715">
        <v>0.8</v>
      </c>
      <c r="E637" s="715">
        <v>0.8</v>
      </c>
      <c r="F637" s="746"/>
      <c r="G637" s="10"/>
      <c r="H637" s="9" t="s">
        <v>21277</v>
      </c>
      <c r="I637" s="10"/>
      <c r="J637" s="10"/>
      <c r="K637" s="10"/>
      <c r="L637" s="10"/>
      <c r="M637" s="10"/>
      <c r="N637" s="10"/>
    </row>
    <row r="638">
      <c r="A638" s="297" t="s">
        <v>21278</v>
      </c>
      <c r="B638" s="307"/>
      <c r="C638" s="297" t="s">
        <v>20580</v>
      </c>
      <c r="D638" s="715">
        <v>0.8</v>
      </c>
      <c r="E638" s="715">
        <v>0.8</v>
      </c>
      <c r="F638" s="746"/>
      <c r="G638" s="10"/>
      <c r="H638" s="9" t="s">
        <v>21278</v>
      </c>
      <c r="I638" s="10"/>
      <c r="J638" s="10"/>
      <c r="K638" s="10"/>
      <c r="L638" s="10"/>
      <c r="M638" s="10"/>
      <c r="N638" s="10"/>
    </row>
    <row r="639">
      <c r="A639" s="297" t="s">
        <v>21279</v>
      </c>
      <c r="B639" s="307"/>
      <c r="C639" s="297" t="s">
        <v>20580</v>
      </c>
      <c r="D639" s="715">
        <v>0.8</v>
      </c>
      <c r="E639" s="715">
        <v>0.8</v>
      </c>
      <c r="F639" s="746"/>
      <c r="G639" s="10"/>
      <c r="H639" s="9" t="s">
        <v>21279</v>
      </c>
      <c r="I639" s="10"/>
      <c r="J639" s="10"/>
      <c r="K639" s="10"/>
      <c r="L639" s="10"/>
      <c r="M639" s="10"/>
      <c r="N639" s="10"/>
    </row>
    <row r="640">
      <c r="A640" s="297" t="s">
        <v>21280</v>
      </c>
      <c r="B640" s="307"/>
      <c r="C640" s="297" t="s">
        <v>20580</v>
      </c>
      <c r="D640" s="715">
        <v>0.8</v>
      </c>
      <c r="E640" s="715">
        <v>0.8</v>
      </c>
      <c r="F640" s="746"/>
      <c r="G640" s="10"/>
      <c r="H640" s="9" t="s">
        <v>21280</v>
      </c>
      <c r="I640" s="10"/>
      <c r="J640" s="10"/>
      <c r="K640" s="10"/>
      <c r="L640" s="10"/>
      <c r="M640" s="10"/>
      <c r="N640" s="10"/>
    </row>
    <row r="641">
      <c r="A641" s="297" t="s">
        <v>21281</v>
      </c>
      <c r="B641" s="307"/>
      <c r="C641" s="297" t="s">
        <v>20580</v>
      </c>
      <c r="D641" s="715">
        <v>0.8</v>
      </c>
      <c r="E641" s="715">
        <v>0.8</v>
      </c>
      <c r="F641" s="746"/>
      <c r="G641" s="10"/>
      <c r="H641" s="9" t="s">
        <v>21281</v>
      </c>
      <c r="I641" s="10"/>
      <c r="J641" s="10"/>
      <c r="K641" s="10"/>
      <c r="L641" s="10"/>
      <c r="M641" s="10"/>
      <c r="N641" s="10"/>
    </row>
    <row r="642">
      <c r="A642" s="297" t="s">
        <v>21282</v>
      </c>
      <c r="B642" s="307"/>
      <c r="C642" s="297" t="s">
        <v>20580</v>
      </c>
      <c r="D642" s="715">
        <v>0.8</v>
      </c>
      <c r="E642" s="715">
        <v>0.8</v>
      </c>
      <c r="F642" s="746"/>
      <c r="G642" s="10"/>
      <c r="H642" s="9" t="s">
        <v>21282</v>
      </c>
      <c r="I642" s="10"/>
      <c r="J642" s="10"/>
      <c r="K642" s="10"/>
      <c r="L642" s="10"/>
      <c r="M642" s="10"/>
      <c r="N642" s="10"/>
    </row>
    <row r="643">
      <c r="A643" s="297" t="s">
        <v>21283</v>
      </c>
      <c r="B643" s="307"/>
      <c r="C643" s="297" t="s">
        <v>20580</v>
      </c>
      <c r="D643" s="715">
        <v>0.8</v>
      </c>
      <c r="E643" s="715">
        <v>0.8</v>
      </c>
      <c r="F643" s="746"/>
      <c r="G643" s="10"/>
      <c r="H643" s="9" t="s">
        <v>21283</v>
      </c>
      <c r="I643" s="10"/>
      <c r="J643" s="10"/>
      <c r="K643" s="10"/>
      <c r="L643" s="10"/>
      <c r="M643" s="10"/>
      <c r="N643" s="10"/>
    </row>
    <row r="644">
      <c r="A644" s="297" t="s">
        <v>21284</v>
      </c>
      <c r="B644" s="307"/>
      <c r="C644" s="297" t="s">
        <v>20580</v>
      </c>
      <c r="D644" s="715">
        <v>0.8</v>
      </c>
      <c r="E644" s="715">
        <v>0.8</v>
      </c>
      <c r="F644" s="746"/>
      <c r="G644" s="10"/>
      <c r="H644" s="9" t="s">
        <v>21284</v>
      </c>
      <c r="I644" s="10"/>
      <c r="J644" s="10"/>
      <c r="K644" s="10"/>
      <c r="L644" s="10"/>
      <c r="M644" s="10"/>
      <c r="N644" s="10"/>
    </row>
    <row r="645">
      <c r="A645" s="297" t="s">
        <v>21285</v>
      </c>
      <c r="B645" s="307"/>
      <c r="C645" s="297" t="s">
        <v>20580</v>
      </c>
      <c r="D645" s="715">
        <v>0.8</v>
      </c>
      <c r="E645" s="715">
        <v>0.8</v>
      </c>
      <c r="F645" s="746"/>
      <c r="G645" s="10"/>
      <c r="H645" s="9" t="s">
        <v>21285</v>
      </c>
      <c r="I645" s="10"/>
      <c r="J645" s="10"/>
      <c r="K645" s="10"/>
      <c r="L645" s="10"/>
      <c r="M645" s="10"/>
      <c r="N645" s="10"/>
    </row>
    <row r="646">
      <c r="A646" s="297" t="s">
        <v>21286</v>
      </c>
      <c r="B646" s="307"/>
      <c r="C646" s="297" t="s">
        <v>20580</v>
      </c>
      <c r="D646" s="715">
        <v>0.8</v>
      </c>
      <c r="E646" s="715">
        <v>0.8</v>
      </c>
      <c r="F646" s="746"/>
      <c r="G646" s="10"/>
      <c r="H646" s="9" t="s">
        <v>21286</v>
      </c>
      <c r="I646" s="10"/>
      <c r="J646" s="10"/>
      <c r="K646" s="10"/>
      <c r="L646" s="10"/>
      <c r="M646" s="10"/>
      <c r="N646" s="10"/>
    </row>
    <row r="647">
      <c r="A647" s="297" t="s">
        <v>21287</v>
      </c>
      <c r="B647" s="307"/>
      <c r="C647" s="297" t="s">
        <v>20580</v>
      </c>
      <c r="D647" s="715">
        <v>0.8</v>
      </c>
      <c r="E647" s="715">
        <v>0.8</v>
      </c>
      <c r="F647" s="746"/>
      <c r="G647" s="10"/>
      <c r="H647" s="9" t="s">
        <v>21287</v>
      </c>
      <c r="I647" s="10"/>
      <c r="J647" s="10"/>
      <c r="K647" s="10"/>
      <c r="L647" s="10"/>
      <c r="M647" s="10"/>
      <c r="N647" s="10"/>
    </row>
    <row r="648">
      <c r="A648" s="297" t="s">
        <v>21288</v>
      </c>
      <c r="B648" s="307"/>
      <c r="C648" s="297" t="s">
        <v>20580</v>
      </c>
      <c r="D648" s="715">
        <v>0.8</v>
      </c>
      <c r="E648" s="715">
        <v>0.8</v>
      </c>
      <c r="F648" s="746"/>
      <c r="G648" s="10"/>
      <c r="H648" s="9" t="s">
        <v>21288</v>
      </c>
      <c r="I648" s="10"/>
      <c r="J648" s="10"/>
      <c r="K648" s="10"/>
      <c r="L648" s="10"/>
      <c r="M648" s="10"/>
      <c r="N648" s="10"/>
    </row>
    <row r="649">
      <c r="A649" s="297" t="s">
        <v>21289</v>
      </c>
      <c r="B649" s="307"/>
      <c r="C649" s="297" t="s">
        <v>20580</v>
      </c>
      <c r="D649" s="715">
        <v>0.8</v>
      </c>
      <c r="E649" s="715">
        <v>0.8</v>
      </c>
      <c r="F649" s="746"/>
      <c r="G649" s="10"/>
      <c r="H649" s="9" t="s">
        <v>21289</v>
      </c>
      <c r="I649" s="10"/>
      <c r="J649" s="10"/>
      <c r="K649" s="10"/>
      <c r="L649" s="10"/>
      <c r="M649" s="10"/>
      <c r="N649" s="10"/>
    </row>
    <row r="650">
      <c r="A650" s="297" t="s">
        <v>21290</v>
      </c>
      <c r="B650" s="307"/>
      <c r="C650" s="297" t="s">
        <v>20580</v>
      </c>
      <c r="D650" s="715">
        <v>0.8</v>
      </c>
      <c r="E650" s="715">
        <v>0.8</v>
      </c>
      <c r="F650" s="746"/>
      <c r="G650" s="10"/>
      <c r="H650" s="9" t="s">
        <v>21290</v>
      </c>
      <c r="I650" s="10"/>
      <c r="J650" s="10"/>
      <c r="K650" s="10"/>
      <c r="L650" s="10"/>
      <c r="M650" s="10"/>
      <c r="N650" s="10"/>
    </row>
    <row r="651">
      <c r="A651" s="134" t="s">
        <v>21291</v>
      </c>
      <c r="B651" s="134">
        <v>271.0</v>
      </c>
      <c r="C651" s="297" t="s">
        <v>20580</v>
      </c>
      <c r="D651" s="715">
        <v>0.8</v>
      </c>
      <c r="E651" s="715">
        <v>0.8</v>
      </c>
      <c r="F651" s="746"/>
      <c r="G651" s="10"/>
      <c r="H651" s="717" t="s">
        <v>21291</v>
      </c>
      <c r="I651" s="717">
        <v>271.0</v>
      </c>
      <c r="J651" s="10"/>
      <c r="K651" s="10"/>
      <c r="L651" s="10"/>
      <c r="M651" s="10"/>
      <c r="N651" s="10"/>
    </row>
    <row r="652">
      <c r="A652" s="134" t="s">
        <v>21292</v>
      </c>
      <c r="B652" s="134">
        <v>271.0</v>
      </c>
      <c r="C652" s="297" t="s">
        <v>20580</v>
      </c>
      <c r="D652" s="715">
        <v>0.8</v>
      </c>
      <c r="E652" s="715">
        <v>0.8</v>
      </c>
      <c r="F652" s="746"/>
      <c r="G652" s="10"/>
      <c r="H652" s="717" t="s">
        <v>21292</v>
      </c>
      <c r="I652" s="717">
        <v>271.0</v>
      </c>
      <c r="J652" s="10"/>
      <c r="K652" s="10"/>
      <c r="L652" s="10"/>
      <c r="M652" s="10"/>
      <c r="N652" s="10"/>
    </row>
    <row r="653">
      <c r="A653" s="297" t="s">
        <v>21293</v>
      </c>
      <c r="B653" s="307"/>
      <c r="C653" s="297" t="s">
        <v>20580</v>
      </c>
      <c r="D653" s="715">
        <v>0.8</v>
      </c>
      <c r="E653" s="715">
        <v>0.8</v>
      </c>
      <c r="F653" s="746"/>
      <c r="G653" s="10"/>
      <c r="H653" s="9" t="s">
        <v>21293</v>
      </c>
      <c r="I653" s="10"/>
      <c r="J653" s="10"/>
      <c r="K653" s="10"/>
      <c r="L653" s="10"/>
      <c r="M653" s="10"/>
      <c r="N653" s="10"/>
    </row>
    <row r="654">
      <c r="A654" s="297" t="s">
        <v>21294</v>
      </c>
      <c r="B654" s="307"/>
      <c r="C654" s="297" t="s">
        <v>20580</v>
      </c>
      <c r="D654" s="715">
        <v>0.8</v>
      </c>
      <c r="E654" s="715">
        <v>0.8</v>
      </c>
      <c r="F654" s="746"/>
      <c r="G654" s="10"/>
      <c r="H654" s="9" t="s">
        <v>21294</v>
      </c>
      <c r="I654" s="10"/>
      <c r="J654" s="10"/>
      <c r="K654" s="10"/>
      <c r="L654" s="10"/>
      <c r="M654" s="10"/>
      <c r="N654" s="10"/>
    </row>
    <row r="655">
      <c r="A655" s="297" t="s">
        <v>21295</v>
      </c>
      <c r="B655" s="307"/>
      <c r="C655" s="297" t="s">
        <v>20580</v>
      </c>
      <c r="D655" s="715">
        <v>0.8</v>
      </c>
      <c r="E655" s="715">
        <v>0.8</v>
      </c>
      <c r="F655" s="746"/>
      <c r="G655" s="10"/>
      <c r="H655" s="9" t="s">
        <v>21295</v>
      </c>
      <c r="I655" s="10"/>
      <c r="J655" s="10"/>
      <c r="K655" s="10"/>
      <c r="L655" s="10"/>
      <c r="M655" s="10"/>
      <c r="N655" s="10"/>
    </row>
    <row r="656">
      <c r="A656" s="297" t="s">
        <v>21296</v>
      </c>
      <c r="B656" s="307"/>
      <c r="C656" s="297" t="s">
        <v>20580</v>
      </c>
      <c r="D656" s="715">
        <v>0.8</v>
      </c>
      <c r="E656" s="715">
        <v>0.8</v>
      </c>
      <c r="F656" s="746"/>
      <c r="G656" s="10"/>
      <c r="H656" s="9" t="s">
        <v>21296</v>
      </c>
      <c r="I656" s="10"/>
      <c r="J656" s="10"/>
      <c r="K656" s="10"/>
      <c r="L656" s="10"/>
      <c r="M656" s="10"/>
      <c r="N656" s="10"/>
    </row>
    <row r="657">
      <c r="A657" s="297" t="s">
        <v>21297</v>
      </c>
      <c r="B657" s="307"/>
      <c r="C657" s="297" t="s">
        <v>20580</v>
      </c>
      <c r="D657" s="715">
        <v>0.8</v>
      </c>
      <c r="E657" s="715">
        <v>0.8</v>
      </c>
      <c r="F657" s="746"/>
      <c r="G657" s="10"/>
      <c r="H657" s="9" t="s">
        <v>21297</v>
      </c>
      <c r="I657" s="10"/>
      <c r="J657" s="10"/>
      <c r="K657" s="10"/>
      <c r="L657" s="10"/>
      <c r="M657" s="10"/>
      <c r="N657" s="10"/>
    </row>
    <row r="658">
      <c r="A658" s="297" t="s">
        <v>21298</v>
      </c>
      <c r="B658" s="307"/>
      <c r="C658" s="297" t="s">
        <v>20580</v>
      </c>
      <c r="D658" s="715">
        <v>0.8</v>
      </c>
      <c r="E658" s="715">
        <v>0.8</v>
      </c>
      <c r="F658" s="746"/>
      <c r="G658" s="10"/>
      <c r="H658" s="9" t="s">
        <v>21298</v>
      </c>
      <c r="I658" s="10"/>
      <c r="J658" s="10"/>
      <c r="K658" s="10"/>
      <c r="L658" s="10"/>
      <c r="M658" s="10"/>
      <c r="N658" s="10"/>
    </row>
    <row r="659">
      <c r="A659" s="297" t="s">
        <v>21299</v>
      </c>
      <c r="B659" s="307"/>
      <c r="C659" s="297" t="s">
        <v>20580</v>
      </c>
      <c r="D659" s="715">
        <v>0.8</v>
      </c>
      <c r="E659" s="715">
        <v>0.8</v>
      </c>
      <c r="F659" s="746"/>
      <c r="G659" s="10"/>
      <c r="H659" s="9" t="s">
        <v>21299</v>
      </c>
      <c r="I659" s="10"/>
      <c r="J659" s="10"/>
      <c r="K659" s="10"/>
      <c r="L659" s="10"/>
      <c r="M659" s="10"/>
      <c r="N659" s="10"/>
    </row>
    <row r="660">
      <c r="A660" s="297" t="s">
        <v>21300</v>
      </c>
      <c r="B660" s="307"/>
      <c r="C660" s="297" t="s">
        <v>20580</v>
      </c>
      <c r="D660" s="715">
        <v>0.8</v>
      </c>
      <c r="E660" s="715">
        <v>0.8</v>
      </c>
      <c r="F660" s="746"/>
      <c r="G660" s="10"/>
      <c r="H660" s="9" t="s">
        <v>21300</v>
      </c>
      <c r="I660" s="10"/>
      <c r="J660" s="10"/>
      <c r="K660" s="10"/>
      <c r="L660" s="10"/>
      <c r="M660" s="10"/>
      <c r="N660" s="10"/>
    </row>
    <row r="661">
      <c r="A661" s="134" t="s">
        <v>21301</v>
      </c>
      <c r="B661" s="661">
        <v>6939.0</v>
      </c>
      <c r="C661" s="297" t="s">
        <v>20580</v>
      </c>
      <c r="D661" s="715">
        <v>0.8</v>
      </c>
      <c r="E661" s="715">
        <v>0.8</v>
      </c>
      <c r="F661" s="746"/>
      <c r="G661" s="10"/>
      <c r="H661" s="717" t="s">
        <v>21301</v>
      </c>
      <c r="I661" s="763">
        <v>6939.0</v>
      </c>
      <c r="J661" s="9">
        <v>14298.0</v>
      </c>
      <c r="K661" s="10"/>
      <c r="L661" s="10"/>
      <c r="M661" s="10"/>
      <c r="N661" s="10"/>
    </row>
    <row r="662">
      <c r="A662" s="297" t="s">
        <v>21302</v>
      </c>
      <c r="B662" s="307"/>
      <c r="C662" s="297" t="s">
        <v>20580</v>
      </c>
      <c r="D662" s="715">
        <v>0.8</v>
      </c>
      <c r="E662" s="715">
        <v>0.8</v>
      </c>
      <c r="F662" s="746"/>
      <c r="G662" s="10"/>
      <c r="H662" s="9" t="s">
        <v>21302</v>
      </c>
      <c r="I662" s="10"/>
      <c r="J662" s="10"/>
      <c r="K662" s="10"/>
      <c r="L662" s="10"/>
      <c r="M662" s="10"/>
      <c r="N662" s="10"/>
    </row>
    <row r="663">
      <c r="A663" s="297" t="s">
        <v>21303</v>
      </c>
      <c r="B663" s="307"/>
      <c r="C663" s="297" t="s">
        <v>20580</v>
      </c>
      <c r="D663" s="715">
        <v>0.8</v>
      </c>
      <c r="E663" s="715">
        <v>0.8</v>
      </c>
      <c r="F663" s="746"/>
      <c r="G663" s="10"/>
      <c r="H663" s="9" t="s">
        <v>21303</v>
      </c>
      <c r="I663" s="10"/>
      <c r="J663" s="10"/>
      <c r="K663" s="10"/>
      <c r="L663" s="10"/>
      <c r="M663" s="10"/>
      <c r="N663" s="10"/>
    </row>
    <row r="664">
      <c r="A664" s="5" t="s">
        <v>21304</v>
      </c>
      <c r="B664" s="199">
        <v>7715.0</v>
      </c>
      <c r="C664" s="297" t="s">
        <v>20580</v>
      </c>
      <c r="D664" s="715">
        <v>0.8</v>
      </c>
      <c r="E664" s="715">
        <v>0.8</v>
      </c>
      <c r="F664" s="746"/>
      <c r="G664" s="297" t="s">
        <v>10980</v>
      </c>
      <c r="H664" s="10"/>
      <c r="I664" s="10"/>
      <c r="J664" s="10"/>
      <c r="K664" s="10"/>
      <c r="L664" s="10"/>
      <c r="M664" s="10"/>
      <c r="N664" s="10"/>
    </row>
    <row r="665">
      <c r="A665" s="5" t="s">
        <v>21305</v>
      </c>
      <c r="B665" s="199">
        <v>7669.0</v>
      </c>
      <c r="C665" s="297" t="s">
        <v>20580</v>
      </c>
      <c r="D665" s="715">
        <v>0.8</v>
      </c>
      <c r="E665" s="715">
        <v>0.8</v>
      </c>
      <c r="F665" s="746"/>
      <c r="G665" s="297" t="s">
        <v>10980</v>
      </c>
      <c r="H665" s="10"/>
      <c r="I665" s="10"/>
      <c r="J665" s="10"/>
      <c r="K665" s="10"/>
      <c r="L665" s="10"/>
      <c r="M665" s="10"/>
      <c r="N665" s="10"/>
    </row>
    <row r="666">
      <c r="A666" s="5" t="s">
        <v>21306</v>
      </c>
      <c r="B666" s="199">
        <v>7699.0</v>
      </c>
      <c r="C666" s="297" t="s">
        <v>20580</v>
      </c>
      <c r="D666" s="715">
        <v>0.8</v>
      </c>
      <c r="E666" s="715">
        <v>0.8</v>
      </c>
      <c r="F666" s="746"/>
      <c r="G666" s="297" t="s">
        <v>10980</v>
      </c>
      <c r="H666" s="10"/>
      <c r="I666" s="10"/>
      <c r="J666" s="10"/>
      <c r="K666" s="10"/>
      <c r="L666" s="10"/>
      <c r="M666" s="10"/>
      <c r="N666" s="10"/>
    </row>
    <row r="667">
      <c r="A667" s="764" t="s">
        <v>21307</v>
      </c>
      <c r="B667" s="764">
        <v>7521.0</v>
      </c>
      <c r="C667" s="297" t="s">
        <v>20580</v>
      </c>
      <c r="D667" s="715">
        <v>0.8</v>
      </c>
      <c r="E667" s="715">
        <v>0.8</v>
      </c>
      <c r="F667" s="746"/>
      <c r="G667" s="297" t="s">
        <v>10980</v>
      </c>
      <c r="H667" s="10"/>
      <c r="I667" s="10"/>
      <c r="J667" s="10"/>
      <c r="K667" s="10"/>
      <c r="L667" s="10"/>
      <c r="M667" s="10"/>
      <c r="N667" s="10"/>
    </row>
    <row r="668">
      <c r="A668" s="5" t="s">
        <v>21308</v>
      </c>
      <c r="B668" s="199">
        <v>7647.0</v>
      </c>
      <c r="C668" s="297" t="s">
        <v>20580</v>
      </c>
      <c r="D668" s="715">
        <v>0.8</v>
      </c>
      <c r="E668" s="715">
        <v>0.8</v>
      </c>
      <c r="F668" s="746"/>
      <c r="G668" s="297" t="s">
        <v>10980</v>
      </c>
      <c r="H668" s="10"/>
      <c r="I668" s="10"/>
      <c r="J668" s="10"/>
      <c r="K668" s="10"/>
      <c r="L668" s="10"/>
      <c r="M668" s="10"/>
      <c r="N668" s="10"/>
    </row>
    <row r="669">
      <c r="A669" s="5" t="s">
        <v>21309</v>
      </c>
      <c r="B669" s="764">
        <v>7646.0</v>
      </c>
      <c r="C669" s="297" t="s">
        <v>20580</v>
      </c>
      <c r="D669" s="715">
        <v>0.8</v>
      </c>
      <c r="E669" s="715">
        <v>0.8</v>
      </c>
      <c r="F669" s="746"/>
      <c r="G669" s="297" t="s">
        <v>10980</v>
      </c>
      <c r="H669" s="10"/>
      <c r="I669" s="10"/>
      <c r="J669" s="10"/>
      <c r="K669" s="10"/>
      <c r="L669" s="10"/>
      <c r="M669" s="10"/>
      <c r="N669" s="10"/>
    </row>
    <row r="670">
      <c r="A670" s="5" t="s">
        <v>15357</v>
      </c>
      <c r="B670" s="199">
        <v>7866.0</v>
      </c>
      <c r="C670" s="297" t="s">
        <v>20580</v>
      </c>
      <c r="D670" s="715">
        <v>0.8</v>
      </c>
      <c r="E670" s="715">
        <v>0.8</v>
      </c>
      <c r="F670" s="746"/>
      <c r="G670" s="297" t="s">
        <v>10980</v>
      </c>
      <c r="H670" s="10"/>
      <c r="I670" s="10"/>
      <c r="J670" s="10"/>
      <c r="K670" s="10"/>
      <c r="L670" s="10"/>
      <c r="M670" s="10"/>
      <c r="N670" s="10"/>
    </row>
    <row r="671">
      <c r="A671" s="764" t="s">
        <v>21310</v>
      </c>
      <c r="B671" s="199">
        <v>7866.0</v>
      </c>
      <c r="C671" s="297" t="s">
        <v>20580</v>
      </c>
      <c r="D671" s="715">
        <v>0.8</v>
      </c>
      <c r="E671" s="715">
        <v>0.8</v>
      </c>
      <c r="F671" s="746"/>
      <c r="G671" s="297" t="s">
        <v>10980</v>
      </c>
      <c r="H671" s="10"/>
      <c r="I671" s="10"/>
      <c r="J671" s="10"/>
      <c r="K671" s="10"/>
      <c r="L671" s="10"/>
      <c r="M671" s="10"/>
      <c r="N671" s="10"/>
    </row>
    <row r="672">
      <c r="A672" s="765" t="s">
        <v>21311</v>
      </c>
      <c r="B672" s="483">
        <v>6924.0</v>
      </c>
      <c r="C672" s="297" t="s">
        <v>20580</v>
      </c>
      <c r="D672" s="723">
        <v>0.85</v>
      </c>
      <c r="E672" s="723">
        <v>0.85</v>
      </c>
      <c r="F672" s="746"/>
      <c r="G672" s="297" t="s">
        <v>10980</v>
      </c>
      <c r="H672" s="10"/>
      <c r="I672" s="10"/>
      <c r="J672" s="10"/>
      <c r="K672" s="10"/>
      <c r="L672" s="10"/>
      <c r="M672" s="10"/>
      <c r="N672" s="10"/>
    </row>
    <row r="673">
      <c r="A673" s="222" t="s">
        <v>21312</v>
      </c>
      <c r="B673" s="216">
        <v>9573.0</v>
      </c>
      <c r="C673" s="297" t="s">
        <v>20580</v>
      </c>
      <c r="D673" s="715">
        <v>0.8</v>
      </c>
      <c r="E673" s="715">
        <v>0.8</v>
      </c>
      <c r="F673" s="746"/>
      <c r="G673" s="297" t="s">
        <v>10980</v>
      </c>
      <c r="H673" s="10"/>
      <c r="I673" s="10"/>
      <c r="J673" s="10"/>
      <c r="K673" s="10"/>
      <c r="L673" s="10"/>
      <c r="M673" s="10"/>
      <c r="N673" s="10"/>
    </row>
    <row r="674">
      <c r="A674" s="222" t="s">
        <v>20901</v>
      </c>
      <c r="B674" s="216">
        <v>9569.0</v>
      </c>
      <c r="C674" s="297" t="s">
        <v>20580</v>
      </c>
      <c r="D674" s="715">
        <v>0.8</v>
      </c>
      <c r="E674" s="715">
        <v>0.8</v>
      </c>
      <c r="F674" s="746"/>
      <c r="G674" s="297" t="s">
        <v>10980</v>
      </c>
      <c r="H674" s="10"/>
      <c r="I674" s="10"/>
      <c r="J674" s="10"/>
      <c r="K674" s="10"/>
      <c r="L674" s="10"/>
      <c r="M674" s="10"/>
      <c r="N674" s="10"/>
    </row>
    <row r="675">
      <c r="A675" s="222" t="s">
        <v>21313</v>
      </c>
      <c r="B675" s="216">
        <v>8696.0</v>
      </c>
      <c r="C675" s="297" t="s">
        <v>20580</v>
      </c>
      <c r="D675" s="723">
        <v>0.85</v>
      </c>
      <c r="E675" s="723">
        <v>0.85</v>
      </c>
      <c r="F675" s="746"/>
      <c r="G675" s="297" t="s">
        <v>10980</v>
      </c>
      <c r="H675" s="10"/>
      <c r="I675" s="10"/>
      <c r="J675" s="10"/>
      <c r="K675" s="10"/>
      <c r="L675" s="10"/>
      <c r="M675" s="10"/>
      <c r="N675" s="10"/>
    </row>
    <row r="676">
      <c r="A676" s="222" t="s">
        <v>21314</v>
      </c>
      <c r="B676" s="764">
        <v>8623.0</v>
      </c>
      <c r="C676" s="297" t="s">
        <v>20580</v>
      </c>
      <c r="D676" s="723">
        <v>0.85</v>
      </c>
      <c r="E676" s="723">
        <v>0.85</v>
      </c>
      <c r="F676" s="746"/>
      <c r="G676" s="297" t="s">
        <v>10980</v>
      </c>
      <c r="H676" s="10"/>
      <c r="I676" s="10"/>
      <c r="J676" s="10"/>
      <c r="K676" s="10"/>
      <c r="L676" s="10"/>
      <c r="M676" s="10"/>
      <c r="N676" s="10"/>
    </row>
    <row r="677">
      <c r="A677" s="222" t="s">
        <v>21315</v>
      </c>
      <c r="B677" s="5">
        <v>9602.0</v>
      </c>
      <c r="C677" s="297" t="s">
        <v>20580</v>
      </c>
      <c r="D677" s="715">
        <v>0.8</v>
      </c>
      <c r="E677" s="715">
        <v>0.8</v>
      </c>
      <c r="F677" s="746"/>
      <c r="G677" s="297" t="s">
        <v>10980</v>
      </c>
      <c r="H677" s="10"/>
      <c r="I677" s="10"/>
      <c r="J677" s="10"/>
      <c r="K677" s="10"/>
      <c r="L677" s="10"/>
      <c r="M677" s="10"/>
      <c r="N677" s="10"/>
    </row>
    <row r="678">
      <c r="A678" s="222" t="s">
        <v>21316</v>
      </c>
      <c r="B678" s="764">
        <v>9596.0</v>
      </c>
      <c r="C678" s="297" t="s">
        <v>20580</v>
      </c>
      <c r="D678" s="715">
        <v>0.8</v>
      </c>
      <c r="E678" s="715">
        <v>0.8</v>
      </c>
      <c r="F678" s="746"/>
      <c r="G678" s="297" t="s">
        <v>10980</v>
      </c>
      <c r="H678" s="10"/>
      <c r="I678" s="10"/>
      <c r="J678" s="10"/>
      <c r="K678" s="10"/>
      <c r="L678" s="10"/>
      <c r="M678" s="10"/>
      <c r="N678" s="10"/>
    </row>
    <row r="679">
      <c r="A679" s="222" t="s">
        <v>21317</v>
      </c>
      <c r="B679" s="764">
        <v>9604.0</v>
      </c>
      <c r="C679" s="297" t="s">
        <v>20580</v>
      </c>
      <c r="D679" s="715">
        <v>0.8</v>
      </c>
      <c r="E679" s="715">
        <v>0.8</v>
      </c>
      <c r="F679" s="746"/>
      <c r="G679" s="297" t="s">
        <v>10980</v>
      </c>
      <c r="H679" s="10"/>
      <c r="I679" s="10"/>
      <c r="J679" s="10"/>
      <c r="K679" s="10"/>
      <c r="L679" s="10"/>
      <c r="M679" s="10"/>
      <c r="N679" s="10"/>
    </row>
    <row r="680">
      <c r="A680" s="222" t="s">
        <v>21318</v>
      </c>
      <c r="B680" s="764">
        <v>9544.0</v>
      </c>
      <c r="C680" s="297" t="s">
        <v>20580</v>
      </c>
      <c r="D680" s="715">
        <v>0.8</v>
      </c>
      <c r="E680" s="715">
        <v>0.8</v>
      </c>
      <c r="F680" s="746"/>
      <c r="G680" s="297" t="s">
        <v>10980</v>
      </c>
      <c r="H680" s="10"/>
      <c r="I680" s="10"/>
      <c r="J680" s="10"/>
      <c r="K680" s="10"/>
      <c r="L680" s="10"/>
      <c r="M680" s="10"/>
      <c r="N680" s="10"/>
    </row>
    <row r="681">
      <c r="A681" s="222" t="s">
        <v>21319</v>
      </c>
      <c r="B681" s="764">
        <v>9605.0</v>
      </c>
      <c r="C681" s="297" t="s">
        <v>20580</v>
      </c>
      <c r="D681" s="715">
        <v>0.8</v>
      </c>
      <c r="E681" s="715">
        <v>0.8</v>
      </c>
      <c r="F681" s="746"/>
      <c r="G681" s="297" t="s">
        <v>10980</v>
      </c>
      <c r="H681" s="10"/>
      <c r="I681" s="10"/>
      <c r="J681" s="10"/>
      <c r="K681" s="10"/>
      <c r="L681" s="10"/>
      <c r="M681" s="10"/>
      <c r="N681" s="10"/>
    </row>
    <row r="682">
      <c r="A682" s="222" t="s">
        <v>21320</v>
      </c>
      <c r="B682" s="764">
        <v>9812.0</v>
      </c>
      <c r="C682" s="297" t="s">
        <v>20580</v>
      </c>
      <c r="D682" s="715">
        <v>0.8</v>
      </c>
      <c r="E682" s="715">
        <v>0.8</v>
      </c>
      <c r="F682" s="746"/>
      <c r="G682" s="297" t="s">
        <v>10980</v>
      </c>
      <c r="H682" s="10"/>
      <c r="I682" s="10"/>
      <c r="J682" s="10"/>
      <c r="K682" s="10"/>
      <c r="L682" s="10"/>
      <c r="M682" s="10"/>
      <c r="N682" s="10"/>
    </row>
    <row r="683">
      <c r="A683" s="222" t="s">
        <v>21321</v>
      </c>
      <c r="B683" s="764">
        <v>9667.0</v>
      </c>
      <c r="C683" s="297" t="s">
        <v>20580</v>
      </c>
      <c r="D683" s="715">
        <v>0.8</v>
      </c>
      <c r="E683" s="715">
        <v>0.8</v>
      </c>
      <c r="F683" s="746"/>
      <c r="G683" s="297" t="s">
        <v>10980</v>
      </c>
      <c r="H683" s="10"/>
      <c r="I683" s="10"/>
      <c r="J683" s="10"/>
      <c r="K683" s="10"/>
      <c r="L683" s="10"/>
      <c r="M683" s="10"/>
      <c r="N683" s="10"/>
    </row>
    <row r="684">
      <c r="A684" s="5" t="s">
        <v>21322</v>
      </c>
      <c r="B684" s="764">
        <v>7543.0</v>
      </c>
      <c r="C684" s="297" t="s">
        <v>20580</v>
      </c>
      <c r="D684" s="715">
        <v>0.8</v>
      </c>
      <c r="E684" s="715">
        <v>0.8</v>
      </c>
      <c r="F684" s="746"/>
      <c r="G684" s="297" t="s">
        <v>10980</v>
      </c>
      <c r="H684" s="10"/>
      <c r="I684" s="10"/>
      <c r="J684" s="10"/>
      <c r="K684" s="10"/>
      <c r="L684" s="10"/>
      <c r="M684" s="10"/>
      <c r="N684" s="10"/>
    </row>
    <row r="685">
      <c r="A685" s="5" t="s">
        <v>21323</v>
      </c>
      <c r="B685" s="764">
        <v>9825.0</v>
      </c>
      <c r="C685" s="297" t="s">
        <v>20580</v>
      </c>
      <c r="D685" s="715">
        <v>0.8</v>
      </c>
      <c r="E685" s="715">
        <v>0.8</v>
      </c>
      <c r="F685" s="746"/>
      <c r="G685" s="297" t="s">
        <v>10980</v>
      </c>
      <c r="H685" s="10"/>
      <c r="I685" s="10"/>
      <c r="J685" s="10"/>
      <c r="K685" s="10"/>
      <c r="L685" s="10"/>
      <c r="M685" s="10"/>
      <c r="N685" s="10"/>
    </row>
    <row r="686">
      <c r="A686" s="222" t="s">
        <v>21324</v>
      </c>
      <c r="B686" s="764">
        <v>9663.0</v>
      </c>
      <c r="C686" s="297" t="s">
        <v>20580</v>
      </c>
      <c r="D686" s="715">
        <v>0.8</v>
      </c>
      <c r="E686" s="715">
        <v>0.8</v>
      </c>
      <c r="F686" s="746"/>
      <c r="G686" s="297" t="s">
        <v>10980</v>
      </c>
      <c r="H686" s="10"/>
      <c r="I686" s="10"/>
      <c r="J686" s="10"/>
      <c r="K686" s="10"/>
      <c r="L686" s="10"/>
      <c r="M686" s="10"/>
      <c r="N686" s="10"/>
    </row>
    <row r="687">
      <c r="A687" s="764" t="s">
        <v>21325</v>
      </c>
      <c r="B687" s="764">
        <v>10861.0</v>
      </c>
      <c r="C687" s="297" t="s">
        <v>20580</v>
      </c>
      <c r="D687" s="715">
        <v>0.8</v>
      </c>
      <c r="E687" s="715">
        <v>0.8</v>
      </c>
      <c r="F687" s="746"/>
      <c r="G687" s="297" t="s">
        <v>10980</v>
      </c>
      <c r="H687" s="10"/>
      <c r="I687" s="10"/>
      <c r="J687" s="10"/>
      <c r="K687" s="10"/>
      <c r="L687" s="10"/>
      <c r="M687" s="10"/>
      <c r="N687" s="10"/>
    </row>
    <row r="688">
      <c r="A688" s="764" t="s">
        <v>21326</v>
      </c>
      <c r="B688" s="764">
        <v>11768.0</v>
      </c>
      <c r="C688" s="297" t="s">
        <v>20580</v>
      </c>
      <c r="D688" s="715">
        <v>0.8</v>
      </c>
      <c r="E688" s="715">
        <v>0.8</v>
      </c>
      <c r="F688" s="746"/>
      <c r="G688" s="297" t="s">
        <v>10980</v>
      </c>
      <c r="H688" s="10"/>
      <c r="I688" s="10"/>
      <c r="J688" s="10"/>
      <c r="K688" s="10"/>
      <c r="L688" s="10"/>
      <c r="M688" s="10"/>
      <c r="N688" s="10"/>
    </row>
    <row r="689">
      <c r="A689" s="764" t="s">
        <v>21327</v>
      </c>
      <c r="B689" s="764">
        <v>12259.0</v>
      </c>
      <c r="C689" s="297" t="s">
        <v>20580</v>
      </c>
      <c r="D689" s="715">
        <v>0.8</v>
      </c>
      <c r="E689" s="715">
        <v>0.8</v>
      </c>
      <c r="F689" s="746"/>
      <c r="G689" s="297" t="s">
        <v>10980</v>
      </c>
      <c r="H689" s="10"/>
      <c r="I689" s="10"/>
      <c r="J689" s="10"/>
      <c r="K689" s="10"/>
      <c r="L689" s="10"/>
      <c r="M689" s="10"/>
      <c r="N689" s="10"/>
    </row>
    <row r="690">
      <c r="A690" s="764" t="s">
        <v>21328</v>
      </c>
      <c r="B690" s="764">
        <v>12163.0</v>
      </c>
      <c r="C690" s="297" t="s">
        <v>20580</v>
      </c>
      <c r="D690" s="715">
        <v>0.8</v>
      </c>
      <c r="E690" s="715">
        <v>0.8</v>
      </c>
      <c r="F690" s="746"/>
      <c r="G690" s="297" t="s">
        <v>10980</v>
      </c>
      <c r="H690" s="10"/>
      <c r="I690" s="10"/>
      <c r="J690" s="10"/>
      <c r="K690" s="10"/>
      <c r="L690" s="10"/>
      <c r="M690" s="10"/>
      <c r="N690" s="10"/>
    </row>
    <row r="691">
      <c r="A691" s="764" t="s">
        <v>21329</v>
      </c>
      <c r="B691" s="764">
        <v>12015.0</v>
      </c>
      <c r="C691" s="297" t="s">
        <v>20580</v>
      </c>
      <c r="D691" s="715">
        <v>0.8</v>
      </c>
      <c r="E691" s="715">
        <v>0.8</v>
      </c>
      <c r="F691" s="746"/>
      <c r="G691" s="297" t="s">
        <v>10980</v>
      </c>
      <c r="H691" s="10"/>
      <c r="I691" s="10"/>
      <c r="J691" s="10"/>
      <c r="K691" s="10"/>
      <c r="L691" s="10"/>
      <c r="M691" s="10"/>
      <c r="N691" s="10"/>
    </row>
    <row r="692">
      <c r="A692" s="764" t="s">
        <v>21330</v>
      </c>
      <c r="B692" s="764">
        <v>12221.0</v>
      </c>
      <c r="C692" s="297" t="s">
        <v>20580</v>
      </c>
      <c r="D692" s="715">
        <v>0.8</v>
      </c>
      <c r="E692" s="715">
        <v>0.8</v>
      </c>
      <c r="F692" s="746"/>
      <c r="G692" s="297" t="s">
        <v>10980</v>
      </c>
      <c r="H692" s="10"/>
      <c r="I692" s="10"/>
      <c r="J692" s="10"/>
      <c r="K692" s="10"/>
      <c r="L692" s="10"/>
      <c r="M692" s="10"/>
      <c r="N692" s="10"/>
    </row>
    <row r="693">
      <c r="A693" s="764" t="s">
        <v>21331</v>
      </c>
      <c r="B693" s="764">
        <v>12575.0</v>
      </c>
      <c r="C693" s="297" t="s">
        <v>20580</v>
      </c>
      <c r="D693" s="715">
        <v>0.8</v>
      </c>
      <c r="E693" s="715">
        <v>0.8</v>
      </c>
      <c r="F693" s="746"/>
      <c r="G693" s="297" t="s">
        <v>10980</v>
      </c>
      <c r="H693" s="10"/>
      <c r="I693" s="10"/>
      <c r="J693" s="10"/>
      <c r="K693" s="10"/>
      <c r="L693" s="10"/>
      <c r="M693" s="10"/>
      <c r="N693" s="10"/>
    </row>
    <row r="694">
      <c r="A694" s="764" t="s">
        <v>21332</v>
      </c>
      <c r="B694" s="764">
        <v>13073.0</v>
      </c>
      <c r="C694" s="297" t="s">
        <v>20580</v>
      </c>
      <c r="D694" s="715">
        <v>0.8</v>
      </c>
      <c r="E694" s="715">
        <v>0.8</v>
      </c>
      <c r="F694" s="746"/>
      <c r="G694" s="297" t="s">
        <v>10980</v>
      </c>
      <c r="H694" s="10"/>
      <c r="I694" s="10"/>
      <c r="J694" s="10"/>
      <c r="K694" s="10"/>
      <c r="L694" s="10"/>
      <c r="M694" s="10"/>
      <c r="N694" s="10"/>
    </row>
    <row r="695">
      <c r="A695" s="764" t="s">
        <v>21333</v>
      </c>
      <c r="B695" s="764">
        <v>13296.0</v>
      </c>
      <c r="C695" s="297" t="s">
        <v>20580</v>
      </c>
      <c r="D695" s="715">
        <v>0.8</v>
      </c>
      <c r="E695" s="715">
        <v>0.8</v>
      </c>
      <c r="F695" s="746"/>
      <c r="G695" s="297" t="s">
        <v>10980</v>
      </c>
      <c r="H695" s="10"/>
      <c r="I695" s="10"/>
      <c r="J695" s="10"/>
      <c r="K695" s="10"/>
      <c r="L695" s="10"/>
      <c r="M695" s="10"/>
      <c r="N695" s="10"/>
    </row>
    <row r="696">
      <c r="A696" s="764" t="s">
        <v>21334</v>
      </c>
      <c r="B696" s="764">
        <v>9814.0</v>
      </c>
      <c r="C696" s="297" t="s">
        <v>20580</v>
      </c>
      <c r="D696" s="715">
        <v>0.8</v>
      </c>
      <c r="E696" s="715">
        <v>0.8</v>
      </c>
      <c r="F696" s="746"/>
      <c r="G696" s="297" t="s">
        <v>10980</v>
      </c>
      <c r="H696" s="10"/>
      <c r="I696" s="10"/>
      <c r="J696" s="10"/>
      <c r="K696" s="10"/>
      <c r="L696" s="10"/>
      <c r="M696" s="10"/>
      <c r="N696" s="10"/>
    </row>
    <row r="697">
      <c r="A697" s="764" t="s">
        <v>21335</v>
      </c>
      <c r="B697" s="764">
        <v>12277.0</v>
      </c>
      <c r="C697" s="297" t="s">
        <v>20580</v>
      </c>
      <c r="D697" s="715">
        <v>0.8</v>
      </c>
      <c r="E697" s="715">
        <v>0.8</v>
      </c>
      <c r="F697" s="746"/>
      <c r="G697" s="297" t="s">
        <v>10980</v>
      </c>
      <c r="H697" s="10"/>
      <c r="I697" s="10"/>
      <c r="J697" s="10"/>
      <c r="K697" s="10"/>
      <c r="L697" s="10"/>
      <c r="M697" s="10"/>
      <c r="N697" s="10"/>
    </row>
    <row r="698">
      <c r="A698" s="5" t="s">
        <v>21336</v>
      </c>
      <c r="B698" s="764">
        <v>12572.0</v>
      </c>
      <c r="C698" s="297" t="s">
        <v>20580</v>
      </c>
      <c r="D698" s="715">
        <v>0.8</v>
      </c>
      <c r="E698" s="715">
        <v>0.8</v>
      </c>
      <c r="F698" s="746"/>
      <c r="G698" s="297" t="s">
        <v>10980</v>
      </c>
      <c r="H698" s="10"/>
      <c r="I698" s="10"/>
      <c r="J698" s="10"/>
      <c r="K698" s="10"/>
      <c r="L698" s="10"/>
      <c r="M698" s="10"/>
      <c r="N698" s="10"/>
    </row>
    <row r="699">
      <c r="A699" s="5" t="s">
        <v>21337</v>
      </c>
      <c r="B699" s="764">
        <v>9586.0</v>
      </c>
      <c r="C699" s="297" t="s">
        <v>20580</v>
      </c>
      <c r="D699" s="715">
        <v>0.8</v>
      </c>
      <c r="E699" s="715">
        <v>0.8</v>
      </c>
      <c r="F699" s="746"/>
      <c r="G699" s="297" t="s">
        <v>10980</v>
      </c>
      <c r="H699" s="10"/>
      <c r="I699" s="10"/>
      <c r="J699" s="10"/>
      <c r="K699" s="10"/>
      <c r="L699" s="10"/>
      <c r="M699" s="10"/>
      <c r="N699" s="10"/>
    </row>
    <row r="700">
      <c r="A700" s="5" t="s">
        <v>21338</v>
      </c>
      <c r="B700" s="764">
        <v>12299.0</v>
      </c>
      <c r="C700" s="297" t="s">
        <v>20580</v>
      </c>
      <c r="D700" s="715">
        <v>0.8</v>
      </c>
      <c r="E700" s="715">
        <v>0.8</v>
      </c>
      <c r="F700" s="746"/>
      <c r="G700" s="297" t="s">
        <v>10980</v>
      </c>
      <c r="H700" s="10"/>
      <c r="I700" s="10"/>
      <c r="J700" s="10"/>
      <c r="K700" s="10"/>
      <c r="L700" s="10"/>
      <c r="M700" s="10"/>
      <c r="N700" s="10"/>
    </row>
    <row r="701">
      <c r="A701" s="5" t="s">
        <v>21339</v>
      </c>
      <c r="B701" s="764">
        <v>13895.0</v>
      </c>
      <c r="C701" s="297" t="s">
        <v>20580</v>
      </c>
      <c r="D701" s="715">
        <v>0.8</v>
      </c>
      <c r="E701" s="715">
        <v>0.8</v>
      </c>
      <c r="F701" s="746"/>
      <c r="G701" s="297" t="s">
        <v>10980</v>
      </c>
      <c r="H701" s="10"/>
      <c r="I701" s="10"/>
      <c r="J701" s="10"/>
      <c r="K701" s="10"/>
      <c r="L701" s="10"/>
      <c r="M701" s="10"/>
      <c r="N701" s="10"/>
    </row>
    <row r="702">
      <c r="A702" s="5" t="s">
        <v>21340</v>
      </c>
      <c r="B702" s="764">
        <v>12573.0</v>
      </c>
      <c r="C702" s="297" t="s">
        <v>20580</v>
      </c>
      <c r="D702" s="715">
        <v>0.8</v>
      </c>
      <c r="E702" s="715">
        <v>0.8</v>
      </c>
      <c r="F702" s="746"/>
      <c r="G702" s="297" t="s">
        <v>10980</v>
      </c>
      <c r="H702" s="10"/>
      <c r="I702" s="10"/>
      <c r="J702" s="10"/>
      <c r="K702" s="10"/>
      <c r="L702" s="10"/>
      <c r="M702" s="10"/>
      <c r="N702" s="10"/>
    </row>
    <row r="703">
      <c r="A703" s="5" t="s">
        <v>21341</v>
      </c>
      <c r="B703" s="5">
        <v>13811.0</v>
      </c>
      <c r="C703" s="297" t="s">
        <v>20580</v>
      </c>
      <c r="D703" s="715">
        <v>0.8</v>
      </c>
      <c r="E703" s="715">
        <v>0.8</v>
      </c>
      <c r="F703" s="746"/>
      <c r="G703" s="297" t="s">
        <v>10980</v>
      </c>
      <c r="H703" s="10"/>
      <c r="I703" s="10"/>
      <c r="J703" s="10"/>
      <c r="K703" s="10"/>
      <c r="L703" s="10"/>
      <c r="M703" s="10"/>
      <c r="N703" s="10"/>
    </row>
    <row r="704">
      <c r="A704" s="5" t="s">
        <v>21342</v>
      </c>
      <c r="B704" s="5">
        <v>12611.0</v>
      </c>
      <c r="C704" s="297" t="s">
        <v>20580</v>
      </c>
      <c r="D704" s="715">
        <v>0.8</v>
      </c>
      <c r="E704" s="715">
        <v>0.8</v>
      </c>
      <c r="F704" s="746"/>
      <c r="G704" s="297" t="s">
        <v>10980</v>
      </c>
      <c r="H704" s="10"/>
      <c r="I704" s="10"/>
      <c r="J704" s="10"/>
      <c r="K704" s="10"/>
      <c r="L704" s="10"/>
      <c r="M704" s="10"/>
      <c r="N704" s="10"/>
    </row>
    <row r="705">
      <c r="A705" s="766" t="s">
        <v>5427</v>
      </c>
      <c r="B705" s="5"/>
      <c r="C705" s="297" t="s">
        <v>20580</v>
      </c>
      <c r="D705" s="715">
        <v>0.8</v>
      </c>
      <c r="E705" s="715">
        <v>0.8</v>
      </c>
      <c r="F705" s="746"/>
      <c r="G705" s="297" t="s">
        <v>10980</v>
      </c>
      <c r="H705" s="10"/>
      <c r="I705" s="10"/>
      <c r="J705" s="10"/>
      <c r="K705" s="10"/>
      <c r="L705" s="10"/>
      <c r="M705" s="10"/>
      <c r="N705" s="10"/>
    </row>
    <row r="706">
      <c r="A706" s="764" t="s">
        <v>21343</v>
      </c>
      <c r="B706" s="5">
        <v>13320.0</v>
      </c>
      <c r="C706" s="297" t="s">
        <v>20580</v>
      </c>
      <c r="D706" s="715">
        <v>0.8</v>
      </c>
      <c r="E706" s="715">
        <v>0.8</v>
      </c>
      <c r="F706" s="746"/>
      <c r="G706" s="297" t="s">
        <v>10980</v>
      </c>
      <c r="H706" s="10"/>
      <c r="I706" s="10"/>
      <c r="J706" s="10"/>
      <c r="K706" s="10"/>
      <c r="L706" s="10"/>
      <c r="M706" s="10"/>
      <c r="N706" s="10"/>
    </row>
    <row r="707">
      <c r="A707" s="764" t="s">
        <v>21344</v>
      </c>
      <c r="B707" s="764">
        <v>14076.0</v>
      </c>
      <c r="C707" s="297" t="s">
        <v>20580</v>
      </c>
      <c r="D707" s="715">
        <v>0.8</v>
      </c>
      <c r="E707" s="715">
        <v>0.8</v>
      </c>
      <c r="F707" s="746"/>
      <c r="G707" s="297" t="s">
        <v>10980</v>
      </c>
      <c r="H707" s="10"/>
      <c r="I707" s="10"/>
      <c r="J707" s="10"/>
      <c r="K707" s="10"/>
      <c r="L707" s="10"/>
      <c r="M707" s="10"/>
      <c r="N707" s="10"/>
    </row>
    <row r="708">
      <c r="A708" s="764" t="s">
        <v>6295</v>
      </c>
      <c r="B708" s="5"/>
      <c r="C708" s="297" t="s">
        <v>20580</v>
      </c>
      <c r="D708" s="715">
        <v>0.8</v>
      </c>
      <c r="E708" s="715">
        <v>0.8</v>
      </c>
      <c r="F708" s="746"/>
      <c r="G708" s="297" t="s">
        <v>10980</v>
      </c>
      <c r="H708" s="10"/>
      <c r="I708" s="10"/>
      <c r="J708" s="10"/>
      <c r="K708" s="10"/>
      <c r="L708" s="10"/>
      <c r="M708" s="10"/>
      <c r="N708" s="10"/>
    </row>
    <row r="709">
      <c r="A709" s="764" t="s">
        <v>21345</v>
      </c>
      <c r="B709" s="5"/>
      <c r="C709" s="297" t="s">
        <v>20580</v>
      </c>
      <c r="D709" s="715">
        <v>0.8</v>
      </c>
      <c r="E709" s="715">
        <v>0.8</v>
      </c>
      <c r="F709" s="746"/>
      <c r="G709" s="297" t="s">
        <v>10980</v>
      </c>
      <c r="H709" s="10"/>
      <c r="I709" s="10"/>
      <c r="J709" s="10"/>
      <c r="K709" s="10"/>
      <c r="L709" s="10"/>
      <c r="M709" s="10"/>
      <c r="N709" s="10"/>
    </row>
    <row r="710">
      <c r="A710" s="764" t="s">
        <v>21346</v>
      </c>
      <c r="B710" s="5">
        <v>13999.0</v>
      </c>
      <c r="C710" s="297" t="s">
        <v>20580</v>
      </c>
      <c r="D710" s="715">
        <v>0.8</v>
      </c>
      <c r="E710" s="715">
        <v>0.8</v>
      </c>
      <c r="F710" s="746"/>
      <c r="G710" s="297" t="s">
        <v>10980</v>
      </c>
      <c r="H710" s="10"/>
      <c r="I710" s="10"/>
      <c r="J710" s="10"/>
      <c r="K710" s="10"/>
      <c r="L710" s="10"/>
      <c r="M710" s="10"/>
      <c r="N710" s="10"/>
    </row>
    <row r="711">
      <c r="A711" s="767" t="s">
        <v>21347</v>
      </c>
      <c r="B711" s="114">
        <v>14605.0</v>
      </c>
      <c r="C711" s="297" t="s">
        <v>20580</v>
      </c>
      <c r="D711" s="715">
        <v>0.8</v>
      </c>
      <c r="E711" s="715">
        <v>0.8</v>
      </c>
      <c r="F711" s="746"/>
      <c r="G711" s="297" t="s">
        <v>10980</v>
      </c>
      <c r="H711" s="10"/>
      <c r="I711" s="10"/>
      <c r="J711" s="10"/>
      <c r="K711" s="10"/>
      <c r="L711" s="10"/>
      <c r="M711" s="10"/>
      <c r="N711" s="10"/>
    </row>
    <row r="712">
      <c r="A712" s="764" t="s">
        <v>21348</v>
      </c>
      <c r="B712" s="17">
        <v>14641.0</v>
      </c>
      <c r="C712" s="297" t="s">
        <v>20580</v>
      </c>
      <c r="D712" s="715">
        <v>0.8</v>
      </c>
      <c r="E712" s="715">
        <v>0.8</v>
      </c>
      <c r="F712" s="746"/>
      <c r="G712" s="297" t="s">
        <v>10980</v>
      </c>
      <c r="H712" s="10"/>
      <c r="I712" s="10"/>
      <c r="J712" s="10"/>
      <c r="K712" s="10"/>
      <c r="L712" s="10"/>
      <c r="M712" s="10"/>
      <c r="N712" s="10"/>
    </row>
    <row r="713">
      <c r="A713" s="764" t="s">
        <v>21349</v>
      </c>
      <c r="B713" s="16">
        <v>14738.0</v>
      </c>
      <c r="C713" s="297" t="s">
        <v>20580</v>
      </c>
      <c r="D713" s="715">
        <v>0.8</v>
      </c>
      <c r="E713" s="715">
        <v>0.8</v>
      </c>
      <c r="F713" s="746"/>
      <c r="G713" s="297" t="s">
        <v>10980</v>
      </c>
      <c r="H713" s="10"/>
      <c r="I713" s="10"/>
      <c r="J713" s="10"/>
      <c r="K713" s="10"/>
      <c r="L713" s="10"/>
      <c r="M713" s="10"/>
      <c r="N713" s="10"/>
    </row>
    <row r="714">
      <c r="A714" s="764" t="s">
        <v>21350</v>
      </c>
      <c r="B714" s="17">
        <v>14661.0</v>
      </c>
      <c r="C714" s="297" t="s">
        <v>20580</v>
      </c>
      <c r="D714" s="715">
        <v>0.8</v>
      </c>
      <c r="E714" s="715">
        <v>0.8</v>
      </c>
      <c r="F714" s="746"/>
      <c r="G714" s="297" t="s">
        <v>10980</v>
      </c>
      <c r="H714" s="10"/>
      <c r="I714" s="10"/>
      <c r="J714" s="10"/>
      <c r="K714" s="10"/>
      <c r="L714" s="10"/>
      <c r="M714" s="10"/>
      <c r="N714" s="10"/>
    </row>
    <row r="715">
      <c r="A715" s="764" t="s">
        <v>21351</v>
      </c>
      <c r="B715" s="17">
        <v>14609.0</v>
      </c>
      <c r="C715" s="297" t="s">
        <v>20580</v>
      </c>
      <c r="D715" s="715">
        <v>0.8</v>
      </c>
      <c r="E715" s="715">
        <v>0.8</v>
      </c>
      <c r="F715" s="746"/>
      <c r="G715" s="297" t="s">
        <v>10980</v>
      </c>
      <c r="H715" s="10"/>
      <c r="I715" s="10"/>
      <c r="J715" s="10"/>
      <c r="K715" s="10"/>
      <c r="L715" s="10"/>
      <c r="M715" s="10"/>
      <c r="N715" s="10"/>
    </row>
    <row r="716">
      <c r="A716" s="764" t="s">
        <v>21352</v>
      </c>
      <c r="B716" s="17">
        <v>14636.0</v>
      </c>
      <c r="C716" s="297" t="s">
        <v>20580</v>
      </c>
      <c r="D716" s="715">
        <v>0.8</v>
      </c>
      <c r="E716" s="715">
        <v>0.8</v>
      </c>
      <c r="F716" s="746"/>
      <c r="G716" s="297" t="s">
        <v>10980</v>
      </c>
      <c r="H716" s="10"/>
      <c r="I716" s="10"/>
      <c r="J716" s="10"/>
      <c r="K716" s="10"/>
      <c r="L716" s="10"/>
      <c r="M716" s="10"/>
      <c r="N716" s="10"/>
    </row>
    <row r="717">
      <c r="A717" s="764" t="s">
        <v>21353</v>
      </c>
      <c r="B717" s="17">
        <v>14615.0</v>
      </c>
      <c r="C717" s="297" t="s">
        <v>20580</v>
      </c>
      <c r="D717" s="715">
        <v>0.8</v>
      </c>
      <c r="E717" s="715">
        <v>0.8</v>
      </c>
      <c r="F717" s="746"/>
      <c r="G717" s="297" t="s">
        <v>10980</v>
      </c>
      <c r="H717" s="10"/>
      <c r="I717" s="10"/>
      <c r="J717" s="10"/>
      <c r="K717" s="10"/>
      <c r="L717" s="10"/>
      <c r="M717" s="10"/>
      <c r="N717" s="10"/>
    </row>
    <row r="718">
      <c r="A718" s="764" t="s">
        <v>21354</v>
      </c>
      <c r="B718" s="17">
        <v>14625.0</v>
      </c>
      <c r="C718" s="297" t="s">
        <v>20580</v>
      </c>
      <c r="D718" s="715">
        <v>0.8</v>
      </c>
      <c r="E718" s="715">
        <v>0.8</v>
      </c>
      <c r="F718" s="746"/>
      <c r="G718" s="297" t="s">
        <v>10980</v>
      </c>
      <c r="H718" s="10"/>
      <c r="I718" s="10"/>
      <c r="J718" s="10"/>
      <c r="K718" s="10"/>
      <c r="L718" s="10"/>
      <c r="M718" s="10"/>
      <c r="N718" s="10"/>
    </row>
    <row r="719">
      <c r="A719" s="764" t="s">
        <v>21355</v>
      </c>
      <c r="B719" s="17">
        <v>14649.0</v>
      </c>
      <c r="C719" s="297" t="s">
        <v>20580</v>
      </c>
      <c r="D719" s="715">
        <v>0.8</v>
      </c>
      <c r="E719" s="715">
        <v>0.8</v>
      </c>
      <c r="F719" s="746"/>
      <c r="G719" s="297" t="s">
        <v>10980</v>
      </c>
      <c r="H719" s="10"/>
      <c r="I719" s="10"/>
      <c r="J719" s="10"/>
      <c r="K719" s="10"/>
      <c r="L719" s="10"/>
      <c r="M719" s="10"/>
      <c r="N719" s="10"/>
    </row>
    <row r="720">
      <c r="A720" s="764" t="s">
        <v>21356</v>
      </c>
      <c r="B720" s="17">
        <v>14631.0</v>
      </c>
      <c r="C720" s="297" t="s">
        <v>20580</v>
      </c>
      <c r="D720" s="715">
        <v>0.8</v>
      </c>
      <c r="E720" s="715">
        <v>0.8</v>
      </c>
      <c r="F720" s="746"/>
      <c r="G720" s="297" t="s">
        <v>10980</v>
      </c>
      <c r="H720" s="10"/>
      <c r="I720" s="10"/>
      <c r="J720" s="10"/>
      <c r="K720" s="10"/>
      <c r="L720" s="10"/>
      <c r="M720" s="10"/>
      <c r="N720" s="10"/>
    </row>
    <row r="721">
      <c r="A721" s="764" t="s">
        <v>21357</v>
      </c>
      <c r="B721" s="17">
        <v>14608.0</v>
      </c>
      <c r="C721" s="297" t="s">
        <v>20580</v>
      </c>
      <c r="D721" s="715">
        <v>0.8</v>
      </c>
      <c r="E721" s="715">
        <v>0.8</v>
      </c>
      <c r="F721" s="746"/>
      <c r="G721" s="297" t="s">
        <v>10980</v>
      </c>
      <c r="H721" s="10"/>
      <c r="I721" s="10"/>
      <c r="J721" s="10"/>
      <c r="K721" s="10"/>
      <c r="L721" s="10"/>
      <c r="M721" s="10"/>
      <c r="N721" s="10"/>
    </row>
    <row r="722">
      <c r="A722" s="764" t="s">
        <v>21358</v>
      </c>
      <c r="B722" s="5">
        <v>14079.0</v>
      </c>
      <c r="C722" s="297" t="s">
        <v>20580</v>
      </c>
      <c r="D722" s="715">
        <v>0.8</v>
      </c>
      <c r="E722" s="715">
        <v>0.8</v>
      </c>
      <c r="F722" s="746"/>
      <c r="G722" s="297" t="s">
        <v>10980</v>
      </c>
      <c r="H722" s="10"/>
      <c r="I722" s="10"/>
      <c r="J722" s="10"/>
      <c r="K722" s="10"/>
      <c r="L722" s="10"/>
      <c r="M722" s="10"/>
      <c r="N722" s="10"/>
    </row>
    <row r="723">
      <c r="A723" s="764" t="s">
        <v>21359</v>
      </c>
      <c r="B723" s="17">
        <v>14632.0</v>
      </c>
      <c r="C723" s="297" t="s">
        <v>20580</v>
      </c>
      <c r="D723" s="715">
        <v>0.8</v>
      </c>
      <c r="E723" s="715">
        <v>0.8</v>
      </c>
      <c r="F723" s="746"/>
      <c r="G723" s="297" t="s">
        <v>10980</v>
      </c>
      <c r="H723" s="10"/>
      <c r="I723" s="10"/>
      <c r="J723" s="10"/>
      <c r="K723" s="10"/>
      <c r="L723" s="10"/>
      <c r="M723" s="10"/>
      <c r="N723" s="10"/>
    </row>
    <row r="724">
      <c r="A724" s="764" t="s">
        <v>21360</v>
      </c>
      <c r="B724" s="17">
        <v>14623.0</v>
      </c>
      <c r="C724" s="297" t="s">
        <v>20580</v>
      </c>
      <c r="D724" s="715">
        <v>0.8</v>
      </c>
      <c r="E724" s="715">
        <v>0.8</v>
      </c>
      <c r="F724" s="746"/>
      <c r="G724" s="297" t="s">
        <v>10980</v>
      </c>
      <c r="H724" s="10"/>
      <c r="I724" s="10"/>
      <c r="J724" s="10"/>
      <c r="K724" s="10"/>
      <c r="L724" s="10"/>
      <c r="M724" s="10"/>
      <c r="N724" s="10"/>
    </row>
    <row r="725">
      <c r="A725" s="768" t="s">
        <v>21361</v>
      </c>
      <c r="B725" s="297">
        <v>14564.0</v>
      </c>
      <c r="C725" s="297" t="s">
        <v>20580</v>
      </c>
      <c r="D725" s="715">
        <v>0.8</v>
      </c>
      <c r="E725" s="715">
        <v>0.8</v>
      </c>
      <c r="F725" s="746"/>
      <c r="G725" s="10"/>
      <c r="H725" s="10"/>
      <c r="I725" s="10"/>
      <c r="J725" s="10"/>
      <c r="K725" s="10"/>
      <c r="L725" s="10"/>
      <c r="M725" s="10"/>
      <c r="N725" s="10"/>
    </row>
    <row r="726">
      <c r="A726" s="297" t="s">
        <v>220</v>
      </c>
      <c r="B726" s="297">
        <v>14663.0</v>
      </c>
      <c r="C726" s="297" t="s">
        <v>20580</v>
      </c>
      <c r="D726" s="715">
        <v>0.8</v>
      </c>
      <c r="E726" s="715">
        <v>0.8</v>
      </c>
      <c r="F726" s="746"/>
      <c r="G726" s="10"/>
      <c r="H726" s="10"/>
      <c r="I726" s="10"/>
      <c r="J726" s="10"/>
      <c r="K726" s="10"/>
      <c r="L726" s="10"/>
      <c r="M726" s="10"/>
      <c r="N726" s="10"/>
    </row>
    <row r="727">
      <c r="A727" s="297" t="s">
        <v>503</v>
      </c>
      <c r="B727" s="297">
        <v>14727.0</v>
      </c>
      <c r="C727" s="297" t="s">
        <v>20580</v>
      </c>
      <c r="D727" s="715">
        <v>0.8</v>
      </c>
      <c r="E727" s="715">
        <v>0.8</v>
      </c>
      <c r="F727" s="746"/>
      <c r="G727" s="10"/>
      <c r="H727" s="10"/>
      <c r="I727" s="10"/>
      <c r="J727" s="10"/>
      <c r="K727" s="10"/>
      <c r="L727" s="10"/>
      <c r="M727" s="10"/>
      <c r="N727" s="10"/>
    </row>
  </sheetData>
  <customSheetViews>
    <customSheetView guid="{9968795E-3BFB-485F-960E-5F37103E47A5}" filter="1" showAutoFilter="1">
      <autoFilter ref="$A$1:$B$285"/>
    </customSheetView>
    <customSheetView guid="{4BC5D1F8-6AB7-4253-A826-9AFBB6ED2B05}" filter="1" showAutoFilter="1">
      <autoFilter ref="$A$1:$D$457">
        <sortState ref="A1:D457">
          <sortCondition descending="1" ref="A1:A457"/>
        </sortState>
      </autoFilter>
    </customSheetView>
  </customSheetViews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20.5"/>
    <col customWidth="1" min="5" max="5" width="26.13"/>
    <col hidden="1" min="9" max="15" width="12.63"/>
  </cols>
  <sheetData>
    <row r="1">
      <c r="A1" s="358" t="s">
        <v>44</v>
      </c>
      <c r="B1" s="769" t="s">
        <v>20578</v>
      </c>
      <c r="C1" s="57" t="s">
        <v>294</v>
      </c>
      <c r="D1" s="55" t="s">
        <v>248</v>
      </c>
      <c r="E1" s="348" t="s">
        <v>249</v>
      </c>
      <c r="F1" s="349" t="s">
        <v>250</v>
      </c>
      <c r="I1" s="11" t="s">
        <v>21362</v>
      </c>
      <c r="L1" s="770" t="s">
        <v>1654</v>
      </c>
      <c r="M1" s="771" t="s">
        <v>20578</v>
      </c>
      <c r="O1" s="11" t="s">
        <v>252</v>
      </c>
    </row>
    <row r="2">
      <c r="A2" s="101" t="s">
        <v>878</v>
      </c>
      <c r="B2" s="37">
        <v>14480.0</v>
      </c>
      <c r="C2" s="683">
        <v>0.1</v>
      </c>
      <c r="D2" s="179">
        <v>0.7</v>
      </c>
      <c r="E2" s="179">
        <v>0.7</v>
      </c>
      <c r="F2" s="348" t="s">
        <v>1656</v>
      </c>
      <c r="I2" s="197" t="s">
        <v>21363</v>
      </c>
      <c r="J2" s="11">
        <v>6772.0</v>
      </c>
      <c r="L2" s="246" t="s">
        <v>878</v>
      </c>
      <c r="M2" s="35">
        <v>6772.0</v>
      </c>
      <c r="N2" s="36"/>
      <c r="O2" s="36" t="e">
        <v>#N/A</v>
      </c>
    </row>
    <row r="3">
      <c r="A3" s="101" t="s">
        <v>21364</v>
      </c>
      <c r="B3" s="25">
        <v>14516.0</v>
      </c>
      <c r="C3" s="683">
        <v>0.1</v>
      </c>
      <c r="D3" s="179">
        <v>0.7</v>
      </c>
      <c r="E3" s="179">
        <v>0.7</v>
      </c>
      <c r="F3" s="348" t="s">
        <v>1656</v>
      </c>
      <c r="I3" s="197" t="s">
        <v>21365</v>
      </c>
      <c r="J3" s="11">
        <v>6771.0</v>
      </c>
      <c r="L3" s="246" t="s">
        <v>21364</v>
      </c>
      <c r="M3" s="35">
        <v>6887.0</v>
      </c>
      <c r="N3" s="36"/>
      <c r="O3" s="36" t="e">
        <v>#N/A</v>
      </c>
    </row>
    <row r="4">
      <c r="A4" s="101" t="s">
        <v>21366</v>
      </c>
      <c r="B4" s="25"/>
      <c r="C4" s="683">
        <v>0.1</v>
      </c>
      <c r="D4" s="179">
        <v>0.7</v>
      </c>
      <c r="E4" s="179">
        <v>0.7</v>
      </c>
      <c r="F4" s="348" t="s">
        <v>1656</v>
      </c>
      <c r="I4" s="197" t="s">
        <v>3396</v>
      </c>
      <c r="J4" s="11">
        <v>499.0</v>
      </c>
      <c r="L4" s="246" t="s">
        <v>21366</v>
      </c>
      <c r="M4" s="35">
        <v>7847.0</v>
      </c>
      <c r="N4" s="36"/>
      <c r="O4" s="36" t="e">
        <v>#N/A</v>
      </c>
    </row>
    <row r="5">
      <c r="A5" s="101" t="s">
        <v>21367</v>
      </c>
      <c r="B5" s="25">
        <v>6668.0</v>
      </c>
      <c r="C5" s="683">
        <v>0.1</v>
      </c>
      <c r="D5" s="179">
        <v>0.7</v>
      </c>
      <c r="E5" s="179">
        <v>0.7</v>
      </c>
      <c r="F5" s="348" t="s">
        <v>1656</v>
      </c>
      <c r="I5" s="197" t="s">
        <v>831</v>
      </c>
      <c r="J5" s="11">
        <v>7158.0</v>
      </c>
      <c r="L5" s="246" t="s">
        <v>21367</v>
      </c>
      <c r="M5" s="35">
        <v>7747.0</v>
      </c>
      <c r="N5" s="36"/>
      <c r="O5" s="36" t="e">
        <v>#N/A</v>
      </c>
    </row>
    <row r="6">
      <c r="A6" s="101" t="s">
        <v>2480</v>
      </c>
      <c r="B6" s="25"/>
      <c r="C6" s="683">
        <v>0.1</v>
      </c>
      <c r="D6" s="179">
        <v>0.7</v>
      </c>
      <c r="E6" s="179">
        <v>0.7</v>
      </c>
      <c r="F6" s="348" t="s">
        <v>1656</v>
      </c>
      <c r="I6" s="197" t="s">
        <v>21368</v>
      </c>
      <c r="J6" s="11">
        <v>7055.0</v>
      </c>
      <c r="L6" s="246" t="s">
        <v>2480</v>
      </c>
      <c r="M6" s="35">
        <v>7033.0</v>
      </c>
      <c r="N6" s="36"/>
      <c r="O6" s="36" t="e">
        <v>#N/A</v>
      </c>
    </row>
    <row r="7">
      <c r="A7" s="101" t="s">
        <v>21369</v>
      </c>
      <c r="B7" s="37">
        <v>14465.0</v>
      </c>
      <c r="C7" s="683">
        <v>0.1</v>
      </c>
      <c r="D7" s="179">
        <v>0.9</v>
      </c>
      <c r="E7" s="179">
        <v>0.9</v>
      </c>
      <c r="F7" s="348" t="s">
        <v>1656</v>
      </c>
      <c r="I7" s="197" t="s">
        <v>21370</v>
      </c>
      <c r="J7" s="11">
        <v>6893.0</v>
      </c>
      <c r="L7" s="246" t="s">
        <v>21369</v>
      </c>
      <c r="M7" s="35">
        <v>6891.0</v>
      </c>
      <c r="N7" s="36"/>
      <c r="O7" s="36" t="e">
        <v>#N/A</v>
      </c>
    </row>
    <row r="8">
      <c r="A8" s="101" t="s">
        <v>21371</v>
      </c>
      <c r="B8" s="25">
        <v>6668.0</v>
      </c>
      <c r="C8" s="683">
        <v>0.1</v>
      </c>
      <c r="D8" s="179">
        <v>0.7</v>
      </c>
      <c r="E8" s="179">
        <v>0.7</v>
      </c>
      <c r="F8" s="348" t="s">
        <v>1656</v>
      </c>
      <c r="I8" s="197" t="s">
        <v>21372</v>
      </c>
      <c r="J8" s="11">
        <v>6675.0</v>
      </c>
      <c r="L8" s="246" t="s">
        <v>21371</v>
      </c>
      <c r="M8" s="35">
        <v>10141.0</v>
      </c>
      <c r="N8" s="36"/>
      <c r="O8" s="36" t="e">
        <v>#N/A</v>
      </c>
    </row>
    <row r="9">
      <c r="A9" s="101" t="s">
        <v>21373</v>
      </c>
      <c r="B9" s="25"/>
      <c r="C9" s="683">
        <v>0.1</v>
      </c>
      <c r="D9" s="179">
        <v>0.7</v>
      </c>
      <c r="E9" s="179">
        <v>0.7</v>
      </c>
      <c r="F9" s="348" t="s">
        <v>1656</v>
      </c>
      <c r="I9" s="197" t="s">
        <v>21374</v>
      </c>
      <c r="J9" s="11">
        <v>6675.0</v>
      </c>
      <c r="L9" s="246" t="s">
        <v>21373</v>
      </c>
      <c r="M9" s="35">
        <v>6924.0</v>
      </c>
      <c r="N9" s="36"/>
      <c r="O9" s="36" t="e">
        <v>#N/A</v>
      </c>
    </row>
    <row r="10">
      <c r="A10" s="101" t="s">
        <v>21375</v>
      </c>
      <c r="B10" s="25">
        <v>7747.0</v>
      </c>
      <c r="C10" s="683">
        <v>0.1</v>
      </c>
      <c r="D10" s="179">
        <v>0.7</v>
      </c>
      <c r="E10" s="179">
        <v>0.7</v>
      </c>
      <c r="F10" s="348" t="s">
        <v>1656</v>
      </c>
      <c r="I10" s="197" t="s">
        <v>6056</v>
      </c>
      <c r="J10" s="11">
        <v>6675.0</v>
      </c>
      <c r="L10" s="246" t="s">
        <v>21375</v>
      </c>
      <c r="M10" s="35">
        <v>6669.0</v>
      </c>
      <c r="N10" s="36"/>
      <c r="O10" s="36" t="e">
        <v>#N/A</v>
      </c>
    </row>
    <row r="11">
      <c r="A11" s="101" t="s">
        <v>21376</v>
      </c>
      <c r="B11" s="25"/>
      <c r="C11" s="683">
        <v>0.1</v>
      </c>
      <c r="D11" s="179">
        <v>0.7</v>
      </c>
      <c r="E11" s="179">
        <v>0.7</v>
      </c>
      <c r="F11" s="348" t="s">
        <v>1656</v>
      </c>
      <c r="I11" s="197" t="s">
        <v>21377</v>
      </c>
      <c r="J11" s="11">
        <v>7183.0</v>
      </c>
      <c r="L11" s="246" t="s">
        <v>21376</v>
      </c>
      <c r="M11" s="35">
        <v>6669.0</v>
      </c>
      <c r="N11" s="36"/>
      <c r="O11" s="36" t="e">
        <v>#N/A</v>
      </c>
    </row>
    <row r="12">
      <c r="A12" s="101" t="s">
        <v>21378</v>
      </c>
      <c r="B12" s="25">
        <v>3307.0</v>
      </c>
      <c r="C12" s="683">
        <v>0.1</v>
      </c>
      <c r="D12" s="179">
        <v>0.7</v>
      </c>
      <c r="E12" s="179">
        <v>0.7</v>
      </c>
      <c r="F12" s="348" t="s">
        <v>1656</v>
      </c>
      <c r="I12" s="197" t="s">
        <v>21379</v>
      </c>
      <c r="J12" s="11">
        <v>6875.0</v>
      </c>
      <c r="L12" s="246" t="s">
        <v>21378</v>
      </c>
      <c r="M12" s="35">
        <v>6669.0</v>
      </c>
      <c r="N12" s="36"/>
      <c r="O12" s="36" t="e">
        <v>#N/A</v>
      </c>
    </row>
    <row r="13">
      <c r="A13" s="101" t="s">
        <v>21380</v>
      </c>
      <c r="B13" s="25"/>
      <c r="C13" s="683">
        <v>0.1</v>
      </c>
      <c r="D13" s="179">
        <v>0.7</v>
      </c>
      <c r="E13" s="179">
        <v>0.7</v>
      </c>
      <c r="F13" s="348" t="s">
        <v>1656</v>
      </c>
      <c r="I13" s="197" t="s">
        <v>21381</v>
      </c>
      <c r="J13" s="11">
        <v>6750.0</v>
      </c>
      <c r="L13" s="246" t="s">
        <v>21380</v>
      </c>
      <c r="M13" s="35">
        <v>6893.0</v>
      </c>
      <c r="N13" s="36"/>
      <c r="O13" s="36" t="e">
        <v>#N/A</v>
      </c>
    </row>
    <row r="14">
      <c r="A14" s="101" t="s">
        <v>21382</v>
      </c>
      <c r="B14" s="25">
        <v>14025.0</v>
      </c>
      <c r="C14" s="683">
        <v>0.1</v>
      </c>
      <c r="D14" s="179">
        <v>0.7</v>
      </c>
      <c r="E14" s="179">
        <v>0.7</v>
      </c>
      <c r="F14" s="348" t="s">
        <v>1656</v>
      </c>
      <c r="I14" s="197" t="s">
        <v>21383</v>
      </c>
      <c r="J14" s="11">
        <v>7747.0</v>
      </c>
      <c r="L14" s="246" t="s">
        <v>21382</v>
      </c>
      <c r="M14" s="35">
        <v>6669.0</v>
      </c>
      <c r="N14" s="36"/>
      <c r="O14" s="36" t="e">
        <v>#N/A</v>
      </c>
    </row>
    <row r="15">
      <c r="A15" s="101" t="s">
        <v>19692</v>
      </c>
      <c r="B15" s="25">
        <v>14507.0</v>
      </c>
      <c r="C15" s="683">
        <v>0.1</v>
      </c>
      <c r="D15" s="179">
        <v>0.7</v>
      </c>
      <c r="E15" s="179">
        <v>0.7</v>
      </c>
      <c r="F15" s="348" t="s">
        <v>1656</v>
      </c>
      <c r="I15" s="197" t="s">
        <v>15956</v>
      </c>
      <c r="J15" s="11">
        <v>6983.0</v>
      </c>
      <c r="L15" s="246" t="s">
        <v>19692</v>
      </c>
      <c r="M15" s="35">
        <v>9701.0</v>
      </c>
      <c r="N15" s="36"/>
      <c r="O15" s="36" t="e">
        <v>#N/A</v>
      </c>
    </row>
    <row r="16">
      <c r="A16" s="101" t="s">
        <v>21384</v>
      </c>
      <c r="B16" s="25">
        <v>14507.0</v>
      </c>
      <c r="C16" s="683">
        <v>0.1</v>
      </c>
      <c r="D16" s="179">
        <v>0.7</v>
      </c>
      <c r="E16" s="179">
        <v>0.7</v>
      </c>
      <c r="F16" s="348" t="s">
        <v>1656</v>
      </c>
      <c r="I16" s="197" t="s">
        <v>21385</v>
      </c>
      <c r="L16" s="246" t="s">
        <v>21384</v>
      </c>
      <c r="M16" s="35">
        <v>3307.0</v>
      </c>
      <c r="N16" s="36"/>
      <c r="O16" s="36" t="e">
        <v>#N/A</v>
      </c>
    </row>
    <row r="17">
      <c r="A17" s="101" t="s">
        <v>21386</v>
      </c>
      <c r="B17" s="25">
        <v>14505.0</v>
      </c>
      <c r="C17" s="683">
        <v>0.1</v>
      </c>
      <c r="D17" s="179">
        <v>0.7</v>
      </c>
      <c r="E17" s="179">
        <v>0.7</v>
      </c>
      <c r="F17" s="348" t="s">
        <v>1656</v>
      </c>
      <c r="I17" s="197" t="s">
        <v>21387</v>
      </c>
      <c r="J17" s="11">
        <v>7186.0</v>
      </c>
      <c r="L17" s="246" t="s">
        <v>21386</v>
      </c>
      <c r="M17" s="35">
        <v>7229.0</v>
      </c>
      <c r="N17" s="36"/>
      <c r="O17" s="36" t="e">
        <v>#N/A</v>
      </c>
    </row>
    <row r="18">
      <c r="A18" s="101" t="s">
        <v>5916</v>
      </c>
      <c r="B18" s="25">
        <v>14663.0</v>
      </c>
      <c r="C18" s="683">
        <v>0.1</v>
      </c>
      <c r="D18" s="179">
        <v>0.7</v>
      </c>
      <c r="E18" s="179">
        <v>0.7</v>
      </c>
      <c r="F18" s="348" t="s">
        <v>1656</v>
      </c>
      <c r="I18" s="197" t="s">
        <v>21388</v>
      </c>
      <c r="J18" s="11">
        <v>6132.0</v>
      </c>
      <c r="L18" s="246" t="s">
        <v>5916</v>
      </c>
      <c r="M18" s="35">
        <v>3689.0</v>
      </c>
      <c r="N18" s="36"/>
      <c r="O18" s="36" t="e">
        <v>#N/A</v>
      </c>
    </row>
    <row r="19">
      <c r="A19" s="101" t="s">
        <v>21389</v>
      </c>
      <c r="B19" s="25">
        <v>6936.0</v>
      </c>
      <c r="C19" s="683">
        <v>0.1</v>
      </c>
      <c r="D19" s="179">
        <v>0.7</v>
      </c>
      <c r="E19" s="179">
        <v>0.7</v>
      </c>
      <c r="F19" s="348" t="s">
        <v>1656</v>
      </c>
      <c r="H19" s="11"/>
      <c r="I19" s="197" t="s">
        <v>21390</v>
      </c>
      <c r="K19" s="11">
        <v>7058.0</v>
      </c>
      <c r="L19" s="246" t="s">
        <v>21389</v>
      </c>
      <c r="M19" s="35">
        <v>6936.0</v>
      </c>
      <c r="N19" s="36"/>
      <c r="O19" s="36" t="e">
        <v>#N/A</v>
      </c>
    </row>
    <row r="20">
      <c r="A20" s="101" t="s">
        <v>21391</v>
      </c>
      <c r="B20" s="25">
        <v>12932.0</v>
      </c>
      <c r="C20" s="683">
        <v>0.1</v>
      </c>
      <c r="D20" s="179">
        <v>0.7</v>
      </c>
      <c r="E20" s="179">
        <v>0.7</v>
      </c>
      <c r="F20" s="348" t="s">
        <v>1656</v>
      </c>
      <c r="I20" s="197" t="s">
        <v>21392</v>
      </c>
      <c r="J20" s="11">
        <v>7080.0</v>
      </c>
      <c r="L20" s="246" t="s">
        <v>21391</v>
      </c>
      <c r="M20" s="35">
        <v>7073.0</v>
      </c>
      <c r="N20" s="36"/>
      <c r="O20" s="36" t="e">
        <v>#N/A</v>
      </c>
    </row>
    <row r="21">
      <c r="A21" s="101" t="s">
        <v>21393</v>
      </c>
      <c r="B21" s="25">
        <v>6675.0</v>
      </c>
      <c r="C21" s="683">
        <v>0.1</v>
      </c>
      <c r="D21" s="179">
        <v>0.85</v>
      </c>
      <c r="E21" s="179">
        <v>0.85</v>
      </c>
      <c r="F21" s="348" t="s">
        <v>1656</v>
      </c>
      <c r="I21" s="197" t="s">
        <v>21394</v>
      </c>
      <c r="L21" s="246" t="s">
        <v>21393</v>
      </c>
      <c r="M21" s="35">
        <v>6675.0</v>
      </c>
      <c r="N21" s="36"/>
      <c r="O21" s="36" t="e">
        <v>#N/A</v>
      </c>
    </row>
    <row r="22">
      <c r="A22" s="101" t="s">
        <v>10753</v>
      </c>
      <c r="B22" s="25">
        <v>10856.0</v>
      </c>
      <c r="C22" s="683">
        <v>0.1</v>
      </c>
      <c r="D22" s="179">
        <v>0.7</v>
      </c>
      <c r="E22" s="179">
        <v>0.7</v>
      </c>
      <c r="F22" s="348" t="s">
        <v>1656</v>
      </c>
      <c r="I22" s="197" t="s">
        <v>21395</v>
      </c>
      <c r="L22" s="244" t="s">
        <v>10753</v>
      </c>
      <c r="M22" s="11">
        <v>10856.0</v>
      </c>
      <c r="O22" s="18">
        <v>1.0</v>
      </c>
    </row>
    <row r="23">
      <c r="A23" s="101" t="s">
        <v>15448</v>
      </c>
      <c r="B23" s="25">
        <v>6675.0</v>
      </c>
      <c r="C23" s="683">
        <v>0.1</v>
      </c>
      <c r="D23" s="179">
        <v>0.85</v>
      </c>
      <c r="E23" s="179">
        <v>0.85</v>
      </c>
      <c r="F23" s="348" t="s">
        <v>1656</v>
      </c>
      <c r="I23" s="197" t="s">
        <v>21396</v>
      </c>
      <c r="J23" s="11">
        <v>6671.0</v>
      </c>
      <c r="L23" s="246" t="s">
        <v>15448</v>
      </c>
      <c r="M23" s="35">
        <v>6675.0</v>
      </c>
      <c r="N23" s="36"/>
      <c r="O23" s="36" t="e">
        <v>#N/A</v>
      </c>
    </row>
    <row r="24">
      <c r="A24" s="101" t="s">
        <v>21397</v>
      </c>
      <c r="B24" s="25">
        <v>6947.0</v>
      </c>
      <c r="C24" s="683">
        <v>0.1</v>
      </c>
      <c r="D24" s="179">
        <v>0.7</v>
      </c>
      <c r="E24" s="179">
        <v>0.7</v>
      </c>
      <c r="F24" s="348" t="s">
        <v>1656</v>
      </c>
      <c r="I24" s="197" t="s">
        <v>21398</v>
      </c>
      <c r="J24" s="11">
        <v>6671.0</v>
      </c>
      <c r="L24" s="246" t="s">
        <v>21397</v>
      </c>
      <c r="M24" s="35">
        <v>11104.0</v>
      </c>
      <c r="N24" s="36"/>
      <c r="O24" s="36" t="e">
        <v>#N/A</v>
      </c>
    </row>
    <row r="25">
      <c r="A25" s="101" t="s">
        <v>21399</v>
      </c>
      <c r="B25" s="25">
        <v>14594.0</v>
      </c>
      <c r="C25" s="683">
        <v>0.1</v>
      </c>
      <c r="D25" s="179">
        <v>0.7</v>
      </c>
      <c r="E25" s="179">
        <v>0.7</v>
      </c>
      <c r="F25" s="348" t="s">
        <v>1656</v>
      </c>
      <c r="I25" s="197" t="s">
        <v>21400</v>
      </c>
      <c r="L25" s="246" t="s">
        <v>21399</v>
      </c>
      <c r="M25" s="35">
        <v>6924.0</v>
      </c>
      <c r="N25" s="36"/>
      <c r="O25" s="36" t="e">
        <v>#N/A</v>
      </c>
    </row>
    <row r="26">
      <c r="A26" s="101" t="s">
        <v>21401</v>
      </c>
      <c r="B26" s="25">
        <v>6669.0</v>
      </c>
      <c r="C26" s="683">
        <v>0.1</v>
      </c>
      <c r="D26" s="179">
        <v>0.7</v>
      </c>
      <c r="E26" s="179">
        <v>0.7</v>
      </c>
      <c r="F26" s="348" t="s">
        <v>1656</v>
      </c>
      <c r="I26" s="197" t="s">
        <v>21402</v>
      </c>
      <c r="J26" s="11">
        <v>6924.0</v>
      </c>
      <c r="L26" s="246" t="s">
        <v>21401</v>
      </c>
      <c r="M26" s="35">
        <v>6995.0</v>
      </c>
      <c r="N26" s="36"/>
      <c r="O26" s="36" t="e">
        <v>#N/A</v>
      </c>
    </row>
    <row r="27">
      <c r="A27" s="101" t="s">
        <v>21403</v>
      </c>
      <c r="B27" s="25">
        <v>14580.0</v>
      </c>
      <c r="C27" s="683">
        <v>0.1</v>
      </c>
      <c r="D27" s="179">
        <v>0.7</v>
      </c>
      <c r="E27" s="179">
        <v>0.7</v>
      </c>
      <c r="F27" s="348" t="s">
        <v>1656</v>
      </c>
      <c r="I27" s="197" t="s">
        <v>21404</v>
      </c>
      <c r="L27" s="246" t="s">
        <v>21403</v>
      </c>
      <c r="M27" s="35">
        <v>6671.0</v>
      </c>
      <c r="N27" s="36"/>
      <c r="O27" s="36" t="e">
        <v>#N/A</v>
      </c>
    </row>
    <row r="28">
      <c r="A28" s="101" t="s">
        <v>21405</v>
      </c>
      <c r="B28" s="25">
        <v>6732.0</v>
      </c>
      <c r="C28" s="683">
        <v>0.1</v>
      </c>
      <c r="D28" s="179">
        <v>0.7</v>
      </c>
      <c r="E28" s="179">
        <v>0.7</v>
      </c>
      <c r="F28" s="348" t="s">
        <v>1656</v>
      </c>
      <c r="I28" s="197" t="s">
        <v>21406</v>
      </c>
      <c r="J28" s="11">
        <v>189.0</v>
      </c>
      <c r="L28" s="246" t="s">
        <v>21405</v>
      </c>
      <c r="M28" s="35">
        <v>2345.0</v>
      </c>
      <c r="N28" s="36"/>
      <c r="O28" s="36" t="e">
        <v>#N/A</v>
      </c>
    </row>
    <row r="29">
      <c r="A29" s="101" t="s">
        <v>21407</v>
      </c>
      <c r="B29" s="25"/>
      <c r="C29" s="683">
        <v>0.1</v>
      </c>
      <c r="D29" s="179">
        <v>0.7</v>
      </c>
      <c r="E29" s="179">
        <v>0.7</v>
      </c>
      <c r="F29" s="348" t="s">
        <v>1656</v>
      </c>
      <c r="I29" s="197" t="s">
        <v>21408</v>
      </c>
      <c r="J29" s="11">
        <v>3142.0</v>
      </c>
      <c r="L29" s="246" t="s">
        <v>21407</v>
      </c>
      <c r="M29" s="35">
        <v>2345.0</v>
      </c>
      <c r="N29" s="36"/>
      <c r="O29" s="36" t="e">
        <v>#N/A</v>
      </c>
    </row>
    <row r="30">
      <c r="A30" s="101" t="s">
        <v>21409</v>
      </c>
      <c r="B30" s="25"/>
      <c r="C30" s="683">
        <v>0.1</v>
      </c>
      <c r="D30" s="179">
        <v>0.7</v>
      </c>
      <c r="E30" s="179">
        <v>0.7</v>
      </c>
      <c r="F30" s="348" t="s">
        <v>1656</v>
      </c>
      <c r="I30" s="197" t="s">
        <v>21410</v>
      </c>
      <c r="J30" s="11">
        <v>189.0</v>
      </c>
      <c r="L30" s="246" t="s">
        <v>21409</v>
      </c>
      <c r="M30" s="35">
        <v>2345.0</v>
      </c>
      <c r="N30" s="36"/>
      <c r="O30" s="36" t="e">
        <v>#N/A</v>
      </c>
    </row>
    <row r="31">
      <c r="A31" s="101" t="s">
        <v>21411</v>
      </c>
      <c r="B31" s="25">
        <v>6732.0</v>
      </c>
      <c r="C31" s="683">
        <v>0.1</v>
      </c>
      <c r="D31" s="179">
        <v>0.7</v>
      </c>
      <c r="E31" s="179">
        <v>0.7</v>
      </c>
      <c r="F31" s="348" t="s">
        <v>1656</v>
      </c>
      <c r="I31" s="197" t="s">
        <v>21412</v>
      </c>
      <c r="J31" s="11">
        <v>7414.0</v>
      </c>
      <c r="L31" s="246" t="s">
        <v>21411</v>
      </c>
      <c r="M31" s="35">
        <v>2345.0</v>
      </c>
      <c r="N31" s="36"/>
      <c r="O31" s="36" t="e">
        <v>#N/A</v>
      </c>
    </row>
    <row r="32">
      <c r="A32" s="101" t="s">
        <v>21413</v>
      </c>
      <c r="B32" s="25">
        <v>6669.0</v>
      </c>
      <c r="C32" s="683">
        <v>0.1</v>
      </c>
      <c r="D32" s="179">
        <v>0.7</v>
      </c>
      <c r="E32" s="179">
        <v>0.7</v>
      </c>
      <c r="F32" s="348" t="s">
        <v>1656</v>
      </c>
      <c r="I32" s="197" t="s">
        <v>21414</v>
      </c>
      <c r="J32" s="11">
        <v>7055.0</v>
      </c>
      <c r="L32" s="246" t="s">
        <v>21413</v>
      </c>
      <c r="M32" s="35">
        <v>2345.0</v>
      </c>
      <c r="N32" s="36"/>
      <c r="O32" s="36" t="e">
        <v>#N/A</v>
      </c>
    </row>
    <row r="33">
      <c r="A33" s="101" t="s">
        <v>4228</v>
      </c>
      <c r="B33" s="25"/>
      <c r="C33" s="683">
        <v>0.1</v>
      </c>
      <c r="D33" s="179">
        <v>0.7</v>
      </c>
      <c r="E33" s="179">
        <v>0.7</v>
      </c>
      <c r="F33" s="348" t="s">
        <v>1656</v>
      </c>
      <c r="I33" s="197" t="s">
        <v>21415</v>
      </c>
      <c r="L33" s="246" t="s">
        <v>4228</v>
      </c>
      <c r="M33" s="35">
        <v>2345.0</v>
      </c>
      <c r="N33" s="36"/>
      <c r="O33" s="36" t="e">
        <v>#N/A</v>
      </c>
    </row>
    <row r="34">
      <c r="A34" s="101" t="s">
        <v>21416</v>
      </c>
      <c r="B34" s="25">
        <v>2345.0</v>
      </c>
      <c r="C34" s="683">
        <v>0.1</v>
      </c>
      <c r="D34" s="179">
        <v>0.9</v>
      </c>
      <c r="E34" s="179">
        <v>0.9</v>
      </c>
      <c r="F34" s="348" t="s">
        <v>1656</v>
      </c>
      <c r="I34" s="197" t="s">
        <v>21417</v>
      </c>
      <c r="J34" s="11">
        <v>6132.0</v>
      </c>
      <c r="L34" s="244" t="s">
        <v>21416</v>
      </c>
      <c r="M34" s="11">
        <v>2345.0</v>
      </c>
      <c r="O34" s="18">
        <v>1.0</v>
      </c>
    </row>
    <row r="35">
      <c r="A35" s="101" t="s">
        <v>21418</v>
      </c>
      <c r="B35" s="25">
        <v>2345.0</v>
      </c>
      <c r="C35" s="683">
        <v>0.1</v>
      </c>
      <c r="D35" s="179">
        <v>0.9</v>
      </c>
      <c r="E35" s="179">
        <v>0.9</v>
      </c>
      <c r="F35" s="348" t="s">
        <v>1656</v>
      </c>
      <c r="I35" s="197" t="s">
        <v>21419</v>
      </c>
      <c r="J35" s="11">
        <v>7033.0</v>
      </c>
      <c r="L35" s="246" t="s">
        <v>21418</v>
      </c>
      <c r="M35" s="35">
        <v>2345.0</v>
      </c>
      <c r="N35" s="36"/>
      <c r="O35" s="36" t="e">
        <v>#N/A</v>
      </c>
    </row>
    <row r="36">
      <c r="A36" s="101" t="s">
        <v>10858</v>
      </c>
      <c r="B36" s="25">
        <v>2345.0</v>
      </c>
      <c r="C36" s="683">
        <v>0.1</v>
      </c>
      <c r="D36" s="179">
        <v>0.9</v>
      </c>
      <c r="E36" s="179">
        <v>0.9</v>
      </c>
      <c r="F36" s="348" t="s">
        <v>1656</v>
      </c>
      <c r="I36" s="197" t="s">
        <v>21420</v>
      </c>
      <c r="J36" s="11">
        <v>6736.0</v>
      </c>
      <c r="L36" s="246" t="s">
        <v>10858</v>
      </c>
      <c r="M36" s="35">
        <v>2345.0</v>
      </c>
      <c r="N36" s="36"/>
      <c r="O36" s="36" t="e">
        <v>#N/A</v>
      </c>
    </row>
    <row r="37">
      <c r="A37" s="101" t="s">
        <v>2672</v>
      </c>
      <c r="B37" s="25">
        <v>2345.0</v>
      </c>
      <c r="C37" s="683">
        <v>0.1</v>
      </c>
      <c r="D37" s="179">
        <v>0.9</v>
      </c>
      <c r="E37" s="179">
        <v>0.9</v>
      </c>
      <c r="F37" s="348" t="s">
        <v>1656</v>
      </c>
      <c r="I37" s="197" t="s">
        <v>3516</v>
      </c>
      <c r="J37" s="196">
        <v>7847.0</v>
      </c>
      <c r="L37" s="246" t="s">
        <v>2672</v>
      </c>
      <c r="M37" s="35">
        <v>2345.0</v>
      </c>
      <c r="N37" s="36"/>
      <c r="O37" s="36" t="e">
        <v>#N/A</v>
      </c>
    </row>
    <row r="38">
      <c r="A38" s="101" t="s">
        <v>21421</v>
      </c>
      <c r="B38" s="25">
        <v>2345.0</v>
      </c>
      <c r="C38" s="683">
        <v>0.1</v>
      </c>
      <c r="D38" s="179">
        <v>0.9</v>
      </c>
      <c r="E38" s="179">
        <v>0.9</v>
      </c>
      <c r="F38" s="348" t="s">
        <v>1656</v>
      </c>
      <c r="I38" s="197" t="s">
        <v>21422</v>
      </c>
      <c r="L38" s="246" t="s">
        <v>21421</v>
      </c>
      <c r="M38" s="35">
        <v>2345.0</v>
      </c>
      <c r="N38" s="36"/>
      <c r="O38" s="36" t="e">
        <v>#N/A</v>
      </c>
    </row>
    <row r="39">
      <c r="A39" s="101" t="s">
        <v>21423</v>
      </c>
      <c r="B39" s="25">
        <v>7100.0</v>
      </c>
      <c r="C39" s="683">
        <v>0.1</v>
      </c>
      <c r="D39" s="179">
        <v>0.7</v>
      </c>
      <c r="E39" s="179">
        <v>0.7</v>
      </c>
      <c r="F39" s="348" t="s">
        <v>1656</v>
      </c>
      <c r="I39" s="197" t="s">
        <v>2815</v>
      </c>
      <c r="J39" s="11">
        <v>6772.0</v>
      </c>
      <c r="L39" s="244" t="s">
        <v>21423</v>
      </c>
      <c r="M39" s="11">
        <v>7100.0</v>
      </c>
      <c r="O39" s="18">
        <v>1.0</v>
      </c>
    </row>
    <row r="40">
      <c r="A40" s="101" t="s">
        <v>21424</v>
      </c>
      <c r="B40" s="25">
        <v>7142.0</v>
      </c>
      <c r="C40" s="683">
        <v>0.1</v>
      </c>
      <c r="D40" s="179">
        <v>0.7</v>
      </c>
      <c r="E40" s="179">
        <v>0.7</v>
      </c>
      <c r="F40" s="348" t="s">
        <v>1656</v>
      </c>
      <c r="I40" s="197" t="s">
        <v>21425</v>
      </c>
      <c r="J40" s="11">
        <v>7010.0</v>
      </c>
      <c r="L40" s="246" t="s">
        <v>21424</v>
      </c>
      <c r="M40" s="35">
        <v>6903.0</v>
      </c>
      <c r="N40" s="36"/>
      <c r="O40" s="36" t="e">
        <v>#N/A</v>
      </c>
    </row>
    <row r="41">
      <c r="A41" s="101" t="s">
        <v>21426</v>
      </c>
      <c r="B41" s="25"/>
      <c r="C41" s="683">
        <v>0.1</v>
      </c>
      <c r="D41" s="179">
        <v>0.7</v>
      </c>
      <c r="E41" s="179">
        <v>0.7</v>
      </c>
      <c r="F41" s="348" t="s">
        <v>1656</v>
      </c>
      <c r="I41" s="197" t="s">
        <v>21427</v>
      </c>
      <c r="L41" s="246" t="s">
        <v>21426</v>
      </c>
      <c r="M41" s="35">
        <v>11708.0</v>
      </c>
      <c r="N41" s="36"/>
      <c r="O41" s="36" t="e">
        <v>#N/A</v>
      </c>
    </row>
    <row r="42">
      <c r="A42" s="101" t="s">
        <v>21428</v>
      </c>
      <c r="B42" s="25">
        <v>6767.0</v>
      </c>
      <c r="C42" s="683">
        <v>0.1</v>
      </c>
      <c r="D42" s="179">
        <v>0.7</v>
      </c>
      <c r="E42" s="179">
        <v>0.7</v>
      </c>
      <c r="F42" s="348" t="s">
        <v>1656</v>
      </c>
      <c r="I42" s="197" t="s">
        <v>21429</v>
      </c>
      <c r="J42" s="11">
        <v>189.0</v>
      </c>
      <c r="L42" s="246" t="s">
        <v>21428</v>
      </c>
      <c r="M42" s="35">
        <v>7010.0</v>
      </c>
      <c r="N42" s="36"/>
      <c r="O42" s="36" t="e">
        <v>#N/A</v>
      </c>
    </row>
    <row r="43">
      <c r="A43" s="101" t="s">
        <v>21430</v>
      </c>
      <c r="B43" s="25"/>
      <c r="C43" s="683">
        <v>0.1</v>
      </c>
      <c r="D43" s="179">
        <v>0.7</v>
      </c>
      <c r="E43" s="179">
        <v>0.7</v>
      </c>
      <c r="F43" s="348" t="s">
        <v>1656</v>
      </c>
      <c r="I43" s="197" t="s">
        <v>21431</v>
      </c>
      <c r="J43" s="11">
        <v>189.0</v>
      </c>
      <c r="L43" s="246" t="s">
        <v>21430</v>
      </c>
      <c r="M43" s="35">
        <v>4933.0</v>
      </c>
      <c r="N43" s="36"/>
      <c r="O43" s="36" t="e">
        <v>#N/A</v>
      </c>
    </row>
    <row r="44">
      <c r="A44" s="101" t="s">
        <v>21432</v>
      </c>
      <c r="B44" s="25"/>
      <c r="C44" s="683">
        <v>0.1</v>
      </c>
      <c r="D44" s="179">
        <v>0.7</v>
      </c>
      <c r="E44" s="179">
        <v>0.7</v>
      </c>
      <c r="F44" s="348" t="s">
        <v>1656</v>
      </c>
      <c r="I44" s="197" t="s">
        <v>21433</v>
      </c>
      <c r="J44" s="11">
        <v>189.0</v>
      </c>
      <c r="L44" s="246" t="s">
        <v>21432</v>
      </c>
      <c r="M44" s="35">
        <v>4933.0</v>
      </c>
      <c r="N44" s="36"/>
      <c r="O44" s="36" t="e">
        <v>#N/A</v>
      </c>
    </row>
    <row r="45">
      <c r="A45" s="101" t="s">
        <v>21434</v>
      </c>
      <c r="B45" s="25"/>
      <c r="C45" s="683">
        <v>0.1</v>
      </c>
      <c r="D45" s="179">
        <v>0.7</v>
      </c>
      <c r="E45" s="179">
        <v>0.7</v>
      </c>
      <c r="F45" s="348" t="s">
        <v>1656</v>
      </c>
      <c r="I45" s="197" t="s">
        <v>10953</v>
      </c>
      <c r="J45" s="11">
        <v>4933.0</v>
      </c>
      <c r="L45" s="246" t="s">
        <v>21434</v>
      </c>
      <c r="M45" s="35">
        <v>4933.0</v>
      </c>
      <c r="N45" s="36"/>
      <c r="O45" s="36" t="e">
        <v>#N/A</v>
      </c>
    </row>
    <row r="46">
      <c r="A46" s="101" t="s">
        <v>21435</v>
      </c>
      <c r="B46" s="112">
        <v>14646.0</v>
      </c>
      <c r="C46" s="683">
        <v>0.1</v>
      </c>
      <c r="D46" s="179">
        <v>0.7</v>
      </c>
      <c r="E46" s="179">
        <v>0.7</v>
      </c>
      <c r="F46" s="348" t="s">
        <v>1656</v>
      </c>
      <c r="I46" s="197" t="s">
        <v>21436</v>
      </c>
      <c r="J46" s="11">
        <v>4933.0</v>
      </c>
      <c r="L46" s="246" t="s">
        <v>21435</v>
      </c>
      <c r="M46" s="35">
        <v>4933.0</v>
      </c>
      <c r="N46" s="36"/>
      <c r="O46" s="36" t="e">
        <v>#N/A</v>
      </c>
    </row>
    <row r="47">
      <c r="A47" s="101" t="s">
        <v>21437</v>
      </c>
      <c r="B47" s="25"/>
      <c r="C47" s="683">
        <v>0.1</v>
      </c>
      <c r="D47" s="179">
        <v>0.7</v>
      </c>
      <c r="E47" s="179">
        <v>0.7</v>
      </c>
      <c r="F47" s="348" t="s">
        <v>1656</v>
      </c>
      <c r="I47" s="197" t="s">
        <v>21438</v>
      </c>
      <c r="J47" s="11">
        <v>4933.0</v>
      </c>
      <c r="L47" s="246" t="s">
        <v>21437</v>
      </c>
      <c r="M47" s="35">
        <v>4933.0</v>
      </c>
      <c r="N47" s="36"/>
      <c r="O47" s="36" t="e">
        <v>#N/A</v>
      </c>
    </row>
    <row r="48">
      <c r="A48" s="101" t="s">
        <v>21439</v>
      </c>
      <c r="B48" s="25">
        <v>11601.0</v>
      </c>
      <c r="C48" s="683">
        <v>0.1</v>
      </c>
      <c r="D48" s="179">
        <v>0.7</v>
      </c>
      <c r="E48" s="179">
        <v>0.7</v>
      </c>
      <c r="F48" s="348" t="s">
        <v>1656</v>
      </c>
      <c r="I48" s="197" t="s">
        <v>21440</v>
      </c>
      <c r="J48" s="11">
        <v>7100.0</v>
      </c>
      <c r="L48" s="244" t="s">
        <v>21439</v>
      </c>
      <c r="M48" s="11">
        <v>11601.0</v>
      </c>
      <c r="O48" s="18">
        <v>1.0</v>
      </c>
    </row>
    <row r="49">
      <c r="A49" s="101" t="s">
        <v>21441</v>
      </c>
      <c r="B49" s="262"/>
      <c r="C49" s="683">
        <v>0.1</v>
      </c>
      <c r="D49" s="179">
        <v>0.7</v>
      </c>
      <c r="E49" s="179">
        <v>0.7</v>
      </c>
      <c r="F49" s="348" t="s">
        <v>1656</v>
      </c>
      <c r="I49" s="197" t="s">
        <v>21442</v>
      </c>
      <c r="J49" s="11">
        <v>7229.0</v>
      </c>
      <c r="L49" s="246" t="s">
        <v>21441</v>
      </c>
      <c r="M49" s="637">
        <v>11916.0</v>
      </c>
      <c r="N49" s="36"/>
      <c r="O49" s="36" t="e">
        <v>#N/A</v>
      </c>
    </row>
    <row r="50">
      <c r="A50" s="101" t="s">
        <v>5130</v>
      </c>
      <c r="B50" s="25"/>
      <c r="C50" s="683">
        <v>0.1</v>
      </c>
      <c r="D50" s="179">
        <v>0.7</v>
      </c>
      <c r="E50" s="179">
        <v>0.7</v>
      </c>
      <c r="F50" s="348" t="s">
        <v>1656</v>
      </c>
      <c r="I50" s="197" t="s">
        <v>21443</v>
      </c>
      <c r="L50" s="246" t="s">
        <v>5130</v>
      </c>
      <c r="M50" s="35">
        <v>189.0</v>
      </c>
      <c r="N50" s="36"/>
      <c r="O50" s="36" t="e">
        <v>#N/A</v>
      </c>
    </row>
    <row r="51">
      <c r="A51" s="101" t="s">
        <v>21444</v>
      </c>
      <c r="B51" s="25">
        <v>14659.0</v>
      </c>
      <c r="C51" s="683">
        <v>0.1</v>
      </c>
      <c r="D51" s="179">
        <v>0.7</v>
      </c>
      <c r="E51" s="179">
        <v>0.7</v>
      </c>
      <c r="F51" s="348" t="s">
        <v>1656</v>
      </c>
      <c r="I51" s="197" t="s">
        <v>21445</v>
      </c>
      <c r="L51" s="246" t="s">
        <v>21444</v>
      </c>
      <c r="M51" s="35">
        <v>14065.0</v>
      </c>
      <c r="N51" s="36"/>
      <c r="O51" s="36" t="e">
        <v>#N/A</v>
      </c>
    </row>
    <row r="52">
      <c r="A52" s="101" t="s">
        <v>21446</v>
      </c>
      <c r="B52" s="25">
        <v>14575.0</v>
      </c>
      <c r="C52" s="683">
        <v>0.1</v>
      </c>
      <c r="D52" s="179">
        <v>0.85</v>
      </c>
      <c r="E52" s="179">
        <v>0.85</v>
      </c>
      <c r="F52" s="348" t="s">
        <v>1656</v>
      </c>
      <c r="I52" s="197" t="s">
        <v>21447</v>
      </c>
      <c r="J52" s="11">
        <v>6924.0</v>
      </c>
      <c r="L52" s="246" t="s">
        <v>21446</v>
      </c>
      <c r="M52" s="35">
        <v>10923.0</v>
      </c>
      <c r="N52" s="36"/>
      <c r="O52" s="36" t="e">
        <v>#N/A</v>
      </c>
    </row>
    <row r="53">
      <c r="A53" s="101" t="s">
        <v>21448</v>
      </c>
      <c r="B53" s="25"/>
      <c r="C53" s="683">
        <v>0.1</v>
      </c>
      <c r="D53" s="179">
        <v>0.7</v>
      </c>
      <c r="E53" s="179">
        <v>0.7</v>
      </c>
      <c r="F53" s="348" t="s">
        <v>1656</v>
      </c>
      <c r="I53" s="197" t="s">
        <v>21449</v>
      </c>
      <c r="J53" s="11">
        <v>7132.0</v>
      </c>
      <c r="L53" s="246" t="s">
        <v>21448</v>
      </c>
      <c r="M53" s="35">
        <v>14337.0</v>
      </c>
      <c r="N53" s="35">
        <v>6805.0</v>
      </c>
      <c r="O53" s="36" t="e">
        <v>#N/A</v>
      </c>
    </row>
    <row r="54">
      <c r="A54" s="101" t="s">
        <v>21450</v>
      </c>
      <c r="B54" s="42"/>
      <c r="C54" s="683">
        <v>0.1</v>
      </c>
      <c r="D54" s="179">
        <v>0.7</v>
      </c>
      <c r="E54" s="179">
        <v>0.7</v>
      </c>
      <c r="F54" s="348" t="s">
        <v>1656</v>
      </c>
      <c r="I54" s="197" t="s">
        <v>21451</v>
      </c>
      <c r="J54" s="11">
        <v>6727.0</v>
      </c>
      <c r="L54" s="246" t="s">
        <v>21450</v>
      </c>
      <c r="M54" s="43">
        <v>12553.0</v>
      </c>
      <c r="N54" s="36"/>
      <c r="O54" s="36" t="e">
        <v>#N/A</v>
      </c>
    </row>
    <row r="55">
      <c r="A55" s="101" t="s">
        <v>21452</v>
      </c>
      <c r="B55" s="25"/>
      <c r="C55" s="683">
        <v>0.1</v>
      </c>
      <c r="D55" s="179">
        <v>0.7</v>
      </c>
      <c r="E55" s="179">
        <v>0.7</v>
      </c>
      <c r="F55" s="348" t="s">
        <v>1656</v>
      </c>
      <c r="I55" s="197" t="s">
        <v>21453</v>
      </c>
      <c r="J55" s="11">
        <v>6727.0</v>
      </c>
      <c r="L55" s="246" t="s">
        <v>21452</v>
      </c>
      <c r="M55" s="35">
        <v>9746.0</v>
      </c>
      <c r="N55" s="36"/>
      <c r="O55" s="36" t="e">
        <v>#N/A</v>
      </c>
    </row>
    <row r="56">
      <c r="A56" s="101" t="s">
        <v>21454</v>
      </c>
      <c r="B56" s="25"/>
      <c r="C56" s="683">
        <v>0.1</v>
      </c>
      <c r="D56" s="179">
        <v>0.7</v>
      </c>
      <c r="E56" s="179">
        <v>0.7</v>
      </c>
      <c r="F56" s="348" t="s">
        <v>1656</v>
      </c>
      <c r="I56" s="197" t="s">
        <v>21455</v>
      </c>
      <c r="J56" s="11">
        <v>6727.0</v>
      </c>
      <c r="L56" s="246" t="s">
        <v>21454</v>
      </c>
      <c r="M56" s="35">
        <v>12609.0</v>
      </c>
      <c r="N56" s="36"/>
      <c r="O56" s="36" t="e">
        <v>#N/A</v>
      </c>
    </row>
    <row r="57">
      <c r="A57" s="101" t="s">
        <v>21456</v>
      </c>
      <c r="B57" s="25">
        <v>14727.0</v>
      </c>
      <c r="C57" s="683">
        <v>0.1</v>
      </c>
      <c r="D57" s="179">
        <v>0.7</v>
      </c>
      <c r="E57" s="179">
        <v>0.7</v>
      </c>
      <c r="F57" s="348" t="s">
        <v>1656</v>
      </c>
      <c r="I57" s="197" t="s">
        <v>21457</v>
      </c>
      <c r="J57" s="11">
        <v>6727.0</v>
      </c>
      <c r="L57" s="246" t="s">
        <v>21456</v>
      </c>
      <c r="M57" s="35">
        <v>9307.0</v>
      </c>
      <c r="N57" s="36"/>
      <c r="O57" s="36" t="e">
        <v>#N/A</v>
      </c>
    </row>
    <row r="58">
      <c r="A58" s="101" t="s">
        <v>15804</v>
      </c>
      <c r="B58" s="25"/>
      <c r="C58" s="683">
        <v>0.1</v>
      </c>
      <c r="D58" s="179">
        <v>0.7</v>
      </c>
      <c r="E58" s="179">
        <v>0.7</v>
      </c>
      <c r="F58" s="348" t="s">
        <v>1656</v>
      </c>
      <c r="I58" s="197" t="s">
        <v>21458</v>
      </c>
      <c r="J58" s="11">
        <v>6727.0</v>
      </c>
      <c r="L58" s="246" t="s">
        <v>15804</v>
      </c>
      <c r="M58" s="35">
        <v>6557.0</v>
      </c>
      <c r="N58" s="36"/>
      <c r="O58" s="36" t="e">
        <v>#N/A</v>
      </c>
    </row>
    <row r="59">
      <c r="A59" s="101" t="s">
        <v>21459</v>
      </c>
      <c r="B59" s="25">
        <v>11049.0</v>
      </c>
      <c r="C59" s="683">
        <v>0.1</v>
      </c>
      <c r="D59" s="179">
        <v>0.7</v>
      </c>
      <c r="E59" s="179">
        <v>0.7</v>
      </c>
      <c r="F59" s="348" t="s">
        <v>1656</v>
      </c>
      <c r="I59" s="197" t="s">
        <v>21460</v>
      </c>
      <c r="J59" s="11">
        <v>7105.0</v>
      </c>
      <c r="L59" s="246" t="s">
        <v>21459</v>
      </c>
      <c r="M59" s="36"/>
      <c r="N59" s="36"/>
      <c r="O59" s="36" t="e">
        <v>#N/A</v>
      </c>
    </row>
    <row r="60">
      <c r="A60" s="101" t="s">
        <v>10846</v>
      </c>
      <c r="B60" s="25">
        <v>7083.0</v>
      </c>
      <c r="C60" s="683">
        <v>0.1</v>
      </c>
      <c r="D60" s="179">
        <v>0.7</v>
      </c>
      <c r="E60" s="179">
        <v>0.7</v>
      </c>
      <c r="F60" s="348" t="s">
        <v>1656</v>
      </c>
      <c r="I60" s="197" t="s">
        <v>21461</v>
      </c>
      <c r="L60" s="244" t="s">
        <v>10846</v>
      </c>
      <c r="M60" s="11">
        <v>7083.0</v>
      </c>
      <c r="O60" s="18">
        <v>1.0</v>
      </c>
    </row>
    <row r="61">
      <c r="A61" s="101" t="s">
        <v>21462</v>
      </c>
      <c r="B61" s="25"/>
      <c r="C61" s="683">
        <v>0.1</v>
      </c>
      <c r="D61" s="179">
        <v>0.7</v>
      </c>
      <c r="E61" s="179">
        <v>0.7</v>
      </c>
      <c r="F61" s="348" t="s">
        <v>1656</v>
      </c>
      <c r="I61" s="197" t="s">
        <v>21463</v>
      </c>
      <c r="L61" s="246" t="s">
        <v>21462</v>
      </c>
      <c r="M61" s="111">
        <v>7040.0</v>
      </c>
      <c r="N61" s="36"/>
      <c r="O61" s="36" t="e">
        <v>#N/A</v>
      </c>
    </row>
    <row r="62">
      <c r="A62" s="101" t="s">
        <v>21464</v>
      </c>
      <c r="B62" s="25"/>
      <c r="C62" s="683">
        <v>0.1</v>
      </c>
      <c r="D62" s="179">
        <v>0.7</v>
      </c>
      <c r="E62" s="179">
        <v>0.7</v>
      </c>
      <c r="F62" s="348" t="s">
        <v>1656</v>
      </c>
      <c r="I62" s="197" t="s">
        <v>21465</v>
      </c>
      <c r="J62" s="11">
        <v>663.0</v>
      </c>
      <c r="L62" s="246" t="s">
        <v>21464</v>
      </c>
      <c r="M62" s="35">
        <v>6697.0</v>
      </c>
      <c r="N62" s="36"/>
      <c r="O62" s="36" t="e">
        <v>#N/A</v>
      </c>
    </row>
    <row r="63">
      <c r="A63" s="101" t="s">
        <v>21466</v>
      </c>
      <c r="B63" s="25">
        <v>7137.0</v>
      </c>
      <c r="C63" s="683">
        <v>0.1</v>
      </c>
      <c r="D63" s="179">
        <v>0.7</v>
      </c>
      <c r="E63" s="179">
        <v>0.7</v>
      </c>
      <c r="F63" s="348" t="s">
        <v>1656</v>
      </c>
      <c r="I63" s="197" t="s">
        <v>21467</v>
      </c>
      <c r="L63" s="246" t="s">
        <v>21466</v>
      </c>
      <c r="M63" s="36"/>
      <c r="N63" s="36"/>
      <c r="O63" s="36" t="e">
        <v>#N/A</v>
      </c>
    </row>
    <row r="64">
      <c r="A64" s="101" t="s">
        <v>21468</v>
      </c>
      <c r="B64" s="25">
        <v>11875.0</v>
      </c>
      <c r="C64" s="683">
        <v>0.1</v>
      </c>
      <c r="D64" s="179">
        <v>0.7</v>
      </c>
      <c r="E64" s="179">
        <v>0.7</v>
      </c>
      <c r="F64" s="348" t="s">
        <v>1656</v>
      </c>
      <c r="I64" s="197" t="s">
        <v>21469</v>
      </c>
      <c r="J64" s="11">
        <v>6660.0</v>
      </c>
      <c r="L64" s="244" t="s">
        <v>21468</v>
      </c>
      <c r="M64" s="11">
        <v>11875.0</v>
      </c>
      <c r="O64" s="18">
        <v>1.0</v>
      </c>
    </row>
    <row r="65">
      <c r="A65" s="101" t="s">
        <v>21470</v>
      </c>
      <c r="B65" s="25"/>
      <c r="C65" s="683">
        <v>0.1</v>
      </c>
      <c r="D65" s="179">
        <v>0.7</v>
      </c>
      <c r="E65" s="179">
        <v>0.7</v>
      </c>
      <c r="F65" s="348" t="s">
        <v>1656</v>
      </c>
      <c r="I65" s="197" t="s">
        <v>21471</v>
      </c>
      <c r="L65" s="246" t="s">
        <v>21470</v>
      </c>
      <c r="M65" s="35">
        <v>13951.0</v>
      </c>
      <c r="N65" s="36"/>
      <c r="O65" s="36" t="e">
        <v>#N/A</v>
      </c>
    </row>
    <row r="66">
      <c r="A66" s="101" t="s">
        <v>21472</v>
      </c>
      <c r="B66" s="25">
        <v>6873.0</v>
      </c>
      <c r="C66" s="683">
        <v>0.1</v>
      </c>
      <c r="D66" s="179">
        <v>0.7</v>
      </c>
      <c r="E66" s="179">
        <v>0.7</v>
      </c>
      <c r="F66" s="348" t="s">
        <v>1656</v>
      </c>
      <c r="I66" s="197" t="s">
        <v>15750</v>
      </c>
      <c r="L66" s="244" t="s">
        <v>21472</v>
      </c>
      <c r="M66" s="11">
        <v>6873.0</v>
      </c>
      <c r="O66" s="18">
        <v>1.0</v>
      </c>
    </row>
    <row r="67">
      <c r="A67" s="101" t="s">
        <v>21473</v>
      </c>
      <c r="B67" s="25"/>
      <c r="C67" s="683">
        <v>0.1</v>
      </c>
      <c r="D67" s="179">
        <v>0.7</v>
      </c>
      <c r="E67" s="179">
        <v>0.7</v>
      </c>
      <c r="F67" s="348" t="s">
        <v>1656</v>
      </c>
      <c r="I67" s="197" t="s">
        <v>21474</v>
      </c>
      <c r="L67" s="246" t="s">
        <v>21473</v>
      </c>
      <c r="M67" s="35">
        <v>13858.0</v>
      </c>
      <c r="N67" s="36"/>
      <c r="O67" s="36" t="e">
        <v>#N/A</v>
      </c>
    </row>
    <row r="68">
      <c r="A68" s="101" t="s">
        <v>21475</v>
      </c>
      <c r="B68" s="25"/>
      <c r="C68" s="683">
        <v>0.1</v>
      </c>
      <c r="D68" s="179">
        <v>0.7</v>
      </c>
      <c r="E68" s="179">
        <v>0.7</v>
      </c>
      <c r="F68" s="348" t="s">
        <v>1656</v>
      </c>
      <c r="I68" s="197" t="s">
        <v>21476</v>
      </c>
      <c r="L68" s="246" t="s">
        <v>21475</v>
      </c>
      <c r="M68" s="35">
        <v>2095.0</v>
      </c>
      <c r="N68" s="36"/>
      <c r="O68" s="36" t="e">
        <v>#N/A</v>
      </c>
    </row>
    <row r="69">
      <c r="A69" s="101" t="s">
        <v>21477</v>
      </c>
      <c r="B69" s="25"/>
      <c r="C69" s="683">
        <v>0.1</v>
      </c>
      <c r="D69" s="179">
        <v>0.7</v>
      </c>
      <c r="E69" s="179">
        <v>0.7</v>
      </c>
      <c r="F69" s="348" t="s">
        <v>1656</v>
      </c>
      <c r="I69" s="197" t="s">
        <v>21478</v>
      </c>
      <c r="L69" s="246" t="s">
        <v>21477</v>
      </c>
      <c r="M69" s="35">
        <v>6132.0</v>
      </c>
      <c r="N69" s="36"/>
      <c r="O69" s="36" t="e">
        <v>#N/A</v>
      </c>
    </row>
    <row r="70">
      <c r="A70" s="101" t="s">
        <v>21479</v>
      </c>
      <c r="B70" s="25"/>
      <c r="C70" s="683">
        <v>0.1</v>
      </c>
      <c r="D70" s="179">
        <v>0.7</v>
      </c>
      <c r="E70" s="179">
        <v>0.7</v>
      </c>
      <c r="F70" s="348" t="s">
        <v>1656</v>
      </c>
      <c r="I70" s="197" t="s">
        <v>21480</v>
      </c>
      <c r="L70" s="246" t="s">
        <v>21479</v>
      </c>
      <c r="M70" s="35">
        <v>2095.0</v>
      </c>
      <c r="N70" s="36"/>
      <c r="O70" s="36" t="e">
        <v>#N/A</v>
      </c>
    </row>
    <row r="71">
      <c r="A71" s="101" t="s">
        <v>21481</v>
      </c>
      <c r="B71" s="25"/>
      <c r="C71" s="683">
        <v>0.1</v>
      </c>
      <c r="D71" s="179">
        <v>0.7</v>
      </c>
      <c r="E71" s="179">
        <v>0.7</v>
      </c>
      <c r="F71" s="348" t="s">
        <v>1656</v>
      </c>
      <c r="I71" s="197" t="s">
        <v>21482</v>
      </c>
      <c r="J71" s="11">
        <v>7010.0</v>
      </c>
      <c r="L71" s="246" t="s">
        <v>21481</v>
      </c>
      <c r="M71" s="35">
        <v>315.0</v>
      </c>
      <c r="N71" s="36"/>
      <c r="O71" s="36" t="e">
        <v>#N/A</v>
      </c>
    </row>
    <row r="72">
      <c r="A72" s="101" t="s">
        <v>21483</v>
      </c>
      <c r="B72" s="25">
        <v>6722.0</v>
      </c>
      <c r="C72" s="683">
        <v>0.1</v>
      </c>
      <c r="D72" s="179">
        <v>0.7</v>
      </c>
      <c r="E72" s="179">
        <v>0.7</v>
      </c>
      <c r="F72" s="348" t="s">
        <v>1656</v>
      </c>
      <c r="I72" s="197" t="s">
        <v>2079</v>
      </c>
      <c r="L72" s="246" t="s">
        <v>21483</v>
      </c>
      <c r="M72" s="36"/>
      <c r="N72" s="36"/>
      <c r="O72" s="36" t="e">
        <v>#N/A</v>
      </c>
    </row>
    <row r="73">
      <c r="A73" s="101" t="s">
        <v>21484</v>
      </c>
      <c r="B73" s="25"/>
      <c r="C73" s="683">
        <v>0.1</v>
      </c>
      <c r="D73" s="179">
        <v>0.7</v>
      </c>
      <c r="E73" s="179">
        <v>0.7</v>
      </c>
      <c r="F73" s="348" t="s">
        <v>1656</v>
      </c>
      <c r="I73" s="197" t="s">
        <v>21485</v>
      </c>
      <c r="L73" s="246" t="s">
        <v>21484</v>
      </c>
      <c r="M73" s="35">
        <v>14055.0</v>
      </c>
      <c r="N73" s="36"/>
      <c r="O73" s="36" t="e">
        <v>#N/A</v>
      </c>
    </row>
    <row r="74">
      <c r="A74" s="101" t="s">
        <v>19799</v>
      </c>
      <c r="B74" s="25"/>
      <c r="C74" s="683">
        <v>0.1</v>
      </c>
      <c r="D74" s="179">
        <v>0.7</v>
      </c>
      <c r="E74" s="179">
        <v>0.7</v>
      </c>
      <c r="F74" s="348" t="s">
        <v>1656</v>
      </c>
      <c r="I74" s="197" t="s">
        <v>21486</v>
      </c>
      <c r="L74" s="246" t="s">
        <v>19799</v>
      </c>
      <c r="M74" s="35">
        <v>7023.0</v>
      </c>
      <c r="N74" s="36"/>
      <c r="O74" s="36" t="e">
        <v>#N/A</v>
      </c>
    </row>
    <row r="75">
      <c r="A75" s="101" t="s">
        <v>21487</v>
      </c>
      <c r="B75" s="25">
        <v>13867.0</v>
      </c>
      <c r="C75" s="683">
        <v>0.1</v>
      </c>
      <c r="D75" s="179">
        <v>0.7</v>
      </c>
      <c r="E75" s="179">
        <v>0.7</v>
      </c>
      <c r="F75" s="348" t="s">
        <v>1656</v>
      </c>
      <c r="I75" s="197" t="s">
        <v>21488</v>
      </c>
      <c r="L75" s="246" t="s">
        <v>21487</v>
      </c>
      <c r="M75" s="35">
        <v>14025.0</v>
      </c>
      <c r="N75" s="36"/>
      <c r="O75" s="36" t="e">
        <v>#N/A</v>
      </c>
    </row>
    <row r="76">
      <c r="A76" s="101" t="s">
        <v>21489</v>
      </c>
      <c r="B76" s="25"/>
      <c r="C76" s="683">
        <v>0.1</v>
      </c>
      <c r="D76" s="179">
        <v>0.7</v>
      </c>
      <c r="E76" s="179">
        <v>0.7</v>
      </c>
      <c r="F76" s="348" t="s">
        <v>1656</v>
      </c>
      <c r="I76" s="197" t="s">
        <v>21490</v>
      </c>
      <c r="L76" s="246" t="s">
        <v>21489</v>
      </c>
      <c r="M76" s="35">
        <v>189.0</v>
      </c>
      <c r="N76" s="36"/>
      <c r="O76" s="36" t="e">
        <v>#N/A</v>
      </c>
    </row>
    <row r="77">
      <c r="A77" s="101" t="s">
        <v>21491</v>
      </c>
      <c r="B77" s="25"/>
      <c r="C77" s="683">
        <v>0.1</v>
      </c>
      <c r="D77" s="179">
        <v>0.7</v>
      </c>
      <c r="E77" s="179">
        <v>0.7</v>
      </c>
      <c r="F77" s="348" t="s">
        <v>1656</v>
      </c>
      <c r="I77" s="197" t="s">
        <v>21492</v>
      </c>
      <c r="L77" s="246" t="s">
        <v>21491</v>
      </c>
      <c r="M77" s="35">
        <v>7003.0</v>
      </c>
      <c r="N77" s="36"/>
      <c r="O77" s="36" t="e">
        <v>#N/A</v>
      </c>
    </row>
    <row r="78">
      <c r="A78" s="101" t="s">
        <v>21493</v>
      </c>
      <c r="B78" s="25">
        <v>14771.0</v>
      </c>
      <c r="C78" s="683">
        <v>0.1</v>
      </c>
      <c r="D78" s="179">
        <v>0.7</v>
      </c>
      <c r="E78" s="179">
        <v>0.7</v>
      </c>
      <c r="F78" s="348" t="s">
        <v>1656</v>
      </c>
      <c r="I78" s="197" t="s">
        <v>21494</v>
      </c>
      <c r="L78" s="246" t="s">
        <v>21493</v>
      </c>
      <c r="M78" s="35">
        <v>6729.0</v>
      </c>
      <c r="N78" s="36"/>
      <c r="O78" s="36" t="e">
        <v>#N/A</v>
      </c>
    </row>
    <row r="79">
      <c r="A79" s="101" t="s">
        <v>21495</v>
      </c>
      <c r="B79" s="25"/>
      <c r="C79" s="683">
        <v>0.1</v>
      </c>
      <c r="D79" s="179">
        <v>0.7</v>
      </c>
      <c r="E79" s="179">
        <v>0.7</v>
      </c>
      <c r="F79" s="348" t="s">
        <v>1656</v>
      </c>
      <c r="I79" s="197" t="s">
        <v>21496</v>
      </c>
      <c r="L79" s="246" t="s">
        <v>21495</v>
      </c>
      <c r="M79" s="35">
        <v>13829.0</v>
      </c>
      <c r="N79" s="36"/>
      <c r="O79" s="36" t="e">
        <v>#N/A</v>
      </c>
    </row>
    <row r="80">
      <c r="A80" s="101" t="s">
        <v>21497</v>
      </c>
      <c r="B80" s="25">
        <v>6802.0</v>
      </c>
      <c r="C80" s="683">
        <v>0.1</v>
      </c>
      <c r="D80" s="179">
        <v>0.7</v>
      </c>
      <c r="E80" s="179">
        <v>0.7</v>
      </c>
      <c r="F80" s="348" t="s">
        <v>1656</v>
      </c>
      <c r="I80" s="197" t="s">
        <v>21498</v>
      </c>
      <c r="J80" s="11">
        <v>6107.0</v>
      </c>
      <c r="L80" s="244" t="s">
        <v>21497</v>
      </c>
      <c r="M80" s="11">
        <v>6802.0</v>
      </c>
      <c r="O80" s="18">
        <v>1.0</v>
      </c>
    </row>
    <row r="81">
      <c r="A81" s="247" t="s">
        <v>21499</v>
      </c>
      <c r="B81" s="186">
        <v>8576.0</v>
      </c>
      <c r="C81" s="683">
        <v>0.1</v>
      </c>
      <c r="D81" s="179">
        <v>0.7</v>
      </c>
      <c r="E81" s="179">
        <v>0.7</v>
      </c>
      <c r="F81" s="348" t="s">
        <v>1656</v>
      </c>
      <c r="H81" s="25" t="s">
        <v>10980</v>
      </c>
      <c r="I81" s="197" t="s">
        <v>21500</v>
      </c>
    </row>
    <row r="82">
      <c r="A82" s="247" t="s">
        <v>21501</v>
      </c>
      <c r="B82" s="72">
        <v>8483.0</v>
      </c>
      <c r="C82" s="683">
        <v>0.1</v>
      </c>
      <c r="D82" s="179">
        <v>0.7</v>
      </c>
      <c r="E82" s="179">
        <v>0.7</v>
      </c>
      <c r="F82" s="348" t="s">
        <v>1656</v>
      </c>
      <c r="H82" s="25" t="s">
        <v>10980</v>
      </c>
      <c r="I82" s="197" t="s">
        <v>21502</v>
      </c>
    </row>
    <row r="83">
      <c r="A83" s="247" t="s">
        <v>21503</v>
      </c>
      <c r="B83" s="72">
        <v>9573.0</v>
      </c>
      <c r="C83" s="683">
        <v>0.1</v>
      </c>
      <c r="D83" s="179">
        <v>0.7</v>
      </c>
      <c r="E83" s="179">
        <v>0.7</v>
      </c>
      <c r="F83" s="348" t="s">
        <v>1656</v>
      </c>
      <c r="H83" s="25" t="s">
        <v>10980</v>
      </c>
      <c r="I83" s="197" t="s">
        <v>21504</v>
      </c>
      <c r="L83" s="244"/>
    </row>
    <row r="84">
      <c r="A84" s="247" t="s">
        <v>21505</v>
      </c>
      <c r="B84" s="72">
        <v>9602.0</v>
      </c>
      <c r="C84" s="683">
        <v>0.1</v>
      </c>
      <c r="D84" s="179">
        <v>0.7</v>
      </c>
      <c r="E84" s="179">
        <v>0.7</v>
      </c>
      <c r="F84" s="348" t="s">
        <v>1656</v>
      </c>
      <c r="H84" s="25" t="s">
        <v>10980</v>
      </c>
      <c r="I84" s="197" t="s">
        <v>829</v>
      </c>
      <c r="L84" s="244"/>
    </row>
    <row r="85">
      <c r="A85" s="247" t="s">
        <v>21506</v>
      </c>
      <c r="B85" s="72">
        <v>10368.0</v>
      </c>
      <c r="C85" s="683">
        <v>0.1</v>
      </c>
      <c r="D85" s="179">
        <v>0.7</v>
      </c>
      <c r="E85" s="179">
        <v>0.7</v>
      </c>
      <c r="F85" s="348" t="s">
        <v>1656</v>
      </c>
      <c r="H85" s="25" t="s">
        <v>10980</v>
      </c>
      <c r="I85" s="197" t="s">
        <v>21507</v>
      </c>
      <c r="L85" s="244"/>
    </row>
    <row r="86">
      <c r="A86" s="247" t="s">
        <v>21508</v>
      </c>
      <c r="B86" s="51">
        <v>9030.0</v>
      </c>
      <c r="C86" s="683">
        <v>0.1</v>
      </c>
      <c r="D86" s="179">
        <v>0.7</v>
      </c>
      <c r="E86" s="179">
        <v>0.7</v>
      </c>
      <c r="F86" s="348" t="s">
        <v>1656</v>
      </c>
      <c r="H86" s="25" t="s">
        <v>10980</v>
      </c>
      <c r="I86" s="197" t="s">
        <v>21509</v>
      </c>
      <c r="L86" s="244"/>
    </row>
    <row r="87">
      <c r="A87" s="247" t="s">
        <v>21510</v>
      </c>
      <c r="B87" s="72">
        <v>9596.0</v>
      </c>
      <c r="C87" s="683">
        <v>0.1</v>
      </c>
      <c r="D87" s="179">
        <v>0.7</v>
      </c>
      <c r="E87" s="179">
        <v>0.7</v>
      </c>
      <c r="F87" s="348" t="s">
        <v>1656</v>
      </c>
      <c r="H87" s="25" t="s">
        <v>10980</v>
      </c>
      <c r="I87" s="197" t="s">
        <v>21511</v>
      </c>
      <c r="L87" s="244"/>
    </row>
    <row r="88">
      <c r="A88" s="247" t="s">
        <v>21512</v>
      </c>
      <c r="B88" s="186">
        <v>9667.0</v>
      </c>
      <c r="C88" s="683">
        <v>0.1</v>
      </c>
      <c r="D88" s="179">
        <v>0.7</v>
      </c>
      <c r="E88" s="179">
        <v>0.7</v>
      </c>
      <c r="F88" s="348" t="s">
        <v>1656</v>
      </c>
      <c r="H88" s="25" t="s">
        <v>10980</v>
      </c>
      <c r="I88" s="197" t="s">
        <v>21513</v>
      </c>
      <c r="L88" s="244"/>
    </row>
    <row r="89">
      <c r="A89" s="247" t="s">
        <v>21514</v>
      </c>
      <c r="B89" s="188">
        <v>12259.0</v>
      </c>
      <c r="C89" s="683">
        <v>0.1</v>
      </c>
      <c r="D89" s="179">
        <v>0.7</v>
      </c>
      <c r="E89" s="179">
        <v>0.7</v>
      </c>
      <c r="F89" s="348" t="s">
        <v>1656</v>
      </c>
      <c r="H89" s="25" t="s">
        <v>10980</v>
      </c>
      <c r="I89" s="197" t="s">
        <v>21515</v>
      </c>
      <c r="L89" s="244"/>
    </row>
    <row r="90">
      <c r="A90" s="247" t="s">
        <v>21516</v>
      </c>
      <c r="B90" s="186">
        <v>9066.0</v>
      </c>
      <c r="C90" s="683">
        <v>0.1</v>
      </c>
      <c r="D90" s="179">
        <v>0.7</v>
      </c>
      <c r="E90" s="179">
        <v>0.7</v>
      </c>
      <c r="F90" s="348" t="s">
        <v>1656</v>
      </c>
      <c r="H90" s="25" t="s">
        <v>10980</v>
      </c>
      <c r="I90" s="197" t="s">
        <v>21517</v>
      </c>
      <c r="J90" s="11">
        <v>7031.0</v>
      </c>
      <c r="L90" s="244"/>
    </row>
    <row r="91">
      <c r="A91" s="247" t="s">
        <v>21518</v>
      </c>
      <c r="B91" s="188">
        <v>9768.0</v>
      </c>
      <c r="C91" s="683">
        <v>0.1</v>
      </c>
      <c r="D91" s="179">
        <v>0.7</v>
      </c>
      <c r="E91" s="179">
        <v>0.7</v>
      </c>
      <c r="F91" s="348" t="s">
        <v>1656</v>
      </c>
      <c r="H91" s="25" t="s">
        <v>10980</v>
      </c>
      <c r="I91" s="197" t="s">
        <v>21519</v>
      </c>
      <c r="L91" s="244"/>
    </row>
    <row r="92">
      <c r="A92" s="247" t="s">
        <v>2418</v>
      </c>
      <c r="B92" s="72">
        <v>9814.0</v>
      </c>
      <c r="C92" s="683">
        <v>0.1</v>
      </c>
      <c r="D92" s="179">
        <v>0.7</v>
      </c>
      <c r="E92" s="179">
        <v>0.7</v>
      </c>
      <c r="F92" s="348" t="s">
        <v>1656</v>
      </c>
      <c r="H92" s="25" t="s">
        <v>10980</v>
      </c>
      <c r="I92" s="197" t="s">
        <v>21520</v>
      </c>
      <c r="L92" s="244"/>
    </row>
    <row r="93">
      <c r="A93" s="247" t="s">
        <v>15488</v>
      </c>
      <c r="B93" s="188">
        <v>12277.0</v>
      </c>
      <c r="C93" s="683">
        <v>0.1</v>
      </c>
      <c r="D93" s="179">
        <v>0.7</v>
      </c>
      <c r="E93" s="179">
        <v>0.7</v>
      </c>
      <c r="F93" s="348" t="s">
        <v>1656</v>
      </c>
      <c r="H93" s="25" t="s">
        <v>10980</v>
      </c>
      <c r="I93" s="197" t="s">
        <v>21521</v>
      </c>
      <c r="J93" s="158">
        <v>7186.0</v>
      </c>
      <c r="L93" s="244"/>
    </row>
    <row r="94">
      <c r="A94" s="247" t="s">
        <v>21522</v>
      </c>
      <c r="B94" s="72">
        <v>8623.0</v>
      </c>
      <c r="C94" s="683">
        <v>0.1</v>
      </c>
      <c r="D94" s="179">
        <v>0.75</v>
      </c>
      <c r="E94" s="179">
        <v>0.75</v>
      </c>
      <c r="F94" s="348" t="s">
        <v>1656</v>
      </c>
      <c r="H94" s="25" t="s">
        <v>10980</v>
      </c>
      <c r="I94" s="197" t="s">
        <v>21523</v>
      </c>
      <c r="L94" s="244"/>
    </row>
    <row r="95">
      <c r="A95" s="247" t="s">
        <v>21524</v>
      </c>
      <c r="B95" s="186">
        <v>8096.0</v>
      </c>
      <c r="C95" s="683">
        <v>0.1</v>
      </c>
      <c r="D95" s="179">
        <v>0.7</v>
      </c>
      <c r="E95" s="179">
        <v>0.7</v>
      </c>
      <c r="F95" s="348" t="s">
        <v>1656</v>
      </c>
      <c r="H95" s="25" t="s">
        <v>10980</v>
      </c>
      <c r="I95" s="197" t="s">
        <v>21525</v>
      </c>
      <c r="L95" s="244"/>
    </row>
    <row r="96">
      <c r="A96" s="247" t="s">
        <v>21526</v>
      </c>
      <c r="B96" s="51">
        <v>9030.0</v>
      </c>
      <c r="C96" s="683">
        <v>0.1</v>
      </c>
      <c r="D96" s="179">
        <v>0.7</v>
      </c>
      <c r="E96" s="179">
        <v>0.7</v>
      </c>
      <c r="F96" s="348" t="s">
        <v>1656</v>
      </c>
      <c r="H96" s="25" t="s">
        <v>10980</v>
      </c>
      <c r="I96" s="197" t="s">
        <v>21527</v>
      </c>
      <c r="L96" s="244"/>
    </row>
    <row r="97">
      <c r="A97" s="247" t="s">
        <v>21528</v>
      </c>
      <c r="B97" s="189">
        <v>12135.0</v>
      </c>
      <c r="C97" s="683">
        <v>0.1</v>
      </c>
      <c r="D97" s="179">
        <v>0.7</v>
      </c>
      <c r="E97" s="179">
        <v>0.7</v>
      </c>
      <c r="F97" s="348" t="s">
        <v>1656</v>
      </c>
      <c r="H97" s="25" t="s">
        <v>10980</v>
      </c>
      <c r="I97" s="197" t="s">
        <v>21529</v>
      </c>
      <c r="L97" s="244"/>
    </row>
    <row r="98">
      <c r="A98" s="247" t="s">
        <v>21530</v>
      </c>
      <c r="B98" s="772">
        <v>9767.0</v>
      </c>
      <c r="C98" s="683">
        <v>0.1</v>
      </c>
      <c r="D98" s="179">
        <v>0.7</v>
      </c>
      <c r="E98" s="179">
        <v>0.7</v>
      </c>
      <c r="F98" s="348" t="s">
        <v>1656</v>
      </c>
      <c r="H98" s="25" t="s">
        <v>10980</v>
      </c>
      <c r="I98" s="197" t="s">
        <v>21531</v>
      </c>
    </row>
    <row r="99">
      <c r="A99" s="247" t="s">
        <v>21532</v>
      </c>
      <c r="B99" s="189">
        <v>12299.0</v>
      </c>
      <c r="C99" s="683">
        <v>0.1</v>
      </c>
      <c r="D99" s="179">
        <v>0.7</v>
      </c>
      <c r="E99" s="179">
        <v>0.7</v>
      </c>
      <c r="F99" s="348" t="s">
        <v>1656</v>
      </c>
      <c r="H99" s="25" t="s">
        <v>10980</v>
      </c>
      <c r="I99" s="197" t="s">
        <v>21533</v>
      </c>
    </row>
    <row r="100">
      <c r="A100" s="247" t="s">
        <v>21534</v>
      </c>
      <c r="B100" s="191">
        <v>14166.0</v>
      </c>
      <c r="C100" s="683">
        <v>0.1</v>
      </c>
      <c r="D100" s="179">
        <v>0.7</v>
      </c>
      <c r="E100" s="179">
        <v>0.7</v>
      </c>
      <c r="F100" s="348" t="s">
        <v>1656</v>
      </c>
      <c r="H100" s="25" t="s">
        <v>10980</v>
      </c>
      <c r="I100" s="197" t="s">
        <v>21535</v>
      </c>
    </row>
    <row r="101">
      <c r="A101" s="247" t="s">
        <v>16834</v>
      </c>
      <c r="B101" s="51">
        <v>14474.0</v>
      </c>
      <c r="C101" s="683">
        <v>0.1</v>
      </c>
      <c r="D101" s="179">
        <v>0.7</v>
      </c>
      <c r="E101" s="179">
        <v>0.7</v>
      </c>
      <c r="F101" s="348" t="s">
        <v>1656</v>
      </c>
      <c r="H101" s="25" t="s">
        <v>10980</v>
      </c>
      <c r="I101" s="197" t="s">
        <v>21536</v>
      </c>
    </row>
  </sheetData>
  <drawing r:id="rId1"/>
</worksheet>
</file>